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ables/table2.xml" ContentType="application/vnd.openxmlformats-officedocument.spreadsheetml.table+xml"/>
  <Override PartName="/xl/drawings/drawing3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ables/table3.xml" ContentType="application/vnd.openxmlformats-officedocument.spreadsheetml.table+xml"/>
  <Override PartName="/xl/drawings/drawing4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ables/table4.xml" ContentType="application/vnd.openxmlformats-officedocument.spreadsheetml.table+xml"/>
  <Override PartName="/xl/drawings/drawing5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drawings/drawing6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ables/table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126"/>
  <workbookPr codeName="EstaPastaDeTrabalho" defaultThemeVersion="166925"/>
  <mc:AlternateContent xmlns:mc="http://schemas.openxmlformats.org/markup-compatibility/2006">
    <mc:Choice Requires="x15">
      <x15ac:absPath xmlns:x15ac="http://schemas.microsoft.com/office/spreadsheetml/2010/11/ac" url="D:\Mundstock Educacional\C.Serviços\1. YouTube\"/>
    </mc:Choice>
  </mc:AlternateContent>
  <xr:revisionPtr revIDLastSave="0" documentId="13_ncr:1_{6E325C3C-B858-4D1B-B294-17D963309AB7}" xr6:coauthVersionLast="47" xr6:coauthVersionMax="47" xr10:uidLastSave="{00000000-0000-0000-0000-000000000000}"/>
  <bookViews>
    <workbookView xWindow="-22845" yWindow="-16320" windowWidth="29040" windowHeight="15840" tabRatio="833" xr2:uid="{5EE01651-7CDF-4363-9DBD-02A588CD5C22}"/>
  </bookViews>
  <sheets>
    <sheet name="Heatmap" sheetId="28" r:id="rId1"/>
    <sheet name="Housing Market" sheetId="37" r:id="rId2"/>
    <sheet name="Graphs 1" sheetId="52" r:id="rId3"/>
    <sheet name="Economic Activity" sheetId="33" r:id="rId4"/>
    <sheet name="Graphs 2" sheetId="53" r:id="rId5"/>
    <sheet name="Labor Market" sheetId="32" r:id="rId6"/>
    <sheet name="Graphs 4" sheetId="55" r:id="rId7"/>
    <sheet name="Inflation" sheetId="4" r:id="rId8"/>
    <sheet name="Graphs 3" sheetId="54" r:id="rId9"/>
    <sheet name="Monetary Policy + Market" sheetId="45" r:id="rId10"/>
    <sheet name="GDP + ECI (Quarter)" sheetId="44" r:id="rId11"/>
    <sheet name="US Budget (Annual Data)" sheetId="57" r:id="rId12"/>
    <sheet name="Graphs 5" sheetId="56" r:id="rId13"/>
    <sheet name="Recession" sheetId="43" r:id="rId14"/>
  </sheets>
  <externalReferences>
    <externalReference r:id="rId15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268" i="33" l="1"/>
  <c r="AB269" i="33"/>
  <c r="AB270" i="33"/>
  <c r="AB271" i="33"/>
  <c r="AB272" i="33"/>
  <c r="AB273" i="33"/>
  <c r="AB274" i="33"/>
  <c r="AB275" i="33"/>
  <c r="AB276" i="33"/>
  <c r="AB277" i="33"/>
  <c r="AB278" i="33"/>
  <c r="AB279" i="33"/>
  <c r="AB280" i="33"/>
  <c r="AB281" i="33"/>
  <c r="AB282" i="33"/>
  <c r="AB283" i="33"/>
  <c r="AB284" i="33"/>
  <c r="AB285" i="33"/>
  <c r="AB286" i="33"/>
  <c r="AB287" i="33"/>
  <c r="AB288" i="33"/>
  <c r="AB289" i="33"/>
  <c r="AB290" i="33"/>
  <c r="AB291" i="33"/>
  <c r="AB292" i="33"/>
  <c r="AB293" i="33"/>
  <c r="AB294" i="33"/>
  <c r="AB295" i="33"/>
  <c r="AB296" i="33"/>
  <c r="AB297" i="33"/>
  <c r="AB298" i="33"/>
  <c r="AB299" i="33"/>
  <c r="AB300" i="33"/>
  <c r="AB301" i="33"/>
  <c r="AB302" i="33"/>
  <c r="AB303" i="33"/>
  <c r="AB304" i="33"/>
  <c r="AB305" i="33"/>
  <c r="AB306" i="33"/>
  <c r="AB307" i="33"/>
  <c r="AB308" i="33"/>
  <c r="AB309" i="33"/>
  <c r="AB310" i="33"/>
  <c r="AB311" i="33"/>
  <c r="AB312" i="33"/>
  <c r="AB313" i="33"/>
  <c r="AB314" i="33"/>
  <c r="AB315" i="33"/>
  <c r="AB316" i="33"/>
  <c r="AB317" i="33"/>
  <c r="AB318" i="33"/>
  <c r="AB319" i="33"/>
  <c r="AB320" i="33"/>
  <c r="AB321" i="33"/>
  <c r="AB322" i="33"/>
  <c r="AB323" i="33"/>
  <c r="AB324" i="33"/>
  <c r="AB325" i="33"/>
  <c r="AB326" i="33"/>
  <c r="AB327" i="33"/>
  <c r="AB328" i="33"/>
  <c r="AB329" i="33"/>
  <c r="AB330" i="33"/>
  <c r="AB331" i="33"/>
  <c r="AB332" i="33"/>
  <c r="AB333" i="33"/>
  <c r="AB334" i="33"/>
  <c r="AB335" i="33"/>
  <c r="AB336" i="33"/>
  <c r="AB337" i="33"/>
  <c r="AB338" i="33"/>
  <c r="AB339" i="33"/>
  <c r="AB340" i="33"/>
  <c r="AB341" i="33"/>
  <c r="AB342" i="33"/>
  <c r="AB343" i="33"/>
  <c r="AB344" i="33"/>
  <c r="AB345" i="33"/>
  <c r="AB346" i="33"/>
  <c r="AB347" i="33"/>
  <c r="AB348" i="33"/>
  <c r="AB349" i="33"/>
  <c r="AB350" i="33"/>
  <c r="AB351" i="33"/>
  <c r="AB352" i="33"/>
  <c r="AB353" i="33"/>
  <c r="AB354" i="33"/>
  <c r="AB355" i="33"/>
  <c r="AB356" i="33"/>
  <c r="AB357" i="33"/>
  <c r="AB358" i="33"/>
  <c r="AB359" i="33"/>
  <c r="AB360" i="33"/>
  <c r="AB361" i="33"/>
  <c r="AB362" i="33"/>
  <c r="AB363" i="33"/>
  <c r="AB364" i="33"/>
  <c r="AB365" i="33"/>
  <c r="AB366" i="33"/>
  <c r="AB367" i="33"/>
  <c r="AB368" i="33"/>
  <c r="AB369" i="33"/>
  <c r="AB370" i="33"/>
  <c r="AB371" i="33"/>
  <c r="AB372" i="33"/>
  <c r="AB373" i="33"/>
  <c r="AB374" i="33"/>
  <c r="AB375" i="33"/>
  <c r="AB376" i="33"/>
  <c r="AB377" i="33"/>
  <c r="AB378" i="33"/>
  <c r="AB379" i="33"/>
  <c r="AB380" i="33"/>
  <c r="AB381" i="33"/>
  <c r="AB382" i="33"/>
  <c r="AB383" i="33"/>
  <c r="AB384" i="33"/>
  <c r="AB385" i="33"/>
  <c r="AB386" i="33"/>
  <c r="AB387" i="33"/>
  <c r="AB388" i="33"/>
  <c r="AB389" i="33"/>
  <c r="AB390" i="33"/>
  <c r="AB391" i="33"/>
  <c r="AB392" i="33"/>
  <c r="AB393" i="33"/>
  <c r="AB394" i="33"/>
  <c r="AB395" i="33"/>
  <c r="AB396" i="33"/>
  <c r="AB397" i="33"/>
  <c r="AB398" i="33"/>
  <c r="AB399" i="33"/>
  <c r="AB400" i="33"/>
  <c r="AB401" i="33"/>
  <c r="AB402" i="33"/>
  <c r="AB403" i="33"/>
  <c r="AB404" i="33"/>
  <c r="AB405" i="33"/>
  <c r="AB406" i="33"/>
  <c r="AB407" i="33"/>
  <c r="AB408" i="33"/>
  <c r="AB409" i="33"/>
  <c r="AB410" i="33"/>
  <c r="AB411" i="33"/>
  <c r="AB412" i="33"/>
  <c r="AB413" i="33"/>
  <c r="AB414" i="33"/>
  <c r="AB415" i="33"/>
  <c r="AB416" i="33"/>
  <c r="AB417" i="33"/>
  <c r="AB418" i="33"/>
  <c r="AB419" i="33"/>
  <c r="AB420" i="33"/>
  <c r="AB421" i="33"/>
  <c r="AB422" i="33"/>
  <c r="AB423" i="33"/>
  <c r="AB424" i="33"/>
  <c r="AB425" i="33"/>
  <c r="AB426" i="33"/>
  <c r="AB427" i="33"/>
  <c r="AB428" i="33"/>
  <c r="AB429" i="33"/>
  <c r="AB430" i="33"/>
  <c r="AB431" i="33"/>
  <c r="AB432" i="33"/>
  <c r="AB433" i="33"/>
  <c r="AB434" i="33"/>
  <c r="AB435" i="33"/>
  <c r="AB436" i="33"/>
  <c r="AB437" i="33"/>
  <c r="AB438" i="33"/>
  <c r="AB439" i="33"/>
  <c r="AB440" i="33"/>
  <c r="AB441" i="33"/>
  <c r="AB442" i="33"/>
  <c r="AB443" i="33"/>
  <c r="AB444" i="33"/>
  <c r="AB445" i="33"/>
  <c r="AB446" i="33"/>
  <c r="AB447" i="33"/>
  <c r="AB448" i="33"/>
  <c r="AB449" i="33"/>
  <c r="AB450" i="33"/>
  <c r="AB451" i="33"/>
  <c r="AB452" i="33"/>
  <c r="AB453" i="33"/>
  <c r="AB454" i="33"/>
  <c r="AB455" i="33"/>
  <c r="AB456" i="33"/>
  <c r="AB457" i="33"/>
  <c r="AB458" i="33"/>
  <c r="AB459" i="33"/>
  <c r="AB460" i="33"/>
  <c r="AB461" i="33"/>
  <c r="AB462" i="33"/>
  <c r="AB463" i="33"/>
  <c r="AB464" i="33"/>
  <c r="AB465" i="33"/>
  <c r="AB466" i="33"/>
  <c r="AB467" i="33"/>
  <c r="AB468" i="33"/>
  <c r="AB469" i="33"/>
  <c r="AB470" i="33"/>
  <c r="AB471" i="33"/>
  <c r="AB472" i="33"/>
  <c r="AB473" i="33"/>
  <c r="AB474" i="33"/>
  <c r="AB475" i="33"/>
  <c r="AB476" i="33"/>
  <c r="AB477" i="33"/>
  <c r="AB478" i="33"/>
  <c r="AB479" i="33"/>
  <c r="AB480" i="33"/>
  <c r="AB481" i="33"/>
  <c r="AB482" i="33"/>
  <c r="AB483" i="33"/>
  <c r="AB484" i="33"/>
  <c r="AB485" i="33"/>
  <c r="AB486" i="33"/>
  <c r="AB487" i="33"/>
  <c r="AB488" i="33"/>
  <c r="AB489" i="33"/>
  <c r="AB490" i="33"/>
  <c r="AB491" i="33"/>
  <c r="AB492" i="33"/>
  <c r="AB493" i="33"/>
  <c r="AB494" i="33"/>
  <c r="AB495" i="33"/>
  <c r="AB496" i="33"/>
  <c r="AB497" i="33"/>
  <c r="AB498" i="33"/>
  <c r="AB499" i="33"/>
  <c r="AB500" i="33"/>
  <c r="AB501" i="33"/>
  <c r="AB502" i="33"/>
  <c r="AB503" i="33"/>
  <c r="AB504" i="33"/>
  <c r="AB505" i="33"/>
  <c r="AB506" i="33"/>
  <c r="AB507" i="33"/>
  <c r="AB508" i="33"/>
  <c r="AB509" i="33"/>
  <c r="AB510" i="33"/>
  <c r="AB511" i="33"/>
  <c r="AB512" i="33"/>
  <c r="AB513" i="33"/>
  <c r="AB514" i="33"/>
  <c r="AB515" i="33"/>
  <c r="AB516" i="33"/>
  <c r="AB517" i="33"/>
  <c r="AB518" i="33"/>
  <c r="AB519" i="33"/>
  <c r="AB520" i="33"/>
  <c r="AB521" i="33"/>
  <c r="AB522" i="33"/>
  <c r="AB523" i="33"/>
  <c r="AB524" i="33"/>
  <c r="AB525" i="33"/>
  <c r="AB526" i="33"/>
  <c r="AB527" i="33"/>
  <c r="AB528" i="33"/>
  <c r="AB529" i="33"/>
  <c r="AB530" i="33"/>
  <c r="AB531" i="33"/>
  <c r="AB532" i="33"/>
  <c r="AB533" i="33"/>
  <c r="AB534" i="33"/>
  <c r="AB535" i="33"/>
  <c r="AB536" i="33"/>
  <c r="AB537" i="33"/>
  <c r="AB538" i="33"/>
  <c r="AB539" i="33"/>
  <c r="AB540" i="33"/>
  <c r="AB541" i="33"/>
  <c r="AB542" i="33"/>
  <c r="AB543" i="33"/>
  <c r="AB544" i="33"/>
  <c r="AB545" i="33"/>
  <c r="AB546" i="33"/>
  <c r="AB547" i="33"/>
  <c r="AB548" i="33"/>
  <c r="AB549" i="33"/>
  <c r="AB550" i="33"/>
  <c r="AB551" i="33"/>
  <c r="AB552" i="33"/>
  <c r="AB553" i="33"/>
  <c r="AB554" i="33"/>
  <c r="AB555" i="33"/>
  <c r="AB556" i="33"/>
  <c r="AB557" i="33"/>
  <c r="AB558" i="33"/>
  <c r="AB559" i="33"/>
  <c r="AB560" i="33"/>
  <c r="AB561" i="33"/>
  <c r="AB562" i="33"/>
  <c r="AB563" i="33"/>
  <c r="AB564" i="33"/>
  <c r="AB565" i="33"/>
  <c r="AB566" i="33"/>
  <c r="AA554" i="33"/>
  <c r="AA553" i="33"/>
  <c r="AA552" i="33"/>
  <c r="AA551" i="33"/>
  <c r="AA550" i="33"/>
  <c r="AA549" i="33"/>
  <c r="AA548" i="33"/>
  <c r="AA547" i="33"/>
  <c r="AA546" i="33"/>
  <c r="AA545" i="33"/>
  <c r="AA544" i="33"/>
  <c r="AA543" i="33"/>
  <c r="AA542" i="33"/>
  <c r="AA541" i="33"/>
  <c r="AA540" i="33"/>
  <c r="AA539" i="33"/>
  <c r="AA538" i="33"/>
  <c r="AA537" i="33"/>
  <c r="AA536" i="33"/>
  <c r="AA535" i="33"/>
  <c r="AA534" i="33"/>
  <c r="AA533" i="33"/>
  <c r="AA532" i="33"/>
  <c r="AA531" i="33"/>
  <c r="AA530" i="33"/>
  <c r="AA529" i="33"/>
  <c r="AA528" i="33"/>
  <c r="AA527" i="33"/>
  <c r="AA526" i="33"/>
  <c r="AA525" i="33"/>
  <c r="AA524" i="33"/>
  <c r="AA523" i="33"/>
  <c r="AA522" i="33"/>
  <c r="AA521" i="33"/>
  <c r="AA520" i="33"/>
  <c r="AA519" i="33"/>
  <c r="AA518" i="33"/>
  <c r="AA517" i="33"/>
  <c r="AA516" i="33"/>
  <c r="AA515" i="33"/>
  <c r="AA514" i="33"/>
  <c r="AA513" i="33"/>
  <c r="AA512" i="33"/>
  <c r="AA511" i="33"/>
  <c r="AA510" i="33"/>
  <c r="AA509" i="33"/>
  <c r="AA508" i="33"/>
  <c r="AA507" i="33"/>
  <c r="AA506" i="33"/>
  <c r="AA505" i="33"/>
  <c r="AA504" i="33"/>
  <c r="AA503" i="33"/>
  <c r="AA502" i="33"/>
  <c r="AA501" i="33"/>
  <c r="AA500" i="33"/>
  <c r="AA499" i="33"/>
  <c r="AA498" i="33"/>
  <c r="AA497" i="33"/>
  <c r="AA496" i="33"/>
  <c r="AA495" i="33"/>
  <c r="AA494" i="33"/>
  <c r="AA493" i="33"/>
  <c r="AA492" i="33"/>
  <c r="AA491" i="33"/>
  <c r="AA490" i="33"/>
  <c r="AA489" i="33"/>
  <c r="AA488" i="33"/>
  <c r="AA487" i="33"/>
  <c r="AA486" i="33"/>
  <c r="AA485" i="33"/>
  <c r="AA484" i="33"/>
  <c r="AA483" i="33"/>
  <c r="AA482" i="33"/>
  <c r="AA481" i="33"/>
  <c r="AA480" i="33"/>
  <c r="AA479" i="33"/>
  <c r="AA478" i="33"/>
  <c r="AA477" i="33"/>
  <c r="AA476" i="33"/>
  <c r="AA475" i="33"/>
  <c r="AA474" i="33"/>
  <c r="AA473" i="33"/>
  <c r="AA472" i="33"/>
  <c r="AA471" i="33"/>
  <c r="AA470" i="33"/>
  <c r="AA469" i="33"/>
  <c r="AA468" i="33"/>
  <c r="AA467" i="33"/>
  <c r="AA466" i="33"/>
  <c r="AA465" i="33"/>
  <c r="AA464" i="33"/>
  <c r="AA463" i="33"/>
  <c r="AA462" i="33"/>
  <c r="AA461" i="33"/>
  <c r="AA460" i="33"/>
  <c r="AA459" i="33"/>
  <c r="AA458" i="33"/>
  <c r="AA457" i="33"/>
  <c r="AA456" i="33"/>
  <c r="AA455" i="33"/>
  <c r="AA454" i="33"/>
  <c r="AA453" i="33"/>
  <c r="AA452" i="33"/>
  <c r="AA451" i="33"/>
  <c r="AA450" i="33"/>
  <c r="AA449" i="33"/>
  <c r="AA448" i="33"/>
  <c r="AA447" i="33"/>
  <c r="AA446" i="33"/>
  <c r="AA445" i="33"/>
  <c r="AA444" i="33"/>
  <c r="AA443" i="33"/>
  <c r="AA442" i="33"/>
  <c r="AA441" i="33"/>
  <c r="AA440" i="33"/>
  <c r="AA439" i="33"/>
  <c r="AA438" i="33"/>
  <c r="AA437" i="33"/>
  <c r="AA436" i="33"/>
  <c r="AA435" i="33"/>
  <c r="AA434" i="33"/>
  <c r="AA433" i="33"/>
  <c r="AA432" i="33"/>
  <c r="AA431" i="33"/>
  <c r="AA430" i="33"/>
  <c r="AA429" i="33"/>
  <c r="AA428" i="33"/>
  <c r="AA427" i="33"/>
  <c r="AA426" i="33"/>
  <c r="AA425" i="33"/>
  <c r="AA424" i="33"/>
  <c r="AA423" i="33"/>
  <c r="AA422" i="33"/>
  <c r="AA421" i="33"/>
  <c r="AA420" i="33"/>
  <c r="AA419" i="33"/>
  <c r="AA418" i="33"/>
  <c r="AA417" i="33"/>
  <c r="AA416" i="33"/>
  <c r="AA415" i="33"/>
  <c r="AA414" i="33"/>
  <c r="AA413" i="33"/>
  <c r="AA412" i="33"/>
  <c r="AA411" i="33"/>
  <c r="AA410" i="33"/>
  <c r="AA409" i="33"/>
  <c r="AA408" i="33"/>
  <c r="AA407" i="33"/>
  <c r="AA406" i="33"/>
  <c r="AA405" i="33"/>
  <c r="AA404" i="33"/>
  <c r="AA403" i="33"/>
  <c r="AA402" i="33"/>
  <c r="AA401" i="33"/>
  <c r="AA400" i="33"/>
  <c r="AA399" i="33"/>
  <c r="AA398" i="33"/>
  <c r="AA397" i="33"/>
  <c r="AA396" i="33"/>
  <c r="AA395" i="33"/>
  <c r="AA394" i="33"/>
  <c r="AA393" i="33"/>
  <c r="AA392" i="33"/>
  <c r="AA391" i="33"/>
  <c r="AA390" i="33"/>
  <c r="AA389" i="33"/>
  <c r="AA388" i="33"/>
  <c r="AA387" i="33"/>
  <c r="AA386" i="33"/>
  <c r="AA385" i="33"/>
  <c r="AA384" i="33"/>
  <c r="AA383" i="33"/>
  <c r="AA382" i="33"/>
  <c r="AA381" i="33"/>
  <c r="AA380" i="33"/>
  <c r="AA379" i="33"/>
  <c r="AA378" i="33"/>
  <c r="AA377" i="33"/>
  <c r="AA376" i="33"/>
  <c r="AA375" i="33"/>
  <c r="AA374" i="33"/>
  <c r="AA373" i="33"/>
  <c r="AA372" i="33"/>
  <c r="AA371" i="33"/>
  <c r="AA370" i="33"/>
  <c r="AA369" i="33"/>
  <c r="AA368" i="33"/>
  <c r="AA367" i="33"/>
  <c r="AA366" i="33"/>
  <c r="AA365" i="33"/>
  <c r="AA364" i="33"/>
  <c r="AA363" i="33"/>
  <c r="AA362" i="33"/>
  <c r="AA361" i="33"/>
  <c r="AA360" i="33"/>
  <c r="AA359" i="33"/>
  <c r="AA358" i="33"/>
  <c r="AA357" i="33"/>
  <c r="AA356" i="33"/>
  <c r="AA355" i="33"/>
  <c r="AA354" i="33"/>
  <c r="AA353" i="33"/>
  <c r="AA352" i="33"/>
  <c r="AA351" i="33"/>
  <c r="AA350" i="33"/>
  <c r="AA349" i="33"/>
  <c r="AA348" i="33"/>
  <c r="AA347" i="33"/>
  <c r="AA346" i="33"/>
  <c r="AA345" i="33"/>
  <c r="AA344" i="33"/>
  <c r="AA343" i="33"/>
  <c r="AA342" i="33"/>
  <c r="AA341" i="33"/>
  <c r="AA340" i="33"/>
  <c r="AA339" i="33"/>
  <c r="AA338" i="33"/>
  <c r="AA337" i="33"/>
  <c r="AA336" i="33"/>
  <c r="AA335" i="33"/>
  <c r="AA334" i="33"/>
  <c r="AA333" i="33"/>
  <c r="AA332" i="33"/>
  <c r="AA331" i="33"/>
  <c r="AA330" i="33"/>
  <c r="AA329" i="33"/>
  <c r="AA328" i="33"/>
  <c r="AA327" i="33"/>
  <c r="AA326" i="33"/>
  <c r="AA325" i="33"/>
  <c r="AA324" i="33"/>
  <c r="AA323" i="33"/>
  <c r="AA322" i="33"/>
  <c r="AA321" i="33"/>
  <c r="AA320" i="33"/>
  <c r="AA319" i="33"/>
  <c r="AA318" i="33"/>
  <c r="AA317" i="33"/>
  <c r="AA316" i="33"/>
  <c r="AA315" i="33"/>
  <c r="AA314" i="33"/>
  <c r="AA313" i="33"/>
  <c r="AA312" i="33"/>
  <c r="AA311" i="33"/>
  <c r="AA310" i="33"/>
  <c r="AA309" i="33"/>
  <c r="AA308" i="33"/>
  <c r="AA307" i="33"/>
  <c r="AA306" i="33"/>
  <c r="AA305" i="33"/>
  <c r="AA304" i="33"/>
  <c r="AA303" i="33"/>
  <c r="AA302" i="33"/>
  <c r="AA301" i="33"/>
  <c r="AA300" i="33"/>
  <c r="AA299" i="33"/>
  <c r="AA298" i="33"/>
  <c r="AA297" i="33"/>
  <c r="AA296" i="33"/>
  <c r="AA295" i="33"/>
  <c r="AA294" i="33"/>
  <c r="AA293" i="33"/>
  <c r="AA292" i="33"/>
  <c r="AA291" i="33"/>
  <c r="AA290" i="33"/>
  <c r="AA289" i="33"/>
  <c r="AA288" i="33"/>
  <c r="AA287" i="33"/>
  <c r="AA286" i="33"/>
  <c r="AA285" i="33"/>
  <c r="AA284" i="33"/>
  <c r="AA283" i="33"/>
  <c r="AA282" i="33"/>
  <c r="AA281" i="33"/>
  <c r="AA280" i="33"/>
  <c r="AA279" i="33"/>
  <c r="AA278" i="33"/>
  <c r="AA277" i="33"/>
  <c r="AA276" i="33"/>
  <c r="AA275" i="33"/>
  <c r="AA274" i="33"/>
  <c r="AA273" i="33"/>
  <c r="AA272" i="33"/>
  <c r="AA271" i="33"/>
  <c r="AA270" i="33"/>
  <c r="AA269" i="33"/>
  <c r="AA268" i="33"/>
  <c r="F54" i="28" l="1"/>
  <c r="L54" i="28"/>
  <c r="R54" i="28"/>
  <c r="X54" i="28"/>
  <c r="AD54" i="28"/>
  <c r="AP54" i="28"/>
  <c r="AV54" i="28"/>
  <c r="AY54" i="28"/>
  <c r="I55" i="28"/>
  <c r="J55" i="28"/>
  <c r="O55" i="28"/>
  <c r="P55" i="28"/>
  <c r="U55" i="28"/>
  <c r="V55" i="28"/>
  <c r="AA55" i="28"/>
  <c r="AB55" i="28"/>
  <c r="AG55" i="28"/>
  <c r="AH55" i="28"/>
  <c r="AT55" i="28"/>
  <c r="AY55" i="28"/>
  <c r="D55" i="28"/>
  <c r="E52" i="28"/>
  <c r="F52" i="28"/>
  <c r="K52" i="28"/>
  <c r="L52" i="28"/>
  <c r="Q52" i="28"/>
  <c r="R52" i="28"/>
  <c r="W52" i="28"/>
  <c r="X52" i="28"/>
  <c r="AC52" i="28"/>
  <c r="AD52" i="28"/>
  <c r="AI52" i="28"/>
  <c r="AJ52" i="28"/>
  <c r="AO52" i="28"/>
  <c r="AP52" i="28"/>
  <c r="AT52" i="28"/>
  <c r="AU52" i="28"/>
  <c r="AV52" i="28"/>
  <c r="E53" i="28"/>
  <c r="G53" i="28"/>
  <c r="K53" i="28"/>
  <c r="M53" i="28"/>
  <c r="Q53" i="28"/>
  <c r="S53" i="28"/>
  <c r="W53" i="28"/>
  <c r="Y53" i="28"/>
  <c r="AC53" i="28"/>
  <c r="AE53" i="28"/>
  <c r="AI53" i="28"/>
  <c r="AK53" i="28"/>
  <c r="AP53" i="28"/>
  <c r="AQ53" i="28"/>
  <c r="AV53" i="28"/>
  <c r="AW53" i="28"/>
  <c r="F50" i="28"/>
  <c r="L50" i="28"/>
  <c r="R50" i="28"/>
  <c r="X50" i="28"/>
  <c r="AD50" i="28"/>
  <c r="AJ50" i="28"/>
  <c r="AP50" i="28"/>
  <c r="AQ50" i="28"/>
  <c r="AV50" i="28"/>
  <c r="H51" i="28"/>
  <c r="I51" i="28"/>
  <c r="N51" i="28"/>
  <c r="O51" i="28"/>
  <c r="T51" i="28"/>
  <c r="U51" i="28"/>
  <c r="Z51" i="28"/>
  <c r="AA51" i="28"/>
  <c r="AF51" i="28"/>
  <c r="AG51" i="28"/>
  <c r="AL51" i="28"/>
  <c r="AM51" i="28"/>
  <c r="AR51" i="28"/>
  <c r="AX51" i="28"/>
  <c r="AY51" i="28"/>
  <c r="I48" i="28"/>
  <c r="O48" i="28"/>
  <c r="U48" i="28"/>
  <c r="AA48" i="28"/>
  <c r="AG48" i="28"/>
  <c r="AM48" i="28"/>
  <c r="AN48" i="28"/>
  <c r="AO48" i="28"/>
  <c r="AP48" i="28"/>
  <c r="AQ48" i="28"/>
  <c r="AR48" i="28"/>
  <c r="AS48" i="28"/>
  <c r="AT48" i="28"/>
  <c r="AU48" i="28"/>
  <c r="AV48" i="28"/>
  <c r="AW48" i="28"/>
  <c r="AX48" i="28"/>
  <c r="AY48" i="28"/>
  <c r="F49" i="28"/>
  <c r="G49" i="28"/>
  <c r="L49" i="28"/>
  <c r="M49" i="28"/>
  <c r="R49" i="28"/>
  <c r="S49" i="28"/>
  <c r="X49" i="28"/>
  <c r="Y49" i="28"/>
  <c r="AD49" i="28"/>
  <c r="AE49" i="28"/>
  <c r="AJ49" i="28"/>
  <c r="AK49" i="28"/>
  <c r="AN49" i="28"/>
  <c r="AO49" i="28"/>
  <c r="AP49" i="28"/>
  <c r="AQ49" i="28"/>
  <c r="AR49" i="28"/>
  <c r="AS49" i="28"/>
  <c r="AT49" i="28"/>
  <c r="AU49" i="28"/>
  <c r="AV49" i="28"/>
  <c r="AW49" i="28"/>
  <c r="AX49" i="28"/>
  <c r="AY49" i="28"/>
  <c r="I47" i="28"/>
  <c r="O47" i="28"/>
  <c r="U47" i="28"/>
  <c r="AA47" i="28"/>
  <c r="AG47" i="28"/>
  <c r="AL47" i="28"/>
  <c r="AM47" i="28"/>
  <c r="AO47" i="28"/>
  <c r="AP47" i="28"/>
  <c r="AQ47" i="28"/>
  <c r="AR47" i="28"/>
  <c r="AS47" i="28"/>
  <c r="AT47" i="28"/>
  <c r="AU47" i="28"/>
  <c r="AV47" i="28"/>
  <c r="AW47" i="28"/>
  <c r="AX47" i="28"/>
  <c r="AY47" i="28"/>
  <c r="E33" i="28"/>
  <c r="F33" i="28"/>
  <c r="G33" i="28"/>
  <c r="H33" i="28"/>
  <c r="I33" i="28"/>
  <c r="J33" i="28"/>
  <c r="K33" i="28"/>
  <c r="L33" i="28"/>
  <c r="M33" i="28"/>
  <c r="N33" i="28"/>
  <c r="O33" i="28"/>
  <c r="P33" i="28"/>
  <c r="Q33" i="28"/>
  <c r="R33" i="28"/>
  <c r="S33" i="28"/>
  <c r="T33" i="28"/>
  <c r="U33" i="28"/>
  <c r="V33" i="28"/>
  <c r="W33" i="28"/>
  <c r="X33" i="28"/>
  <c r="Y33" i="28"/>
  <c r="Z33" i="28"/>
  <c r="AA33" i="28"/>
  <c r="AB33" i="28"/>
  <c r="AC33" i="28"/>
  <c r="AD33" i="28"/>
  <c r="AE33" i="28"/>
  <c r="AF33" i="28"/>
  <c r="AG33" i="28"/>
  <c r="AH33" i="28"/>
  <c r="AI33" i="28"/>
  <c r="AJ33" i="28"/>
  <c r="AK33" i="28"/>
  <c r="AL33" i="28"/>
  <c r="AM33" i="28"/>
  <c r="AN33" i="28"/>
  <c r="AO33" i="28"/>
  <c r="AP33" i="28"/>
  <c r="AQ33" i="28"/>
  <c r="AR33" i="28"/>
  <c r="AS33" i="28"/>
  <c r="AT33" i="28"/>
  <c r="AU33" i="28"/>
  <c r="AV33" i="28"/>
  <c r="AW33" i="28"/>
  <c r="AX33" i="28"/>
  <c r="AY33" i="28"/>
  <c r="D33" i="28"/>
  <c r="X924" i="4"/>
  <c r="X925" i="4"/>
  <c r="AL49" i="28" s="1"/>
  <c r="C4" i="44"/>
  <c r="C5" i="44"/>
  <c r="C6" i="44"/>
  <c r="C7" i="44"/>
  <c r="C8" i="44"/>
  <c r="C9" i="44"/>
  <c r="C10" i="44"/>
  <c r="C11" i="44"/>
  <c r="C12" i="44"/>
  <c r="C13" i="44"/>
  <c r="C14" i="44"/>
  <c r="C15" i="44"/>
  <c r="C16" i="44"/>
  <c r="C17" i="44"/>
  <c r="C18" i="44"/>
  <c r="C19" i="44"/>
  <c r="C20" i="44"/>
  <c r="C21" i="44"/>
  <c r="C22" i="44"/>
  <c r="C23" i="44"/>
  <c r="C24" i="44"/>
  <c r="C25" i="44"/>
  <c r="C26" i="44"/>
  <c r="C27" i="44"/>
  <c r="C28" i="44"/>
  <c r="C29" i="44"/>
  <c r="C30" i="44"/>
  <c r="C31" i="44"/>
  <c r="C32" i="44"/>
  <c r="C33" i="44"/>
  <c r="C34" i="44"/>
  <c r="C35" i="44"/>
  <c r="C36" i="44"/>
  <c r="C37" i="44"/>
  <c r="C38" i="44"/>
  <c r="C39" i="44"/>
  <c r="C40" i="44"/>
  <c r="C41" i="44"/>
  <c r="C42" i="44"/>
  <c r="C43" i="44"/>
  <c r="C44" i="44"/>
  <c r="C45" i="44"/>
  <c r="C46" i="44"/>
  <c r="C47" i="44"/>
  <c r="C48" i="44"/>
  <c r="C49" i="44"/>
  <c r="C50" i="44"/>
  <c r="C51" i="44"/>
  <c r="C52" i="44"/>
  <c r="C53" i="44"/>
  <c r="C54" i="44"/>
  <c r="C55" i="44"/>
  <c r="C56" i="44"/>
  <c r="C57" i="44"/>
  <c r="C58" i="44"/>
  <c r="C59" i="44"/>
  <c r="C60" i="44"/>
  <c r="C61" i="44"/>
  <c r="C62" i="44"/>
  <c r="C63" i="44"/>
  <c r="C64" i="44"/>
  <c r="C65" i="44"/>
  <c r="C66" i="44"/>
  <c r="C67" i="44"/>
  <c r="C68" i="44"/>
  <c r="C69" i="44"/>
  <c r="C70" i="44"/>
  <c r="C71" i="44"/>
  <c r="C72" i="44"/>
  <c r="C73" i="44"/>
  <c r="C74" i="44"/>
  <c r="C75" i="44"/>
  <c r="C76" i="44"/>
  <c r="C77" i="44"/>
  <c r="C78" i="44"/>
  <c r="C79" i="44"/>
  <c r="C80" i="44"/>
  <c r="C81" i="44"/>
  <c r="C82" i="44"/>
  <c r="C83" i="44"/>
  <c r="C84" i="44"/>
  <c r="C85" i="44"/>
  <c r="C86" i="44"/>
  <c r="C87" i="44"/>
  <c r="C88" i="44"/>
  <c r="C89" i="44"/>
  <c r="C90" i="44"/>
  <c r="C91" i="44"/>
  <c r="C92" i="44"/>
  <c r="C93" i="44"/>
  <c r="C94" i="44"/>
  <c r="C95" i="44"/>
  <c r="C96" i="44"/>
  <c r="C97" i="44"/>
  <c r="C98" i="44"/>
  <c r="C99" i="44"/>
  <c r="C100" i="44"/>
  <c r="C101" i="44"/>
  <c r="C102" i="44"/>
  <c r="C103" i="44"/>
  <c r="C104" i="44"/>
  <c r="C105" i="44"/>
  <c r="C106" i="44"/>
  <c r="C107" i="44"/>
  <c r="C108" i="44"/>
  <c r="C109" i="44"/>
  <c r="C110" i="44"/>
  <c r="C111" i="44"/>
  <c r="C112" i="44"/>
  <c r="C113" i="44"/>
  <c r="C114" i="44"/>
  <c r="C115" i="44"/>
  <c r="C116" i="44"/>
  <c r="C117" i="44"/>
  <c r="C118" i="44"/>
  <c r="C119" i="44"/>
  <c r="C120" i="44"/>
  <c r="C121" i="44"/>
  <c r="C122" i="44"/>
  <c r="C123" i="44"/>
  <c r="C124" i="44"/>
  <c r="C125" i="44"/>
  <c r="C126" i="44"/>
  <c r="C127" i="44"/>
  <c r="C128" i="44"/>
  <c r="C129" i="44"/>
  <c r="C130" i="44"/>
  <c r="C131" i="44"/>
  <c r="C132" i="44"/>
  <c r="C133" i="44"/>
  <c r="C134" i="44"/>
  <c r="C135" i="44"/>
  <c r="C136" i="44"/>
  <c r="C137" i="44"/>
  <c r="C138" i="44"/>
  <c r="C139" i="44"/>
  <c r="C140" i="44"/>
  <c r="C141" i="44"/>
  <c r="C142" i="44"/>
  <c r="C143" i="44"/>
  <c r="C144" i="44"/>
  <c r="C145" i="44"/>
  <c r="C146" i="44"/>
  <c r="C147" i="44"/>
  <c r="C148" i="44"/>
  <c r="C149" i="44"/>
  <c r="C150" i="44"/>
  <c r="C151" i="44"/>
  <c r="C152" i="44"/>
  <c r="C153" i="44"/>
  <c r="C154" i="44"/>
  <c r="C155" i="44"/>
  <c r="C156" i="44"/>
  <c r="C157" i="44"/>
  <c r="C158" i="44"/>
  <c r="C159" i="44"/>
  <c r="C160" i="44"/>
  <c r="C161" i="44"/>
  <c r="C162" i="44"/>
  <c r="C163" i="44"/>
  <c r="C164" i="44"/>
  <c r="C165" i="44"/>
  <c r="C166" i="44"/>
  <c r="C167" i="44"/>
  <c r="C168" i="44"/>
  <c r="C169" i="44"/>
  <c r="C170" i="44"/>
  <c r="C171" i="44"/>
  <c r="C172" i="44"/>
  <c r="C173" i="44"/>
  <c r="C174" i="44"/>
  <c r="C175" i="44"/>
  <c r="C176" i="44"/>
  <c r="C177" i="44"/>
  <c r="C178" i="44"/>
  <c r="C179" i="44"/>
  <c r="C180" i="44"/>
  <c r="C181" i="44"/>
  <c r="C182" i="44"/>
  <c r="C183" i="44"/>
  <c r="C184" i="44"/>
  <c r="C185" i="44"/>
  <c r="C186" i="44"/>
  <c r="C187" i="44"/>
  <c r="C188" i="44"/>
  <c r="C189" i="44"/>
  <c r="C190" i="44"/>
  <c r="C191" i="44"/>
  <c r="C192" i="44"/>
  <c r="C193" i="44"/>
  <c r="C194" i="44"/>
  <c r="C195" i="44"/>
  <c r="C196" i="44"/>
  <c r="C197" i="44"/>
  <c r="C198" i="44"/>
  <c r="C199" i="44"/>
  <c r="C200" i="44"/>
  <c r="C201" i="44"/>
  <c r="C202" i="44"/>
  <c r="C203" i="44"/>
  <c r="C204" i="44"/>
  <c r="C205" i="44"/>
  <c r="C206" i="44"/>
  <c r="C207" i="44"/>
  <c r="C208" i="44"/>
  <c r="C209" i="44"/>
  <c r="C210" i="44"/>
  <c r="C211" i="44"/>
  <c r="C212" i="44"/>
  <c r="C213" i="44"/>
  <c r="C214" i="44"/>
  <c r="C215" i="44"/>
  <c r="C216" i="44"/>
  <c r="C217" i="44"/>
  <c r="C218" i="44"/>
  <c r="C219" i="44"/>
  <c r="C220" i="44"/>
  <c r="C221" i="44"/>
  <c r="C222" i="44"/>
  <c r="C223" i="44"/>
  <c r="C224" i="44"/>
  <c r="C225" i="44"/>
  <c r="C226" i="44"/>
  <c r="C227" i="44"/>
  <c r="C228" i="44"/>
  <c r="C229" i="44"/>
  <c r="C230" i="44"/>
  <c r="C231" i="44"/>
  <c r="C232" i="44"/>
  <c r="C233" i="44"/>
  <c r="C234" i="44"/>
  <c r="C235" i="44"/>
  <c r="C236" i="44"/>
  <c r="C237" i="44"/>
  <c r="C238" i="44"/>
  <c r="C239" i="44"/>
  <c r="C240" i="44"/>
  <c r="C241" i="44"/>
  <c r="C242" i="44"/>
  <c r="C243" i="44"/>
  <c r="C244" i="44"/>
  <c r="C245" i="44"/>
  <c r="C246" i="44"/>
  <c r="C247" i="44"/>
  <c r="C248" i="44"/>
  <c r="C249" i="44"/>
  <c r="C250" i="44"/>
  <c r="C251" i="44"/>
  <c r="C252" i="44"/>
  <c r="C253" i="44"/>
  <c r="C254" i="44"/>
  <c r="C255" i="44"/>
  <c r="C256" i="44"/>
  <c r="C257" i="44"/>
  <c r="C258" i="44"/>
  <c r="C259" i="44"/>
  <c r="C260" i="44"/>
  <c r="C261" i="44"/>
  <c r="C262" i="44"/>
  <c r="C263" i="44"/>
  <c r="C264" i="44"/>
  <c r="C265" i="44"/>
  <c r="C266" i="44"/>
  <c r="C267" i="44"/>
  <c r="C268" i="44"/>
  <c r="C269" i="44"/>
  <c r="C270" i="44"/>
  <c r="C271" i="44"/>
  <c r="C272" i="44"/>
  <c r="C273" i="44"/>
  <c r="C274" i="44"/>
  <c r="C275" i="44"/>
  <c r="C276" i="44"/>
  <c r="C277" i="44"/>
  <c r="C278" i="44"/>
  <c r="C279" i="44"/>
  <c r="C280" i="44"/>
  <c r="C281" i="44"/>
  <c r="C282" i="44"/>
  <c r="C283" i="44"/>
  <c r="C284" i="44"/>
  <c r="C285" i="44"/>
  <c r="C286" i="44"/>
  <c r="C287" i="44"/>
  <c r="C288" i="44"/>
  <c r="C289" i="44"/>
  <c r="C290" i="44"/>
  <c r="C291" i="44"/>
  <c r="C292" i="44"/>
  <c r="C293" i="44"/>
  <c r="C294" i="44"/>
  <c r="C295" i="44"/>
  <c r="C296" i="44"/>
  <c r="C297" i="44"/>
  <c r="C298" i="44"/>
  <c r="C299" i="44"/>
  <c r="C300" i="44"/>
  <c r="C301" i="44"/>
  <c r="C302" i="44"/>
  <c r="C303" i="44"/>
  <c r="C304" i="44"/>
  <c r="C305" i="44"/>
  <c r="C306" i="44"/>
  <c r="C307" i="44"/>
  <c r="C308" i="44"/>
  <c r="C309" i="44"/>
  <c r="C313" i="44"/>
  <c r="C312" i="44"/>
  <c r="C311" i="44"/>
  <c r="C310" i="44"/>
  <c r="E312" i="44"/>
  <c r="E313" i="44"/>
  <c r="E220" i="44"/>
  <c r="E221" i="44"/>
  <c r="E222" i="44"/>
  <c r="E223" i="44"/>
  <c r="E224" i="44"/>
  <c r="E225" i="44"/>
  <c r="E226" i="44"/>
  <c r="E227" i="44"/>
  <c r="E228" i="44"/>
  <c r="E229" i="44"/>
  <c r="E230" i="44"/>
  <c r="E231" i="44"/>
  <c r="E232" i="44"/>
  <c r="E233" i="44"/>
  <c r="E234" i="44"/>
  <c r="E235" i="44"/>
  <c r="E236" i="44"/>
  <c r="E237" i="44"/>
  <c r="E238" i="44"/>
  <c r="E239" i="44"/>
  <c r="E240" i="44"/>
  <c r="E241" i="44"/>
  <c r="E242" i="44"/>
  <c r="E243" i="44"/>
  <c r="E244" i="44"/>
  <c r="E245" i="44"/>
  <c r="E246" i="44"/>
  <c r="E247" i="44"/>
  <c r="E248" i="44"/>
  <c r="E249" i="44"/>
  <c r="E250" i="44"/>
  <c r="E251" i="44"/>
  <c r="E252" i="44"/>
  <c r="E253" i="44"/>
  <c r="E254" i="44"/>
  <c r="E255" i="44"/>
  <c r="E256" i="44"/>
  <c r="E257" i="44"/>
  <c r="E258" i="44"/>
  <c r="E259" i="44"/>
  <c r="E260" i="44"/>
  <c r="E261" i="44"/>
  <c r="E262" i="44"/>
  <c r="E263" i="44"/>
  <c r="E264" i="44"/>
  <c r="E265" i="44"/>
  <c r="E266" i="44"/>
  <c r="E267" i="44"/>
  <c r="E268" i="44"/>
  <c r="E269" i="44"/>
  <c r="E270" i="44"/>
  <c r="E271" i="44"/>
  <c r="E272" i="44"/>
  <c r="E273" i="44"/>
  <c r="E274" i="44"/>
  <c r="E275" i="44"/>
  <c r="E276" i="44"/>
  <c r="E277" i="44"/>
  <c r="E278" i="44"/>
  <c r="E279" i="44"/>
  <c r="E280" i="44"/>
  <c r="E281" i="44"/>
  <c r="E282" i="44"/>
  <c r="E283" i="44"/>
  <c r="E284" i="44"/>
  <c r="E285" i="44"/>
  <c r="E286" i="44"/>
  <c r="E287" i="44"/>
  <c r="E288" i="44"/>
  <c r="E289" i="44"/>
  <c r="E290" i="44"/>
  <c r="E291" i="44"/>
  <c r="E292" i="44"/>
  <c r="E293" i="44"/>
  <c r="E294" i="44"/>
  <c r="E295" i="44"/>
  <c r="E296" i="44"/>
  <c r="E297" i="44"/>
  <c r="E298" i="44"/>
  <c r="E299" i="44"/>
  <c r="E300" i="44"/>
  <c r="E301" i="44"/>
  <c r="E302" i="44"/>
  <c r="E303" i="44"/>
  <c r="E304" i="44"/>
  <c r="E305" i="44"/>
  <c r="E306" i="44"/>
  <c r="E307" i="44"/>
  <c r="E308" i="44"/>
  <c r="E309" i="44"/>
  <c r="E310" i="44"/>
  <c r="E311" i="44"/>
  <c r="F223" i="44"/>
  <c r="F224" i="44"/>
  <c r="F225" i="44"/>
  <c r="F226" i="44"/>
  <c r="F227" i="44"/>
  <c r="F228" i="44"/>
  <c r="F229" i="44"/>
  <c r="F230" i="44"/>
  <c r="F231" i="44"/>
  <c r="F232" i="44"/>
  <c r="F233" i="44"/>
  <c r="F234" i="44"/>
  <c r="F235" i="44"/>
  <c r="F236" i="44"/>
  <c r="F237" i="44"/>
  <c r="F238" i="44"/>
  <c r="F239" i="44"/>
  <c r="F240" i="44"/>
  <c r="F241" i="44"/>
  <c r="F242" i="44"/>
  <c r="F243" i="44"/>
  <c r="F244" i="44"/>
  <c r="F245" i="44"/>
  <c r="F246" i="44"/>
  <c r="F247" i="44"/>
  <c r="F248" i="44"/>
  <c r="F249" i="44"/>
  <c r="F250" i="44"/>
  <c r="F251" i="44"/>
  <c r="F252" i="44"/>
  <c r="F253" i="44"/>
  <c r="F254" i="44"/>
  <c r="F255" i="44"/>
  <c r="F256" i="44"/>
  <c r="F257" i="44"/>
  <c r="F258" i="44"/>
  <c r="F259" i="44"/>
  <c r="F260" i="44"/>
  <c r="F261" i="44"/>
  <c r="F262" i="44"/>
  <c r="F263" i="44"/>
  <c r="F264" i="44"/>
  <c r="F265" i="44"/>
  <c r="F266" i="44"/>
  <c r="F267" i="44"/>
  <c r="F268" i="44"/>
  <c r="F269" i="44"/>
  <c r="F270" i="44"/>
  <c r="F271" i="44"/>
  <c r="F272" i="44"/>
  <c r="F273" i="44"/>
  <c r="F274" i="44"/>
  <c r="F275" i="44"/>
  <c r="F276" i="44"/>
  <c r="F277" i="44"/>
  <c r="F278" i="44"/>
  <c r="F279" i="44"/>
  <c r="F280" i="44"/>
  <c r="F281" i="44"/>
  <c r="F282" i="44"/>
  <c r="F283" i="44"/>
  <c r="F284" i="44"/>
  <c r="F285" i="44"/>
  <c r="F286" i="44"/>
  <c r="F287" i="44"/>
  <c r="F288" i="44"/>
  <c r="F289" i="44"/>
  <c r="F290" i="44"/>
  <c r="F291" i="44"/>
  <c r="F292" i="44"/>
  <c r="F293" i="44"/>
  <c r="F294" i="44"/>
  <c r="F295" i="44"/>
  <c r="F296" i="44"/>
  <c r="F297" i="44"/>
  <c r="F298" i="44"/>
  <c r="F299" i="44"/>
  <c r="F300" i="44"/>
  <c r="F301" i="44"/>
  <c r="F302" i="44"/>
  <c r="F303" i="44"/>
  <c r="F304" i="44"/>
  <c r="F305" i="44"/>
  <c r="F306" i="44"/>
  <c r="F307" i="44"/>
  <c r="F310" i="44"/>
  <c r="F311" i="44"/>
  <c r="F309" i="44"/>
  <c r="F308" i="44"/>
  <c r="P184" i="33"/>
  <c r="P185" i="33"/>
  <c r="P186" i="33"/>
  <c r="P187" i="33"/>
  <c r="P188" i="33"/>
  <c r="P189" i="33"/>
  <c r="P190" i="33"/>
  <c r="P191" i="33"/>
  <c r="P192" i="33"/>
  <c r="P193" i="33"/>
  <c r="P194" i="33"/>
  <c r="P195" i="33"/>
  <c r="P196" i="33"/>
  <c r="P197" i="33"/>
  <c r="P198" i="33"/>
  <c r="P199" i="33"/>
  <c r="P200" i="33"/>
  <c r="P201" i="33"/>
  <c r="P202" i="33"/>
  <c r="P203" i="33"/>
  <c r="P204" i="33"/>
  <c r="P205" i="33"/>
  <c r="P206" i="33"/>
  <c r="P207" i="33"/>
  <c r="P208" i="33"/>
  <c r="P209" i="33"/>
  <c r="P210" i="33"/>
  <c r="P211" i="33"/>
  <c r="P212" i="33"/>
  <c r="P213" i="33"/>
  <c r="P214" i="33"/>
  <c r="P215" i="33"/>
  <c r="P216" i="33"/>
  <c r="P217" i="33"/>
  <c r="P218" i="33"/>
  <c r="P219" i="33"/>
  <c r="P220" i="33"/>
  <c r="P221" i="33"/>
  <c r="P222" i="33"/>
  <c r="P223" i="33"/>
  <c r="P224" i="33"/>
  <c r="P225" i="33"/>
  <c r="P226" i="33"/>
  <c r="P227" i="33"/>
  <c r="P228" i="33"/>
  <c r="P229" i="33"/>
  <c r="P230" i="33"/>
  <c r="P231" i="33"/>
  <c r="P232" i="33"/>
  <c r="P233" i="33"/>
  <c r="P234" i="33"/>
  <c r="P235" i="33"/>
  <c r="P236" i="33"/>
  <c r="P237" i="33"/>
  <c r="P238" i="33"/>
  <c r="P239" i="33"/>
  <c r="P240" i="33"/>
  <c r="P241" i="33"/>
  <c r="P242" i="33"/>
  <c r="P243" i="33"/>
  <c r="P244" i="33"/>
  <c r="P245" i="33"/>
  <c r="P246" i="33"/>
  <c r="P247" i="33"/>
  <c r="P248" i="33"/>
  <c r="P249" i="33"/>
  <c r="P250" i="33"/>
  <c r="P251" i="33"/>
  <c r="P252" i="33"/>
  <c r="P253" i="33"/>
  <c r="P254" i="33"/>
  <c r="P255" i="33"/>
  <c r="P256" i="33"/>
  <c r="P257" i="33"/>
  <c r="P258" i="33"/>
  <c r="P259" i="33"/>
  <c r="P260" i="33"/>
  <c r="P261" i="33"/>
  <c r="P262" i="33"/>
  <c r="P263" i="33"/>
  <c r="P264" i="33"/>
  <c r="P265" i="33"/>
  <c r="P266" i="33"/>
  <c r="P267" i="33"/>
  <c r="P268" i="33"/>
  <c r="P269" i="33"/>
  <c r="P270" i="33"/>
  <c r="P271" i="33"/>
  <c r="P272" i="33"/>
  <c r="P273" i="33"/>
  <c r="P274" i="33"/>
  <c r="P275" i="33"/>
  <c r="P276" i="33"/>
  <c r="P277" i="33"/>
  <c r="P278" i="33"/>
  <c r="P279" i="33"/>
  <c r="P280" i="33"/>
  <c r="P281" i="33"/>
  <c r="P282" i="33"/>
  <c r="P283" i="33"/>
  <c r="P284" i="33"/>
  <c r="P285" i="33"/>
  <c r="P286" i="33"/>
  <c r="P287" i="33"/>
  <c r="P288" i="33"/>
  <c r="P289" i="33"/>
  <c r="P290" i="33"/>
  <c r="P291" i="33"/>
  <c r="P292" i="33"/>
  <c r="P293" i="33"/>
  <c r="P294" i="33"/>
  <c r="P295" i="33"/>
  <c r="P296" i="33"/>
  <c r="P297" i="33"/>
  <c r="P298" i="33"/>
  <c r="P299" i="33"/>
  <c r="P300" i="33"/>
  <c r="P301" i="33"/>
  <c r="P302" i="33"/>
  <c r="P303" i="33"/>
  <c r="P304" i="33"/>
  <c r="P305" i="33"/>
  <c r="P306" i="33"/>
  <c r="P307" i="33"/>
  <c r="P308" i="33"/>
  <c r="P309" i="33"/>
  <c r="P310" i="33"/>
  <c r="P311" i="33"/>
  <c r="P312" i="33"/>
  <c r="P313" i="33"/>
  <c r="P314" i="33"/>
  <c r="P315" i="33"/>
  <c r="P316" i="33"/>
  <c r="P317" i="33"/>
  <c r="P318" i="33"/>
  <c r="P319" i="33"/>
  <c r="P320" i="33"/>
  <c r="P321" i="33"/>
  <c r="P322" i="33"/>
  <c r="P323" i="33"/>
  <c r="P324" i="33"/>
  <c r="P325" i="33"/>
  <c r="P326" i="33"/>
  <c r="P327" i="33"/>
  <c r="P328" i="33"/>
  <c r="P329" i="33"/>
  <c r="P330" i="33"/>
  <c r="P331" i="33"/>
  <c r="P332" i="33"/>
  <c r="P333" i="33"/>
  <c r="P334" i="33"/>
  <c r="P335" i="33"/>
  <c r="P336" i="33"/>
  <c r="P337" i="33"/>
  <c r="P338" i="33"/>
  <c r="P339" i="33"/>
  <c r="P340" i="33"/>
  <c r="P341" i="33"/>
  <c r="P342" i="33"/>
  <c r="P343" i="33"/>
  <c r="P344" i="33"/>
  <c r="P345" i="33"/>
  <c r="P346" i="33"/>
  <c r="P347" i="33"/>
  <c r="P348" i="33"/>
  <c r="P349" i="33"/>
  <c r="P350" i="33"/>
  <c r="P351" i="33"/>
  <c r="P352" i="33"/>
  <c r="P353" i="33"/>
  <c r="P354" i="33"/>
  <c r="P355" i="33"/>
  <c r="P356" i="33"/>
  <c r="P357" i="33"/>
  <c r="P358" i="33"/>
  <c r="P359" i="33"/>
  <c r="P360" i="33"/>
  <c r="P361" i="33"/>
  <c r="P362" i="33"/>
  <c r="P363" i="33"/>
  <c r="P364" i="33"/>
  <c r="P365" i="33"/>
  <c r="P366" i="33"/>
  <c r="P367" i="33"/>
  <c r="P368" i="33"/>
  <c r="P369" i="33"/>
  <c r="P370" i="33"/>
  <c r="P371" i="33"/>
  <c r="P372" i="33"/>
  <c r="P373" i="33"/>
  <c r="P374" i="33"/>
  <c r="P375" i="33"/>
  <c r="P376" i="33"/>
  <c r="P377" i="33"/>
  <c r="P378" i="33"/>
  <c r="P379" i="33"/>
  <c r="P380" i="33"/>
  <c r="P381" i="33"/>
  <c r="P382" i="33"/>
  <c r="P383" i="33"/>
  <c r="P384" i="33"/>
  <c r="P385" i="33"/>
  <c r="P386" i="33"/>
  <c r="P387" i="33"/>
  <c r="P388" i="33"/>
  <c r="P389" i="33"/>
  <c r="P390" i="33"/>
  <c r="P391" i="33"/>
  <c r="P392" i="33"/>
  <c r="P393" i="33"/>
  <c r="P394" i="33"/>
  <c r="P395" i="33"/>
  <c r="P396" i="33"/>
  <c r="P397" i="33"/>
  <c r="P398" i="33"/>
  <c r="P399" i="33"/>
  <c r="P400" i="33"/>
  <c r="P401" i="33"/>
  <c r="P402" i="33"/>
  <c r="P403" i="33"/>
  <c r="P404" i="33"/>
  <c r="P405" i="33"/>
  <c r="P406" i="33"/>
  <c r="P407" i="33"/>
  <c r="P408" i="33"/>
  <c r="P409" i="33"/>
  <c r="P410" i="33"/>
  <c r="P411" i="33"/>
  <c r="P412" i="33"/>
  <c r="P413" i="33"/>
  <c r="P414" i="33"/>
  <c r="P415" i="33"/>
  <c r="P416" i="33"/>
  <c r="P417" i="33"/>
  <c r="P418" i="33"/>
  <c r="P419" i="33"/>
  <c r="P420" i="33"/>
  <c r="P421" i="33"/>
  <c r="P422" i="33"/>
  <c r="P423" i="33"/>
  <c r="P424" i="33"/>
  <c r="P425" i="33"/>
  <c r="P426" i="33"/>
  <c r="P427" i="33"/>
  <c r="P428" i="33"/>
  <c r="P429" i="33"/>
  <c r="P430" i="33"/>
  <c r="P431" i="33"/>
  <c r="P432" i="33"/>
  <c r="P433" i="33"/>
  <c r="P434" i="33"/>
  <c r="P435" i="33"/>
  <c r="P436" i="33"/>
  <c r="P437" i="33"/>
  <c r="P438" i="33"/>
  <c r="P439" i="33"/>
  <c r="P440" i="33"/>
  <c r="P441" i="33"/>
  <c r="P442" i="33"/>
  <c r="P443" i="33"/>
  <c r="P444" i="33"/>
  <c r="P445" i="33"/>
  <c r="P446" i="33"/>
  <c r="P447" i="33"/>
  <c r="P448" i="33"/>
  <c r="P449" i="33"/>
  <c r="P450" i="33"/>
  <c r="P451" i="33"/>
  <c r="P452" i="33"/>
  <c r="P453" i="33"/>
  <c r="P454" i="33"/>
  <c r="P455" i="33"/>
  <c r="P456" i="33"/>
  <c r="P457" i="33"/>
  <c r="P458" i="33"/>
  <c r="P459" i="33"/>
  <c r="P460" i="33"/>
  <c r="P461" i="33"/>
  <c r="P462" i="33"/>
  <c r="P463" i="33"/>
  <c r="P464" i="33"/>
  <c r="P465" i="33"/>
  <c r="P466" i="33"/>
  <c r="P467" i="33"/>
  <c r="P468" i="33"/>
  <c r="P469" i="33"/>
  <c r="P470" i="33"/>
  <c r="P471" i="33"/>
  <c r="P472" i="33"/>
  <c r="P473" i="33"/>
  <c r="P474" i="33"/>
  <c r="P475" i="33"/>
  <c r="P476" i="33"/>
  <c r="P477" i="33"/>
  <c r="P478" i="33"/>
  <c r="P479" i="33"/>
  <c r="P480" i="33"/>
  <c r="P481" i="33"/>
  <c r="P482" i="33"/>
  <c r="P483" i="33"/>
  <c r="P484" i="33"/>
  <c r="P485" i="33"/>
  <c r="P486" i="33"/>
  <c r="P487" i="33"/>
  <c r="P488" i="33"/>
  <c r="P489" i="33"/>
  <c r="P490" i="33"/>
  <c r="P491" i="33"/>
  <c r="P492" i="33"/>
  <c r="P493" i="33"/>
  <c r="P494" i="33"/>
  <c r="P495" i="33"/>
  <c r="P496" i="33"/>
  <c r="P497" i="33"/>
  <c r="P498" i="33"/>
  <c r="P499" i="33"/>
  <c r="P500" i="33"/>
  <c r="P501" i="33"/>
  <c r="P502" i="33"/>
  <c r="P503" i="33"/>
  <c r="P504" i="33"/>
  <c r="P505" i="33"/>
  <c r="P506" i="33"/>
  <c r="P507" i="33"/>
  <c r="P508" i="33"/>
  <c r="P509" i="33"/>
  <c r="P510" i="33"/>
  <c r="P511" i="33"/>
  <c r="P512" i="33"/>
  <c r="P513" i="33"/>
  <c r="P514" i="33"/>
  <c r="P515" i="33"/>
  <c r="P516" i="33"/>
  <c r="P517" i="33"/>
  <c r="P518" i="33"/>
  <c r="P519" i="33"/>
  <c r="P520" i="33"/>
  <c r="P521" i="33"/>
  <c r="P522" i="33"/>
  <c r="P523" i="33"/>
  <c r="P524" i="33"/>
  <c r="P525" i="33"/>
  <c r="P526" i="33"/>
  <c r="P527" i="33"/>
  <c r="P528" i="33"/>
  <c r="P529" i="33"/>
  <c r="P530" i="33"/>
  <c r="P531" i="33"/>
  <c r="P532" i="33"/>
  <c r="P533" i="33"/>
  <c r="P534" i="33"/>
  <c r="P535" i="33"/>
  <c r="P536" i="33"/>
  <c r="P537" i="33"/>
  <c r="P538" i="33"/>
  <c r="P539" i="33"/>
  <c r="P540" i="33"/>
  <c r="P541" i="33"/>
  <c r="P542" i="33"/>
  <c r="P543" i="33"/>
  <c r="P544" i="33"/>
  <c r="P545" i="33"/>
  <c r="P546" i="33"/>
  <c r="P547" i="33"/>
  <c r="P548" i="33"/>
  <c r="P549" i="33"/>
  <c r="P550" i="33"/>
  <c r="P551" i="33"/>
  <c r="AJ32" i="28" s="1"/>
  <c r="P552" i="33"/>
  <c r="P553" i="33"/>
  <c r="P554" i="33"/>
  <c r="P555" i="33"/>
  <c r="P556" i="33"/>
  <c r="P557" i="33"/>
  <c r="P558" i="33"/>
  <c r="P559" i="33"/>
  <c r="P560" i="33"/>
  <c r="P561" i="33"/>
  <c r="P562" i="33"/>
  <c r="P563" i="33"/>
  <c r="P564" i="33"/>
  <c r="P565" i="33"/>
  <c r="AX32" i="28" s="1"/>
  <c r="P566" i="33"/>
  <c r="AY32" i="28" s="1"/>
  <c r="P183" i="33"/>
  <c r="O172" i="33"/>
  <c r="O173" i="33"/>
  <c r="O174" i="33"/>
  <c r="O175" i="33"/>
  <c r="O176" i="33"/>
  <c r="O177" i="33"/>
  <c r="O178" i="33"/>
  <c r="O179" i="33"/>
  <c r="O180" i="33"/>
  <c r="O181" i="33"/>
  <c r="O182" i="33"/>
  <c r="O183" i="33"/>
  <c r="O184" i="33"/>
  <c r="O185" i="33"/>
  <c r="O186" i="33"/>
  <c r="O187" i="33"/>
  <c r="O188" i="33"/>
  <c r="O189" i="33"/>
  <c r="O190" i="33"/>
  <c r="O191" i="33"/>
  <c r="O192" i="33"/>
  <c r="O193" i="33"/>
  <c r="O194" i="33"/>
  <c r="O195" i="33"/>
  <c r="O196" i="33"/>
  <c r="O197" i="33"/>
  <c r="O198" i="33"/>
  <c r="O199" i="33"/>
  <c r="O200" i="33"/>
  <c r="O201" i="33"/>
  <c r="O202" i="33"/>
  <c r="O203" i="33"/>
  <c r="O204" i="33"/>
  <c r="O205" i="33"/>
  <c r="O206" i="33"/>
  <c r="O207" i="33"/>
  <c r="O208" i="33"/>
  <c r="O209" i="33"/>
  <c r="O210" i="33"/>
  <c r="O211" i="33"/>
  <c r="O212" i="33"/>
  <c r="O213" i="33"/>
  <c r="O214" i="33"/>
  <c r="O215" i="33"/>
  <c r="O216" i="33"/>
  <c r="O217" i="33"/>
  <c r="O218" i="33"/>
  <c r="O219" i="33"/>
  <c r="O220" i="33"/>
  <c r="O221" i="33"/>
  <c r="O222" i="33"/>
  <c r="O223" i="33"/>
  <c r="O224" i="33"/>
  <c r="O225" i="33"/>
  <c r="O226" i="33"/>
  <c r="O227" i="33"/>
  <c r="O228" i="33"/>
  <c r="O229" i="33"/>
  <c r="O230" i="33"/>
  <c r="O231" i="33"/>
  <c r="O232" i="33"/>
  <c r="O233" i="33"/>
  <c r="O234" i="33"/>
  <c r="O235" i="33"/>
  <c r="O236" i="33"/>
  <c r="O237" i="33"/>
  <c r="O238" i="33"/>
  <c r="O239" i="33"/>
  <c r="O240" i="33"/>
  <c r="O241" i="33"/>
  <c r="O242" i="33"/>
  <c r="O243" i="33"/>
  <c r="O244" i="33"/>
  <c r="O245" i="33"/>
  <c r="O246" i="33"/>
  <c r="O247" i="33"/>
  <c r="O248" i="33"/>
  <c r="O249" i="33"/>
  <c r="O250" i="33"/>
  <c r="O251" i="33"/>
  <c r="O252" i="33"/>
  <c r="O253" i="33"/>
  <c r="O254" i="33"/>
  <c r="O255" i="33"/>
  <c r="O256" i="33"/>
  <c r="O257" i="33"/>
  <c r="O258" i="33"/>
  <c r="O259" i="33"/>
  <c r="O260" i="33"/>
  <c r="O261" i="33"/>
  <c r="O262" i="33"/>
  <c r="O263" i="33"/>
  <c r="O264" i="33"/>
  <c r="O265" i="33"/>
  <c r="O266" i="33"/>
  <c r="O267" i="33"/>
  <c r="O268" i="33"/>
  <c r="O269" i="33"/>
  <c r="O270" i="33"/>
  <c r="O271" i="33"/>
  <c r="O272" i="33"/>
  <c r="O273" i="33"/>
  <c r="O274" i="33"/>
  <c r="O275" i="33"/>
  <c r="O276" i="33"/>
  <c r="O277" i="33"/>
  <c r="O278" i="33"/>
  <c r="O279" i="33"/>
  <c r="O280" i="33"/>
  <c r="O281" i="33"/>
  <c r="O282" i="33"/>
  <c r="O283" i="33"/>
  <c r="O284" i="33"/>
  <c r="O285" i="33"/>
  <c r="O286" i="33"/>
  <c r="O287" i="33"/>
  <c r="O288" i="33"/>
  <c r="O289" i="33"/>
  <c r="O290" i="33"/>
  <c r="O291" i="33"/>
  <c r="O292" i="33"/>
  <c r="O293" i="33"/>
  <c r="O294" i="33"/>
  <c r="O295" i="33"/>
  <c r="O296" i="33"/>
  <c r="O297" i="33"/>
  <c r="O298" i="33"/>
  <c r="O299" i="33"/>
  <c r="O300" i="33"/>
  <c r="O301" i="33"/>
  <c r="O302" i="33"/>
  <c r="O303" i="33"/>
  <c r="O304" i="33"/>
  <c r="O305" i="33"/>
  <c r="O306" i="33"/>
  <c r="O307" i="33"/>
  <c r="O308" i="33"/>
  <c r="O309" i="33"/>
  <c r="O310" i="33"/>
  <c r="O311" i="33"/>
  <c r="O312" i="33"/>
  <c r="O313" i="33"/>
  <c r="O314" i="33"/>
  <c r="O315" i="33"/>
  <c r="O316" i="33"/>
  <c r="O317" i="33"/>
  <c r="O318" i="33"/>
  <c r="O319" i="33"/>
  <c r="O320" i="33"/>
  <c r="O321" i="33"/>
  <c r="O322" i="33"/>
  <c r="O323" i="33"/>
  <c r="O324" i="33"/>
  <c r="O325" i="33"/>
  <c r="O326" i="33"/>
  <c r="O327" i="33"/>
  <c r="O328" i="33"/>
  <c r="O329" i="33"/>
  <c r="O330" i="33"/>
  <c r="O331" i="33"/>
  <c r="O332" i="33"/>
  <c r="O333" i="33"/>
  <c r="O334" i="33"/>
  <c r="O335" i="33"/>
  <c r="O336" i="33"/>
  <c r="O337" i="33"/>
  <c r="O338" i="33"/>
  <c r="O339" i="33"/>
  <c r="O340" i="33"/>
  <c r="O341" i="33"/>
  <c r="O342" i="33"/>
  <c r="O343" i="33"/>
  <c r="O344" i="33"/>
  <c r="O345" i="33"/>
  <c r="O346" i="33"/>
  <c r="O347" i="33"/>
  <c r="O348" i="33"/>
  <c r="O349" i="33"/>
  <c r="O350" i="33"/>
  <c r="O351" i="33"/>
  <c r="O352" i="33"/>
  <c r="O353" i="33"/>
  <c r="O354" i="33"/>
  <c r="O355" i="33"/>
  <c r="O356" i="33"/>
  <c r="O357" i="33"/>
  <c r="O358" i="33"/>
  <c r="O359" i="33"/>
  <c r="O360" i="33"/>
  <c r="O361" i="33"/>
  <c r="O362" i="33"/>
  <c r="O363" i="33"/>
  <c r="O364" i="33"/>
  <c r="O365" i="33"/>
  <c r="O366" i="33"/>
  <c r="O367" i="33"/>
  <c r="O368" i="33"/>
  <c r="O369" i="33"/>
  <c r="O370" i="33"/>
  <c r="O371" i="33"/>
  <c r="O372" i="33"/>
  <c r="O373" i="33"/>
  <c r="O374" i="33"/>
  <c r="O375" i="33"/>
  <c r="O376" i="33"/>
  <c r="O377" i="33"/>
  <c r="O378" i="33"/>
  <c r="O379" i="33"/>
  <c r="O380" i="33"/>
  <c r="O381" i="33"/>
  <c r="O382" i="33"/>
  <c r="O383" i="33"/>
  <c r="O384" i="33"/>
  <c r="O385" i="33"/>
  <c r="O386" i="33"/>
  <c r="O387" i="33"/>
  <c r="O388" i="33"/>
  <c r="O389" i="33"/>
  <c r="O390" i="33"/>
  <c r="O391" i="33"/>
  <c r="O392" i="33"/>
  <c r="O393" i="33"/>
  <c r="O394" i="33"/>
  <c r="O395" i="33"/>
  <c r="O396" i="33"/>
  <c r="O397" i="33"/>
  <c r="O398" i="33"/>
  <c r="O399" i="33"/>
  <c r="O400" i="33"/>
  <c r="O401" i="33"/>
  <c r="O402" i="33"/>
  <c r="O403" i="33"/>
  <c r="O404" i="33"/>
  <c r="O405" i="33"/>
  <c r="O406" i="33"/>
  <c r="O407" i="33"/>
  <c r="O408" i="33"/>
  <c r="O409" i="33"/>
  <c r="O410" i="33"/>
  <c r="O411" i="33"/>
  <c r="O412" i="33"/>
  <c r="O413" i="33"/>
  <c r="O414" i="33"/>
  <c r="O415" i="33"/>
  <c r="O416" i="33"/>
  <c r="O417" i="33"/>
  <c r="O418" i="33"/>
  <c r="O419" i="33"/>
  <c r="O420" i="33"/>
  <c r="O421" i="33"/>
  <c r="O422" i="33"/>
  <c r="O423" i="33"/>
  <c r="O424" i="33"/>
  <c r="O425" i="33"/>
  <c r="O426" i="33"/>
  <c r="O427" i="33"/>
  <c r="O428" i="33"/>
  <c r="O429" i="33"/>
  <c r="O430" i="33"/>
  <c r="O431" i="33"/>
  <c r="O432" i="33"/>
  <c r="O433" i="33"/>
  <c r="O434" i="33"/>
  <c r="O435" i="33"/>
  <c r="O436" i="33"/>
  <c r="O437" i="33"/>
  <c r="O438" i="33"/>
  <c r="O439" i="33"/>
  <c r="O440" i="33"/>
  <c r="O441" i="33"/>
  <c r="O442" i="33"/>
  <c r="O443" i="33"/>
  <c r="O444" i="33"/>
  <c r="O445" i="33"/>
  <c r="O446" i="33"/>
  <c r="O447" i="33"/>
  <c r="O448" i="33"/>
  <c r="O449" i="33"/>
  <c r="O450" i="33"/>
  <c r="O451" i="33"/>
  <c r="O452" i="33"/>
  <c r="O453" i="33"/>
  <c r="O454" i="33"/>
  <c r="O455" i="33"/>
  <c r="O456" i="33"/>
  <c r="O457" i="33"/>
  <c r="O458" i="33"/>
  <c r="O459" i="33"/>
  <c r="O460" i="33"/>
  <c r="O461" i="33"/>
  <c r="O462" i="33"/>
  <c r="O463" i="33"/>
  <c r="O464" i="33"/>
  <c r="O465" i="33"/>
  <c r="O466" i="33"/>
  <c r="O467" i="33"/>
  <c r="O468" i="33"/>
  <c r="O469" i="33"/>
  <c r="O470" i="33"/>
  <c r="O471" i="33"/>
  <c r="O472" i="33"/>
  <c r="O473" i="33"/>
  <c r="O474" i="33"/>
  <c r="O475" i="33"/>
  <c r="O476" i="33"/>
  <c r="O477" i="33"/>
  <c r="O478" i="33"/>
  <c r="O479" i="33"/>
  <c r="O480" i="33"/>
  <c r="O481" i="33"/>
  <c r="O482" i="33"/>
  <c r="O483" i="33"/>
  <c r="O484" i="33"/>
  <c r="O485" i="33"/>
  <c r="O486" i="33"/>
  <c r="O487" i="33"/>
  <c r="O488" i="33"/>
  <c r="O489" i="33"/>
  <c r="O490" i="33"/>
  <c r="O491" i="33"/>
  <c r="O492" i="33"/>
  <c r="O493" i="33"/>
  <c r="O494" i="33"/>
  <c r="O495" i="33"/>
  <c r="O496" i="33"/>
  <c r="O497" i="33"/>
  <c r="O498" i="33"/>
  <c r="O499" i="33"/>
  <c r="O500" i="33"/>
  <c r="O501" i="33"/>
  <c r="O502" i="33"/>
  <c r="O503" i="33"/>
  <c r="O504" i="33"/>
  <c r="O505" i="33"/>
  <c r="O506" i="33"/>
  <c r="O507" i="33"/>
  <c r="O508" i="33"/>
  <c r="O509" i="33"/>
  <c r="O510" i="33"/>
  <c r="O511" i="33"/>
  <c r="O512" i="33"/>
  <c r="O513" i="33"/>
  <c r="O514" i="33"/>
  <c r="O515" i="33"/>
  <c r="O516" i="33"/>
  <c r="O517" i="33"/>
  <c r="O518" i="33"/>
  <c r="O519" i="33"/>
  <c r="O520" i="33"/>
  <c r="O521" i="33"/>
  <c r="O522" i="33"/>
  <c r="O523" i="33"/>
  <c r="O524" i="33"/>
  <c r="O525" i="33"/>
  <c r="O526" i="33"/>
  <c r="O527" i="33"/>
  <c r="O528" i="33"/>
  <c r="O529" i="33"/>
  <c r="O530" i="33"/>
  <c r="O531" i="33"/>
  <c r="O532" i="33"/>
  <c r="O533" i="33"/>
  <c r="O534" i="33"/>
  <c r="O535" i="33"/>
  <c r="O536" i="33"/>
  <c r="O537" i="33"/>
  <c r="O538" i="33"/>
  <c r="O539" i="33"/>
  <c r="O540" i="33"/>
  <c r="O541" i="33"/>
  <c r="O542" i="33"/>
  <c r="O543" i="33"/>
  <c r="O544" i="33"/>
  <c r="O545" i="33"/>
  <c r="O546" i="33"/>
  <c r="O547" i="33"/>
  <c r="AF27" i="28" s="1"/>
  <c r="O548" i="33"/>
  <c r="AG27" i="28" s="1"/>
  <c r="O549" i="33"/>
  <c r="O550" i="33"/>
  <c r="AI27" i="28" s="1"/>
  <c r="O551" i="33"/>
  <c r="O552" i="33"/>
  <c r="O553" i="33"/>
  <c r="AL27" i="28" s="1"/>
  <c r="O554" i="33"/>
  <c r="AM27" i="28" s="1"/>
  <c r="O555" i="33"/>
  <c r="O556" i="33"/>
  <c r="O557" i="33"/>
  <c r="AP27" i="28" s="1"/>
  <c r="O558" i="33"/>
  <c r="AQ27" i="28" s="1"/>
  <c r="O559" i="33"/>
  <c r="AR27" i="28" s="1"/>
  <c r="O560" i="33"/>
  <c r="AS27" i="28" s="1"/>
  <c r="O561" i="33"/>
  <c r="AT27" i="28" s="1"/>
  <c r="O562" i="33"/>
  <c r="AU27" i="28" s="1"/>
  <c r="O563" i="33"/>
  <c r="AV27" i="28" s="1"/>
  <c r="O564" i="33"/>
  <c r="AW27" i="28" s="1"/>
  <c r="O565" i="33"/>
  <c r="AX27" i="28" s="1"/>
  <c r="O566" i="33"/>
  <c r="AY27" i="28" s="1"/>
  <c r="AT46" i="28"/>
  <c r="AD61" i="28"/>
  <c r="AE61" i="28"/>
  <c r="AF61" i="28"/>
  <c r="AG61" i="28"/>
  <c r="AH61" i="28"/>
  <c r="AI61" i="28"/>
  <c r="AJ61" i="28"/>
  <c r="AK61" i="28"/>
  <c r="AL61" i="28"/>
  <c r="AM61" i="28"/>
  <c r="AN61" i="28"/>
  <c r="AO61" i="28"/>
  <c r="AP61" i="28"/>
  <c r="AQ61" i="28"/>
  <c r="AR61" i="28"/>
  <c r="AS61" i="28"/>
  <c r="AT61" i="28"/>
  <c r="AU61" i="28"/>
  <c r="AV61" i="28"/>
  <c r="AW61" i="28"/>
  <c r="AX61" i="28"/>
  <c r="AY61" i="28"/>
  <c r="AD45" i="28"/>
  <c r="AE45" i="28"/>
  <c r="AF45" i="28"/>
  <c r="AG45" i="28"/>
  <c r="AH45" i="28"/>
  <c r="AI45" i="28"/>
  <c r="AJ45" i="28"/>
  <c r="AK45" i="28"/>
  <c r="AL45" i="28"/>
  <c r="AM45" i="28"/>
  <c r="AN45" i="28"/>
  <c r="AO45" i="28"/>
  <c r="AP45" i="28"/>
  <c r="AQ45" i="28"/>
  <c r="AR45" i="28"/>
  <c r="AS45" i="28"/>
  <c r="AT45" i="28"/>
  <c r="AU45" i="28"/>
  <c r="AV45" i="28"/>
  <c r="AW45" i="28"/>
  <c r="AX45" i="28"/>
  <c r="AY45" i="28"/>
  <c r="AD56" i="28"/>
  <c r="AE56" i="28"/>
  <c r="AF56" i="28"/>
  <c r="AG56" i="28"/>
  <c r="AH56" i="28"/>
  <c r="AI56" i="28"/>
  <c r="AJ56" i="28"/>
  <c r="AK56" i="28"/>
  <c r="AL56" i="28"/>
  <c r="AM56" i="28"/>
  <c r="AN56" i="28"/>
  <c r="AO56" i="28"/>
  <c r="AP56" i="28"/>
  <c r="AQ56" i="28"/>
  <c r="AR56" i="28"/>
  <c r="AS56" i="28"/>
  <c r="AT56" i="28"/>
  <c r="AU56" i="28"/>
  <c r="AV56" i="28"/>
  <c r="AW56" i="28"/>
  <c r="AX56" i="28"/>
  <c r="AY56" i="28"/>
  <c r="AD57" i="28"/>
  <c r="AE57" i="28"/>
  <c r="AF57" i="28"/>
  <c r="AG57" i="28"/>
  <c r="AH57" i="28"/>
  <c r="AI57" i="28"/>
  <c r="AJ57" i="28"/>
  <c r="AK57" i="28"/>
  <c r="AL57" i="28"/>
  <c r="AM57" i="28"/>
  <c r="AN57" i="28"/>
  <c r="AO57" i="28"/>
  <c r="AP57" i="28"/>
  <c r="AQ57" i="28"/>
  <c r="AR57" i="28"/>
  <c r="AS57" i="28"/>
  <c r="AT57" i="28"/>
  <c r="AU57" i="28"/>
  <c r="AV57" i="28"/>
  <c r="AW57" i="28"/>
  <c r="AX57" i="28"/>
  <c r="AY57" i="28"/>
  <c r="AD58" i="28"/>
  <c r="AE58" i="28"/>
  <c r="AF58" i="28"/>
  <c r="AG58" i="28"/>
  <c r="AH58" i="28"/>
  <c r="AI58" i="28"/>
  <c r="AJ58" i="28"/>
  <c r="AK58" i="28"/>
  <c r="AL58" i="28"/>
  <c r="AM58" i="28"/>
  <c r="AN58" i="28"/>
  <c r="AO58" i="28"/>
  <c r="AP58" i="28"/>
  <c r="AQ58" i="28"/>
  <c r="AR58" i="28"/>
  <c r="AS58" i="28"/>
  <c r="AT58" i="28"/>
  <c r="AU58" i="28"/>
  <c r="AV58" i="28"/>
  <c r="AW58" i="28"/>
  <c r="AX58" i="28"/>
  <c r="AY58" i="28"/>
  <c r="AT59" i="28"/>
  <c r="AD35" i="28"/>
  <c r="AE35" i="28"/>
  <c r="AF35" i="28"/>
  <c r="AG35" i="28"/>
  <c r="AH35" i="28"/>
  <c r="AI35" i="28"/>
  <c r="AJ35" i="28"/>
  <c r="AK35" i="28"/>
  <c r="AL35" i="28"/>
  <c r="AM35" i="28"/>
  <c r="AN35" i="28"/>
  <c r="AO35" i="28"/>
  <c r="AP35" i="28"/>
  <c r="AQ35" i="28"/>
  <c r="AR35" i="28"/>
  <c r="AS35" i="28"/>
  <c r="AT35" i="28"/>
  <c r="AU35" i="28"/>
  <c r="AV35" i="28"/>
  <c r="AW35" i="28"/>
  <c r="AX35" i="28"/>
  <c r="AY35" i="28"/>
  <c r="AR36" i="28"/>
  <c r="AX36" i="28"/>
  <c r="AD37" i="28"/>
  <c r="AE37" i="28"/>
  <c r="AF37" i="28"/>
  <c r="AG37" i="28"/>
  <c r="AH37" i="28"/>
  <c r="AI37" i="28"/>
  <c r="AJ37" i="28"/>
  <c r="AK37" i="28"/>
  <c r="AL37" i="28"/>
  <c r="AM37" i="28"/>
  <c r="AN37" i="28"/>
  <c r="AO37" i="28"/>
  <c r="AP37" i="28"/>
  <c r="AQ37" i="28"/>
  <c r="AR37" i="28"/>
  <c r="AS37" i="28"/>
  <c r="AT37" i="28"/>
  <c r="AU37" i="28"/>
  <c r="AV37" i="28"/>
  <c r="AW37" i="28"/>
  <c r="AX37" i="28"/>
  <c r="AY37" i="28"/>
  <c r="AD38" i="28"/>
  <c r="AE38" i="28"/>
  <c r="AF38" i="28"/>
  <c r="AG38" i="28"/>
  <c r="AH38" i="28"/>
  <c r="AI38" i="28"/>
  <c r="AJ38" i="28"/>
  <c r="AK38" i="28"/>
  <c r="AL38" i="28"/>
  <c r="AM38" i="28"/>
  <c r="AN38" i="28"/>
  <c r="AO38" i="28"/>
  <c r="AP38" i="28"/>
  <c r="AQ38" i="28"/>
  <c r="AR38" i="28"/>
  <c r="AS38" i="28"/>
  <c r="AT38" i="28"/>
  <c r="AU38" i="28"/>
  <c r="AV38" i="28"/>
  <c r="AW38" i="28"/>
  <c r="AX38" i="28"/>
  <c r="AY38" i="28"/>
  <c r="AD39" i="28"/>
  <c r="AE39" i="28"/>
  <c r="AF39" i="28"/>
  <c r="AG39" i="28"/>
  <c r="AH39" i="28"/>
  <c r="AI39" i="28"/>
  <c r="AJ39" i="28"/>
  <c r="AK39" i="28"/>
  <c r="AL39" i="28"/>
  <c r="AM39" i="28"/>
  <c r="AN39" i="28"/>
  <c r="AO39" i="28"/>
  <c r="AP39" i="28"/>
  <c r="AQ39" i="28"/>
  <c r="AR39" i="28"/>
  <c r="AS39" i="28"/>
  <c r="AT39" i="28"/>
  <c r="AU39" i="28"/>
  <c r="AV39" i="28"/>
  <c r="AW39" i="28"/>
  <c r="AX39" i="28"/>
  <c r="AY39" i="28"/>
  <c r="AN40" i="28"/>
  <c r="AO40" i="28"/>
  <c r="AT40" i="28"/>
  <c r="AU40" i="28"/>
  <c r="AR42" i="28"/>
  <c r="AS42" i="28"/>
  <c r="AX42" i="28"/>
  <c r="AY42" i="28"/>
  <c r="AD43" i="28"/>
  <c r="AE43" i="28"/>
  <c r="AF43" i="28"/>
  <c r="AG43" i="28"/>
  <c r="AH43" i="28"/>
  <c r="AI43" i="28"/>
  <c r="AJ43" i="28"/>
  <c r="AK43" i="28"/>
  <c r="AL43" i="28"/>
  <c r="AM43" i="28"/>
  <c r="AN43" i="28"/>
  <c r="AO43" i="28"/>
  <c r="AP43" i="28"/>
  <c r="AQ43" i="28"/>
  <c r="AR43" i="28"/>
  <c r="AS43" i="28"/>
  <c r="AT43" i="28"/>
  <c r="AU43" i="28"/>
  <c r="AV43" i="28"/>
  <c r="AW43" i="28"/>
  <c r="AX43" i="28"/>
  <c r="AY43" i="28"/>
  <c r="AD21" i="28"/>
  <c r="AE21" i="28"/>
  <c r="AF21" i="28"/>
  <c r="AG21" i="28"/>
  <c r="AH21" i="28"/>
  <c r="AI21" i="28"/>
  <c r="AJ21" i="28"/>
  <c r="AK21" i="28"/>
  <c r="AL21" i="28"/>
  <c r="AM21" i="28"/>
  <c r="AN21" i="28"/>
  <c r="AO21" i="28"/>
  <c r="AP21" i="28"/>
  <c r="AQ21" i="28"/>
  <c r="AR21" i="28"/>
  <c r="AS21" i="28"/>
  <c r="AT21" i="28"/>
  <c r="AU21" i="28"/>
  <c r="AV21" i="28"/>
  <c r="AW21" i="28"/>
  <c r="AX21" i="28"/>
  <c r="AY21" i="28"/>
  <c r="AD22" i="28"/>
  <c r="AE22" i="28"/>
  <c r="AF22" i="28"/>
  <c r="AG22" i="28"/>
  <c r="AH22" i="28"/>
  <c r="AI22" i="28"/>
  <c r="AJ22" i="28"/>
  <c r="AK22" i="28"/>
  <c r="AL22" i="28"/>
  <c r="AM22" i="28"/>
  <c r="AN22" i="28"/>
  <c r="AO22" i="28"/>
  <c r="AP22" i="28"/>
  <c r="AQ22" i="28"/>
  <c r="AR22" i="28"/>
  <c r="AS22" i="28"/>
  <c r="AT22" i="28"/>
  <c r="AU22" i="28"/>
  <c r="AV22" i="28"/>
  <c r="AW22" i="28"/>
  <c r="AX22" i="28"/>
  <c r="AY22" i="28"/>
  <c r="AH27" i="28"/>
  <c r="AN27" i="28"/>
  <c r="AO27" i="28"/>
  <c r="K830" i="45"/>
  <c r="K831" i="45"/>
  <c r="K832" i="45"/>
  <c r="K833" i="45"/>
  <c r="K834" i="45"/>
  <c r="K835" i="45"/>
  <c r="K836" i="45"/>
  <c r="K837" i="45"/>
  <c r="K838" i="45"/>
  <c r="K839" i="45"/>
  <c r="K840" i="45"/>
  <c r="K841" i="45"/>
  <c r="K842" i="45"/>
  <c r="K843" i="45"/>
  <c r="C927" i="4"/>
  <c r="AN46" i="28" s="1"/>
  <c r="D927" i="4"/>
  <c r="AN50" i="28" s="1"/>
  <c r="F927" i="4"/>
  <c r="AN47" i="28" s="1"/>
  <c r="G927" i="4"/>
  <c r="AN51" i="28" s="1"/>
  <c r="K927" i="4"/>
  <c r="L927" i="4"/>
  <c r="AN52" i="28" s="1"/>
  <c r="N927" i="4"/>
  <c r="O927" i="4"/>
  <c r="Q927" i="4"/>
  <c r="R927" i="4"/>
  <c r="AN53" i="28" s="1"/>
  <c r="U927" i="4"/>
  <c r="AN59" i="28" s="1"/>
  <c r="V927" i="4"/>
  <c r="AN54" i="28" s="1"/>
  <c r="X927" i="4"/>
  <c r="Y927" i="4"/>
  <c r="AN55" i="28" s="1"/>
  <c r="AD927" i="4"/>
  <c r="AE927" i="4"/>
  <c r="C928" i="4"/>
  <c r="AO46" i="28" s="1"/>
  <c r="D928" i="4"/>
  <c r="AO50" i="28" s="1"/>
  <c r="F928" i="4"/>
  <c r="G928" i="4"/>
  <c r="AO51" i="28" s="1"/>
  <c r="K928" i="4"/>
  <c r="L928" i="4"/>
  <c r="N928" i="4"/>
  <c r="O928" i="4"/>
  <c r="Q928" i="4"/>
  <c r="R928" i="4"/>
  <c r="AO53" i="28" s="1"/>
  <c r="U928" i="4"/>
  <c r="AO59" i="28" s="1"/>
  <c r="V928" i="4"/>
  <c r="AO54" i="28" s="1"/>
  <c r="X928" i="4"/>
  <c r="Y928" i="4"/>
  <c r="AO55" i="28" s="1"/>
  <c r="AD928" i="4"/>
  <c r="AE928" i="4"/>
  <c r="C929" i="4"/>
  <c r="D929" i="4"/>
  <c r="F929" i="4"/>
  <c r="H931" i="4" s="1"/>
  <c r="G929" i="4"/>
  <c r="AP51" i="28" s="1"/>
  <c r="K929" i="4"/>
  <c r="L929" i="4"/>
  <c r="N929" i="4"/>
  <c r="O929" i="4"/>
  <c r="Q929" i="4"/>
  <c r="R929" i="4"/>
  <c r="U929" i="4"/>
  <c r="AP59" i="28" s="1"/>
  <c r="V929" i="4"/>
  <c r="X929" i="4"/>
  <c r="Z931" i="4" s="1"/>
  <c r="Y929" i="4"/>
  <c r="AP55" i="28" s="1"/>
  <c r="Z929" i="4"/>
  <c r="AD929" i="4"/>
  <c r="AE929" i="4"/>
  <c r="C930" i="4"/>
  <c r="AQ46" i="28" s="1"/>
  <c r="D930" i="4"/>
  <c r="F930" i="4"/>
  <c r="I935" i="4" s="1"/>
  <c r="G930" i="4"/>
  <c r="AQ51" i="28" s="1"/>
  <c r="H930" i="4"/>
  <c r="K930" i="4"/>
  <c r="L930" i="4"/>
  <c r="AQ52" i="28" s="1"/>
  <c r="N930" i="4"/>
  <c r="O930" i="4"/>
  <c r="Q930" i="4"/>
  <c r="R930" i="4"/>
  <c r="U930" i="4"/>
  <c r="AQ59" i="28" s="1"/>
  <c r="V930" i="4"/>
  <c r="AQ54" i="28" s="1"/>
  <c r="X930" i="4"/>
  <c r="AA935" i="4" s="1"/>
  <c r="Y930" i="4"/>
  <c r="AQ55" i="28" s="1"/>
  <c r="Z930" i="4"/>
  <c r="AD930" i="4"/>
  <c r="AE930" i="4"/>
  <c r="C931" i="4"/>
  <c r="AR46" i="28" s="1"/>
  <c r="D931" i="4"/>
  <c r="AR50" i="28" s="1"/>
  <c r="F931" i="4"/>
  <c r="G931" i="4"/>
  <c r="K931" i="4"/>
  <c r="L931" i="4"/>
  <c r="AR52" i="28" s="1"/>
  <c r="N931" i="4"/>
  <c r="O931" i="4"/>
  <c r="Q931" i="4"/>
  <c r="R931" i="4"/>
  <c r="AR53" i="28" s="1"/>
  <c r="U931" i="4"/>
  <c r="AR59" i="28" s="1"/>
  <c r="V931" i="4"/>
  <c r="AR54" i="28" s="1"/>
  <c r="X931" i="4"/>
  <c r="Y931" i="4"/>
  <c r="AR55" i="28" s="1"/>
  <c r="AD931" i="4"/>
  <c r="AE931" i="4"/>
  <c r="C932" i="4"/>
  <c r="AS46" i="28" s="1"/>
  <c r="D932" i="4"/>
  <c r="AS50" i="28" s="1"/>
  <c r="F932" i="4"/>
  <c r="G932" i="4"/>
  <c r="AS51" i="28" s="1"/>
  <c r="H932" i="4"/>
  <c r="K932" i="4"/>
  <c r="L932" i="4"/>
  <c r="AS52" i="28" s="1"/>
  <c r="N932" i="4"/>
  <c r="O932" i="4"/>
  <c r="Q932" i="4"/>
  <c r="R932" i="4"/>
  <c r="AS53" i="28" s="1"/>
  <c r="U932" i="4"/>
  <c r="AS59" i="28" s="1"/>
  <c r="V932" i="4"/>
  <c r="AS54" i="28" s="1"/>
  <c r="X932" i="4"/>
  <c r="Y932" i="4"/>
  <c r="AS55" i="28" s="1"/>
  <c r="Z932" i="4"/>
  <c r="AA932" i="4"/>
  <c r="AD932" i="4"/>
  <c r="AE932" i="4"/>
  <c r="C933" i="4"/>
  <c r="D933" i="4"/>
  <c r="AT50" i="28" s="1"/>
  <c r="F933" i="4"/>
  <c r="I938" i="4" s="1"/>
  <c r="G933" i="4"/>
  <c r="AT51" i="28" s="1"/>
  <c r="H933" i="4"/>
  <c r="I933" i="4"/>
  <c r="K933" i="4"/>
  <c r="L933" i="4"/>
  <c r="N933" i="4"/>
  <c r="O933" i="4"/>
  <c r="Q933" i="4"/>
  <c r="R933" i="4"/>
  <c r="AT53" i="28" s="1"/>
  <c r="U933" i="4"/>
  <c r="V933" i="4"/>
  <c r="AT54" i="28" s="1"/>
  <c r="X933" i="4"/>
  <c r="AA938" i="4" s="1"/>
  <c r="Y933" i="4"/>
  <c r="Z933" i="4"/>
  <c r="AA933" i="4"/>
  <c r="AD933" i="4"/>
  <c r="AE933" i="4"/>
  <c r="C934" i="4"/>
  <c r="AU46" i="28" s="1"/>
  <c r="D934" i="4"/>
  <c r="AU50" i="28" s="1"/>
  <c r="F934" i="4"/>
  <c r="G934" i="4"/>
  <c r="AU51" i="28" s="1"/>
  <c r="H934" i="4"/>
  <c r="I934" i="4"/>
  <c r="K934" i="4"/>
  <c r="L934" i="4"/>
  <c r="N934" i="4"/>
  <c r="O934" i="4"/>
  <c r="Q934" i="4"/>
  <c r="R934" i="4"/>
  <c r="AU53" i="28" s="1"/>
  <c r="U934" i="4"/>
  <c r="AU59" i="28" s="1"/>
  <c r="V934" i="4"/>
  <c r="AU54" i="28" s="1"/>
  <c r="X934" i="4"/>
  <c r="Y934" i="4"/>
  <c r="AU55" i="28" s="1"/>
  <c r="Z934" i="4"/>
  <c r="AA934" i="4"/>
  <c r="AD934" i="4"/>
  <c r="AE934" i="4"/>
  <c r="C935" i="4"/>
  <c r="D935" i="4"/>
  <c r="F935" i="4"/>
  <c r="G935" i="4"/>
  <c r="AV51" i="28" s="1"/>
  <c r="H935" i="4"/>
  <c r="K935" i="4"/>
  <c r="L935" i="4"/>
  <c r="N935" i="4"/>
  <c r="O935" i="4"/>
  <c r="Q935" i="4"/>
  <c r="R935" i="4"/>
  <c r="U935" i="4"/>
  <c r="AV59" i="28" s="1"/>
  <c r="V935" i="4"/>
  <c r="X935" i="4"/>
  <c r="Y935" i="4"/>
  <c r="AV55" i="28" s="1"/>
  <c r="Z935" i="4"/>
  <c r="AD935" i="4"/>
  <c r="AE935" i="4"/>
  <c r="C936" i="4"/>
  <c r="AW46" i="28" s="1"/>
  <c r="D936" i="4"/>
  <c r="AW50" i="28" s="1"/>
  <c r="F936" i="4"/>
  <c r="G936" i="4"/>
  <c r="AW51" i="28" s="1"/>
  <c r="H936" i="4"/>
  <c r="I936" i="4"/>
  <c r="K936" i="4"/>
  <c r="L936" i="4"/>
  <c r="AW52" i="28" s="1"/>
  <c r="N936" i="4"/>
  <c r="O936" i="4"/>
  <c r="Q936" i="4"/>
  <c r="R936" i="4"/>
  <c r="U936" i="4"/>
  <c r="AW59" i="28" s="1"/>
  <c r="V936" i="4"/>
  <c r="AW54" i="28" s="1"/>
  <c r="X936" i="4"/>
  <c r="Y936" i="4"/>
  <c r="AW55" i="28" s="1"/>
  <c r="Z936" i="4"/>
  <c r="AA936" i="4"/>
  <c r="AD936" i="4"/>
  <c r="AE936" i="4"/>
  <c r="C937" i="4"/>
  <c r="AX46" i="28" s="1"/>
  <c r="D937" i="4"/>
  <c r="AX50" i="28" s="1"/>
  <c r="F937" i="4"/>
  <c r="G937" i="4"/>
  <c r="H937" i="4"/>
  <c r="I937" i="4"/>
  <c r="K937" i="4"/>
  <c r="L937" i="4"/>
  <c r="AX52" i="28" s="1"/>
  <c r="N937" i="4"/>
  <c r="O937" i="4"/>
  <c r="Q937" i="4"/>
  <c r="R937" i="4"/>
  <c r="AX53" i="28" s="1"/>
  <c r="U937" i="4"/>
  <c r="AX59" i="28" s="1"/>
  <c r="V937" i="4"/>
  <c r="AX54" i="28" s="1"/>
  <c r="X937" i="4"/>
  <c r="Y937" i="4"/>
  <c r="AX55" i="28" s="1"/>
  <c r="Z937" i="4"/>
  <c r="AA937" i="4"/>
  <c r="AD937" i="4"/>
  <c r="AE937" i="4"/>
  <c r="C938" i="4"/>
  <c r="AY46" i="28" s="1"/>
  <c r="D938" i="4"/>
  <c r="AY50" i="28" s="1"/>
  <c r="F938" i="4"/>
  <c r="G938" i="4"/>
  <c r="H938" i="4"/>
  <c r="K938" i="4"/>
  <c r="L938" i="4"/>
  <c r="AY52" i="28" s="1"/>
  <c r="N938" i="4"/>
  <c r="O938" i="4"/>
  <c r="Q938" i="4"/>
  <c r="R938" i="4"/>
  <c r="AY53" i="28" s="1"/>
  <c r="U938" i="4"/>
  <c r="AY59" i="28" s="1"/>
  <c r="V938" i="4"/>
  <c r="X938" i="4"/>
  <c r="Y938" i="4"/>
  <c r="Z938" i="4"/>
  <c r="AD938" i="4"/>
  <c r="AE938" i="4"/>
  <c r="C914" i="32"/>
  <c r="I914" i="32"/>
  <c r="AM40" i="28" s="1"/>
  <c r="J914" i="32"/>
  <c r="AM41" i="28" s="1"/>
  <c r="N914" i="32"/>
  <c r="AM36" i="28" s="1"/>
  <c r="P914" i="32"/>
  <c r="AM42" i="28" s="1"/>
  <c r="C915" i="32"/>
  <c r="I915" i="32"/>
  <c r="J915" i="32"/>
  <c r="AN41" i="28" s="1"/>
  <c r="N915" i="32"/>
  <c r="AN36" i="28" s="1"/>
  <c r="P915" i="32"/>
  <c r="AN42" i="28" s="1"/>
  <c r="C916" i="32"/>
  <c r="I916" i="32"/>
  <c r="J916" i="32"/>
  <c r="AO41" i="28" s="1"/>
  <c r="N916" i="32"/>
  <c r="AO36" i="28" s="1"/>
  <c r="P916" i="32"/>
  <c r="AO42" i="28" s="1"/>
  <c r="C917" i="32"/>
  <c r="I917" i="32"/>
  <c r="AP40" i="28" s="1"/>
  <c r="J917" i="32"/>
  <c r="AP41" i="28" s="1"/>
  <c r="N917" i="32"/>
  <c r="AP36" i="28" s="1"/>
  <c r="P917" i="32"/>
  <c r="AP42" i="28" s="1"/>
  <c r="C918" i="32"/>
  <c r="I918" i="32"/>
  <c r="AQ40" i="28" s="1"/>
  <c r="J918" i="32"/>
  <c r="AQ41" i="28" s="1"/>
  <c r="N918" i="32"/>
  <c r="AQ36" i="28" s="1"/>
  <c r="P918" i="32"/>
  <c r="AQ42" i="28" s="1"/>
  <c r="C919" i="32"/>
  <c r="I919" i="32"/>
  <c r="AR40" i="28" s="1"/>
  <c r="J919" i="32"/>
  <c r="AR41" i="28" s="1"/>
  <c r="N919" i="32"/>
  <c r="P919" i="32"/>
  <c r="C920" i="32"/>
  <c r="I920" i="32"/>
  <c r="AS40" i="28" s="1"/>
  <c r="J920" i="32"/>
  <c r="AS41" i="28" s="1"/>
  <c r="N920" i="32"/>
  <c r="AS36" i="28" s="1"/>
  <c r="P920" i="32"/>
  <c r="C921" i="32"/>
  <c r="I921" i="32"/>
  <c r="J921" i="32"/>
  <c r="AT41" i="28" s="1"/>
  <c r="N921" i="32"/>
  <c r="AT36" i="28" s="1"/>
  <c r="P921" i="32"/>
  <c r="AT42" i="28" s="1"/>
  <c r="C922" i="32"/>
  <c r="I922" i="32"/>
  <c r="J922" i="32"/>
  <c r="AU41" i="28" s="1"/>
  <c r="N922" i="32"/>
  <c r="AU36" i="28" s="1"/>
  <c r="P922" i="32"/>
  <c r="AU42" i="28" s="1"/>
  <c r="C923" i="32"/>
  <c r="I923" i="32"/>
  <c r="AV40" i="28" s="1"/>
  <c r="J923" i="32"/>
  <c r="AV41" i="28" s="1"/>
  <c r="N923" i="32"/>
  <c r="AV36" i="28" s="1"/>
  <c r="P923" i="32"/>
  <c r="AV42" i="28" s="1"/>
  <c r="C924" i="32"/>
  <c r="I924" i="32"/>
  <c r="AW40" i="28" s="1"/>
  <c r="J924" i="32"/>
  <c r="AW41" i="28" s="1"/>
  <c r="N924" i="32"/>
  <c r="AW36" i="28" s="1"/>
  <c r="P924" i="32"/>
  <c r="AW42" i="28" s="1"/>
  <c r="C925" i="32"/>
  <c r="I925" i="32"/>
  <c r="AX40" i="28" s="1"/>
  <c r="J925" i="32"/>
  <c r="AX41" i="28" s="1"/>
  <c r="N925" i="32"/>
  <c r="P925" i="32"/>
  <c r="C926" i="32"/>
  <c r="I926" i="32"/>
  <c r="AY40" i="28" s="1"/>
  <c r="J926" i="32"/>
  <c r="AY41" i="28" s="1"/>
  <c r="N926" i="32"/>
  <c r="AY36" i="28" s="1"/>
  <c r="P926" i="32"/>
  <c r="C554" i="33"/>
  <c r="AM23" i="28" s="1"/>
  <c r="D554" i="33"/>
  <c r="AM28" i="28" s="1"/>
  <c r="F554" i="33"/>
  <c r="AM24" i="28" s="1"/>
  <c r="G554" i="33"/>
  <c r="AM29" i="28" s="1"/>
  <c r="I554" i="33"/>
  <c r="AM25" i="28" s="1"/>
  <c r="J554" i="33"/>
  <c r="AM30" i="28" s="1"/>
  <c r="L554" i="33"/>
  <c r="AM26" i="28" s="1"/>
  <c r="M554" i="33"/>
  <c r="AM31" i="28" s="1"/>
  <c r="R554" i="33"/>
  <c r="S554" i="33"/>
  <c r="C555" i="33"/>
  <c r="AN23" i="28" s="1"/>
  <c r="D555" i="33"/>
  <c r="AN28" i="28" s="1"/>
  <c r="F555" i="33"/>
  <c r="AN24" i="28" s="1"/>
  <c r="G555" i="33"/>
  <c r="AN29" i="28" s="1"/>
  <c r="I555" i="33"/>
  <c r="AN25" i="28" s="1"/>
  <c r="J555" i="33"/>
  <c r="AN30" i="28" s="1"/>
  <c r="L555" i="33"/>
  <c r="AN26" i="28" s="1"/>
  <c r="M555" i="33"/>
  <c r="AN31" i="28" s="1"/>
  <c r="R555" i="33"/>
  <c r="S555" i="33"/>
  <c r="AA555" i="33"/>
  <c r="C556" i="33"/>
  <c r="AO23" i="28" s="1"/>
  <c r="D556" i="33"/>
  <c r="AO28" i="28" s="1"/>
  <c r="F556" i="33"/>
  <c r="AO24" i="28" s="1"/>
  <c r="G556" i="33"/>
  <c r="AO29" i="28" s="1"/>
  <c r="I556" i="33"/>
  <c r="AO25" i="28" s="1"/>
  <c r="J556" i="33"/>
  <c r="AO30" i="28" s="1"/>
  <c r="L556" i="33"/>
  <c r="AO26" i="28" s="1"/>
  <c r="M556" i="33"/>
  <c r="AO31" i="28" s="1"/>
  <c r="R556" i="33"/>
  <c r="S556" i="33"/>
  <c r="AO20" i="28" s="1"/>
  <c r="AA556" i="33"/>
  <c r="C557" i="33"/>
  <c r="AP23" i="28" s="1"/>
  <c r="D557" i="33"/>
  <c r="AP28" i="28" s="1"/>
  <c r="F557" i="33"/>
  <c r="AP24" i="28" s="1"/>
  <c r="G557" i="33"/>
  <c r="AP29" i="28" s="1"/>
  <c r="I557" i="33"/>
  <c r="AP25" i="28" s="1"/>
  <c r="J557" i="33"/>
  <c r="AP30" i="28" s="1"/>
  <c r="L557" i="33"/>
  <c r="AP26" i="28" s="1"/>
  <c r="M557" i="33"/>
  <c r="AP31" i="28" s="1"/>
  <c r="R557" i="33"/>
  <c r="S557" i="33"/>
  <c r="AP62" i="28" s="1"/>
  <c r="AA557" i="33"/>
  <c r="C558" i="33"/>
  <c r="AQ23" i="28" s="1"/>
  <c r="D558" i="33"/>
  <c r="AQ28" i="28" s="1"/>
  <c r="F558" i="33"/>
  <c r="AQ24" i="28" s="1"/>
  <c r="G558" i="33"/>
  <c r="AQ29" i="28" s="1"/>
  <c r="I558" i="33"/>
  <c r="AQ25" i="28" s="1"/>
  <c r="J558" i="33"/>
  <c r="AQ30" i="28" s="1"/>
  <c r="L558" i="33"/>
  <c r="AQ26" i="28" s="1"/>
  <c r="M558" i="33"/>
  <c r="AQ31" i="28" s="1"/>
  <c r="R558" i="33"/>
  <c r="S558" i="33"/>
  <c r="AA558" i="33"/>
  <c r="C559" i="33"/>
  <c r="AR23" i="28" s="1"/>
  <c r="D559" i="33"/>
  <c r="AR28" i="28" s="1"/>
  <c r="F559" i="33"/>
  <c r="AR24" i="28" s="1"/>
  <c r="G559" i="33"/>
  <c r="AR29" i="28" s="1"/>
  <c r="I559" i="33"/>
  <c r="AR25" i="28" s="1"/>
  <c r="J559" i="33"/>
  <c r="AR30" i="28" s="1"/>
  <c r="L559" i="33"/>
  <c r="AR26" i="28" s="1"/>
  <c r="M559" i="33"/>
  <c r="AR31" i="28" s="1"/>
  <c r="R559" i="33"/>
  <c r="S559" i="33"/>
  <c r="AR20" i="28" s="1"/>
  <c r="AA559" i="33"/>
  <c r="C560" i="33"/>
  <c r="AS23" i="28" s="1"/>
  <c r="D560" i="33"/>
  <c r="AS28" i="28" s="1"/>
  <c r="F560" i="33"/>
  <c r="AS24" i="28" s="1"/>
  <c r="G560" i="33"/>
  <c r="AS29" i="28" s="1"/>
  <c r="I560" i="33"/>
  <c r="AS25" i="28" s="1"/>
  <c r="J560" i="33"/>
  <c r="AS30" i="28" s="1"/>
  <c r="L560" i="33"/>
  <c r="AS26" i="28" s="1"/>
  <c r="M560" i="33"/>
  <c r="AS31" i="28" s="1"/>
  <c r="R560" i="33"/>
  <c r="S560" i="33"/>
  <c r="AA560" i="33"/>
  <c r="C561" i="33"/>
  <c r="AT23" i="28" s="1"/>
  <c r="D561" i="33"/>
  <c r="AT28" i="28" s="1"/>
  <c r="F561" i="33"/>
  <c r="AT24" i="28" s="1"/>
  <c r="G561" i="33"/>
  <c r="AT29" i="28" s="1"/>
  <c r="I561" i="33"/>
  <c r="AT25" i="28" s="1"/>
  <c r="J561" i="33"/>
  <c r="AT30" i="28" s="1"/>
  <c r="L561" i="33"/>
  <c r="AT26" i="28" s="1"/>
  <c r="M561" i="33"/>
  <c r="AT31" i="28" s="1"/>
  <c r="R561" i="33"/>
  <c r="S561" i="33"/>
  <c r="AA561" i="33"/>
  <c r="C562" i="33"/>
  <c r="AU23" i="28" s="1"/>
  <c r="D562" i="33"/>
  <c r="AU28" i="28" s="1"/>
  <c r="F562" i="33"/>
  <c r="AU24" i="28" s="1"/>
  <c r="G562" i="33"/>
  <c r="AU29" i="28" s="1"/>
  <c r="I562" i="33"/>
  <c r="AU25" i="28" s="1"/>
  <c r="J562" i="33"/>
  <c r="AU30" i="28" s="1"/>
  <c r="L562" i="33"/>
  <c r="AU26" i="28" s="1"/>
  <c r="M562" i="33"/>
  <c r="AU31" i="28" s="1"/>
  <c r="R562" i="33"/>
  <c r="S562" i="33"/>
  <c r="AU20" i="28" s="1"/>
  <c r="AA562" i="33"/>
  <c r="C563" i="33"/>
  <c r="AV23" i="28" s="1"/>
  <c r="D563" i="33"/>
  <c r="AV28" i="28" s="1"/>
  <c r="F563" i="33"/>
  <c r="AV24" i="28" s="1"/>
  <c r="G563" i="33"/>
  <c r="AV29" i="28" s="1"/>
  <c r="I563" i="33"/>
  <c r="AV25" i="28" s="1"/>
  <c r="J563" i="33"/>
  <c r="AV30" i="28" s="1"/>
  <c r="L563" i="33"/>
  <c r="AV26" i="28" s="1"/>
  <c r="M563" i="33"/>
  <c r="AV31" i="28" s="1"/>
  <c r="R563" i="33"/>
  <c r="S563" i="33"/>
  <c r="AV62" i="28" s="1"/>
  <c r="AA563" i="33"/>
  <c r="C564" i="33"/>
  <c r="AW23" i="28" s="1"/>
  <c r="D564" i="33"/>
  <c r="AW28" i="28" s="1"/>
  <c r="F564" i="33"/>
  <c r="AW24" i="28" s="1"/>
  <c r="G564" i="33"/>
  <c r="AW29" i="28" s="1"/>
  <c r="I564" i="33"/>
  <c r="AW25" i="28" s="1"/>
  <c r="J564" i="33"/>
  <c r="AW30" i="28" s="1"/>
  <c r="L564" i="33"/>
  <c r="AW26" i="28" s="1"/>
  <c r="M564" i="33"/>
  <c r="AW31" i="28" s="1"/>
  <c r="R564" i="33"/>
  <c r="S564" i="33"/>
  <c r="AA564" i="33"/>
  <c r="C565" i="33"/>
  <c r="AX23" i="28" s="1"/>
  <c r="D565" i="33"/>
  <c r="AX28" i="28" s="1"/>
  <c r="F565" i="33"/>
  <c r="AX24" i="28" s="1"/>
  <c r="G565" i="33"/>
  <c r="AX29" i="28" s="1"/>
  <c r="I565" i="33"/>
  <c r="AX25" i="28" s="1"/>
  <c r="J565" i="33"/>
  <c r="AX30" i="28" s="1"/>
  <c r="L565" i="33"/>
  <c r="AX26" i="28" s="1"/>
  <c r="M565" i="33"/>
  <c r="AX31" i="28" s="1"/>
  <c r="R565" i="33"/>
  <c r="S565" i="33"/>
  <c r="AX62" i="28" s="1"/>
  <c r="AA565" i="33"/>
  <c r="C566" i="33"/>
  <c r="AY23" i="28" s="1"/>
  <c r="D566" i="33"/>
  <c r="AY28" i="28" s="1"/>
  <c r="F566" i="33"/>
  <c r="AY24" i="28" s="1"/>
  <c r="G566" i="33"/>
  <c r="AY29" i="28" s="1"/>
  <c r="I566" i="33"/>
  <c r="AY25" i="28" s="1"/>
  <c r="J566" i="33"/>
  <c r="AY30" i="28" s="1"/>
  <c r="L566" i="33"/>
  <c r="AY26" i="28" s="1"/>
  <c r="M566" i="33"/>
  <c r="AY31" i="28" s="1"/>
  <c r="R566" i="33"/>
  <c r="S566" i="33"/>
  <c r="AA566" i="33"/>
  <c r="E758" i="37"/>
  <c r="G758" i="37"/>
  <c r="AM13" i="28" s="1"/>
  <c r="I758" i="37"/>
  <c r="J758" i="37"/>
  <c r="L758" i="37"/>
  <c r="N758" i="37"/>
  <c r="P758" i="37"/>
  <c r="Q758" i="37"/>
  <c r="T758" i="37"/>
  <c r="U758" i="37"/>
  <c r="E759" i="37"/>
  <c r="AN8" i="28" s="1"/>
  <c r="G759" i="37"/>
  <c r="AN13" i="28" s="1"/>
  <c r="I759" i="37"/>
  <c r="J759" i="37"/>
  <c r="L759" i="37"/>
  <c r="N759" i="37"/>
  <c r="P759" i="37"/>
  <c r="Q759" i="37"/>
  <c r="AN11" i="28" s="1"/>
  <c r="T759" i="37"/>
  <c r="U759" i="37"/>
  <c r="E760" i="37"/>
  <c r="G760" i="37"/>
  <c r="I760" i="37"/>
  <c r="J760" i="37"/>
  <c r="AO9" i="28" s="1"/>
  <c r="L760" i="37"/>
  <c r="N760" i="37"/>
  <c r="P760" i="37"/>
  <c r="Q760" i="37"/>
  <c r="T760" i="37"/>
  <c r="AO15" i="28" s="1"/>
  <c r="U760" i="37"/>
  <c r="AO16" i="28" s="1"/>
  <c r="E761" i="37"/>
  <c r="G761" i="37"/>
  <c r="I761" i="37"/>
  <c r="J761" i="37"/>
  <c r="AP9" i="28" s="1"/>
  <c r="L761" i="37"/>
  <c r="N761" i="37"/>
  <c r="AP10" i="28" s="1"/>
  <c r="P761" i="37"/>
  <c r="Q761" i="37"/>
  <c r="T761" i="37"/>
  <c r="U761" i="37"/>
  <c r="E762" i="37"/>
  <c r="AQ8" i="28" s="1"/>
  <c r="G762" i="37"/>
  <c r="AQ13" i="28" s="1"/>
  <c r="I762" i="37"/>
  <c r="J762" i="37"/>
  <c r="L762" i="37"/>
  <c r="N762" i="37"/>
  <c r="P762" i="37"/>
  <c r="Q762" i="37"/>
  <c r="AQ11" i="28" s="1"/>
  <c r="T762" i="37"/>
  <c r="U762" i="37"/>
  <c r="AQ16" i="28" s="1"/>
  <c r="E763" i="37"/>
  <c r="G763" i="37"/>
  <c r="AR13" i="28" s="1"/>
  <c r="I763" i="37"/>
  <c r="J763" i="37"/>
  <c r="AR9" i="28" s="1"/>
  <c r="L763" i="37"/>
  <c r="N763" i="37"/>
  <c r="P763" i="37"/>
  <c r="Q763" i="37"/>
  <c r="AR11" i="28" s="1"/>
  <c r="T763" i="37"/>
  <c r="AR15" i="28" s="1"/>
  <c r="U763" i="37"/>
  <c r="AR16" i="28" s="1"/>
  <c r="E764" i="37"/>
  <c r="G764" i="37"/>
  <c r="I764" i="37"/>
  <c r="J764" i="37"/>
  <c r="L764" i="37"/>
  <c r="AS14" i="28" s="1"/>
  <c r="N764" i="37"/>
  <c r="P764" i="37"/>
  <c r="Q764" i="37"/>
  <c r="T764" i="37"/>
  <c r="U764" i="37"/>
  <c r="E765" i="37"/>
  <c r="AT8" i="28" s="1"/>
  <c r="G765" i="37"/>
  <c r="AT13" i="28" s="1"/>
  <c r="I765" i="37"/>
  <c r="J765" i="37"/>
  <c r="L765" i="37"/>
  <c r="N765" i="37"/>
  <c r="P765" i="37"/>
  <c r="Q765" i="37"/>
  <c r="AT11" i="28" s="1"/>
  <c r="T765" i="37"/>
  <c r="U765" i="37"/>
  <c r="AT16" i="28" s="1"/>
  <c r="E766" i="37"/>
  <c r="G766" i="37"/>
  <c r="AU13" i="28" s="1"/>
  <c r="I766" i="37"/>
  <c r="J766" i="37"/>
  <c r="AU9" i="28" s="1"/>
  <c r="L766" i="37"/>
  <c r="N766" i="37"/>
  <c r="P766" i="37"/>
  <c r="Q766" i="37"/>
  <c r="AU11" i="28" s="1"/>
  <c r="T766" i="37"/>
  <c r="AU15" i="28" s="1"/>
  <c r="U766" i="37"/>
  <c r="AU16" i="28" s="1"/>
  <c r="E767" i="37"/>
  <c r="G767" i="37"/>
  <c r="AV13" i="28" s="1"/>
  <c r="I767" i="37"/>
  <c r="J767" i="37"/>
  <c r="AV9" i="28" s="1"/>
  <c r="L767" i="37"/>
  <c r="N767" i="37"/>
  <c r="AV10" i="28" s="1"/>
  <c r="P767" i="37"/>
  <c r="Q767" i="37"/>
  <c r="T767" i="37"/>
  <c r="U767" i="37"/>
  <c r="E768" i="37"/>
  <c r="AW8" i="28" s="1"/>
  <c r="G768" i="37"/>
  <c r="AW13" i="28" s="1"/>
  <c r="I768" i="37"/>
  <c r="J768" i="37"/>
  <c r="AW9" i="28" s="1"/>
  <c r="L768" i="37"/>
  <c r="N768" i="37"/>
  <c r="AW10" i="28" s="1"/>
  <c r="P768" i="37"/>
  <c r="Q768" i="37"/>
  <c r="AW11" i="28" s="1"/>
  <c r="T768" i="37"/>
  <c r="U768" i="37"/>
  <c r="AW16" i="28" s="1"/>
  <c r="E769" i="37"/>
  <c r="G769" i="37"/>
  <c r="I769" i="37"/>
  <c r="J769" i="37"/>
  <c r="AX9" i="28" s="1"/>
  <c r="L769" i="37"/>
  <c r="N769" i="37"/>
  <c r="AX10" i="28" s="1"/>
  <c r="P769" i="37"/>
  <c r="Q769" i="37"/>
  <c r="T769" i="37"/>
  <c r="AX15" i="28" s="1"/>
  <c r="U769" i="37"/>
  <c r="AX16" i="28" s="1"/>
  <c r="E770" i="37"/>
  <c r="G770" i="37"/>
  <c r="AY13" i="28" s="1"/>
  <c r="I770" i="37"/>
  <c r="J770" i="37"/>
  <c r="L770" i="37"/>
  <c r="AY14" i="28" s="1"/>
  <c r="N770" i="37"/>
  <c r="AY10" i="28" s="1"/>
  <c r="P770" i="37"/>
  <c r="Q770" i="37"/>
  <c r="T770" i="37"/>
  <c r="U770" i="37"/>
  <c r="AG6" i="28"/>
  <c r="AH6" i="28"/>
  <c r="AI6" i="28"/>
  <c r="AJ6" i="28"/>
  <c r="AK6" i="28"/>
  <c r="AL6" i="28"/>
  <c r="AM6" i="28"/>
  <c r="AN6" i="28"/>
  <c r="AO6" i="28"/>
  <c r="AP6" i="28"/>
  <c r="AQ6" i="28"/>
  <c r="AR6" i="28"/>
  <c r="AS6" i="28"/>
  <c r="AT6" i="28"/>
  <c r="AU6" i="28"/>
  <c r="AV6" i="28"/>
  <c r="AW6" i="28"/>
  <c r="AX6" i="28"/>
  <c r="AY6" i="28"/>
  <c r="AG7" i="28"/>
  <c r="AH7" i="28"/>
  <c r="AI7" i="28"/>
  <c r="AJ7" i="28"/>
  <c r="AK7" i="28"/>
  <c r="AL7" i="28"/>
  <c r="AM7" i="28"/>
  <c r="AN7" i="28"/>
  <c r="AO7" i="28"/>
  <c r="AP7" i="28"/>
  <c r="AQ7" i="28"/>
  <c r="AR7" i="28"/>
  <c r="AS7" i="28"/>
  <c r="AT7" i="28"/>
  <c r="AU7" i="28"/>
  <c r="AV7" i="28"/>
  <c r="AW7" i="28"/>
  <c r="AX7" i="28"/>
  <c r="AY7" i="28"/>
  <c r="AO8" i="28"/>
  <c r="AP8" i="28"/>
  <c r="AR8" i="28"/>
  <c r="AS8" i="28"/>
  <c r="AU8" i="28"/>
  <c r="AV8" i="28"/>
  <c r="AX8" i="28"/>
  <c r="AY8" i="28"/>
  <c r="AN9" i="28"/>
  <c r="AQ9" i="28"/>
  <c r="AS9" i="28"/>
  <c r="AT9" i="28"/>
  <c r="AY9" i="28"/>
  <c r="AN10" i="28"/>
  <c r="AO10" i="28"/>
  <c r="AQ10" i="28"/>
  <c r="AR10" i="28"/>
  <c r="AS10" i="28"/>
  <c r="AT10" i="28"/>
  <c r="AU10" i="28"/>
  <c r="AO11" i="28"/>
  <c r="AP11" i="28"/>
  <c r="AS11" i="28"/>
  <c r="AV11" i="28"/>
  <c r="AX11" i="28"/>
  <c r="AY11" i="28"/>
  <c r="AG12" i="28"/>
  <c r="AH12" i="28"/>
  <c r="AI12" i="28"/>
  <c r="AJ12" i="28"/>
  <c r="AK12" i="28"/>
  <c r="AL12" i="28"/>
  <c r="AM12" i="28"/>
  <c r="AN12" i="28"/>
  <c r="AO12" i="28"/>
  <c r="AP12" i="28"/>
  <c r="AQ12" i="28"/>
  <c r="AR12" i="28"/>
  <c r="AS12" i="28"/>
  <c r="AT12" i="28"/>
  <c r="AU12" i="28"/>
  <c r="AV12" i="28"/>
  <c r="AW12" i="28"/>
  <c r="AX12" i="28"/>
  <c r="AY12" i="28"/>
  <c r="AO13" i="28"/>
  <c r="AP13" i="28"/>
  <c r="AS13" i="28"/>
  <c r="AX13" i="28"/>
  <c r="AN14" i="28"/>
  <c r="AO14" i="28"/>
  <c r="AP14" i="28"/>
  <c r="AQ14" i="28"/>
  <c r="AR14" i="28"/>
  <c r="AT14" i="28"/>
  <c r="AU14" i="28"/>
  <c r="AV14" i="28"/>
  <c r="AW14" i="28"/>
  <c r="AX14" i="28"/>
  <c r="AN15" i="28"/>
  <c r="AP15" i="28"/>
  <c r="AQ15" i="28"/>
  <c r="AS15" i="28"/>
  <c r="AT15" i="28"/>
  <c r="AV15" i="28"/>
  <c r="AW15" i="28"/>
  <c r="AY15" i="28"/>
  <c r="AN16" i="28"/>
  <c r="AP16" i="28"/>
  <c r="AS16" i="28"/>
  <c r="AV16" i="28"/>
  <c r="AY16" i="28"/>
  <c r="AG17" i="28"/>
  <c r="AH17" i="28"/>
  <c r="AI17" i="28"/>
  <c r="AJ17" i="28"/>
  <c r="AK17" i="28"/>
  <c r="AL17" i="28"/>
  <c r="AM17" i="28"/>
  <c r="AN17" i="28"/>
  <c r="AO17" i="28"/>
  <c r="AP17" i="28"/>
  <c r="AQ17" i="28"/>
  <c r="AR17" i="28"/>
  <c r="AS17" i="28"/>
  <c r="AT17" i="28"/>
  <c r="AU17" i="28"/>
  <c r="AV17" i="28"/>
  <c r="AW17" i="28"/>
  <c r="AX17" i="28"/>
  <c r="AY17" i="28"/>
  <c r="AE770" i="4"/>
  <c r="AE771" i="4"/>
  <c r="AE772" i="4"/>
  <c r="AE773" i="4"/>
  <c r="AE774" i="4"/>
  <c r="AE775" i="4"/>
  <c r="AE776" i="4"/>
  <c r="AE777" i="4"/>
  <c r="AE778" i="4"/>
  <c r="AE779" i="4"/>
  <c r="AE780" i="4"/>
  <c r="AE781" i="4"/>
  <c r="AE782" i="4"/>
  <c r="AE783" i="4"/>
  <c r="AE784" i="4"/>
  <c r="AE785" i="4"/>
  <c r="AE786" i="4"/>
  <c r="AE787" i="4"/>
  <c r="AE788" i="4"/>
  <c r="AE789" i="4"/>
  <c r="AE790" i="4"/>
  <c r="AE791" i="4"/>
  <c r="AE792" i="4"/>
  <c r="AE793" i="4"/>
  <c r="AE794" i="4"/>
  <c r="AE795" i="4"/>
  <c r="AE796" i="4"/>
  <c r="AE797" i="4"/>
  <c r="AE798" i="4"/>
  <c r="AE799" i="4"/>
  <c r="AE800" i="4"/>
  <c r="AE801" i="4"/>
  <c r="AE802" i="4"/>
  <c r="AE803" i="4"/>
  <c r="AE804" i="4"/>
  <c r="AE805" i="4"/>
  <c r="AE806" i="4"/>
  <c r="AE807" i="4"/>
  <c r="AE808" i="4"/>
  <c r="AE809" i="4"/>
  <c r="AE810" i="4"/>
  <c r="AE811" i="4"/>
  <c r="AE812" i="4"/>
  <c r="AE813" i="4"/>
  <c r="AE814" i="4"/>
  <c r="AE815" i="4"/>
  <c r="AE816" i="4"/>
  <c r="AE817" i="4"/>
  <c r="AE818" i="4"/>
  <c r="AE819" i="4"/>
  <c r="AE820" i="4"/>
  <c r="AE821" i="4"/>
  <c r="AE822" i="4"/>
  <c r="AE823" i="4"/>
  <c r="AE824" i="4"/>
  <c r="AE825" i="4"/>
  <c r="AE826" i="4"/>
  <c r="AE827" i="4"/>
  <c r="AE828" i="4"/>
  <c r="AE829" i="4"/>
  <c r="AE830" i="4"/>
  <c r="AE831" i="4"/>
  <c r="AE832" i="4"/>
  <c r="AE833" i="4"/>
  <c r="AE834" i="4"/>
  <c r="AE835" i="4"/>
  <c r="AE836" i="4"/>
  <c r="AE837" i="4"/>
  <c r="AE838" i="4"/>
  <c r="AE839" i="4"/>
  <c r="AE840" i="4"/>
  <c r="AE841" i="4"/>
  <c r="AE842" i="4"/>
  <c r="AE843" i="4"/>
  <c r="AE844" i="4"/>
  <c r="AE845" i="4"/>
  <c r="AE846" i="4"/>
  <c r="AE847" i="4"/>
  <c r="AE848" i="4"/>
  <c r="AE849" i="4"/>
  <c r="AE850" i="4"/>
  <c r="AE851" i="4"/>
  <c r="AE852" i="4"/>
  <c r="AE853" i="4"/>
  <c r="AE854" i="4"/>
  <c r="AE855" i="4"/>
  <c r="AE856" i="4"/>
  <c r="AE857" i="4"/>
  <c r="AE858" i="4"/>
  <c r="AE859" i="4"/>
  <c r="AE860" i="4"/>
  <c r="AE861" i="4"/>
  <c r="AE862" i="4"/>
  <c r="AE863" i="4"/>
  <c r="AE864" i="4"/>
  <c r="AE865" i="4"/>
  <c r="AE866" i="4"/>
  <c r="AE867" i="4"/>
  <c r="AE868" i="4"/>
  <c r="AE869" i="4"/>
  <c r="AE870" i="4"/>
  <c r="AE871" i="4"/>
  <c r="AE872" i="4"/>
  <c r="AE873" i="4"/>
  <c r="AE874" i="4"/>
  <c r="AE875" i="4"/>
  <c r="AE876" i="4"/>
  <c r="AE877" i="4"/>
  <c r="AE878" i="4"/>
  <c r="AE879" i="4"/>
  <c r="AE880" i="4"/>
  <c r="AE881" i="4"/>
  <c r="AE882" i="4"/>
  <c r="AE883" i="4"/>
  <c r="AE884" i="4"/>
  <c r="AE885" i="4"/>
  <c r="AE886" i="4"/>
  <c r="AE887" i="4"/>
  <c r="AE888" i="4"/>
  <c r="AE889" i="4"/>
  <c r="AE890" i="4"/>
  <c r="AE891" i="4"/>
  <c r="AE892" i="4"/>
  <c r="AE893" i="4"/>
  <c r="AE894" i="4"/>
  <c r="AE895" i="4"/>
  <c r="AE896" i="4"/>
  <c r="AE897" i="4"/>
  <c r="AE898" i="4"/>
  <c r="AE899" i="4"/>
  <c r="AE900" i="4"/>
  <c r="AE901" i="4"/>
  <c r="AE902" i="4"/>
  <c r="AE903" i="4"/>
  <c r="AE904" i="4"/>
  <c r="AE905" i="4"/>
  <c r="AE906" i="4"/>
  <c r="AE907" i="4"/>
  <c r="AE908" i="4"/>
  <c r="AE909" i="4"/>
  <c r="AE910" i="4"/>
  <c r="AE911" i="4"/>
  <c r="AE912" i="4"/>
  <c r="AE913" i="4"/>
  <c r="AE914" i="4"/>
  <c r="AE915" i="4"/>
  <c r="AE916" i="4"/>
  <c r="AE917" i="4"/>
  <c r="AE918" i="4"/>
  <c r="AE919" i="4"/>
  <c r="AE920" i="4"/>
  <c r="AE921" i="4"/>
  <c r="AE922" i="4"/>
  <c r="AE923" i="4"/>
  <c r="AE924" i="4"/>
  <c r="AE925" i="4"/>
  <c r="AE926" i="4"/>
  <c r="AE769" i="4"/>
  <c r="AD759" i="4"/>
  <c r="AD760" i="4"/>
  <c r="AD761" i="4"/>
  <c r="AD762" i="4"/>
  <c r="AD763" i="4"/>
  <c r="AD764" i="4"/>
  <c r="AD765" i="4"/>
  <c r="AD766" i="4"/>
  <c r="AD767" i="4"/>
  <c r="AD768" i="4"/>
  <c r="AD769" i="4"/>
  <c r="AD770" i="4"/>
  <c r="AD771" i="4"/>
  <c r="AD772" i="4"/>
  <c r="AD773" i="4"/>
  <c r="AD774" i="4"/>
  <c r="AD775" i="4"/>
  <c r="AD776" i="4"/>
  <c r="AD777" i="4"/>
  <c r="AD778" i="4"/>
  <c r="AD779" i="4"/>
  <c r="AD780" i="4"/>
  <c r="AD781" i="4"/>
  <c r="AD782" i="4"/>
  <c r="AD783" i="4"/>
  <c r="AD784" i="4"/>
  <c r="AD785" i="4"/>
  <c r="AD786" i="4"/>
  <c r="AD787" i="4"/>
  <c r="AD788" i="4"/>
  <c r="AD789" i="4"/>
  <c r="AD790" i="4"/>
  <c r="AD791" i="4"/>
  <c r="AD792" i="4"/>
  <c r="AD793" i="4"/>
  <c r="AD794" i="4"/>
  <c r="AD795" i="4"/>
  <c r="AD796" i="4"/>
  <c r="AD797" i="4"/>
  <c r="AD798" i="4"/>
  <c r="AD799" i="4"/>
  <c r="AD800" i="4"/>
  <c r="AD801" i="4"/>
  <c r="AD802" i="4"/>
  <c r="AD803" i="4"/>
  <c r="AD804" i="4"/>
  <c r="AD805" i="4"/>
  <c r="AD806" i="4"/>
  <c r="AD807" i="4"/>
  <c r="AD808" i="4"/>
  <c r="AD809" i="4"/>
  <c r="AD810" i="4"/>
  <c r="AD811" i="4"/>
  <c r="AD812" i="4"/>
  <c r="AD813" i="4"/>
  <c r="AD814" i="4"/>
  <c r="AD815" i="4"/>
  <c r="AD816" i="4"/>
  <c r="AD817" i="4"/>
  <c r="AD818" i="4"/>
  <c r="AD819" i="4"/>
  <c r="AD820" i="4"/>
  <c r="AD821" i="4"/>
  <c r="AD822" i="4"/>
  <c r="AD823" i="4"/>
  <c r="AD824" i="4"/>
  <c r="AD825" i="4"/>
  <c r="AD826" i="4"/>
  <c r="AD827" i="4"/>
  <c r="AD828" i="4"/>
  <c r="AD829" i="4"/>
  <c r="AD830" i="4"/>
  <c r="AD831" i="4"/>
  <c r="AD832" i="4"/>
  <c r="AD833" i="4"/>
  <c r="AD834" i="4"/>
  <c r="AD835" i="4"/>
  <c r="AD836" i="4"/>
  <c r="AD837" i="4"/>
  <c r="AD838" i="4"/>
  <c r="AD839" i="4"/>
  <c r="AD840" i="4"/>
  <c r="AD841" i="4"/>
  <c r="AD842" i="4"/>
  <c r="AD843" i="4"/>
  <c r="AD844" i="4"/>
  <c r="AD845" i="4"/>
  <c r="AD846" i="4"/>
  <c r="AD847" i="4"/>
  <c r="AD848" i="4"/>
  <c r="AD849" i="4"/>
  <c r="AD850" i="4"/>
  <c r="AD851" i="4"/>
  <c r="AD852" i="4"/>
  <c r="AD853" i="4"/>
  <c r="AD854" i="4"/>
  <c r="AD855" i="4"/>
  <c r="AD856" i="4"/>
  <c r="AD857" i="4"/>
  <c r="AD858" i="4"/>
  <c r="AD859" i="4"/>
  <c r="AD860" i="4"/>
  <c r="AD861" i="4"/>
  <c r="AD862" i="4"/>
  <c r="AD863" i="4"/>
  <c r="AD864" i="4"/>
  <c r="AD865" i="4"/>
  <c r="AD866" i="4"/>
  <c r="AD867" i="4"/>
  <c r="AD868" i="4"/>
  <c r="AD869" i="4"/>
  <c r="AD870" i="4"/>
  <c r="AD871" i="4"/>
  <c r="AD872" i="4"/>
  <c r="AD873" i="4"/>
  <c r="AD874" i="4"/>
  <c r="AD875" i="4"/>
  <c r="AD876" i="4"/>
  <c r="AD877" i="4"/>
  <c r="AD878" i="4"/>
  <c r="AD879" i="4"/>
  <c r="AD880" i="4"/>
  <c r="AD881" i="4"/>
  <c r="AD882" i="4"/>
  <c r="AD883" i="4"/>
  <c r="AD884" i="4"/>
  <c r="AD885" i="4"/>
  <c r="AD886" i="4"/>
  <c r="AD887" i="4"/>
  <c r="AD888" i="4"/>
  <c r="AD889" i="4"/>
  <c r="AD890" i="4"/>
  <c r="AD891" i="4"/>
  <c r="AD892" i="4"/>
  <c r="AD893" i="4"/>
  <c r="AD894" i="4"/>
  <c r="AD895" i="4"/>
  <c r="AD896" i="4"/>
  <c r="AD897" i="4"/>
  <c r="AD898" i="4"/>
  <c r="AD899" i="4"/>
  <c r="AD900" i="4"/>
  <c r="AD901" i="4"/>
  <c r="AD902" i="4"/>
  <c r="AD903" i="4"/>
  <c r="AD904" i="4"/>
  <c r="AD905" i="4"/>
  <c r="AD906" i="4"/>
  <c r="AD907" i="4"/>
  <c r="AD908" i="4"/>
  <c r="AD909" i="4"/>
  <c r="AD910" i="4"/>
  <c r="AD911" i="4"/>
  <c r="AD912" i="4"/>
  <c r="AD913" i="4"/>
  <c r="AD914" i="4"/>
  <c r="AD915" i="4"/>
  <c r="AD916" i="4"/>
  <c r="AD917" i="4"/>
  <c r="AD918" i="4"/>
  <c r="AD919" i="4"/>
  <c r="AD920" i="4"/>
  <c r="AD921" i="4"/>
  <c r="AD922" i="4"/>
  <c r="AD923" i="4"/>
  <c r="AD924" i="4"/>
  <c r="AD925" i="4"/>
  <c r="AD926" i="4"/>
  <c r="AD758" i="4"/>
  <c r="O256" i="4"/>
  <c r="O257" i="4"/>
  <c r="O258" i="4"/>
  <c r="O259" i="4"/>
  <c r="O260" i="4"/>
  <c r="O261" i="4"/>
  <c r="O262" i="4"/>
  <c r="O263" i="4"/>
  <c r="O264" i="4"/>
  <c r="O265" i="4"/>
  <c r="O266" i="4"/>
  <c r="O267" i="4"/>
  <c r="O268" i="4"/>
  <c r="O269" i="4"/>
  <c r="O270" i="4"/>
  <c r="O271" i="4"/>
  <c r="O272" i="4"/>
  <c r="O273" i="4"/>
  <c r="O274" i="4"/>
  <c r="O275" i="4"/>
  <c r="O276" i="4"/>
  <c r="O277" i="4"/>
  <c r="O278" i="4"/>
  <c r="O279" i="4"/>
  <c r="O280" i="4"/>
  <c r="O281" i="4"/>
  <c r="O282" i="4"/>
  <c r="O283" i="4"/>
  <c r="O284" i="4"/>
  <c r="O285" i="4"/>
  <c r="O286" i="4"/>
  <c r="O287" i="4"/>
  <c r="O288" i="4"/>
  <c r="O289" i="4"/>
  <c r="O290" i="4"/>
  <c r="O291" i="4"/>
  <c r="O292" i="4"/>
  <c r="O293" i="4"/>
  <c r="O294" i="4"/>
  <c r="O295" i="4"/>
  <c r="O296" i="4"/>
  <c r="O297" i="4"/>
  <c r="O298" i="4"/>
  <c r="O299" i="4"/>
  <c r="O300" i="4"/>
  <c r="O301" i="4"/>
  <c r="O302" i="4"/>
  <c r="O303" i="4"/>
  <c r="O304" i="4"/>
  <c r="O305" i="4"/>
  <c r="O306" i="4"/>
  <c r="O307" i="4"/>
  <c r="O308" i="4"/>
  <c r="O309" i="4"/>
  <c r="O310" i="4"/>
  <c r="O311" i="4"/>
  <c r="O312" i="4"/>
  <c r="O313" i="4"/>
  <c r="O314" i="4"/>
  <c r="O315" i="4"/>
  <c r="O316" i="4"/>
  <c r="O317" i="4"/>
  <c r="O318" i="4"/>
  <c r="O319" i="4"/>
  <c r="O320" i="4"/>
  <c r="O321" i="4"/>
  <c r="O322" i="4"/>
  <c r="O323" i="4"/>
  <c r="O324" i="4"/>
  <c r="O325" i="4"/>
  <c r="O326" i="4"/>
  <c r="O327" i="4"/>
  <c r="O328" i="4"/>
  <c r="O329" i="4"/>
  <c r="O330" i="4"/>
  <c r="O331" i="4"/>
  <c r="O332" i="4"/>
  <c r="O333" i="4"/>
  <c r="O334" i="4"/>
  <c r="O335" i="4"/>
  <c r="O336" i="4"/>
  <c r="O337" i="4"/>
  <c r="O338" i="4"/>
  <c r="O339" i="4"/>
  <c r="O340" i="4"/>
  <c r="O341" i="4"/>
  <c r="O342" i="4"/>
  <c r="O343" i="4"/>
  <c r="O344" i="4"/>
  <c r="O345" i="4"/>
  <c r="O346" i="4"/>
  <c r="O347" i="4"/>
  <c r="O348" i="4"/>
  <c r="O349" i="4"/>
  <c r="O350" i="4"/>
  <c r="O351" i="4"/>
  <c r="O352" i="4"/>
  <c r="O353" i="4"/>
  <c r="O354" i="4"/>
  <c r="O355" i="4"/>
  <c r="O356" i="4"/>
  <c r="O357" i="4"/>
  <c r="O358" i="4"/>
  <c r="O359" i="4"/>
  <c r="O360" i="4"/>
  <c r="O361" i="4"/>
  <c r="O362" i="4"/>
  <c r="O363" i="4"/>
  <c r="O364" i="4"/>
  <c r="O365" i="4"/>
  <c r="O366" i="4"/>
  <c r="O367" i="4"/>
  <c r="O368" i="4"/>
  <c r="O369" i="4"/>
  <c r="O370" i="4"/>
  <c r="O371" i="4"/>
  <c r="O372" i="4"/>
  <c r="O373" i="4"/>
  <c r="O374" i="4"/>
  <c r="O375" i="4"/>
  <c r="O376" i="4"/>
  <c r="O377" i="4"/>
  <c r="O378" i="4"/>
  <c r="O379" i="4"/>
  <c r="O380" i="4"/>
  <c r="O381" i="4"/>
  <c r="O382" i="4"/>
  <c r="O383" i="4"/>
  <c r="O384" i="4"/>
  <c r="O385" i="4"/>
  <c r="O386" i="4"/>
  <c r="O387" i="4"/>
  <c r="O388" i="4"/>
  <c r="O389" i="4"/>
  <c r="O390" i="4"/>
  <c r="O391" i="4"/>
  <c r="O392" i="4"/>
  <c r="O393" i="4"/>
  <c r="O394" i="4"/>
  <c r="O395" i="4"/>
  <c r="O396" i="4"/>
  <c r="O397" i="4"/>
  <c r="O398" i="4"/>
  <c r="O399" i="4"/>
  <c r="O400" i="4"/>
  <c r="O401" i="4"/>
  <c r="O402" i="4"/>
  <c r="O403" i="4"/>
  <c r="O404" i="4"/>
  <c r="O405" i="4"/>
  <c r="O406" i="4"/>
  <c r="O407" i="4"/>
  <c r="O408" i="4"/>
  <c r="O409" i="4"/>
  <c r="O410" i="4"/>
  <c r="O411" i="4"/>
  <c r="O412" i="4"/>
  <c r="O413" i="4"/>
  <c r="O414" i="4"/>
  <c r="O415" i="4"/>
  <c r="O416" i="4"/>
  <c r="O417" i="4"/>
  <c r="O418" i="4"/>
  <c r="O419" i="4"/>
  <c r="O420" i="4"/>
  <c r="O421" i="4"/>
  <c r="O422" i="4"/>
  <c r="O423" i="4"/>
  <c r="O424" i="4"/>
  <c r="O425" i="4"/>
  <c r="O426" i="4"/>
  <c r="O427" i="4"/>
  <c r="O428" i="4"/>
  <c r="O429" i="4"/>
  <c r="O430" i="4"/>
  <c r="O431" i="4"/>
  <c r="O432" i="4"/>
  <c r="O433" i="4"/>
  <c r="O434" i="4"/>
  <c r="O435" i="4"/>
  <c r="O436" i="4"/>
  <c r="O437" i="4"/>
  <c r="O438" i="4"/>
  <c r="O439" i="4"/>
  <c r="O440" i="4"/>
  <c r="O441" i="4"/>
  <c r="O442" i="4"/>
  <c r="O443" i="4"/>
  <c r="O444" i="4"/>
  <c r="O445" i="4"/>
  <c r="O446" i="4"/>
  <c r="O447" i="4"/>
  <c r="O448" i="4"/>
  <c r="O449" i="4"/>
  <c r="O450" i="4"/>
  <c r="O451" i="4"/>
  <c r="O452" i="4"/>
  <c r="O453" i="4"/>
  <c r="O454" i="4"/>
  <c r="O455" i="4"/>
  <c r="O456" i="4"/>
  <c r="O457" i="4"/>
  <c r="O458" i="4"/>
  <c r="O459" i="4"/>
  <c r="O460" i="4"/>
  <c r="O461" i="4"/>
  <c r="O462" i="4"/>
  <c r="O463" i="4"/>
  <c r="O464" i="4"/>
  <c r="O465" i="4"/>
  <c r="O466" i="4"/>
  <c r="O467" i="4"/>
  <c r="O468" i="4"/>
  <c r="O469" i="4"/>
  <c r="O470" i="4"/>
  <c r="O471" i="4"/>
  <c r="O472" i="4"/>
  <c r="O473" i="4"/>
  <c r="O474" i="4"/>
  <c r="O475" i="4"/>
  <c r="O476" i="4"/>
  <c r="O477" i="4"/>
  <c r="O478" i="4"/>
  <c r="O479" i="4"/>
  <c r="O480" i="4"/>
  <c r="O481" i="4"/>
  <c r="O482" i="4"/>
  <c r="O483" i="4"/>
  <c r="O484" i="4"/>
  <c r="O485" i="4"/>
  <c r="O486" i="4"/>
  <c r="O487" i="4"/>
  <c r="O488" i="4"/>
  <c r="O489" i="4"/>
  <c r="O490" i="4"/>
  <c r="O491" i="4"/>
  <c r="O492" i="4"/>
  <c r="O493" i="4"/>
  <c r="O494" i="4"/>
  <c r="O495" i="4"/>
  <c r="O496" i="4"/>
  <c r="O497" i="4"/>
  <c r="O498" i="4"/>
  <c r="O499" i="4"/>
  <c r="O500" i="4"/>
  <c r="O501" i="4"/>
  <c r="O502" i="4"/>
  <c r="O503" i="4"/>
  <c r="O504" i="4"/>
  <c r="O505" i="4"/>
  <c r="O506" i="4"/>
  <c r="O507" i="4"/>
  <c r="O508" i="4"/>
  <c r="O509" i="4"/>
  <c r="O510" i="4"/>
  <c r="O511" i="4"/>
  <c r="O512" i="4"/>
  <c r="O513" i="4"/>
  <c r="O514" i="4"/>
  <c r="O515" i="4"/>
  <c r="O516" i="4"/>
  <c r="O517" i="4"/>
  <c r="O518" i="4"/>
  <c r="O519" i="4"/>
  <c r="O520" i="4"/>
  <c r="O521" i="4"/>
  <c r="O522" i="4"/>
  <c r="O523" i="4"/>
  <c r="O524" i="4"/>
  <c r="O525" i="4"/>
  <c r="O526" i="4"/>
  <c r="O527" i="4"/>
  <c r="O528" i="4"/>
  <c r="O529" i="4"/>
  <c r="O530" i="4"/>
  <c r="O531" i="4"/>
  <c r="O532" i="4"/>
  <c r="O533" i="4"/>
  <c r="O534" i="4"/>
  <c r="O535" i="4"/>
  <c r="O536" i="4"/>
  <c r="O537" i="4"/>
  <c r="O538" i="4"/>
  <c r="O539" i="4"/>
  <c r="O540" i="4"/>
  <c r="O541" i="4"/>
  <c r="O542" i="4"/>
  <c r="O543" i="4"/>
  <c r="O544" i="4"/>
  <c r="O545" i="4"/>
  <c r="O546" i="4"/>
  <c r="O547" i="4"/>
  <c r="O548" i="4"/>
  <c r="O549" i="4"/>
  <c r="O550" i="4"/>
  <c r="O551" i="4"/>
  <c r="O552" i="4"/>
  <c r="O553" i="4"/>
  <c r="O554" i="4"/>
  <c r="O555" i="4"/>
  <c r="O556" i="4"/>
  <c r="O557" i="4"/>
  <c r="O558" i="4"/>
  <c r="O559" i="4"/>
  <c r="O560" i="4"/>
  <c r="O561" i="4"/>
  <c r="O562" i="4"/>
  <c r="O563" i="4"/>
  <c r="O564" i="4"/>
  <c r="O565" i="4"/>
  <c r="O566" i="4"/>
  <c r="O567" i="4"/>
  <c r="O568" i="4"/>
  <c r="O569" i="4"/>
  <c r="O570" i="4"/>
  <c r="O571" i="4"/>
  <c r="O572" i="4"/>
  <c r="O573" i="4"/>
  <c r="O574" i="4"/>
  <c r="O575" i="4"/>
  <c r="O576" i="4"/>
  <c r="O577" i="4"/>
  <c r="O578" i="4"/>
  <c r="O579" i="4"/>
  <c r="O580" i="4"/>
  <c r="O581" i="4"/>
  <c r="O582" i="4"/>
  <c r="O583" i="4"/>
  <c r="O584" i="4"/>
  <c r="O585" i="4"/>
  <c r="O586" i="4"/>
  <c r="O587" i="4"/>
  <c r="O588" i="4"/>
  <c r="O589" i="4"/>
  <c r="O590" i="4"/>
  <c r="O591" i="4"/>
  <c r="O592" i="4"/>
  <c r="O593" i="4"/>
  <c r="O594" i="4"/>
  <c r="O595" i="4"/>
  <c r="O596" i="4"/>
  <c r="O597" i="4"/>
  <c r="O598" i="4"/>
  <c r="O599" i="4"/>
  <c r="O600" i="4"/>
  <c r="O601" i="4"/>
  <c r="O602" i="4"/>
  <c r="O603" i="4"/>
  <c r="O604" i="4"/>
  <c r="O605" i="4"/>
  <c r="O606" i="4"/>
  <c r="O607" i="4"/>
  <c r="O608" i="4"/>
  <c r="O609" i="4"/>
  <c r="O610" i="4"/>
  <c r="O611" i="4"/>
  <c r="O612" i="4"/>
  <c r="O613" i="4"/>
  <c r="O614" i="4"/>
  <c r="O615" i="4"/>
  <c r="O616" i="4"/>
  <c r="O617" i="4"/>
  <c r="O618" i="4"/>
  <c r="O619" i="4"/>
  <c r="O620" i="4"/>
  <c r="O621" i="4"/>
  <c r="O622" i="4"/>
  <c r="O623" i="4"/>
  <c r="O624" i="4"/>
  <c r="O625" i="4"/>
  <c r="O626" i="4"/>
  <c r="O627" i="4"/>
  <c r="O628" i="4"/>
  <c r="O629" i="4"/>
  <c r="O630" i="4"/>
  <c r="O631" i="4"/>
  <c r="O632" i="4"/>
  <c r="O633" i="4"/>
  <c r="O634" i="4"/>
  <c r="O635" i="4"/>
  <c r="O636" i="4"/>
  <c r="O637" i="4"/>
  <c r="O638" i="4"/>
  <c r="O639" i="4"/>
  <c r="O640" i="4"/>
  <c r="O641" i="4"/>
  <c r="O642" i="4"/>
  <c r="O643" i="4"/>
  <c r="O644" i="4"/>
  <c r="O645" i="4"/>
  <c r="O646" i="4"/>
  <c r="O647" i="4"/>
  <c r="O648" i="4"/>
  <c r="O649" i="4"/>
  <c r="O650" i="4"/>
  <c r="O651" i="4"/>
  <c r="O652" i="4"/>
  <c r="O653" i="4"/>
  <c r="O654" i="4"/>
  <c r="O655" i="4"/>
  <c r="O656" i="4"/>
  <c r="O657" i="4"/>
  <c r="O658" i="4"/>
  <c r="O659" i="4"/>
  <c r="O660" i="4"/>
  <c r="O661" i="4"/>
  <c r="O662" i="4"/>
  <c r="O663" i="4"/>
  <c r="O664" i="4"/>
  <c r="O665" i="4"/>
  <c r="O666" i="4"/>
  <c r="O667" i="4"/>
  <c r="O668" i="4"/>
  <c r="O669" i="4"/>
  <c r="O670" i="4"/>
  <c r="O671" i="4"/>
  <c r="O672" i="4"/>
  <c r="O673" i="4"/>
  <c r="O674" i="4"/>
  <c r="O675" i="4"/>
  <c r="O676" i="4"/>
  <c r="O677" i="4"/>
  <c r="O678" i="4"/>
  <c r="O679" i="4"/>
  <c r="O680" i="4"/>
  <c r="O681" i="4"/>
  <c r="O682" i="4"/>
  <c r="O683" i="4"/>
  <c r="O684" i="4"/>
  <c r="O685" i="4"/>
  <c r="O686" i="4"/>
  <c r="O687" i="4"/>
  <c r="O688" i="4"/>
  <c r="O689" i="4"/>
  <c r="O690" i="4"/>
  <c r="O691" i="4"/>
  <c r="O692" i="4"/>
  <c r="O693" i="4"/>
  <c r="O694" i="4"/>
  <c r="O695" i="4"/>
  <c r="O696" i="4"/>
  <c r="O697" i="4"/>
  <c r="O698" i="4"/>
  <c r="O699" i="4"/>
  <c r="O700" i="4"/>
  <c r="O701" i="4"/>
  <c r="O702" i="4"/>
  <c r="O703" i="4"/>
  <c r="O704" i="4"/>
  <c r="O705" i="4"/>
  <c r="O706" i="4"/>
  <c r="O707" i="4"/>
  <c r="O708" i="4"/>
  <c r="O709" i="4"/>
  <c r="O710" i="4"/>
  <c r="O711" i="4"/>
  <c r="O712" i="4"/>
  <c r="O713" i="4"/>
  <c r="O714" i="4"/>
  <c r="O715" i="4"/>
  <c r="O716" i="4"/>
  <c r="O717" i="4"/>
  <c r="O718" i="4"/>
  <c r="O719" i="4"/>
  <c r="O720" i="4"/>
  <c r="O721" i="4"/>
  <c r="O722" i="4"/>
  <c r="O723" i="4"/>
  <c r="O724" i="4"/>
  <c r="O725" i="4"/>
  <c r="O726" i="4"/>
  <c r="O727" i="4"/>
  <c r="O728" i="4"/>
  <c r="O729" i="4"/>
  <c r="O730" i="4"/>
  <c r="O731" i="4"/>
  <c r="O732" i="4"/>
  <c r="O733" i="4"/>
  <c r="O734" i="4"/>
  <c r="O735" i="4"/>
  <c r="O736" i="4"/>
  <c r="O737" i="4"/>
  <c r="O738" i="4"/>
  <c r="O739" i="4"/>
  <c r="O740" i="4"/>
  <c r="O741" i="4"/>
  <c r="O742" i="4"/>
  <c r="O743" i="4"/>
  <c r="O744" i="4"/>
  <c r="O745" i="4"/>
  <c r="O746" i="4"/>
  <c r="O747" i="4"/>
  <c r="O748" i="4"/>
  <c r="O749" i="4"/>
  <c r="O750" i="4"/>
  <c r="O751" i="4"/>
  <c r="O752" i="4"/>
  <c r="O753" i="4"/>
  <c r="O754" i="4"/>
  <c r="O755" i="4"/>
  <c r="O756" i="4"/>
  <c r="O757" i="4"/>
  <c r="O758" i="4"/>
  <c r="O759" i="4"/>
  <c r="O760" i="4"/>
  <c r="O761" i="4"/>
  <c r="O762" i="4"/>
  <c r="O763" i="4"/>
  <c r="O764" i="4"/>
  <c r="O765" i="4"/>
  <c r="O766" i="4"/>
  <c r="O767" i="4"/>
  <c r="O768" i="4"/>
  <c r="O769" i="4"/>
  <c r="O770" i="4"/>
  <c r="O771" i="4"/>
  <c r="O772" i="4"/>
  <c r="O773" i="4"/>
  <c r="O774" i="4"/>
  <c r="O775" i="4"/>
  <c r="O776" i="4"/>
  <c r="O777" i="4"/>
  <c r="O778" i="4"/>
  <c r="O779" i="4"/>
  <c r="O780" i="4"/>
  <c r="O781" i="4"/>
  <c r="O782" i="4"/>
  <c r="O783" i="4"/>
  <c r="O784" i="4"/>
  <c r="O785" i="4"/>
  <c r="O786" i="4"/>
  <c r="O787" i="4"/>
  <c r="O788" i="4"/>
  <c r="O789" i="4"/>
  <c r="O790" i="4"/>
  <c r="O791" i="4"/>
  <c r="O792" i="4"/>
  <c r="O793" i="4"/>
  <c r="O794" i="4"/>
  <c r="O795" i="4"/>
  <c r="O796" i="4"/>
  <c r="O797" i="4"/>
  <c r="O798" i="4"/>
  <c r="O799" i="4"/>
  <c r="O800" i="4"/>
  <c r="O801" i="4"/>
  <c r="O802" i="4"/>
  <c r="O803" i="4"/>
  <c r="O804" i="4"/>
  <c r="O805" i="4"/>
  <c r="O806" i="4"/>
  <c r="O807" i="4"/>
  <c r="O808" i="4"/>
  <c r="O809" i="4"/>
  <c r="O810" i="4"/>
  <c r="O811" i="4"/>
  <c r="O812" i="4"/>
  <c r="O813" i="4"/>
  <c r="O814" i="4"/>
  <c r="O815" i="4"/>
  <c r="O816" i="4"/>
  <c r="O817" i="4"/>
  <c r="O818" i="4"/>
  <c r="O819" i="4"/>
  <c r="O820" i="4"/>
  <c r="O821" i="4"/>
  <c r="O822" i="4"/>
  <c r="O823" i="4"/>
  <c r="O824" i="4"/>
  <c r="O825" i="4"/>
  <c r="O826" i="4"/>
  <c r="O827" i="4"/>
  <c r="O828" i="4"/>
  <c r="O829" i="4"/>
  <c r="O830" i="4"/>
  <c r="O831" i="4"/>
  <c r="O832" i="4"/>
  <c r="O833" i="4"/>
  <c r="O834" i="4"/>
  <c r="O835" i="4"/>
  <c r="O836" i="4"/>
  <c r="O837" i="4"/>
  <c r="O838" i="4"/>
  <c r="O839" i="4"/>
  <c r="O840" i="4"/>
  <c r="O841" i="4"/>
  <c r="O842" i="4"/>
  <c r="O843" i="4"/>
  <c r="O844" i="4"/>
  <c r="O845" i="4"/>
  <c r="O846" i="4"/>
  <c r="O847" i="4"/>
  <c r="O848" i="4"/>
  <c r="O849" i="4"/>
  <c r="O850" i="4"/>
  <c r="O851" i="4"/>
  <c r="O852" i="4"/>
  <c r="O853" i="4"/>
  <c r="O854" i="4"/>
  <c r="O855" i="4"/>
  <c r="O856" i="4"/>
  <c r="O857" i="4"/>
  <c r="O858" i="4"/>
  <c r="O859" i="4"/>
  <c r="O860" i="4"/>
  <c r="O861" i="4"/>
  <c r="O862" i="4"/>
  <c r="O863" i="4"/>
  <c r="O864" i="4"/>
  <c r="O865" i="4"/>
  <c r="O866" i="4"/>
  <c r="O867" i="4"/>
  <c r="O868" i="4"/>
  <c r="O869" i="4"/>
  <c r="O870" i="4"/>
  <c r="O871" i="4"/>
  <c r="O872" i="4"/>
  <c r="O873" i="4"/>
  <c r="O874" i="4"/>
  <c r="O875" i="4"/>
  <c r="O876" i="4"/>
  <c r="O877" i="4"/>
  <c r="O878" i="4"/>
  <c r="O879" i="4"/>
  <c r="O880" i="4"/>
  <c r="O881" i="4"/>
  <c r="O882" i="4"/>
  <c r="O883" i="4"/>
  <c r="O884" i="4"/>
  <c r="O885" i="4"/>
  <c r="O886" i="4"/>
  <c r="O887" i="4"/>
  <c r="O888" i="4"/>
  <c r="O889" i="4"/>
  <c r="O890" i="4"/>
  <c r="O891" i="4"/>
  <c r="O892" i="4"/>
  <c r="O893" i="4"/>
  <c r="O894" i="4"/>
  <c r="O895" i="4"/>
  <c r="O896" i="4"/>
  <c r="O897" i="4"/>
  <c r="O898" i="4"/>
  <c r="O899" i="4"/>
  <c r="O900" i="4"/>
  <c r="O901" i="4"/>
  <c r="O902" i="4"/>
  <c r="O903" i="4"/>
  <c r="O904" i="4"/>
  <c r="O905" i="4"/>
  <c r="O906" i="4"/>
  <c r="O907" i="4"/>
  <c r="O908" i="4"/>
  <c r="O909" i="4"/>
  <c r="O910" i="4"/>
  <c r="O911" i="4"/>
  <c r="O912" i="4"/>
  <c r="O913" i="4"/>
  <c r="O914" i="4"/>
  <c r="O915" i="4"/>
  <c r="O916" i="4"/>
  <c r="O917" i="4"/>
  <c r="O918" i="4"/>
  <c r="O919" i="4"/>
  <c r="O920" i="4"/>
  <c r="O921" i="4"/>
  <c r="O922" i="4"/>
  <c r="O923" i="4"/>
  <c r="O924" i="4"/>
  <c r="O925" i="4"/>
  <c r="O926" i="4"/>
  <c r="O255" i="4"/>
  <c r="N245" i="4"/>
  <c r="N246" i="4"/>
  <c r="N247" i="4"/>
  <c r="N248" i="4"/>
  <c r="N249" i="4"/>
  <c r="N250" i="4"/>
  <c r="N251" i="4"/>
  <c r="N252" i="4"/>
  <c r="N253" i="4"/>
  <c r="N254" i="4"/>
  <c r="N255" i="4"/>
  <c r="N256" i="4"/>
  <c r="N257" i="4"/>
  <c r="N258" i="4"/>
  <c r="N259" i="4"/>
  <c r="N260" i="4"/>
  <c r="N261" i="4"/>
  <c r="N262" i="4"/>
  <c r="N263" i="4"/>
  <c r="N264" i="4"/>
  <c r="N265" i="4"/>
  <c r="N266" i="4"/>
  <c r="N267" i="4"/>
  <c r="N268" i="4"/>
  <c r="N269" i="4"/>
  <c r="N270" i="4"/>
  <c r="N271" i="4"/>
  <c r="N272" i="4"/>
  <c r="N273" i="4"/>
  <c r="N274" i="4"/>
  <c r="N275" i="4"/>
  <c r="N276" i="4"/>
  <c r="N277" i="4"/>
  <c r="N278" i="4"/>
  <c r="N279" i="4"/>
  <c r="N280" i="4"/>
  <c r="N281" i="4"/>
  <c r="N282" i="4"/>
  <c r="N283" i="4"/>
  <c r="N284" i="4"/>
  <c r="N285" i="4"/>
  <c r="N286" i="4"/>
  <c r="N287" i="4"/>
  <c r="N288" i="4"/>
  <c r="N289" i="4"/>
  <c r="N290" i="4"/>
  <c r="N291" i="4"/>
  <c r="N292" i="4"/>
  <c r="N293" i="4"/>
  <c r="N294" i="4"/>
  <c r="N295" i="4"/>
  <c r="N296" i="4"/>
  <c r="N297" i="4"/>
  <c r="N298" i="4"/>
  <c r="N299" i="4"/>
  <c r="N300" i="4"/>
  <c r="N301" i="4"/>
  <c r="N302" i="4"/>
  <c r="N303" i="4"/>
  <c r="N304" i="4"/>
  <c r="N305" i="4"/>
  <c r="N306" i="4"/>
  <c r="N307" i="4"/>
  <c r="N308" i="4"/>
  <c r="N309" i="4"/>
  <c r="N310" i="4"/>
  <c r="N311" i="4"/>
  <c r="N312" i="4"/>
  <c r="N313" i="4"/>
  <c r="N314" i="4"/>
  <c r="N315" i="4"/>
  <c r="N316" i="4"/>
  <c r="N317" i="4"/>
  <c r="N318" i="4"/>
  <c r="N319" i="4"/>
  <c r="N320" i="4"/>
  <c r="N321" i="4"/>
  <c r="N322" i="4"/>
  <c r="N323" i="4"/>
  <c r="N324" i="4"/>
  <c r="N325" i="4"/>
  <c r="N326" i="4"/>
  <c r="N327" i="4"/>
  <c r="N328" i="4"/>
  <c r="N329" i="4"/>
  <c r="N330" i="4"/>
  <c r="N331" i="4"/>
  <c r="N332" i="4"/>
  <c r="N333" i="4"/>
  <c r="N334" i="4"/>
  <c r="N335" i="4"/>
  <c r="N336" i="4"/>
  <c r="N337" i="4"/>
  <c r="N338" i="4"/>
  <c r="N339" i="4"/>
  <c r="N340" i="4"/>
  <c r="N341" i="4"/>
  <c r="N342" i="4"/>
  <c r="N343" i="4"/>
  <c r="N344" i="4"/>
  <c r="N345" i="4"/>
  <c r="N346" i="4"/>
  <c r="N347" i="4"/>
  <c r="N348" i="4"/>
  <c r="N349" i="4"/>
  <c r="N350" i="4"/>
  <c r="N351" i="4"/>
  <c r="N352" i="4"/>
  <c r="N353" i="4"/>
  <c r="N354" i="4"/>
  <c r="N355" i="4"/>
  <c r="N356" i="4"/>
  <c r="N357" i="4"/>
  <c r="N358" i="4"/>
  <c r="N359" i="4"/>
  <c r="N360" i="4"/>
  <c r="N361" i="4"/>
  <c r="N362" i="4"/>
  <c r="N363" i="4"/>
  <c r="N364" i="4"/>
  <c r="N365" i="4"/>
  <c r="N366" i="4"/>
  <c r="N367" i="4"/>
  <c r="N368" i="4"/>
  <c r="N369" i="4"/>
  <c r="N370" i="4"/>
  <c r="N371" i="4"/>
  <c r="N372" i="4"/>
  <c r="N373" i="4"/>
  <c r="N374" i="4"/>
  <c r="N375" i="4"/>
  <c r="N376" i="4"/>
  <c r="N377" i="4"/>
  <c r="N378" i="4"/>
  <c r="N379" i="4"/>
  <c r="N380" i="4"/>
  <c r="N381" i="4"/>
  <c r="N382" i="4"/>
  <c r="N383" i="4"/>
  <c r="N384" i="4"/>
  <c r="N385" i="4"/>
  <c r="N386" i="4"/>
  <c r="N387" i="4"/>
  <c r="N388" i="4"/>
  <c r="N389" i="4"/>
  <c r="N390" i="4"/>
  <c r="N391" i="4"/>
  <c r="N392" i="4"/>
  <c r="N393" i="4"/>
  <c r="N394" i="4"/>
  <c r="N395" i="4"/>
  <c r="N396" i="4"/>
  <c r="N397" i="4"/>
  <c r="N398" i="4"/>
  <c r="N399" i="4"/>
  <c r="N400" i="4"/>
  <c r="N401" i="4"/>
  <c r="N402" i="4"/>
  <c r="N403" i="4"/>
  <c r="N404" i="4"/>
  <c r="N405" i="4"/>
  <c r="N406" i="4"/>
  <c r="N407" i="4"/>
  <c r="N408" i="4"/>
  <c r="N409" i="4"/>
  <c r="N410" i="4"/>
  <c r="N411" i="4"/>
  <c r="N412" i="4"/>
  <c r="N413" i="4"/>
  <c r="N414" i="4"/>
  <c r="N415" i="4"/>
  <c r="N416" i="4"/>
  <c r="N417" i="4"/>
  <c r="N418" i="4"/>
  <c r="N419" i="4"/>
  <c r="N420" i="4"/>
  <c r="N421" i="4"/>
  <c r="N422" i="4"/>
  <c r="N423" i="4"/>
  <c r="N424" i="4"/>
  <c r="N425" i="4"/>
  <c r="N426" i="4"/>
  <c r="N427" i="4"/>
  <c r="N428" i="4"/>
  <c r="N429" i="4"/>
  <c r="N430" i="4"/>
  <c r="N431" i="4"/>
  <c r="N432" i="4"/>
  <c r="N433" i="4"/>
  <c r="N434" i="4"/>
  <c r="N435" i="4"/>
  <c r="N436" i="4"/>
  <c r="N437" i="4"/>
  <c r="N438" i="4"/>
  <c r="N439" i="4"/>
  <c r="N440" i="4"/>
  <c r="N441" i="4"/>
  <c r="N442" i="4"/>
  <c r="N443" i="4"/>
  <c r="N444" i="4"/>
  <c r="N445" i="4"/>
  <c r="N446" i="4"/>
  <c r="N447" i="4"/>
  <c r="N448" i="4"/>
  <c r="N449" i="4"/>
  <c r="N450" i="4"/>
  <c r="N451" i="4"/>
  <c r="N452" i="4"/>
  <c r="N453" i="4"/>
  <c r="N454" i="4"/>
  <c r="N455" i="4"/>
  <c r="N456" i="4"/>
  <c r="N457" i="4"/>
  <c r="N458" i="4"/>
  <c r="N459" i="4"/>
  <c r="N460" i="4"/>
  <c r="N461" i="4"/>
  <c r="N462" i="4"/>
  <c r="N463" i="4"/>
  <c r="N464" i="4"/>
  <c r="N465" i="4"/>
  <c r="N466" i="4"/>
  <c r="N467" i="4"/>
  <c r="N468" i="4"/>
  <c r="N469" i="4"/>
  <c r="N470" i="4"/>
  <c r="N471" i="4"/>
  <c r="N472" i="4"/>
  <c r="N473" i="4"/>
  <c r="N474" i="4"/>
  <c r="N475" i="4"/>
  <c r="N476" i="4"/>
  <c r="N477" i="4"/>
  <c r="N478" i="4"/>
  <c r="N479" i="4"/>
  <c r="N480" i="4"/>
  <c r="N481" i="4"/>
  <c r="N482" i="4"/>
  <c r="N483" i="4"/>
  <c r="N484" i="4"/>
  <c r="N485" i="4"/>
  <c r="N486" i="4"/>
  <c r="N487" i="4"/>
  <c r="N488" i="4"/>
  <c r="N489" i="4"/>
  <c r="N490" i="4"/>
  <c r="N491" i="4"/>
  <c r="N492" i="4"/>
  <c r="N493" i="4"/>
  <c r="N494" i="4"/>
  <c r="N495" i="4"/>
  <c r="N496" i="4"/>
  <c r="N497" i="4"/>
  <c r="N498" i="4"/>
  <c r="N499" i="4"/>
  <c r="N500" i="4"/>
  <c r="N501" i="4"/>
  <c r="N502" i="4"/>
  <c r="N503" i="4"/>
  <c r="N504" i="4"/>
  <c r="N505" i="4"/>
  <c r="N506" i="4"/>
  <c r="N507" i="4"/>
  <c r="N508" i="4"/>
  <c r="N509" i="4"/>
  <c r="N510" i="4"/>
  <c r="N511" i="4"/>
  <c r="N512" i="4"/>
  <c r="N513" i="4"/>
  <c r="N514" i="4"/>
  <c r="N515" i="4"/>
  <c r="N516" i="4"/>
  <c r="N517" i="4"/>
  <c r="N518" i="4"/>
  <c r="N519" i="4"/>
  <c r="N520" i="4"/>
  <c r="N521" i="4"/>
  <c r="N522" i="4"/>
  <c r="N523" i="4"/>
  <c r="N524" i="4"/>
  <c r="N525" i="4"/>
  <c r="N526" i="4"/>
  <c r="N527" i="4"/>
  <c r="N528" i="4"/>
  <c r="N529" i="4"/>
  <c r="N530" i="4"/>
  <c r="N531" i="4"/>
  <c r="N532" i="4"/>
  <c r="N533" i="4"/>
  <c r="N534" i="4"/>
  <c r="N535" i="4"/>
  <c r="N536" i="4"/>
  <c r="N537" i="4"/>
  <c r="N538" i="4"/>
  <c r="N539" i="4"/>
  <c r="N540" i="4"/>
  <c r="N541" i="4"/>
  <c r="N542" i="4"/>
  <c r="N543" i="4"/>
  <c r="N544" i="4"/>
  <c r="N545" i="4"/>
  <c r="N546" i="4"/>
  <c r="N547" i="4"/>
  <c r="N548" i="4"/>
  <c r="N549" i="4"/>
  <c r="N550" i="4"/>
  <c r="N551" i="4"/>
  <c r="N552" i="4"/>
  <c r="N553" i="4"/>
  <c r="N554" i="4"/>
  <c r="N555" i="4"/>
  <c r="N556" i="4"/>
  <c r="N557" i="4"/>
  <c r="N558" i="4"/>
  <c r="N559" i="4"/>
  <c r="N560" i="4"/>
  <c r="N561" i="4"/>
  <c r="N562" i="4"/>
  <c r="N563" i="4"/>
  <c r="N564" i="4"/>
  <c r="N565" i="4"/>
  <c r="N566" i="4"/>
  <c r="N567" i="4"/>
  <c r="N568" i="4"/>
  <c r="N569" i="4"/>
  <c r="N570" i="4"/>
  <c r="N571" i="4"/>
  <c r="N572" i="4"/>
  <c r="N573" i="4"/>
  <c r="N574" i="4"/>
  <c r="N575" i="4"/>
  <c r="N576" i="4"/>
  <c r="N577" i="4"/>
  <c r="N578" i="4"/>
  <c r="N579" i="4"/>
  <c r="N580" i="4"/>
  <c r="N581" i="4"/>
  <c r="N582" i="4"/>
  <c r="N583" i="4"/>
  <c r="N584" i="4"/>
  <c r="N585" i="4"/>
  <c r="N586" i="4"/>
  <c r="N587" i="4"/>
  <c r="N588" i="4"/>
  <c r="N589" i="4"/>
  <c r="N590" i="4"/>
  <c r="N591" i="4"/>
  <c r="N592" i="4"/>
  <c r="N593" i="4"/>
  <c r="N594" i="4"/>
  <c r="N595" i="4"/>
  <c r="N596" i="4"/>
  <c r="N597" i="4"/>
  <c r="N598" i="4"/>
  <c r="N599" i="4"/>
  <c r="N600" i="4"/>
  <c r="N601" i="4"/>
  <c r="N602" i="4"/>
  <c r="N603" i="4"/>
  <c r="N604" i="4"/>
  <c r="N605" i="4"/>
  <c r="N606" i="4"/>
  <c r="N607" i="4"/>
  <c r="N608" i="4"/>
  <c r="N609" i="4"/>
  <c r="N610" i="4"/>
  <c r="N611" i="4"/>
  <c r="N612" i="4"/>
  <c r="N613" i="4"/>
  <c r="N614" i="4"/>
  <c r="N615" i="4"/>
  <c r="N616" i="4"/>
  <c r="N617" i="4"/>
  <c r="N618" i="4"/>
  <c r="N619" i="4"/>
  <c r="N620" i="4"/>
  <c r="N621" i="4"/>
  <c r="N622" i="4"/>
  <c r="N623" i="4"/>
  <c r="N624" i="4"/>
  <c r="N625" i="4"/>
  <c r="N626" i="4"/>
  <c r="N627" i="4"/>
  <c r="N628" i="4"/>
  <c r="N629" i="4"/>
  <c r="N630" i="4"/>
  <c r="N631" i="4"/>
  <c r="N632" i="4"/>
  <c r="N633" i="4"/>
  <c r="N634" i="4"/>
  <c r="N635" i="4"/>
  <c r="N636" i="4"/>
  <c r="N637" i="4"/>
  <c r="N638" i="4"/>
  <c r="N639" i="4"/>
  <c r="N640" i="4"/>
  <c r="N641" i="4"/>
  <c r="N642" i="4"/>
  <c r="N643" i="4"/>
  <c r="N644" i="4"/>
  <c r="N645" i="4"/>
  <c r="N646" i="4"/>
  <c r="N647" i="4"/>
  <c r="N648" i="4"/>
  <c r="N649" i="4"/>
  <c r="N650" i="4"/>
  <c r="N651" i="4"/>
  <c r="N652" i="4"/>
  <c r="N653" i="4"/>
  <c r="N654" i="4"/>
  <c r="N655" i="4"/>
  <c r="N656" i="4"/>
  <c r="N657" i="4"/>
  <c r="N658" i="4"/>
  <c r="N659" i="4"/>
  <c r="N660" i="4"/>
  <c r="N661" i="4"/>
  <c r="N662" i="4"/>
  <c r="N663" i="4"/>
  <c r="N664" i="4"/>
  <c r="N665" i="4"/>
  <c r="N666" i="4"/>
  <c r="N667" i="4"/>
  <c r="N668" i="4"/>
  <c r="N669" i="4"/>
  <c r="N670" i="4"/>
  <c r="N671" i="4"/>
  <c r="N672" i="4"/>
  <c r="N673" i="4"/>
  <c r="N674" i="4"/>
  <c r="N675" i="4"/>
  <c r="N676" i="4"/>
  <c r="N677" i="4"/>
  <c r="N678" i="4"/>
  <c r="N679" i="4"/>
  <c r="N680" i="4"/>
  <c r="N681" i="4"/>
  <c r="N682" i="4"/>
  <c r="N683" i="4"/>
  <c r="N684" i="4"/>
  <c r="N685" i="4"/>
  <c r="N686" i="4"/>
  <c r="N687" i="4"/>
  <c r="N688" i="4"/>
  <c r="N689" i="4"/>
  <c r="N690" i="4"/>
  <c r="N691" i="4"/>
  <c r="N692" i="4"/>
  <c r="N693" i="4"/>
  <c r="N694" i="4"/>
  <c r="N695" i="4"/>
  <c r="N696" i="4"/>
  <c r="N697" i="4"/>
  <c r="N698" i="4"/>
  <c r="N699" i="4"/>
  <c r="N700" i="4"/>
  <c r="N701" i="4"/>
  <c r="N702" i="4"/>
  <c r="N703" i="4"/>
  <c r="N704" i="4"/>
  <c r="N705" i="4"/>
  <c r="N706" i="4"/>
  <c r="N707" i="4"/>
  <c r="N708" i="4"/>
  <c r="N709" i="4"/>
  <c r="N710" i="4"/>
  <c r="N711" i="4"/>
  <c r="N712" i="4"/>
  <c r="N713" i="4"/>
  <c r="N714" i="4"/>
  <c r="N715" i="4"/>
  <c r="N716" i="4"/>
  <c r="N717" i="4"/>
  <c r="N718" i="4"/>
  <c r="N719" i="4"/>
  <c r="N720" i="4"/>
  <c r="N721" i="4"/>
  <c r="N722" i="4"/>
  <c r="N723" i="4"/>
  <c r="N724" i="4"/>
  <c r="N725" i="4"/>
  <c r="N726" i="4"/>
  <c r="N727" i="4"/>
  <c r="N728" i="4"/>
  <c r="N729" i="4"/>
  <c r="N730" i="4"/>
  <c r="N731" i="4"/>
  <c r="N732" i="4"/>
  <c r="N733" i="4"/>
  <c r="N734" i="4"/>
  <c r="N735" i="4"/>
  <c r="N736" i="4"/>
  <c r="N737" i="4"/>
  <c r="N738" i="4"/>
  <c r="N739" i="4"/>
  <c r="N740" i="4"/>
  <c r="N741" i="4"/>
  <c r="N742" i="4"/>
  <c r="N743" i="4"/>
  <c r="N744" i="4"/>
  <c r="N745" i="4"/>
  <c r="N746" i="4"/>
  <c r="N747" i="4"/>
  <c r="N748" i="4"/>
  <c r="N749" i="4"/>
  <c r="N750" i="4"/>
  <c r="N751" i="4"/>
  <c r="N752" i="4"/>
  <c r="N753" i="4"/>
  <c r="N754" i="4"/>
  <c r="N755" i="4"/>
  <c r="N756" i="4"/>
  <c r="N757" i="4"/>
  <c r="N758" i="4"/>
  <c r="N759" i="4"/>
  <c r="N760" i="4"/>
  <c r="N761" i="4"/>
  <c r="N762" i="4"/>
  <c r="N763" i="4"/>
  <c r="N764" i="4"/>
  <c r="N765" i="4"/>
  <c r="N766" i="4"/>
  <c r="N767" i="4"/>
  <c r="N768" i="4"/>
  <c r="N769" i="4"/>
  <c r="N770" i="4"/>
  <c r="N771" i="4"/>
  <c r="N772" i="4"/>
  <c r="N773" i="4"/>
  <c r="N774" i="4"/>
  <c r="N775" i="4"/>
  <c r="N776" i="4"/>
  <c r="N777" i="4"/>
  <c r="N778" i="4"/>
  <c r="N779" i="4"/>
  <c r="N780" i="4"/>
  <c r="N781" i="4"/>
  <c r="N782" i="4"/>
  <c r="N783" i="4"/>
  <c r="N784" i="4"/>
  <c r="N785" i="4"/>
  <c r="N786" i="4"/>
  <c r="N787" i="4"/>
  <c r="N788" i="4"/>
  <c r="N789" i="4"/>
  <c r="N790" i="4"/>
  <c r="N791" i="4"/>
  <c r="N792" i="4"/>
  <c r="N793" i="4"/>
  <c r="N794" i="4"/>
  <c r="N795" i="4"/>
  <c r="N796" i="4"/>
  <c r="N797" i="4"/>
  <c r="N798" i="4"/>
  <c r="N799" i="4"/>
  <c r="N800" i="4"/>
  <c r="N801" i="4"/>
  <c r="N802" i="4"/>
  <c r="N803" i="4"/>
  <c r="N804" i="4"/>
  <c r="N805" i="4"/>
  <c r="N806" i="4"/>
  <c r="N807" i="4"/>
  <c r="N808" i="4"/>
  <c r="N809" i="4"/>
  <c r="N810" i="4"/>
  <c r="N811" i="4"/>
  <c r="N812" i="4"/>
  <c r="N813" i="4"/>
  <c r="N814" i="4"/>
  <c r="N815" i="4"/>
  <c r="N816" i="4"/>
  <c r="N817" i="4"/>
  <c r="N818" i="4"/>
  <c r="N819" i="4"/>
  <c r="N820" i="4"/>
  <c r="N821" i="4"/>
  <c r="N822" i="4"/>
  <c r="N823" i="4"/>
  <c r="N824" i="4"/>
  <c r="N825" i="4"/>
  <c r="N826" i="4"/>
  <c r="N827" i="4"/>
  <c r="N828" i="4"/>
  <c r="N829" i="4"/>
  <c r="N830" i="4"/>
  <c r="N831" i="4"/>
  <c r="N832" i="4"/>
  <c r="N833" i="4"/>
  <c r="N834" i="4"/>
  <c r="N835" i="4"/>
  <c r="N836" i="4"/>
  <c r="N837" i="4"/>
  <c r="N838" i="4"/>
  <c r="N839" i="4"/>
  <c r="N840" i="4"/>
  <c r="N841" i="4"/>
  <c r="N842" i="4"/>
  <c r="N843" i="4"/>
  <c r="N844" i="4"/>
  <c r="N845" i="4"/>
  <c r="N846" i="4"/>
  <c r="N847" i="4"/>
  <c r="N848" i="4"/>
  <c r="N849" i="4"/>
  <c r="N850" i="4"/>
  <c r="N851" i="4"/>
  <c r="N852" i="4"/>
  <c r="N853" i="4"/>
  <c r="N854" i="4"/>
  <c r="N855" i="4"/>
  <c r="N856" i="4"/>
  <c r="N857" i="4"/>
  <c r="N858" i="4"/>
  <c r="N859" i="4"/>
  <c r="N860" i="4"/>
  <c r="N861" i="4"/>
  <c r="N862" i="4"/>
  <c r="N863" i="4"/>
  <c r="N864" i="4"/>
  <c r="N865" i="4"/>
  <c r="N866" i="4"/>
  <c r="N867" i="4"/>
  <c r="N868" i="4"/>
  <c r="N869" i="4"/>
  <c r="N870" i="4"/>
  <c r="N871" i="4"/>
  <c r="N872" i="4"/>
  <c r="N873" i="4"/>
  <c r="N874" i="4"/>
  <c r="N875" i="4"/>
  <c r="N876" i="4"/>
  <c r="N877" i="4"/>
  <c r="N878" i="4"/>
  <c r="N879" i="4"/>
  <c r="N880" i="4"/>
  <c r="N881" i="4"/>
  <c r="N882" i="4"/>
  <c r="N883" i="4"/>
  <c r="N884" i="4"/>
  <c r="N885" i="4"/>
  <c r="N886" i="4"/>
  <c r="N887" i="4"/>
  <c r="N888" i="4"/>
  <c r="N889" i="4"/>
  <c r="N890" i="4"/>
  <c r="N891" i="4"/>
  <c r="N892" i="4"/>
  <c r="N893" i="4"/>
  <c r="N894" i="4"/>
  <c r="N895" i="4"/>
  <c r="N896" i="4"/>
  <c r="N897" i="4"/>
  <c r="N898" i="4"/>
  <c r="N899" i="4"/>
  <c r="N900" i="4"/>
  <c r="N901" i="4"/>
  <c r="N902" i="4"/>
  <c r="N903" i="4"/>
  <c r="N904" i="4"/>
  <c r="N905" i="4"/>
  <c r="N906" i="4"/>
  <c r="N907" i="4"/>
  <c r="N908" i="4"/>
  <c r="N909" i="4"/>
  <c r="N910" i="4"/>
  <c r="N911" i="4"/>
  <c r="N912" i="4"/>
  <c r="N913" i="4"/>
  <c r="N914" i="4"/>
  <c r="N915" i="4"/>
  <c r="N916" i="4"/>
  <c r="N917" i="4"/>
  <c r="N918" i="4"/>
  <c r="N919" i="4"/>
  <c r="N920" i="4"/>
  <c r="N921" i="4"/>
  <c r="N922" i="4"/>
  <c r="N923" i="4"/>
  <c r="N924" i="4"/>
  <c r="N925" i="4"/>
  <c r="N926" i="4"/>
  <c r="N244" i="4"/>
  <c r="L926" i="4"/>
  <c r="AM52" i="28" s="1"/>
  <c r="L924" i="4"/>
  <c r="AK52" i="28" s="1"/>
  <c r="L925" i="4"/>
  <c r="AL52" i="28" s="1"/>
  <c r="Q924" i="4"/>
  <c r="R924" i="4"/>
  <c r="Q925" i="4"/>
  <c r="R925" i="4"/>
  <c r="AL53" i="28" s="1"/>
  <c r="Q926" i="4"/>
  <c r="R926" i="4"/>
  <c r="AM53" i="28" s="1"/>
  <c r="Q125" i="4"/>
  <c r="R125" i="4"/>
  <c r="Q126" i="4"/>
  <c r="R126" i="4"/>
  <c r="Q127" i="4"/>
  <c r="R127" i="4"/>
  <c r="Q128" i="4"/>
  <c r="R128" i="4"/>
  <c r="Q129" i="4"/>
  <c r="R129" i="4"/>
  <c r="Q130" i="4"/>
  <c r="R130" i="4"/>
  <c r="Q131" i="4"/>
  <c r="R131" i="4"/>
  <c r="Q132" i="4"/>
  <c r="R132" i="4"/>
  <c r="Q133" i="4"/>
  <c r="R133" i="4"/>
  <c r="Q134" i="4"/>
  <c r="R134" i="4"/>
  <c r="Q135" i="4"/>
  <c r="R135" i="4"/>
  <c r="Q136" i="4"/>
  <c r="R136" i="4"/>
  <c r="Q137" i="4"/>
  <c r="R137" i="4"/>
  <c r="Q138" i="4"/>
  <c r="R138" i="4"/>
  <c r="Q139" i="4"/>
  <c r="R139" i="4"/>
  <c r="Q140" i="4"/>
  <c r="R140" i="4"/>
  <c r="Q141" i="4"/>
  <c r="R141" i="4"/>
  <c r="Q142" i="4"/>
  <c r="R142" i="4"/>
  <c r="Q143" i="4"/>
  <c r="R143" i="4"/>
  <c r="Q144" i="4"/>
  <c r="R144" i="4"/>
  <c r="Q145" i="4"/>
  <c r="R145" i="4"/>
  <c r="Q146" i="4"/>
  <c r="R146" i="4"/>
  <c r="Q147" i="4"/>
  <c r="R147" i="4"/>
  <c r="Q148" i="4"/>
  <c r="R148" i="4"/>
  <c r="Q149" i="4"/>
  <c r="R149" i="4"/>
  <c r="Q150" i="4"/>
  <c r="R150" i="4"/>
  <c r="Q151" i="4"/>
  <c r="R151" i="4"/>
  <c r="Q152" i="4"/>
  <c r="R152" i="4"/>
  <c r="Q153" i="4"/>
  <c r="R153" i="4"/>
  <c r="Q154" i="4"/>
  <c r="R154" i="4"/>
  <c r="Q155" i="4"/>
  <c r="R155" i="4"/>
  <c r="Q156" i="4"/>
  <c r="R156" i="4"/>
  <c r="Q157" i="4"/>
  <c r="R157" i="4"/>
  <c r="Q158" i="4"/>
  <c r="R158" i="4"/>
  <c r="Q159" i="4"/>
  <c r="R159" i="4"/>
  <c r="Q160" i="4"/>
  <c r="R160" i="4"/>
  <c r="Q161" i="4"/>
  <c r="R161" i="4"/>
  <c r="Q162" i="4"/>
  <c r="R162" i="4"/>
  <c r="Q163" i="4"/>
  <c r="R163" i="4"/>
  <c r="Q164" i="4"/>
  <c r="R164" i="4"/>
  <c r="Q165" i="4"/>
  <c r="R165" i="4"/>
  <c r="Q166" i="4"/>
  <c r="R166" i="4"/>
  <c r="Q167" i="4"/>
  <c r="R167" i="4"/>
  <c r="Q168" i="4"/>
  <c r="R168" i="4"/>
  <c r="Q169" i="4"/>
  <c r="R169" i="4"/>
  <c r="Q170" i="4"/>
  <c r="R170" i="4"/>
  <c r="Q171" i="4"/>
  <c r="R171" i="4"/>
  <c r="Q172" i="4"/>
  <c r="R172" i="4"/>
  <c r="Q173" i="4"/>
  <c r="R173" i="4"/>
  <c r="Q174" i="4"/>
  <c r="R174" i="4"/>
  <c r="Q175" i="4"/>
  <c r="R175" i="4"/>
  <c r="Q176" i="4"/>
  <c r="R176" i="4"/>
  <c r="Q177" i="4"/>
  <c r="R177" i="4"/>
  <c r="Q178" i="4"/>
  <c r="R178" i="4"/>
  <c r="Q179" i="4"/>
  <c r="R179" i="4"/>
  <c r="Q180" i="4"/>
  <c r="R180" i="4"/>
  <c r="Q181" i="4"/>
  <c r="R181" i="4"/>
  <c r="Q182" i="4"/>
  <c r="R182" i="4"/>
  <c r="Q183" i="4"/>
  <c r="R183" i="4"/>
  <c r="Q184" i="4"/>
  <c r="R184" i="4"/>
  <c r="Q185" i="4"/>
  <c r="R185" i="4"/>
  <c r="Q186" i="4"/>
  <c r="R186" i="4"/>
  <c r="Q187" i="4"/>
  <c r="R187" i="4"/>
  <c r="Q188" i="4"/>
  <c r="R188" i="4"/>
  <c r="Q189" i="4"/>
  <c r="R189" i="4"/>
  <c r="Q190" i="4"/>
  <c r="R190" i="4"/>
  <c r="Q191" i="4"/>
  <c r="R191" i="4"/>
  <c r="Q192" i="4"/>
  <c r="R192" i="4"/>
  <c r="Q193" i="4"/>
  <c r="R193" i="4"/>
  <c r="Q194" i="4"/>
  <c r="R194" i="4"/>
  <c r="Q195" i="4"/>
  <c r="R195" i="4"/>
  <c r="Q196" i="4"/>
  <c r="R196" i="4"/>
  <c r="Q197" i="4"/>
  <c r="R197" i="4"/>
  <c r="Q198" i="4"/>
  <c r="R198" i="4"/>
  <c r="Q199" i="4"/>
  <c r="R199" i="4"/>
  <c r="Q200" i="4"/>
  <c r="R200" i="4"/>
  <c r="Q201" i="4"/>
  <c r="R201" i="4"/>
  <c r="Q202" i="4"/>
  <c r="R202" i="4"/>
  <c r="Q203" i="4"/>
  <c r="R203" i="4"/>
  <c r="Q204" i="4"/>
  <c r="R204" i="4"/>
  <c r="Q205" i="4"/>
  <c r="R205" i="4"/>
  <c r="Q206" i="4"/>
  <c r="R206" i="4"/>
  <c r="Q207" i="4"/>
  <c r="R207" i="4"/>
  <c r="Q208" i="4"/>
  <c r="R208" i="4"/>
  <c r="Q209" i="4"/>
  <c r="R209" i="4"/>
  <c r="Q210" i="4"/>
  <c r="R210" i="4"/>
  <c r="Q211" i="4"/>
  <c r="R211" i="4"/>
  <c r="Q212" i="4"/>
  <c r="R212" i="4"/>
  <c r="Q213" i="4"/>
  <c r="R213" i="4"/>
  <c r="Q214" i="4"/>
  <c r="R214" i="4"/>
  <c r="Q215" i="4"/>
  <c r="R215" i="4"/>
  <c r="Q216" i="4"/>
  <c r="R216" i="4"/>
  <c r="Q217" i="4"/>
  <c r="R217" i="4"/>
  <c r="Q218" i="4"/>
  <c r="R218" i="4"/>
  <c r="Q219" i="4"/>
  <c r="R219" i="4"/>
  <c r="Q220" i="4"/>
  <c r="R220" i="4"/>
  <c r="Q221" i="4"/>
  <c r="R221" i="4"/>
  <c r="Q222" i="4"/>
  <c r="R222" i="4"/>
  <c r="Q223" i="4"/>
  <c r="R223" i="4"/>
  <c r="Q224" i="4"/>
  <c r="R224" i="4"/>
  <c r="Q225" i="4"/>
  <c r="R225" i="4"/>
  <c r="Q226" i="4"/>
  <c r="R226" i="4"/>
  <c r="Q227" i="4"/>
  <c r="R227" i="4"/>
  <c r="Q228" i="4"/>
  <c r="R228" i="4"/>
  <c r="Q229" i="4"/>
  <c r="R229" i="4"/>
  <c r="Q230" i="4"/>
  <c r="R230" i="4"/>
  <c r="Q231" i="4"/>
  <c r="R231" i="4"/>
  <c r="Q232" i="4"/>
  <c r="R232" i="4"/>
  <c r="Q233" i="4"/>
  <c r="R233" i="4"/>
  <c r="Q234" i="4"/>
  <c r="R234" i="4"/>
  <c r="Q235" i="4"/>
  <c r="R235" i="4"/>
  <c r="Q236" i="4"/>
  <c r="R236" i="4"/>
  <c r="Q237" i="4"/>
  <c r="R237" i="4"/>
  <c r="Q238" i="4"/>
  <c r="R238" i="4"/>
  <c r="Q239" i="4"/>
  <c r="R239" i="4"/>
  <c r="Q240" i="4"/>
  <c r="R240" i="4"/>
  <c r="Q241" i="4"/>
  <c r="R241" i="4"/>
  <c r="Q242" i="4"/>
  <c r="R242" i="4"/>
  <c r="Q243" i="4"/>
  <c r="R243" i="4"/>
  <c r="Q244" i="4"/>
  <c r="R244" i="4"/>
  <c r="Q245" i="4"/>
  <c r="R245" i="4"/>
  <c r="Q246" i="4"/>
  <c r="R246" i="4"/>
  <c r="Q247" i="4"/>
  <c r="R247" i="4"/>
  <c r="Q248" i="4"/>
  <c r="R248" i="4"/>
  <c r="Q249" i="4"/>
  <c r="R249" i="4"/>
  <c r="Q250" i="4"/>
  <c r="R250" i="4"/>
  <c r="Q251" i="4"/>
  <c r="R251" i="4"/>
  <c r="Q252" i="4"/>
  <c r="R252" i="4"/>
  <c r="Q253" i="4"/>
  <c r="R253" i="4"/>
  <c r="Q254" i="4"/>
  <c r="R254" i="4"/>
  <c r="Q255" i="4"/>
  <c r="R255" i="4"/>
  <c r="Q256" i="4"/>
  <c r="R256" i="4"/>
  <c r="Q257" i="4"/>
  <c r="R257" i="4"/>
  <c r="Q258" i="4"/>
  <c r="R258" i="4"/>
  <c r="Q259" i="4"/>
  <c r="R259" i="4"/>
  <c r="Q260" i="4"/>
  <c r="R260" i="4"/>
  <c r="Q261" i="4"/>
  <c r="R261" i="4"/>
  <c r="Q262" i="4"/>
  <c r="R262" i="4"/>
  <c r="Q263" i="4"/>
  <c r="R263" i="4"/>
  <c r="Q264" i="4"/>
  <c r="R264" i="4"/>
  <c r="Q265" i="4"/>
  <c r="R265" i="4"/>
  <c r="Q266" i="4"/>
  <c r="R266" i="4"/>
  <c r="Q267" i="4"/>
  <c r="R267" i="4"/>
  <c r="Q268" i="4"/>
  <c r="R268" i="4"/>
  <c r="Q269" i="4"/>
  <c r="R269" i="4"/>
  <c r="Q270" i="4"/>
  <c r="R270" i="4"/>
  <c r="Q271" i="4"/>
  <c r="R271" i="4"/>
  <c r="Q272" i="4"/>
  <c r="R272" i="4"/>
  <c r="Q273" i="4"/>
  <c r="R273" i="4"/>
  <c r="Q274" i="4"/>
  <c r="R274" i="4"/>
  <c r="Q275" i="4"/>
  <c r="R275" i="4"/>
  <c r="Q276" i="4"/>
  <c r="R276" i="4"/>
  <c r="Q277" i="4"/>
  <c r="R277" i="4"/>
  <c r="Q278" i="4"/>
  <c r="R278" i="4"/>
  <c r="Q279" i="4"/>
  <c r="R279" i="4"/>
  <c r="Q280" i="4"/>
  <c r="R280" i="4"/>
  <c r="Q281" i="4"/>
  <c r="R281" i="4"/>
  <c r="Q282" i="4"/>
  <c r="R282" i="4"/>
  <c r="Q283" i="4"/>
  <c r="R283" i="4"/>
  <c r="Q284" i="4"/>
  <c r="R284" i="4"/>
  <c r="Q285" i="4"/>
  <c r="R285" i="4"/>
  <c r="Q286" i="4"/>
  <c r="R286" i="4"/>
  <c r="Q287" i="4"/>
  <c r="R287" i="4"/>
  <c r="Q288" i="4"/>
  <c r="R288" i="4"/>
  <c r="Q289" i="4"/>
  <c r="R289" i="4"/>
  <c r="Q290" i="4"/>
  <c r="R290" i="4"/>
  <c r="Q291" i="4"/>
  <c r="R291" i="4"/>
  <c r="Q292" i="4"/>
  <c r="R292" i="4"/>
  <c r="Q293" i="4"/>
  <c r="R293" i="4"/>
  <c r="Q294" i="4"/>
  <c r="R294" i="4"/>
  <c r="Q295" i="4"/>
  <c r="R295" i="4"/>
  <c r="Q296" i="4"/>
  <c r="R296" i="4"/>
  <c r="Q297" i="4"/>
  <c r="R297" i="4"/>
  <c r="Q298" i="4"/>
  <c r="R298" i="4"/>
  <c r="Q299" i="4"/>
  <c r="R299" i="4"/>
  <c r="Q300" i="4"/>
  <c r="R300" i="4"/>
  <c r="Q301" i="4"/>
  <c r="R301" i="4"/>
  <c r="Q302" i="4"/>
  <c r="R302" i="4"/>
  <c r="Q303" i="4"/>
  <c r="R303" i="4"/>
  <c r="Q304" i="4"/>
  <c r="R304" i="4"/>
  <c r="Q305" i="4"/>
  <c r="R305" i="4"/>
  <c r="Q306" i="4"/>
  <c r="R306" i="4"/>
  <c r="Q307" i="4"/>
  <c r="R307" i="4"/>
  <c r="Q308" i="4"/>
  <c r="R308" i="4"/>
  <c r="Q309" i="4"/>
  <c r="R309" i="4"/>
  <c r="Q310" i="4"/>
  <c r="R310" i="4"/>
  <c r="Q311" i="4"/>
  <c r="R311" i="4"/>
  <c r="Q312" i="4"/>
  <c r="R312" i="4"/>
  <c r="Q313" i="4"/>
  <c r="R313" i="4"/>
  <c r="Q314" i="4"/>
  <c r="R314" i="4"/>
  <c r="Q315" i="4"/>
  <c r="R315" i="4"/>
  <c r="Q316" i="4"/>
  <c r="R316" i="4"/>
  <c r="Q317" i="4"/>
  <c r="R317" i="4"/>
  <c r="Q318" i="4"/>
  <c r="R318" i="4"/>
  <c r="Q319" i="4"/>
  <c r="R319" i="4"/>
  <c r="Q320" i="4"/>
  <c r="R320" i="4"/>
  <c r="Q321" i="4"/>
  <c r="R321" i="4"/>
  <c r="Q322" i="4"/>
  <c r="R322" i="4"/>
  <c r="Q323" i="4"/>
  <c r="R323" i="4"/>
  <c r="Q324" i="4"/>
  <c r="R324" i="4"/>
  <c r="Q325" i="4"/>
  <c r="R325" i="4"/>
  <c r="Q326" i="4"/>
  <c r="R326" i="4"/>
  <c r="Q327" i="4"/>
  <c r="R327" i="4"/>
  <c r="Q328" i="4"/>
  <c r="R328" i="4"/>
  <c r="Q329" i="4"/>
  <c r="R329" i="4"/>
  <c r="Q330" i="4"/>
  <c r="R330" i="4"/>
  <c r="Q331" i="4"/>
  <c r="R331" i="4"/>
  <c r="Q332" i="4"/>
  <c r="R332" i="4"/>
  <c r="Q333" i="4"/>
  <c r="R333" i="4"/>
  <c r="Q334" i="4"/>
  <c r="R334" i="4"/>
  <c r="Q335" i="4"/>
  <c r="R335" i="4"/>
  <c r="Q336" i="4"/>
  <c r="R336" i="4"/>
  <c r="Q337" i="4"/>
  <c r="R337" i="4"/>
  <c r="Q338" i="4"/>
  <c r="R338" i="4"/>
  <c r="Q339" i="4"/>
  <c r="R339" i="4"/>
  <c r="Q340" i="4"/>
  <c r="R340" i="4"/>
  <c r="Q341" i="4"/>
  <c r="R341" i="4"/>
  <c r="Q342" i="4"/>
  <c r="R342" i="4"/>
  <c r="Q343" i="4"/>
  <c r="R343" i="4"/>
  <c r="Q344" i="4"/>
  <c r="R344" i="4"/>
  <c r="Q345" i="4"/>
  <c r="R345" i="4"/>
  <c r="Q346" i="4"/>
  <c r="R346" i="4"/>
  <c r="Q347" i="4"/>
  <c r="R347" i="4"/>
  <c r="Q348" i="4"/>
  <c r="R348" i="4"/>
  <c r="Q349" i="4"/>
  <c r="R349" i="4"/>
  <c r="Q350" i="4"/>
  <c r="R350" i="4"/>
  <c r="Q351" i="4"/>
  <c r="R351" i="4"/>
  <c r="Q352" i="4"/>
  <c r="R352" i="4"/>
  <c r="Q353" i="4"/>
  <c r="R353" i="4"/>
  <c r="Q354" i="4"/>
  <c r="R354" i="4"/>
  <c r="Q355" i="4"/>
  <c r="R355" i="4"/>
  <c r="Q356" i="4"/>
  <c r="R356" i="4"/>
  <c r="Q357" i="4"/>
  <c r="R357" i="4"/>
  <c r="Q358" i="4"/>
  <c r="R358" i="4"/>
  <c r="Q359" i="4"/>
  <c r="R359" i="4"/>
  <c r="Q360" i="4"/>
  <c r="R360" i="4"/>
  <c r="Q361" i="4"/>
  <c r="R361" i="4"/>
  <c r="Q362" i="4"/>
  <c r="R362" i="4"/>
  <c r="Q363" i="4"/>
  <c r="R363" i="4"/>
  <c r="Q364" i="4"/>
  <c r="R364" i="4"/>
  <c r="Q365" i="4"/>
  <c r="R365" i="4"/>
  <c r="Q366" i="4"/>
  <c r="R366" i="4"/>
  <c r="Q367" i="4"/>
  <c r="R367" i="4"/>
  <c r="Q368" i="4"/>
  <c r="R368" i="4"/>
  <c r="Q369" i="4"/>
  <c r="R369" i="4"/>
  <c r="Q370" i="4"/>
  <c r="R370" i="4"/>
  <c r="Q371" i="4"/>
  <c r="R371" i="4"/>
  <c r="Q372" i="4"/>
  <c r="R372" i="4"/>
  <c r="Q373" i="4"/>
  <c r="R373" i="4"/>
  <c r="Q374" i="4"/>
  <c r="R374" i="4"/>
  <c r="Q375" i="4"/>
  <c r="R375" i="4"/>
  <c r="Q376" i="4"/>
  <c r="R376" i="4"/>
  <c r="Q377" i="4"/>
  <c r="R377" i="4"/>
  <c r="Q378" i="4"/>
  <c r="R378" i="4"/>
  <c r="Q379" i="4"/>
  <c r="R379" i="4"/>
  <c r="Q380" i="4"/>
  <c r="R380" i="4"/>
  <c r="Q381" i="4"/>
  <c r="R381" i="4"/>
  <c r="Q382" i="4"/>
  <c r="R382" i="4"/>
  <c r="Q383" i="4"/>
  <c r="R383" i="4"/>
  <c r="Q384" i="4"/>
  <c r="R384" i="4"/>
  <c r="Q385" i="4"/>
  <c r="R385" i="4"/>
  <c r="Q386" i="4"/>
  <c r="R386" i="4"/>
  <c r="Q387" i="4"/>
  <c r="R387" i="4"/>
  <c r="Q388" i="4"/>
  <c r="R388" i="4"/>
  <c r="Q389" i="4"/>
  <c r="R389" i="4"/>
  <c r="Q390" i="4"/>
  <c r="R390" i="4"/>
  <c r="Q391" i="4"/>
  <c r="R391" i="4"/>
  <c r="Q392" i="4"/>
  <c r="R392" i="4"/>
  <c r="Q393" i="4"/>
  <c r="R393" i="4"/>
  <c r="Q394" i="4"/>
  <c r="R394" i="4"/>
  <c r="Q395" i="4"/>
  <c r="R395" i="4"/>
  <c r="Q396" i="4"/>
  <c r="R396" i="4"/>
  <c r="Q397" i="4"/>
  <c r="R397" i="4"/>
  <c r="Q398" i="4"/>
  <c r="R398" i="4"/>
  <c r="Q399" i="4"/>
  <c r="R399" i="4"/>
  <c r="Q400" i="4"/>
  <c r="R400" i="4"/>
  <c r="Q401" i="4"/>
  <c r="R401" i="4"/>
  <c r="Q402" i="4"/>
  <c r="R402" i="4"/>
  <c r="Q403" i="4"/>
  <c r="R403" i="4"/>
  <c r="Q404" i="4"/>
  <c r="R404" i="4"/>
  <c r="Q405" i="4"/>
  <c r="R405" i="4"/>
  <c r="Q406" i="4"/>
  <c r="R406" i="4"/>
  <c r="Q407" i="4"/>
  <c r="R407" i="4"/>
  <c r="Q408" i="4"/>
  <c r="R408" i="4"/>
  <c r="Q409" i="4"/>
  <c r="R409" i="4"/>
  <c r="Q410" i="4"/>
  <c r="R410" i="4"/>
  <c r="Q411" i="4"/>
  <c r="R411" i="4"/>
  <c r="Q412" i="4"/>
  <c r="R412" i="4"/>
  <c r="Q413" i="4"/>
  <c r="R413" i="4"/>
  <c r="Q414" i="4"/>
  <c r="R414" i="4"/>
  <c r="Q415" i="4"/>
  <c r="R415" i="4"/>
  <c r="Q416" i="4"/>
  <c r="R416" i="4"/>
  <c r="Q417" i="4"/>
  <c r="R417" i="4"/>
  <c r="Q418" i="4"/>
  <c r="R418" i="4"/>
  <c r="Q419" i="4"/>
  <c r="R419" i="4"/>
  <c r="Q420" i="4"/>
  <c r="R420" i="4"/>
  <c r="Q421" i="4"/>
  <c r="R421" i="4"/>
  <c r="Q422" i="4"/>
  <c r="R422" i="4"/>
  <c r="Q423" i="4"/>
  <c r="R423" i="4"/>
  <c r="Q424" i="4"/>
  <c r="R424" i="4"/>
  <c r="Q425" i="4"/>
  <c r="R425" i="4"/>
  <c r="Q426" i="4"/>
  <c r="R426" i="4"/>
  <c r="Q427" i="4"/>
  <c r="R427" i="4"/>
  <c r="Q428" i="4"/>
  <c r="R428" i="4"/>
  <c r="Q429" i="4"/>
  <c r="R429" i="4"/>
  <c r="Q430" i="4"/>
  <c r="R430" i="4"/>
  <c r="Q431" i="4"/>
  <c r="R431" i="4"/>
  <c r="Q432" i="4"/>
  <c r="R432" i="4"/>
  <c r="Q433" i="4"/>
  <c r="R433" i="4"/>
  <c r="Q434" i="4"/>
  <c r="R434" i="4"/>
  <c r="Q435" i="4"/>
  <c r="R435" i="4"/>
  <c r="Q436" i="4"/>
  <c r="R436" i="4"/>
  <c r="Q437" i="4"/>
  <c r="R437" i="4"/>
  <c r="Q438" i="4"/>
  <c r="R438" i="4"/>
  <c r="Q439" i="4"/>
  <c r="R439" i="4"/>
  <c r="Q440" i="4"/>
  <c r="R440" i="4"/>
  <c r="Q441" i="4"/>
  <c r="R441" i="4"/>
  <c r="Q442" i="4"/>
  <c r="R442" i="4"/>
  <c r="Q443" i="4"/>
  <c r="R443" i="4"/>
  <c r="Q444" i="4"/>
  <c r="R444" i="4"/>
  <c r="Q445" i="4"/>
  <c r="R445" i="4"/>
  <c r="Q446" i="4"/>
  <c r="R446" i="4"/>
  <c r="Q447" i="4"/>
  <c r="R447" i="4"/>
  <c r="Q448" i="4"/>
  <c r="R448" i="4"/>
  <c r="Q449" i="4"/>
  <c r="R449" i="4"/>
  <c r="Q450" i="4"/>
  <c r="R450" i="4"/>
  <c r="Q451" i="4"/>
  <c r="R451" i="4"/>
  <c r="Q452" i="4"/>
  <c r="R452" i="4"/>
  <c r="Q453" i="4"/>
  <c r="R453" i="4"/>
  <c r="Q454" i="4"/>
  <c r="R454" i="4"/>
  <c r="Q455" i="4"/>
  <c r="R455" i="4"/>
  <c r="Q456" i="4"/>
  <c r="R456" i="4"/>
  <c r="Q457" i="4"/>
  <c r="R457" i="4"/>
  <c r="Q458" i="4"/>
  <c r="R458" i="4"/>
  <c r="Q459" i="4"/>
  <c r="R459" i="4"/>
  <c r="Q460" i="4"/>
  <c r="R460" i="4"/>
  <c r="Q461" i="4"/>
  <c r="R461" i="4"/>
  <c r="Q462" i="4"/>
  <c r="R462" i="4"/>
  <c r="Q463" i="4"/>
  <c r="R463" i="4"/>
  <c r="Q464" i="4"/>
  <c r="R464" i="4"/>
  <c r="Q465" i="4"/>
  <c r="R465" i="4"/>
  <c r="Q466" i="4"/>
  <c r="R466" i="4"/>
  <c r="Q467" i="4"/>
  <c r="R467" i="4"/>
  <c r="Q468" i="4"/>
  <c r="R468" i="4"/>
  <c r="Q469" i="4"/>
  <c r="R469" i="4"/>
  <c r="Q470" i="4"/>
  <c r="R470" i="4"/>
  <c r="Q471" i="4"/>
  <c r="R471" i="4"/>
  <c r="Q472" i="4"/>
  <c r="R472" i="4"/>
  <c r="Q473" i="4"/>
  <c r="R473" i="4"/>
  <c r="Q474" i="4"/>
  <c r="R474" i="4"/>
  <c r="Q475" i="4"/>
  <c r="R475" i="4"/>
  <c r="Q476" i="4"/>
  <c r="R476" i="4"/>
  <c r="Q477" i="4"/>
  <c r="R477" i="4"/>
  <c r="Q478" i="4"/>
  <c r="R478" i="4"/>
  <c r="Q479" i="4"/>
  <c r="R479" i="4"/>
  <c r="Q480" i="4"/>
  <c r="R480" i="4"/>
  <c r="Q481" i="4"/>
  <c r="R481" i="4"/>
  <c r="Q482" i="4"/>
  <c r="R482" i="4"/>
  <c r="Q483" i="4"/>
  <c r="R483" i="4"/>
  <c r="Q484" i="4"/>
  <c r="R484" i="4"/>
  <c r="Q485" i="4"/>
  <c r="R485" i="4"/>
  <c r="Q486" i="4"/>
  <c r="R486" i="4"/>
  <c r="Q487" i="4"/>
  <c r="R487" i="4"/>
  <c r="Q488" i="4"/>
  <c r="R488" i="4"/>
  <c r="Q489" i="4"/>
  <c r="R489" i="4"/>
  <c r="Q490" i="4"/>
  <c r="R490" i="4"/>
  <c r="Q491" i="4"/>
  <c r="R491" i="4"/>
  <c r="Q492" i="4"/>
  <c r="R492" i="4"/>
  <c r="Q493" i="4"/>
  <c r="R493" i="4"/>
  <c r="Q494" i="4"/>
  <c r="R494" i="4"/>
  <c r="Q495" i="4"/>
  <c r="R495" i="4"/>
  <c r="Q496" i="4"/>
  <c r="R496" i="4"/>
  <c r="Q497" i="4"/>
  <c r="R497" i="4"/>
  <c r="Q498" i="4"/>
  <c r="R498" i="4"/>
  <c r="Q499" i="4"/>
  <c r="R499" i="4"/>
  <c r="Q500" i="4"/>
  <c r="R500" i="4"/>
  <c r="Q501" i="4"/>
  <c r="R501" i="4"/>
  <c r="Q502" i="4"/>
  <c r="R502" i="4"/>
  <c r="Q503" i="4"/>
  <c r="R503" i="4"/>
  <c r="Q504" i="4"/>
  <c r="R504" i="4"/>
  <c r="Q505" i="4"/>
  <c r="R505" i="4"/>
  <c r="Q506" i="4"/>
  <c r="R506" i="4"/>
  <c r="Q507" i="4"/>
  <c r="R507" i="4"/>
  <c r="Q508" i="4"/>
  <c r="R508" i="4"/>
  <c r="Q509" i="4"/>
  <c r="R509" i="4"/>
  <c r="Q510" i="4"/>
  <c r="R510" i="4"/>
  <c r="Q511" i="4"/>
  <c r="R511" i="4"/>
  <c r="Q512" i="4"/>
  <c r="R512" i="4"/>
  <c r="Q513" i="4"/>
  <c r="R513" i="4"/>
  <c r="Q514" i="4"/>
  <c r="R514" i="4"/>
  <c r="Q515" i="4"/>
  <c r="R515" i="4"/>
  <c r="Q516" i="4"/>
  <c r="R516" i="4"/>
  <c r="Q517" i="4"/>
  <c r="R517" i="4"/>
  <c r="Q518" i="4"/>
  <c r="R518" i="4"/>
  <c r="Q519" i="4"/>
  <c r="R519" i="4"/>
  <c r="Q520" i="4"/>
  <c r="R520" i="4"/>
  <c r="Q521" i="4"/>
  <c r="R521" i="4"/>
  <c r="Q522" i="4"/>
  <c r="R522" i="4"/>
  <c r="Q523" i="4"/>
  <c r="R523" i="4"/>
  <c r="Q524" i="4"/>
  <c r="R524" i="4"/>
  <c r="Q525" i="4"/>
  <c r="R525" i="4"/>
  <c r="Q526" i="4"/>
  <c r="R526" i="4"/>
  <c r="Q527" i="4"/>
  <c r="R527" i="4"/>
  <c r="Q528" i="4"/>
  <c r="R528" i="4"/>
  <c r="Q529" i="4"/>
  <c r="R529" i="4"/>
  <c r="Q530" i="4"/>
  <c r="R530" i="4"/>
  <c r="Q531" i="4"/>
  <c r="R531" i="4"/>
  <c r="Q532" i="4"/>
  <c r="R532" i="4"/>
  <c r="Q533" i="4"/>
  <c r="R533" i="4"/>
  <c r="Q534" i="4"/>
  <c r="R534" i="4"/>
  <c r="Q535" i="4"/>
  <c r="R535" i="4"/>
  <c r="Q536" i="4"/>
  <c r="R536" i="4"/>
  <c r="Q537" i="4"/>
  <c r="R537" i="4"/>
  <c r="Q538" i="4"/>
  <c r="R538" i="4"/>
  <c r="Q539" i="4"/>
  <c r="R539" i="4"/>
  <c r="Q540" i="4"/>
  <c r="R540" i="4"/>
  <c r="Q541" i="4"/>
  <c r="R541" i="4"/>
  <c r="Q542" i="4"/>
  <c r="R542" i="4"/>
  <c r="Q543" i="4"/>
  <c r="R543" i="4"/>
  <c r="Q544" i="4"/>
  <c r="R544" i="4"/>
  <c r="Q545" i="4"/>
  <c r="R545" i="4"/>
  <c r="Q546" i="4"/>
  <c r="R546" i="4"/>
  <c r="Q547" i="4"/>
  <c r="R547" i="4"/>
  <c r="Q548" i="4"/>
  <c r="R548" i="4"/>
  <c r="Q549" i="4"/>
  <c r="R549" i="4"/>
  <c r="Q550" i="4"/>
  <c r="R550" i="4"/>
  <c r="Q551" i="4"/>
  <c r="R551" i="4"/>
  <c r="Q552" i="4"/>
  <c r="R552" i="4"/>
  <c r="Q553" i="4"/>
  <c r="R553" i="4"/>
  <c r="Q554" i="4"/>
  <c r="R554" i="4"/>
  <c r="Q555" i="4"/>
  <c r="R555" i="4"/>
  <c r="Q556" i="4"/>
  <c r="R556" i="4"/>
  <c r="Q557" i="4"/>
  <c r="R557" i="4"/>
  <c r="Q558" i="4"/>
  <c r="R558" i="4"/>
  <c r="Q559" i="4"/>
  <c r="R559" i="4"/>
  <c r="Q560" i="4"/>
  <c r="R560" i="4"/>
  <c r="Q561" i="4"/>
  <c r="R561" i="4"/>
  <c r="Q562" i="4"/>
  <c r="R562" i="4"/>
  <c r="Q563" i="4"/>
  <c r="R563" i="4"/>
  <c r="Q564" i="4"/>
  <c r="R564" i="4"/>
  <c r="Q565" i="4"/>
  <c r="R565" i="4"/>
  <c r="Q566" i="4"/>
  <c r="R566" i="4"/>
  <c r="Q567" i="4"/>
  <c r="R567" i="4"/>
  <c r="Q568" i="4"/>
  <c r="R568" i="4"/>
  <c r="Q569" i="4"/>
  <c r="R569" i="4"/>
  <c r="Q570" i="4"/>
  <c r="R570" i="4"/>
  <c r="Q571" i="4"/>
  <c r="R571" i="4"/>
  <c r="Q572" i="4"/>
  <c r="R572" i="4"/>
  <c r="Q573" i="4"/>
  <c r="R573" i="4"/>
  <c r="Q574" i="4"/>
  <c r="R574" i="4"/>
  <c r="Q575" i="4"/>
  <c r="R575" i="4"/>
  <c r="Q576" i="4"/>
  <c r="R576" i="4"/>
  <c r="Q577" i="4"/>
  <c r="R577" i="4"/>
  <c r="Q578" i="4"/>
  <c r="R578" i="4"/>
  <c r="Q579" i="4"/>
  <c r="R579" i="4"/>
  <c r="Q580" i="4"/>
  <c r="R580" i="4"/>
  <c r="Q581" i="4"/>
  <c r="R581" i="4"/>
  <c r="Q582" i="4"/>
  <c r="R582" i="4"/>
  <c r="Q583" i="4"/>
  <c r="R583" i="4"/>
  <c r="Q584" i="4"/>
  <c r="R584" i="4"/>
  <c r="Q585" i="4"/>
  <c r="R585" i="4"/>
  <c r="Q586" i="4"/>
  <c r="R586" i="4"/>
  <c r="Q587" i="4"/>
  <c r="R587" i="4"/>
  <c r="Q588" i="4"/>
  <c r="R588" i="4"/>
  <c r="Q589" i="4"/>
  <c r="R589" i="4"/>
  <c r="Q590" i="4"/>
  <c r="R590" i="4"/>
  <c r="Q591" i="4"/>
  <c r="R591" i="4"/>
  <c r="Q592" i="4"/>
  <c r="R592" i="4"/>
  <c r="Q593" i="4"/>
  <c r="R593" i="4"/>
  <c r="Q594" i="4"/>
  <c r="R594" i="4"/>
  <c r="Q595" i="4"/>
  <c r="R595" i="4"/>
  <c r="Q596" i="4"/>
  <c r="R596" i="4"/>
  <c r="Q597" i="4"/>
  <c r="R597" i="4"/>
  <c r="Q598" i="4"/>
  <c r="R598" i="4"/>
  <c r="Q599" i="4"/>
  <c r="R599" i="4"/>
  <c r="Q600" i="4"/>
  <c r="R600" i="4"/>
  <c r="Q601" i="4"/>
  <c r="R601" i="4"/>
  <c r="Q602" i="4"/>
  <c r="R602" i="4"/>
  <c r="Q603" i="4"/>
  <c r="R603" i="4"/>
  <c r="Q604" i="4"/>
  <c r="R604" i="4"/>
  <c r="Q605" i="4"/>
  <c r="R605" i="4"/>
  <c r="Q606" i="4"/>
  <c r="R606" i="4"/>
  <c r="Q607" i="4"/>
  <c r="R607" i="4"/>
  <c r="Q608" i="4"/>
  <c r="R608" i="4"/>
  <c r="Q609" i="4"/>
  <c r="R609" i="4"/>
  <c r="Q610" i="4"/>
  <c r="R610" i="4"/>
  <c r="Q611" i="4"/>
  <c r="R611" i="4"/>
  <c r="Q612" i="4"/>
  <c r="R612" i="4"/>
  <c r="Q613" i="4"/>
  <c r="R613" i="4"/>
  <c r="Q614" i="4"/>
  <c r="R614" i="4"/>
  <c r="Q615" i="4"/>
  <c r="R615" i="4"/>
  <c r="Q616" i="4"/>
  <c r="R616" i="4"/>
  <c r="Q617" i="4"/>
  <c r="R617" i="4"/>
  <c r="Q618" i="4"/>
  <c r="R618" i="4"/>
  <c r="Q619" i="4"/>
  <c r="R619" i="4"/>
  <c r="Q620" i="4"/>
  <c r="R620" i="4"/>
  <c r="Q621" i="4"/>
  <c r="R621" i="4"/>
  <c r="Q622" i="4"/>
  <c r="R622" i="4"/>
  <c r="Q623" i="4"/>
  <c r="R623" i="4"/>
  <c r="Q624" i="4"/>
  <c r="R624" i="4"/>
  <c r="Q625" i="4"/>
  <c r="R625" i="4"/>
  <c r="Q626" i="4"/>
  <c r="R626" i="4"/>
  <c r="Q627" i="4"/>
  <c r="R627" i="4"/>
  <c r="Q628" i="4"/>
  <c r="R628" i="4"/>
  <c r="Q629" i="4"/>
  <c r="R629" i="4"/>
  <c r="Q630" i="4"/>
  <c r="R630" i="4"/>
  <c r="Q631" i="4"/>
  <c r="R631" i="4"/>
  <c r="Q632" i="4"/>
  <c r="R632" i="4"/>
  <c r="Q633" i="4"/>
  <c r="R633" i="4"/>
  <c r="Q634" i="4"/>
  <c r="R634" i="4"/>
  <c r="Q635" i="4"/>
  <c r="R635" i="4"/>
  <c r="Q636" i="4"/>
  <c r="R636" i="4"/>
  <c r="Q637" i="4"/>
  <c r="R637" i="4"/>
  <c r="Q638" i="4"/>
  <c r="R638" i="4"/>
  <c r="Q639" i="4"/>
  <c r="R639" i="4"/>
  <c r="Q640" i="4"/>
  <c r="R640" i="4"/>
  <c r="Q641" i="4"/>
  <c r="R641" i="4"/>
  <c r="Q642" i="4"/>
  <c r="R642" i="4"/>
  <c r="Q643" i="4"/>
  <c r="R643" i="4"/>
  <c r="Q644" i="4"/>
  <c r="R644" i="4"/>
  <c r="Q645" i="4"/>
  <c r="R645" i="4"/>
  <c r="Q646" i="4"/>
  <c r="R646" i="4"/>
  <c r="Q647" i="4"/>
  <c r="R647" i="4"/>
  <c r="Q648" i="4"/>
  <c r="R648" i="4"/>
  <c r="Q649" i="4"/>
  <c r="R649" i="4"/>
  <c r="Q650" i="4"/>
  <c r="R650" i="4"/>
  <c r="Q651" i="4"/>
  <c r="R651" i="4"/>
  <c r="Q652" i="4"/>
  <c r="R652" i="4"/>
  <c r="Q653" i="4"/>
  <c r="R653" i="4"/>
  <c r="Q654" i="4"/>
  <c r="R654" i="4"/>
  <c r="Q655" i="4"/>
  <c r="R655" i="4"/>
  <c r="Q656" i="4"/>
  <c r="R656" i="4"/>
  <c r="Q657" i="4"/>
  <c r="R657" i="4"/>
  <c r="Q658" i="4"/>
  <c r="R658" i="4"/>
  <c r="Q659" i="4"/>
  <c r="R659" i="4"/>
  <c r="Q660" i="4"/>
  <c r="R660" i="4"/>
  <c r="Q661" i="4"/>
  <c r="R661" i="4"/>
  <c r="Q662" i="4"/>
  <c r="R662" i="4"/>
  <c r="Q663" i="4"/>
  <c r="R663" i="4"/>
  <c r="Q664" i="4"/>
  <c r="R664" i="4"/>
  <c r="Q665" i="4"/>
  <c r="R665" i="4"/>
  <c r="Q666" i="4"/>
  <c r="R666" i="4"/>
  <c r="Q667" i="4"/>
  <c r="R667" i="4"/>
  <c r="Q668" i="4"/>
  <c r="R668" i="4"/>
  <c r="Q669" i="4"/>
  <c r="R669" i="4"/>
  <c r="Q670" i="4"/>
  <c r="R670" i="4"/>
  <c r="Q671" i="4"/>
  <c r="R671" i="4"/>
  <c r="Q672" i="4"/>
  <c r="R672" i="4"/>
  <c r="Q673" i="4"/>
  <c r="R673" i="4"/>
  <c r="Q674" i="4"/>
  <c r="R674" i="4"/>
  <c r="Q675" i="4"/>
  <c r="R675" i="4"/>
  <c r="Q676" i="4"/>
  <c r="R676" i="4"/>
  <c r="Q677" i="4"/>
  <c r="R677" i="4"/>
  <c r="Q678" i="4"/>
  <c r="R678" i="4"/>
  <c r="Q679" i="4"/>
  <c r="R679" i="4"/>
  <c r="Q680" i="4"/>
  <c r="R680" i="4"/>
  <c r="Q681" i="4"/>
  <c r="R681" i="4"/>
  <c r="Q682" i="4"/>
  <c r="R682" i="4"/>
  <c r="Q683" i="4"/>
  <c r="R683" i="4"/>
  <c r="Q684" i="4"/>
  <c r="R684" i="4"/>
  <c r="Q685" i="4"/>
  <c r="R685" i="4"/>
  <c r="Q686" i="4"/>
  <c r="R686" i="4"/>
  <c r="Q687" i="4"/>
  <c r="R687" i="4"/>
  <c r="Q688" i="4"/>
  <c r="R688" i="4"/>
  <c r="Q689" i="4"/>
  <c r="R689" i="4"/>
  <c r="Q690" i="4"/>
  <c r="R690" i="4"/>
  <c r="Q691" i="4"/>
  <c r="R691" i="4"/>
  <c r="Q692" i="4"/>
  <c r="R692" i="4"/>
  <c r="Q693" i="4"/>
  <c r="R693" i="4"/>
  <c r="Q694" i="4"/>
  <c r="R694" i="4"/>
  <c r="Q695" i="4"/>
  <c r="R695" i="4"/>
  <c r="Q696" i="4"/>
  <c r="R696" i="4"/>
  <c r="Q697" i="4"/>
  <c r="R697" i="4"/>
  <c r="Q698" i="4"/>
  <c r="R698" i="4"/>
  <c r="Q699" i="4"/>
  <c r="R699" i="4"/>
  <c r="Q700" i="4"/>
  <c r="R700" i="4"/>
  <c r="Q701" i="4"/>
  <c r="R701" i="4"/>
  <c r="Q702" i="4"/>
  <c r="R702" i="4"/>
  <c r="Q703" i="4"/>
  <c r="R703" i="4"/>
  <c r="Q704" i="4"/>
  <c r="R704" i="4"/>
  <c r="Q705" i="4"/>
  <c r="R705" i="4"/>
  <c r="Q706" i="4"/>
  <c r="R706" i="4"/>
  <c r="Q707" i="4"/>
  <c r="R707" i="4"/>
  <c r="Q708" i="4"/>
  <c r="R708" i="4"/>
  <c r="Q709" i="4"/>
  <c r="R709" i="4"/>
  <c r="Q710" i="4"/>
  <c r="R710" i="4"/>
  <c r="Q711" i="4"/>
  <c r="R711" i="4"/>
  <c r="Q712" i="4"/>
  <c r="R712" i="4"/>
  <c r="Q713" i="4"/>
  <c r="R713" i="4"/>
  <c r="Q714" i="4"/>
  <c r="R714" i="4"/>
  <c r="Q715" i="4"/>
  <c r="R715" i="4"/>
  <c r="Q716" i="4"/>
  <c r="R716" i="4"/>
  <c r="Q717" i="4"/>
  <c r="R717" i="4"/>
  <c r="Q718" i="4"/>
  <c r="R718" i="4"/>
  <c r="Q719" i="4"/>
  <c r="R719" i="4"/>
  <c r="Q720" i="4"/>
  <c r="R720" i="4"/>
  <c r="Q721" i="4"/>
  <c r="R721" i="4"/>
  <c r="Q722" i="4"/>
  <c r="R722" i="4"/>
  <c r="Q723" i="4"/>
  <c r="R723" i="4"/>
  <c r="Q724" i="4"/>
  <c r="R724" i="4"/>
  <c r="Q725" i="4"/>
  <c r="R725" i="4"/>
  <c r="Q726" i="4"/>
  <c r="R726" i="4"/>
  <c r="Q727" i="4"/>
  <c r="R727" i="4"/>
  <c r="Q728" i="4"/>
  <c r="R728" i="4"/>
  <c r="Q729" i="4"/>
  <c r="R729" i="4"/>
  <c r="Q730" i="4"/>
  <c r="R730" i="4"/>
  <c r="Q731" i="4"/>
  <c r="R731" i="4"/>
  <c r="Q732" i="4"/>
  <c r="R732" i="4"/>
  <c r="Q733" i="4"/>
  <c r="R733" i="4"/>
  <c r="Q734" i="4"/>
  <c r="R734" i="4"/>
  <c r="Q735" i="4"/>
  <c r="R735" i="4"/>
  <c r="Q736" i="4"/>
  <c r="R736" i="4"/>
  <c r="Q737" i="4"/>
  <c r="R737" i="4"/>
  <c r="Q738" i="4"/>
  <c r="R738" i="4"/>
  <c r="Q739" i="4"/>
  <c r="R739" i="4"/>
  <c r="Q740" i="4"/>
  <c r="R740" i="4"/>
  <c r="Q741" i="4"/>
  <c r="R741" i="4"/>
  <c r="Q742" i="4"/>
  <c r="R742" i="4"/>
  <c r="Q743" i="4"/>
  <c r="R743" i="4"/>
  <c r="Q744" i="4"/>
  <c r="R744" i="4"/>
  <c r="Q745" i="4"/>
  <c r="R745" i="4"/>
  <c r="Q746" i="4"/>
  <c r="R746" i="4"/>
  <c r="Q747" i="4"/>
  <c r="R747" i="4"/>
  <c r="Q748" i="4"/>
  <c r="R748" i="4"/>
  <c r="Q749" i="4"/>
  <c r="R749" i="4"/>
  <c r="Q750" i="4"/>
  <c r="R750" i="4"/>
  <c r="Q751" i="4"/>
  <c r="R751" i="4"/>
  <c r="Q752" i="4"/>
  <c r="R752" i="4"/>
  <c r="Q753" i="4"/>
  <c r="R753" i="4"/>
  <c r="Q754" i="4"/>
  <c r="R754" i="4"/>
  <c r="Q755" i="4"/>
  <c r="R755" i="4"/>
  <c r="Q756" i="4"/>
  <c r="R756" i="4"/>
  <c r="Q757" i="4"/>
  <c r="R757" i="4"/>
  <c r="Q758" i="4"/>
  <c r="R758" i="4"/>
  <c r="Q759" i="4"/>
  <c r="R759" i="4"/>
  <c r="Q760" i="4"/>
  <c r="R760" i="4"/>
  <c r="Q761" i="4"/>
  <c r="R761" i="4"/>
  <c r="Q762" i="4"/>
  <c r="R762" i="4"/>
  <c r="Q763" i="4"/>
  <c r="R763" i="4"/>
  <c r="Q764" i="4"/>
  <c r="R764" i="4"/>
  <c r="Q765" i="4"/>
  <c r="R765" i="4"/>
  <c r="Q766" i="4"/>
  <c r="R766" i="4"/>
  <c r="Q767" i="4"/>
  <c r="R767" i="4"/>
  <c r="Q768" i="4"/>
  <c r="R768" i="4"/>
  <c r="Q769" i="4"/>
  <c r="R769" i="4"/>
  <c r="Q770" i="4"/>
  <c r="R770" i="4"/>
  <c r="Q771" i="4"/>
  <c r="R771" i="4"/>
  <c r="Q772" i="4"/>
  <c r="R772" i="4"/>
  <c r="Q773" i="4"/>
  <c r="R773" i="4"/>
  <c r="Q774" i="4"/>
  <c r="R774" i="4"/>
  <c r="Q775" i="4"/>
  <c r="R775" i="4"/>
  <c r="Q776" i="4"/>
  <c r="R776" i="4"/>
  <c r="Q777" i="4"/>
  <c r="R777" i="4"/>
  <c r="Q778" i="4"/>
  <c r="R778" i="4"/>
  <c r="Q779" i="4"/>
  <c r="R779" i="4"/>
  <c r="Q780" i="4"/>
  <c r="R780" i="4"/>
  <c r="Q781" i="4"/>
  <c r="R781" i="4"/>
  <c r="Q782" i="4"/>
  <c r="R782" i="4"/>
  <c r="Q783" i="4"/>
  <c r="R783" i="4"/>
  <c r="Q784" i="4"/>
  <c r="R784" i="4"/>
  <c r="Q785" i="4"/>
  <c r="R785" i="4"/>
  <c r="Q786" i="4"/>
  <c r="R786" i="4"/>
  <c r="Q787" i="4"/>
  <c r="R787" i="4"/>
  <c r="Q788" i="4"/>
  <c r="R788" i="4"/>
  <c r="Q789" i="4"/>
  <c r="R789" i="4"/>
  <c r="Q790" i="4"/>
  <c r="R790" i="4"/>
  <c r="Q791" i="4"/>
  <c r="R791" i="4"/>
  <c r="Q792" i="4"/>
  <c r="R792" i="4"/>
  <c r="Q793" i="4"/>
  <c r="R793" i="4"/>
  <c r="Q794" i="4"/>
  <c r="R794" i="4"/>
  <c r="Q795" i="4"/>
  <c r="R795" i="4"/>
  <c r="Q796" i="4"/>
  <c r="R796" i="4"/>
  <c r="Q797" i="4"/>
  <c r="R797" i="4"/>
  <c r="Q798" i="4"/>
  <c r="R798" i="4"/>
  <c r="Q799" i="4"/>
  <c r="R799" i="4"/>
  <c r="Q800" i="4"/>
  <c r="R800" i="4"/>
  <c r="Q801" i="4"/>
  <c r="R801" i="4"/>
  <c r="Q802" i="4"/>
  <c r="R802" i="4"/>
  <c r="Q803" i="4"/>
  <c r="R803" i="4"/>
  <c r="Q804" i="4"/>
  <c r="R804" i="4"/>
  <c r="Q805" i="4"/>
  <c r="R805" i="4"/>
  <c r="Q806" i="4"/>
  <c r="R806" i="4"/>
  <c r="Q807" i="4"/>
  <c r="R807" i="4"/>
  <c r="Q808" i="4"/>
  <c r="R808" i="4"/>
  <c r="Q809" i="4"/>
  <c r="R809" i="4"/>
  <c r="Q810" i="4"/>
  <c r="R810" i="4"/>
  <c r="Q811" i="4"/>
  <c r="R811" i="4"/>
  <c r="Q812" i="4"/>
  <c r="R812" i="4"/>
  <c r="Q813" i="4"/>
  <c r="R813" i="4"/>
  <c r="Q814" i="4"/>
  <c r="R814" i="4"/>
  <c r="Q815" i="4"/>
  <c r="R815" i="4"/>
  <c r="Q816" i="4"/>
  <c r="R816" i="4"/>
  <c r="Q817" i="4"/>
  <c r="R817" i="4"/>
  <c r="Q818" i="4"/>
  <c r="R818" i="4"/>
  <c r="Q819" i="4"/>
  <c r="R819" i="4"/>
  <c r="Q820" i="4"/>
  <c r="R820" i="4"/>
  <c r="Q821" i="4"/>
  <c r="R821" i="4"/>
  <c r="Q822" i="4"/>
  <c r="R822" i="4"/>
  <c r="Q823" i="4"/>
  <c r="R823" i="4"/>
  <c r="Q824" i="4"/>
  <c r="R824" i="4"/>
  <c r="Q825" i="4"/>
  <c r="R825" i="4"/>
  <c r="Q826" i="4"/>
  <c r="R826" i="4"/>
  <c r="Q827" i="4"/>
  <c r="R827" i="4"/>
  <c r="Q828" i="4"/>
  <c r="R828" i="4"/>
  <c r="Q829" i="4"/>
  <c r="R829" i="4"/>
  <c r="Q830" i="4"/>
  <c r="R830" i="4"/>
  <c r="Q831" i="4"/>
  <c r="R831" i="4"/>
  <c r="Q832" i="4"/>
  <c r="R832" i="4"/>
  <c r="Q833" i="4"/>
  <c r="R833" i="4"/>
  <c r="Q834" i="4"/>
  <c r="R834" i="4"/>
  <c r="Q835" i="4"/>
  <c r="R835" i="4"/>
  <c r="Q836" i="4"/>
  <c r="R836" i="4"/>
  <c r="Q837" i="4"/>
  <c r="R837" i="4"/>
  <c r="Q838" i="4"/>
  <c r="R838" i="4"/>
  <c r="Q839" i="4"/>
  <c r="R839" i="4"/>
  <c r="Q840" i="4"/>
  <c r="R840" i="4"/>
  <c r="Q841" i="4"/>
  <c r="R841" i="4"/>
  <c r="Q842" i="4"/>
  <c r="R842" i="4"/>
  <c r="Q843" i="4"/>
  <c r="R843" i="4"/>
  <c r="Q844" i="4"/>
  <c r="R844" i="4"/>
  <c r="Q845" i="4"/>
  <c r="R845" i="4"/>
  <c r="Q846" i="4"/>
  <c r="R846" i="4"/>
  <c r="Q847" i="4"/>
  <c r="R847" i="4"/>
  <c r="Q848" i="4"/>
  <c r="R848" i="4"/>
  <c r="Q849" i="4"/>
  <c r="R849" i="4"/>
  <c r="Q850" i="4"/>
  <c r="R850" i="4"/>
  <c r="Q851" i="4"/>
  <c r="R851" i="4"/>
  <c r="Q852" i="4"/>
  <c r="R852" i="4"/>
  <c r="Q853" i="4"/>
  <c r="R853" i="4"/>
  <c r="Q854" i="4"/>
  <c r="R854" i="4"/>
  <c r="Q855" i="4"/>
  <c r="R855" i="4"/>
  <c r="Q856" i="4"/>
  <c r="R856" i="4"/>
  <c r="Q857" i="4"/>
  <c r="R857" i="4"/>
  <c r="Q858" i="4"/>
  <c r="R858" i="4"/>
  <c r="Q859" i="4"/>
  <c r="R859" i="4"/>
  <c r="Q860" i="4"/>
  <c r="R860" i="4"/>
  <c r="Q861" i="4"/>
  <c r="R861" i="4"/>
  <c r="Q862" i="4"/>
  <c r="R862" i="4"/>
  <c r="Q863" i="4"/>
  <c r="R863" i="4"/>
  <c r="Q864" i="4"/>
  <c r="R864" i="4"/>
  <c r="Q865" i="4"/>
  <c r="R865" i="4"/>
  <c r="Q866" i="4"/>
  <c r="R866" i="4"/>
  <c r="Q867" i="4"/>
  <c r="R867" i="4"/>
  <c r="Q868" i="4"/>
  <c r="R868" i="4"/>
  <c r="Q869" i="4"/>
  <c r="R869" i="4"/>
  <c r="Q870" i="4"/>
  <c r="R870" i="4"/>
  <c r="Q871" i="4"/>
  <c r="R871" i="4"/>
  <c r="Q872" i="4"/>
  <c r="R872" i="4"/>
  <c r="Q873" i="4"/>
  <c r="R873" i="4"/>
  <c r="Q874" i="4"/>
  <c r="R874" i="4"/>
  <c r="Q875" i="4"/>
  <c r="R875" i="4"/>
  <c r="Q876" i="4"/>
  <c r="R876" i="4"/>
  <c r="Q877" i="4"/>
  <c r="R877" i="4"/>
  <c r="Q878" i="4"/>
  <c r="R878" i="4"/>
  <c r="Q879" i="4"/>
  <c r="R879" i="4"/>
  <c r="Q880" i="4"/>
  <c r="R880" i="4"/>
  <c r="Q881" i="4"/>
  <c r="R881" i="4"/>
  <c r="Q882" i="4"/>
  <c r="R882" i="4"/>
  <c r="Q883" i="4"/>
  <c r="R883" i="4"/>
  <c r="Q884" i="4"/>
  <c r="R884" i="4"/>
  <c r="Q885" i="4"/>
  <c r="R885" i="4"/>
  <c r="Q886" i="4"/>
  <c r="R886" i="4"/>
  <c r="Q887" i="4"/>
  <c r="R887" i="4"/>
  <c r="Q888" i="4"/>
  <c r="R888" i="4"/>
  <c r="Q889" i="4"/>
  <c r="R889" i="4"/>
  <c r="Q890" i="4"/>
  <c r="R890" i="4"/>
  <c r="Q891" i="4"/>
  <c r="R891" i="4"/>
  <c r="D53" i="28" s="1"/>
  <c r="Q892" i="4"/>
  <c r="R892" i="4"/>
  <c r="Q893" i="4"/>
  <c r="R893" i="4"/>
  <c r="F53" i="28" s="1"/>
  <c r="Q894" i="4"/>
  <c r="R894" i="4"/>
  <c r="Q895" i="4"/>
  <c r="R895" i="4"/>
  <c r="H53" i="28" s="1"/>
  <c r="Q896" i="4"/>
  <c r="R896" i="4"/>
  <c r="I53" i="28" s="1"/>
  <c r="Q897" i="4"/>
  <c r="R897" i="4"/>
  <c r="J53" i="28" s="1"/>
  <c r="Q898" i="4"/>
  <c r="R898" i="4"/>
  <c r="Q899" i="4"/>
  <c r="R899" i="4"/>
  <c r="L53" i="28" s="1"/>
  <c r="Q900" i="4"/>
  <c r="R900" i="4"/>
  <c r="Q901" i="4"/>
  <c r="R901" i="4"/>
  <c r="N53" i="28" s="1"/>
  <c r="Q902" i="4"/>
  <c r="R902" i="4"/>
  <c r="O53" i="28" s="1"/>
  <c r="Q903" i="4"/>
  <c r="R903" i="4"/>
  <c r="P53" i="28" s="1"/>
  <c r="Q904" i="4"/>
  <c r="R904" i="4"/>
  <c r="Q905" i="4"/>
  <c r="R905" i="4"/>
  <c r="R53" i="28" s="1"/>
  <c r="Q906" i="4"/>
  <c r="R906" i="4"/>
  <c r="Q907" i="4"/>
  <c r="R907" i="4"/>
  <c r="T53" i="28" s="1"/>
  <c r="Q908" i="4"/>
  <c r="R908" i="4"/>
  <c r="U53" i="28" s="1"/>
  <c r="Q909" i="4"/>
  <c r="R909" i="4"/>
  <c r="V53" i="28" s="1"/>
  <c r="Q910" i="4"/>
  <c r="R910" i="4"/>
  <c r="Q911" i="4"/>
  <c r="R911" i="4"/>
  <c r="X53" i="28" s="1"/>
  <c r="Q912" i="4"/>
  <c r="R912" i="4"/>
  <c r="Q913" i="4"/>
  <c r="R913" i="4"/>
  <c r="Z53" i="28" s="1"/>
  <c r="Q914" i="4"/>
  <c r="R914" i="4"/>
  <c r="AA53" i="28" s="1"/>
  <c r="Q915" i="4"/>
  <c r="R915" i="4"/>
  <c r="AB53" i="28" s="1"/>
  <c r="Q916" i="4"/>
  <c r="R916" i="4"/>
  <c r="Q917" i="4"/>
  <c r="R917" i="4"/>
  <c r="AD53" i="28" s="1"/>
  <c r="Q918" i="4"/>
  <c r="R918" i="4"/>
  <c r="Q919" i="4"/>
  <c r="R919" i="4"/>
  <c r="AF53" i="28" s="1"/>
  <c r="Q920" i="4"/>
  <c r="R920" i="4"/>
  <c r="AG53" i="28" s="1"/>
  <c r="Q921" i="4"/>
  <c r="R921" i="4"/>
  <c r="AH53" i="28" s="1"/>
  <c r="Q922" i="4"/>
  <c r="R922" i="4"/>
  <c r="Q923" i="4"/>
  <c r="R923" i="4"/>
  <c r="AJ53" i="28" s="1"/>
  <c r="K124" i="4"/>
  <c r="L124" i="4"/>
  <c r="K125" i="4"/>
  <c r="L125" i="4"/>
  <c r="K126" i="4"/>
  <c r="L126" i="4"/>
  <c r="K127" i="4"/>
  <c r="L127" i="4"/>
  <c r="K128" i="4"/>
  <c r="L128" i="4"/>
  <c r="K129" i="4"/>
  <c r="L129" i="4"/>
  <c r="K130" i="4"/>
  <c r="L130" i="4"/>
  <c r="K131" i="4"/>
  <c r="L131" i="4"/>
  <c r="K132" i="4"/>
  <c r="L132" i="4"/>
  <c r="K133" i="4"/>
  <c r="L133" i="4"/>
  <c r="K134" i="4"/>
  <c r="L134" i="4"/>
  <c r="K135" i="4"/>
  <c r="L135" i="4"/>
  <c r="K136" i="4"/>
  <c r="L136" i="4"/>
  <c r="K137" i="4"/>
  <c r="L137" i="4"/>
  <c r="K138" i="4"/>
  <c r="L138" i="4"/>
  <c r="K139" i="4"/>
  <c r="L139" i="4"/>
  <c r="K140" i="4"/>
  <c r="L140" i="4"/>
  <c r="K141" i="4"/>
  <c r="L141" i="4"/>
  <c r="K142" i="4"/>
  <c r="L142" i="4"/>
  <c r="K143" i="4"/>
  <c r="L143" i="4"/>
  <c r="K144" i="4"/>
  <c r="L144" i="4"/>
  <c r="K145" i="4"/>
  <c r="L145" i="4"/>
  <c r="K146" i="4"/>
  <c r="L146" i="4"/>
  <c r="K147" i="4"/>
  <c r="L147" i="4"/>
  <c r="K148" i="4"/>
  <c r="L148" i="4"/>
  <c r="K149" i="4"/>
  <c r="L149" i="4"/>
  <c r="K150" i="4"/>
  <c r="L150" i="4"/>
  <c r="K151" i="4"/>
  <c r="L151" i="4"/>
  <c r="K152" i="4"/>
  <c r="L152" i="4"/>
  <c r="K153" i="4"/>
  <c r="L153" i="4"/>
  <c r="K154" i="4"/>
  <c r="L154" i="4"/>
  <c r="K155" i="4"/>
  <c r="L155" i="4"/>
  <c r="K156" i="4"/>
  <c r="L156" i="4"/>
  <c r="K157" i="4"/>
  <c r="L157" i="4"/>
  <c r="K158" i="4"/>
  <c r="L158" i="4"/>
  <c r="K159" i="4"/>
  <c r="L159" i="4"/>
  <c r="K160" i="4"/>
  <c r="L160" i="4"/>
  <c r="K161" i="4"/>
  <c r="L161" i="4"/>
  <c r="K162" i="4"/>
  <c r="L162" i="4"/>
  <c r="K163" i="4"/>
  <c r="L163" i="4"/>
  <c r="K164" i="4"/>
  <c r="L164" i="4"/>
  <c r="K165" i="4"/>
  <c r="L165" i="4"/>
  <c r="K166" i="4"/>
  <c r="L166" i="4"/>
  <c r="K167" i="4"/>
  <c r="L167" i="4"/>
  <c r="K168" i="4"/>
  <c r="L168" i="4"/>
  <c r="K169" i="4"/>
  <c r="L169" i="4"/>
  <c r="K170" i="4"/>
  <c r="L170" i="4"/>
  <c r="K171" i="4"/>
  <c r="L171" i="4"/>
  <c r="K172" i="4"/>
  <c r="L172" i="4"/>
  <c r="K173" i="4"/>
  <c r="L173" i="4"/>
  <c r="K174" i="4"/>
  <c r="L174" i="4"/>
  <c r="K175" i="4"/>
  <c r="L175" i="4"/>
  <c r="K176" i="4"/>
  <c r="L176" i="4"/>
  <c r="K177" i="4"/>
  <c r="L177" i="4"/>
  <c r="K178" i="4"/>
  <c r="L178" i="4"/>
  <c r="K179" i="4"/>
  <c r="L179" i="4"/>
  <c r="K180" i="4"/>
  <c r="L180" i="4"/>
  <c r="K181" i="4"/>
  <c r="L181" i="4"/>
  <c r="K182" i="4"/>
  <c r="L182" i="4"/>
  <c r="K183" i="4"/>
  <c r="L183" i="4"/>
  <c r="K184" i="4"/>
  <c r="L184" i="4"/>
  <c r="K185" i="4"/>
  <c r="L185" i="4"/>
  <c r="K186" i="4"/>
  <c r="L186" i="4"/>
  <c r="K187" i="4"/>
  <c r="L187" i="4"/>
  <c r="K188" i="4"/>
  <c r="L188" i="4"/>
  <c r="K189" i="4"/>
  <c r="L189" i="4"/>
  <c r="K190" i="4"/>
  <c r="L190" i="4"/>
  <c r="K191" i="4"/>
  <c r="L191" i="4"/>
  <c r="K192" i="4"/>
  <c r="L192" i="4"/>
  <c r="K193" i="4"/>
  <c r="L193" i="4"/>
  <c r="K194" i="4"/>
  <c r="L194" i="4"/>
  <c r="K195" i="4"/>
  <c r="L195" i="4"/>
  <c r="K196" i="4"/>
  <c r="L196" i="4"/>
  <c r="K197" i="4"/>
  <c r="L197" i="4"/>
  <c r="K198" i="4"/>
  <c r="L198" i="4"/>
  <c r="K199" i="4"/>
  <c r="L199" i="4"/>
  <c r="K200" i="4"/>
  <c r="L200" i="4"/>
  <c r="K201" i="4"/>
  <c r="L201" i="4"/>
  <c r="K202" i="4"/>
  <c r="L202" i="4"/>
  <c r="K203" i="4"/>
  <c r="L203" i="4"/>
  <c r="K204" i="4"/>
  <c r="L204" i="4"/>
  <c r="K205" i="4"/>
  <c r="L205" i="4"/>
  <c r="K206" i="4"/>
  <c r="L206" i="4"/>
  <c r="K207" i="4"/>
  <c r="L207" i="4"/>
  <c r="K208" i="4"/>
  <c r="L208" i="4"/>
  <c r="K209" i="4"/>
  <c r="L209" i="4"/>
  <c r="K210" i="4"/>
  <c r="L210" i="4"/>
  <c r="K211" i="4"/>
  <c r="L211" i="4"/>
  <c r="K212" i="4"/>
  <c r="L212" i="4"/>
  <c r="K213" i="4"/>
  <c r="L213" i="4"/>
  <c r="K214" i="4"/>
  <c r="L214" i="4"/>
  <c r="K215" i="4"/>
  <c r="L215" i="4"/>
  <c r="K216" i="4"/>
  <c r="L216" i="4"/>
  <c r="K217" i="4"/>
  <c r="L217" i="4"/>
  <c r="K218" i="4"/>
  <c r="L218" i="4"/>
  <c r="K219" i="4"/>
  <c r="L219" i="4"/>
  <c r="K220" i="4"/>
  <c r="L220" i="4"/>
  <c r="K221" i="4"/>
  <c r="L221" i="4"/>
  <c r="K222" i="4"/>
  <c r="L222" i="4"/>
  <c r="K223" i="4"/>
  <c r="L223" i="4"/>
  <c r="K224" i="4"/>
  <c r="L224" i="4"/>
  <c r="K225" i="4"/>
  <c r="L225" i="4"/>
  <c r="K226" i="4"/>
  <c r="L226" i="4"/>
  <c r="K227" i="4"/>
  <c r="L227" i="4"/>
  <c r="K228" i="4"/>
  <c r="L228" i="4"/>
  <c r="K229" i="4"/>
  <c r="L229" i="4"/>
  <c r="K230" i="4"/>
  <c r="L230" i="4"/>
  <c r="K231" i="4"/>
  <c r="L231" i="4"/>
  <c r="K232" i="4"/>
  <c r="L232" i="4"/>
  <c r="K233" i="4"/>
  <c r="L233" i="4"/>
  <c r="K234" i="4"/>
  <c r="L234" i="4"/>
  <c r="K235" i="4"/>
  <c r="L235" i="4"/>
  <c r="K236" i="4"/>
  <c r="L236" i="4"/>
  <c r="K237" i="4"/>
  <c r="L237" i="4"/>
  <c r="K238" i="4"/>
  <c r="L238" i="4"/>
  <c r="K239" i="4"/>
  <c r="L239" i="4"/>
  <c r="K240" i="4"/>
  <c r="L240" i="4"/>
  <c r="K241" i="4"/>
  <c r="L241" i="4"/>
  <c r="K242" i="4"/>
  <c r="L242" i="4"/>
  <c r="K243" i="4"/>
  <c r="L243" i="4"/>
  <c r="K244" i="4"/>
  <c r="L244" i="4"/>
  <c r="K245" i="4"/>
  <c r="L245" i="4"/>
  <c r="K246" i="4"/>
  <c r="L246" i="4"/>
  <c r="K247" i="4"/>
  <c r="L247" i="4"/>
  <c r="K248" i="4"/>
  <c r="L248" i="4"/>
  <c r="K249" i="4"/>
  <c r="L249" i="4"/>
  <c r="K250" i="4"/>
  <c r="L250" i="4"/>
  <c r="K251" i="4"/>
  <c r="L251" i="4"/>
  <c r="K252" i="4"/>
  <c r="L252" i="4"/>
  <c r="K253" i="4"/>
  <c r="L253" i="4"/>
  <c r="K254" i="4"/>
  <c r="L254" i="4"/>
  <c r="K255" i="4"/>
  <c r="L255" i="4"/>
  <c r="K256" i="4"/>
  <c r="L256" i="4"/>
  <c r="K257" i="4"/>
  <c r="L257" i="4"/>
  <c r="K258" i="4"/>
  <c r="L258" i="4"/>
  <c r="K259" i="4"/>
  <c r="L259" i="4"/>
  <c r="K260" i="4"/>
  <c r="L260" i="4"/>
  <c r="K261" i="4"/>
  <c r="L261" i="4"/>
  <c r="K262" i="4"/>
  <c r="L262" i="4"/>
  <c r="K263" i="4"/>
  <c r="L263" i="4"/>
  <c r="K264" i="4"/>
  <c r="L264" i="4"/>
  <c r="K265" i="4"/>
  <c r="L265" i="4"/>
  <c r="K266" i="4"/>
  <c r="L266" i="4"/>
  <c r="K267" i="4"/>
  <c r="L267" i="4"/>
  <c r="K268" i="4"/>
  <c r="L268" i="4"/>
  <c r="K269" i="4"/>
  <c r="L269" i="4"/>
  <c r="K270" i="4"/>
  <c r="L270" i="4"/>
  <c r="K271" i="4"/>
  <c r="L271" i="4"/>
  <c r="K272" i="4"/>
  <c r="L272" i="4"/>
  <c r="K273" i="4"/>
  <c r="L273" i="4"/>
  <c r="K274" i="4"/>
  <c r="L274" i="4"/>
  <c r="K275" i="4"/>
  <c r="L275" i="4"/>
  <c r="K276" i="4"/>
  <c r="L276" i="4"/>
  <c r="K277" i="4"/>
  <c r="L277" i="4"/>
  <c r="K278" i="4"/>
  <c r="L278" i="4"/>
  <c r="K279" i="4"/>
  <c r="L279" i="4"/>
  <c r="K280" i="4"/>
  <c r="L280" i="4"/>
  <c r="K281" i="4"/>
  <c r="L281" i="4"/>
  <c r="K282" i="4"/>
  <c r="L282" i="4"/>
  <c r="K283" i="4"/>
  <c r="L283" i="4"/>
  <c r="K284" i="4"/>
  <c r="L284" i="4"/>
  <c r="K285" i="4"/>
  <c r="L285" i="4"/>
  <c r="K286" i="4"/>
  <c r="L286" i="4"/>
  <c r="K287" i="4"/>
  <c r="L287" i="4"/>
  <c r="K288" i="4"/>
  <c r="L288" i="4"/>
  <c r="K289" i="4"/>
  <c r="L289" i="4"/>
  <c r="K290" i="4"/>
  <c r="L290" i="4"/>
  <c r="K291" i="4"/>
  <c r="L291" i="4"/>
  <c r="K292" i="4"/>
  <c r="L292" i="4"/>
  <c r="K293" i="4"/>
  <c r="L293" i="4"/>
  <c r="K294" i="4"/>
  <c r="L294" i="4"/>
  <c r="K295" i="4"/>
  <c r="L295" i="4"/>
  <c r="K296" i="4"/>
  <c r="L296" i="4"/>
  <c r="K297" i="4"/>
  <c r="L297" i="4"/>
  <c r="K298" i="4"/>
  <c r="L298" i="4"/>
  <c r="K299" i="4"/>
  <c r="L299" i="4"/>
  <c r="K300" i="4"/>
  <c r="L300" i="4"/>
  <c r="K301" i="4"/>
  <c r="L301" i="4"/>
  <c r="K302" i="4"/>
  <c r="L302" i="4"/>
  <c r="K303" i="4"/>
  <c r="L303" i="4"/>
  <c r="K304" i="4"/>
  <c r="L304" i="4"/>
  <c r="K305" i="4"/>
  <c r="L305" i="4"/>
  <c r="K306" i="4"/>
  <c r="L306" i="4"/>
  <c r="K307" i="4"/>
  <c r="L307" i="4"/>
  <c r="K308" i="4"/>
  <c r="L308" i="4"/>
  <c r="K309" i="4"/>
  <c r="L309" i="4"/>
  <c r="K310" i="4"/>
  <c r="L310" i="4"/>
  <c r="K311" i="4"/>
  <c r="L311" i="4"/>
  <c r="K312" i="4"/>
  <c r="L312" i="4"/>
  <c r="K313" i="4"/>
  <c r="L313" i="4"/>
  <c r="K314" i="4"/>
  <c r="L314" i="4"/>
  <c r="K315" i="4"/>
  <c r="L315" i="4"/>
  <c r="K316" i="4"/>
  <c r="L316" i="4"/>
  <c r="K317" i="4"/>
  <c r="L317" i="4"/>
  <c r="K318" i="4"/>
  <c r="L318" i="4"/>
  <c r="K319" i="4"/>
  <c r="L319" i="4"/>
  <c r="K320" i="4"/>
  <c r="L320" i="4"/>
  <c r="K321" i="4"/>
  <c r="L321" i="4"/>
  <c r="K322" i="4"/>
  <c r="L322" i="4"/>
  <c r="K323" i="4"/>
  <c r="L323" i="4"/>
  <c r="K324" i="4"/>
  <c r="L324" i="4"/>
  <c r="K325" i="4"/>
  <c r="L325" i="4"/>
  <c r="K326" i="4"/>
  <c r="L326" i="4"/>
  <c r="K327" i="4"/>
  <c r="L327" i="4"/>
  <c r="K328" i="4"/>
  <c r="L328" i="4"/>
  <c r="K329" i="4"/>
  <c r="L329" i="4"/>
  <c r="K330" i="4"/>
  <c r="L330" i="4"/>
  <c r="K331" i="4"/>
  <c r="L331" i="4"/>
  <c r="K332" i="4"/>
  <c r="L332" i="4"/>
  <c r="K333" i="4"/>
  <c r="L333" i="4"/>
  <c r="K334" i="4"/>
  <c r="L334" i="4"/>
  <c r="K335" i="4"/>
  <c r="L335" i="4"/>
  <c r="K336" i="4"/>
  <c r="L336" i="4"/>
  <c r="K337" i="4"/>
  <c r="L337" i="4"/>
  <c r="K338" i="4"/>
  <c r="L338" i="4"/>
  <c r="K339" i="4"/>
  <c r="L339" i="4"/>
  <c r="K340" i="4"/>
  <c r="L340" i="4"/>
  <c r="K341" i="4"/>
  <c r="L341" i="4"/>
  <c r="K342" i="4"/>
  <c r="L342" i="4"/>
  <c r="K343" i="4"/>
  <c r="L343" i="4"/>
  <c r="K344" i="4"/>
  <c r="L344" i="4"/>
  <c r="K345" i="4"/>
  <c r="L345" i="4"/>
  <c r="K346" i="4"/>
  <c r="L346" i="4"/>
  <c r="K347" i="4"/>
  <c r="L347" i="4"/>
  <c r="K348" i="4"/>
  <c r="L348" i="4"/>
  <c r="K349" i="4"/>
  <c r="L349" i="4"/>
  <c r="K350" i="4"/>
  <c r="L350" i="4"/>
  <c r="K351" i="4"/>
  <c r="L351" i="4"/>
  <c r="K352" i="4"/>
  <c r="L352" i="4"/>
  <c r="K353" i="4"/>
  <c r="L353" i="4"/>
  <c r="K354" i="4"/>
  <c r="L354" i="4"/>
  <c r="K355" i="4"/>
  <c r="L355" i="4"/>
  <c r="K356" i="4"/>
  <c r="L356" i="4"/>
  <c r="K357" i="4"/>
  <c r="L357" i="4"/>
  <c r="K358" i="4"/>
  <c r="L358" i="4"/>
  <c r="K359" i="4"/>
  <c r="L359" i="4"/>
  <c r="K360" i="4"/>
  <c r="L360" i="4"/>
  <c r="K361" i="4"/>
  <c r="L361" i="4"/>
  <c r="K362" i="4"/>
  <c r="L362" i="4"/>
  <c r="K363" i="4"/>
  <c r="L363" i="4"/>
  <c r="K364" i="4"/>
  <c r="L364" i="4"/>
  <c r="K365" i="4"/>
  <c r="L365" i="4"/>
  <c r="K366" i="4"/>
  <c r="L366" i="4"/>
  <c r="K367" i="4"/>
  <c r="L367" i="4"/>
  <c r="K368" i="4"/>
  <c r="L368" i="4"/>
  <c r="K369" i="4"/>
  <c r="L369" i="4"/>
  <c r="K370" i="4"/>
  <c r="L370" i="4"/>
  <c r="K371" i="4"/>
  <c r="L371" i="4"/>
  <c r="K372" i="4"/>
  <c r="L372" i="4"/>
  <c r="K373" i="4"/>
  <c r="L373" i="4"/>
  <c r="K374" i="4"/>
  <c r="L374" i="4"/>
  <c r="K375" i="4"/>
  <c r="L375" i="4"/>
  <c r="K376" i="4"/>
  <c r="L376" i="4"/>
  <c r="K377" i="4"/>
  <c r="L377" i="4"/>
  <c r="K378" i="4"/>
  <c r="L378" i="4"/>
  <c r="K379" i="4"/>
  <c r="L379" i="4"/>
  <c r="K380" i="4"/>
  <c r="L380" i="4"/>
  <c r="K381" i="4"/>
  <c r="L381" i="4"/>
  <c r="K382" i="4"/>
  <c r="L382" i="4"/>
  <c r="K383" i="4"/>
  <c r="L383" i="4"/>
  <c r="K384" i="4"/>
  <c r="L384" i="4"/>
  <c r="K385" i="4"/>
  <c r="L385" i="4"/>
  <c r="K386" i="4"/>
  <c r="L386" i="4"/>
  <c r="K387" i="4"/>
  <c r="L387" i="4"/>
  <c r="K388" i="4"/>
  <c r="L388" i="4"/>
  <c r="K389" i="4"/>
  <c r="L389" i="4"/>
  <c r="K390" i="4"/>
  <c r="L390" i="4"/>
  <c r="K391" i="4"/>
  <c r="L391" i="4"/>
  <c r="K392" i="4"/>
  <c r="L392" i="4"/>
  <c r="K393" i="4"/>
  <c r="L393" i="4"/>
  <c r="K394" i="4"/>
  <c r="L394" i="4"/>
  <c r="K395" i="4"/>
  <c r="L395" i="4"/>
  <c r="K396" i="4"/>
  <c r="L396" i="4"/>
  <c r="K397" i="4"/>
  <c r="L397" i="4"/>
  <c r="K398" i="4"/>
  <c r="L398" i="4"/>
  <c r="K399" i="4"/>
  <c r="L399" i="4"/>
  <c r="K400" i="4"/>
  <c r="L400" i="4"/>
  <c r="K401" i="4"/>
  <c r="L401" i="4"/>
  <c r="K402" i="4"/>
  <c r="L402" i="4"/>
  <c r="K403" i="4"/>
  <c r="L403" i="4"/>
  <c r="K404" i="4"/>
  <c r="L404" i="4"/>
  <c r="K405" i="4"/>
  <c r="L405" i="4"/>
  <c r="K406" i="4"/>
  <c r="L406" i="4"/>
  <c r="K407" i="4"/>
  <c r="L407" i="4"/>
  <c r="K408" i="4"/>
  <c r="L408" i="4"/>
  <c r="K409" i="4"/>
  <c r="L409" i="4"/>
  <c r="K410" i="4"/>
  <c r="L410" i="4"/>
  <c r="K411" i="4"/>
  <c r="L411" i="4"/>
  <c r="K412" i="4"/>
  <c r="L412" i="4"/>
  <c r="K413" i="4"/>
  <c r="L413" i="4"/>
  <c r="K414" i="4"/>
  <c r="L414" i="4"/>
  <c r="K415" i="4"/>
  <c r="L415" i="4"/>
  <c r="K416" i="4"/>
  <c r="L416" i="4"/>
  <c r="K417" i="4"/>
  <c r="L417" i="4"/>
  <c r="K418" i="4"/>
  <c r="L418" i="4"/>
  <c r="K419" i="4"/>
  <c r="L419" i="4"/>
  <c r="K420" i="4"/>
  <c r="L420" i="4"/>
  <c r="K421" i="4"/>
  <c r="L421" i="4"/>
  <c r="K422" i="4"/>
  <c r="L422" i="4"/>
  <c r="K423" i="4"/>
  <c r="L423" i="4"/>
  <c r="K424" i="4"/>
  <c r="L424" i="4"/>
  <c r="K425" i="4"/>
  <c r="L425" i="4"/>
  <c r="K426" i="4"/>
  <c r="L426" i="4"/>
  <c r="K427" i="4"/>
  <c r="L427" i="4"/>
  <c r="K428" i="4"/>
  <c r="L428" i="4"/>
  <c r="K429" i="4"/>
  <c r="L429" i="4"/>
  <c r="K430" i="4"/>
  <c r="L430" i="4"/>
  <c r="K431" i="4"/>
  <c r="L431" i="4"/>
  <c r="K432" i="4"/>
  <c r="L432" i="4"/>
  <c r="K433" i="4"/>
  <c r="L433" i="4"/>
  <c r="K434" i="4"/>
  <c r="L434" i="4"/>
  <c r="K435" i="4"/>
  <c r="L435" i="4"/>
  <c r="K436" i="4"/>
  <c r="L436" i="4"/>
  <c r="K437" i="4"/>
  <c r="L437" i="4"/>
  <c r="K438" i="4"/>
  <c r="L438" i="4"/>
  <c r="K439" i="4"/>
  <c r="L439" i="4"/>
  <c r="K440" i="4"/>
  <c r="L440" i="4"/>
  <c r="K441" i="4"/>
  <c r="L441" i="4"/>
  <c r="K442" i="4"/>
  <c r="L442" i="4"/>
  <c r="K443" i="4"/>
  <c r="L443" i="4"/>
  <c r="K444" i="4"/>
  <c r="L444" i="4"/>
  <c r="K445" i="4"/>
  <c r="L445" i="4"/>
  <c r="K446" i="4"/>
  <c r="L446" i="4"/>
  <c r="K447" i="4"/>
  <c r="L447" i="4"/>
  <c r="K448" i="4"/>
  <c r="L448" i="4"/>
  <c r="K449" i="4"/>
  <c r="L449" i="4"/>
  <c r="K450" i="4"/>
  <c r="L450" i="4"/>
  <c r="K451" i="4"/>
  <c r="L451" i="4"/>
  <c r="K452" i="4"/>
  <c r="L452" i="4"/>
  <c r="K453" i="4"/>
  <c r="L453" i="4"/>
  <c r="K454" i="4"/>
  <c r="L454" i="4"/>
  <c r="K455" i="4"/>
  <c r="L455" i="4"/>
  <c r="K456" i="4"/>
  <c r="L456" i="4"/>
  <c r="K457" i="4"/>
  <c r="L457" i="4"/>
  <c r="K458" i="4"/>
  <c r="L458" i="4"/>
  <c r="K459" i="4"/>
  <c r="L459" i="4"/>
  <c r="K460" i="4"/>
  <c r="L460" i="4"/>
  <c r="K461" i="4"/>
  <c r="L461" i="4"/>
  <c r="K462" i="4"/>
  <c r="L462" i="4"/>
  <c r="K463" i="4"/>
  <c r="L463" i="4"/>
  <c r="K464" i="4"/>
  <c r="L464" i="4"/>
  <c r="K465" i="4"/>
  <c r="L465" i="4"/>
  <c r="K466" i="4"/>
  <c r="L466" i="4"/>
  <c r="K467" i="4"/>
  <c r="L467" i="4"/>
  <c r="K468" i="4"/>
  <c r="L468" i="4"/>
  <c r="K469" i="4"/>
  <c r="L469" i="4"/>
  <c r="K470" i="4"/>
  <c r="L470" i="4"/>
  <c r="K471" i="4"/>
  <c r="L471" i="4"/>
  <c r="K472" i="4"/>
  <c r="L472" i="4"/>
  <c r="K473" i="4"/>
  <c r="L473" i="4"/>
  <c r="K474" i="4"/>
  <c r="L474" i="4"/>
  <c r="K475" i="4"/>
  <c r="L475" i="4"/>
  <c r="K476" i="4"/>
  <c r="L476" i="4"/>
  <c r="K477" i="4"/>
  <c r="L477" i="4"/>
  <c r="K478" i="4"/>
  <c r="L478" i="4"/>
  <c r="K479" i="4"/>
  <c r="L479" i="4"/>
  <c r="K480" i="4"/>
  <c r="L480" i="4"/>
  <c r="K481" i="4"/>
  <c r="L481" i="4"/>
  <c r="K482" i="4"/>
  <c r="L482" i="4"/>
  <c r="K483" i="4"/>
  <c r="L483" i="4"/>
  <c r="K484" i="4"/>
  <c r="L484" i="4"/>
  <c r="K485" i="4"/>
  <c r="L485" i="4"/>
  <c r="K486" i="4"/>
  <c r="L486" i="4"/>
  <c r="K487" i="4"/>
  <c r="L487" i="4"/>
  <c r="K488" i="4"/>
  <c r="L488" i="4"/>
  <c r="K489" i="4"/>
  <c r="L489" i="4"/>
  <c r="K490" i="4"/>
  <c r="L490" i="4"/>
  <c r="K491" i="4"/>
  <c r="L491" i="4"/>
  <c r="K492" i="4"/>
  <c r="L492" i="4"/>
  <c r="K493" i="4"/>
  <c r="L493" i="4"/>
  <c r="K494" i="4"/>
  <c r="L494" i="4"/>
  <c r="K495" i="4"/>
  <c r="L495" i="4"/>
  <c r="K496" i="4"/>
  <c r="L496" i="4"/>
  <c r="K497" i="4"/>
  <c r="L497" i="4"/>
  <c r="K498" i="4"/>
  <c r="L498" i="4"/>
  <c r="K499" i="4"/>
  <c r="L499" i="4"/>
  <c r="K500" i="4"/>
  <c r="L500" i="4"/>
  <c r="K501" i="4"/>
  <c r="L501" i="4"/>
  <c r="K502" i="4"/>
  <c r="L502" i="4"/>
  <c r="K503" i="4"/>
  <c r="L503" i="4"/>
  <c r="K504" i="4"/>
  <c r="L504" i="4"/>
  <c r="K505" i="4"/>
  <c r="L505" i="4"/>
  <c r="K506" i="4"/>
  <c r="L506" i="4"/>
  <c r="K507" i="4"/>
  <c r="L507" i="4"/>
  <c r="K508" i="4"/>
  <c r="L508" i="4"/>
  <c r="K509" i="4"/>
  <c r="L509" i="4"/>
  <c r="K510" i="4"/>
  <c r="L510" i="4"/>
  <c r="K511" i="4"/>
  <c r="L511" i="4"/>
  <c r="K512" i="4"/>
  <c r="L512" i="4"/>
  <c r="K513" i="4"/>
  <c r="L513" i="4"/>
  <c r="K514" i="4"/>
  <c r="L514" i="4"/>
  <c r="K515" i="4"/>
  <c r="L515" i="4"/>
  <c r="K516" i="4"/>
  <c r="L516" i="4"/>
  <c r="K517" i="4"/>
  <c r="L517" i="4"/>
  <c r="K518" i="4"/>
  <c r="L518" i="4"/>
  <c r="K519" i="4"/>
  <c r="L519" i="4"/>
  <c r="K520" i="4"/>
  <c r="L520" i="4"/>
  <c r="K521" i="4"/>
  <c r="L521" i="4"/>
  <c r="K522" i="4"/>
  <c r="L522" i="4"/>
  <c r="K523" i="4"/>
  <c r="L523" i="4"/>
  <c r="K524" i="4"/>
  <c r="L524" i="4"/>
  <c r="K525" i="4"/>
  <c r="L525" i="4"/>
  <c r="K526" i="4"/>
  <c r="L526" i="4"/>
  <c r="K527" i="4"/>
  <c r="L527" i="4"/>
  <c r="K528" i="4"/>
  <c r="L528" i="4"/>
  <c r="K529" i="4"/>
  <c r="L529" i="4"/>
  <c r="K530" i="4"/>
  <c r="L530" i="4"/>
  <c r="K531" i="4"/>
  <c r="L531" i="4"/>
  <c r="K532" i="4"/>
  <c r="L532" i="4"/>
  <c r="K533" i="4"/>
  <c r="L533" i="4"/>
  <c r="K534" i="4"/>
  <c r="L534" i="4"/>
  <c r="K535" i="4"/>
  <c r="L535" i="4"/>
  <c r="K536" i="4"/>
  <c r="L536" i="4"/>
  <c r="K537" i="4"/>
  <c r="L537" i="4"/>
  <c r="K538" i="4"/>
  <c r="L538" i="4"/>
  <c r="K539" i="4"/>
  <c r="L539" i="4"/>
  <c r="K540" i="4"/>
  <c r="L540" i="4"/>
  <c r="K541" i="4"/>
  <c r="L541" i="4"/>
  <c r="K542" i="4"/>
  <c r="L542" i="4"/>
  <c r="K543" i="4"/>
  <c r="L543" i="4"/>
  <c r="K544" i="4"/>
  <c r="L544" i="4"/>
  <c r="K545" i="4"/>
  <c r="L545" i="4"/>
  <c r="K546" i="4"/>
  <c r="L546" i="4"/>
  <c r="K547" i="4"/>
  <c r="L547" i="4"/>
  <c r="K548" i="4"/>
  <c r="L548" i="4"/>
  <c r="K549" i="4"/>
  <c r="L549" i="4"/>
  <c r="K550" i="4"/>
  <c r="L550" i="4"/>
  <c r="K551" i="4"/>
  <c r="L551" i="4"/>
  <c r="K552" i="4"/>
  <c r="L552" i="4"/>
  <c r="K553" i="4"/>
  <c r="L553" i="4"/>
  <c r="K554" i="4"/>
  <c r="L554" i="4"/>
  <c r="K555" i="4"/>
  <c r="L555" i="4"/>
  <c r="K556" i="4"/>
  <c r="L556" i="4"/>
  <c r="K557" i="4"/>
  <c r="L557" i="4"/>
  <c r="K558" i="4"/>
  <c r="L558" i="4"/>
  <c r="K559" i="4"/>
  <c r="L559" i="4"/>
  <c r="K560" i="4"/>
  <c r="L560" i="4"/>
  <c r="K561" i="4"/>
  <c r="L561" i="4"/>
  <c r="K562" i="4"/>
  <c r="L562" i="4"/>
  <c r="K563" i="4"/>
  <c r="L563" i="4"/>
  <c r="K564" i="4"/>
  <c r="L564" i="4"/>
  <c r="K565" i="4"/>
  <c r="L565" i="4"/>
  <c r="K566" i="4"/>
  <c r="L566" i="4"/>
  <c r="K567" i="4"/>
  <c r="L567" i="4"/>
  <c r="K568" i="4"/>
  <c r="L568" i="4"/>
  <c r="K569" i="4"/>
  <c r="L569" i="4"/>
  <c r="K570" i="4"/>
  <c r="L570" i="4"/>
  <c r="K571" i="4"/>
  <c r="L571" i="4"/>
  <c r="K572" i="4"/>
  <c r="L572" i="4"/>
  <c r="K573" i="4"/>
  <c r="L573" i="4"/>
  <c r="K574" i="4"/>
  <c r="L574" i="4"/>
  <c r="K575" i="4"/>
  <c r="L575" i="4"/>
  <c r="K576" i="4"/>
  <c r="L576" i="4"/>
  <c r="K577" i="4"/>
  <c r="L577" i="4"/>
  <c r="K578" i="4"/>
  <c r="L578" i="4"/>
  <c r="K579" i="4"/>
  <c r="L579" i="4"/>
  <c r="K580" i="4"/>
  <c r="L580" i="4"/>
  <c r="K581" i="4"/>
  <c r="L581" i="4"/>
  <c r="K582" i="4"/>
  <c r="L582" i="4"/>
  <c r="K583" i="4"/>
  <c r="L583" i="4"/>
  <c r="K584" i="4"/>
  <c r="L584" i="4"/>
  <c r="K585" i="4"/>
  <c r="L585" i="4"/>
  <c r="K586" i="4"/>
  <c r="L586" i="4"/>
  <c r="K587" i="4"/>
  <c r="L587" i="4"/>
  <c r="K588" i="4"/>
  <c r="L588" i="4"/>
  <c r="K589" i="4"/>
  <c r="L589" i="4"/>
  <c r="K590" i="4"/>
  <c r="L590" i="4"/>
  <c r="K591" i="4"/>
  <c r="L591" i="4"/>
  <c r="K592" i="4"/>
  <c r="L592" i="4"/>
  <c r="K593" i="4"/>
  <c r="L593" i="4"/>
  <c r="K594" i="4"/>
  <c r="L594" i="4"/>
  <c r="K595" i="4"/>
  <c r="L595" i="4"/>
  <c r="K596" i="4"/>
  <c r="L596" i="4"/>
  <c r="K597" i="4"/>
  <c r="L597" i="4"/>
  <c r="K598" i="4"/>
  <c r="L598" i="4"/>
  <c r="K599" i="4"/>
  <c r="L599" i="4"/>
  <c r="K600" i="4"/>
  <c r="L600" i="4"/>
  <c r="K601" i="4"/>
  <c r="L601" i="4"/>
  <c r="K602" i="4"/>
  <c r="L602" i="4"/>
  <c r="K603" i="4"/>
  <c r="L603" i="4"/>
  <c r="K604" i="4"/>
  <c r="L604" i="4"/>
  <c r="K605" i="4"/>
  <c r="L605" i="4"/>
  <c r="K606" i="4"/>
  <c r="L606" i="4"/>
  <c r="K607" i="4"/>
  <c r="L607" i="4"/>
  <c r="K608" i="4"/>
  <c r="L608" i="4"/>
  <c r="K609" i="4"/>
  <c r="L609" i="4"/>
  <c r="K610" i="4"/>
  <c r="L610" i="4"/>
  <c r="K611" i="4"/>
  <c r="L611" i="4"/>
  <c r="K612" i="4"/>
  <c r="L612" i="4"/>
  <c r="K613" i="4"/>
  <c r="L613" i="4"/>
  <c r="K614" i="4"/>
  <c r="L614" i="4"/>
  <c r="K615" i="4"/>
  <c r="L615" i="4"/>
  <c r="K616" i="4"/>
  <c r="L616" i="4"/>
  <c r="K617" i="4"/>
  <c r="L617" i="4"/>
  <c r="K618" i="4"/>
  <c r="L618" i="4"/>
  <c r="K619" i="4"/>
  <c r="L619" i="4"/>
  <c r="K620" i="4"/>
  <c r="L620" i="4"/>
  <c r="K621" i="4"/>
  <c r="L621" i="4"/>
  <c r="K622" i="4"/>
  <c r="L622" i="4"/>
  <c r="K623" i="4"/>
  <c r="L623" i="4"/>
  <c r="K624" i="4"/>
  <c r="L624" i="4"/>
  <c r="K625" i="4"/>
  <c r="L625" i="4"/>
  <c r="K626" i="4"/>
  <c r="L626" i="4"/>
  <c r="K627" i="4"/>
  <c r="L627" i="4"/>
  <c r="K628" i="4"/>
  <c r="L628" i="4"/>
  <c r="K629" i="4"/>
  <c r="L629" i="4"/>
  <c r="K630" i="4"/>
  <c r="L630" i="4"/>
  <c r="K631" i="4"/>
  <c r="L631" i="4"/>
  <c r="K632" i="4"/>
  <c r="L632" i="4"/>
  <c r="K633" i="4"/>
  <c r="L633" i="4"/>
  <c r="K634" i="4"/>
  <c r="L634" i="4"/>
  <c r="K635" i="4"/>
  <c r="L635" i="4"/>
  <c r="K636" i="4"/>
  <c r="L636" i="4"/>
  <c r="K637" i="4"/>
  <c r="L637" i="4"/>
  <c r="K638" i="4"/>
  <c r="L638" i="4"/>
  <c r="K639" i="4"/>
  <c r="L639" i="4"/>
  <c r="K640" i="4"/>
  <c r="L640" i="4"/>
  <c r="K641" i="4"/>
  <c r="L641" i="4"/>
  <c r="K642" i="4"/>
  <c r="L642" i="4"/>
  <c r="K643" i="4"/>
  <c r="L643" i="4"/>
  <c r="K644" i="4"/>
  <c r="L644" i="4"/>
  <c r="K645" i="4"/>
  <c r="L645" i="4"/>
  <c r="K646" i="4"/>
  <c r="L646" i="4"/>
  <c r="K647" i="4"/>
  <c r="L647" i="4"/>
  <c r="K648" i="4"/>
  <c r="L648" i="4"/>
  <c r="K649" i="4"/>
  <c r="L649" i="4"/>
  <c r="K650" i="4"/>
  <c r="L650" i="4"/>
  <c r="K651" i="4"/>
  <c r="L651" i="4"/>
  <c r="K652" i="4"/>
  <c r="L652" i="4"/>
  <c r="K653" i="4"/>
  <c r="L653" i="4"/>
  <c r="K654" i="4"/>
  <c r="L654" i="4"/>
  <c r="K655" i="4"/>
  <c r="L655" i="4"/>
  <c r="K656" i="4"/>
  <c r="L656" i="4"/>
  <c r="K657" i="4"/>
  <c r="L657" i="4"/>
  <c r="K658" i="4"/>
  <c r="L658" i="4"/>
  <c r="K659" i="4"/>
  <c r="L659" i="4"/>
  <c r="K660" i="4"/>
  <c r="L660" i="4"/>
  <c r="K661" i="4"/>
  <c r="L661" i="4"/>
  <c r="K662" i="4"/>
  <c r="L662" i="4"/>
  <c r="K663" i="4"/>
  <c r="L663" i="4"/>
  <c r="K664" i="4"/>
  <c r="L664" i="4"/>
  <c r="K665" i="4"/>
  <c r="L665" i="4"/>
  <c r="K666" i="4"/>
  <c r="L666" i="4"/>
  <c r="K667" i="4"/>
  <c r="L667" i="4"/>
  <c r="K668" i="4"/>
  <c r="L668" i="4"/>
  <c r="K669" i="4"/>
  <c r="L669" i="4"/>
  <c r="K670" i="4"/>
  <c r="L670" i="4"/>
  <c r="K671" i="4"/>
  <c r="L671" i="4"/>
  <c r="K672" i="4"/>
  <c r="L672" i="4"/>
  <c r="K673" i="4"/>
  <c r="L673" i="4"/>
  <c r="K674" i="4"/>
  <c r="L674" i="4"/>
  <c r="K675" i="4"/>
  <c r="L675" i="4"/>
  <c r="K676" i="4"/>
  <c r="L676" i="4"/>
  <c r="K677" i="4"/>
  <c r="L677" i="4"/>
  <c r="K678" i="4"/>
  <c r="L678" i="4"/>
  <c r="K679" i="4"/>
  <c r="L679" i="4"/>
  <c r="K680" i="4"/>
  <c r="L680" i="4"/>
  <c r="K681" i="4"/>
  <c r="L681" i="4"/>
  <c r="K682" i="4"/>
  <c r="L682" i="4"/>
  <c r="K683" i="4"/>
  <c r="L683" i="4"/>
  <c r="K684" i="4"/>
  <c r="L684" i="4"/>
  <c r="K685" i="4"/>
  <c r="L685" i="4"/>
  <c r="K686" i="4"/>
  <c r="L686" i="4"/>
  <c r="K687" i="4"/>
  <c r="L687" i="4"/>
  <c r="K688" i="4"/>
  <c r="L688" i="4"/>
  <c r="K689" i="4"/>
  <c r="L689" i="4"/>
  <c r="K690" i="4"/>
  <c r="L690" i="4"/>
  <c r="K691" i="4"/>
  <c r="L691" i="4"/>
  <c r="K692" i="4"/>
  <c r="L692" i="4"/>
  <c r="K693" i="4"/>
  <c r="L693" i="4"/>
  <c r="K694" i="4"/>
  <c r="L694" i="4"/>
  <c r="K695" i="4"/>
  <c r="L695" i="4"/>
  <c r="K696" i="4"/>
  <c r="L696" i="4"/>
  <c r="K697" i="4"/>
  <c r="L697" i="4"/>
  <c r="K698" i="4"/>
  <c r="L698" i="4"/>
  <c r="K699" i="4"/>
  <c r="L699" i="4"/>
  <c r="K700" i="4"/>
  <c r="L700" i="4"/>
  <c r="K701" i="4"/>
  <c r="L701" i="4"/>
  <c r="K702" i="4"/>
  <c r="L702" i="4"/>
  <c r="K703" i="4"/>
  <c r="L703" i="4"/>
  <c r="K704" i="4"/>
  <c r="L704" i="4"/>
  <c r="K705" i="4"/>
  <c r="L705" i="4"/>
  <c r="K706" i="4"/>
  <c r="L706" i="4"/>
  <c r="K707" i="4"/>
  <c r="L707" i="4"/>
  <c r="K708" i="4"/>
  <c r="L708" i="4"/>
  <c r="K709" i="4"/>
  <c r="L709" i="4"/>
  <c r="K710" i="4"/>
  <c r="L710" i="4"/>
  <c r="K711" i="4"/>
  <c r="L711" i="4"/>
  <c r="K712" i="4"/>
  <c r="L712" i="4"/>
  <c r="K713" i="4"/>
  <c r="L713" i="4"/>
  <c r="K714" i="4"/>
  <c r="L714" i="4"/>
  <c r="K715" i="4"/>
  <c r="L715" i="4"/>
  <c r="K716" i="4"/>
  <c r="L716" i="4"/>
  <c r="K717" i="4"/>
  <c r="L717" i="4"/>
  <c r="K718" i="4"/>
  <c r="L718" i="4"/>
  <c r="K719" i="4"/>
  <c r="L719" i="4"/>
  <c r="K720" i="4"/>
  <c r="L720" i="4"/>
  <c r="K721" i="4"/>
  <c r="L721" i="4"/>
  <c r="K722" i="4"/>
  <c r="L722" i="4"/>
  <c r="K723" i="4"/>
  <c r="L723" i="4"/>
  <c r="K724" i="4"/>
  <c r="L724" i="4"/>
  <c r="K725" i="4"/>
  <c r="L725" i="4"/>
  <c r="K726" i="4"/>
  <c r="L726" i="4"/>
  <c r="K727" i="4"/>
  <c r="L727" i="4"/>
  <c r="K728" i="4"/>
  <c r="L728" i="4"/>
  <c r="K729" i="4"/>
  <c r="L729" i="4"/>
  <c r="K730" i="4"/>
  <c r="L730" i="4"/>
  <c r="K731" i="4"/>
  <c r="L731" i="4"/>
  <c r="K732" i="4"/>
  <c r="L732" i="4"/>
  <c r="K733" i="4"/>
  <c r="L733" i="4"/>
  <c r="K734" i="4"/>
  <c r="L734" i="4"/>
  <c r="K735" i="4"/>
  <c r="L735" i="4"/>
  <c r="K736" i="4"/>
  <c r="L736" i="4"/>
  <c r="K737" i="4"/>
  <c r="L737" i="4"/>
  <c r="K738" i="4"/>
  <c r="L738" i="4"/>
  <c r="K739" i="4"/>
  <c r="L739" i="4"/>
  <c r="K740" i="4"/>
  <c r="L740" i="4"/>
  <c r="K741" i="4"/>
  <c r="L741" i="4"/>
  <c r="K742" i="4"/>
  <c r="L742" i="4"/>
  <c r="K743" i="4"/>
  <c r="L743" i="4"/>
  <c r="K744" i="4"/>
  <c r="L744" i="4"/>
  <c r="K745" i="4"/>
  <c r="L745" i="4"/>
  <c r="K746" i="4"/>
  <c r="L746" i="4"/>
  <c r="K747" i="4"/>
  <c r="L747" i="4"/>
  <c r="K748" i="4"/>
  <c r="L748" i="4"/>
  <c r="K749" i="4"/>
  <c r="L749" i="4"/>
  <c r="K750" i="4"/>
  <c r="L750" i="4"/>
  <c r="K751" i="4"/>
  <c r="L751" i="4"/>
  <c r="K752" i="4"/>
  <c r="L752" i="4"/>
  <c r="K753" i="4"/>
  <c r="L753" i="4"/>
  <c r="K754" i="4"/>
  <c r="L754" i="4"/>
  <c r="K755" i="4"/>
  <c r="L755" i="4"/>
  <c r="K756" i="4"/>
  <c r="L756" i="4"/>
  <c r="K757" i="4"/>
  <c r="L757" i="4"/>
  <c r="K758" i="4"/>
  <c r="L758" i="4"/>
  <c r="K759" i="4"/>
  <c r="L759" i="4"/>
  <c r="K760" i="4"/>
  <c r="L760" i="4"/>
  <c r="K761" i="4"/>
  <c r="L761" i="4"/>
  <c r="K762" i="4"/>
  <c r="L762" i="4"/>
  <c r="K763" i="4"/>
  <c r="L763" i="4"/>
  <c r="K764" i="4"/>
  <c r="L764" i="4"/>
  <c r="K765" i="4"/>
  <c r="L765" i="4"/>
  <c r="K766" i="4"/>
  <c r="L766" i="4"/>
  <c r="K767" i="4"/>
  <c r="L767" i="4"/>
  <c r="K768" i="4"/>
  <c r="L768" i="4"/>
  <c r="K769" i="4"/>
  <c r="L769" i="4"/>
  <c r="K770" i="4"/>
  <c r="L770" i="4"/>
  <c r="K771" i="4"/>
  <c r="L771" i="4"/>
  <c r="K772" i="4"/>
  <c r="L772" i="4"/>
  <c r="K773" i="4"/>
  <c r="L773" i="4"/>
  <c r="K774" i="4"/>
  <c r="L774" i="4"/>
  <c r="K775" i="4"/>
  <c r="L775" i="4"/>
  <c r="K776" i="4"/>
  <c r="L776" i="4"/>
  <c r="K777" i="4"/>
  <c r="L777" i="4"/>
  <c r="K778" i="4"/>
  <c r="L778" i="4"/>
  <c r="K779" i="4"/>
  <c r="L779" i="4"/>
  <c r="K780" i="4"/>
  <c r="L780" i="4"/>
  <c r="K781" i="4"/>
  <c r="L781" i="4"/>
  <c r="K782" i="4"/>
  <c r="L782" i="4"/>
  <c r="K783" i="4"/>
  <c r="L783" i="4"/>
  <c r="K784" i="4"/>
  <c r="L784" i="4"/>
  <c r="K785" i="4"/>
  <c r="L785" i="4"/>
  <c r="K786" i="4"/>
  <c r="L786" i="4"/>
  <c r="K787" i="4"/>
  <c r="L787" i="4"/>
  <c r="K788" i="4"/>
  <c r="L788" i="4"/>
  <c r="K789" i="4"/>
  <c r="L789" i="4"/>
  <c r="K790" i="4"/>
  <c r="L790" i="4"/>
  <c r="K791" i="4"/>
  <c r="L791" i="4"/>
  <c r="K792" i="4"/>
  <c r="L792" i="4"/>
  <c r="K793" i="4"/>
  <c r="L793" i="4"/>
  <c r="K794" i="4"/>
  <c r="L794" i="4"/>
  <c r="K795" i="4"/>
  <c r="L795" i="4"/>
  <c r="K796" i="4"/>
  <c r="L796" i="4"/>
  <c r="K797" i="4"/>
  <c r="L797" i="4"/>
  <c r="K798" i="4"/>
  <c r="L798" i="4"/>
  <c r="K799" i="4"/>
  <c r="L799" i="4"/>
  <c r="K800" i="4"/>
  <c r="L800" i="4"/>
  <c r="K801" i="4"/>
  <c r="L801" i="4"/>
  <c r="K802" i="4"/>
  <c r="L802" i="4"/>
  <c r="K803" i="4"/>
  <c r="L803" i="4"/>
  <c r="K804" i="4"/>
  <c r="L804" i="4"/>
  <c r="K805" i="4"/>
  <c r="L805" i="4"/>
  <c r="K806" i="4"/>
  <c r="L806" i="4"/>
  <c r="K807" i="4"/>
  <c r="L807" i="4"/>
  <c r="K808" i="4"/>
  <c r="L808" i="4"/>
  <c r="K809" i="4"/>
  <c r="L809" i="4"/>
  <c r="K810" i="4"/>
  <c r="L810" i="4"/>
  <c r="K811" i="4"/>
  <c r="L811" i="4"/>
  <c r="K812" i="4"/>
  <c r="L812" i="4"/>
  <c r="K813" i="4"/>
  <c r="L813" i="4"/>
  <c r="K814" i="4"/>
  <c r="L814" i="4"/>
  <c r="K815" i="4"/>
  <c r="L815" i="4"/>
  <c r="K816" i="4"/>
  <c r="L816" i="4"/>
  <c r="K817" i="4"/>
  <c r="L817" i="4"/>
  <c r="K818" i="4"/>
  <c r="L818" i="4"/>
  <c r="K819" i="4"/>
  <c r="L819" i="4"/>
  <c r="K820" i="4"/>
  <c r="L820" i="4"/>
  <c r="K821" i="4"/>
  <c r="L821" i="4"/>
  <c r="K822" i="4"/>
  <c r="L822" i="4"/>
  <c r="K823" i="4"/>
  <c r="L823" i="4"/>
  <c r="K824" i="4"/>
  <c r="L824" i="4"/>
  <c r="K825" i="4"/>
  <c r="L825" i="4"/>
  <c r="K826" i="4"/>
  <c r="L826" i="4"/>
  <c r="K827" i="4"/>
  <c r="L827" i="4"/>
  <c r="K828" i="4"/>
  <c r="L828" i="4"/>
  <c r="K829" i="4"/>
  <c r="L829" i="4"/>
  <c r="K830" i="4"/>
  <c r="L830" i="4"/>
  <c r="K831" i="4"/>
  <c r="L831" i="4"/>
  <c r="K832" i="4"/>
  <c r="L832" i="4"/>
  <c r="K833" i="4"/>
  <c r="L833" i="4"/>
  <c r="K834" i="4"/>
  <c r="L834" i="4"/>
  <c r="K835" i="4"/>
  <c r="L835" i="4"/>
  <c r="K836" i="4"/>
  <c r="L836" i="4"/>
  <c r="K837" i="4"/>
  <c r="L837" i="4"/>
  <c r="K838" i="4"/>
  <c r="L838" i="4"/>
  <c r="K839" i="4"/>
  <c r="L839" i="4"/>
  <c r="K840" i="4"/>
  <c r="L840" i="4"/>
  <c r="K841" i="4"/>
  <c r="L841" i="4"/>
  <c r="K842" i="4"/>
  <c r="L842" i="4"/>
  <c r="K843" i="4"/>
  <c r="L843" i="4"/>
  <c r="K844" i="4"/>
  <c r="L844" i="4"/>
  <c r="K845" i="4"/>
  <c r="L845" i="4"/>
  <c r="K846" i="4"/>
  <c r="L846" i="4"/>
  <c r="K847" i="4"/>
  <c r="L847" i="4"/>
  <c r="K848" i="4"/>
  <c r="L848" i="4"/>
  <c r="K849" i="4"/>
  <c r="L849" i="4"/>
  <c r="K850" i="4"/>
  <c r="L850" i="4"/>
  <c r="K851" i="4"/>
  <c r="L851" i="4"/>
  <c r="K852" i="4"/>
  <c r="L852" i="4"/>
  <c r="K853" i="4"/>
  <c r="L853" i="4"/>
  <c r="K854" i="4"/>
  <c r="L854" i="4"/>
  <c r="K855" i="4"/>
  <c r="L855" i="4"/>
  <c r="K856" i="4"/>
  <c r="L856" i="4"/>
  <c r="K857" i="4"/>
  <c r="L857" i="4"/>
  <c r="K858" i="4"/>
  <c r="L858" i="4"/>
  <c r="K859" i="4"/>
  <c r="L859" i="4"/>
  <c r="K860" i="4"/>
  <c r="L860" i="4"/>
  <c r="K861" i="4"/>
  <c r="L861" i="4"/>
  <c r="K862" i="4"/>
  <c r="L862" i="4"/>
  <c r="K863" i="4"/>
  <c r="L863" i="4"/>
  <c r="K864" i="4"/>
  <c r="L864" i="4"/>
  <c r="K865" i="4"/>
  <c r="L865" i="4"/>
  <c r="K866" i="4"/>
  <c r="L866" i="4"/>
  <c r="K867" i="4"/>
  <c r="L867" i="4"/>
  <c r="K868" i="4"/>
  <c r="L868" i="4"/>
  <c r="K869" i="4"/>
  <c r="L869" i="4"/>
  <c r="K870" i="4"/>
  <c r="L870" i="4"/>
  <c r="K871" i="4"/>
  <c r="L871" i="4"/>
  <c r="K872" i="4"/>
  <c r="L872" i="4"/>
  <c r="K873" i="4"/>
  <c r="L873" i="4"/>
  <c r="K874" i="4"/>
  <c r="L874" i="4"/>
  <c r="K875" i="4"/>
  <c r="L875" i="4"/>
  <c r="K876" i="4"/>
  <c r="L876" i="4"/>
  <c r="K877" i="4"/>
  <c r="L877" i="4"/>
  <c r="K878" i="4"/>
  <c r="L878" i="4"/>
  <c r="K879" i="4"/>
  <c r="L879" i="4"/>
  <c r="K880" i="4"/>
  <c r="L880" i="4"/>
  <c r="K881" i="4"/>
  <c r="L881" i="4"/>
  <c r="K882" i="4"/>
  <c r="L882" i="4"/>
  <c r="K883" i="4"/>
  <c r="L883" i="4"/>
  <c r="K884" i="4"/>
  <c r="L884" i="4"/>
  <c r="K885" i="4"/>
  <c r="L885" i="4"/>
  <c r="K886" i="4"/>
  <c r="L886" i="4"/>
  <c r="K887" i="4"/>
  <c r="L887" i="4"/>
  <c r="K888" i="4"/>
  <c r="L888" i="4"/>
  <c r="K889" i="4"/>
  <c r="L889" i="4"/>
  <c r="K890" i="4"/>
  <c r="L890" i="4"/>
  <c r="K891" i="4"/>
  <c r="L891" i="4"/>
  <c r="D52" i="28" s="1"/>
  <c r="K892" i="4"/>
  <c r="L892" i="4"/>
  <c r="K893" i="4"/>
  <c r="L893" i="4"/>
  <c r="K894" i="4"/>
  <c r="L894" i="4"/>
  <c r="G52" i="28" s="1"/>
  <c r="K895" i="4"/>
  <c r="L895" i="4"/>
  <c r="H52" i="28" s="1"/>
  <c r="K896" i="4"/>
  <c r="L896" i="4"/>
  <c r="I52" i="28" s="1"/>
  <c r="K897" i="4"/>
  <c r="L897" i="4"/>
  <c r="J52" i="28" s="1"/>
  <c r="K898" i="4"/>
  <c r="L898" i="4"/>
  <c r="K899" i="4"/>
  <c r="L899" i="4"/>
  <c r="K900" i="4"/>
  <c r="L900" i="4"/>
  <c r="M52" i="28" s="1"/>
  <c r="K901" i="4"/>
  <c r="L901" i="4"/>
  <c r="N52" i="28" s="1"/>
  <c r="K902" i="4"/>
  <c r="L902" i="4"/>
  <c r="O52" i="28" s="1"/>
  <c r="K903" i="4"/>
  <c r="L903" i="4"/>
  <c r="P52" i="28" s="1"/>
  <c r="K904" i="4"/>
  <c r="L904" i="4"/>
  <c r="K905" i="4"/>
  <c r="L905" i="4"/>
  <c r="K906" i="4"/>
  <c r="L906" i="4"/>
  <c r="S52" i="28" s="1"/>
  <c r="K907" i="4"/>
  <c r="L907" i="4"/>
  <c r="T52" i="28" s="1"/>
  <c r="K908" i="4"/>
  <c r="L908" i="4"/>
  <c r="U52" i="28" s="1"/>
  <c r="K909" i="4"/>
  <c r="L909" i="4"/>
  <c r="V52" i="28" s="1"/>
  <c r="K910" i="4"/>
  <c r="L910" i="4"/>
  <c r="K911" i="4"/>
  <c r="L911" i="4"/>
  <c r="K912" i="4"/>
  <c r="L912" i="4"/>
  <c r="Y52" i="28" s="1"/>
  <c r="K913" i="4"/>
  <c r="L913" i="4"/>
  <c r="Z52" i="28" s="1"/>
  <c r="K914" i="4"/>
  <c r="L914" i="4"/>
  <c r="AA52" i="28" s="1"/>
  <c r="K915" i="4"/>
  <c r="L915" i="4"/>
  <c r="AB52" i="28" s="1"/>
  <c r="K916" i="4"/>
  <c r="L916" i="4"/>
  <c r="K917" i="4"/>
  <c r="L917" i="4"/>
  <c r="K918" i="4"/>
  <c r="L918" i="4"/>
  <c r="AE52" i="28" s="1"/>
  <c r="K919" i="4"/>
  <c r="L919" i="4"/>
  <c r="AF52" i="28" s="1"/>
  <c r="K920" i="4"/>
  <c r="L920" i="4"/>
  <c r="AG52" i="28" s="1"/>
  <c r="K921" i="4"/>
  <c r="L921" i="4"/>
  <c r="AH52" i="28" s="1"/>
  <c r="K922" i="4"/>
  <c r="L922" i="4"/>
  <c r="K923" i="4"/>
  <c r="L923" i="4"/>
  <c r="R124" i="4"/>
  <c r="R123" i="4"/>
  <c r="K926" i="4"/>
  <c r="K924" i="4"/>
  <c r="K925" i="4"/>
  <c r="K113" i="4"/>
  <c r="K114" i="4"/>
  <c r="K115" i="4"/>
  <c r="K116" i="4"/>
  <c r="K117" i="4"/>
  <c r="K118" i="4"/>
  <c r="K119" i="4"/>
  <c r="K120" i="4"/>
  <c r="K121" i="4"/>
  <c r="K122" i="4"/>
  <c r="K123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12" i="4"/>
  <c r="K112" i="4"/>
  <c r="L123" i="4"/>
  <c r="G135" i="4"/>
  <c r="G136" i="4"/>
  <c r="G137" i="4"/>
  <c r="G138" i="4"/>
  <c r="G139" i="4"/>
  <c r="G140" i="4"/>
  <c r="G141" i="4"/>
  <c r="G142" i="4"/>
  <c r="G143" i="4"/>
  <c r="G144" i="4"/>
  <c r="G145" i="4"/>
  <c r="G146" i="4"/>
  <c r="G147" i="4"/>
  <c r="G148" i="4"/>
  <c r="G149" i="4"/>
  <c r="G150" i="4"/>
  <c r="G151" i="4"/>
  <c r="G152" i="4"/>
  <c r="G153" i="4"/>
  <c r="G154" i="4"/>
  <c r="G155" i="4"/>
  <c r="G156" i="4"/>
  <c r="G157" i="4"/>
  <c r="G158" i="4"/>
  <c r="G159" i="4"/>
  <c r="G160" i="4"/>
  <c r="G161" i="4"/>
  <c r="G162" i="4"/>
  <c r="G163" i="4"/>
  <c r="G164" i="4"/>
  <c r="G165" i="4"/>
  <c r="G166" i="4"/>
  <c r="G167" i="4"/>
  <c r="G168" i="4"/>
  <c r="G169" i="4"/>
  <c r="G170" i="4"/>
  <c r="G171" i="4"/>
  <c r="G172" i="4"/>
  <c r="G173" i="4"/>
  <c r="G174" i="4"/>
  <c r="G175" i="4"/>
  <c r="G176" i="4"/>
  <c r="G177" i="4"/>
  <c r="G178" i="4"/>
  <c r="G179" i="4"/>
  <c r="G180" i="4"/>
  <c r="G181" i="4"/>
  <c r="G182" i="4"/>
  <c r="G183" i="4"/>
  <c r="G184" i="4"/>
  <c r="G185" i="4"/>
  <c r="G186" i="4"/>
  <c r="G187" i="4"/>
  <c r="G188" i="4"/>
  <c r="G189" i="4"/>
  <c r="G190" i="4"/>
  <c r="G191" i="4"/>
  <c r="G192" i="4"/>
  <c r="G193" i="4"/>
  <c r="G194" i="4"/>
  <c r="G195" i="4"/>
  <c r="G196" i="4"/>
  <c r="G197" i="4"/>
  <c r="G198" i="4"/>
  <c r="G199" i="4"/>
  <c r="G200" i="4"/>
  <c r="G201" i="4"/>
  <c r="G202" i="4"/>
  <c r="G203" i="4"/>
  <c r="G204" i="4"/>
  <c r="G205" i="4"/>
  <c r="G206" i="4"/>
  <c r="G207" i="4"/>
  <c r="G208" i="4"/>
  <c r="G209" i="4"/>
  <c r="G210" i="4"/>
  <c r="G211" i="4"/>
  <c r="G212" i="4"/>
  <c r="G213" i="4"/>
  <c r="G214" i="4"/>
  <c r="G215" i="4"/>
  <c r="G216" i="4"/>
  <c r="G217" i="4"/>
  <c r="G218" i="4"/>
  <c r="G219" i="4"/>
  <c r="G220" i="4"/>
  <c r="G221" i="4"/>
  <c r="G222" i="4"/>
  <c r="G223" i="4"/>
  <c r="G224" i="4"/>
  <c r="G225" i="4"/>
  <c r="G226" i="4"/>
  <c r="G227" i="4"/>
  <c r="G228" i="4"/>
  <c r="G229" i="4"/>
  <c r="G230" i="4"/>
  <c r="G231" i="4"/>
  <c r="G232" i="4"/>
  <c r="G233" i="4"/>
  <c r="G234" i="4"/>
  <c r="G235" i="4"/>
  <c r="G236" i="4"/>
  <c r="G237" i="4"/>
  <c r="G238" i="4"/>
  <c r="G239" i="4"/>
  <c r="G240" i="4"/>
  <c r="G241" i="4"/>
  <c r="G242" i="4"/>
  <c r="G243" i="4"/>
  <c r="G244" i="4"/>
  <c r="G245" i="4"/>
  <c r="G246" i="4"/>
  <c r="G247" i="4"/>
  <c r="G248" i="4"/>
  <c r="G249" i="4"/>
  <c r="G250" i="4"/>
  <c r="G251" i="4"/>
  <c r="G252" i="4"/>
  <c r="G253" i="4"/>
  <c r="G254" i="4"/>
  <c r="G255" i="4"/>
  <c r="G256" i="4"/>
  <c r="G257" i="4"/>
  <c r="G258" i="4"/>
  <c r="G259" i="4"/>
  <c r="G260" i="4"/>
  <c r="G261" i="4"/>
  <c r="G262" i="4"/>
  <c r="G263" i="4"/>
  <c r="G264" i="4"/>
  <c r="G265" i="4"/>
  <c r="G266" i="4"/>
  <c r="G267" i="4"/>
  <c r="G268" i="4"/>
  <c r="G269" i="4"/>
  <c r="G270" i="4"/>
  <c r="G271" i="4"/>
  <c r="G272" i="4"/>
  <c r="G273" i="4"/>
  <c r="G274" i="4"/>
  <c r="G275" i="4"/>
  <c r="G276" i="4"/>
  <c r="G277" i="4"/>
  <c r="G278" i="4"/>
  <c r="G279" i="4"/>
  <c r="G280" i="4"/>
  <c r="G281" i="4"/>
  <c r="G282" i="4"/>
  <c r="G283" i="4"/>
  <c r="G284" i="4"/>
  <c r="G285" i="4"/>
  <c r="G286" i="4"/>
  <c r="G287" i="4"/>
  <c r="G288" i="4"/>
  <c r="G289" i="4"/>
  <c r="G290" i="4"/>
  <c r="G291" i="4"/>
  <c r="G292" i="4"/>
  <c r="G293" i="4"/>
  <c r="G294" i="4"/>
  <c r="G295" i="4"/>
  <c r="G296" i="4"/>
  <c r="G297" i="4"/>
  <c r="G298" i="4"/>
  <c r="G299" i="4"/>
  <c r="G300" i="4"/>
  <c r="G301" i="4"/>
  <c r="G302" i="4"/>
  <c r="G303" i="4"/>
  <c r="G304" i="4"/>
  <c r="G305" i="4"/>
  <c r="G306" i="4"/>
  <c r="G307" i="4"/>
  <c r="G308" i="4"/>
  <c r="G309" i="4"/>
  <c r="G310" i="4"/>
  <c r="G311" i="4"/>
  <c r="G312" i="4"/>
  <c r="G313" i="4"/>
  <c r="G314" i="4"/>
  <c r="G315" i="4"/>
  <c r="G316" i="4"/>
  <c r="G317" i="4"/>
  <c r="G318" i="4"/>
  <c r="G319" i="4"/>
  <c r="G320" i="4"/>
  <c r="G321" i="4"/>
  <c r="G322" i="4"/>
  <c r="G323" i="4"/>
  <c r="G324" i="4"/>
  <c r="G325" i="4"/>
  <c r="G326" i="4"/>
  <c r="G327" i="4"/>
  <c r="G328" i="4"/>
  <c r="G329" i="4"/>
  <c r="G330" i="4"/>
  <c r="G331" i="4"/>
  <c r="G332" i="4"/>
  <c r="G333" i="4"/>
  <c r="G334" i="4"/>
  <c r="G335" i="4"/>
  <c r="G336" i="4"/>
  <c r="G337" i="4"/>
  <c r="G338" i="4"/>
  <c r="G339" i="4"/>
  <c r="G340" i="4"/>
  <c r="G341" i="4"/>
  <c r="G342" i="4"/>
  <c r="G343" i="4"/>
  <c r="G344" i="4"/>
  <c r="G345" i="4"/>
  <c r="G346" i="4"/>
  <c r="G347" i="4"/>
  <c r="G348" i="4"/>
  <c r="G349" i="4"/>
  <c r="G350" i="4"/>
  <c r="G351" i="4"/>
  <c r="G352" i="4"/>
  <c r="G353" i="4"/>
  <c r="G354" i="4"/>
  <c r="G355" i="4"/>
  <c r="G356" i="4"/>
  <c r="G357" i="4"/>
  <c r="G358" i="4"/>
  <c r="G359" i="4"/>
  <c r="G360" i="4"/>
  <c r="G361" i="4"/>
  <c r="G362" i="4"/>
  <c r="G363" i="4"/>
  <c r="G364" i="4"/>
  <c r="G365" i="4"/>
  <c r="G366" i="4"/>
  <c r="G367" i="4"/>
  <c r="G368" i="4"/>
  <c r="G369" i="4"/>
  <c r="G370" i="4"/>
  <c r="G371" i="4"/>
  <c r="G372" i="4"/>
  <c r="G373" i="4"/>
  <c r="G374" i="4"/>
  <c r="G375" i="4"/>
  <c r="G376" i="4"/>
  <c r="G377" i="4"/>
  <c r="G378" i="4"/>
  <c r="G379" i="4"/>
  <c r="G380" i="4"/>
  <c r="G381" i="4"/>
  <c r="G382" i="4"/>
  <c r="G383" i="4"/>
  <c r="G384" i="4"/>
  <c r="G385" i="4"/>
  <c r="G386" i="4"/>
  <c r="G387" i="4"/>
  <c r="G388" i="4"/>
  <c r="G389" i="4"/>
  <c r="G390" i="4"/>
  <c r="G391" i="4"/>
  <c r="G392" i="4"/>
  <c r="G393" i="4"/>
  <c r="G394" i="4"/>
  <c r="G395" i="4"/>
  <c r="G396" i="4"/>
  <c r="G397" i="4"/>
  <c r="G398" i="4"/>
  <c r="G399" i="4"/>
  <c r="G400" i="4"/>
  <c r="G401" i="4"/>
  <c r="G402" i="4"/>
  <c r="G403" i="4"/>
  <c r="G404" i="4"/>
  <c r="G405" i="4"/>
  <c r="G406" i="4"/>
  <c r="G407" i="4"/>
  <c r="G408" i="4"/>
  <c r="G409" i="4"/>
  <c r="G410" i="4"/>
  <c r="G411" i="4"/>
  <c r="G412" i="4"/>
  <c r="G413" i="4"/>
  <c r="G414" i="4"/>
  <c r="G415" i="4"/>
  <c r="G416" i="4"/>
  <c r="G417" i="4"/>
  <c r="G418" i="4"/>
  <c r="G419" i="4"/>
  <c r="G420" i="4"/>
  <c r="G421" i="4"/>
  <c r="G422" i="4"/>
  <c r="G423" i="4"/>
  <c r="G424" i="4"/>
  <c r="G425" i="4"/>
  <c r="G426" i="4"/>
  <c r="G427" i="4"/>
  <c r="G428" i="4"/>
  <c r="G429" i="4"/>
  <c r="G430" i="4"/>
  <c r="G431" i="4"/>
  <c r="G432" i="4"/>
  <c r="G433" i="4"/>
  <c r="G434" i="4"/>
  <c r="G435" i="4"/>
  <c r="G436" i="4"/>
  <c r="G437" i="4"/>
  <c r="G438" i="4"/>
  <c r="G439" i="4"/>
  <c r="G440" i="4"/>
  <c r="G441" i="4"/>
  <c r="G442" i="4"/>
  <c r="G443" i="4"/>
  <c r="G444" i="4"/>
  <c r="G445" i="4"/>
  <c r="G446" i="4"/>
  <c r="G447" i="4"/>
  <c r="G448" i="4"/>
  <c r="G449" i="4"/>
  <c r="G450" i="4"/>
  <c r="G451" i="4"/>
  <c r="G452" i="4"/>
  <c r="G453" i="4"/>
  <c r="G454" i="4"/>
  <c r="G455" i="4"/>
  <c r="G456" i="4"/>
  <c r="G457" i="4"/>
  <c r="G458" i="4"/>
  <c r="G459" i="4"/>
  <c r="G460" i="4"/>
  <c r="G461" i="4"/>
  <c r="G462" i="4"/>
  <c r="G463" i="4"/>
  <c r="G464" i="4"/>
  <c r="G465" i="4"/>
  <c r="G466" i="4"/>
  <c r="G467" i="4"/>
  <c r="G468" i="4"/>
  <c r="G469" i="4"/>
  <c r="G470" i="4"/>
  <c r="G471" i="4"/>
  <c r="G472" i="4"/>
  <c r="G473" i="4"/>
  <c r="G474" i="4"/>
  <c r="G475" i="4"/>
  <c r="G476" i="4"/>
  <c r="G477" i="4"/>
  <c r="G478" i="4"/>
  <c r="G479" i="4"/>
  <c r="G480" i="4"/>
  <c r="G481" i="4"/>
  <c r="G482" i="4"/>
  <c r="G483" i="4"/>
  <c r="G484" i="4"/>
  <c r="G485" i="4"/>
  <c r="G486" i="4"/>
  <c r="G487" i="4"/>
  <c r="G488" i="4"/>
  <c r="G489" i="4"/>
  <c r="G490" i="4"/>
  <c r="G491" i="4"/>
  <c r="G492" i="4"/>
  <c r="G493" i="4"/>
  <c r="G494" i="4"/>
  <c r="G495" i="4"/>
  <c r="G496" i="4"/>
  <c r="G497" i="4"/>
  <c r="G498" i="4"/>
  <c r="G499" i="4"/>
  <c r="G500" i="4"/>
  <c r="G501" i="4"/>
  <c r="G502" i="4"/>
  <c r="G503" i="4"/>
  <c r="G504" i="4"/>
  <c r="G505" i="4"/>
  <c r="G506" i="4"/>
  <c r="G507" i="4"/>
  <c r="G508" i="4"/>
  <c r="G509" i="4"/>
  <c r="G510" i="4"/>
  <c r="G511" i="4"/>
  <c r="G512" i="4"/>
  <c r="G513" i="4"/>
  <c r="G514" i="4"/>
  <c r="G515" i="4"/>
  <c r="G516" i="4"/>
  <c r="G517" i="4"/>
  <c r="G518" i="4"/>
  <c r="G519" i="4"/>
  <c r="G520" i="4"/>
  <c r="G521" i="4"/>
  <c r="G522" i="4"/>
  <c r="G523" i="4"/>
  <c r="G524" i="4"/>
  <c r="G525" i="4"/>
  <c r="G526" i="4"/>
  <c r="G527" i="4"/>
  <c r="G528" i="4"/>
  <c r="G529" i="4"/>
  <c r="G530" i="4"/>
  <c r="G531" i="4"/>
  <c r="G532" i="4"/>
  <c r="G533" i="4"/>
  <c r="G534" i="4"/>
  <c r="G535" i="4"/>
  <c r="G536" i="4"/>
  <c r="G537" i="4"/>
  <c r="G538" i="4"/>
  <c r="G539" i="4"/>
  <c r="G540" i="4"/>
  <c r="G541" i="4"/>
  <c r="G542" i="4"/>
  <c r="G543" i="4"/>
  <c r="G544" i="4"/>
  <c r="G545" i="4"/>
  <c r="G546" i="4"/>
  <c r="G547" i="4"/>
  <c r="G548" i="4"/>
  <c r="G549" i="4"/>
  <c r="G550" i="4"/>
  <c r="G551" i="4"/>
  <c r="G552" i="4"/>
  <c r="G553" i="4"/>
  <c r="G554" i="4"/>
  <c r="G555" i="4"/>
  <c r="G556" i="4"/>
  <c r="G557" i="4"/>
  <c r="G558" i="4"/>
  <c r="G559" i="4"/>
  <c r="G560" i="4"/>
  <c r="G561" i="4"/>
  <c r="G562" i="4"/>
  <c r="G563" i="4"/>
  <c r="G564" i="4"/>
  <c r="G565" i="4"/>
  <c r="G566" i="4"/>
  <c r="G567" i="4"/>
  <c r="G568" i="4"/>
  <c r="G569" i="4"/>
  <c r="G570" i="4"/>
  <c r="G571" i="4"/>
  <c r="G572" i="4"/>
  <c r="G573" i="4"/>
  <c r="G574" i="4"/>
  <c r="G575" i="4"/>
  <c r="G576" i="4"/>
  <c r="G577" i="4"/>
  <c r="G578" i="4"/>
  <c r="G579" i="4"/>
  <c r="G580" i="4"/>
  <c r="G581" i="4"/>
  <c r="G582" i="4"/>
  <c r="G583" i="4"/>
  <c r="G584" i="4"/>
  <c r="G585" i="4"/>
  <c r="G586" i="4"/>
  <c r="G587" i="4"/>
  <c r="G588" i="4"/>
  <c r="G589" i="4"/>
  <c r="G590" i="4"/>
  <c r="G591" i="4"/>
  <c r="G592" i="4"/>
  <c r="G593" i="4"/>
  <c r="G594" i="4"/>
  <c r="G595" i="4"/>
  <c r="G596" i="4"/>
  <c r="G597" i="4"/>
  <c r="G598" i="4"/>
  <c r="G599" i="4"/>
  <c r="G600" i="4"/>
  <c r="G601" i="4"/>
  <c r="G602" i="4"/>
  <c r="G603" i="4"/>
  <c r="G604" i="4"/>
  <c r="G605" i="4"/>
  <c r="G606" i="4"/>
  <c r="G607" i="4"/>
  <c r="G608" i="4"/>
  <c r="G609" i="4"/>
  <c r="G610" i="4"/>
  <c r="G611" i="4"/>
  <c r="G612" i="4"/>
  <c r="G613" i="4"/>
  <c r="G614" i="4"/>
  <c r="G615" i="4"/>
  <c r="G616" i="4"/>
  <c r="G617" i="4"/>
  <c r="G618" i="4"/>
  <c r="G619" i="4"/>
  <c r="G620" i="4"/>
  <c r="G621" i="4"/>
  <c r="G622" i="4"/>
  <c r="G623" i="4"/>
  <c r="G624" i="4"/>
  <c r="G625" i="4"/>
  <c r="G626" i="4"/>
  <c r="G627" i="4"/>
  <c r="G628" i="4"/>
  <c r="G629" i="4"/>
  <c r="G630" i="4"/>
  <c r="G631" i="4"/>
  <c r="G632" i="4"/>
  <c r="G633" i="4"/>
  <c r="G634" i="4"/>
  <c r="G635" i="4"/>
  <c r="G636" i="4"/>
  <c r="G637" i="4"/>
  <c r="G638" i="4"/>
  <c r="G639" i="4"/>
  <c r="G640" i="4"/>
  <c r="G641" i="4"/>
  <c r="G642" i="4"/>
  <c r="G643" i="4"/>
  <c r="G644" i="4"/>
  <c r="G645" i="4"/>
  <c r="G646" i="4"/>
  <c r="G647" i="4"/>
  <c r="G648" i="4"/>
  <c r="G649" i="4"/>
  <c r="G650" i="4"/>
  <c r="G651" i="4"/>
  <c r="G652" i="4"/>
  <c r="G653" i="4"/>
  <c r="G654" i="4"/>
  <c r="G655" i="4"/>
  <c r="G656" i="4"/>
  <c r="G657" i="4"/>
  <c r="G658" i="4"/>
  <c r="G659" i="4"/>
  <c r="G660" i="4"/>
  <c r="G661" i="4"/>
  <c r="G662" i="4"/>
  <c r="G663" i="4"/>
  <c r="G664" i="4"/>
  <c r="G665" i="4"/>
  <c r="G666" i="4"/>
  <c r="G667" i="4"/>
  <c r="G668" i="4"/>
  <c r="G669" i="4"/>
  <c r="G670" i="4"/>
  <c r="G671" i="4"/>
  <c r="G672" i="4"/>
  <c r="G673" i="4"/>
  <c r="G674" i="4"/>
  <c r="G675" i="4"/>
  <c r="G676" i="4"/>
  <c r="G677" i="4"/>
  <c r="G678" i="4"/>
  <c r="G679" i="4"/>
  <c r="G680" i="4"/>
  <c r="G681" i="4"/>
  <c r="G682" i="4"/>
  <c r="G683" i="4"/>
  <c r="G684" i="4"/>
  <c r="G685" i="4"/>
  <c r="G686" i="4"/>
  <c r="G687" i="4"/>
  <c r="G688" i="4"/>
  <c r="G689" i="4"/>
  <c r="G690" i="4"/>
  <c r="G691" i="4"/>
  <c r="G692" i="4"/>
  <c r="G693" i="4"/>
  <c r="G694" i="4"/>
  <c r="G695" i="4"/>
  <c r="G696" i="4"/>
  <c r="G697" i="4"/>
  <c r="G698" i="4"/>
  <c r="G699" i="4"/>
  <c r="G700" i="4"/>
  <c r="G701" i="4"/>
  <c r="G702" i="4"/>
  <c r="G703" i="4"/>
  <c r="G704" i="4"/>
  <c r="G705" i="4"/>
  <c r="G706" i="4"/>
  <c r="G707" i="4"/>
  <c r="G708" i="4"/>
  <c r="G709" i="4"/>
  <c r="G710" i="4"/>
  <c r="G711" i="4"/>
  <c r="G712" i="4"/>
  <c r="G713" i="4"/>
  <c r="G714" i="4"/>
  <c r="G715" i="4"/>
  <c r="G716" i="4"/>
  <c r="G717" i="4"/>
  <c r="G718" i="4"/>
  <c r="G719" i="4"/>
  <c r="G720" i="4"/>
  <c r="G721" i="4"/>
  <c r="G722" i="4"/>
  <c r="G723" i="4"/>
  <c r="G724" i="4"/>
  <c r="G725" i="4"/>
  <c r="G726" i="4"/>
  <c r="G727" i="4"/>
  <c r="G728" i="4"/>
  <c r="G729" i="4"/>
  <c r="G730" i="4"/>
  <c r="G731" i="4"/>
  <c r="G732" i="4"/>
  <c r="G733" i="4"/>
  <c r="G734" i="4"/>
  <c r="G735" i="4"/>
  <c r="G736" i="4"/>
  <c r="G737" i="4"/>
  <c r="G738" i="4"/>
  <c r="G739" i="4"/>
  <c r="G740" i="4"/>
  <c r="G741" i="4"/>
  <c r="G742" i="4"/>
  <c r="G743" i="4"/>
  <c r="G744" i="4"/>
  <c r="G745" i="4"/>
  <c r="G746" i="4"/>
  <c r="G747" i="4"/>
  <c r="G748" i="4"/>
  <c r="G749" i="4"/>
  <c r="G750" i="4"/>
  <c r="G751" i="4"/>
  <c r="G752" i="4"/>
  <c r="G753" i="4"/>
  <c r="G754" i="4"/>
  <c r="G755" i="4"/>
  <c r="G756" i="4"/>
  <c r="G757" i="4"/>
  <c r="G758" i="4"/>
  <c r="G759" i="4"/>
  <c r="G760" i="4"/>
  <c r="G761" i="4"/>
  <c r="G762" i="4"/>
  <c r="G763" i="4"/>
  <c r="G764" i="4"/>
  <c r="G765" i="4"/>
  <c r="G766" i="4"/>
  <c r="G767" i="4"/>
  <c r="G768" i="4"/>
  <c r="G769" i="4"/>
  <c r="G770" i="4"/>
  <c r="G771" i="4"/>
  <c r="G772" i="4"/>
  <c r="G773" i="4"/>
  <c r="G774" i="4"/>
  <c r="G775" i="4"/>
  <c r="G776" i="4"/>
  <c r="G777" i="4"/>
  <c r="G778" i="4"/>
  <c r="G779" i="4"/>
  <c r="G780" i="4"/>
  <c r="G781" i="4"/>
  <c r="G782" i="4"/>
  <c r="G783" i="4"/>
  <c r="G784" i="4"/>
  <c r="G785" i="4"/>
  <c r="G786" i="4"/>
  <c r="G787" i="4"/>
  <c r="G788" i="4"/>
  <c r="G789" i="4"/>
  <c r="G790" i="4"/>
  <c r="G791" i="4"/>
  <c r="G792" i="4"/>
  <c r="G793" i="4"/>
  <c r="G794" i="4"/>
  <c r="G795" i="4"/>
  <c r="G796" i="4"/>
  <c r="G797" i="4"/>
  <c r="G798" i="4"/>
  <c r="G799" i="4"/>
  <c r="G800" i="4"/>
  <c r="G801" i="4"/>
  <c r="G802" i="4"/>
  <c r="G803" i="4"/>
  <c r="G804" i="4"/>
  <c r="G805" i="4"/>
  <c r="G806" i="4"/>
  <c r="G807" i="4"/>
  <c r="G808" i="4"/>
  <c r="G809" i="4"/>
  <c r="G810" i="4"/>
  <c r="G811" i="4"/>
  <c r="G812" i="4"/>
  <c r="G813" i="4"/>
  <c r="G814" i="4"/>
  <c r="G815" i="4"/>
  <c r="G816" i="4"/>
  <c r="G817" i="4"/>
  <c r="G818" i="4"/>
  <c r="G819" i="4"/>
  <c r="G820" i="4"/>
  <c r="G821" i="4"/>
  <c r="G822" i="4"/>
  <c r="G823" i="4"/>
  <c r="G824" i="4"/>
  <c r="G825" i="4"/>
  <c r="G826" i="4"/>
  <c r="G827" i="4"/>
  <c r="G828" i="4"/>
  <c r="G829" i="4"/>
  <c r="G830" i="4"/>
  <c r="G831" i="4"/>
  <c r="G832" i="4"/>
  <c r="G833" i="4"/>
  <c r="G834" i="4"/>
  <c r="G835" i="4"/>
  <c r="G836" i="4"/>
  <c r="G837" i="4"/>
  <c r="G838" i="4"/>
  <c r="G839" i="4"/>
  <c r="G840" i="4"/>
  <c r="G841" i="4"/>
  <c r="G842" i="4"/>
  <c r="G843" i="4"/>
  <c r="G844" i="4"/>
  <c r="G845" i="4"/>
  <c r="G846" i="4"/>
  <c r="G847" i="4"/>
  <c r="G848" i="4"/>
  <c r="G849" i="4"/>
  <c r="G850" i="4"/>
  <c r="G851" i="4"/>
  <c r="G852" i="4"/>
  <c r="G853" i="4"/>
  <c r="G854" i="4"/>
  <c r="G855" i="4"/>
  <c r="G856" i="4"/>
  <c r="G857" i="4"/>
  <c r="G858" i="4"/>
  <c r="G859" i="4"/>
  <c r="G860" i="4"/>
  <c r="G861" i="4"/>
  <c r="G862" i="4"/>
  <c r="G863" i="4"/>
  <c r="G864" i="4"/>
  <c r="G865" i="4"/>
  <c r="G866" i="4"/>
  <c r="G867" i="4"/>
  <c r="G868" i="4"/>
  <c r="G869" i="4"/>
  <c r="G870" i="4"/>
  <c r="G871" i="4"/>
  <c r="G872" i="4"/>
  <c r="G873" i="4"/>
  <c r="G874" i="4"/>
  <c r="G875" i="4"/>
  <c r="G876" i="4"/>
  <c r="G877" i="4"/>
  <c r="G878" i="4"/>
  <c r="G879" i="4"/>
  <c r="G880" i="4"/>
  <c r="G881" i="4"/>
  <c r="G882" i="4"/>
  <c r="G883" i="4"/>
  <c r="G884" i="4"/>
  <c r="G885" i="4"/>
  <c r="G886" i="4"/>
  <c r="G887" i="4"/>
  <c r="G888" i="4"/>
  <c r="G889" i="4"/>
  <c r="G890" i="4"/>
  <c r="G891" i="4"/>
  <c r="D51" i="28" s="1"/>
  <c r="G892" i="4"/>
  <c r="E51" i="28" s="1"/>
  <c r="G893" i="4"/>
  <c r="F51" i="28" s="1"/>
  <c r="G894" i="4"/>
  <c r="G51" i="28" s="1"/>
  <c r="G895" i="4"/>
  <c r="G896" i="4"/>
  <c r="G897" i="4"/>
  <c r="J51" i="28" s="1"/>
  <c r="G898" i="4"/>
  <c r="K51" i="28" s="1"/>
  <c r="G899" i="4"/>
  <c r="L51" i="28" s="1"/>
  <c r="G900" i="4"/>
  <c r="M51" i="28" s="1"/>
  <c r="G901" i="4"/>
  <c r="G902" i="4"/>
  <c r="G903" i="4"/>
  <c r="P51" i="28" s="1"/>
  <c r="G904" i="4"/>
  <c r="Q51" i="28" s="1"/>
  <c r="G905" i="4"/>
  <c r="R51" i="28" s="1"/>
  <c r="G906" i="4"/>
  <c r="S51" i="28" s="1"/>
  <c r="G907" i="4"/>
  <c r="G908" i="4"/>
  <c r="G909" i="4"/>
  <c r="V51" i="28" s="1"/>
  <c r="G910" i="4"/>
  <c r="W51" i="28" s="1"/>
  <c r="G911" i="4"/>
  <c r="X51" i="28" s="1"/>
  <c r="G912" i="4"/>
  <c r="Y51" i="28" s="1"/>
  <c r="G913" i="4"/>
  <c r="G914" i="4"/>
  <c r="G915" i="4"/>
  <c r="AB51" i="28" s="1"/>
  <c r="G916" i="4"/>
  <c r="AC51" i="28" s="1"/>
  <c r="G917" i="4"/>
  <c r="AD51" i="28" s="1"/>
  <c r="G918" i="4"/>
  <c r="AE51" i="28" s="1"/>
  <c r="G919" i="4"/>
  <c r="G920" i="4"/>
  <c r="G921" i="4"/>
  <c r="AH51" i="28" s="1"/>
  <c r="C924" i="4"/>
  <c r="AK46" i="28" s="1"/>
  <c r="D924" i="4"/>
  <c r="AK50" i="28" s="1"/>
  <c r="C925" i="4"/>
  <c r="AL46" i="28" s="1"/>
  <c r="D925" i="4"/>
  <c r="AL50" i="28" s="1"/>
  <c r="C926" i="4"/>
  <c r="AM46" i="28" s="1"/>
  <c r="D926" i="4"/>
  <c r="AM50" i="28" s="1"/>
  <c r="C923" i="4"/>
  <c r="D923" i="4"/>
  <c r="F924" i="4"/>
  <c r="AK47" i="28" s="1"/>
  <c r="F925" i="4"/>
  <c r="F926" i="4"/>
  <c r="F923" i="4"/>
  <c r="AJ47" i="28" s="1"/>
  <c r="G924" i="4"/>
  <c r="AK51" i="28" s="1"/>
  <c r="G925" i="4"/>
  <c r="G926" i="4"/>
  <c r="G923" i="4"/>
  <c r="AJ51" i="28" s="1"/>
  <c r="G922" i="4"/>
  <c r="AI51" i="28" s="1"/>
  <c r="F124" i="4"/>
  <c r="F125" i="4"/>
  <c r="F126" i="4"/>
  <c r="F127" i="4"/>
  <c r="F128" i="4"/>
  <c r="F129" i="4"/>
  <c r="F130" i="4"/>
  <c r="F131" i="4"/>
  <c r="F132" i="4"/>
  <c r="F133" i="4"/>
  <c r="F134" i="4"/>
  <c r="F135" i="4"/>
  <c r="F136" i="4"/>
  <c r="F137" i="4"/>
  <c r="F138" i="4"/>
  <c r="F139" i="4"/>
  <c r="F140" i="4"/>
  <c r="F141" i="4"/>
  <c r="F142" i="4"/>
  <c r="F143" i="4"/>
  <c r="F144" i="4"/>
  <c r="F145" i="4"/>
  <c r="F146" i="4"/>
  <c r="F147" i="4"/>
  <c r="F148" i="4"/>
  <c r="F149" i="4"/>
  <c r="F150" i="4"/>
  <c r="F151" i="4"/>
  <c r="F152" i="4"/>
  <c r="F153" i="4"/>
  <c r="F154" i="4"/>
  <c r="F155" i="4"/>
  <c r="F156" i="4"/>
  <c r="F157" i="4"/>
  <c r="F158" i="4"/>
  <c r="F159" i="4"/>
  <c r="F160" i="4"/>
  <c r="F161" i="4"/>
  <c r="F162" i="4"/>
  <c r="F163" i="4"/>
  <c r="F164" i="4"/>
  <c r="F165" i="4"/>
  <c r="F166" i="4"/>
  <c r="F167" i="4"/>
  <c r="F168" i="4"/>
  <c r="F169" i="4"/>
  <c r="F170" i="4"/>
  <c r="F171" i="4"/>
  <c r="F172" i="4"/>
  <c r="F173" i="4"/>
  <c r="F174" i="4"/>
  <c r="F175" i="4"/>
  <c r="F176" i="4"/>
  <c r="F177" i="4"/>
  <c r="F178" i="4"/>
  <c r="F179" i="4"/>
  <c r="F180" i="4"/>
  <c r="F181" i="4"/>
  <c r="F182" i="4"/>
  <c r="F183" i="4"/>
  <c r="F184" i="4"/>
  <c r="F185" i="4"/>
  <c r="F186" i="4"/>
  <c r="F187" i="4"/>
  <c r="F188" i="4"/>
  <c r="F189" i="4"/>
  <c r="F190" i="4"/>
  <c r="F191" i="4"/>
  <c r="F192" i="4"/>
  <c r="F193" i="4"/>
  <c r="F194" i="4"/>
  <c r="F195" i="4"/>
  <c r="F196" i="4"/>
  <c r="F197" i="4"/>
  <c r="F198" i="4"/>
  <c r="F199" i="4"/>
  <c r="F200" i="4"/>
  <c r="F201" i="4"/>
  <c r="F202" i="4"/>
  <c r="F203" i="4"/>
  <c r="F204" i="4"/>
  <c r="F205" i="4"/>
  <c r="F206" i="4"/>
  <c r="F207" i="4"/>
  <c r="F208" i="4"/>
  <c r="F209" i="4"/>
  <c r="F210" i="4"/>
  <c r="F211" i="4"/>
  <c r="F212" i="4"/>
  <c r="F213" i="4"/>
  <c r="F214" i="4"/>
  <c r="F215" i="4"/>
  <c r="F216" i="4"/>
  <c r="F217" i="4"/>
  <c r="F218" i="4"/>
  <c r="F219" i="4"/>
  <c r="F220" i="4"/>
  <c r="F221" i="4"/>
  <c r="F222" i="4"/>
  <c r="F223" i="4"/>
  <c r="F224" i="4"/>
  <c r="F225" i="4"/>
  <c r="F226" i="4"/>
  <c r="F227" i="4"/>
  <c r="F228" i="4"/>
  <c r="F229" i="4"/>
  <c r="F230" i="4"/>
  <c r="F231" i="4"/>
  <c r="F232" i="4"/>
  <c r="F233" i="4"/>
  <c r="F234" i="4"/>
  <c r="F235" i="4"/>
  <c r="F236" i="4"/>
  <c r="F237" i="4"/>
  <c r="F238" i="4"/>
  <c r="F239" i="4"/>
  <c r="F240" i="4"/>
  <c r="F241" i="4"/>
  <c r="F242" i="4"/>
  <c r="F243" i="4"/>
  <c r="F244" i="4"/>
  <c r="F245" i="4"/>
  <c r="F246" i="4"/>
  <c r="F247" i="4"/>
  <c r="F248" i="4"/>
  <c r="F249" i="4"/>
  <c r="F250" i="4"/>
  <c r="F251" i="4"/>
  <c r="F252" i="4"/>
  <c r="F253" i="4"/>
  <c r="F254" i="4"/>
  <c r="F255" i="4"/>
  <c r="F256" i="4"/>
  <c r="F257" i="4"/>
  <c r="F258" i="4"/>
  <c r="F259" i="4"/>
  <c r="F260" i="4"/>
  <c r="F261" i="4"/>
  <c r="F262" i="4"/>
  <c r="F263" i="4"/>
  <c r="F264" i="4"/>
  <c r="F265" i="4"/>
  <c r="F266" i="4"/>
  <c r="F267" i="4"/>
  <c r="F268" i="4"/>
  <c r="F269" i="4"/>
  <c r="F270" i="4"/>
  <c r="F271" i="4"/>
  <c r="F272" i="4"/>
  <c r="F273" i="4"/>
  <c r="F274" i="4"/>
  <c r="F275" i="4"/>
  <c r="F276" i="4"/>
  <c r="F277" i="4"/>
  <c r="F278" i="4"/>
  <c r="F279" i="4"/>
  <c r="F280" i="4"/>
  <c r="F281" i="4"/>
  <c r="F282" i="4"/>
  <c r="F283" i="4"/>
  <c r="F284" i="4"/>
  <c r="F285" i="4"/>
  <c r="F286" i="4"/>
  <c r="F287" i="4"/>
  <c r="F288" i="4"/>
  <c r="F289" i="4"/>
  <c r="F290" i="4"/>
  <c r="F291" i="4"/>
  <c r="F292" i="4"/>
  <c r="F293" i="4"/>
  <c r="F294" i="4"/>
  <c r="F295" i="4"/>
  <c r="F296" i="4"/>
  <c r="F297" i="4"/>
  <c r="F298" i="4"/>
  <c r="F299" i="4"/>
  <c r="F300" i="4"/>
  <c r="F301" i="4"/>
  <c r="F302" i="4"/>
  <c r="F303" i="4"/>
  <c r="F304" i="4"/>
  <c r="F305" i="4"/>
  <c r="F306" i="4"/>
  <c r="F307" i="4"/>
  <c r="F308" i="4"/>
  <c r="F309" i="4"/>
  <c r="F310" i="4"/>
  <c r="F311" i="4"/>
  <c r="F312" i="4"/>
  <c r="F313" i="4"/>
  <c r="F314" i="4"/>
  <c r="F315" i="4"/>
  <c r="F316" i="4"/>
  <c r="F317" i="4"/>
  <c r="F318" i="4"/>
  <c r="F319" i="4"/>
  <c r="F320" i="4"/>
  <c r="F321" i="4"/>
  <c r="F322" i="4"/>
  <c r="F323" i="4"/>
  <c r="F324" i="4"/>
  <c r="F325" i="4"/>
  <c r="F326" i="4"/>
  <c r="F327" i="4"/>
  <c r="F328" i="4"/>
  <c r="F329" i="4"/>
  <c r="F330" i="4"/>
  <c r="F331" i="4"/>
  <c r="F332" i="4"/>
  <c r="F333" i="4"/>
  <c r="F334" i="4"/>
  <c r="F335" i="4"/>
  <c r="F336" i="4"/>
  <c r="F337" i="4"/>
  <c r="F338" i="4"/>
  <c r="F339" i="4"/>
  <c r="F340" i="4"/>
  <c r="F341" i="4"/>
  <c r="F342" i="4"/>
  <c r="F343" i="4"/>
  <c r="F344" i="4"/>
  <c r="F345" i="4"/>
  <c r="F346" i="4"/>
  <c r="F347" i="4"/>
  <c r="F348" i="4"/>
  <c r="F349" i="4"/>
  <c r="F350" i="4"/>
  <c r="F351" i="4"/>
  <c r="F352" i="4"/>
  <c r="F353" i="4"/>
  <c r="F354" i="4"/>
  <c r="F355" i="4"/>
  <c r="F356" i="4"/>
  <c r="F357" i="4"/>
  <c r="F358" i="4"/>
  <c r="F359" i="4"/>
  <c r="F360" i="4"/>
  <c r="F361" i="4"/>
  <c r="F362" i="4"/>
  <c r="F363" i="4"/>
  <c r="F364" i="4"/>
  <c r="F365" i="4"/>
  <c r="F366" i="4"/>
  <c r="F367" i="4"/>
  <c r="F368" i="4"/>
  <c r="F369" i="4"/>
  <c r="F370" i="4"/>
  <c r="F371" i="4"/>
  <c r="F372" i="4"/>
  <c r="F373" i="4"/>
  <c r="F374" i="4"/>
  <c r="F375" i="4"/>
  <c r="F376" i="4"/>
  <c r="F377" i="4"/>
  <c r="F378" i="4"/>
  <c r="F379" i="4"/>
  <c r="F380" i="4"/>
  <c r="F381" i="4"/>
  <c r="F382" i="4"/>
  <c r="F383" i="4"/>
  <c r="F384" i="4"/>
  <c r="F385" i="4"/>
  <c r="F386" i="4"/>
  <c r="F387" i="4"/>
  <c r="F388" i="4"/>
  <c r="F389" i="4"/>
  <c r="F390" i="4"/>
  <c r="F391" i="4"/>
  <c r="F392" i="4"/>
  <c r="F393" i="4"/>
  <c r="F394" i="4"/>
  <c r="F395" i="4"/>
  <c r="F396" i="4"/>
  <c r="F397" i="4"/>
  <c r="F398" i="4"/>
  <c r="F399" i="4"/>
  <c r="F400" i="4"/>
  <c r="F401" i="4"/>
  <c r="F402" i="4"/>
  <c r="F403" i="4"/>
  <c r="F404" i="4"/>
  <c r="F405" i="4"/>
  <c r="F406" i="4"/>
  <c r="F407" i="4"/>
  <c r="F408" i="4"/>
  <c r="F409" i="4"/>
  <c r="F410" i="4"/>
  <c r="F411" i="4"/>
  <c r="F412" i="4"/>
  <c r="F413" i="4"/>
  <c r="F414" i="4"/>
  <c r="F415" i="4"/>
  <c r="F416" i="4"/>
  <c r="F417" i="4"/>
  <c r="F418" i="4"/>
  <c r="F419" i="4"/>
  <c r="F420" i="4"/>
  <c r="F421" i="4"/>
  <c r="F422" i="4"/>
  <c r="F423" i="4"/>
  <c r="F424" i="4"/>
  <c r="F425" i="4"/>
  <c r="F426" i="4"/>
  <c r="F427" i="4"/>
  <c r="F428" i="4"/>
  <c r="F429" i="4"/>
  <c r="F430" i="4"/>
  <c r="F431" i="4"/>
  <c r="F432" i="4"/>
  <c r="F433" i="4"/>
  <c r="F434" i="4"/>
  <c r="F435" i="4"/>
  <c r="F436" i="4"/>
  <c r="F437" i="4"/>
  <c r="F438" i="4"/>
  <c r="F439" i="4"/>
  <c r="F440" i="4"/>
  <c r="F441" i="4"/>
  <c r="F442" i="4"/>
  <c r="F443" i="4"/>
  <c r="F444" i="4"/>
  <c r="F445" i="4"/>
  <c r="F446" i="4"/>
  <c r="F447" i="4"/>
  <c r="F448" i="4"/>
  <c r="F449" i="4"/>
  <c r="F450" i="4"/>
  <c r="F451" i="4"/>
  <c r="F452" i="4"/>
  <c r="F453" i="4"/>
  <c r="F454" i="4"/>
  <c r="F455" i="4"/>
  <c r="F456" i="4"/>
  <c r="F457" i="4"/>
  <c r="F458" i="4"/>
  <c r="F459" i="4"/>
  <c r="F460" i="4"/>
  <c r="F461" i="4"/>
  <c r="F462" i="4"/>
  <c r="F463" i="4"/>
  <c r="F464" i="4"/>
  <c r="F465" i="4"/>
  <c r="F466" i="4"/>
  <c r="F467" i="4"/>
  <c r="F468" i="4"/>
  <c r="F469" i="4"/>
  <c r="F470" i="4"/>
  <c r="F471" i="4"/>
  <c r="F472" i="4"/>
  <c r="F473" i="4"/>
  <c r="F474" i="4"/>
  <c r="F475" i="4"/>
  <c r="F476" i="4"/>
  <c r="F477" i="4"/>
  <c r="F478" i="4"/>
  <c r="F479" i="4"/>
  <c r="F480" i="4"/>
  <c r="F481" i="4"/>
  <c r="F482" i="4"/>
  <c r="F483" i="4"/>
  <c r="F484" i="4"/>
  <c r="F485" i="4"/>
  <c r="F486" i="4"/>
  <c r="F487" i="4"/>
  <c r="F488" i="4"/>
  <c r="F489" i="4"/>
  <c r="F490" i="4"/>
  <c r="F491" i="4"/>
  <c r="F492" i="4"/>
  <c r="F493" i="4"/>
  <c r="F494" i="4"/>
  <c r="F495" i="4"/>
  <c r="F496" i="4"/>
  <c r="F497" i="4"/>
  <c r="F498" i="4"/>
  <c r="F499" i="4"/>
  <c r="F500" i="4"/>
  <c r="F501" i="4"/>
  <c r="F502" i="4"/>
  <c r="F503" i="4"/>
  <c r="F504" i="4"/>
  <c r="F505" i="4"/>
  <c r="F506" i="4"/>
  <c r="F507" i="4"/>
  <c r="F508" i="4"/>
  <c r="F509" i="4"/>
  <c r="F510" i="4"/>
  <c r="F511" i="4"/>
  <c r="F512" i="4"/>
  <c r="F513" i="4"/>
  <c r="F514" i="4"/>
  <c r="F515" i="4"/>
  <c r="F516" i="4"/>
  <c r="F517" i="4"/>
  <c r="F518" i="4"/>
  <c r="F519" i="4"/>
  <c r="F520" i="4"/>
  <c r="F521" i="4"/>
  <c r="F522" i="4"/>
  <c r="F523" i="4"/>
  <c r="F524" i="4"/>
  <c r="F525" i="4"/>
  <c r="F526" i="4"/>
  <c r="F527" i="4"/>
  <c r="F528" i="4"/>
  <c r="F529" i="4"/>
  <c r="F530" i="4"/>
  <c r="F531" i="4"/>
  <c r="F532" i="4"/>
  <c r="F533" i="4"/>
  <c r="F534" i="4"/>
  <c r="F535" i="4"/>
  <c r="F536" i="4"/>
  <c r="F537" i="4"/>
  <c r="F538" i="4"/>
  <c r="F539" i="4"/>
  <c r="F540" i="4"/>
  <c r="F541" i="4"/>
  <c r="F542" i="4"/>
  <c r="F543" i="4"/>
  <c r="F544" i="4"/>
  <c r="F545" i="4"/>
  <c r="F546" i="4"/>
  <c r="F547" i="4"/>
  <c r="F548" i="4"/>
  <c r="F549" i="4"/>
  <c r="F550" i="4"/>
  <c r="F551" i="4"/>
  <c r="F552" i="4"/>
  <c r="F553" i="4"/>
  <c r="F554" i="4"/>
  <c r="F555" i="4"/>
  <c r="F556" i="4"/>
  <c r="F557" i="4"/>
  <c r="F558" i="4"/>
  <c r="F559" i="4"/>
  <c r="F560" i="4"/>
  <c r="F561" i="4"/>
  <c r="F562" i="4"/>
  <c r="F563" i="4"/>
  <c r="F564" i="4"/>
  <c r="F565" i="4"/>
  <c r="F566" i="4"/>
  <c r="F567" i="4"/>
  <c r="F568" i="4"/>
  <c r="F569" i="4"/>
  <c r="F570" i="4"/>
  <c r="F571" i="4"/>
  <c r="F572" i="4"/>
  <c r="F573" i="4"/>
  <c r="F574" i="4"/>
  <c r="F575" i="4"/>
  <c r="F576" i="4"/>
  <c r="F577" i="4"/>
  <c r="F578" i="4"/>
  <c r="F579" i="4"/>
  <c r="F580" i="4"/>
  <c r="F581" i="4"/>
  <c r="F582" i="4"/>
  <c r="F583" i="4"/>
  <c r="F584" i="4"/>
  <c r="F585" i="4"/>
  <c r="F586" i="4"/>
  <c r="F587" i="4"/>
  <c r="F588" i="4"/>
  <c r="F589" i="4"/>
  <c r="F590" i="4"/>
  <c r="F591" i="4"/>
  <c r="F592" i="4"/>
  <c r="F593" i="4"/>
  <c r="F594" i="4"/>
  <c r="F595" i="4"/>
  <c r="F596" i="4"/>
  <c r="F597" i="4"/>
  <c r="F598" i="4"/>
  <c r="F599" i="4"/>
  <c r="F600" i="4"/>
  <c r="F601" i="4"/>
  <c r="F602" i="4"/>
  <c r="F603" i="4"/>
  <c r="F604" i="4"/>
  <c r="F605" i="4"/>
  <c r="F606" i="4"/>
  <c r="F607" i="4"/>
  <c r="F608" i="4"/>
  <c r="F609" i="4"/>
  <c r="F610" i="4"/>
  <c r="F611" i="4"/>
  <c r="F612" i="4"/>
  <c r="F613" i="4"/>
  <c r="F614" i="4"/>
  <c r="F615" i="4"/>
  <c r="F616" i="4"/>
  <c r="F617" i="4"/>
  <c r="F618" i="4"/>
  <c r="F619" i="4"/>
  <c r="F620" i="4"/>
  <c r="F621" i="4"/>
  <c r="F622" i="4"/>
  <c r="F623" i="4"/>
  <c r="F624" i="4"/>
  <c r="F625" i="4"/>
  <c r="F626" i="4"/>
  <c r="F627" i="4"/>
  <c r="F628" i="4"/>
  <c r="F629" i="4"/>
  <c r="F630" i="4"/>
  <c r="F631" i="4"/>
  <c r="F632" i="4"/>
  <c r="F633" i="4"/>
  <c r="F634" i="4"/>
  <c r="F635" i="4"/>
  <c r="F636" i="4"/>
  <c r="F637" i="4"/>
  <c r="F638" i="4"/>
  <c r="F639" i="4"/>
  <c r="F640" i="4"/>
  <c r="F641" i="4"/>
  <c r="F642" i="4"/>
  <c r="F643" i="4"/>
  <c r="F644" i="4"/>
  <c r="F645" i="4"/>
  <c r="F646" i="4"/>
  <c r="F647" i="4"/>
  <c r="F648" i="4"/>
  <c r="F649" i="4"/>
  <c r="F650" i="4"/>
  <c r="F651" i="4"/>
  <c r="F652" i="4"/>
  <c r="F653" i="4"/>
  <c r="F654" i="4"/>
  <c r="F655" i="4"/>
  <c r="F656" i="4"/>
  <c r="F657" i="4"/>
  <c r="F658" i="4"/>
  <c r="F659" i="4"/>
  <c r="F660" i="4"/>
  <c r="F661" i="4"/>
  <c r="F662" i="4"/>
  <c r="F663" i="4"/>
  <c r="F664" i="4"/>
  <c r="F665" i="4"/>
  <c r="F666" i="4"/>
  <c r="F667" i="4"/>
  <c r="F668" i="4"/>
  <c r="F669" i="4"/>
  <c r="F670" i="4"/>
  <c r="F671" i="4"/>
  <c r="F672" i="4"/>
  <c r="F673" i="4"/>
  <c r="F674" i="4"/>
  <c r="F675" i="4"/>
  <c r="F676" i="4"/>
  <c r="F677" i="4"/>
  <c r="F678" i="4"/>
  <c r="F679" i="4"/>
  <c r="F680" i="4"/>
  <c r="F681" i="4"/>
  <c r="F682" i="4"/>
  <c r="F683" i="4"/>
  <c r="F684" i="4"/>
  <c r="F685" i="4"/>
  <c r="F686" i="4"/>
  <c r="F687" i="4"/>
  <c r="F688" i="4"/>
  <c r="F689" i="4"/>
  <c r="F690" i="4"/>
  <c r="F691" i="4"/>
  <c r="F692" i="4"/>
  <c r="F693" i="4"/>
  <c r="F694" i="4"/>
  <c r="F695" i="4"/>
  <c r="F696" i="4"/>
  <c r="F697" i="4"/>
  <c r="F698" i="4"/>
  <c r="F699" i="4"/>
  <c r="F700" i="4"/>
  <c r="F701" i="4"/>
  <c r="F702" i="4"/>
  <c r="F703" i="4"/>
  <c r="F704" i="4"/>
  <c r="F705" i="4"/>
  <c r="F706" i="4"/>
  <c r="F707" i="4"/>
  <c r="F708" i="4"/>
  <c r="F709" i="4"/>
  <c r="F710" i="4"/>
  <c r="F711" i="4"/>
  <c r="F712" i="4"/>
  <c r="F713" i="4"/>
  <c r="F714" i="4"/>
  <c r="F715" i="4"/>
  <c r="F716" i="4"/>
  <c r="F717" i="4"/>
  <c r="F718" i="4"/>
  <c r="F719" i="4"/>
  <c r="F720" i="4"/>
  <c r="F721" i="4"/>
  <c r="F722" i="4"/>
  <c r="F723" i="4"/>
  <c r="F724" i="4"/>
  <c r="F725" i="4"/>
  <c r="F726" i="4"/>
  <c r="F727" i="4"/>
  <c r="F728" i="4"/>
  <c r="F729" i="4"/>
  <c r="F730" i="4"/>
  <c r="F731" i="4"/>
  <c r="F732" i="4"/>
  <c r="F733" i="4"/>
  <c r="F734" i="4"/>
  <c r="F735" i="4"/>
  <c r="F736" i="4"/>
  <c r="F737" i="4"/>
  <c r="F738" i="4"/>
  <c r="F739" i="4"/>
  <c r="F740" i="4"/>
  <c r="F741" i="4"/>
  <c r="F742" i="4"/>
  <c r="F743" i="4"/>
  <c r="F744" i="4"/>
  <c r="F745" i="4"/>
  <c r="F746" i="4"/>
  <c r="F747" i="4"/>
  <c r="F748" i="4"/>
  <c r="F749" i="4"/>
  <c r="F750" i="4"/>
  <c r="F751" i="4"/>
  <c r="F752" i="4"/>
  <c r="F753" i="4"/>
  <c r="F754" i="4"/>
  <c r="F755" i="4"/>
  <c r="F756" i="4"/>
  <c r="F757" i="4"/>
  <c r="F758" i="4"/>
  <c r="F759" i="4"/>
  <c r="F760" i="4"/>
  <c r="F761" i="4"/>
  <c r="F762" i="4"/>
  <c r="F763" i="4"/>
  <c r="F764" i="4"/>
  <c r="F765" i="4"/>
  <c r="F766" i="4"/>
  <c r="F767" i="4"/>
  <c r="F768" i="4"/>
  <c r="F769" i="4"/>
  <c r="F770" i="4"/>
  <c r="F771" i="4"/>
  <c r="F772" i="4"/>
  <c r="F773" i="4"/>
  <c r="F774" i="4"/>
  <c r="F775" i="4"/>
  <c r="F776" i="4"/>
  <c r="F777" i="4"/>
  <c r="F778" i="4"/>
  <c r="F779" i="4"/>
  <c r="F780" i="4"/>
  <c r="F781" i="4"/>
  <c r="F782" i="4"/>
  <c r="F783" i="4"/>
  <c r="F784" i="4"/>
  <c r="F785" i="4"/>
  <c r="F786" i="4"/>
  <c r="F787" i="4"/>
  <c r="F788" i="4"/>
  <c r="F789" i="4"/>
  <c r="F790" i="4"/>
  <c r="F791" i="4"/>
  <c r="F792" i="4"/>
  <c r="F793" i="4"/>
  <c r="F794" i="4"/>
  <c r="F795" i="4"/>
  <c r="F796" i="4"/>
  <c r="F797" i="4"/>
  <c r="F798" i="4"/>
  <c r="F799" i="4"/>
  <c r="F800" i="4"/>
  <c r="F801" i="4"/>
  <c r="F802" i="4"/>
  <c r="F803" i="4"/>
  <c r="F804" i="4"/>
  <c r="F805" i="4"/>
  <c r="F806" i="4"/>
  <c r="F807" i="4"/>
  <c r="F808" i="4"/>
  <c r="F809" i="4"/>
  <c r="F810" i="4"/>
  <c r="F811" i="4"/>
  <c r="F812" i="4"/>
  <c r="F813" i="4"/>
  <c r="F814" i="4"/>
  <c r="F815" i="4"/>
  <c r="F816" i="4"/>
  <c r="F817" i="4"/>
  <c r="F818" i="4"/>
  <c r="F819" i="4"/>
  <c r="F820" i="4"/>
  <c r="F821" i="4"/>
  <c r="F822" i="4"/>
  <c r="F823" i="4"/>
  <c r="F824" i="4"/>
  <c r="F825" i="4"/>
  <c r="F826" i="4"/>
  <c r="F827" i="4"/>
  <c r="F828" i="4"/>
  <c r="F829" i="4"/>
  <c r="F830" i="4"/>
  <c r="F831" i="4"/>
  <c r="F832" i="4"/>
  <c r="F833" i="4"/>
  <c r="F834" i="4"/>
  <c r="F835" i="4"/>
  <c r="F836" i="4"/>
  <c r="F837" i="4"/>
  <c r="F838" i="4"/>
  <c r="F839" i="4"/>
  <c r="F840" i="4"/>
  <c r="F841" i="4"/>
  <c r="F842" i="4"/>
  <c r="F843" i="4"/>
  <c r="F844" i="4"/>
  <c r="F845" i="4"/>
  <c r="F846" i="4"/>
  <c r="F847" i="4"/>
  <c r="F848" i="4"/>
  <c r="F849" i="4"/>
  <c r="F850" i="4"/>
  <c r="F851" i="4"/>
  <c r="F852" i="4"/>
  <c r="F853" i="4"/>
  <c r="F854" i="4"/>
  <c r="F855" i="4"/>
  <c r="F856" i="4"/>
  <c r="F857" i="4"/>
  <c r="F858" i="4"/>
  <c r="F859" i="4"/>
  <c r="F860" i="4"/>
  <c r="F861" i="4"/>
  <c r="F862" i="4"/>
  <c r="F863" i="4"/>
  <c r="F864" i="4"/>
  <c r="F865" i="4"/>
  <c r="F866" i="4"/>
  <c r="F867" i="4"/>
  <c r="F868" i="4"/>
  <c r="F869" i="4"/>
  <c r="F870" i="4"/>
  <c r="F871" i="4"/>
  <c r="F872" i="4"/>
  <c r="F873" i="4"/>
  <c r="F874" i="4"/>
  <c r="F875" i="4"/>
  <c r="F876" i="4"/>
  <c r="F877" i="4"/>
  <c r="F878" i="4"/>
  <c r="F879" i="4"/>
  <c r="F880" i="4"/>
  <c r="F881" i="4"/>
  <c r="F882" i="4"/>
  <c r="F883" i="4"/>
  <c r="F884" i="4"/>
  <c r="F885" i="4"/>
  <c r="F886" i="4"/>
  <c r="F887" i="4"/>
  <c r="F888" i="4"/>
  <c r="F889" i="4"/>
  <c r="F890" i="4"/>
  <c r="F891" i="4"/>
  <c r="D47" i="28" s="1"/>
  <c r="F894" i="4"/>
  <c r="G47" i="28" s="1"/>
  <c r="F895" i="4"/>
  <c r="H47" i="28" s="1"/>
  <c r="F896" i="4"/>
  <c r="F897" i="4"/>
  <c r="J47" i="28" s="1"/>
  <c r="F898" i="4"/>
  <c r="K47" i="28" s="1"/>
  <c r="F899" i="4"/>
  <c r="L47" i="28" s="1"/>
  <c r="F900" i="4"/>
  <c r="M47" i="28" s="1"/>
  <c r="F901" i="4"/>
  <c r="N47" i="28" s="1"/>
  <c r="F902" i="4"/>
  <c r="F903" i="4"/>
  <c r="P47" i="28" s="1"/>
  <c r="F904" i="4"/>
  <c r="Q47" i="28" s="1"/>
  <c r="F905" i="4"/>
  <c r="R47" i="28" s="1"/>
  <c r="F906" i="4"/>
  <c r="S47" i="28" s="1"/>
  <c r="F907" i="4"/>
  <c r="T47" i="28" s="1"/>
  <c r="F908" i="4"/>
  <c r="F909" i="4"/>
  <c r="V47" i="28" s="1"/>
  <c r="F910" i="4"/>
  <c r="W47" i="28" s="1"/>
  <c r="F911" i="4"/>
  <c r="X47" i="28" s="1"/>
  <c r="F912" i="4"/>
  <c r="Y47" i="28" s="1"/>
  <c r="F913" i="4"/>
  <c r="Z47" i="28" s="1"/>
  <c r="F914" i="4"/>
  <c r="F915" i="4"/>
  <c r="AB47" i="28" s="1"/>
  <c r="F916" i="4"/>
  <c r="AC47" i="28" s="1"/>
  <c r="F917" i="4"/>
  <c r="AD47" i="28" s="1"/>
  <c r="F918" i="4"/>
  <c r="AE47" i="28" s="1"/>
  <c r="F919" i="4"/>
  <c r="AF47" i="28" s="1"/>
  <c r="F920" i="4"/>
  <c r="F921" i="4"/>
  <c r="AH47" i="28" s="1"/>
  <c r="F922" i="4"/>
  <c r="F893" i="4"/>
  <c r="F47" i="28" s="1"/>
  <c r="F892" i="4"/>
  <c r="E47" i="28" s="1"/>
  <c r="D15" i="4"/>
  <c r="D16" i="4"/>
  <c r="D17" i="4"/>
  <c r="D18" i="4"/>
  <c r="D19" i="4"/>
  <c r="D20" i="4"/>
  <c r="D21" i="4"/>
  <c r="D22" i="4"/>
  <c r="D23" i="4"/>
  <c r="D24" i="4"/>
  <c r="D25" i="4"/>
  <c r="D26" i="4"/>
  <c r="D27" i="4"/>
  <c r="D28" i="4"/>
  <c r="D29" i="4"/>
  <c r="D30" i="4"/>
  <c r="D31" i="4"/>
  <c r="D32" i="4"/>
  <c r="D33" i="4"/>
  <c r="D34" i="4"/>
  <c r="D35" i="4"/>
  <c r="D36" i="4"/>
  <c r="D37" i="4"/>
  <c r="D38" i="4"/>
  <c r="D39" i="4"/>
  <c r="D40" i="4"/>
  <c r="D41" i="4"/>
  <c r="D42" i="4"/>
  <c r="D43" i="4"/>
  <c r="D44" i="4"/>
  <c r="D45" i="4"/>
  <c r="D46" i="4"/>
  <c r="D47" i="4"/>
  <c r="D48" i="4"/>
  <c r="D49" i="4"/>
  <c r="D50" i="4"/>
  <c r="D51" i="4"/>
  <c r="D52" i="4"/>
  <c r="D53" i="4"/>
  <c r="D54" i="4"/>
  <c r="D55" i="4"/>
  <c r="D56" i="4"/>
  <c r="D57" i="4"/>
  <c r="D58" i="4"/>
  <c r="D59" i="4"/>
  <c r="D60" i="4"/>
  <c r="D61" i="4"/>
  <c r="D62" i="4"/>
  <c r="D63" i="4"/>
  <c r="D64" i="4"/>
  <c r="D65" i="4"/>
  <c r="D66" i="4"/>
  <c r="D67" i="4"/>
  <c r="D68" i="4"/>
  <c r="D69" i="4"/>
  <c r="D70" i="4"/>
  <c r="D71" i="4"/>
  <c r="D72" i="4"/>
  <c r="D73" i="4"/>
  <c r="D74" i="4"/>
  <c r="D75" i="4"/>
  <c r="D76" i="4"/>
  <c r="D77" i="4"/>
  <c r="D78" i="4"/>
  <c r="D79" i="4"/>
  <c r="D80" i="4"/>
  <c r="D81" i="4"/>
  <c r="D82" i="4"/>
  <c r="D83" i="4"/>
  <c r="D84" i="4"/>
  <c r="D85" i="4"/>
  <c r="D86" i="4"/>
  <c r="D87" i="4"/>
  <c r="D88" i="4"/>
  <c r="D89" i="4"/>
  <c r="D90" i="4"/>
  <c r="D91" i="4"/>
  <c r="D92" i="4"/>
  <c r="D93" i="4"/>
  <c r="D94" i="4"/>
  <c r="D95" i="4"/>
  <c r="D96" i="4"/>
  <c r="D97" i="4"/>
  <c r="D98" i="4"/>
  <c r="D99" i="4"/>
  <c r="D100" i="4"/>
  <c r="D101" i="4"/>
  <c r="D102" i="4"/>
  <c r="D103" i="4"/>
  <c r="D104" i="4"/>
  <c r="D105" i="4"/>
  <c r="D106" i="4"/>
  <c r="D107" i="4"/>
  <c r="D108" i="4"/>
  <c r="D109" i="4"/>
  <c r="D110" i="4"/>
  <c r="D111" i="4"/>
  <c r="D112" i="4"/>
  <c r="D113" i="4"/>
  <c r="D114" i="4"/>
  <c r="D115" i="4"/>
  <c r="D116" i="4"/>
  <c r="D117" i="4"/>
  <c r="D118" i="4"/>
  <c r="D119" i="4"/>
  <c r="D120" i="4"/>
  <c r="D121" i="4"/>
  <c r="D122" i="4"/>
  <c r="D123" i="4"/>
  <c r="D124" i="4"/>
  <c r="D125" i="4"/>
  <c r="D126" i="4"/>
  <c r="D127" i="4"/>
  <c r="D128" i="4"/>
  <c r="D129" i="4"/>
  <c r="D130" i="4"/>
  <c r="D131" i="4"/>
  <c r="D132" i="4"/>
  <c r="D133" i="4"/>
  <c r="D134" i="4"/>
  <c r="D135" i="4"/>
  <c r="D136" i="4"/>
  <c r="D137" i="4"/>
  <c r="D138" i="4"/>
  <c r="D139" i="4"/>
  <c r="D140" i="4"/>
  <c r="D141" i="4"/>
  <c r="D142" i="4"/>
  <c r="D143" i="4"/>
  <c r="D144" i="4"/>
  <c r="D145" i="4"/>
  <c r="D146" i="4"/>
  <c r="D147" i="4"/>
  <c r="D148" i="4"/>
  <c r="D149" i="4"/>
  <c r="D150" i="4"/>
  <c r="D151" i="4"/>
  <c r="D152" i="4"/>
  <c r="D153" i="4"/>
  <c r="D154" i="4"/>
  <c r="D155" i="4"/>
  <c r="D156" i="4"/>
  <c r="D157" i="4"/>
  <c r="D158" i="4"/>
  <c r="D160" i="4"/>
  <c r="D161" i="4"/>
  <c r="D162" i="4"/>
  <c r="D163" i="4"/>
  <c r="D164" i="4"/>
  <c r="D165" i="4"/>
  <c r="D166" i="4"/>
  <c r="D167" i="4"/>
  <c r="D168" i="4"/>
  <c r="D169" i="4"/>
  <c r="D170" i="4"/>
  <c r="D171" i="4"/>
  <c r="D172" i="4"/>
  <c r="D173" i="4"/>
  <c r="D174" i="4"/>
  <c r="D175" i="4"/>
  <c r="D176" i="4"/>
  <c r="D177" i="4"/>
  <c r="D178" i="4"/>
  <c r="D179" i="4"/>
  <c r="D180" i="4"/>
  <c r="D181" i="4"/>
  <c r="D182" i="4"/>
  <c r="D183" i="4"/>
  <c r="D184" i="4"/>
  <c r="D185" i="4"/>
  <c r="D186" i="4"/>
  <c r="D187" i="4"/>
  <c r="D188" i="4"/>
  <c r="D189" i="4"/>
  <c r="D190" i="4"/>
  <c r="D191" i="4"/>
  <c r="D192" i="4"/>
  <c r="D193" i="4"/>
  <c r="D194" i="4"/>
  <c r="D195" i="4"/>
  <c r="D196" i="4"/>
  <c r="D197" i="4"/>
  <c r="D198" i="4"/>
  <c r="D199" i="4"/>
  <c r="D200" i="4"/>
  <c r="D201" i="4"/>
  <c r="D202" i="4"/>
  <c r="D203" i="4"/>
  <c r="D204" i="4"/>
  <c r="D205" i="4"/>
  <c r="D206" i="4"/>
  <c r="D207" i="4"/>
  <c r="D208" i="4"/>
  <c r="D209" i="4"/>
  <c r="D210" i="4"/>
  <c r="D211" i="4"/>
  <c r="D212" i="4"/>
  <c r="D213" i="4"/>
  <c r="D214" i="4"/>
  <c r="D215" i="4"/>
  <c r="D216" i="4"/>
  <c r="D217" i="4"/>
  <c r="D218" i="4"/>
  <c r="D219" i="4"/>
  <c r="D220" i="4"/>
  <c r="D221" i="4"/>
  <c r="D222" i="4"/>
  <c r="D223" i="4"/>
  <c r="D224" i="4"/>
  <c r="D225" i="4"/>
  <c r="D226" i="4"/>
  <c r="D227" i="4"/>
  <c r="D228" i="4"/>
  <c r="D229" i="4"/>
  <c r="D230" i="4"/>
  <c r="D231" i="4"/>
  <c r="D232" i="4"/>
  <c r="D233" i="4"/>
  <c r="D234" i="4"/>
  <c r="D235" i="4"/>
  <c r="D236" i="4"/>
  <c r="D237" i="4"/>
  <c r="D238" i="4"/>
  <c r="D239" i="4"/>
  <c r="D240" i="4"/>
  <c r="D241" i="4"/>
  <c r="D242" i="4"/>
  <c r="D243" i="4"/>
  <c r="D244" i="4"/>
  <c r="D245" i="4"/>
  <c r="D246" i="4"/>
  <c r="D247" i="4"/>
  <c r="D248" i="4"/>
  <c r="D249" i="4"/>
  <c r="D250" i="4"/>
  <c r="D251" i="4"/>
  <c r="D252" i="4"/>
  <c r="D253" i="4"/>
  <c r="D254" i="4"/>
  <c r="D255" i="4"/>
  <c r="D256" i="4"/>
  <c r="D257" i="4"/>
  <c r="D258" i="4"/>
  <c r="D259" i="4"/>
  <c r="D260" i="4"/>
  <c r="D261" i="4"/>
  <c r="D262" i="4"/>
  <c r="D263" i="4"/>
  <c r="D264" i="4"/>
  <c r="D265" i="4"/>
  <c r="D266" i="4"/>
  <c r="D267" i="4"/>
  <c r="D268" i="4"/>
  <c r="D269" i="4"/>
  <c r="D270" i="4"/>
  <c r="D271" i="4"/>
  <c r="D272" i="4"/>
  <c r="D273" i="4"/>
  <c r="D274" i="4"/>
  <c r="D275" i="4"/>
  <c r="D276" i="4"/>
  <c r="D277" i="4"/>
  <c r="D278" i="4"/>
  <c r="D279" i="4"/>
  <c r="D280" i="4"/>
  <c r="D281" i="4"/>
  <c r="D282" i="4"/>
  <c r="D283" i="4"/>
  <c r="D284" i="4"/>
  <c r="D285" i="4"/>
  <c r="D286" i="4"/>
  <c r="D287" i="4"/>
  <c r="D288" i="4"/>
  <c r="D289" i="4"/>
  <c r="D290" i="4"/>
  <c r="D291" i="4"/>
  <c r="D292" i="4"/>
  <c r="D293" i="4"/>
  <c r="D294" i="4"/>
  <c r="D295" i="4"/>
  <c r="D296" i="4"/>
  <c r="D297" i="4"/>
  <c r="D298" i="4"/>
  <c r="D299" i="4"/>
  <c r="D300" i="4"/>
  <c r="D301" i="4"/>
  <c r="D302" i="4"/>
  <c r="D303" i="4"/>
  <c r="D304" i="4"/>
  <c r="D305" i="4"/>
  <c r="D306" i="4"/>
  <c r="D307" i="4"/>
  <c r="D308" i="4"/>
  <c r="D309" i="4"/>
  <c r="D310" i="4"/>
  <c r="D311" i="4"/>
  <c r="D312" i="4"/>
  <c r="D313" i="4"/>
  <c r="D314" i="4"/>
  <c r="D315" i="4"/>
  <c r="D316" i="4"/>
  <c r="D317" i="4"/>
  <c r="D318" i="4"/>
  <c r="D319" i="4"/>
  <c r="D320" i="4"/>
  <c r="D321" i="4"/>
  <c r="D322" i="4"/>
  <c r="D323" i="4"/>
  <c r="D324" i="4"/>
  <c r="D325" i="4"/>
  <c r="D326" i="4"/>
  <c r="D327" i="4"/>
  <c r="D328" i="4"/>
  <c r="D329" i="4"/>
  <c r="D330" i="4"/>
  <c r="D331" i="4"/>
  <c r="D332" i="4"/>
  <c r="D333" i="4"/>
  <c r="D334" i="4"/>
  <c r="D335" i="4"/>
  <c r="D336" i="4"/>
  <c r="D337" i="4"/>
  <c r="D338" i="4"/>
  <c r="D339" i="4"/>
  <c r="D340" i="4"/>
  <c r="D341" i="4"/>
  <c r="D342" i="4"/>
  <c r="D343" i="4"/>
  <c r="D344" i="4"/>
  <c r="D345" i="4"/>
  <c r="D346" i="4"/>
  <c r="D347" i="4"/>
  <c r="D348" i="4"/>
  <c r="D349" i="4"/>
  <c r="D350" i="4"/>
  <c r="D351" i="4"/>
  <c r="D352" i="4"/>
  <c r="D353" i="4"/>
  <c r="D354" i="4"/>
  <c r="D355" i="4"/>
  <c r="D356" i="4"/>
  <c r="D357" i="4"/>
  <c r="D358" i="4"/>
  <c r="D359" i="4"/>
  <c r="D360" i="4"/>
  <c r="D361" i="4"/>
  <c r="D362" i="4"/>
  <c r="D363" i="4"/>
  <c r="D364" i="4"/>
  <c r="D365" i="4"/>
  <c r="D366" i="4"/>
  <c r="D367" i="4"/>
  <c r="D368" i="4"/>
  <c r="D369" i="4"/>
  <c r="D370" i="4"/>
  <c r="D371" i="4"/>
  <c r="D372" i="4"/>
  <c r="D373" i="4"/>
  <c r="D374" i="4"/>
  <c r="D375" i="4"/>
  <c r="D376" i="4"/>
  <c r="D377" i="4"/>
  <c r="D378" i="4"/>
  <c r="D379" i="4"/>
  <c r="D380" i="4"/>
  <c r="D381" i="4"/>
  <c r="D382" i="4"/>
  <c r="D383" i="4"/>
  <c r="D384" i="4"/>
  <c r="D385" i="4"/>
  <c r="D386" i="4"/>
  <c r="D387" i="4"/>
  <c r="D388" i="4"/>
  <c r="D389" i="4"/>
  <c r="D390" i="4"/>
  <c r="D391" i="4"/>
  <c r="D392" i="4"/>
  <c r="D393" i="4"/>
  <c r="D394" i="4"/>
  <c r="D395" i="4"/>
  <c r="D396" i="4"/>
  <c r="D397" i="4"/>
  <c r="D398" i="4"/>
  <c r="D399" i="4"/>
  <c r="D400" i="4"/>
  <c r="D401" i="4"/>
  <c r="D402" i="4"/>
  <c r="D403" i="4"/>
  <c r="D404" i="4"/>
  <c r="D405" i="4"/>
  <c r="D406" i="4"/>
  <c r="D407" i="4"/>
  <c r="D408" i="4"/>
  <c r="D409" i="4"/>
  <c r="D410" i="4"/>
  <c r="D411" i="4"/>
  <c r="D412" i="4"/>
  <c r="D413" i="4"/>
  <c r="D414" i="4"/>
  <c r="D415" i="4"/>
  <c r="D416" i="4"/>
  <c r="D417" i="4"/>
  <c r="D418" i="4"/>
  <c r="D419" i="4"/>
  <c r="D420" i="4"/>
  <c r="D421" i="4"/>
  <c r="D422" i="4"/>
  <c r="D423" i="4"/>
  <c r="D424" i="4"/>
  <c r="D425" i="4"/>
  <c r="D426" i="4"/>
  <c r="D427" i="4"/>
  <c r="D428" i="4"/>
  <c r="D429" i="4"/>
  <c r="D430" i="4"/>
  <c r="D431" i="4"/>
  <c r="D432" i="4"/>
  <c r="D433" i="4"/>
  <c r="D434" i="4"/>
  <c r="D435" i="4"/>
  <c r="D436" i="4"/>
  <c r="D437" i="4"/>
  <c r="D438" i="4"/>
  <c r="D439" i="4"/>
  <c r="D440" i="4"/>
  <c r="D441" i="4"/>
  <c r="D442" i="4"/>
  <c r="D443" i="4"/>
  <c r="D444" i="4"/>
  <c r="D445" i="4"/>
  <c r="D446" i="4"/>
  <c r="D447" i="4"/>
  <c r="D448" i="4"/>
  <c r="D449" i="4"/>
  <c r="D450" i="4"/>
  <c r="D451" i="4"/>
  <c r="D452" i="4"/>
  <c r="D453" i="4"/>
  <c r="D454" i="4"/>
  <c r="D455" i="4"/>
  <c r="D456" i="4"/>
  <c r="D457" i="4"/>
  <c r="D458" i="4"/>
  <c r="D459" i="4"/>
  <c r="D460" i="4"/>
  <c r="D461" i="4"/>
  <c r="D462" i="4"/>
  <c r="D463" i="4"/>
  <c r="D464" i="4"/>
  <c r="D465" i="4"/>
  <c r="D466" i="4"/>
  <c r="D467" i="4"/>
  <c r="D468" i="4"/>
  <c r="D469" i="4"/>
  <c r="D470" i="4"/>
  <c r="D471" i="4"/>
  <c r="D472" i="4"/>
  <c r="D473" i="4"/>
  <c r="D474" i="4"/>
  <c r="D475" i="4"/>
  <c r="D476" i="4"/>
  <c r="D477" i="4"/>
  <c r="D478" i="4"/>
  <c r="D479" i="4"/>
  <c r="D480" i="4"/>
  <c r="D481" i="4"/>
  <c r="D482" i="4"/>
  <c r="D483" i="4"/>
  <c r="D484" i="4"/>
  <c r="D485" i="4"/>
  <c r="D486" i="4"/>
  <c r="D487" i="4"/>
  <c r="D488" i="4"/>
  <c r="D489" i="4"/>
  <c r="D490" i="4"/>
  <c r="D491" i="4"/>
  <c r="D492" i="4"/>
  <c r="D493" i="4"/>
  <c r="D494" i="4"/>
  <c r="D495" i="4"/>
  <c r="D496" i="4"/>
  <c r="D497" i="4"/>
  <c r="D498" i="4"/>
  <c r="D499" i="4"/>
  <c r="D500" i="4"/>
  <c r="D501" i="4"/>
  <c r="D502" i="4"/>
  <c r="D503" i="4"/>
  <c r="D504" i="4"/>
  <c r="D505" i="4"/>
  <c r="D506" i="4"/>
  <c r="D507" i="4"/>
  <c r="D508" i="4"/>
  <c r="D509" i="4"/>
  <c r="D510" i="4"/>
  <c r="D511" i="4"/>
  <c r="D512" i="4"/>
  <c r="D513" i="4"/>
  <c r="D514" i="4"/>
  <c r="D515" i="4"/>
  <c r="D516" i="4"/>
  <c r="D517" i="4"/>
  <c r="D518" i="4"/>
  <c r="D519" i="4"/>
  <c r="D520" i="4"/>
  <c r="D521" i="4"/>
  <c r="D522" i="4"/>
  <c r="D523" i="4"/>
  <c r="D524" i="4"/>
  <c r="D525" i="4"/>
  <c r="D526" i="4"/>
  <c r="D527" i="4"/>
  <c r="D528" i="4"/>
  <c r="D529" i="4"/>
  <c r="D530" i="4"/>
  <c r="D531" i="4"/>
  <c r="D532" i="4"/>
  <c r="D533" i="4"/>
  <c r="D534" i="4"/>
  <c r="D535" i="4"/>
  <c r="D536" i="4"/>
  <c r="D537" i="4"/>
  <c r="D538" i="4"/>
  <c r="D539" i="4"/>
  <c r="D540" i="4"/>
  <c r="D541" i="4"/>
  <c r="D542" i="4"/>
  <c r="D543" i="4"/>
  <c r="D544" i="4"/>
  <c r="D545" i="4"/>
  <c r="D546" i="4"/>
  <c r="D547" i="4"/>
  <c r="D548" i="4"/>
  <c r="D549" i="4"/>
  <c r="D550" i="4"/>
  <c r="D551" i="4"/>
  <c r="D552" i="4"/>
  <c r="D553" i="4"/>
  <c r="D554" i="4"/>
  <c r="D555" i="4"/>
  <c r="D556" i="4"/>
  <c r="D557" i="4"/>
  <c r="D558" i="4"/>
  <c r="D559" i="4"/>
  <c r="D560" i="4"/>
  <c r="D561" i="4"/>
  <c r="D562" i="4"/>
  <c r="D563" i="4"/>
  <c r="D564" i="4"/>
  <c r="D565" i="4"/>
  <c r="D566" i="4"/>
  <c r="D567" i="4"/>
  <c r="D568" i="4"/>
  <c r="D569" i="4"/>
  <c r="D570" i="4"/>
  <c r="D571" i="4"/>
  <c r="D572" i="4"/>
  <c r="D573" i="4"/>
  <c r="D574" i="4"/>
  <c r="D575" i="4"/>
  <c r="D576" i="4"/>
  <c r="D577" i="4"/>
  <c r="D578" i="4"/>
  <c r="D579" i="4"/>
  <c r="D580" i="4"/>
  <c r="D581" i="4"/>
  <c r="D582" i="4"/>
  <c r="D583" i="4"/>
  <c r="D584" i="4"/>
  <c r="D585" i="4"/>
  <c r="D586" i="4"/>
  <c r="D587" i="4"/>
  <c r="D588" i="4"/>
  <c r="D589" i="4"/>
  <c r="D590" i="4"/>
  <c r="D591" i="4"/>
  <c r="D592" i="4"/>
  <c r="D593" i="4"/>
  <c r="D594" i="4"/>
  <c r="D595" i="4"/>
  <c r="D596" i="4"/>
  <c r="D597" i="4"/>
  <c r="D598" i="4"/>
  <c r="D599" i="4"/>
  <c r="D600" i="4"/>
  <c r="D601" i="4"/>
  <c r="D602" i="4"/>
  <c r="D603" i="4"/>
  <c r="D604" i="4"/>
  <c r="D605" i="4"/>
  <c r="D606" i="4"/>
  <c r="D607" i="4"/>
  <c r="D608" i="4"/>
  <c r="D609" i="4"/>
  <c r="D610" i="4"/>
  <c r="D611" i="4"/>
  <c r="D612" i="4"/>
  <c r="D613" i="4"/>
  <c r="D614" i="4"/>
  <c r="D615" i="4"/>
  <c r="D616" i="4"/>
  <c r="D617" i="4"/>
  <c r="D618" i="4"/>
  <c r="D619" i="4"/>
  <c r="D620" i="4"/>
  <c r="D621" i="4"/>
  <c r="D622" i="4"/>
  <c r="D623" i="4"/>
  <c r="D624" i="4"/>
  <c r="D625" i="4"/>
  <c r="D626" i="4"/>
  <c r="D627" i="4"/>
  <c r="D628" i="4"/>
  <c r="D629" i="4"/>
  <c r="D630" i="4"/>
  <c r="D631" i="4"/>
  <c r="D632" i="4"/>
  <c r="D633" i="4"/>
  <c r="D634" i="4"/>
  <c r="D635" i="4"/>
  <c r="D636" i="4"/>
  <c r="D637" i="4"/>
  <c r="D638" i="4"/>
  <c r="D639" i="4"/>
  <c r="D640" i="4"/>
  <c r="D641" i="4"/>
  <c r="D642" i="4"/>
  <c r="D643" i="4"/>
  <c r="D644" i="4"/>
  <c r="D645" i="4"/>
  <c r="D646" i="4"/>
  <c r="D647" i="4"/>
  <c r="D648" i="4"/>
  <c r="D649" i="4"/>
  <c r="D650" i="4"/>
  <c r="D651" i="4"/>
  <c r="D652" i="4"/>
  <c r="D653" i="4"/>
  <c r="D654" i="4"/>
  <c r="D655" i="4"/>
  <c r="D656" i="4"/>
  <c r="D657" i="4"/>
  <c r="D658" i="4"/>
  <c r="D659" i="4"/>
  <c r="D660" i="4"/>
  <c r="D661" i="4"/>
  <c r="D662" i="4"/>
  <c r="D663" i="4"/>
  <c r="D664" i="4"/>
  <c r="D665" i="4"/>
  <c r="D666" i="4"/>
  <c r="D667" i="4"/>
  <c r="D668" i="4"/>
  <c r="D669" i="4"/>
  <c r="D670" i="4"/>
  <c r="D671" i="4"/>
  <c r="D672" i="4"/>
  <c r="D673" i="4"/>
  <c r="D674" i="4"/>
  <c r="D675" i="4"/>
  <c r="D676" i="4"/>
  <c r="D677" i="4"/>
  <c r="D678" i="4"/>
  <c r="D679" i="4"/>
  <c r="D680" i="4"/>
  <c r="D681" i="4"/>
  <c r="D682" i="4"/>
  <c r="D683" i="4"/>
  <c r="D684" i="4"/>
  <c r="D685" i="4"/>
  <c r="D686" i="4"/>
  <c r="D687" i="4"/>
  <c r="D688" i="4"/>
  <c r="D689" i="4"/>
  <c r="D690" i="4"/>
  <c r="D691" i="4"/>
  <c r="D692" i="4"/>
  <c r="D693" i="4"/>
  <c r="D694" i="4"/>
  <c r="D695" i="4"/>
  <c r="D696" i="4"/>
  <c r="D697" i="4"/>
  <c r="D698" i="4"/>
  <c r="D699" i="4"/>
  <c r="D700" i="4"/>
  <c r="D701" i="4"/>
  <c r="D702" i="4"/>
  <c r="D703" i="4"/>
  <c r="D704" i="4"/>
  <c r="D705" i="4"/>
  <c r="D706" i="4"/>
  <c r="D707" i="4"/>
  <c r="D708" i="4"/>
  <c r="D709" i="4"/>
  <c r="D710" i="4"/>
  <c r="D711" i="4"/>
  <c r="D712" i="4"/>
  <c r="D713" i="4"/>
  <c r="D714" i="4"/>
  <c r="D715" i="4"/>
  <c r="D716" i="4"/>
  <c r="D717" i="4"/>
  <c r="D718" i="4"/>
  <c r="D719" i="4"/>
  <c r="D720" i="4"/>
  <c r="D721" i="4"/>
  <c r="D722" i="4"/>
  <c r="D723" i="4"/>
  <c r="D724" i="4"/>
  <c r="D725" i="4"/>
  <c r="D726" i="4"/>
  <c r="D727" i="4"/>
  <c r="D728" i="4"/>
  <c r="D729" i="4"/>
  <c r="D730" i="4"/>
  <c r="D731" i="4"/>
  <c r="D732" i="4"/>
  <c r="D733" i="4"/>
  <c r="D734" i="4"/>
  <c r="D735" i="4"/>
  <c r="D736" i="4"/>
  <c r="D737" i="4"/>
  <c r="D738" i="4"/>
  <c r="D739" i="4"/>
  <c r="D740" i="4"/>
  <c r="D741" i="4"/>
  <c r="D742" i="4"/>
  <c r="D743" i="4"/>
  <c r="D744" i="4"/>
  <c r="D745" i="4"/>
  <c r="D746" i="4"/>
  <c r="D747" i="4"/>
  <c r="D748" i="4"/>
  <c r="D749" i="4"/>
  <c r="D750" i="4"/>
  <c r="D751" i="4"/>
  <c r="D752" i="4"/>
  <c r="D753" i="4"/>
  <c r="D754" i="4"/>
  <c r="D755" i="4"/>
  <c r="D756" i="4"/>
  <c r="D757" i="4"/>
  <c r="D758" i="4"/>
  <c r="D759" i="4"/>
  <c r="D760" i="4"/>
  <c r="D761" i="4"/>
  <c r="D762" i="4"/>
  <c r="D763" i="4"/>
  <c r="D764" i="4"/>
  <c r="D765" i="4"/>
  <c r="D766" i="4"/>
  <c r="D767" i="4"/>
  <c r="D768" i="4"/>
  <c r="D769" i="4"/>
  <c r="D770" i="4"/>
  <c r="D771" i="4"/>
  <c r="D772" i="4"/>
  <c r="D773" i="4"/>
  <c r="D774" i="4"/>
  <c r="D775" i="4"/>
  <c r="D776" i="4"/>
  <c r="D777" i="4"/>
  <c r="D778" i="4"/>
  <c r="D779" i="4"/>
  <c r="D780" i="4"/>
  <c r="D781" i="4"/>
  <c r="D782" i="4"/>
  <c r="D783" i="4"/>
  <c r="D784" i="4"/>
  <c r="D785" i="4"/>
  <c r="D786" i="4"/>
  <c r="D787" i="4"/>
  <c r="D788" i="4"/>
  <c r="D789" i="4"/>
  <c r="D790" i="4"/>
  <c r="D791" i="4"/>
  <c r="D792" i="4"/>
  <c r="D793" i="4"/>
  <c r="D794" i="4"/>
  <c r="D795" i="4"/>
  <c r="D796" i="4"/>
  <c r="D797" i="4"/>
  <c r="D798" i="4"/>
  <c r="D799" i="4"/>
  <c r="D800" i="4"/>
  <c r="D801" i="4"/>
  <c r="D802" i="4"/>
  <c r="D803" i="4"/>
  <c r="D804" i="4"/>
  <c r="D805" i="4"/>
  <c r="D806" i="4"/>
  <c r="D807" i="4"/>
  <c r="D808" i="4"/>
  <c r="D809" i="4"/>
  <c r="D810" i="4"/>
  <c r="D811" i="4"/>
  <c r="D812" i="4"/>
  <c r="D813" i="4"/>
  <c r="D814" i="4"/>
  <c r="D815" i="4"/>
  <c r="D816" i="4"/>
  <c r="D817" i="4"/>
  <c r="D818" i="4"/>
  <c r="D819" i="4"/>
  <c r="D820" i="4"/>
  <c r="D821" i="4"/>
  <c r="D822" i="4"/>
  <c r="D823" i="4"/>
  <c r="D824" i="4"/>
  <c r="D825" i="4"/>
  <c r="D826" i="4"/>
  <c r="D827" i="4"/>
  <c r="D828" i="4"/>
  <c r="D829" i="4"/>
  <c r="D830" i="4"/>
  <c r="D831" i="4"/>
  <c r="D832" i="4"/>
  <c r="D833" i="4"/>
  <c r="D834" i="4"/>
  <c r="D835" i="4"/>
  <c r="D836" i="4"/>
  <c r="D837" i="4"/>
  <c r="D838" i="4"/>
  <c r="D839" i="4"/>
  <c r="D840" i="4"/>
  <c r="D841" i="4"/>
  <c r="D842" i="4"/>
  <c r="D843" i="4"/>
  <c r="D844" i="4"/>
  <c r="D845" i="4"/>
  <c r="D846" i="4"/>
  <c r="D847" i="4"/>
  <c r="D848" i="4"/>
  <c r="D849" i="4"/>
  <c r="D850" i="4"/>
  <c r="D851" i="4"/>
  <c r="D852" i="4"/>
  <c r="D853" i="4"/>
  <c r="D854" i="4"/>
  <c r="D855" i="4"/>
  <c r="D856" i="4"/>
  <c r="D857" i="4"/>
  <c r="D858" i="4"/>
  <c r="D859" i="4"/>
  <c r="D860" i="4"/>
  <c r="D861" i="4"/>
  <c r="D862" i="4"/>
  <c r="D863" i="4"/>
  <c r="D864" i="4"/>
  <c r="D865" i="4"/>
  <c r="D866" i="4"/>
  <c r="D867" i="4"/>
  <c r="D868" i="4"/>
  <c r="D869" i="4"/>
  <c r="D870" i="4"/>
  <c r="D871" i="4"/>
  <c r="D872" i="4"/>
  <c r="D873" i="4"/>
  <c r="D874" i="4"/>
  <c r="D875" i="4"/>
  <c r="D876" i="4"/>
  <c r="D877" i="4"/>
  <c r="D878" i="4"/>
  <c r="D879" i="4"/>
  <c r="D880" i="4"/>
  <c r="D881" i="4"/>
  <c r="D882" i="4"/>
  <c r="D883" i="4"/>
  <c r="D884" i="4"/>
  <c r="D885" i="4"/>
  <c r="D886" i="4"/>
  <c r="D887" i="4"/>
  <c r="D888" i="4"/>
  <c r="D889" i="4"/>
  <c r="D890" i="4"/>
  <c r="D891" i="4"/>
  <c r="D50" i="28" s="1"/>
  <c r="D892" i="4"/>
  <c r="E50" i="28" s="1"/>
  <c r="D893" i="4"/>
  <c r="D894" i="4"/>
  <c r="G50" i="28" s="1"/>
  <c r="D895" i="4"/>
  <c r="H50" i="28" s="1"/>
  <c r="D896" i="4"/>
  <c r="I50" i="28" s="1"/>
  <c r="D897" i="4"/>
  <c r="J50" i="28" s="1"/>
  <c r="D898" i="4"/>
  <c r="K50" i="28" s="1"/>
  <c r="D899" i="4"/>
  <c r="D900" i="4"/>
  <c r="M50" i="28" s="1"/>
  <c r="D901" i="4"/>
  <c r="N50" i="28" s="1"/>
  <c r="D902" i="4"/>
  <c r="O50" i="28" s="1"/>
  <c r="D903" i="4"/>
  <c r="P50" i="28" s="1"/>
  <c r="D904" i="4"/>
  <c r="Q50" i="28" s="1"/>
  <c r="D905" i="4"/>
  <c r="D906" i="4"/>
  <c r="S50" i="28" s="1"/>
  <c r="D907" i="4"/>
  <c r="T50" i="28" s="1"/>
  <c r="D908" i="4"/>
  <c r="U50" i="28" s="1"/>
  <c r="D909" i="4"/>
  <c r="V50" i="28" s="1"/>
  <c r="D910" i="4"/>
  <c r="W50" i="28" s="1"/>
  <c r="D911" i="4"/>
  <c r="D912" i="4"/>
  <c r="Y50" i="28" s="1"/>
  <c r="D913" i="4"/>
  <c r="Z50" i="28" s="1"/>
  <c r="D914" i="4"/>
  <c r="AA50" i="28" s="1"/>
  <c r="D915" i="4"/>
  <c r="AB50" i="28" s="1"/>
  <c r="D916" i="4"/>
  <c r="AC50" i="28" s="1"/>
  <c r="D917" i="4"/>
  <c r="D918" i="4"/>
  <c r="AE50" i="28" s="1"/>
  <c r="D919" i="4"/>
  <c r="AF50" i="28" s="1"/>
  <c r="D920" i="4"/>
  <c r="AG50" i="28" s="1"/>
  <c r="D921" i="4"/>
  <c r="AH50" i="28" s="1"/>
  <c r="D922" i="4"/>
  <c r="AI50" i="28" s="1"/>
  <c r="D159" i="4"/>
  <c r="C922" i="4"/>
  <c r="AI46" i="28" s="1"/>
  <c r="C921" i="4"/>
  <c r="AH46" i="28" s="1"/>
  <c r="C920" i="4"/>
  <c r="AG46" i="28" s="1"/>
  <c r="C919" i="4"/>
  <c r="AF46" i="28" s="1"/>
  <c r="C918" i="4"/>
  <c r="AE46" i="28" s="1"/>
  <c r="C917" i="4"/>
  <c r="C916" i="4"/>
  <c r="C915" i="4"/>
  <c r="C914" i="4"/>
  <c r="C913" i="4"/>
  <c r="C912" i="4"/>
  <c r="C911" i="4"/>
  <c r="C910" i="4"/>
  <c r="C909" i="4"/>
  <c r="C908" i="4"/>
  <c r="C907" i="4"/>
  <c r="C906" i="4"/>
  <c r="C905" i="4"/>
  <c r="C904" i="4"/>
  <c r="C903" i="4"/>
  <c r="C902" i="4"/>
  <c r="C901" i="4"/>
  <c r="C900" i="4"/>
  <c r="C899" i="4"/>
  <c r="C898" i="4"/>
  <c r="C897" i="4"/>
  <c r="C896" i="4"/>
  <c r="C895" i="4"/>
  <c r="C894" i="4"/>
  <c r="C893" i="4"/>
  <c r="C892" i="4"/>
  <c r="E46" i="28" s="1"/>
  <c r="C891" i="4"/>
  <c r="C890" i="4"/>
  <c r="C889" i="4"/>
  <c r="C888" i="4"/>
  <c r="C887" i="4"/>
  <c r="C886" i="4"/>
  <c r="C885" i="4"/>
  <c r="C884" i="4"/>
  <c r="C883" i="4"/>
  <c r="C882" i="4"/>
  <c r="C881" i="4"/>
  <c r="C880" i="4"/>
  <c r="C879" i="4"/>
  <c r="C878" i="4"/>
  <c r="C877" i="4"/>
  <c r="C876" i="4"/>
  <c r="C875" i="4"/>
  <c r="C874" i="4"/>
  <c r="C873" i="4"/>
  <c r="C872" i="4"/>
  <c r="C871" i="4"/>
  <c r="C870" i="4"/>
  <c r="C869" i="4"/>
  <c r="C868" i="4"/>
  <c r="C867" i="4"/>
  <c r="C866" i="4"/>
  <c r="C865" i="4"/>
  <c r="C864" i="4"/>
  <c r="C863" i="4"/>
  <c r="C862" i="4"/>
  <c r="C861" i="4"/>
  <c r="C860" i="4"/>
  <c r="C859" i="4"/>
  <c r="C858" i="4"/>
  <c r="C857" i="4"/>
  <c r="C856" i="4"/>
  <c r="C855" i="4"/>
  <c r="C854" i="4"/>
  <c r="C853" i="4"/>
  <c r="C852" i="4"/>
  <c r="C851" i="4"/>
  <c r="C850" i="4"/>
  <c r="C849" i="4"/>
  <c r="C848" i="4"/>
  <c r="C847" i="4"/>
  <c r="C846" i="4"/>
  <c r="C845" i="4"/>
  <c r="C844" i="4"/>
  <c r="C843" i="4"/>
  <c r="C842" i="4"/>
  <c r="C841" i="4"/>
  <c r="C840" i="4"/>
  <c r="C839" i="4"/>
  <c r="C838" i="4"/>
  <c r="C837" i="4"/>
  <c r="C836" i="4"/>
  <c r="C835" i="4"/>
  <c r="C834" i="4"/>
  <c r="C833" i="4"/>
  <c r="C832" i="4"/>
  <c r="C831" i="4"/>
  <c r="C830" i="4"/>
  <c r="C829" i="4"/>
  <c r="C828" i="4"/>
  <c r="C827" i="4"/>
  <c r="C826" i="4"/>
  <c r="C825" i="4"/>
  <c r="C824" i="4"/>
  <c r="C823" i="4"/>
  <c r="C822" i="4"/>
  <c r="C821" i="4"/>
  <c r="C820" i="4"/>
  <c r="C819" i="4"/>
  <c r="C818" i="4"/>
  <c r="C817" i="4"/>
  <c r="C816" i="4"/>
  <c r="C815" i="4"/>
  <c r="C814" i="4"/>
  <c r="C813" i="4"/>
  <c r="C812" i="4"/>
  <c r="C811" i="4"/>
  <c r="C810" i="4"/>
  <c r="C809" i="4"/>
  <c r="C808" i="4"/>
  <c r="C807" i="4"/>
  <c r="C806" i="4"/>
  <c r="C805" i="4"/>
  <c r="C804" i="4"/>
  <c r="C803" i="4"/>
  <c r="C802" i="4"/>
  <c r="C801" i="4"/>
  <c r="C800" i="4"/>
  <c r="C799" i="4"/>
  <c r="C798" i="4"/>
  <c r="C797" i="4"/>
  <c r="C796" i="4"/>
  <c r="C795" i="4"/>
  <c r="C794" i="4"/>
  <c r="C793" i="4"/>
  <c r="C792" i="4"/>
  <c r="C791" i="4"/>
  <c r="C790" i="4"/>
  <c r="C789" i="4"/>
  <c r="C788" i="4"/>
  <c r="C787" i="4"/>
  <c r="C786" i="4"/>
  <c r="C785" i="4"/>
  <c r="C784" i="4"/>
  <c r="C783" i="4"/>
  <c r="C782" i="4"/>
  <c r="C781" i="4"/>
  <c r="C780" i="4"/>
  <c r="C779" i="4"/>
  <c r="C778" i="4"/>
  <c r="C777" i="4"/>
  <c r="C776" i="4"/>
  <c r="C775" i="4"/>
  <c r="C774" i="4"/>
  <c r="C773" i="4"/>
  <c r="C772" i="4"/>
  <c r="C771" i="4"/>
  <c r="C770" i="4"/>
  <c r="C769" i="4"/>
  <c r="C768" i="4"/>
  <c r="C767" i="4"/>
  <c r="C766" i="4"/>
  <c r="C765" i="4"/>
  <c r="C764" i="4"/>
  <c r="C763" i="4"/>
  <c r="C762" i="4"/>
  <c r="C761" i="4"/>
  <c r="C760" i="4"/>
  <c r="C759" i="4"/>
  <c r="C758" i="4"/>
  <c r="C757" i="4"/>
  <c r="C756" i="4"/>
  <c r="C755" i="4"/>
  <c r="C754" i="4"/>
  <c r="C753" i="4"/>
  <c r="C752" i="4"/>
  <c r="C751" i="4"/>
  <c r="C750" i="4"/>
  <c r="C749" i="4"/>
  <c r="C748" i="4"/>
  <c r="C747" i="4"/>
  <c r="C746" i="4"/>
  <c r="C745" i="4"/>
  <c r="C744" i="4"/>
  <c r="C743" i="4"/>
  <c r="C742" i="4"/>
  <c r="C741" i="4"/>
  <c r="C740" i="4"/>
  <c r="C739" i="4"/>
  <c r="C738" i="4"/>
  <c r="C737" i="4"/>
  <c r="C736" i="4"/>
  <c r="C735" i="4"/>
  <c r="C734" i="4"/>
  <c r="C733" i="4"/>
  <c r="C732" i="4"/>
  <c r="C731" i="4"/>
  <c r="C730" i="4"/>
  <c r="C729" i="4"/>
  <c r="C728" i="4"/>
  <c r="C727" i="4"/>
  <c r="C726" i="4"/>
  <c r="C725" i="4"/>
  <c r="C724" i="4"/>
  <c r="C723" i="4"/>
  <c r="C722" i="4"/>
  <c r="C721" i="4"/>
  <c r="C720" i="4"/>
  <c r="C719" i="4"/>
  <c r="C718" i="4"/>
  <c r="C717" i="4"/>
  <c r="C716" i="4"/>
  <c r="C715" i="4"/>
  <c r="C714" i="4"/>
  <c r="C713" i="4"/>
  <c r="C712" i="4"/>
  <c r="C711" i="4"/>
  <c r="C710" i="4"/>
  <c r="C709" i="4"/>
  <c r="C708" i="4"/>
  <c r="C707" i="4"/>
  <c r="C706" i="4"/>
  <c r="C705" i="4"/>
  <c r="C704" i="4"/>
  <c r="C703" i="4"/>
  <c r="C702" i="4"/>
  <c r="C701" i="4"/>
  <c r="C700" i="4"/>
  <c r="C699" i="4"/>
  <c r="C698" i="4"/>
  <c r="C697" i="4"/>
  <c r="C696" i="4"/>
  <c r="C695" i="4"/>
  <c r="C694" i="4"/>
  <c r="C693" i="4"/>
  <c r="C692" i="4"/>
  <c r="C691" i="4"/>
  <c r="C690" i="4"/>
  <c r="C689" i="4"/>
  <c r="C688" i="4"/>
  <c r="C687" i="4"/>
  <c r="C686" i="4"/>
  <c r="C685" i="4"/>
  <c r="C684" i="4"/>
  <c r="C683" i="4"/>
  <c r="C682" i="4"/>
  <c r="C681" i="4"/>
  <c r="C680" i="4"/>
  <c r="C679" i="4"/>
  <c r="C678" i="4"/>
  <c r="C677" i="4"/>
  <c r="C676" i="4"/>
  <c r="C675" i="4"/>
  <c r="C674" i="4"/>
  <c r="C673" i="4"/>
  <c r="C672" i="4"/>
  <c r="C671" i="4"/>
  <c r="C670" i="4"/>
  <c r="C669" i="4"/>
  <c r="C668" i="4"/>
  <c r="C667" i="4"/>
  <c r="C666" i="4"/>
  <c r="C665" i="4"/>
  <c r="C664" i="4"/>
  <c r="C663" i="4"/>
  <c r="C662" i="4"/>
  <c r="C661" i="4"/>
  <c r="C660" i="4"/>
  <c r="C659" i="4"/>
  <c r="C658" i="4"/>
  <c r="C657" i="4"/>
  <c r="C656" i="4"/>
  <c r="C655" i="4"/>
  <c r="C654" i="4"/>
  <c r="C653" i="4"/>
  <c r="C652" i="4"/>
  <c r="C651" i="4"/>
  <c r="C650" i="4"/>
  <c r="C649" i="4"/>
  <c r="C648" i="4"/>
  <c r="C647" i="4"/>
  <c r="C646" i="4"/>
  <c r="C645" i="4"/>
  <c r="C644" i="4"/>
  <c r="C643" i="4"/>
  <c r="C642" i="4"/>
  <c r="C641" i="4"/>
  <c r="C640" i="4"/>
  <c r="C639" i="4"/>
  <c r="C638" i="4"/>
  <c r="C637" i="4"/>
  <c r="C636" i="4"/>
  <c r="C635" i="4"/>
  <c r="C634" i="4"/>
  <c r="C633" i="4"/>
  <c r="C632" i="4"/>
  <c r="C631" i="4"/>
  <c r="C630" i="4"/>
  <c r="C629" i="4"/>
  <c r="C628" i="4"/>
  <c r="C627" i="4"/>
  <c r="C626" i="4"/>
  <c r="C625" i="4"/>
  <c r="C624" i="4"/>
  <c r="C623" i="4"/>
  <c r="C622" i="4"/>
  <c r="C621" i="4"/>
  <c r="C620" i="4"/>
  <c r="C619" i="4"/>
  <c r="C618" i="4"/>
  <c r="C617" i="4"/>
  <c r="C616" i="4"/>
  <c r="C615" i="4"/>
  <c r="C614" i="4"/>
  <c r="C613" i="4"/>
  <c r="C612" i="4"/>
  <c r="C611" i="4"/>
  <c r="C610" i="4"/>
  <c r="C609" i="4"/>
  <c r="C608" i="4"/>
  <c r="C607" i="4"/>
  <c r="C606" i="4"/>
  <c r="C605" i="4"/>
  <c r="C604" i="4"/>
  <c r="C603" i="4"/>
  <c r="C602" i="4"/>
  <c r="C601" i="4"/>
  <c r="C600" i="4"/>
  <c r="C599" i="4"/>
  <c r="C598" i="4"/>
  <c r="C597" i="4"/>
  <c r="C596" i="4"/>
  <c r="C595" i="4"/>
  <c r="C594" i="4"/>
  <c r="C593" i="4"/>
  <c r="C592" i="4"/>
  <c r="C591" i="4"/>
  <c r="C590" i="4"/>
  <c r="C589" i="4"/>
  <c r="C588" i="4"/>
  <c r="C587" i="4"/>
  <c r="C586" i="4"/>
  <c r="C585" i="4"/>
  <c r="C584" i="4"/>
  <c r="C583" i="4"/>
  <c r="C582" i="4"/>
  <c r="C581" i="4"/>
  <c r="C580" i="4"/>
  <c r="C579" i="4"/>
  <c r="C578" i="4"/>
  <c r="C577" i="4"/>
  <c r="C576" i="4"/>
  <c r="C575" i="4"/>
  <c r="C574" i="4"/>
  <c r="C573" i="4"/>
  <c r="C572" i="4"/>
  <c r="C571" i="4"/>
  <c r="C570" i="4"/>
  <c r="C569" i="4"/>
  <c r="C568" i="4"/>
  <c r="C567" i="4"/>
  <c r="C566" i="4"/>
  <c r="C565" i="4"/>
  <c r="C564" i="4"/>
  <c r="C563" i="4"/>
  <c r="C562" i="4"/>
  <c r="C561" i="4"/>
  <c r="C560" i="4"/>
  <c r="C559" i="4"/>
  <c r="C558" i="4"/>
  <c r="C557" i="4"/>
  <c r="C556" i="4"/>
  <c r="C555" i="4"/>
  <c r="C554" i="4"/>
  <c r="C553" i="4"/>
  <c r="C552" i="4"/>
  <c r="C551" i="4"/>
  <c r="C550" i="4"/>
  <c r="C549" i="4"/>
  <c r="C548" i="4"/>
  <c r="C547" i="4"/>
  <c r="C546" i="4"/>
  <c r="C545" i="4"/>
  <c r="C544" i="4"/>
  <c r="C543" i="4"/>
  <c r="C542" i="4"/>
  <c r="C541" i="4"/>
  <c r="C540" i="4"/>
  <c r="C539" i="4"/>
  <c r="C538" i="4"/>
  <c r="C537" i="4"/>
  <c r="C536" i="4"/>
  <c r="C535" i="4"/>
  <c r="C534" i="4"/>
  <c r="C533" i="4"/>
  <c r="C532" i="4"/>
  <c r="C531" i="4"/>
  <c r="C530" i="4"/>
  <c r="C529" i="4"/>
  <c r="C528" i="4"/>
  <c r="C527" i="4"/>
  <c r="C526" i="4"/>
  <c r="C525" i="4"/>
  <c r="C524" i="4"/>
  <c r="C523" i="4"/>
  <c r="C522" i="4"/>
  <c r="C521" i="4"/>
  <c r="C520" i="4"/>
  <c r="C519" i="4"/>
  <c r="C518" i="4"/>
  <c r="C517" i="4"/>
  <c r="C516" i="4"/>
  <c r="C515" i="4"/>
  <c r="C514" i="4"/>
  <c r="C513" i="4"/>
  <c r="C512" i="4"/>
  <c r="C511" i="4"/>
  <c r="C510" i="4"/>
  <c r="C509" i="4"/>
  <c r="C508" i="4"/>
  <c r="C507" i="4"/>
  <c r="C506" i="4"/>
  <c r="C505" i="4"/>
  <c r="C504" i="4"/>
  <c r="C503" i="4"/>
  <c r="C502" i="4"/>
  <c r="C501" i="4"/>
  <c r="C500" i="4"/>
  <c r="C499" i="4"/>
  <c r="C498" i="4"/>
  <c r="C497" i="4"/>
  <c r="C496" i="4"/>
  <c r="C495" i="4"/>
  <c r="C494" i="4"/>
  <c r="C493" i="4"/>
  <c r="C492" i="4"/>
  <c r="C491" i="4"/>
  <c r="C490" i="4"/>
  <c r="C489" i="4"/>
  <c r="C488" i="4"/>
  <c r="C487" i="4"/>
  <c r="C486" i="4"/>
  <c r="C485" i="4"/>
  <c r="C484" i="4"/>
  <c r="C483" i="4"/>
  <c r="C482" i="4"/>
  <c r="C481" i="4"/>
  <c r="C480" i="4"/>
  <c r="C479" i="4"/>
  <c r="C478" i="4"/>
  <c r="C477" i="4"/>
  <c r="C476" i="4"/>
  <c r="C475" i="4"/>
  <c r="C474" i="4"/>
  <c r="C473" i="4"/>
  <c r="C472" i="4"/>
  <c r="C471" i="4"/>
  <c r="C470" i="4"/>
  <c r="C469" i="4"/>
  <c r="C468" i="4"/>
  <c r="C467" i="4"/>
  <c r="C466" i="4"/>
  <c r="C465" i="4"/>
  <c r="C464" i="4"/>
  <c r="C463" i="4"/>
  <c r="C462" i="4"/>
  <c r="C461" i="4"/>
  <c r="C460" i="4"/>
  <c r="C459" i="4"/>
  <c r="C458" i="4"/>
  <c r="C457" i="4"/>
  <c r="C456" i="4"/>
  <c r="C455" i="4"/>
  <c r="C454" i="4"/>
  <c r="C453" i="4"/>
  <c r="C452" i="4"/>
  <c r="C451" i="4"/>
  <c r="C450" i="4"/>
  <c r="C449" i="4"/>
  <c r="C448" i="4"/>
  <c r="C447" i="4"/>
  <c r="C446" i="4"/>
  <c r="C445" i="4"/>
  <c r="C444" i="4"/>
  <c r="C443" i="4"/>
  <c r="C442" i="4"/>
  <c r="C441" i="4"/>
  <c r="C440" i="4"/>
  <c r="C439" i="4"/>
  <c r="C438" i="4"/>
  <c r="C437" i="4"/>
  <c r="C436" i="4"/>
  <c r="C435" i="4"/>
  <c r="C434" i="4"/>
  <c r="C433" i="4"/>
  <c r="C432" i="4"/>
  <c r="C431" i="4"/>
  <c r="C430" i="4"/>
  <c r="C429" i="4"/>
  <c r="C428" i="4"/>
  <c r="C427" i="4"/>
  <c r="C426" i="4"/>
  <c r="C425" i="4"/>
  <c r="C424" i="4"/>
  <c r="C423" i="4"/>
  <c r="C422" i="4"/>
  <c r="C421" i="4"/>
  <c r="C420" i="4"/>
  <c r="C419" i="4"/>
  <c r="C418" i="4"/>
  <c r="C417" i="4"/>
  <c r="C416" i="4"/>
  <c r="C415" i="4"/>
  <c r="C414" i="4"/>
  <c r="C413" i="4"/>
  <c r="C412" i="4"/>
  <c r="C411" i="4"/>
  <c r="C410" i="4"/>
  <c r="C409" i="4"/>
  <c r="C408" i="4"/>
  <c r="C407" i="4"/>
  <c r="C406" i="4"/>
  <c r="C405" i="4"/>
  <c r="C404" i="4"/>
  <c r="C403" i="4"/>
  <c r="C402" i="4"/>
  <c r="C401" i="4"/>
  <c r="C400" i="4"/>
  <c r="C399" i="4"/>
  <c r="C398" i="4"/>
  <c r="C397" i="4"/>
  <c r="C396" i="4"/>
  <c r="C395" i="4"/>
  <c r="C394" i="4"/>
  <c r="C393" i="4"/>
  <c r="C392" i="4"/>
  <c r="C391" i="4"/>
  <c r="C390" i="4"/>
  <c r="C389" i="4"/>
  <c r="C388" i="4"/>
  <c r="C387" i="4"/>
  <c r="C386" i="4"/>
  <c r="C385" i="4"/>
  <c r="C384" i="4"/>
  <c r="C383" i="4"/>
  <c r="C382" i="4"/>
  <c r="C381" i="4"/>
  <c r="C380" i="4"/>
  <c r="C379" i="4"/>
  <c r="C378" i="4"/>
  <c r="C377" i="4"/>
  <c r="C376" i="4"/>
  <c r="C375" i="4"/>
  <c r="C374" i="4"/>
  <c r="C373" i="4"/>
  <c r="C372" i="4"/>
  <c r="C371" i="4"/>
  <c r="C370" i="4"/>
  <c r="C369" i="4"/>
  <c r="C368" i="4"/>
  <c r="C367" i="4"/>
  <c r="C366" i="4"/>
  <c r="C365" i="4"/>
  <c r="C364" i="4"/>
  <c r="C363" i="4"/>
  <c r="C362" i="4"/>
  <c r="C361" i="4"/>
  <c r="C360" i="4"/>
  <c r="C359" i="4"/>
  <c r="C358" i="4"/>
  <c r="C357" i="4"/>
  <c r="C356" i="4"/>
  <c r="C355" i="4"/>
  <c r="C354" i="4"/>
  <c r="C353" i="4"/>
  <c r="C352" i="4"/>
  <c r="C351" i="4"/>
  <c r="C350" i="4"/>
  <c r="C349" i="4"/>
  <c r="C348" i="4"/>
  <c r="C347" i="4"/>
  <c r="C346" i="4"/>
  <c r="C345" i="4"/>
  <c r="C344" i="4"/>
  <c r="C343" i="4"/>
  <c r="C342" i="4"/>
  <c r="C341" i="4"/>
  <c r="C340" i="4"/>
  <c r="C339" i="4"/>
  <c r="C338" i="4"/>
  <c r="C337" i="4"/>
  <c r="C336" i="4"/>
  <c r="C335" i="4"/>
  <c r="C334" i="4"/>
  <c r="C333" i="4"/>
  <c r="C332" i="4"/>
  <c r="C331" i="4"/>
  <c r="C330" i="4"/>
  <c r="C329" i="4"/>
  <c r="C328" i="4"/>
  <c r="C327" i="4"/>
  <c r="C326" i="4"/>
  <c r="C325" i="4"/>
  <c r="C324" i="4"/>
  <c r="C323" i="4"/>
  <c r="C322" i="4"/>
  <c r="C321" i="4"/>
  <c r="C320" i="4"/>
  <c r="C319" i="4"/>
  <c r="C318" i="4"/>
  <c r="C317" i="4"/>
  <c r="C316" i="4"/>
  <c r="C315" i="4"/>
  <c r="C314" i="4"/>
  <c r="C313" i="4"/>
  <c r="C312" i="4"/>
  <c r="C311" i="4"/>
  <c r="C310" i="4"/>
  <c r="C309" i="4"/>
  <c r="C308" i="4"/>
  <c r="C307" i="4"/>
  <c r="C306" i="4"/>
  <c r="C305" i="4"/>
  <c r="C304" i="4"/>
  <c r="C303" i="4"/>
  <c r="C302" i="4"/>
  <c r="C301" i="4"/>
  <c r="C300" i="4"/>
  <c r="C299" i="4"/>
  <c r="C298" i="4"/>
  <c r="C297" i="4"/>
  <c r="C296" i="4"/>
  <c r="C295" i="4"/>
  <c r="C294" i="4"/>
  <c r="C293" i="4"/>
  <c r="C292" i="4"/>
  <c r="C291" i="4"/>
  <c r="C290" i="4"/>
  <c r="C289" i="4"/>
  <c r="C288" i="4"/>
  <c r="C287" i="4"/>
  <c r="C286" i="4"/>
  <c r="C285" i="4"/>
  <c r="C284" i="4"/>
  <c r="C283" i="4"/>
  <c r="C282" i="4"/>
  <c r="C281" i="4"/>
  <c r="C280" i="4"/>
  <c r="C279" i="4"/>
  <c r="C278" i="4"/>
  <c r="C277" i="4"/>
  <c r="C276" i="4"/>
  <c r="C275" i="4"/>
  <c r="C274" i="4"/>
  <c r="C273" i="4"/>
  <c r="C272" i="4"/>
  <c r="C271" i="4"/>
  <c r="C270" i="4"/>
  <c r="C269" i="4"/>
  <c r="C268" i="4"/>
  <c r="C267" i="4"/>
  <c r="C266" i="4"/>
  <c r="C265" i="4"/>
  <c r="C264" i="4"/>
  <c r="C263" i="4"/>
  <c r="C262" i="4"/>
  <c r="C261" i="4"/>
  <c r="C260" i="4"/>
  <c r="C259" i="4"/>
  <c r="C258" i="4"/>
  <c r="C257" i="4"/>
  <c r="C256" i="4"/>
  <c r="C255" i="4"/>
  <c r="C254" i="4"/>
  <c r="C253" i="4"/>
  <c r="C252" i="4"/>
  <c r="C251" i="4"/>
  <c r="C250" i="4"/>
  <c r="C249" i="4"/>
  <c r="C248" i="4"/>
  <c r="C247" i="4"/>
  <c r="C246" i="4"/>
  <c r="C245" i="4"/>
  <c r="C244" i="4"/>
  <c r="C243" i="4"/>
  <c r="C242" i="4"/>
  <c r="C241" i="4"/>
  <c r="C240" i="4"/>
  <c r="C239" i="4"/>
  <c r="C238" i="4"/>
  <c r="C237" i="4"/>
  <c r="C236" i="4"/>
  <c r="C235" i="4"/>
  <c r="C234" i="4"/>
  <c r="C233" i="4"/>
  <c r="C232" i="4"/>
  <c r="C231" i="4"/>
  <c r="C230" i="4"/>
  <c r="C229" i="4"/>
  <c r="C228" i="4"/>
  <c r="C227" i="4"/>
  <c r="C226" i="4"/>
  <c r="C225" i="4"/>
  <c r="C224" i="4"/>
  <c r="C223" i="4"/>
  <c r="C222" i="4"/>
  <c r="C221" i="4"/>
  <c r="C220" i="4"/>
  <c r="C219" i="4"/>
  <c r="C218" i="4"/>
  <c r="C217" i="4"/>
  <c r="C216" i="4"/>
  <c r="C215" i="4"/>
  <c r="C214" i="4"/>
  <c r="C213" i="4"/>
  <c r="C212" i="4"/>
  <c r="C211" i="4"/>
  <c r="C210" i="4"/>
  <c r="C209" i="4"/>
  <c r="C208" i="4"/>
  <c r="C207" i="4"/>
  <c r="C206" i="4"/>
  <c r="C205" i="4"/>
  <c r="C204" i="4"/>
  <c r="C203" i="4"/>
  <c r="C202" i="4"/>
  <c r="C201" i="4"/>
  <c r="C200" i="4"/>
  <c r="C199" i="4"/>
  <c r="C198" i="4"/>
  <c r="C197" i="4"/>
  <c r="C196" i="4"/>
  <c r="C195" i="4"/>
  <c r="C194" i="4"/>
  <c r="C193" i="4"/>
  <c r="C192" i="4"/>
  <c r="C191" i="4"/>
  <c r="C190" i="4"/>
  <c r="C189" i="4"/>
  <c r="C188" i="4"/>
  <c r="C187" i="4"/>
  <c r="C186" i="4"/>
  <c r="C185" i="4"/>
  <c r="C184" i="4"/>
  <c r="C183" i="4"/>
  <c r="C182" i="4"/>
  <c r="C181" i="4"/>
  <c r="C180" i="4"/>
  <c r="C179" i="4"/>
  <c r="C178" i="4"/>
  <c r="C177" i="4"/>
  <c r="C176" i="4"/>
  <c r="C175" i="4"/>
  <c r="C174" i="4"/>
  <c r="C173" i="4"/>
  <c r="C172" i="4"/>
  <c r="C171" i="4"/>
  <c r="C170" i="4"/>
  <c r="C169" i="4"/>
  <c r="C168" i="4"/>
  <c r="C167" i="4"/>
  <c r="C166" i="4"/>
  <c r="C165" i="4"/>
  <c r="C164" i="4"/>
  <c r="C163" i="4"/>
  <c r="C162" i="4"/>
  <c r="C161" i="4"/>
  <c r="C160" i="4"/>
  <c r="C159" i="4"/>
  <c r="C158" i="4"/>
  <c r="C157" i="4"/>
  <c r="C156" i="4"/>
  <c r="C155" i="4"/>
  <c r="C154" i="4"/>
  <c r="C153" i="4"/>
  <c r="C152" i="4"/>
  <c r="C151" i="4"/>
  <c r="C150" i="4"/>
  <c r="C149" i="4"/>
  <c r="C148" i="4"/>
  <c r="C147" i="4"/>
  <c r="C146" i="4"/>
  <c r="C145" i="4"/>
  <c r="C144" i="4"/>
  <c r="C143" i="4"/>
  <c r="C142" i="4"/>
  <c r="C141" i="4"/>
  <c r="C140" i="4"/>
  <c r="C139" i="4"/>
  <c r="C138" i="4"/>
  <c r="C137" i="4"/>
  <c r="C136" i="4"/>
  <c r="C135" i="4"/>
  <c r="C134" i="4"/>
  <c r="C133" i="4"/>
  <c r="C132" i="4"/>
  <c r="C131" i="4"/>
  <c r="C130" i="4"/>
  <c r="C129" i="4"/>
  <c r="C128" i="4"/>
  <c r="C127" i="4"/>
  <c r="C126" i="4"/>
  <c r="C125" i="4"/>
  <c r="C124" i="4"/>
  <c r="C123" i="4"/>
  <c r="C122" i="4"/>
  <c r="C121" i="4"/>
  <c r="C120" i="4"/>
  <c r="C119" i="4"/>
  <c r="C118" i="4"/>
  <c r="C117" i="4"/>
  <c r="C116" i="4"/>
  <c r="C115" i="4"/>
  <c r="C114" i="4"/>
  <c r="C113" i="4"/>
  <c r="C112" i="4"/>
  <c r="C111" i="4"/>
  <c r="C110" i="4"/>
  <c r="C109" i="4"/>
  <c r="C108" i="4"/>
  <c r="C107" i="4"/>
  <c r="C106" i="4"/>
  <c r="C105" i="4"/>
  <c r="C104" i="4"/>
  <c r="C103" i="4"/>
  <c r="C102" i="4"/>
  <c r="C101" i="4"/>
  <c r="C100" i="4"/>
  <c r="C99" i="4"/>
  <c r="C98" i="4"/>
  <c r="C97" i="4"/>
  <c r="C96" i="4"/>
  <c r="C95" i="4"/>
  <c r="C94" i="4"/>
  <c r="C93" i="4"/>
  <c r="C92" i="4"/>
  <c r="C91" i="4"/>
  <c r="C90" i="4"/>
  <c r="C89" i="4"/>
  <c r="C88" i="4"/>
  <c r="C87" i="4"/>
  <c r="C86" i="4"/>
  <c r="C85" i="4"/>
  <c r="C84" i="4"/>
  <c r="C83" i="4"/>
  <c r="C82" i="4"/>
  <c r="C81" i="4"/>
  <c r="C80" i="4"/>
  <c r="C79" i="4"/>
  <c r="C78" i="4"/>
  <c r="C77" i="4"/>
  <c r="C76" i="4"/>
  <c r="C75" i="4"/>
  <c r="C74" i="4"/>
  <c r="C73" i="4"/>
  <c r="C72" i="4"/>
  <c r="C71" i="4"/>
  <c r="C70" i="4"/>
  <c r="C69" i="4"/>
  <c r="C68" i="4"/>
  <c r="C67" i="4"/>
  <c r="C66" i="4"/>
  <c r="C65" i="4"/>
  <c r="C64" i="4"/>
  <c r="C63" i="4"/>
  <c r="C62" i="4"/>
  <c r="C61" i="4"/>
  <c r="C60" i="4"/>
  <c r="C59" i="4"/>
  <c r="C58" i="4"/>
  <c r="C57" i="4"/>
  <c r="C56" i="4"/>
  <c r="C55" i="4"/>
  <c r="C54" i="4"/>
  <c r="C53" i="4"/>
  <c r="C52" i="4"/>
  <c r="C51" i="4"/>
  <c r="C50" i="4"/>
  <c r="C49" i="4"/>
  <c r="C48" i="4"/>
  <c r="C47" i="4"/>
  <c r="C46" i="4"/>
  <c r="C45" i="4"/>
  <c r="C44" i="4"/>
  <c r="C43" i="4"/>
  <c r="C42" i="4"/>
  <c r="C41" i="4"/>
  <c r="C40" i="4"/>
  <c r="C39" i="4"/>
  <c r="C38" i="4"/>
  <c r="C37" i="4"/>
  <c r="C36" i="4"/>
  <c r="C35" i="4"/>
  <c r="C34" i="4"/>
  <c r="C33" i="4"/>
  <c r="C32" i="4"/>
  <c r="C31" i="4"/>
  <c r="C30" i="4"/>
  <c r="C29" i="4"/>
  <c r="C28" i="4"/>
  <c r="C27" i="4"/>
  <c r="C26" i="4"/>
  <c r="C25" i="4"/>
  <c r="C24" i="4"/>
  <c r="C23" i="4"/>
  <c r="C22" i="4"/>
  <c r="C21" i="4"/>
  <c r="C20" i="4"/>
  <c r="C19" i="4"/>
  <c r="C18" i="4"/>
  <c r="C17" i="4"/>
  <c r="C16" i="4"/>
  <c r="C15" i="4"/>
  <c r="C14" i="4"/>
  <c r="C13" i="4"/>
  <c r="C12" i="4"/>
  <c r="C11" i="4"/>
  <c r="C10" i="4"/>
  <c r="C9" i="4"/>
  <c r="C8" i="4"/>
  <c r="C7" i="4"/>
  <c r="C6" i="4"/>
  <c r="C5" i="4"/>
  <c r="C4" i="4"/>
  <c r="P910" i="32"/>
  <c r="AI42" i="28" s="1"/>
  <c r="E21" i="28"/>
  <c r="F21" i="28"/>
  <c r="G21" i="28"/>
  <c r="H21" i="28"/>
  <c r="I21" i="28"/>
  <c r="J21" i="28"/>
  <c r="K21" i="28"/>
  <c r="L21" i="28"/>
  <c r="M21" i="28"/>
  <c r="N21" i="28"/>
  <c r="O21" i="28"/>
  <c r="P21" i="28"/>
  <c r="Q21" i="28"/>
  <c r="R21" i="28"/>
  <c r="S21" i="28"/>
  <c r="T21" i="28"/>
  <c r="U21" i="28"/>
  <c r="V21" i="28"/>
  <c r="W21" i="28"/>
  <c r="X21" i="28"/>
  <c r="Y21" i="28"/>
  <c r="Z21" i="28"/>
  <c r="AA21" i="28"/>
  <c r="AB21" i="28"/>
  <c r="AC21" i="28"/>
  <c r="E22" i="28"/>
  <c r="F22" i="28"/>
  <c r="G22" i="28"/>
  <c r="H22" i="28"/>
  <c r="I22" i="28"/>
  <c r="J22" i="28"/>
  <c r="K22" i="28"/>
  <c r="L22" i="28"/>
  <c r="M22" i="28"/>
  <c r="N22" i="28"/>
  <c r="O22" i="28"/>
  <c r="P22" i="28"/>
  <c r="Q22" i="28"/>
  <c r="R22" i="28"/>
  <c r="S22" i="28"/>
  <c r="T22" i="28"/>
  <c r="U22" i="28"/>
  <c r="V22" i="28"/>
  <c r="W22" i="28"/>
  <c r="X22" i="28"/>
  <c r="Y22" i="28"/>
  <c r="Z22" i="28"/>
  <c r="AA22" i="28"/>
  <c r="AB22" i="28"/>
  <c r="AC22" i="28"/>
  <c r="D22" i="28"/>
  <c r="D21" i="28"/>
  <c r="Y159" i="4"/>
  <c r="Y160" i="4"/>
  <c r="Y161" i="4"/>
  <c r="Y162" i="4"/>
  <c r="Y163" i="4"/>
  <c r="Y164" i="4"/>
  <c r="Y165" i="4"/>
  <c r="Y166" i="4"/>
  <c r="Y167" i="4"/>
  <c r="Y168" i="4"/>
  <c r="Y169" i="4"/>
  <c r="Y170" i="4"/>
  <c r="Y171" i="4"/>
  <c r="Y172" i="4"/>
  <c r="Y173" i="4"/>
  <c r="Y174" i="4"/>
  <c r="Y175" i="4"/>
  <c r="Y176" i="4"/>
  <c r="Y177" i="4"/>
  <c r="Y178" i="4"/>
  <c r="Y179" i="4"/>
  <c r="Y180" i="4"/>
  <c r="Y181" i="4"/>
  <c r="Y182" i="4"/>
  <c r="Y183" i="4"/>
  <c r="Y184" i="4"/>
  <c r="Y185" i="4"/>
  <c r="Y186" i="4"/>
  <c r="Y187" i="4"/>
  <c r="Y188" i="4"/>
  <c r="Y189" i="4"/>
  <c r="Y190" i="4"/>
  <c r="Y191" i="4"/>
  <c r="Y192" i="4"/>
  <c r="Y193" i="4"/>
  <c r="Y194" i="4"/>
  <c r="Y195" i="4"/>
  <c r="Y196" i="4"/>
  <c r="Y197" i="4"/>
  <c r="Y198" i="4"/>
  <c r="Y199" i="4"/>
  <c r="Y200" i="4"/>
  <c r="Y201" i="4"/>
  <c r="Y202" i="4"/>
  <c r="Y203" i="4"/>
  <c r="Y204" i="4"/>
  <c r="Y205" i="4"/>
  <c r="Y206" i="4"/>
  <c r="Y207" i="4"/>
  <c r="Y208" i="4"/>
  <c r="Y209" i="4"/>
  <c r="Y210" i="4"/>
  <c r="Y211" i="4"/>
  <c r="Y212" i="4"/>
  <c r="Y213" i="4"/>
  <c r="Y214" i="4"/>
  <c r="Y215" i="4"/>
  <c r="Y216" i="4"/>
  <c r="Y217" i="4"/>
  <c r="Y218" i="4"/>
  <c r="Y219" i="4"/>
  <c r="Y220" i="4"/>
  <c r="Y221" i="4"/>
  <c r="Y222" i="4"/>
  <c r="Y223" i="4"/>
  <c r="Y224" i="4"/>
  <c r="Y225" i="4"/>
  <c r="Y226" i="4"/>
  <c r="Y227" i="4"/>
  <c r="Y228" i="4"/>
  <c r="Y229" i="4"/>
  <c r="Y230" i="4"/>
  <c r="Y231" i="4"/>
  <c r="Y232" i="4"/>
  <c r="Y233" i="4"/>
  <c r="Y234" i="4"/>
  <c r="Y235" i="4"/>
  <c r="Y236" i="4"/>
  <c r="Y237" i="4"/>
  <c r="Y238" i="4"/>
  <c r="Y239" i="4"/>
  <c r="Y240" i="4"/>
  <c r="Y241" i="4"/>
  <c r="Y242" i="4"/>
  <c r="Y243" i="4"/>
  <c r="Y244" i="4"/>
  <c r="Y245" i="4"/>
  <c r="Y246" i="4"/>
  <c r="Y247" i="4"/>
  <c r="Y248" i="4"/>
  <c r="Y249" i="4"/>
  <c r="Y250" i="4"/>
  <c r="Y251" i="4"/>
  <c r="Y252" i="4"/>
  <c r="Y253" i="4"/>
  <c r="Y254" i="4"/>
  <c r="Y255" i="4"/>
  <c r="Y256" i="4"/>
  <c r="Y257" i="4"/>
  <c r="Y258" i="4"/>
  <c r="Y259" i="4"/>
  <c r="Y260" i="4"/>
  <c r="Y261" i="4"/>
  <c r="Y262" i="4"/>
  <c r="Y263" i="4"/>
  <c r="Y264" i="4"/>
  <c r="Y265" i="4"/>
  <c r="Y266" i="4"/>
  <c r="Y267" i="4"/>
  <c r="Y268" i="4"/>
  <c r="Y269" i="4"/>
  <c r="Y270" i="4"/>
  <c r="Y271" i="4"/>
  <c r="Y272" i="4"/>
  <c r="Y273" i="4"/>
  <c r="Y274" i="4"/>
  <c r="Y275" i="4"/>
  <c r="Y276" i="4"/>
  <c r="Y277" i="4"/>
  <c r="Y278" i="4"/>
  <c r="Y279" i="4"/>
  <c r="Y280" i="4"/>
  <c r="Y281" i="4"/>
  <c r="Y282" i="4"/>
  <c r="Y283" i="4"/>
  <c r="Y284" i="4"/>
  <c r="Y285" i="4"/>
  <c r="Y286" i="4"/>
  <c r="Y287" i="4"/>
  <c r="Y288" i="4"/>
  <c r="Y289" i="4"/>
  <c r="Y290" i="4"/>
  <c r="Y291" i="4"/>
  <c r="Y292" i="4"/>
  <c r="Y293" i="4"/>
  <c r="Y294" i="4"/>
  <c r="Y295" i="4"/>
  <c r="Y296" i="4"/>
  <c r="Y297" i="4"/>
  <c r="Y298" i="4"/>
  <c r="Y299" i="4"/>
  <c r="Y300" i="4"/>
  <c r="Y301" i="4"/>
  <c r="Y302" i="4"/>
  <c r="Y303" i="4"/>
  <c r="Y304" i="4"/>
  <c r="Y305" i="4"/>
  <c r="Y306" i="4"/>
  <c r="Y307" i="4"/>
  <c r="Y308" i="4"/>
  <c r="Y309" i="4"/>
  <c r="Y310" i="4"/>
  <c r="Y311" i="4"/>
  <c r="Y312" i="4"/>
  <c r="Y313" i="4"/>
  <c r="Y314" i="4"/>
  <c r="Y315" i="4"/>
  <c r="Y316" i="4"/>
  <c r="Y317" i="4"/>
  <c r="Y318" i="4"/>
  <c r="Y319" i="4"/>
  <c r="Y320" i="4"/>
  <c r="Y321" i="4"/>
  <c r="Y322" i="4"/>
  <c r="Y323" i="4"/>
  <c r="Y324" i="4"/>
  <c r="Y325" i="4"/>
  <c r="Y326" i="4"/>
  <c r="Y327" i="4"/>
  <c r="Y328" i="4"/>
  <c r="Y329" i="4"/>
  <c r="Y330" i="4"/>
  <c r="Y331" i="4"/>
  <c r="Y332" i="4"/>
  <c r="Y333" i="4"/>
  <c r="Y334" i="4"/>
  <c r="Y335" i="4"/>
  <c r="Y336" i="4"/>
  <c r="Y337" i="4"/>
  <c r="Y338" i="4"/>
  <c r="Y339" i="4"/>
  <c r="Y340" i="4"/>
  <c r="Y341" i="4"/>
  <c r="Y342" i="4"/>
  <c r="Y343" i="4"/>
  <c r="Y344" i="4"/>
  <c r="Y345" i="4"/>
  <c r="Y346" i="4"/>
  <c r="Y347" i="4"/>
  <c r="Y348" i="4"/>
  <c r="Y349" i="4"/>
  <c r="Y350" i="4"/>
  <c r="Y351" i="4"/>
  <c r="Y352" i="4"/>
  <c r="Y353" i="4"/>
  <c r="Y354" i="4"/>
  <c r="Y355" i="4"/>
  <c r="Y356" i="4"/>
  <c r="Y357" i="4"/>
  <c r="Y358" i="4"/>
  <c r="Y359" i="4"/>
  <c r="Y360" i="4"/>
  <c r="Y361" i="4"/>
  <c r="Y362" i="4"/>
  <c r="Y363" i="4"/>
  <c r="Y364" i="4"/>
  <c r="Y365" i="4"/>
  <c r="Y366" i="4"/>
  <c r="Y367" i="4"/>
  <c r="Y368" i="4"/>
  <c r="Y369" i="4"/>
  <c r="Y370" i="4"/>
  <c r="Y371" i="4"/>
  <c r="Y372" i="4"/>
  <c r="Y373" i="4"/>
  <c r="Y374" i="4"/>
  <c r="Y375" i="4"/>
  <c r="Y376" i="4"/>
  <c r="Y377" i="4"/>
  <c r="Y378" i="4"/>
  <c r="Y379" i="4"/>
  <c r="Y380" i="4"/>
  <c r="Y381" i="4"/>
  <c r="Y382" i="4"/>
  <c r="Y383" i="4"/>
  <c r="Y384" i="4"/>
  <c r="Y385" i="4"/>
  <c r="Y386" i="4"/>
  <c r="Y387" i="4"/>
  <c r="Y388" i="4"/>
  <c r="Y389" i="4"/>
  <c r="Y390" i="4"/>
  <c r="Y391" i="4"/>
  <c r="Y392" i="4"/>
  <c r="Y393" i="4"/>
  <c r="Y394" i="4"/>
  <c r="Y395" i="4"/>
  <c r="Y396" i="4"/>
  <c r="Y397" i="4"/>
  <c r="Y398" i="4"/>
  <c r="Y399" i="4"/>
  <c r="Y400" i="4"/>
  <c r="Y401" i="4"/>
  <c r="Y402" i="4"/>
  <c r="Y403" i="4"/>
  <c r="Y404" i="4"/>
  <c r="Y405" i="4"/>
  <c r="Y406" i="4"/>
  <c r="Y407" i="4"/>
  <c r="Y408" i="4"/>
  <c r="Y409" i="4"/>
  <c r="Y410" i="4"/>
  <c r="Y411" i="4"/>
  <c r="Y412" i="4"/>
  <c r="Y413" i="4"/>
  <c r="Y414" i="4"/>
  <c r="Y415" i="4"/>
  <c r="Y416" i="4"/>
  <c r="Y417" i="4"/>
  <c r="Y418" i="4"/>
  <c r="Y419" i="4"/>
  <c r="Y420" i="4"/>
  <c r="Y421" i="4"/>
  <c r="Y422" i="4"/>
  <c r="Y423" i="4"/>
  <c r="Y424" i="4"/>
  <c r="Y425" i="4"/>
  <c r="Y426" i="4"/>
  <c r="Y427" i="4"/>
  <c r="Y428" i="4"/>
  <c r="Y429" i="4"/>
  <c r="Y430" i="4"/>
  <c r="Y431" i="4"/>
  <c r="Y432" i="4"/>
  <c r="Y433" i="4"/>
  <c r="Y434" i="4"/>
  <c r="Y435" i="4"/>
  <c r="Y436" i="4"/>
  <c r="Y437" i="4"/>
  <c r="Y438" i="4"/>
  <c r="Y439" i="4"/>
  <c r="Y440" i="4"/>
  <c r="Y441" i="4"/>
  <c r="Y442" i="4"/>
  <c r="Y443" i="4"/>
  <c r="Y444" i="4"/>
  <c r="Y445" i="4"/>
  <c r="Y446" i="4"/>
  <c r="Y447" i="4"/>
  <c r="Y448" i="4"/>
  <c r="Y449" i="4"/>
  <c r="Y450" i="4"/>
  <c r="Y451" i="4"/>
  <c r="Y452" i="4"/>
  <c r="Y453" i="4"/>
  <c r="Y454" i="4"/>
  <c r="Y455" i="4"/>
  <c r="Y456" i="4"/>
  <c r="Y457" i="4"/>
  <c r="Y458" i="4"/>
  <c r="Y459" i="4"/>
  <c r="Y460" i="4"/>
  <c r="Y461" i="4"/>
  <c r="Y462" i="4"/>
  <c r="Y463" i="4"/>
  <c r="Y464" i="4"/>
  <c r="Y465" i="4"/>
  <c r="Y466" i="4"/>
  <c r="Y467" i="4"/>
  <c r="Y468" i="4"/>
  <c r="Y469" i="4"/>
  <c r="Y470" i="4"/>
  <c r="Y471" i="4"/>
  <c r="Y472" i="4"/>
  <c r="Y473" i="4"/>
  <c r="Y474" i="4"/>
  <c r="Y475" i="4"/>
  <c r="Y476" i="4"/>
  <c r="Y477" i="4"/>
  <c r="Y478" i="4"/>
  <c r="Y479" i="4"/>
  <c r="Y480" i="4"/>
  <c r="Y481" i="4"/>
  <c r="Y482" i="4"/>
  <c r="Y483" i="4"/>
  <c r="Y484" i="4"/>
  <c r="Y485" i="4"/>
  <c r="Y486" i="4"/>
  <c r="Y487" i="4"/>
  <c r="Y488" i="4"/>
  <c r="Y489" i="4"/>
  <c r="Y490" i="4"/>
  <c r="Y491" i="4"/>
  <c r="Y492" i="4"/>
  <c r="Y493" i="4"/>
  <c r="Y494" i="4"/>
  <c r="Y495" i="4"/>
  <c r="Y496" i="4"/>
  <c r="Y497" i="4"/>
  <c r="Y498" i="4"/>
  <c r="Y499" i="4"/>
  <c r="Y500" i="4"/>
  <c r="Y501" i="4"/>
  <c r="Y502" i="4"/>
  <c r="Y503" i="4"/>
  <c r="Y504" i="4"/>
  <c r="Y505" i="4"/>
  <c r="Y506" i="4"/>
  <c r="Y507" i="4"/>
  <c r="Y508" i="4"/>
  <c r="Y509" i="4"/>
  <c r="Y510" i="4"/>
  <c r="Y511" i="4"/>
  <c r="Y512" i="4"/>
  <c r="Y513" i="4"/>
  <c r="Y514" i="4"/>
  <c r="Y515" i="4"/>
  <c r="Y516" i="4"/>
  <c r="Y517" i="4"/>
  <c r="Y518" i="4"/>
  <c r="Y519" i="4"/>
  <c r="Y520" i="4"/>
  <c r="Y521" i="4"/>
  <c r="Y522" i="4"/>
  <c r="Y523" i="4"/>
  <c r="Y524" i="4"/>
  <c r="Y525" i="4"/>
  <c r="Y526" i="4"/>
  <c r="Y527" i="4"/>
  <c r="Y528" i="4"/>
  <c r="Y529" i="4"/>
  <c r="Y530" i="4"/>
  <c r="Y531" i="4"/>
  <c r="Y532" i="4"/>
  <c r="Y533" i="4"/>
  <c r="Y534" i="4"/>
  <c r="Y535" i="4"/>
  <c r="Y536" i="4"/>
  <c r="Y537" i="4"/>
  <c r="Y538" i="4"/>
  <c r="Y539" i="4"/>
  <c r="Y540" i="4"/>
  <c r="Y541" i="4"/>
  <c r="Y542" i="4"/>
  <c r="Y543" i="4"/>
  <c r="Y544" i="4"/>
  <c r="Y545" i="4"/>
  <c r="Y546" i="4"/>
  <c r="Y547" i="4"/>
  <c r="Y548" i="4"/>
  <c r="Y549" i="4"/>
  <c r="Y550" i="4"/>
  <c r="Y551" i="4"/>
  <c r="Y552" i="4"/>
  <c r="Y553" i="4"/>
  <c r="Y554" i="4"/>
  <c r="Y555" i="4"/>
  <c r="Y556" i="4"/>
  <c r="Y557" i="4"/>
  <c r="Y558" i="4"/>
  <c r="Y559" i="4"/>
  <c r="Y560" i="4"/>
  <c r="Y561" i="4"/>
  <c r="Y562" i="4"/>
  <c r="Y563" i="4"/>
  <c r="Y564" i="4"/>
  <c r="Y565" i="4"/>
  <c r="Y566" i="4"/>
  <c r="Y567" i="4"/>
  <c r="Y568" i="4"/>
  <c r="Y569" i="4"/>
  <c r="Y570" i="4"/>
  <c r="Y571" i="4"/>
  <c r="Y572" i="4"/>
  <c r="Y573" i="4"/>
  <c r="Y574" i="4"/>
  <c r="Y575" i="4"/>
  <c r="Y576" i="4"/>
  <c r="Y577" i="4"/>
  <c r="Y578" i="4"/>
  <c r="Y579" i="4"/>
  <c r="Y580" i="4"/>
  <c r="Y581" i="4"/>
  <c r="Y582" i="4"/>
  <c r="Y583" i="4"/>
  <c r="Y584" i="4"/>
  <c r="Y585" i="4"/>
  <c r="Y586" i="4"/>
  <c r="Y587" i="4"/>
  <c r="Y588" i="4"/>
  <c r="Y589" i="4"/>
  <c r="Y590" i="4"/>
  <c r="Y591" i="4"/>
  <c r="Y592" i="4"/>
  <c r="Y593" i="4"/>
  <c r="Y594" i="4"/>
  <c r="Y595" i="4"/>
  <c r="Y596" i="4"/>
  <c r="Y597" i="4"/>
  <c r="Y598" i="4"/>
  <c r="Y599" i="4"/>
  <c r="Y600" i="4"/>
  <c r="Y601" i="4"/>
  <c r="Y602" i="4"/>
  <c r="Y603" i="4"/>
  <c r="Y604" i="4"/>
  <c r="Y605" i="4"/>
  <c r="Y606" i="4"/>
  <c r="Y607" i="4"/>
  <c r="Y608" i="4"/>
  <c r="Y609" i="4"/>
  <c r="Y610" i="4"/>
  <c r="Y611" i="4"/>
  <c r="Y612" i="4"/>
  <c r="Y613" i="4"/>
  <c r="Y614" i="4"/>
  <c r="Y615" i="4"/>
  <c r="Y616" i="4"/>
  <c r="Y617" i="4"/>
  <c r="Y618" i="4"/>
  <c r="Y619" i="4"/>
  <c r="Y620" i="4"/>
  <c r="Y621" i="4"/>
  <c r="Y622" i="4"/>
  <c r="Y623" i="4"/>
  <c r="Y624" i="4"/>
  <c r="Y625" i="4"/>
  <c r="Y626" i="4"/>
  <c r="Y627" i="4"/>
  <c r="Y628" i="4"/>
  <c r="Y629" i="4"/>
  <c r="Y630" i="4"/>
  <c r="Y631" i="4"/>
  <c r="Y632" i="4"/>
  <c r="Y633" i="4"/>
  <c r="Y634" i="4"/>
  <c r="Y635" i="4"/>
  <c r="Y636" i="4"/>
  <c r="Y637" i="4"/>
  <c r="Y638" i="4"/>
  <c r="Y639" i="4"/>
  <c r="Y640" i="4"/>
  <c r="Y641" i="4"/>
  <c r="Y642" i="4"/>
  <c r="Y643" i="4"/>
  <c r="Y644" i="4"/>
  <c r="Y645" i="4"/>
  <c r="Y646" i="4"/>
  <c r="Y647" i="4"/>
  <c r="Y648" i="4"/>
  <c r="Y649" i="4"/>
  <c r="Y650" i="4"/>
  <c r="Y651" i="4"/>
  <c r="Y652" i="4"/>
  <c r="Y653" i="4"/>
  <c r="Y654" i="4"/>
  <c r="Y655" i="4"/>
  <c r="Y656" i="4"/>
  <c r="Y657" i="4"/>
  <c r="Y658" i="4"/>
  <c r="Y659" i="4"/>
  <c r="Y660" i="4"/>
  <c r="Y661" i="4"/>
  <c r="Y662" i="4"/>
  <c r="Y663" i="4"/>
  <c r="Y664" i="4"/>
  <c r="Y665" i="4"/>
  <c r="Y666" i="4"/>
  <c r="Y667" i="4"/>
  <c r="Y668" i="4"/>
  <c r="Y669" i="4"/>
  <c r="Y670" i="4"/>
  <c r="Y671" i="4"/>
  <c r="Y672" i="4"/>
  <c r="Y673" i="4"/>
  <c r="Y674" i="4"/>
  <c r="Y675" i="4"/>
  <c r="Y676" i="4"/>
  <c r="Y677" i="4"/>
  <c r="Y678" i="4"/>
  <c r="Y679" i="4"/>
  <c r="Y680" i="4"/>
  <c r="Y681" i="4"/>
  <c r="Y682" i="4"/>
  <c r="Y683" i="4"/>
  <c r="Y684" i="4"/>
  <c r="Y685" i="4"/>
  <c r="Y686" i="4"/>
  <c r="Y687" i="4"/>
  <c r="Y688" i="4"/>
  <c r="Y689" i="4"/>
  <c r="Y690" i="4"/>
  <c r="Y691" i="4"/>
  <c r="Y692" i="4"/>
  <c r="Y693" i="4"/>
  <c r="Y694" i="4"/>
  <c r="Y695" i="4"/>
  <c r="Y696" i="4"/>
  <c r="Y697" i="4"/>
  <c r="Y698" i="4"/>
  <c r="Y699" i="4"/>
  <c r="Y700" i="4"/>
  <c r="Y701" i="4"/>
  <c r="Y702" i="4"/>
  <c r="Y703" i="4"/>
  <c r="Y704" i="4"/>
  <c r="Y705" i="4"/>
  <c r="Y706" i="4"/>
  <c r="Y707" i="4"/>
  <c r="Y708" i="4"/>
  <c r="Y709" i="4"/>
  <c r="Y710" i="4"/>
  <c r="Y711" i="4"/>
  <c r="Y712" i="4"/>
  <c r="Y713" i="4"/>
  <c r="Y714" i="4"/>
  <c r="Y715" i="4"/>
  <c r="Y716" i="4"/>
  <c r="Y717" i="4"/>
  <c r="Y718" i="4"/>
  <c r="Y719" i="4"/>
  <c r="Y720" i="4"/>
  <c r="Y721" i="4"/>
  <c r="Y722" i="4"/>
  <c r="Y723" i="4"/>
  <c r="Y724" i="4"/>
  <c r="Y725" i="4"/>
  <c r="Y726" i="4"/>
  <c r="Y727" i="4"/>
  <c r="Y728" i="4"/>
  <c r="Y729" i="4"/>
  <c r="Y730" i="4"/>
  <c r="Y731" i="4"/>
  <c r="Y732" i="4"/>
  <c r="Y733" i="4"/>
  <c r="Y734" i="4"/>
  <c r="Y735" i="4"/>
  <c r="Y736" i="4"/>
  <c r="Y737" i="4"/>
  <c r="Y738" i="4"/>
  <c r="Y739" i="4"/>
  <c r="Y740" i="4"/>
  <c r="Y741" i="4"/>
  <c r="Y742" i="4"/>
  <c r="Y743" i="4"/>
  <c r="Y744" i="4"/>
  <c r="Y745" i="4"/>
  <c r="Y746" i="4"/>
  <c r="Y747" i="4"/>
  <c r="Y748" i="4"/>
  <c r="Y749" i="4"/>
  <c r="Y750" i="4"/>
  <c r="Y751" i="4"/>
  <c r="Y752" i="4"/>
  <c r="Y753" i="4"/>
  <c r="Y754" i="4"/>
  <c r="Y755" i="4"/>
  <c r="Y756" i="4"/>
  <c r="Y757" i="4"/>
  <c r="Y758" i="4"/>
  <c r="Y759" i="4"/>
  <c r="Y760" i="4"/>
  <c r="Y761" i="4"/>
  <c r="Y762" i="4"/>
  <c r="Y763" i="4"/>
  <c r="Y764" i="4"/>
  <c r="Y765" i="4"/>
  <c r="Y766" i="4"/>
  <c r="Y767" i="4"/>
  <c r="Y768" i="4"/>
  <c r="Y769" i="4"/>
  <c r="Y770" i="4"/>
  <c r="Y771" i="4"/>
  <c r="Y772" i="4"/>
  <c r="Y773" i="4"/>
  <c r="Y774" i="4"/>
  <c r="Y775" i="4"/>
  <c r="Y776" i="4"/>
  <c r="Y777" i="4"/>
  <c r="Y778" i="4"/>
  <c r="Y779" i="4"/>
  <c r="Y780" i="4"/>
  <c r="Y781" i="4"/>
  <c r="Y782" i="4"/>
  <c r="Y783" i="4"/>
  <c r="Y784" i="4"/>
  <c r="Y785" i="4"/>
  <c r="Y786" i="4"/>
  <c r="Y787" i="4"/>
  <c r="Y788" i="4"/>
  <c r="Y789" i="4"/>
  <c r="Y790" i="4"/>
  <c r="Y791" i="4"/>
  <c r="Y792" i="4"/>
  <c r="Y793" i="4"/>
  <c r="Y794" i="4"/>
  <c r="Y795" i="4"/>
  <c r="Y796" i="4"/>
  <c r="Y797" i="4"/>
  <c r="Y798" i="4"/>
  <c r="Y799" i="4"/>
  <c r="Y800" i="4"/>
  <c r="Y801" i="4"/>
  <c r="Y802" i="4"/>
  <c r="Y803" i="4"/>
  <c r="Y804" i="4"/>
  <c r="Y805" i="4"/>
  <c r="Y806" i="4"/>
  <c r="Y807" i="4"/>
  <c r="Y808" i="4"/>
  <c r="Y809" i="4"/>
  <c r="Y810" i="4"/>
  <c r="Y811" i="4"/>
  <c r="Y812" i="4"/>
  <c r="Y813" i="4"/>
  <c r="Y814" i="4"/>
  <c r="Y815" i="4"/>
  <c r="Y816" i="4"/>
  <c r="Y817" i="4"/>
  <c r="Y818" i="4"/>
  <c r="Y819" i="4"/>
  <c r="Y820" i="4"/>
  <c r="Y821" i="4"/>
  <c r="Y822" i="4"/>
  <c r="Y823" i="4"/>
  <c r="Y824" i="4"/>
  <c r="Y825" i="4"/>
  <c r="Y826" i="4"/>
  <c r="Y827" i="4"/>
  <c r="Y828" i="4"/>
  <c r="Y829" i="4"/>
  <c r="Y830" i="4"/>
  <c r="Y831" i="4"/>
  <c r="Y832" i="4"/>
  <c r="Y833" i="4"/>
  <c r="Y834" i="4"/>
  <c r="Y835" i="4"/>
  <c r="Y836" i="4"/>
  <c r="Y837" i="4"/>
  <c r="Y838" i="4"/>
  <c r="Y839" i="4"/>
  <c r="Y840" i="4"/>
  <c r="Y841" i="4"/>
  <c r="Y842" i="4"/>
  <c r="Y843" i="4"/>
  <c r="Y844" i="4"/>
  <c r="Y845" i="4"/>
  <c r="Y846" i="4"/>
  <c r="Y847" i="4"/>
  <c r="Y848" i="4"/>
  <c r="Y849" i="4"/>
  <c r="Y850" i="4"/>
  <c r="Y851" i="4"/>
  <c r="Y852" i="4"/>
  <c r="Y853" i="4"/>
  <c r="Y854" i="4"/>
  <c r="Y855" i="4"/>
  <c r="Y856" i="4"/>
  <c r="Y857" i="4"/>
  <c r="Y858" i="4"/>
  <c r="Y859" i="4"/>
  <c r="Y860" i="4"/>
  <c r="Y861" i="4"/>
  <c r="Y862" i="4"/>
  <c r="Y863" i="4"/>
  <c r="Y864" i="4"/>
  <c r="Y865" i="4"/>
  <c r="Y866" i="4"/>
  <c r="Y867" i="4"/>
  <c r="Y868" i="4"/>
  <c r="Y869" i="4"/>
  <c r="Y870" i="4"/>
  <c r="Y871" i="4"/>
  <c r="Y872" i="4"/>
  <c r="Y873" i="4"/>
  <c r="Y874" i="4"/>
  <c r="Y875" i="4"/>
  <c r="Y876" i="4"/>
  <c r="Y877" i="4"/>
  <c r="Y878" i="4"/>
  <c r="Y879" i="4"/>
  <c r="Y880" i="4"/>
  <c r="Y881" i="4"/>
  <c r="Y882" i="4"/>
  <c r="Y883" i="4"/>
  <c r="Y884" i="4"/>
  <c r="Y885" i="4"/>
  <c r="Y886" i="4"/>
  <c r="Y887" i="4"/>
  <c r="Y888" i="4"/>
  <c r="Y889" i="4"/>
  <c r="Y890" i="4"/>
  <c r="Y891" i="4"/>
  <c r="Y892" i="4"/>
  <c r="E55" i="28" s="1"/>
  <c r="Y893" i="4"/>
  <c r="F55" i="28" s="1"/>
  <c r="Y894" i="4"/>
  <c r="G55" i="28" s="1"/>
  <c r="Y895" i="4"/>
  <c r="H55" i="28" s="1"/>
  <c r="Y896" i="4"/>
  <c r="Y897" i="4"/>
  <c r="Y898" i="4"/>
  <c r="K55" i="28" s="1"/>
  <c r="Y899" i="4"/>
  <c r="L55" i="28" s="1"/>
  <c r="Y900" i="4"/>
  <c r="M55" i="28" s="1"/>
  <c r="Y901" i="4"/>
  <c r="N55" i="28" s="1"/>
  <c r="Y902" i="4"/>
  <c r="Y903" i="4"/>
  <c r="Y904" i="4"/>
  <c r="Q55" i="28" s="1"/>
  <c r="Y905" i="4"/>
  <c r="R55" i="28" s="1"/>
  <c r="Y906" i="4"/>
  <c r="S55" i="28" s="1"/>
  <c r="Y907" i="4"/>
  <c r="T55" i="28" s="1"/>
  <c r="Y908" i="4"/>
  <c r="Y909" i="4"/>
  <c r="Y910" i="4"/>
  <c r="W55" i="28" s="1"/>
  <c r="Y911" i="4"/>
  <c r="X55" i="28" s="1"/>
  <c r="Y912" i="4"/>
  <c r="Y55" i="28" s="1"/>
  <c r="Y913" i="4"/>
  <c r="Z55" i="28" s="1"/>
  <c r="Y914" i="4"/>
  <c r="Y915" i="4"/>
  <c r="Y916" i="4"/>
  <c r="AC55" i="28" s="1"/>
  <c r="Y917" i="4"/>
  <c r="AD55" i="28" s="1"/>
  <c r="Y918" i="4"/>
  <c r="AE55" i="28" s="1"/>
  <c r="Y919" i="4"/>
  <c r="AF55" i="28" s="1"/>
  <c r="Y920" i="4"/>
  <c r="Y922" i="4"/>
  <c r="AI55" i="28" s="1"/>
  <c r="Y923" i="4"/>
  <c r="AJ55" i="28" s="1"/>
  <c r="Y924" i="4"/>
  <c r="AK55" i="28" s="1"/>
  <c r="Y925" i="4"/>
  <c r="AL55" i="28" s="1"/>
  <c r="Y926" i="4"/>
  <c r="AM55" i="28" s="1"/>
  <c r="Y921" i="4"/>
  <c r="X148" i="4"/>
  <c r="X149" i="4"/>
  <c r="X150" i="4"/>
  <c r="X151" i="4"/>
  <c r="X152" i="4"/>
  <c r="X153" i="4"/>
  <c r="X154" i="4"/>
  <c r="X155" i="4"/>
  <c r="X156" i="4"/>
  <c r="X157" i="4"/>
  <c r="X158" i="4"/>
  <c r="X159" i="4"/>
  <c r="X160" i="4"/>
  <c r="X161" i="4"/>
  <c r="X162" i="4"/>
  <c r="X163" i="4"/>
  <c r="X164" i="4"/>
  <c r="X165" i="4"/>
  <c r="X166" i="4"/>
  <c r="X167" i="4"/>
  <c r="X168" i="4"/>
  <c r="X169" i="4"/>
  <c r="X170" i="4"/>
  <c r="X171" i="4"/>
  <c r="X172" i="4"/>
  <c r="X173" i="4"/>
  <c r="X174" i="4"/>
  <c r="X175" i="4"/>
  <c r="X176" i="4"/>
  <c r="X177" i="4"/>
  <c r="X178" i="4"/>
  <c r="X179" i="4"/>
  <c r="X180" i="4"/>
  <c r="X181" i="4"/>
  <c r="X182" i="4"/>
  <c r="X183" i="4"/>
  <c r="X184" i="4"/>
  <c r="X185" i="4"/>
  <c r="X186" i="4"/>
  <c r="X187" i="4"/>
  <c r="X188" i="4"/>
  <c r="X189" i="4"/>
  <c r="X190" i="4"/>
  <c r="X191" i="4"/>
  <c r="X192" i="4"/>
  <c r="X193" i="4"/>
  <c r="X194" i="4"/>
  <c r="X195" i="4"/>
  <c r="X196" i="4"/>
  <c r="X197" i="4"/>
  <c r="X198" i="4"/>
  <c r="X199" i="4"/>
  <c r="X200" i="4"/>
  <c r="X201" i="4"/>
  <c r="X202" i="4"/>
  <c r="X203" i="4"/>
  <c r="X204" i="4"/>
  <c r="X205" i="4"/>
  <c r="X206" i="4"/>
  <c r="X207" i="4"/>
  <c r="X208" i="4"/>
  <c r="X209" i="4"/>
  <c r="X210" i="4"/>
  <c r="X211" i="4"/>
  <c r="X212" i="4"/>
  <c r="X213" i="4"/>
  <c r="X214" i="4"/>
  <c r="X215" i="4"/>
  <c r="X216" i="4"/>
  <c r="X217" i="4"/>
  <c r="X218" i="4"/>
  <c r="X219" i="4"/>
  <c r="X220" i="4"/>
  <c r="X221" i="4"/>
  <c r="X222" i="4"/>
  <c r="X223" i="4"/>
  <c r="X224" i="4"/>
  <c r="X225" i="4"/>
  <c r="X226" i="4"/>
  <c r="X227" i="4"/>
  <c r="X228" i="4"/>
  <c r="X229" i="4"/>
  <c r="X230" i="4"/>
  <c r="X231" i="4"/>
  <c r="X232" i="4"/>
  <c r="X233" i="4"/>
  <c r="X234" i="4"/>
  <c r="X235" i="4"/>
  <c r="X236" i="4"/>
  <c r="X237" i="4"/>
  <c r="X238" i="4"/>
  <c r="X239" i="4"/>
  <c r="X240" i="4"/>
  <c r="X241" i="4"/>
  <c r="X242" i="4"/>
  <c r="X243" i="4"/>
  <c r="X244" i="4"/>
  <c r="X245" i="4"/>
  <c r="X246" i="4"/>
  <c r="X247" i="4"/>
  <c r="X248" i="4"/>
  <c r="X249" i="4"/>
  <c r="X250" i="4"/>
  <c r="X251" i="4"/>
  <c r="X252" i="4"/>
  <c r="X253" i="4"/>
  <c r="X254" i="4"/>
  <c r="X255" i="4"/>
  <c r="X256" i="4"/>
  <c r="X257" i="4"/>
  <c r="X258" i="4"/>
  <c r="X259" i="4"/>
  <c r="X260" i="4"/>
  <c r="X261" i="4"/>
  <c r="X262" i="4"/>
  <c r="X263" i="4"/>
  <c r="X264" i="4"/>
  <c r="X265" i="4"/>
  <c r="X266" i="4"/>
  <c r="X267" i="4"/>
  <c r="X268" i="4"/>
  <c r="X269" i="4"/>
  <c r="X270" i="4"/>
  <c r="X271" i="4"/>
  <c r="X272" i="4"/>
  <c r="X273" i="4"/>
  <c r="X274" i="4"/>
  <c r="X275" i="4"/>
  <c r="X276" i="4"/>
  <c r="X277" i="4"/>
  <c r="X278" i="4"/>
  <c r="X279" i="4"/>
  <c r="X280" i="4"/>
  <c r="X281" i="4"/>
  <c r="X282" i="4"/>
  <c r="X283" i="4"/>
  <c r="X284" i="4"/>
  <c r="X285" i="4"/>
  <c r="X286" i="4"/>
  <c r="X287" i="4"/>
  <c r="X288" i="4"/>
  <c r="X289" i="4"/>
  <c r="X290" i="4"/>
  <c r="X291" i="4"/>
  <c r="X292" i="4"/>
  <c r="X293" i="4"/>
  <c r="X294" i="4"/>
  <c r="X295" i="4"/>
  <c r="X296" i="4"/>
  <c r="X297" i="4"/>
  <c r="X298" i="4"/>
  <c r="X299" i="4"/>
  <c r="X300" i="4"/>
  <c r="X301" i="4"/>
  <c r="X302" i="4"/>
  <c r="X303" i="4"/>
  <c r="X304" i="4"/>
  <c r="X305" i="4"/>
  <c r="X306" i="4"/>
  <c r="X307" i="4"/>
  <c r="X308" i="4"/>
  <c r="X309" i="4"/>
  <c r="X310" i="4"/>
  <c r="X311" i="4"/>
  <c r="X312" i="4"/>
  <c r="X313" i="4"/>
  <c r="X314" i="4"/>
  <c r="X315" i="4"/>
  <c r="X316" i="4"/>
  <c r="X317" i="4"/>
  <c r="X318" i="4"/>
  <c r="X319" i="4"/>
  <c r="X320" i="4"/>
  <c r="X321" i="4"/>
  <c r="X322" i="4"/>
  <c r="X323" i="4"/>
  <c r="X324" i="4"/>
  <c r="X325" i="4"/>
  <c r="X326" i="4"/>
  <c r="X327" i="4"/>
  <c r="X328" i="4"/>
  <c r="X329" i="4"/>
  <c r="X330" i="4"/>
  <c r="X331" i="4"/>
  <c r="X332" i="4"/>
  <c r="X333" i="4"/>
  <c r="X334" i="4"/>
  <c r="X335" i="4"/>
  <c r="X336" i="4"/>
  <c r="X337" i="4"/>
  <c r="X338" i="4"/>
  <c r="X339" i="4"/>
  <c r="X340" i="4"/>
  <c r="X341" i="4"/>
  <c r="X342" i="4"/>
  <c r="X343" i="4"/>
  <c r="X344" i="4"/>
  <c r="X345" i="4"/>
  <c r="X346" i="4"/>
  <c r="X347" i="4"/>
  <c r="X348" i="4"/>
  <c r="X349" i="4"/>
  <c r="X350" i="4"/>
  <c r="X351" i="4"/>
  <c r="X352" i="4"/>
  <c r="X353" i="4"/>
  <c r="X354" i="4"/>
  <c r="X355" i="4"/>
  <c r="X356" i="4"/>
  <c r="X357" i="4"/>
  <c r="X358" i="4"/>
  <c r="X359" i="4"/>
  <c r="X360" i="4"/>
  <c r="X361" i="4"/>
  <c r="X362" i="4"/>
  <c r="X363" i="4"/>
  <c r="X364" i="4"/>
  <c r="X365" i="4"/>
  <c r="X366" i="4"/>
  <c r="X367" i="4"/>
  <c r="X368" i="4"/>
  <c r="X369" i="4"/>
  <c r="X370" i="4"/>
  <c r="X371" i="4"/>
  <c r="X372" i="4"/>
  <c r="X373" i="4"/>
  <c r="X374" i="4"/>
  <c r="X375" i="4"/>
  <c r="X376" i="4"/>
  <c r="X377" i="4"/>
  <c r="X378" i="4"/>
  <c r="X379" i="4"/>
  <c r="X380" i="4"/>
  <c r="X381" i="4"/>
  <c r="X382" i="4"/>
  <c r="X383" i="4"/>
  <c r="X384" i="4"/>
  <c r="X385" i="4"/>
  <c r="X386" i="4"/>
  <c r="X387" i="4"/>
  <c r="X388" i="4"/>
  <c r="X389" i="4"/>
  <c r="X390" i="4"/>
  <c r="X391" i="4"/>
  <c r="X392" i="4"/>
  <c r="X393" i="4"/>
  <c r="X394" i="4"/>
  <c r="X395" i="4"/>
  <c r="X396" i="4"/>
  <c r="X397" i="4"/>
  <c r="X398" i="4"/>
  <c r="X399" i="4"/>
  <c r="X400" i="4"/>
  <c r="X401" i="4"/>
  <c r="X402" i="4"/>
  <c r="X403" i="4"/>
  <c r="X404" i="4"/>
  <c r="X405" i="4"/>
  <c r="X406" i="4"/>
  <c r="X407" i="4"/>
  <c r="X408" i="4"/>
  <c r="X409" i="4"/>
  <c r="X410" i="4"/>
  <c r="X411" i="4"/>
  <c r="X412" i="4"/>
  <c r="X413" i="4"/>
  <c r="X414" i="4"/>
  <c r="X415" i="4"/>
  <c r="X416" i="4"/>
  <c r="X417" i="4"/>
  <c r="X418" i="4"/>
  <c r="X419" i="4"/>
  <c r="X420" i="4"/>
  <c r="X421" i="4"/>
  <c r="X422" i="4"/>
  <c r="X423" i="4"/>
  <c r="X424" i="4"/>
  <c r="X425" i="4"/>
  <c r="X426" i="4"/>
  <c r="X427" i="4"/>
  <c r="X428" i="4"/>
  <c r="X429" i="4"/>
  <c r="X430" i="4"/>
  <c r="X431" i="4"/>
  <c r="X432" i="4"/>
  <c r="X433" i="4"/>
  <c r="X434" i="4"/>
  <c r="X435" i="4"/>
  <c r="X436" i="4"/>
  <c r="X437" i="4"/>
  <c r="X438" i="4"/>
  <c r="X439" i="4"/>
  <c r="X440" i="4"/>
  <c r="X441" i="4"/>
  <c r="X442" i="4"/>
  <c r="X443" i="4"/>
  <c r="X444" i="4"/>
  <c r="X445" i="4"/>
  <c r="X446" i="4"/>
  <c r="X447" i="4"/>
  <c r="X448" i="4"/>
  <c r="X449" i="4"/>
  <c r="X450" i="4"/>
  <c r="X451" i="4"/>
  <c r="X452" i="4"/>
  <c r="X453" i="4"/>
  <c r="X454" i="4"/>
  <c r="X455" i="4"/>
  <c r="X456" i="4"/>
  <c r="X457" i="4"/>
  <c r="X458" i="4"/>
  <c r="X459" i="4"/>
  <c r="X460" i="4"/>
  <c r="X461" i="4"/>
  <c r="X462" i="4"/>
  <c r="X463" i="4"/>
  <c r="X464" i="4"/>
  <c r="X465" i="4"/>
  <c r="X466" i="4"/>
  <c r="X467" i="4"/>
  <c r="X468" i="4"/>
  <c r="X469" i="4"/>
  <c r="X470" i="4"/>
  <c r="X471" i="4"/>
  <c r="X472" i="4"/>
  <c r="X473" i="4"/>
  <c r="X474" i="4"/>
  <c r="X475" i="4"/>
  <c r="X476" i="4"/>
  <c r="X477" i="4"/>
  <c r="X478" i="4"/>
  <c r="X479" i="4"/>
  <c r="X480" i="4"/>
  <c r="X481" i="4"/>
  <c r="X482" i="4"/>
  <c r="X483" i="4"/>
  <c r="X484" i="4"/>
  <c r="X485" i="4"/>
  <c r="X486" i="4"/>
  <c r="X487" i="4"/>
  <c r="X488" i="4"/>
  <c r="X489" i="4"/>
  <c r="X490" i="4"/>
  <c r="X491" i="4"/>
  <c r="X492" i="4"/>
  <c r="X493" i="4"/>
  <c r="X494" i="4"/>
  <c r="X495" i="4"/>
  <c r="X496" i="4"/>
  <c r="X497" i="4"/>
  <c r="X498" i="4"/>
  <c r="X499" i="4"/>
  <c r="X500" i="4"/>
  <c r="X501" i="4"/>
  <c r="X502" i="4"/>
  <c r="X503" i="4"/>
  <c r="X504" i="4"/>
  <c r="X505" i="4"/>
  <c r="X506" i="4"/>
  <c r="X507" i="4"/>
  <c r="X508" i="4"/>
  <c r="X509" i="4"/>
  <c r="X510" i="4"/>
  <c r="X511" i="4"/>
  <c r="X512" i="4"/>
  <c r="X513" i="4"/>
  <c r="X514" i="4"/>
  <c r="X515" i="4"/>
  <c r="X516" i="4"/>
  <c r="X517" i="4"/>
  <c r="X518" i="4"/>
  <c r="X519" i="4"/>
  <c r="X520" i="4"/>
  <c r="X521" i="4"/>
  <c r="X522" i="4"/>
  <c r="X523" i="4"/>
  <c r="X524" i="4"/>
  <c r="X525" i="4"/>
  <c r="X526" i="4"/>
  <c r="X527" i="4"/>
  <c r="X528" i="4"/>
  <c r="X529" i="4"/>
  <c r="X530" i="4"/>
  <c r="X531" i="4"/>
  <c r="X532" i="4"/>
  <c r="X533" i="4"/>
  <c r="X534" i="4"/>
  <c r="X535" i="4"/>
  <c r="X536" i="4"/>
  <c r="X537" i="4"/>
  <c r="X538" i="4"/>
  <c r="X539" i="4"/>
  <c r="X540" i="4"/>
  <c r="X541" i="4"/>
  <c r="X542" i="4"/>
  <c r="X543" i="4"/>
  <c r="X544" i="4"/>
  <c r="X545" i="4"/>
  <c r="X546" i="4"/>
  <c r="X547" i="4"/>
  <c r="X548" i="4"/>
  <c r="X549" i="4"/>
  <c r="X550" i="4"/>
  <c r="X551" i="4"/>
  <c r="X552" i="4"/>
  <c r="X553" i="4"/>
  <c r="X554" i="4"/>
  <c r="X555" i="4"/>
  <c r="X556" i="4"/>
  <c r="X557" i="4"/>
  <c r="X558" i="4"/>
  <c r="X559" i="4"/>
  <c r="X560" i="4"/>
  <c r="X561" i="4"/>
  <c r="X562" i="4"/>
  <c r="X563" i="4"/>
  <c r="X564" i="4"/>
  <c r="X565" i="4"/>
  <c r="X566" i="4"/>
  <c r="X567" i="4"/>
  <c r="X568" i="4"/>
  <c r="X569" i="4"/>
  <c r="X570" i="4"/>
  <c r="X571" i="4"/>
  <c r="X572" i="4"/>
  <c r="X573" i="4"/>
  <c r="X574" i="4"/>
  <c r="X575" i="4"/>
  <c r="X576" i="4"/>
  <c r="X577" i="4"/>
  <c r="X578" i="4"/>
  <c r="X579" i="4"/>
  <c r="X580" i="4"/>
  <c r="X581" i="4"/>
  <c r="X582" i="4"/>
  <c r="X583" i="4"/>
  <c r="X584" i="4"/>
  <c r="X585" i="4"/>
  <c r="X586" i="4"/>
  <c r="X587" i="4"/>
  <c r="X588" i="4"/>
  <c r="X589" i="4"/>
  <c r="X590" i="4"/>
  <c r="X591" i="4"/>
  <c r="X592" i="4"/>
  <c r="X593" i="4"/>
  <c r="X594" i="4"/>
  <c r="X595" i="4"/>
  <c r="X596" i="4"/>
  <c r="X597" i="4"/>
  <c r="X598" i="4"/>
  <c r="X599" i="4"/>
  <c r="X600" i="4"/>
  <c r="X601" i="4"/>
  <c r="X602" i="4"/>
  <c r="X603" i="4"/>
  <c r="X604" i="4"/>
  <c r="X605" i="4"/>
  <c r="X606" i="4"/>
  <c r="X607" i="4"/>
  <c r="X608" i="4"/>
  <c r="X609" i="4"/>
  <c r="X610" i="4"/>
  <c r="X611" i="4"/>
  <c r="X612" i="4"/>
  <c r="X613" i="4"/>
  <c r="X614" i="4"/>
  <c r="X615" i="4"/>
  <c r="X616" i="4"/>
  <c r="X617" i="4"/>
  <c r="X618" i="4"/>
  <c r="X619" i="4"/>
  <c r="X620" i="4"/>
  <c r="X621" i="4"/>
  <c r="X622" i="4"/>
  <c r="X623" i="4"/>
  <c r="X624" i="4"/>
  <c r="X625" i="4"/>
  <c r="X626" i="4"/>
  <c r="X627" i="4"/>
  <c r="X628" i="4"/>
  <c r="X629" i="4"/>
  <c r="X630" i="4"/>
  <c r="X631" i="4"/>
  <c r="X632" i="4"/>
  <c r="X633" i="4"/>
  <c r="X634" i="4"/>
  <c r="X635" i="4"/>
  <c r="X636" i="4"/>
  <c r="X637" i="4"/>
  <c r="X638" i="4"/>
  <c r="X639" i="4"/>
  <c r="X640" i="4"/>
  <c r="X641" i="4"/>
  <c r="X642" i="4"/>
  <c r="X643" i="4"/>
  <c r="X644" i="4"/>
  <c r="X645" i="4"/>
  <c r="X646" i="4"/>
  <c r="X647" i="4"/>
  <c r="X648" i="4"/>
  <c r="X649" i="4"/>
  <c r="X650" i="4"/>
  <c r="X651" i="4"/>
  <c r="X652" i="4"/>
  <c r="X653" i="4"/>
  <c r="X654" i="4"/>
  <c r="X655" i="4"/>
  <c r="X656" i="4"/>
  <c r="X657" i="4"/>
  <c r="X658" i="4"/>
  <c r="X659" i="4"/>
  <c r="X660" i="4"/>
  <c r="X661" i="4"/>
  <c r="X662" i="4"/>
  <c r="X663" i="4"/>
  <c r="X664" i="4"/>
  <c r="X665" i="4"/>
  <c r="X666" i="4"/>
  <c r="X667" i="4"/>
  <c r="X668" i="4"/>
  <c r="X669" i="4"/>
  <c r="X670" i="4"/>
  <c r="X671" i="4"/>
  <c r="X672" i="4"/>
  <c r="X673" i="4"/>
  <c r="X674" i="4"/>
  <c r="X675" i="4"/>
  <c r="X676" i="4"/>
  <c r="X677" i="4"/>
  <c r="X678" i="4"/>
  <c r="X679" i="4"/>
  <c r="X680" i="4"/>
  <c r="X681" i="4"/>
  <c r="X682" i="4"/>
  <c r="X683" i="4"/>
  <c r="X684" i="4"/>
  <c r="X685" i="4"/>
  <c r="X686" i="4"/>
  <c r="X687" i="4"/>
  <c r="X688" i="4"/>
  <c r="X689" i="4"/>
  <c r="X690" i="4"/>
  <c r="X691" i="4"/>
  <c r="X692" i="4"/>
  <c r="X693" i="4"/>
  <c r="X694" i="4"/>
  <c r="X695" i="4"/>
  <c r="X696" i="4"/>
  <c r="X697" i="4"/>
  <c r="X698" i="4"/>
  <c r="X699" i="4"/>
  <c r="X700" i="4"/>
  <c r="X701" i="4"/>
  <c r="X702" i="4"/>
  <c r="X703" i="4"/>
  <c r="X704" i="4"/>
  <c r="X705" i="4"/>
  <c r="X706" i="4"/>
  <c r="X707" i="4"/>
  <c r="X708" i="4"/>
  <c r="X709" i="4"/>
  <c r="X710" i="4"/>
  <c r="X711" i="4"/>
  <c r="X712" i="4"/>
  <c r="X713" i="4"/>
  <c r="X714" i="4"/>
  <c r="X715" i="4"/>
  <c r="X716" i="4"/>
  <c r="X717" i="4"/>
  <c r="X718" i="4"/>
  <c r="X719" i="4"/>
  <c r="X720" i="4"/>
  <c r="X721" i="4"/>
  <c r="X722" i="4"/>
  <c r="X723" i="4"/>
  <c r="X724" i="4"/>
  <c r="X725" i="4"/>
  <c r="X726" i="4"/>
  <c r="X727" i="4"/>
  <c r="X728" i="4"/>
  <c r="X729" i="4"/>
  <c r="X730" i="4"/>
  <c r="X731" i="4"/>
  <c r="X732" i="4"/>
  <c r="X733" i="4"/>
  <c r="X734" i="4"/>
  <c r="X735" i="4"/>
  <c r="X736" i="4"/>
  <c r="X737" i="4"/>
  <c r="X738" i="4"/>
  <c r="X739" i="4"/>
  <c r="X740" i="4"/>
  <c r="X741" i="4"/>
  <c r="X742" i="4"/>
  <c r="X743" i="4"/>
  <c r="X744" i="4"/>
  <c r="X745" i="4"/>
  <c r="X746" i="4"/>
  <c r="X747" i="4"/>
  <c r="X748" i="4"/>
  <c r="X749" i="4"/>
  <c r="X750" i="4"/>
  <c r="X751" i="4"/>
  <c r="X752" i="4"/>
  <c r="X753" i="4"/>
  <c r="X754" i="4"/>
  <c r="X755" i="4"/>
  <c r="X756" i="4"/>
  <c r="X757" i="4"/>
  <c r="X758" i="4"/>
  <c r="X759" i="4"/>
  <c r="X760" i="4"/>
  <c r="X761" i="4"/>
  <c r="X762" i="4"/>
  <c r="X763" i="4"/>
  <c r="X764" i="4"/>
  <c r="X765" i="4"/>
  <c r="X766" i="4"/>
  <c r="X767" i="4"/>
  <c r="X768" i="4"/>
  <c r="X769" i="4"/>
  <c r="X770" i="4"/>
  <c r="X771" i="4"/>
  <c r="X772" i="4"/>
  <c r="X773" i="4"/>
  <c r="X774" i="4"/>
  <c r="X775" i="4"/>
  <c r="X776" i="4"/>
  <c r="X777" i="4"/>
  <c r="X778" i="4"/>
  <c r="X779" i="4"/>
  <c r="X780" i="4"/>
  <c r="X781" i="4"/>
  <c r="X782" i="4"/>
  <c r="X783" i="4"/>
  <c r="X784" i="4"/>
  <c r="X785" i="4"/>
  <c r="X786" i="4"/>
  <c r="X787" i="4"/>
  <c r="X788" i="4"/>
  <c r="X789" i="4"/>
  <c r="X790" i="4"/>
  <c r="X791" i="4"/>
  <c r="X792" i="4"/>
  <c r="X793" i="4"/>
  <c r="X794" i="4"/>
  <c r="X795" i="4"/>
  <c r="X796" i="4"/>
  <c r="X797" i="4"/>
  <c r="X798" i="4"/>
  <c r="X799" i="4"/>
  <c r="X800" i="4"/>
  <c r="X801" i="4"/>
  <c r="X802" i="4"/>
  <c r="X803" i="4"/>
  <c r="X804" i="4"/>
  <c r="X805" i="4"/>
  <c r="X806" i="4"/>
  <c r="X807" i="4"/>
  <c r="X808" i="4"/>
  <c r="X809" i="4"/>
  <c r="X810" i="4"/>
  <c r="X811" i="4"/>
  <c r="X812" i="4"/>
  <c r="X813" i="4"/>
  <c r="X814" i="4"/>
  <c r="X815" i="4"/>
  <c r="X816" i="4"/>
  <c r="X817" i="4"/>
  <c r="X818" i="4"/>
  <c r="X819" i="4"/>
  <c r="X820" i="4"/>
  <c r="X821" i="4"/>
  <c r="X822" i="4"/>
  <c r="X823" i="4"/>
  <c r="X824" i="4"/>
  <c r="X825" i="4"/>
  <c r="X826" i="4"/>
  <c r="X827" i="4"/>
  <c r="X828" i="4"/>
  <c r="X829" i="4"/>
  <c r="X830" i="4"/>
  <c r="X831" i="4"/>
  <c r="X832" i="4"/>
  <c r="X833" i="4"/>
  <c r="X834" i="4"/>
  <c r="X835" i="4"/>
  <c r="X836" i="4"/>
  <c r="X837" i="4"/>
  <c r="X838" i="4"/>
  <c r="X839" i="4"/>
  <c r="X840" i="4"/>
  <c r="X841" i="4"/>
  <c r="X842" i="4"/>
  <c r="X843" i="4"/>
  <c r="X844" i="4"/>
  <c r="X845" i="4"/>
  <c r="X846" i="4"/>
  <c r="X847" i="4"/>
  <c r="X848" i="4"/>
  <c r="X849" i="4"/>
  <c r="X850" i="4"/>
  <c r="X851" i="4"/>
  <c r="X852" i="4"/>
  <c r="X853" i="4"/>
  <c r="X854" i="4"/>
  <c r="X855" i="4"/>
  <c r="X856" i="4"/>
  <c r="X857" i="4"/>
  <c r="X858" i="4"/>
  <c r="X859" i="4"/>
  <c r="X860" i="4"/>
  <c r="X861" i="4"/>
  <c r="X862" i="4"/>
  <c r="X863" i="4"/>
  <c r="X864" i="4"/>
  <c r="X865" i="4"/>
  <c r="X866" i="4"/>
  <c r="X867" i="4"/>
  <c r="X868" i="4"/>
  <c r="X869" i="4"/>
  <c r="X870" i="4"/>
  <c r="X871" i="4"/>
  <c r="X872" i="4"/>
  <c r="X873" i="4"/>
  <c r="X874" i="4"/>
  <c r="X875" i="4"/>
  <c r="X876" i="4"/>
  <c r="X877" i="4"/>
  <c r="X878" i="4"/>
  <c r="X879" i="4"/>
  <c r="X880" i="4"/>
  <c r="X881" i="4"/>
  <c r="X882" i="4"/>
  <c r="X883" i="4"/>
  <c r="X884" i="4"/>
  <c r="X885" i="4"/>
  <c r="X886" i="4"/>
  <c r="X887" i="4"/>
  <c r="X888" i="4"/>
  <c r="X889" i="4"/>
  <c r="X890" i="4"/>
  <c r="X891" i="4"/>
  <c r="D49" i="28" s="1"/>
  <c r="X892" i="4"/>
  <c r="E49" i="28" s="1"/>
  <c r="X893" i="4"/>
  <c r="X894" i="4"/>
  <c r="X895" i="4"/>
  <c r="H49" i="28" s="1"/>
  <c r="X896" i="4"/>
  <c r="I49" i="28" s="1"/>
  <c r="X897" i="4"/>
  <c r="J49" i="28" s="1"/>
  <c r="X898" i="4"/>
  <c r="K49" i="28" s="1"/>
  <c r="X899" i="4"/>
  <c r="X900" i="4"/>
  <c r="X901" i="4"/>
  <c r="N49" i="28" s="1"/>
  <c r="X902" i="4"/>
  <c r="O49" i="28" s="1"/>
  <c r="X903" i="4"/>
  <c r="P49" i="28" s="1"/>
  <c r="X904" i="4"/>
  <c r="Q49" i="28" s="1"/>
  <c r="X905" i="4"/>
  <c r="X906" i="4"/>
  <c r="X907" i="4"/>
  <c r="T49" i="28" s="1"/>
  <c r="X908" i="4"/>
  <c r="U49" i="28" s="1"/>
  <c r="X909" i="4"/>
  <c r="V49" i="28" s="1"/>
  <c r="X910" i="4"/>
  <c r="W49" i="28" s="1"/>
  <c r="X911" i="4"/>
  <c r="X912" i="4"/>
  <c r="X913" i="4"/>
  <c r="Z49" i="28" s="1"/>
  <c r="X914" i="4"/>
  <c r="AA49" i="28" s="1"/>
  <c r="X915" i="4"/>
  <c r="AB49" i="28" s="1"/>
  <c r="X916" i="4"/>
  <c r="AC49" i="28" s="1"/>
  <c r="X917" i="4"/>
  <c r="X918" i="4"/>
  <c r="X919" i="4"/>
  <c r="AF49" i="28" s="1"/>
  <c r="X920" i="4"/>
  <c r="AG49" i="28" s="1"/>
  <c r="X922" i="4"/>
  <c r="AI49" i="28" s="1"/>
  <c r="X923" i="4"/>
  <c r="X926" i="4"/>
  <c r="Z928" i="4" s="1"/>
  <c r="X921" i="4"/>
  <c r="AH49" i="28" s="1"/>
  <c r="V159" i="4"/>
  <c r="V160" i="4"/>
  <c r="V161" i="4"/>
  <c r="V162" i="4"/>
  <c r="V163" i="4"/>
  <c r="V164" i="4"/>
  <c r="V165" i="4"/>
  <c r="V166" i="4"/>
  <c r="V167" i="4"/>
  <c r="V168" i="4"/>
  <c r="V169" i="4"/>
  <c r="V170" i="4"/>
  <c r="V171" i="4"/>
  <c r="V172" i="4"/>
  <c r="V173" i="4"/>
  <c r="V174" i="4"/>
  <c r="V175" i="4"/>
  <c r="V176" i="4"/>
  <c r="V177" i="4"/>
  <c r="V178" i="4"/>
  <c r="V179" i="4"/>
  <c r="V180" i="4"/>
  <c r="V181" i="4"/>
  <c r="V182" i="4"/>
  <c r="V183" i="4"/>
  <c r="V184" i="4"/>
  <c r="V185" i="4"/>
  <c r="V186" i="4"/>
  <c r="V187" i="4"/>
  <c r="V188" i="4"/>
  <c r="V189" i="4"/>
  <c r="V190" i="4"/>
  <c r="V191" i="4"/>
  <c r="V192" i="4"/>
  <c r="V193" i="4"/>
  <c r="V194" i="4"/>
  <c r="V195" i="4"/>
  <c r="V196" i="4"/>
  <c r="V197" i="4"/>
  <c r="V198" i="4"/>
  <c r="V199" i="4"/>
  <c r="V200" i="4"/>
  <c r="V201" i="4"/>
  <c r="V202" i="4"/>
  <c r="V203" i="4"/>
  <c r="V204" i="4"/>
  <c r="V205" i="4"/>
  <c r="V206" i="4"/>
  <c r="V207" i="4"/>
  <c r="V208" i="4"/>
  <c r="V209" i="4"/>
  <c r="V210" i="4"/>
  <c r="V211" i="4"/>
  <c r="V212" i="4"/>
  <c r="V213" i="4"/>
  <c r="V214" i="4"/>
  <c r="V215" i="4"/>
  <c r="V216" i="4"/>
  <c r="V217" i="4"/>
  <c r="V218" i="4"/>
  <c r="V219" i="4"/>
  <c r="V220" i="4"/>
  <c r="V221" i="4"/>
  <c r="V222" i="4"/>
  <c r="V223" i="4"/>
  <c r="V224" i="4"/>
  <c r="V225" i="4"/>
  <c r="V226" i="4"/>
  <c r="V227" i="4"/>
  <c r="V228" i="4"/>
  <c r="V229" i="4"/>
  <c r="V230" i="4"/>
  <c r="V231" i="4"/>
  <c r="V232" i="4"/>
  <c r="V233" i="4"/>
  <c r="V234" i="4"/>
  <c r="V235" i="4"/>
  <c r="V236" i="4"/>
  <c r="V237" i="4"/>
  <c r="V238" i="4"/>
  <c r="V239" i="4"/>
  <c r="V240" i="4"/>
  <c r="V241" i="4"/>
  <c r="V242" i="4"/>
  <c r="V243" i="4"/>
  <c r="V244" i="4"/>
  <c r="V245" i="4"/>
  <c r="V246" i="4"/>
  <c r="V247" i="4"/>
  <c r="V248" i="4"/>
  <c r="V249" i="4"/>
  <c r="V250" i="4"/>
  <c r="V251" i="4"/>
  <c r="V252" i="4"/>
  <c r="V253" i="4"/>
  <c r="V254" i="4"/>
  <c r="V255" i="4"/>
  <c r="V256" i="4"/>
  <c r="V257" i="4"/>
  <c r="V258" i="4"/>
  <c r="V259" i="4"/>
  <c r="V260" i="4"/>
  <c r="V261" i="4"/>
  <c r="V262" i="4"/>
  <c r="V263" i="4"/>
  <c r="V264" i="4"/>
  <c r="V265" i="4"/>
  <c r="V266" i="4"/>
  <c r="V267" i="4"/>
  <c r="V268" i="4"/>
  <c r="V269" i="4"/>
  <c r="V270" i="4"/>
  <c r="V271" i="4"/>
  <c r="V272" i="4"/>
  <c r="V273" i="4"/>
  <c r="V274" i="4"/>
  <c r="V275" i="4"/>
  <c r="V276" i="4"/>
  <c r="V277" i="4"/>
  <c r="V278" i="4"/>
  <c r="V279" i="4"/>
  <c r="V280" i="4"/>
  <c r="V281" i="4"/>
  <c r="V282" i="4"/>
  <c r="V283" i="4"/>
  <c r="V284" i="4"/>
  <c r="V285" i="4"/>
  <c r="V286" i="4"/>
  <c r="V287" i="4"/>
  <c r="V288" i="4"/>
  <c r="V289" i="4"/>
  <c r="V290" i="4"/>
  <c r="V291" i="4"/>
  <c r="V292" i="4"/>
  <c r="V293" i="4"/>
  <c r="V294" i="4"/>
  <c r="V295" i="4"/>
  <c r="V296" i="4"/>
  <c r="V297" i="4"/>
  <c r="V298" i="4"/>
  <c r="V299" i="4"/>
  <c r="V300" i="4"/>
  <c r="V301" i="4"/>
  <c r="V302" i="4"/>
  <c r="V303" i="4"/>
  <c r="V304" i="4"/>
  <c r="V305" i="4"/>
  <c r="V306" i="4"/>
  <c r="V307" i="4"/>
  <c r="V308" i="4"/>
  <c r="V309" i="4"/>
  <c r="V310" i="4"/>
  <c r="V311" i="4"/>
  <c r="V312" i="4"/>
  <c r="V313" i="4"/>
  <c r="V314" i="4"/>
  <c r="V315" i="4"/>
  <c r="V316" i="4"/>
  <c r="V317" i="4"/>
  <c r="V318" i="4"/>
  <c r="V319" i="4"/>
  <c r="V320" i="4"/>
  <c r="V321" i="4"/>
  <c r="V322" i="4"/>
  <c r="V323" i="4"/>
  <c r="V324" i="4"/>
  <c r="V325" i="4"/>
  <c r="V326" i="4"/>
  <c r="V327" i="4"/>
  <c r="V328" i="4"/>
  <c r="V329" i="4"/>
  <c r="V330" i="4"/>
  <c r="V331" i="4"/>
  <c r="V332" i="4"/>
  <c r="V333" i="4"/>
  <c r="V334" i="4"/>
  <c r="V335" i="4"/>
  <c r="V336" i="4"/>
  <c r="V337" i="4"/>
  <c r="V338" i="4"/>
  <c r="V339" i="4"/>
  <c r="V340" i="4"/>
  <c r="V341" i="4"/>
  <c r="V342" i="4"/>
  <c r="V343" i="4"/>
  <c r="V344" i="4"/>
  <c r="V345" i="4"/>
  <c r="V346" i="4"/>
  <c r="V347" i="4"/>
  <c r="V348" i="4"/>
  <c r="V349" i="4"/>
  <c r="V350" i="4"/>
  <c r="V351" i="4"/>
  <c r="V352" i="4"/>
  <c r="V353" i="4"/>
  <c r="V354" i="4"/>
  <c r="V355" i="4"/>
  <c r="V356" i="4"/>
  <c r="V357" i="4"/>
  <c r="V358" i="4"/>
  <c r="V359" i="4"/>
  <c r="V360" i="4"/>
  <c r="V361" i="4"/>
  <c r="V362" i="4"/>
  <c r="V363" i="4"/>
  <c r="V364" i="4"/>
  <c r="V365" i="4"/>
  <c r="V366" i="4"/>
  <c r="V367" i="4"/>
  <c r="V368" i="4"/>
  <c r="V369" i="4"/>
  <c r="V370" i="4"/>
  <c r="V371" i="4"/>
  <c r="V372" i="4"/>
  <c r="V373" i="4"/>
  <c r="V374" i="4"/>
  <c r="V375" i="4"/>
  <c r="V376" i="4"/>
  <c r="V377" i="4"/>
  <c r="V378" i="4"/>
  <c r="V379" i="4"/>
  <c r="V380" i="4"/>
  <c r="V381" i="4"/>
  <c r="V382" i="4"/>
  <c r="V383" i="4"/>
  <c r="V384" i="4"/>
  <c r="V385" i="4"/>
  <c r="V386" i="4"/>
  <c r="V387" i="4"/>
  <c r="V388" i="4"/>
  <c r="V389" i="4"/>
  <c r="V390" i="4"/>
  <c r="V391" i="4"/>
  <c r="V392" i="4"/>
  <c r="V393" i="4"/>
  <c r="V394" i="4"/>
  <c r="V395" i="4"/>
  <c r="V396" i="4"/>
  <c r="V397" i="4"/>
  <c r="V398" i="4"/>
  <c r="V399" i="4"/>
  <c r="V400" i="4"/>
  <c r="V401" i="4"/>
  <c r="V402" i="4"/>
  <c r="V403" i="4"/>
  <c r="V404" i="4"/>
  <c r="V405" i="4"/>
  <c r="V406" i="4"/>
  <c r="V407" i="4"/>
  <c r="V408" i="4"/>
  <c r="V409" i="4"/>
  <c r="V410" i="4"/>
  <c r="V411" i="4"/>
  <c r="V412" i="4"/>
  <c r="V413" i="4"/>
  <c r="V414" i="4"/>
  <c r="V415" i="4"/>
  <c r="V416" i="4"/>
  <c r="V417" i="4"/>
  <c r="V418" i="4"/>
  <c r="V419" i="4"/>
  <c r="V420" i="4"/>
  <c r="V421" i="4"/>
  <c r="V422" i="4"/>
  <c r="V423" i="4"/>
  <c r="V424" i="4"/>
  <c r="V425" i="4"/>
  <c r="V426" i="4"/>
  <c r="V427" i="4"/>
  <c r="V428" i="4"/>
  <c r="V429" i="4"/>
  <c r="V430" i="4"/>
  <c r="V431" i="4"/>
  <c r="V432" i="4"/>
  <c r="V433" i="4"/>
  <c r="V434" i="4"/>
  <c r="V435" i="4"/>
  <c r="V436" i="4"/>
  <c r="V437" i="4"/>
  <c r="V438" i="4"/>
  <c r="V439" i="4"/>
  <c r="V440" i="4"/>
  <c r="V441" i="4"/>
  <c r="V442" i="4"/>
  <c r="V443" i="4"/>
  <c r="V444" i="4"/>
  <c r="V445" i="4"/>
  <c r="V446" i="4"/>
  <c r="V447" i="4"/>
  <c r="V448" i="4"/>
  <c r="V449" i="4"/>
  <c r="V450" i="4"/>
  <c r="V451" i="4"/>
  <c r="V452" i="4"/>
  <c r="V453" i="4"/>
  <c r="V454" i="4"/>
  <c r="V455" i="4"/>
  <c r="V456" i="4"/>
  <c r="V457" i="4"/>
  <c r="V458" i="4"/>
  <c r="V459" i="4"/>
  <c r="V460" i="4"/>
  <c r="V461" i="4"/>
  <c r="V462" i="4"/>
  <c r="V463" i="4"/>
  <c r="V464" i="4"/>
  <c r="V465" i="4"/>
  <c r="V466" i="4"/>
  <c r="V467" i="4"/>
  <c r="V468" i="4"/>
  <c r="V469" i="4"/>
  <c r="V470" i="4"/>
  <c r="V471" i="4"/>
  <c r="V472" i="4"/>
  <c r="V473" i="4"/>
  <c r="V474" i="4"/>
  <c r="V475" i="4"/>
  <c r="V476" i="4"/>
  <c r="V477" i="4"/>
  <c r="V478" i="4"/>
  <c r="V479" i="4"/>
  <c r="V480" i="4"/>
  <c r="V481" i="4"/>
  <c r="V482" i="4"/>
  <c r="V483" i="4"/>
  <c r="V484" i="4"/>
  <c r="V485" i="4"/>
  <c r="V486" i="4"/>
  <c r="V487" i="4"/>
  <c r="V488" i="4"/>
  <c r="V489" i="4"/>
  <c r="V490" i="4"/>
  <c r="V491" i="4"/>
  <c r="V492" i="4"/>
  <c r="V493" i="4"/>
  <c r="V494" i="4"/>
  <c r="V495" i="4"/>
  <c r="V496" i="4"/>
  <c r="V497" i="4"/>
  <c r="V498" i="4"/>
  <c r="V499" i="4"/>
  <c r="V500" i="4"/>
  <c r="V501" i="4"/>
  <c r="V502" i="4"/>
  <c r="V503" i="4"/>
  <c r="V504" i="4"/>
  <c r="V505" i="4"/>
  <c r="V506" i="4"/>
  <c r="V507" i="4"/>
  <c r="V508" i="4"/>
  <c r="V509" i="4"/>
  <c r="V510" i="4"/>
  <c r="V511" i="4"/>
  <c r="V512" i="4"/>
  <c r="V513" i="4"/>
  <c r="V514" i="4"/>
  <c r="V515" i="4"/>
  <c r="V516" i="4"/>
  <c r="V517" i="4"/>
  <c r="V518" i="4"/>
  <c r="V519" i="4"/>
  <c r="V520" i="4"/>
  <c r="V521" i="4"/>
  <c r="V522" i="4"/>
  <c r="V523" i="4"/>
  <c r="V524" i="4"/>
  <c r="V525" i="4"/>
  <c r="V526" i="4"/>
  <c r="V527" i="4"/>
  <c r="V528" i="4"/>
  <c r="V529" i="4"/>
  <c r="V530" i="4"/>
  <c r="V531" i="4"/>
  <c r="V532" i="4"/>
  <c r="V533" i="4"/>
  <c r="V534" i="4"/>
  <c r="V535" i="4"/>
  <c r="V536" i="4"/>
  <c r="V537" i="4"/>
  <c r="V538" i="4"/>
  <c r="V539" i="4"/>
  <c r="V540" i="4"/>
  <c r="V541" i="4"/>
  <c r="V542" i="4"/>
  <c r="V543" i="4"/>
  <c r="V544" i="4"/>
  <c r="V545" i="4"/>
  <c r="V546" i="4"/>
  <c r="V547" i="4"/>
  <c r="V548" i="4"/>
  <c r="V549" i="4"/>
  <c r="V550" i="4"/>
  <c r="V551" i="4"/>
  <c r="V552" i="4"/>
  <c r="V553" i="4"/>
  <c r="V554" i="4"/>
  <c r="V555" i="4"/>
  <c r="V556" i="4"/>
  <c r="V557" i="4"/>
  <c r="V558" i="4"/>
  <c r="V559" i="4"/>
  <c r="V560" i="4"/>
  <c r="V561" i="4"/>
  <c r="V562" i="4"/>
  <c r="V563" i="4"/>
  <c r="V564" i="4"/>
  <c r="V565" i="4"/>
  <c r="V566" i="4"/>
  <c r="V567" i="4"/>
  <c r="V568" i="4"/>
  <c r="V569" i="4"/>
  <c r="V570" i="4"/>
  <c r="V571" i="4"/>
  <c r="V572" i="4"/>
  <c r="V573" i="4"/>
  <c r="V574" i="4"/>
  <c r="V575" i="4"/>
  <c r="V576" i="4"/>
  <c r="V577" i="4"/>
  <c r="V578" i="4"/>
  <c r="V579" i="4"/>
  <c r="V580" i="4"/>
  <c r="V581" i="4"/>
  <c r="V582" i="4"/>
  <c r="V583" i="4"/>
  <c r="V584" i="4"/>
  <c r="V585" i="4"/>
  <c r="V586" i="4"/>
  <c r="V587" i="4"/>
  <c r="V588" i="4"/>
  <c r="V589" i="4"/>
  <c r="V590" i="4"/>
  <c r="V591" i="4"/>
  <c r="V592" i="4"/>
  <c r="V593" i="4"/>
  <c r="V594" i="4"/>
  <c r="V595" i="4"/>
  <c r="V596" i="4"/>
  <c r="V597" i="4"/>
  <c r="V598" i="4"/>
  <c r="V599" i="4"/>
  <c r="V600" i="4"/>
  <c r="V601" i="4"/>
  <c r="V602" i="4"/>
  <c r="V603" i="4"/>
  <c r="V604" i="4"/>
  <c r="V605" i="4"/>
  <c r="V606" i="4"/>
  <c r="V607" i="4"/>
  <c r="V608" i="4"/>
  <c r="V609" i="4"/>
  <c r="V610" i="4"/>
  <c r="V611" i="4"/>
  <c r="V612" i="4"/>
  <c r="V613" i="4"/>
  <c r="V614" i="4"/>
  <c r="V615" i="4"/>
  <c r="V616" i="4"/>
  <c r="V617" i="4"/>
  <c r="V618" i="4"/>
  <c r="V619" i="4"/>
  <c r="V620" i="4"/>
  <c r="V621" i="4"/>
  <c r="V622" i="4"/>
  <c r="V623" i="4"/>
  <c r="V624" i="4"/>
  <c r="V625" i="4"/>
  <c r="V626" i="4"/>
  <c r="V627" i="4"/>
  <c r="V628" i="4"/>
  <c r="V629" i="4"/>
  <c r="V630" i="4"/>
  <c r="V631" i="4"/>
  <c r="V632" i="4"/>
  <c r="V633" i="4"/>
  <c r="V634" i="4"/>
  <c r="V635" i="4"/>
  <c r="V636" i="4"/>
  <c r="V637" i="4"/>
  <c r="V638" i="4"/>
  <c r="V639" i="4"/>
  <c r="V640" i="4"/>
  <c r="V641" i="4"/>
  <c r="V642" i="4"/>
  <c r="V643" i="4"/>
  <c r="V644" i="4"/>
  <c r="V645" i="4"/>
  <c r="V646" i="4"/>
  <c r="V647" i="4"/>
  <c r="V648" i="4"/>
  <c r="V649" i="4"/>
  <c r="V650" i="4"/>
  <c r="V651" i="4"/>
  <c r="V652" i="4"/>
  <c r="V653" i="4"/>
  <c r="V654" i="4"/>
  <c r="V655" i="4"/>
  <c r="V656" i="4"/>
  <c r="V657" i="4"/>
  <c r="V658" i="4"/>
  <c r="V659" i="4"/>
  <c r="V660" i="4"/>
  <c r="V661" i="4"/>
  <c r="V662" i="4"/>
  <c r="V663" i="4"/>
  <c r="V664" i="4"/>
  <c r="V665" i="4"/>
  <c r="V666" i="4"/>
  <c r="V667" i="4"/>
  <c r="V668" i="4"/>
  <c r="V669" i="4"/>
  <c r="V670" i="4"/>
  <c r="V671" i="4"/>
  <c r="V672" i="4"/>
  <c r="V673" i="4"/>
  <c r="V674" i="4"/>
  <c r="V675" i="4"/>
  <c r="V676" i="4"/>
  <c r="V677" i="4"/>
  <c r="V678" i="4"/>
  <c r="V679" i="4"/>
  <c r="V680" i="4"/>
  <c r="V681" i="4"/>
  <c r="V682" i="4"/>
  <c r="V683" i="4"/>
  <c r="V684" i="4"/>
  <c r="V685" i="4"/>
  <c r="V686" i="4"/>
  <c r="V687" i="4"/>
  <c r="V688" i="4"/>
  <c r="V689" i="4"/>
  <c r="V690" i="4"/>
  <c r="V691" i="4"/>
  <c r="V692" i="4"/>
  <c r="V693" i="4"/>
  <c r="V694" i="4"/>
  <c r="V695" i="4"/>
  <c r="V696" i="4"/>
  <c r="V697" i="4"/>
  <c r="V698" i="4"/>
  <c r="V699" i="4"/>
  <c r="V700" i="4"/>
  <c r="V701" i="4"/>
  <c r="V702" i="4"/>
  <c r="V703" i="4"/>
  <c r="V704" i="4"/>
  <c r="V705" i="4"/>
  <c r="V706" i="4"/>
  <c r="V707" i="4"/>
  <c r="V708" i="4"/>
  <c r="V709" i="4"/>
  <c r="V710" i="4"/>
  <c r="V711" i="4"/>
  <c r="V712" i="4"/>
  <c r="V713" i="4"/>
  <c r="V714" i="4"/>
  <c r="V715" i="4"/>
  <c r="V716" i="4"/>
  <c r="V717" i="4"/>
  <c r="V718" i="4"/>
  <c r="V719" i="4"/>
  <c r="V720" i="4"/>
  <c r="V721" i="4"/>
  <c r="V722" i="4"/>
  <c r="V723" i="4"/>
  <c r="V724" i="4"/>
  <c r="V725" i="4"/>
  <c r="V726" i="4"/>
  <c r="V727" i="4"/>
  <c r="V728" i="4"/>
  <c r="V729" i="4"/>
  <c r="V730" i="4"/>
  <c r="V731" i="4"/>
  <c r="V732" i="4"/>
  <c r="V733" i="4"/>
  <c r="V734" i="4"/>
  <c r="V735" i="4"/>
  <c r="V736" i="4"/>
  <c r="V737" i="4"/>
  <c r="V738" i="4"/>
  <c r="V739" i="4"/>
  <c r="V740" i="4"/>
  <c r="V741" i="4"/>
  <c r="V742" i="4"/>
  <c r="V743" i="4"/>
  <c r="V744" i="4"/>
  <c r="V745" i="4"/>
  <c r="V746" i="4"/>
  <c r="V747" i="4"/>
  <c r="V748" i="4"/>
  <c r="V749" i="4"/>
  <c r="V750" i="4"/>
  <c r="V751" i="4"/>
  <c r="V752" i="4"/>
  <c r="V753" i="4"/>
  <c r="V754" i="4"/>
  <c r="V755" i="4"/>
  <c r="V756" i="4"/>
  <c r="V757" i="4"/>
  <c r="V758" i="4"/>
  <c r="V759" i="4"/>
  <c r="V760" i="4"/>
  <c r="V761" i="4"/>
  <c r="V762" i="4"/>
  <c r="V763" i="4"/>
  <c r="V764" i="4"/>
  <c r="V765" i="4"/>
  <c r="V766" i="4"/>
  <c r="V767" i="4"/>
  <c r="V768" i="4"/>
  <c r="V769" i="4"/>
  <c r="V770" i="4"/>
  <c r="V771" i="4"/>
  <c r="V772" i="4"/>
  <c r="V773" i="4"/>
  <c r="V774" i="4"/>
  <c r="V775" i="4"/>
  <c r="V776" i="4"/>
  <c r="V777" i="4"/>
  <c r="V778" i="4"/>
  <c r="V779" i="4"/>
  <c r="V780" i="4"/>
  <c r="V781" i="4"/>
  <c r="V782" i="4"/>
  <c r="V783" i="4"/>
  <c r="V784" i="4"/>
  <c r="V785" i="4"/>
  <c r="V786" i="4"/>
  <c r="V787" i="4"/>
  <c r="V788" i="4"/>
  <c r="V789" i="4"/>
  <c r="V790" i="4"/>
  <c r="V791" i="4"/>
  <c r="V792" i="4"/>
  <c r="V793" i="4"/>
  <c r="V794" i="4"/>
  <c r="V795" i="4"/>
  <c r="V796" i="4"/>
  <c r="V797" i="4"/>
  <c r="V798" i="4"/>
  <c r="V799" i="4"/>
  <c r="V800" i="4"/>
  <c r="V801" i="4"/>
  <c r="V802" i="4"/>
  <c r="V803" i="4"/>
  <c r="V804" i="4"/>
  <c r="V805" i="4"/>
  <c r="V806" i="4"/>
  <c r="V807" i="4"/>
  <c r="V808" i="4"/>
  <c r="V809" i="4"/>
  <c r="V810" i="4"/>
  <c r="V811" i="4"/>
  <c r="V812" i="4"/>
  <c r="V813" i="4"/>
  <c r="V814" i="4"/>
  <c r="V815" i="4"/>
  <c r="V816" i="4"/>
  <c r="V817" i="4"/>
  <c r="V818" i="4"/>
  <c r="V819" i="4"/>
  <c r="V820" i="4"/>
  <c r="V821" i="4"/>
  <c r="V822" i="4"/>
  <c r="V823" i="4"/>
  <c r="V824" i="4"/>
  <c r="V825" i="4"/>
  <c r="V826" i="4"/>
  <c r="V827" i="4"/>
  <c r="V828" i="4"/>
  <c r="V829" i="4"/>
  <c r="V830" i="4"/>
  <c r="V831" i="4"/>
  <c r="V832" i="4"/>
  <c r="V833" i="4"/>
  <c r="V834" i="4"/>
  <c r="V835" i="4"/>
  <c r="V836" i="4"/>
  <c r="V837" i="4"/>
  <c r="V838" i="4"/>
  <c r="V839" i="4"/>
  <c r="V840" i="4"/>
  <c r="V841" i="4"/>
  <c r="V842" i="4"/>
  <c r="V843" i="4"/>
  <c r="V844" i="4"/>
  <c r="V845" i="4"/>
  <c r="V846" i="4"/>
  <c r="V847" i="4"/>
  <c r="V848" i="4"/>
  <c r="V849" i="4"/>
  <c r="V850" i="4"/>
  <c r="V851" i="4"/>
  <c r="V852" i="4"/>
  <c r="V853" i="4"/>
  <c r="V854" i="4"/>
  <c r="V855" i="4"/>
  <c r="V856" i="4"/>
  <c r="V857" i="4"/>
  <c r="V858" i="4"/>
  <c r="V859" i="4"/>
  <c r="V860" i="4"/>
  <c r="V861" i="4"/>
  <c r="V862" i="4"/>
  <c r="V863" i="4"/>
  <c r="V864" i="4"/>
  <c r="V865" i="4"/>
  <c r="V866" i="4"/>
  <c r="V867" i="4"/>
  <c r="V868" i="4"/>
  <c r="V869" i="4"/>
  <c r="V870" i="4"/>
  <c r="V871" i="4"/>
  <c r="V872" i="4"/>
  <c r="V873" i="4"/>
  <c r="V874" i="4"/>
  <c r="V875" i="4"/>
  <c r="V876" i="4"/>
  <c r="V877" i="4"/>
  <c r="V878" i="4"/>
  <c r="V879" i="4"/>
  <c r="V880" i="4"/>
  <c r="V881" i="4"/>
  <c r="V882" i="4"/>
  <c r="V883" i="4"/>
  <c r="V884" i="4"/>
  <c r="V885" i="4"/>
  <c r="V886" i="4"/>
  <c r="V887" i="4"/>
  <c r="V888" i="4"/>
  <c r="V889" i="4"/>
  <c r="V890" i="4"/>
  <c r="V891" i="4"/>
  <c r="D54" i="28" s="1"/>
  <c r="V892" i="4"/>
  <c r="E54" i="28" s="1"/>
  <c r="V893" i="4"/>
  <c r="V894" i="4"/>
  <c r="G54" i="28" s="1"/>
  <c r="V895" i="4"/>
  <c r="H54" i="28" s="1"/>
  <c r="V896" i="4"/>
  <c r="I54" i="28" s="1"/>
  <c r="V897" i="4"/>
  <c r="J54" i="28" s="1"/>
  <c r="V898" i="4"/>
  <c r="K54" i="28" s="1"/>
  <c r="V899" i="4"/>
  <c r="V900" i="4"/>
  <c r="M54" i="28" s="1"/>
  <c r="V901" i="4"/>
  <c r="N54" i="28" s="1"/>
  <c r="V902" i="4"/>
  <c r="O54" i="28" s="1"/>
  <c r="V903" i="4"/>
  <c r="P54" i="28" s="1"/>
  <c r="V904" i="4"/>
  <c r="Q54" i="28" s="1"/>
  <c r="V905" i="4"/>
  <c r="V906" i="4"/>
  <c r="S54" i="28" s="1"/>
  <c r="V907" i="4"/>
  <c r="T54" i="28" s="1"/>
  <c r="V908" i="4"/>
  <c r="U54" i="28" s="1"/>
  <c r="V909" i="4"/>
  <c r="V54" i="28" s="1"/>
  <c r="V910" i="4"/>
  <c r="W54" i="28" s="1"/>
  <c r="V911" i="4"/>
  <c r="V912" i="4"/>
  <c r="Y54" i="28" s="1"/>
  <c r="V913" i="4"/>
  <c r="Z54" i="28" s="1"/>
  <c r="V914" i="4"/>
  <c r="AA54" i="28" s="1"/>
  <c r="V915" i="4"/>
  <c r="AB54" i="28" s="1"/>
  <c r="V916" i="4"/>
  <c r="AC54" i="28" s="1"/>
  <c r="V917" i="4"/>
  <c r="V918" i="4"/>
  <c r="AE54" i="28" s="1"/>
  <c r="V919" i="4"/>
  <c r="AF54" i="28" s="1"/>
  <c r="V920" i="4"/>
  <c r="AG54" i="28" s="1"/>
  <c r="V922" i="4"/>
  <c r="AI54" i="28" s="1"/>
  <c r="V923" i="4"/>
  <c r="AJ54" i="28" s="1"/>
  <c r="V924" i="4"/>
  <c r="AK54" i="28" s="1"/>
  <c r="V925" i="4"/>
  <c r="AL54" i="28" s="1"/>
  <c r="V926" i="4"/>
  <c r="AM54" i="28" s="1"/>
  <c r="V921" i="4"/>
  <c r="AH54" i="28" s="1"/>
  <c r="U148" i="4"/>
  <c r="U149" i="4"/>
  <c r="U150" i="4"/>
  <c r="U151" i="4"/>
  <c r="U152" i="4"/>
  <c r="U153" i="4"/>
  <c r="U154" i="4"/>
  <c r="U155" i="4"/>
  <c r="U156" i="4"/>
  <c r="U157" i="4"/>
  <c r="U158" i="4"/>
  <c r="U159" i="4"/>
  <c r="U160" i="4"/>
  <c r="U161" i="4"/>
  <c r="U162" i="4"/>
  <c r="U163" i="4"/>
  <c r="U164" i="4"/>
  <c r="U165" i="4"/>
  <c r="U166" i="4"/>
  <c r="U167" i="4"/>
  <c r="U168" i="4"/>
  <c r="U169" i="4"/>
  <c r="U170" i="4"/>
  <c r="U171" i="4"/>
  <c r="U172" i="4"/>
  <c r="U173" i="4"/>
  <c r="U174" i="4"/>
  <c r="U175" i="4"/>
  <c r="U176" i="4"/>
  <c r="U177" i="4"/>
  <c r="U178" i="4"/>
  <c r="U179" i="4"/>
  <c r="U180" i="4"/>
  <c r="U181" i="4"/>
  <c r="U182" i="4"/>
  <c r="U183" i="4"/>
  <c r="U184" i="4"/>
  <c r="U185" i="4"/>
  <c r="U186" i="4"/>
  <c r="U187" i="4"/>
  <c r="U188" i="4"/>
  <c r="U189" i="4"/>
  <c r="U190" i="4"/>
  <c r="U191" i="4"/>
  <c r="U192" i="4"/>
  <c r="U193" i="4"/>
  <c r="U194" i="4"/>
  <c r="U195" i="4"/>
  <c r="U196" i="4"/>
  <c r="U197" i="4"/>
  <c r="U198" i="4"/>
  <c r="U199" i="4"/>
  <c r="U200" i="4"/>
  <c r="U201" i="4"/>
  <c r="U202" i="4"/>
  <c r="U203" i="4"/>
  <c r="U204" i="4"/>
  <c r="U205" i="4"/>
  <c r="U206" i="4"/>
  <c r="U207" i="4"/>
  <c r="U208" i="4"/>
  <c r="U209" i="4"/>
  <c r="U210" i="4"/>
  <c r="U211" i="4"/>
  <c r="U212" i="4"/>
  <c r="U213" i="4"/>
  <c r="U214" i="4"/>
  <c r="U215" i="4"/>
  <c r="U216" i="4"/>
  <c r="U217" i="4"/>
  <c r="U218" i="4"/>
  <c r="U219" i="4"/>
  <c r="U220" i="4"/>
  <c r="U221" i="4"/>
  <c r="U222" i="4"/>
  <c r="U223" i="4"/>
  <c r="U224" i="4"/>
  <c r="U225" i="4"/>
  <c r="U226" i="4"/>
  <c r="U227" i="4"/>
  <c r="U228" i="4"/>
  <c r="U229" i="4"/>
  <c r="U230" i="4"/>
  <c r="U231" i="4"/>
  <c r="U232" i="4"/>
  <c r="U233" i="4"/>
  <c r="U234" i="4"/>
  <c r="U235" i="4"/>
  <c r="U236" i="4"/>
  <c r="U237" i="4"/>
  <c r="U238" i="4"/>
  <c r="U239" i="4"/>
  <c r="U240" i="4"/>
  <c r="U241" i="4"/>
  <c r="U242" i="4"/>
  <c r="U243" i="4"/>
  <c r="U244" i="4"/>
  <c r="U245" i="4"/>
  <c r="U246" i="4"/>
  <c r="U247" i="4"/>
  <c r="U248" i="4"/>
  <c r="U249" i="4"/>
  <c r="U250" i="4"/>
  <c r="U251" i="4"/>
  <c r="U252" i="4"/>
  <c r="U253" i="4"/>
  <c r="U254" i="4"/>
  <c r="U255" i="4"/>
  <c r="U256" i="4"/>
  <c r="U257" i="4"/>
  <c r="U258" i="4"/>
  <c r="U259" i="4"/>
  <c r="U260" i="4"/>
  <c r="U261" i="4"/>
  <c r="U262" i="4"/>
  <c r="U263" i="4"/>
  <c r="U264" i="4"/>
  <c r="U265" i="4"/>
  <c r="U266" i="4"/>
  <c r="U267" i="4"/>
  <c r="U268" i="4"/>
  <c r="U269" i="4"/>
  <c r="U270" i="4"/>
  <c r="U271" i="4"/>
  <c r="U272" i="4"/>
  <c r="U273" i="4"/>
  <c r="U274" i="4"/>
  <c r="U275" i="4"/>
  <c r="U276" i="4"/>
  <c r="U277" i="4"/>
  <c r="U278" i="4"/>
  <c r="U279" i="4"/>
  <c r="U280" i="4"/>
  <c r="U281" i="4"/>
  <c r="U282" i="4"/>
  <c r="U283" i="4"/>
  <c r="U284" i="4"/>
  <c r="U285" i="4"/>
  <c r="U286" i="4"/>
  <c r="U287" i="4"/>
  <c r="U288" i="4"/>
  <c r="U289" i="4"/>
  <c r="U290" i="4"/>
  <c r="U291" i="4"/>
  <c r="U292" i="4"/>
  <c r="U293" i="4"/>
  <c r="U294" i="4"/>
  <c r="U295" i="4"/>
  <c r="U296" i="4"/>
  <c r="U297" i="4"/>
  <c r="U298" i="4"/>
  <c r="U299" i="4"/>
  <c r="U300" i="4"/>
  <c r="U301" i="4"/>
  <c r="U302" i="4"/>
  <c r="U303" i="4"/>
  <c r="U304" i="4"/>
  <c r="U305" i="4"/>
  <c r="U306" i="4"/>
  <c r="U307" i="4"/>
  <c r="U308" i="4"/>
  <c r="U309" i="4"/>
  <c r="U310" i="4"/>
  <c r="U311" i="4"/>
  <c r="U312" i="4"/>
  <c r="U313" i="4"/>
  <c r="U314" i="4"/>
  <c r="U315" i="4"/>
  <c r="U316" i="4"/>
  <c r="U317" i="4"/>
  <c r="U318" i="4"/>
  <c r="U319" i="4"/>
  <c r="U320" i="4"/>
  <c r="U321" i="4"/>
  <c r="U322" i="4"/>
  <c r="U323" i="4"/>
  <c r="U324" i="4"/>
  <c r="U325" i="4"/>
  <c r="U326" i="4"/>
  <c r="U327" i="4"/>
  <c r="U328" i="4"/>
  <c r="U329" i="4"/>
  <c r="U330" i="4"/>
  <c r="U331" i="4"/>
  <c r="U332" i="4"/>
  <c r="U333" i="4"/>
  <c r="U334" i="4"/>
  <c r="U335" i="4"/>
  <c r="U336" i="4"/>
  <c r="U337" i="4"/>
  <c r="U338" i="4"/>
  <c r="U339" i="4"/>
  <c r="U340" i="4"/>
  <c r="U341" i="4"/>
  <c r="U342" i="4"/>
  <c r="U343" i="4"/>
  <c r="U344" i="4"/>
  <c r="U345" i="4"/>
  <c r="U346" i="4"/>
  <c r="U347" i="4"/>
  <c r="U348" i="4"/>
  <c r="U349" i="4"/>
  <c r="U350" i="4"/>
  <c r="U351" i="4"/>
  <c r="U352" i="4"/>
  <c r="U353" i="4"/>
  <c r="U354" i="4"/>
  <c r="U355" i="4"/>
  <c r="U356" i="4"/>
  <c r="U357" i="4"/>
  <c r="U358" i="4"/>
  <c r="U359" i="4"/>
  <c r="U360" i="4"/>
  <c r="U361" i="4"/>
  <c r="U362" i="4"/>
  <c r="U363" i="4"/>
  <c r="U364" i="4"/>
  <c r="U365" i="4"/>
  <c r="U366" i="4"/>
  <c r="U367" i="4"/>
  <c r="U368" i="4"/>
  <c r="U369" i="4"/>
  <c r="U370" i="4"/>
  <c r="U371" i="4"/>
  <c r="U372" i="4"/>
  <c r="U373" i="4"/>
  <c r="U374" i="4"/>
  <c r="U375" i="4"/>
  <c r="U376" i="4"/>
  <c r="U377" i="4"/>
  <c r="U378" i="4"/>
  <c r="U379" i="4"/>
  <c r="U380" i="4"/>
  <c r="U381" i="4"/>
  <c r="U382" i="4"/>
  <c r="U383" i="4"/>
  <c r="U384" i="4"/>
  <c r="U385" i="4"/>
  <c r="U386" i="4"/>
  <c r="U387" i="4"/>
  <c r="U388" i="4"/>
  <c r="U389" i="4"/>
  <c r="U390" i="4"/>
  <c r="U391" i="4"/>
  <c r="U392" i="4"/>
  <c r="U393" i="4"/>
  <c r="U394" i="4"/>
  <c r="U395" i="4"/>
  <c r="U396" i="4"/>
  <c r="U397" i="4"/>
  <c r="U398" i="4"/>
  <c r="U399" i="4"/>
  <c r="U400" i="4"/>
  <c r="U401" i="4"/>
  <c r="U402" i="4"/>
  <c r="U403" i="4"/>
  <c r="U404" i="4"/>
  <c r="U405" i="4"/>
  <c r="U406" i="4"/>
  <c r="U407" i="4"/>
  <c r="U408" i="4"/>
  <c r="U409" i="4"/>
  <c r="U410" i="4"/>
  <c r="U411" i="4"/>
  <c r="U412" i="4"/>
  <c r="U413" i="4"/>
  <c r="U414" i="4"/>
  <c r="U415" i="4"/>
  <c r="U416" i="4"/>
  <c r="U417" i="4"/>
  <c r="U418" i="4"/>
  <c r="U419" i="4"/>
  <c r="U420" i="4"/>
  <c r="U421" i="4"/>
  <c r="U422" i="4"/>
  <c r="U423" i="4"/>
  <c r="U424" i="4"/>
  <c r="U425" i="4"/>
  <c r="U426" i="4"/>
  <c r="U427" i="4"/>
  <c r="U428" i="4"/>
  <c r="U429" i="4"/>
  <c r="U430" i="4"/>
  <c r="U431" i="4"/>
  <c r="U432" i="4"/>
  <c r="U433" i="4"/>
  <c r="U434" i="4"/>
  <c r="U435" i="4"/>
  <c r="U436" i="4"/>
  <c r="U437" i="4"/>
  <c r="U438" i="4"/>
  <c r="U439" i="4"/>
  <c r="U440" i="4"/>
  <c r="U441" i="4"/>
  <c r="U442" i="4"/>
  <c r="U443" i="4"/>
  <c r="U444" i="4"/>
  <c r="U445" i="4"/>
  <c r="U446" i="4"/>
  <c r="U447" i="4"/>
  <c r="U448" i="4"/>
  <c r="U449" i="4"/>
  <c r="U450" i="4"/>
  <c r="U451" i="4"/>
  <c r="U452" i="4"/>
  <c r="U453" i="4"/>
  <c r="U454" i="4"/>
  <c r="U455" i="4"/>
  <c r="U456" i="4"/>
  <c r="U457" i="4"/>
  <c r="U458" i="4"/>
  <c r="U459" i="4"/>
  <c r="U460" i="4"/>
  <c r="U461" i="4"/>
  <c r="U462" i="4"/>
  <c r="U463" i="4"/>
  <c r="U464" i="4"/>
  <c r="U465" i="4"/>
  <c r="U466" i="4"/>
  <c r="U467" i="4"/>
  <c r="U468" i="4"/>
  <c r="U469" i="4"/>
  <c r="U470" i="4"/>
  <c r="U471" i="4"/>
  <c r="U472" i="4"/>
  <c r="U473" i="4"/>
  <c r="U474" i="4"/>
  <c r="U475" i="4"/>
  <c r="U476" i="4"/>
  <c r="U477" i="4"/>
  <c r="U478" i="4"/>
  <c r="U479" i="4"/>
  <c r="U480" i="4"/>
  <c r="U481" i="4"/>
  <c r="U482" i="4"/>
  <c r="U483" i="4"/>
  <c r="U484" i="4"/>
  <c r="U485" i="4"/>
  <c r="U486" i="4"/>
  <c r="U487" i="4"/>
  <c r="U488" i="4"/>
  <c r="U489" i="4"/>
  <c r="U490" i="4"/>
  <c r="U491" i="4"/>
  <c r="U492" i="4"/>
  <c r="U493" i="4"/>
  <c r="U494" i="4"/>
  <c r="U495" i="4"/>
  <c r="U496" i="4"/>
  <c r="U497" i="4"/>
  <c r="U498" i="4"/>
  <c r="U499" i="4"/>
  <c r="U500" i="4"/>
  <c r="U501" i="4"/>
  <c r="U502" i="4"/>
  <c r="U503" i="4"/>
  <c r="U504" i="4"/>
  <c r="U505" i="4"/>
  <c r="U506" i="4"/>
  <c r="U507" i="4"/>
  <c r="U508" i="4"/>
  <c r="U509" i="4"/>
  <c r="U510" i="4"/>
  <c r="U511" i="4"/>
  <c r="U512" i="4"/>
  <c r="U513" i="4"/>
  <c r="U514" i="4"/>
  <c r="U515" i="4"/>
  <c r="U516" i="4"/>
  <c r="U517" i="4"/>
  <c r="U518" i="4"/>
  <c r="U519" i="4"/>
  <c r="U520" i="4"/>
  <c r="U521" i="4"/>
  <c r="U522" i="4"/>
  <c r="U523" i="4"/>
  <c r="U524" i="4"/>
  <c r="U525" i="4"/>
  <c r="U526" i="4"/>
  <c r="U527" i="4"/>
  <c r="U528" i="4"/>
  <c r="U529" i="4"/>
  <c r="U530" i="4"/>
  <c r="U531" i="4"/>
  <c r="U532" i="4"/>
  <c r="U533" i="4"/>
  <c r="U534" i="4"/>
  <c r="U535" i="4"/>
  <c r="U536" i="4"/>
  <c r="U537" i="4"/>
  <c r="U538" i="4"/>
  <c r="U539" i="4"/>
  <c r="U540" i="4"/>
  <c r="U541" i="4"/>
  <c r="U542" i="4"/>
  <c r="U543" i="4"/>
  <c r="U544" i="4"/>
  <c r="U545" i="4"/>
  <c r="U546" i="4"/>
  <c r="U547" i="4"/>
  <c r="U548" i="4"/>
  <c r="U549" i="4"/>
  <c r="U550" i="4"/>
  <c r="U551" i="4"/>
  <c r="U552" i="4"/>
  <c r="U553" i="4"/>
  <c r="U554" i="4"/>
  <c r="U555" i="4"/>
  <c r="U556" i="4"/>
  <c r="U557" i="4"/>
  <c r="U558" i="4"/>
  <c r="U559" i="4"/>
  <c r="U560" i="4"/>
  <c r="U561" i="4"/>
  <c r="U562" i="4"/>
  <c r="U563" i="4"/>
  <c r="U564" i="4"/>
  <c r="U565" i="4"/>
  <c r="U566" i="4"/>
  <c r="U567" i="4"/>
  <c r="U568" i="4"/>
  <c r="U569" i="4"/>
  <c r="U570" i="4"/>
  <c r="U571" i="4"/>
  <c r="U572" i="4"/>
  <c r="U573" i="4"/>
  <c r="U574" i="4"/>
  <c r="U575" i="4"/>
  <c r="U576" i="4"/>
  <c r="U577" i="4"/>
  <c r="U578" i="4"/>
  <c r="U579" i="4"/>
  <c r="U580" i="4"/>
  <c r="U581" i="4"/>
  <c r="U582" i="4"/>
  <c r="U583" i="4"/>
  <c r="U584" i="4"/>
  <c r="U585" i="4"/>
  <c r="U586" i="4"/>
  <c r="U587" i="4"/>
  <c r="U588" i="4"/>
  <c r="U589" i="4"/>
  <c r="U590" i="4"/>
  <c r="U591" i="4"/>
  <c r="U592" i="4"/>
  <c r="U593" i="4"/>
  <c r="U594" i="4"/>
  <c r="U595" i="4"/>
  <c r="U596" i="4"/>
  <c r="U597" i="4"/>
  <c r="U598" i="4"/>
  <c r="U599" i="4"/>
  <c r="U600" i="4"/>
  <c r="U601" i="4"/>
  <c r="U602" i="4"/>
  <c r="U603" i="4"/>
  <c r="U604" i="4"/>
  <c r="U605" i="4"/>
  <c r="U606" i="4"/>
  <c r="U607" i="4"/>
  <c r="U608" i="4"/>
  <c r="U609" i="4"/>
  <c r="U610" i="4"/>
  <c r="U611" i="4"/>
  <c r="U612" i="4"/>
  <c r="U613" i="4"/>
  <c r="U614" i="4"/>
  <c r="U615" i="4"/>
  <c r="U616" i="4"/>
  <c r="U617" i="4"/>
  <c r="U618" i="4"/>
  <c r="U619" i="4"/>
  <c r="U620" i="4"/>
  <c r="U621" i="4"/>
  <c r="U622" i="4"/>
  <c r="U623" i="4"/>
  <c r="U624" i="4"/>
  <c r="U625" i="4"/>
  <c r="U626" i="4"/>
  <c r="U627" i="4"/>
  <c r="U628" i="4"/>
  <c r="U629" i="4"/>
  <c r="U630" i="4"/>
  <c r="U631" i="4"/>
  <c r="U632" i="4"/>
  <c r="U633" i="4"/>
  <c r="U634" i="4"/>
  <c r="U635" i="4"/>
  <c r="U636" i="4"/>
  <c r="U637" i="4"/>
  <c r="U638" i="4"/>
  <c r="U639" i="4"/>
  <c r="U640" i="4"/>
  <c r="U641" i="4"/>
  <c r="U642" i="4"/>
  <c r="U643" i="4"/>
  <c r="U644" i="4"/>
  <c r="U645" i="4"/>
  <c r="U646" i="4"/>
  <c r="U647" i="4"/>
  <c r="U648" i="4"/>
  <c r="U649" i="4"/>
  <c r="U650" i="4"/>
  <c r="U651" i="4"/>
  <c r="U652" i="4"/>
  <c r="U653" i="4"/>
  <c r="U654" i="4"/>
  <c r="U655" i="4"/>
  <c r="U656" i="4"/>
  <c r="U657" i="4"/>
  <c r="U658" i="4"/>
  <c r="U659" i="4"/>
  <c r="U660" i="4"/>
  <c r="U661" i="4"/>
  <c r="U662" i="4"/>
  <c r="U663" i="4"/>
  <c r="U664" i="4"/>
  <c r="U665" i="4"/>
  <c r="U666" i="4"/>
  <c r="U667" i="4"/>
  <c r="U668" i="4"/>
  <c r="U669" i="4"/>
  <c r="U670" i="4"/>
  <c r="U671" i="4"/>
  <c r="U672" i="4"/>
  <c r="U673" i="4"/>
  <c r="U674" i="4"/>
  <c r="U675" i="4"/>
  <c r="U676" i="4"/>
  <c r="U677" i="4"/>
  <c r="U678" i="4"/>
  <c r="U679" i="4"/>
  <c r="U680" i="4"/>
  <c r="U681" i="4"/>
  <c r="U682" i="4"/>
  <c r="U683" i="4"/>
  <c r="U684" i="4"/>
  <c r="U685" i="4"/>
  <c r="U686" i="4"/>
  <c r="U687" i="4"/>
  <c r="U688" i="4"/>
  <c r="U689" i="4"/>
  <c r="U690" i="4"/>
  <c r="U691" i="4"/>
  <c r="U692" i="4"/>
  <c r="U693" i="4"/>
  <c r="U694" i="4"/>
  <c r="U695" i="4"/>
  <c r="U696" i="4"/>
  <c r="U697" i="4"/>
  <c r="U698" i="4"/>
  <c r="U699" i="4"/>
  <c r="U700" i="4"/>
  <c r="U701" i="4"/>
  <c r="U702" i="4"/>
  <c r="U703" i="4"/>
  <c r="U704" i="4"/>
  <c r="U705" i="4"/>
  <c r="U706" i="4"/>
  <c r="U707" i="4"/>
  <c r="U708" i="4"/>
  <c r="U709" i="4"/>
  <c r="U710" i="4"/>
  <c r="U711" i="4"/>
  <c r="U712" i="4"/>
  <c r="U713" i="4"/>
  <c r="U714" i="4"/>
  <c r="U715" i="4"/>
  <c r="U716" i="4"/>
  <c r="U717" i="4"/>
  <c r="U718" i="4"/>
  <c r="U719" i="4"/>
  <c r="U720" i="4"/>
  <c r="U721" i="4"/>
  <c r="U722" i="4"/>
  <c r="U723" i="4"/>
  <c r="U724" i="4"/>
  <c r="U725" i="4"/>
  <c r="U726" i="4"/>
  <c r="U727" i="4"/>
  <c r="U728" i="4"/>
  <c r="U729" i="4"/>
  <c r="U730" i="4"/>
  <c r="U731" i="4"/>
  <c r="U732" i="4"/>
  <c r="U733" i="4"/>
  <c r="U734" i="4"/>
  <c r="U735" i="4"/>
  <c r="U736" i="4"/>
  <c r="U737" i="4"/>
  <c r="U738" i="4"/>
  <c r="U739" i="4"/>
  <c r="U740" i="4"/>
  <c r="U741" i="4"/>
  <c r="U742" i="4"/>
  <c r="U743" i="4"/>
  <c r="U744" i="4"/>
  <c r="U745" i="4"/>
  <c r="U746" i="4"/>
  <c r="U747" i="4"/>
  <c r="U748" i="4"/>
  <c r="U749" i="4"/>
  <c r="U750" i="4"/>
  <c r="U751" i="4"/>
  <c r="U752" i="4"/>
  <c r="U753" i="4"/>
  <c r="U754" i="4"/>
  <c r="U755" i="4"/>
  <c r="U756" i="4"/>
  <c r="U757" i="4"/>
  <c r="U758" i="4"/>
  <c r="U759" i="4"/>
  <c r="U760" i="4"/>
  <c r="U761" i="4"/>
  <c r="U762" i="4"/>
  <c r="U763" i="4"/>
  <c r="U764" i="4"/>
  <c r="U765" i="4"/>
  <c r="U766" i="4"/>
  <c r="U767" i="4"/>
  <c r="U768" i="4"/>
  <c r="U769" i="4"/>
  <c r="U770" i="4"/>
  <c r="U771" i="4"/>
  <c r="U772" i="4"/>
  <c r="U773" i="4"/>
  <c r="U774" i="4"/>
  <c r="U775" i="4"/>
  <c r="U776" i="4"/>
  <c r="U777" i="4"/>
  <c r="U778" i="4"/>
  <c r="U779" i="4"/>
  <c r="U780" i="4"/>
  <c r="U781" i="4"/>
  <c r="U782" i="4"/>
  <c r="U783" i="4"/>
  <c r="U784" i="4"/>
  <c r="U785" i="4"/>
  <c r="U786" i="4"/>
  <c r="U787" i="4"/>
  <c r="U788" i="4"/>
  <c r="U789" i="4"/>
  <c r="U790" i="4"/>
  <c r="U791" i="4"/>
  <c r="U792" i="4"/>
  <c r="U793" i="4"/>
  <c r="U794" i="4"/>
  <c r="U795" i="4"/>
  <c r="U796" i="4"/>
  <c r="U797" i="4"/>
  <c r="U798" i="4"/>
  <c r="U799" i="4"/>
  <c r="U800" i="4"/>
  <c r="U801" i="4"/>
  <c r="U802" i="4"/>
  <c r="U803" i="4"/>
  <c r="U804" i="4"/>
  <c r="U805" i="4"/>
  <c r="U806" i="4"/>
  <c r="U807" i="4"/>
  <c r="U808" i="4"/>
  <c r="U809" i="4"/>
  <c r="U810" i="4"/>
  <c r="U811" i="4"/>
  <c r="U812" i="4"/>
  <c r="U813" i="4"/>
  <c r="U814" i="4"/>
  <c r="U815" i="4"/>
  <c r="U816" i="4"/>
  <c r="U817" i="4"/>
  <c r="U818" i="4"/>
  <c r="U819" i="4"/>
  <c r="U820" i="4"/>
  <c r="U821" i="4"/>
  <c r="U822" i="4"/>
  <c r="U823" i="4"/>
  <c r="U824" i="4"/>
  <c r="U825" i="4"/>
  <c r="U826" i="4"/>
  <c r="U827" i="4"/>
  <c r="U828" i="4"/>
  <c r="U829" i="4"/>
  <c r="U830" i="4"/>
  <c r="U831" i="4"/>
  <c r="U832" i="4"/>
  <c r="U833" i="4"/>
  <c r="U834" i="4"/>
  <c r="U835" i="4"/>
  <c r="U836" i="4"/>
  <c r="U837" i="4"/>
  <c r="U838" i="4"/>
  <c r="U839" i="4"/>
  <c r="U840" i="4"/>
  <c r="U841" i="4"/>
  <c r="U842" i="4"/>
  <c r="U843" i="4"/>
  <c r="U844" i="4"/>
  <c r="U845" i="4"/>
  <c r="U846" i="4"/>
  <c r="U847" i="4"/>
  <c r="U848" i="4"/>
  <c r="U849" i="4"/>
  <c r="U850" i="4"/>
  <c r="U851" i="4"/>
  <c r="U852" i="4"/>
  <c r="U853" i="4"/>
  <c r="U854" i="4"/>
  <c r="U855" i="4"/>
  <c r="U856" i="4"/>
  <c r="U857" i="4"/>
  <c r="U858" i="4"/>
  <c r="U859" i="4"/>
  <c r="U860" i="4"/>
  <c r="U861" i="4"/>
  <c r="U862" i="4"/>
  <c r="U863" i="4"/>
  <c r="U864" i="4"/>
  <c r="U865" i="4"/>
  <c r="U866" i="4"/>
  <c r="U867" i="4"/>
  <c r="U868" i="4"/>
  <c r="U869" i="4"/>
  <c r="U870" i="4"/>
  <c r="U871" i="4"/>
  <c r="U872" i="4"/>
  <c r="U873" i="4"/>
  <c r="U874" i="4"/>
  <c r="U875" i="4"/>
  <c r="U876" i="4"/>
  <c r="U877" i="4"/>
  <c r="U878" i="4"/>
  <c r="U879" i="4"/>
  <c r="U880" i="4"/>
  <c r="U881" i="4"/>
  <c r="U882" i="4"/>
  <c r="U883" i="4"/>
  <c r="U884" i="4"/>
  <c r="U885" i="4"/>
  <c r="U886" i="4"/>
  <c r="U887" i="4"/>
  <c r="U888" i="4"/>
  <c r="U889" i="4"/>
  <c r="U890" i="4"/>
  <c r="U891" i="4"/>
  <c r="D48" i="28" s="1"/>
  <c r="U892" i="4"/>
  <c r="E48" i="28" s="1"/>
  <c r="U893" i="4"/>
  <c r="F48" i="28" s="1"/>
  <c r="U894" i="4"/>
  <c r="G48" i="28" s="1"/>
  <c r="U895" i="4"/>
  <c r="H48" i="28" s="1"/>
  <c r="U896" i="4"/>
  <c r="U897" i="4"/>
  <c r="J48" i="28" s="1"/>
  <c r="U898" i="4"/>
  <c r="K48" i="28" s="1"/>
  <c r="U899" i="4"/>
  <c r="L48" i="28" s="1"/>
  <c r="U900" i="4"/>
  <c r="M48" i="28" s="1"/>
  <c r="U901" i="4"/>
  <c r="N48" i="28" s="1"/>
  <c r="U902" i="4"/>
  <c r="U903" i="4"/>
  <c r="P48" i="28" s="1"/>
  <c r="U904" i="4"/>
  <c r="Q48" i="28" s="1"/>
  <c r="U905" i="4"/>
  <c r="R48" i="28" s="1"/>
  <c r="U906" i="4"/>
  <c r="S48" i="28" s="1"/>
  <c r="U907" i="4"/>
  <c r="T48" i="28" s="1"/>
  <c r="U908" i="4"/>
  <c r="U909" i="4"/>
  <c r="V48" i="28" s="1"/>
  <c r="U910" i="4"/>
  <c r="W48" i="28" s="1"/>
  <c r="U911" i="4"/>
  <c r="X48" i="28" s="1"/>
  <c r="U912" i="4"/>
  <c r="Y48" i="28" s="1"/>
  <c r="U913" i="4"/>
  <c r="Z48" i="28" s="1"/>
  <c r="U914" i="4"/>
  <c r="U915" i="4"/>
  <c r="AB48" i="28" s="1"/>
  <c r="U916" i="4"/>
  <c r="AC48" i="28" s="1"/>
  <c r="U917" i="4"/>
  <c r="AD59" i="28" s="1"/>
  <c r="U918" i="4"/>
  <c r="AE59" i="28" s="1"/>
  <c r="U919" i="4"/>
  <c r="AF59" i="28" s="1"/>
  <c r="U920" i="4"/>
  <c r="AG59" i="28" s="1"/>
  <c r="U921" i="4"/>
  <c r="AH59" i="28" s="1"/>
  <c r="U922" i="4"/>
  <c r="AI59" i="28" s="1"/>
  <c r="U923" i="4"/>
  <c r="AJ59" i="28" s="1"/>
  <c r="U924" i="4"/>
  <c r="AK59" i="28" s="1"/>
  <c r="U925" i="4"/>
  <c r="AL59" i="28" s="1"/>
  <c r="U926" i="4"/>
  <c r="AM59" i="28" s="1"/>
  <c r="E37" i="28"/>
  <c r="F37" i="28"/>
  <c r="G37" i="28"/>
  <c r="H37" i="28"/>
  <c r="I37" i="28"/>
  <c r="J37" i="28"/>
  <c r="K37" i="28"/>
  <c r="L37" i="28"/>
  <c r="M37" i="28"/>
  <c r="N37" i="28"/>
  <c r="O37" i="28"/>
  <c r="P37" i="28"/>
  <c r="Q37" i="28"/>
  <c r="R37" i="28"/>
  <c r="S37" i="28"/>
  <c r="T37" i="28"/>
  <c r="U37" i="28"/>
  <c r="V37" i="28"/>
  <c r="W37" i="28"/>
  <c r="X37" i="28"/>
  <c r="Y37" i="28"/>
  <c r="Z37" i="28"/>
  <c r="AA37" i="28"/>
  <c r="AB37" i="28"/>
  <c r="AC37" i="28"/>
  <c r="D37" i="28"/>
  <c r="K592" i="45"/>
  <c r="K593" i="45"/>
  <c r="K594" i="45"/>
  <c r="K595" i="45"/>
  <c r="K596" i="45"/>
  <c r="K597" i="45"/>
  <c r="K598" i="45"/>
  <c r="K599" i="45"/>
  <c r="K600" i="45"/>
  <c r="K601" i="45"/>
  <c r="K602" i="45"/>
  <c r="K603" i="45"/>
  <c r="K604" i="45"/>
  <c r="K605" i="45"/>
  <c r="K606" i="45"/>
  <c r="K607" i="45"/>
  <c r="K608" i="45"/>
  <c r="K609" i="45"/>
  <c r="K610" i="45"/>
  <c r="K611" i="45"/>
  <c r="K612" i="45"/>
  <c r="K613" i="45"/>
  <c r="K614" i="45"/>
  <c r="K615" i="45"/>
  <c r="K616" i="45"/>
  <c r="K617" i="45"/>
  <c r="K618" i="45"/>
  <c r="K619" i="45"/>
  <c r="K620" i="45"/>
  <c r="K621" i="45"/>
  <c r="K622" i="45"/>
  <c r="K623" i="45"/>
  <c r="K624" i="45"/>
  <c r="K625" i="45"/>
  <c r="K626" i="45"/>
  <c r="K627" i="45"/>
  <c r="K628" i="45"/>
  <c r="K629" i="45"/>
  <c r="K630" i="45"/>
  <c r="K631" i="45"/>
  <c r="K632" i="45"/>
  <c r="K633" i="45"/>
  <c r="K634" i="45"/>
  <c r="K635" i="45"/>
  <c r="K636" i="45"/>
  <c r="K637" i="45"/>
  <c r="K638" i="45"/>
  <c r="K639" i="45"/>
  <c r="K640" i="45"/>
  <c r="K641" i="45"/>
  <c r="K642" i="45"/>
  <c r="K643" i="45"/>
  <c r="K644" i="45"/>
  <c r="K645" i="45"/>
  <c r="K646" i="45"/>
  <c r="K647" i="45"/>
  <c r="K648" i="45"/>
  <c r="K649" i="45"/>
  <c r="K650" i="45"/>
  <c r="K651" i="45"/>
  <c r="K652" i="45"/>
  <c r="K653" i="45"/>
  <c r="K654" i="45"/>
  <c r="K655" i="45"/>
  <c r="K656" i="45"/>
  <c r="K657" i="45"/>
  <c r="K658" i="45"/>
  <c r="K659" i="45"/>
  <c r="K660" i="45"/>
  <c r="K661" i="45"/>
  <c r="K662" i="45"/>
  <c r="K663" i="45"/>
  <c r="K664" i="45"/>
  <c r="K665" i="45"/>
  <c r="K666" i="45"/>
  <c r="K667" i="45"/>
  <c r="K668" i="45"/>
  <c r="K669" i="45"/>
  <c r="K670" i="45"/>
  <c r="K671" i="45"/>
  <c r="K672" i="45"/>
  <c r="K673" i="45"/>
  <c r="K674" i="45"/>
  <c r="K675" i="45"/>
  <c r="K676" i="45"/>
  <c r="K677" i="45"/>
  <c r="K678" i="45"/>
  <c r="K679" i="45"/>
  <c r="K680" i="45"/>
  <c r="K681" i="45"/>
  <c r="K682" i="45"/>
  <c r="K683" i="45"/>
  <c r="K684" i="45"/>
  <c r="K685" i="45"/>
  <c r="K686" i="45"/>
  <c r="K687" i="45"/>
  <c r="K688" i="45"/>
  <c r="K689" i="45"/>
  <c r="K690" i="45"/>
  <c r="K691" i="45"/>
  <c r="K692" i="45"/>
  <c r="K693" i="45"/>
  <c r="K694" i="45"/>
  <c r="K695" i="45"/>
  <c r="K696" i="45"/>
  <c r="K697" i="45"/>
  <c r="K698" i="45"/>
  <c r="K699" i="45"/>
  <c r="K700" i="45"/>
  <c r="K701" i="45"/>
  <c r="K702" i="45"/>
  <c r="K703" i="45"/>
  <c r="K704" i="45"/>
  <c r="K705" i="45"/>
  <c r="K706" i="45"/>
  <c r="K707" i="45"/>
  <c r="K708" i="45"/>
  <c r="K709" i="45"/>
  <c r="K710" i="45"/>
  <c r="K711" i="45"/>
  <c r="K712" i="45"/>
  <c r="K713" i="45"/>
  <c r="K714" i="45"/>
  <c r="K715" i="45"/>
  <c r="K716" i="45"/>
  <c r="K717" i="45"/>
  <c r="K718" i="45"/>
  <c r="K719" i="45"/>
  <c r="K720" i="45"/>
  <c r="K721" i="45"/>
  <c r="K722" i="45"/>
  <c r="K723" i="45"/>
  <c r="K724" i="45"/>
  <c r="K725" i="45"/>
  <c r="K726" i="45"/>
  <c r="K727" i="45"/>
  <c r="K728" i="45"/>
  <c r="K729" i="45"/>
  <c r="K730" i="45"/>
  <c r="K731" i="45"/>
  <c r="K732" i="45"/>
  <c r="K733" i="45"/>
  <c r="K734" i="45"/>
  <c r="K735" i="45"/>
  <c r="K736" i="45"/>
  <c r="K737" i="45"/>
  <c r="K738" i="45"/>
  <c r="K739" i="45"/>
  <c r="K740" i="45"/>
  <c r="K741" i="45"/>
  <c r="K742" i="45"/>
  <c r="K743" i="45"/>
  <c r="K744" i="45"/>
  <c r="K745" i="45"/>
  <c r="K746" i="45"/>
  <c r="K747" i="45"/>
  <c r="K748" i="45"/>
  <c r="K749" i="45"/>
  <c r="K750" i="45"/>
  <c r="K751" i="45"/>
  <c r="K752" i="45"/>
  <c r="K753" i="45"/>
  <c r="K754" i="45"/>
  <c r="K755" i="45"/>
  <c r="K756" i="45"/>
  <c r="K757" i="45"/>
  <c r="K758" i="45"/>
  <c r="K759" i="45"/>
  <c r="K760" i="45"/>
  <c r="K761" i="45"/>
  <c r="K762" i="45"/>
  <c r="K763" i="45"/>
  <c r="K764" i="45"/>
  <c r="K765" i="45"/>
  <c r="K766" i="45"/>
  <c r="K767" i="45"/>
  <c r="K768" i="45"/>
  <c r="K769" i="45"/>
  <c r="K770" i="45"/>
  <c r="K771" i="45"/>
  <c r="K772" i="45"/>
  <c r="K773" i="45"/>
  <c r="K774" i="45"/>
  <c r="K775" i="45"/>
  <c r="K776" i="45"/>
  <c r="K777" i="45"/>
  <c r="K778" i="45"/>
  <c r="K779" i="45"/>
  <c r="K780" i="45"/>
  <c r="K781" i="45"/>
  <c r="K782" i="45"/>
  <c r="K783" i="45"/>
  <c r="K784" i="45"/>
  <c r="K785" i="45"/>
  <c r="K786" i="45"/>
  <c r="K787" i="45"/>
  <c r="K788" i="45"/>
  <c r="K789" i="45"/>
  <c r="K790" i="45"/>
  <c r="K791" i="45"/>
  <c r="K792" i="45"/>
  <c r="K793" i="45"/>
  <c r="K794" i="45"/>
  <c r="K795" i="45"/>
  <c r="K796" i="45"/>
  <c r="K797" i="45"/>
  <c r="K798" i="45"/>
  <c r="K799" i="45"/>
  <c r="K800" i="45"/>
  <c r="K801" i="45"/>
  <c r="K802" i="45"/>
  <c r="K803" i="45"/>
  <c r="K804" i="45"/>
  <c r="K805" i="45"/>
  <c r="K806" i="45"/>
  <c r="K807" i="45"/>
  <c r="K808" i="45"/>
  <c r="K809" i="45"/>
  <c r="K810" i="45"/>
  <c r="K811" i="45"/>
  <c r="K812" i="45"/>
  <c r="K813" i="45"/>
  <c r="K814" i="45"/>
  <c r="K815" i="45"/>
  <c r="K816" i="45"/>
  <c r="K817" i="45"/>
  <c r="K818" i="45"/>
  <c r="K819" i="45"/>
  <c r="K820" i="45"/>
  <c r="K821" i="45"/>
  <c r="K822" i="45"/>
  <c r="K823" i="45"/>
  <c r="K824" i="45"/>
  <c r="K825" i="45"/>
  <c r="K826" i="45"/>
  <c r="K828" i="45"/>
  <c r="K829" i="45"/>
  <c r="K827" i="45"/>
  <c r="E38" i="28"/>
  <c r="F38" i="28"/>
  <c r="G38" i="28"/>
  <c r="H38" i="28"/>
  <c r="I38" i="28"/>
  <c r="J38" i="28"/>
  <c r="K38" i="28"/>
  <c r="L38" i="28"/>
  <c r="M38" i="28"/>
  <c r="N38" i="28"/>
  <c r="O38" i="28"/>
  <c r="P38" i="28"/>
  <c r="Q38" i="28"/>
  <c r="R38" i="28"/>
  <c r="S38" i="28"/>
  <c r="T38" i="28"/>
  <c r="U38" i="28"/>
  <c r="V38" i="28"/>
  <c r="W38" i="28"/>
  <c r="X38" i="28"/>
  <c r="Y38" i="28"/>
  <c r="Z38" i="28"/>
  <c r="AA38" i="28"/>
  <c r="AB38" i="28"/>
  <c r="AC38" i="28"/>
  <c r="E39" i="28"/>
  <c r="F39" i="28"/>
  <c r="G39" i="28"/>
  <c r="H39" i="28"/>
  <c r="I39" i="28"/>
  <c r="J39" i="28"/>
  <c r="K39" i="28"/>
  <c r="L39" i="28"/>
  <c r="M39" i="28"/>
  <c r="N39" i="28"/>
  <c r="O39" i="28"/>
  <c r="P39" i="28"/>
  <c r="Q39" i="28"/>
  <c r="R39" i="28"/>
  <c r="S39" i="28"/>
  <c r="T39" i="28"/>
  <c r="U39" i="28"/>
  <c r="V39" i="28"/>
  <c r="W39" i="28"/>
  <c r="X39" i="28"/>
  <c r="Y39" i="28"/>
  <c r="Z39" i="28"/>
  <c r="AA39" i="28"/>
  <c r="AB39" i="28"/>
  <c r="AC39" i="28"/>
  <c r="D39" i="28"/>
  <c r="D38" i="28"/>
  <c r="E43" i="28"/>
  <c r="F43" i="28"/>
  <c r="G43" i="28"/>
  <c r="H43" i="28"/>
  <c r="I43" i="28"/>
  <c r="J43" i="28"/>
  <c r="K43" i="28"/>
  <c r="L43" i="28"/>
  <c r="M43" i="28"/>
  <c r="N43" i="28"/>
  <c r="O43" i="28"/>
  <c r="P43" i="28"/>
  <c r="Q43" i="28"/>
  <c r="R43" i="28"/>
  <c r="S43" i="28"/>
  <c r="T43" i="28"/>
  <c r="U43" i="28"/>
  <c r="V43" i="28"/>
  <c r="W43" i="28"/>
  <c r="X43" i="28"/>
  <c r="Y43" i="28"/>
  <c r="Z43" i="28"/>
  <c r="AA43" i="28"/>
  <c r="AB43" i="28"/>
  <c r="AC43" i="28"/>
  <c r="D43" i="28"/>
  <c r="E35" i="28"/>
  <c r="F35" i="28"/>
  <c r="G35" i="28"/>
  <c r="H35" i="28"/>
  <c r="I35" i="28"/>
  <c r="J35" i="28"/>
  <c r="K35" i="28"/>
  <c r="L35" i="28"/>
  <c r="M35" i="28"/>
  <c r="N35" i="28"/>
  <c r="O35" i="28"/>
  <c r="P35" i="28"/>
  <c r="Q35" i="28"/>
  <c r="R35" i="28"/>
  <c r="S35" i="28"/>
  <c r="T35" i="28"/>
  <c r="U35" i="28"/>
  <c r="V35" i="28"/>
  <c r="W35" i="28"/>
  <c r="X35" i="28"/>
  <c r="Y35" i="28"/>
  <c r="Z35" i="28"/>
  <c r="AA35" i="28"/>
  <c r="AB35" i="28"/>
  <c r="AC35" i="28"/>
  <c r="D35" i="28"/>
  <c r="J148" i="32"/>
  <c r="J149" i="32"/>
  <c r="J150" i="32"/>
  <c r="J151" i="32"/>
  <c r="J152" i="32"/>
  <c r="J153" i="32"/>
  <c r="J154" i="32"/>
  <c r="J155" i="32"/>
  <c r="J156" i="32"/>
  <c r="J157" i="32"/>
  <c r="J158" i="32"/>
  <c r="J159" i="32"/>
  <c r="J160" i="32"/>
  <c r="J161" i="32"/>
  <c r="J162" i="32"/>
  <c r="J163" i="32"/>
  <c r="J164" i="32"/>
  <c r="J165" i="32"/>
  <c r="J166" i="32"/>
  <c r="J167" i="32"/>
  <c r="J168" i="32"/>
  <c r="J169" i="32"/>
  <c r="J170" i="32"/>
  <c r="J171" i="32"/>
  <c r="J172" i="32"/>
  <c r="J173" i="32"/>
  <c r="J174" i="32"/>
  <c r="J175" i="32"/>
  <c r="J176" i="32"/>
  <c r="J177" i="32"/>
  <c r="J178" i="32"/>
  <c r="J179" i="32"/>
  <c r="J180" i="32"/>
  <c r="J181" i="32"/>
  <c r="J182" i="32"/>
  <c r="J183" i="32"/>
  <c r="J184" i="32"/>
  <c r="J185" i="32"/>
  <c r="J186" i="32"/>
  <c r="J187" i="32"/>
  <c r="J188" i="32"/>
  <c r="J189" i="32"/>
  <c r="J190" i="32"/>
  <c r="J191" i="32"/>
  <c r="J192" i="32"/>
  <c r="J193" i="32"/>
  <c r="J194" i="32"/>
  <c r="J195" i="32"/>
  <c r="J196" i="32"/>
  <c r="J197" i="32"/>
  <c r="J198" i="32"/>
  <c r="J199" i="32"/>
  <c r="J200" i="32"/>
  <c r="J201" i="32"/>
  <c r="J202" i="32"/>
  <c r="J203" i="32"/>
  <c r="J204" i="32"/>
  <c r="J205" i="32"/>
  <c r="J206" i="32"/>
  <c r="J207" i="32"/>
  <c r="J208" i="32"/>
  <c r="J209" i="32"/>
  <c r="J210" i="32"/>
  <c r="J211" i="32"/>
  <c r="J212" i="32"/>
  <c r="J213" i="32"/>
  <c r="J214" i="32"/>
  <c r="J215" i="32"/>
  <c r="J216" i="32"/>
  <c r="J217" i="32"/>
  <c r="J218" i="32"/>
  <c r="J219" i="32"/>
  <c r="J220" i="32"/>
  <c r="J221" i="32"/>
  <c r="J222" i="32"/>
  <c r="J223" i="32"/>
  <c r="J224" i="32"/>
  <c r="J225" i="32"/>
  <c r="J226" i="32"/>
  <c r="J227" i="32"/>
  <c r="J228" i="32"/>
  <c r="J229" i="32"/>
  <c r="J230" i="32"/>
  <c r="J231" i="32"/>
  <c r="J232" i="32"/>
  <c r="J233" i="32"/>
  <c r="J234" i="32"/>
  <c r="J235" i="32"/>
  <c r="J236" i="32"/>
  <c r="J237" i="32"/>
  <c r="J238" i="32"/>
  <c r="J239" i="32"/>
  <c r="J240" i="32"/>
  <c r="J241" i="32"/>
  <c r="J242" i="32"/>
  <c r="J243" i="32"/>
  <c r="J244" i="32"/>
  <c r="J245" i="32"/>
  <c r="J246" i="32"/>
  <c r="J247" i="32"/>
  <c r="J248" i="32"/>
  <c r="J249" i="32"/>
  <c r="J250" i="32"/>
  <c r="J251" i="32"/>
  <c r="J252" i="32"/>
  <c r="J253" i="32"/>
  <c r="J254" i="32"/>
  <c r="J255" i="32"/>
  <c r="J256" i="32"/>
  <c r="J257" i="32"/>
  <c r="J258" i="32"/>
  <c r="J259" i="32"/>
  <c r="J260" i="32"/>
  <c r="J261" i="32"/>
  <c r="J262" i="32"/>
  <c r="J263" i="32"/>
  <c r="J264" i="32"/>
  <c r="J265" i="32"/>
  <c r="J266" i="32"/>
  <c r="J267" i="32"/>
  <c r="J268" i="32"/>
  <c r="J269" i="32"/>
  <c r="J270" i="32"/>
  <c r="J271" i="32"/>
  <c r="J272" i="32"/>
  <c r="J273" i="32"/>
  <c r="J274" i="32"/>
  <c r="J275" i="32"/>
  <c r="J276" i="32"/>
  <c r="J277" i="32"/>
  <c r="J278" i="32"/>
  <c r="J279" i="32"/>
  <c r="J280" i="32"/>
  <c r="J281" i="32"/>
  <c r="J282" i="32"/>
  <c r="J283" i="32"/>
  <c r="J284" i="32"/>
  <c r="J285" i="32"/>
  <c r="J286" i="32"/>
  <c r="J287" i="32"/>
  <c r="J288" i="32"/>
  <c r="J289" i="32"/>
  <c r="J290" i="32"/>
  <c r="J291" i="32"/>
  <c r="J292" i="32"/>
  <c r="J293" i="32"/>
  <c r="J294" i="32"/>
  <c r="J295" i="32"/>
  <c r="J296" i="32"/>
  <c r="J297" i="32"/>
  <c r="J298" i="32"/>
  <c r="J299" i="32"/>
  <c r="J300" i="32"/>
  <c r="J301" i="32"/>
  <c r="J302" i="32"/>
  <c r="J303" i="32"/>
  <c r="J304" i="32"/>
  <c r="J305" i="32"/>
  <c r="J306" i="32"/>
  <c r="J307" i="32"/>
  <c r="J308" i="32"/>
  <c r="J309" i="32"/>
  <c r="J310" i="32"/>
  <c r="J311" i="32"/>
  <c r="J312" i="32"/>
  <c r="J313" i="32"/>
  <c r="J314" i="32"/>
  <c r="J315" i="32"/>
  <c r="J316" i="32"/>
  <c r="J317" i="32"/>
  <c r="J318" i="32"/>
  <c r="J319" i="32"/>
  <c r="J320" i="32"/>
  <c r="J321" i="32"/>
  <c r="J322" i="32"/>
  <c r="J323" i="32"/>
  <c r="J324" i="32"/>
  <c r="J325" i="32"/>
  <c r="J326" i="32"/>
  <c r="J327" i="32"/>
  <c r="J328" i="32"/>
  <c r="J329" i="32"/>
  <c r="J330" i="32"/>
  <c r="J331" i="32"/>
  <c r="J332" i="32"/>
  <c r="J333" i="32"/>
  <c r="J334" i="32"/>
  <c r="J335" i="32"/>
  <c r="J336" i="32"/>
  <c r="J337" i="32"/>
  <c r="J338" i="32"/>
  <c r="J339" i="32"/>
  <c r="J340" i="32"/>
  <c r="J341" i="32"/>
  <c r="J342" i="32"/>
  <c r="J343" i="32"/>
  <c r="J344" i="32"/>
  <c r="J345" i="32"/>
  <c r="J346" i="32"/>
  <c r="J347" i="32"/>
  <c r="J348" i="32"/>
  <c r="J349" i="32"/>
  <c r="J350" i="32"/>
  <c r="J351" i="32"/>
  <c r="J352" i="32"/>
  <c r="J353" i="32"/>
  <c r="J354" i="32"/>
  <c r="J355" i="32"/>
  <c r="J356" i="32"/>
  <c r="J357" i="32"/>
  <c r="J358" i="32"/>
  <c r="J359" i="32"/>
  <c r="J360" i="32"/>
  <c r="J361" i="32"/>
  <c r="J362" i="32"/>
  <c r="J363" i="32"/>
  <c r="J364" i="32"/>
  <c r="J365" i="32"/>
  <c r="J366" i="32"/>
  <c r="J367" i="32"/>
  <c r="J368" i="32"/>
  <c r="J369" i="32"/>
  <c r="J370" i="32"/>
  <c r="J371" i="32"/>
  <c r="J372" i="32"/>
  <c r="J373" i="32"/>
  <c r="J374" i="32"/>
  <c r="J375" i="32"/>
  <c r="J376" i="32"/>
  <c r="J377" i="32"/>
  <c r="J378" i="32"/>
  <c r="J379" i="32"/>
  <c r="J380" i="32"/>
  <c r="J381" i="32"/>
  <c r="J382" i="32"/>
  <c r="J383" i="32"/>
  <c r="J384" i="32"/>
  <c r="J385" i="32"/>
  <c r="J386" i="32"/>
  <c r="J387" i="32"/>
  <c r="J388" i="32"/>
  <c r="J389" i="32"/>
  <c r="J390" i="32"/>
  <c r="J391" i="32"/>
  <c r="J392" i="32"/>
  <c r="J393" i="32"/>
  <c r="J394" i="32"/>
  <c r="J395" i="32"/>
  <c r="J396" i="32"/>
  <c r="J397" i="32"/>
  <c r="J398" i="32"/>
  <c r="J399" i="32"/>
  <c r="J400" i="32"/>
  <c r="J401" i="32"/>
  <c r="J402" i="32"/>
  <c r="J403" i="32"/>
  <c r="J404" i="32"/>
  <c r="J405" i="32"/>
  <c r="J406" i="32"/>
  <c r="J407" i="32"/>
  <c r="J408" i="32"/>
  <c r="J409" i="32"/>
  <c r="J410" i="32"/>
  <c r="J411" i="32"/>
  <c r="J412" i="32"/>
  <c r="J413" i="32"/>
  <c r="J414" i="32"/>
  <c r="J415" i="32"/>
  <c r="J416" i="32"/>
  <c r="J417" i="32"/>
  <c r="J418" i="32"/>
  <c r="J419" i="32"/>
  <c r="J420" i="32"/>
  <c r="J421" i="32"/>
  <c r="J422" i="32"/>
  <c r="J423" i="32"/>
  <c r="J424" i="32"/>
  <c r="J425" i="32"/>
  <c r="J426" i="32"/>
  <c r="J427" i="32"/>
  <c r="J428" i="32"/>
  <c r="J429" i="32"/>
  <c r="J430" i="32"/>
  <c r="J431" i="32"/>
  <c r="J432" i="32"/>
  <c r="J433" i="32"/>
  <c r="J434" i="32"/>
  <c r="J435" i="32"/>
  <c r="J436" i="32"/>
  <c r="J437" i="32"/>
  <c r="J438" i="32"/>
  <c r="J439" i="32"/>
  <c r="J440" i="32"/>
  <c r="J441" i="32"/>
  <c r="J442" i="32"/>
  <c r="J443" i="32"/>
  <c r="J444" i="32"/>
  <c r="J445" i="32"/>
  <c r="J446" i="32"/>
  <c r="J447" i="32"/>
  <c r="J448" i="32"/>
  <c r="J449" i="32"/>
  <c r="J450" i="32"/>
  <c r="J451" i="32"/>
  <c r="J452" i="32"/>
  <c r="J453" i="32"/>
  <c r="J454" i="32"/>
  <c r="J455" i="32"/>
  <c r="J456" i="32"/>
  <c r="J457" i="32"/>
  <c r="J458" i="32"/>
  <c r="J459" i="32"/>
  <c r="J460" i="32"/>
  <c r="J461" i="32"/>
  <c r="J462" i="32"/>
  <c r="J463" i="32"/>
  <c r="J464" i="32"/>
  <c r="J465" i="32"/>
  <c r="J466" i="32"/>
  <c r="J467" i="32"/>
  <c r="J468" i="32"/>
  <c r="J469" i="32"/>
  <c r="J470" i="32"/>
  <c r="J471" i="32"/>
  <c r="J472" i="32"/>
  <c r="J473" i="32"/>
  <c r="J474" i="32"/>
  <c r="J475" i="32"/>
  <c r="J476" i="32"/>
  <c r="J477" i="32"/>
  <c r="J478" i="32"/>
  <c r="J479" i="32"/>
  <c r="J480" i="32"/>
  <c r="J481" i="32"/>
  <c r="J482" i="32"/>
  <c r="J483" i="32"/>
  <c r="J484" i="32"/>
  <c r="J485" i="32"/>
  <c r="J486" i="32"/>
  <c r="J487" i="32"/>
  <c r="J488" i="32"/>
  <c r="J489" i="32"/>
  <c r="J490" i="32"/>
  <c r="J491" i="32"/>
  <c r="J492" i="32"/>
  <c r="J493" i="32"/>
  <c r="J494" i="32"/>
  <c r="J495" i="32"/>
  <c r="J496" i="32"/>
  <c r="J497" i="32"/>
  <c r="J498" i="32"/>
  <c r="J499" i="32"/>
  <c r="J500" i="32"/>
  <c r="J501" i="32"/>
  <c r="J502" i="32"/>
  <c r="J503" i="32"/>
  <c r="J504" i="32"/>
  <c r="J505" i="32"/>
  <c r="J506" i="32"/>
  <c r="J507" i="32"/>
  <c r="J508" i="32"/>
  <c r="J509" i="32"/>
  <c r="J510" i="32"/>
  <c r="J511" i="32"/>
  <c r="J512" i="32"/>
  <c r="J513" i="32"/>
  <c r="J514" i="32"/>
  <c r="J515" i="32"/>
  <c r="J516" i="32"/>
  <c r="J517" i="32"/>
  <c r="J518" i="32"/>
  <c r="J519" i="32"/>
  <c r="J520" i="32"/>
  <c r="J521" i="32"/>
  <c r="J522" i="32"/>
  <c r="J523" i="32"/>
  <c r="J524" i="32"/>
  <c r="J525" i="32"/>
  <c r="J526" i="32"/>
  <c r="J527" i="32"/>
  <c r="J528" i="32"/>
  <c r="J529" i="32"/>
  <c r="J530" i="32"/>
  <c r="J531" i="32"/>
  <c r="J532" i="32"/>
  <c r="J533" i="32"/>
  <c r="J534" i="32"/>
  <c r="J535" i="32"/>
  <c r="J536" i="32"/>
  <c r="J537" i="32"/>
  <c r="J538" i="32"/>
  <c r="J539" i="32"/>
  <c r="J540" i="32"/>
  <c r="J541" i="32"/>
  <c r="J542" i="32"/>
  <c r="J543" i="32"/>
  <c r="J544" i="32"/>
  <c r="J545" i="32"/>
  <c r="J546" i="32"/>
  <c r="J547" i="32"/>
  <c r="J548" i="32"/>
  <c r="J549" i="32"/>
  <c r="J550" i="32"/>
  <c r="J551" i="32"/>
  <c r="J552" i="32"/>
  <c r="J553" i="32"/>
  <c r="J554" i="32"/>
  <c r="J555" i="32"/>
  <c r="J556" i="32"/>
  <c r="J557" i="32"/>
  <c r="J558" i="32"/>
  <c r="J559" i="32"/>
  <c r="J560" i="32"/>
  <c r="J561" i="32"/>
  <c r="J562" i="32"/>
  <c r="J563" i="32"/>
  <c r="J564" i="32"/>
  <c r="J565" i="32"/>
  <c r="J566" i="32"/>
  <c r="J567" i="32"/>
  <c r="J568" i="32"/>
  <c r="J569" i="32"/>
  <c r="J570" i="32"/>
  <c r="J571" i="32"/>
  <c r="J572" i="32"/>
  <c r="J573" i="32"/>
  <c r="J574" i="32"/>
  <c r="J575" i="32"/>
  <c r="J576" i="32"/>
  <c r="J577" i="32"/>
  <c r="J578" i="32"/>
  <c r="J579" i="32"/>
  <c r="J580" i="32"/>
  <c r="J581" i="32"/>
  <c r="J582" i="32"/>
  <c r="J583" i="32"/>
  <c r="J584" i="32"/>
  <c r="J585" i="32"/>
  <c r="J586" i="32"/>
  <c r="J587" i="32"/>
  <c r="J588" i="32"/>
  <c r="J589" i="32"/>
  <c r="J590" i="32"/>
  <c r="J591" i="32"/>
  <c r="J592" i="32"/>
  <c r="J593" i="32"/>
  <c r="J594" i="32"/>
  <c r="J595" i="32"/>
  <c r="J596" i="32"/>
  <c r="J597" i="32"/>
  <c r="J598" i="32"/>
  <c r="J599" i="32"/>
  <c r="J600" i="32"/>
  <c r="J601" i="32"/>
  <c r="J602" i="32"/>
  <c r="J603" i="32"/>
  <c r="J604" i="32"/>
  <c r="J605" i="32"/>
  <c r="J606" i="32"/>
  <c r="J607" i="32"/>
  <c r="J608" i="32"/>
  <c r="J609" i="32"/>
  <c r="J610" i="32"/>
  <c r="J611" i="32"/>
  <c r="J612" i="32"/>
  <c r="J613" i="32"/>
  <c r="J614" i="32"/>
  <c r="J615" i="32"/>
  <c r="J616" i="32"/>
  <c r="J617" i="32"/>
  <c r="J618" i="32"/>
  <c r="J619" i="32"/>
  <c r="J620" i="32"/>
  <c r="J621" i="32"/>
  <c r="J622" i="32"/>
  <c r="J623" i="32"/>
  <c r="J624" i="32"/>
  <c r="J625" i="32"/>
  <c r="J626" i="32"/>
  <c r="J627" i="32"/>
  <c r="J628" i="32"/>
  <c r="J629" i="32"/>
  <c r="J630" i="32"/>
  <c r="J631" i="32"/>
  <c r="J632" i="32"/>
  <c r="J633" i="32"/>
  <c r="J634" i="32"/>
  <c r="J635" i="32"/>
  <c r="J636" i="32"/>
  <c r="J637" i="32"/>
  <c r="J638" i="32"/>
  <c r="J639" i="32"/>
  <c r="J640" i="32"/>
  <c r="J641" i="32"/>
  <c r="J642" i="32"/>
  <c r="J643" i="32"/>
  <c r="J644" i="32"/>
  <c r="J645" i="32"/>
  <c r="J646" i="32"/>
  <c r="J647" i="32"/>
  <c r="J648" i="32"/>
  <c r="J649" i="32"/>
  <c r="J650" i="32"/>
  <c r="J651" i="32"/>
  <c r="J652" i="32"/>
  <c r="J653" i="32"/>
  <c r="J654" i="32"/>
  <c r="J655" i="32"/>
  <c r="J656" i="32"/>
  <c r="J657" i="32"/>
  <c r="J658" i="32"/>
  <c r="J659" i="32"/>
  <c r="J660" i="32"/>
  <c r="J661" i="32"/>
  <c r="J662" i="32"/>
  <c r="J663" i="32"/>
  <c r="J664" i="32"/>
  <c r="J665" i="32"/>
  <c r="J666" i="32"/>
  <c r="J667" i="32"/>
  <c r="J668" i="32"/>
  <c r="J669" i="32"/>
  <c r="J670" i="32"/>
  <c r="J671" i="32"/>
  <c r="J672" i="32"/>
  <c r="J673" i="32"/>
  <c r="J674" i="32"/>
  <c r="J675" i="32"/>
  <c r="J676" i="32"/>
  <c r="J677" i="32"/>
  <c r="J678" i="32"/>
  <c r="J679" i="32"/>
  <c r="J680" i="32"/>
  <c r="J681" i="32"/>
  <c r="J682" i="32"/>
  <c r="J683" i="32"/>
  <c r="J684" i="32"/>
  <c r="J685" i="32"/>
  <c r="J686" i="32"/>
  <c r="J687" i="32"/>
  <c r="J688" i="32"/>
  <c r="J689" i="32"/>
  <c r="J690" i="32"/>
  <c r="J691" i="32"/>
  <c r="J692" i="32"/>
  <c r="J693" i="32"/>
  <c r="J694" i="32"/>
  <c r="J695" i="32"/>
  <c r="J696" i="32"/>
  <c r="J697" i="32"/>
  <c r="J698" i="32"/>
  <c r="J699" i="32"/>
  <c r="J700" i="32"/>
  <c r="J701" i="32"/>
  <c r="J702" i="32"/>
  <c r="J703" i="32"/>
  <c r="J704" i="32"/>
  <c r="J705" i="32"/>
  <c r="J706" i="32"/>
  <c r="J707" i="32"/>
  <c r="J708" i="32"/>
  <c r="J709" i="32"/>
  <c r="J710" i="32"/>
  <c r="J711" i="32"/>
  <c r="J712" i="32"/>
  <c r="J713" i="32"/>
  <c r="J714" i="32"/>
  <c r="J715" i="32"/>
  <c r="J716" i="32"/>
  <c r="J717" i="32"/>
  <c r="J718" i="32"/>
  <c r="J719" i="32"/>
  <c r="J720" i="32"/>
  <c r="J721" i="32"/>
  <c r="J722" i="32"/>
  <c r="J723" i="32"/>
  <c r="J724" i="32"/>
  <c r="J725" i="32"/>
  <c r="J726" i="32"/>
  <c r="J727" i="32"/>
  <c r="J728" i="32"/>
  <c r="J729" i="32"/>
  <c r="J730" i="32"/>
  <c r="J731" i="32"/>
  <c r="J732" i="32"/>
  <c r="J733" i="32"/>
  <c r="J734" i="32"/>
  <c r="J735" i="32"/>
  <c r="J736" i="32"/>
  <c r="J737" i="32"/>
  <c r="J738" i="32"/>
  <c r="J739" i="32"/>
  <c r="J740" i="32"/>
  <c r="J741" i="32"/>
  <c r="J742" i="32"/>
  <c r="J743" i="32"/>
  <c r="J744" i="32"/>
  <c r="J745" i="32"/>
  <c r="J746" i="32"/>
  <c r="J747" i="32"/>
  <c r="J748" i="32"/>
  <c r="J749" i="32"/>
  <c r="J750" i="32"/>
  <c r="J751" i="32"/>
  <c r="J752" i="32"/>
  <c r="J753" i="32"/>
  <c r="J754" i="32"/>
  <c r="J755" i="32"/>
  <c r="J756" i="32"/>
  <c r="J757" i="32"/>
  <c r="J758" i="32"/>
  <c r="J759" i="32"/>
  <c r="J760" i="32"/>
  <c r="J761" i="32"/>
  <c r="J762" i="32"/>
  <c r="J763" i="32"/>
  <c r="J764" i="32"/>
  <c r="J765" i="32"/>
  <c r="J766" i="32"/>
  <c r="J767" i="32"/>
  <c r="J768" i="32"/>
  <c r="J769" i="32"/>
  <c r="J770" i="32"/>
  <c r="J771" i="32"/>
  <c r="J772" i="32"/>
  <c r="J773" i="32"/>
  <c r="J774" i="32"/>
  <c r="J775" i="32"/>
  <c r="J776" i="32"/>
  <c r="J777" i="32"/>
  <c r="J778" i="32"/>
  <c r="J779" i="32"/>
  <c r="J780" i="32"/>
  <c r="J781" i="32"/>
  <c r="J782" i="32"/>
  <c r="J783" i="32"/>
  <c r="J784" i="32"/>
  <c r="J785" i="32"/>
  <c r="J786" i="32"/>
  <c r="J787" i="32"/>
  <c r="J788" i="32"/>
  <c r="J789" i="32"/>
  <c r="J790" i="32"/>
  <c r="J791" i="32"/>
  <c r="J792" i="32"/>
  <c r="J793" i="32"/>
  <c r="J794" i="32"/>
  <c r="J795" i="32"/>
  <c r="J796" i="32"/>
  <c r="J797" i="32"/>
  <c r="J798" i="32"/>
  <c r="J799" i="32"/>
  <c r="J800" i="32"/>
  <c r="J801" i="32"/>
  <c r="J802" i="32"/>
  <c r="J803" i="32"/>
  <c r="J804" i="32"/>
  <c r="J805" i="32"/>
  <c r="J806" i="32"/>
  <c r="J807" i="32"/>
  <c r="J808" i="32"/>
  <c r="J809" i="32"/>
  <c r="J810" i="32"/>
  <c r="J811" i="32"/>
  <c r="J812" i="32"/>
  <c r="J813" i="32"/>
  <c r="J814" i="32"/>
  <c r="J815" i="32"/>
  <c r="J816" i="32"/>
  <c r="J817" i="32"/>
  <c r="J818" i="32"/>
  <c r="J819" i="32"/>
  <c r="J820" i="32"/>
  <c r="J821" i="32"/>
  <c r="J822" i="32"/>
  <c r="J823" i="32"/>
  <c r="J824" i="32"/>
  <c r="J825" i="32"/>
  <c r="J826" i="32"/>
  <c r="J827" i="32"/>
  <c r="J828" i="32"/>
  <c r="J829" i="32"/>
  <c r="J830" i="32"/>
  <c r="J831" i="32"/>
  <c r="J832" i="32"/>
  <c r="J833" i="32"/>
  <c r="J834" i="32"/>
  <c r="J835" i="32"/>
  <c r="J836" i="32"/>
  <c r="J837" i="32"/>
  <c r="J838" i="32"/>
  <c r="J839" i="32"/>
  <c r="J840" i="32"/>
  <c r="J841" i="32"/>
  <c r="J842" i="32"/>
  <c r="J843" i="32"/>
  <c r="J844" i="32"/>
  <c r="J845" i="32"/>
  <c r="J846" i="32"/>
  <c r="J847" i="32"/>
  <c r="J848" i="32"/>
  <c r="J849" i="32"/>
  <c r="J850" i="32"/>
  <c r="J851" i="32"/>
  <c r="J852" i="32"/>
  <c r="J853" i="32"/>
  <c r="J854" i="32"/>
  <c r="J855" i="32"/>
  <c r="J856" i="32"/>
  <c r="J857" i="32"/>
  <c r="J858" i="32"/>
  <c r="J859" i="32"/>
  <c r="J860" i="32"/>
  <c r="J861" i="32"/>
  <c r="J862" i="32"/>
  <c r="J863" i="32"/>
  <c r="J864" i="32"/>
  <c r="J865" i="32"/>
  <c r="J866" i="32"/>
  <c r="J867" i="32"/>
  <c r="J868" i="32"/>
  <c r="J869" i="32"/>
  <c r="J870" i="32"/>
  <c r="J871" i="32"/>
  <c r="J872" i="32"/>
  <c r="J873" i="32"/>
  <c r="J874" i="32"/>
  <c r="J875" i="32"/>
  <c r="J876" i="32"/>
  <c r="J877" i="32"/>
  <c r="J878" i="32"/>
  <c r="J879" i="32"/>
  <c r="D41" i="28" s="1"/>
  <c r="J880" i="32"/>
  <c r="E41" i="28" s="1"/>
  <c r="J881" i="32"/>
  <c r="F41" i="28" s="1"/>
  <c r="J882" i="32"/>
  <c r="G41" i="28" s="1"/>
  <c r="J883" i="32"/>
  <c r="H41" i="28" s="1"/>
  <c r="J884" i="32"/>
  <c r="I41" i="28" s="1"/>
  <c r="J885" i="32"/>
  <c r="J41" i="28" s="1"/>
  <c r="J886" i="32"/>
  <c r="K41" i="28" s="1"/>
  <c r="J887" i="32"/>
  <c r="L41" i="28" s="1"/>
  <c r="J888" i="32"/>
  <c r="M41" i="28" s="1"/>
  <c r="J889" i="32"/>
  <c r="N41" i="28" s="1"/>
  <c r="J890" i="32"/>
  <c r="O41" i="28" s="1"/>
  <c r="J891" i="32"/>
  <c r="P41" i="28" s="1"/>
  <c r="J892" i="32"/>
  <c r="Q41" i="28" s="1"/>
  <c r="J893" i="32"/>
  <c r="R41" i="28" s="1"/>
  <c r="J894" i="32"/>
  <c r="S41" i="28" s="1"/>
  <c r="J895" i="32"/>
  <c r="T41" i="28" s="1"/>
  <c r="J896" i="32"/>
  <c r="U41" i="28" s="1"/>
  <c r="J897" i="32"/>
  <c r="V41" i="28" s="1"/>
  <c r="J898" i="32"/>
  <c r="W41" i="28" s="1"/>
  <c r="J899" i="32"/>
  <c r="X41" i="28" s="1"/>
  <c r="J900" i="32"/>
  <c r="Y41" i="28" s="1"/>
  <c r="J901" i="32"/>
  <c r="Z41" i="28" s="1"/>
  <c r="J902" i="32"/>
  <c r="AA41" i="28" s="1"/>
  <c r="J903" i="32"/>
  <c r="AB41" i="28" s="1"/>
  <c r="J904" i="32"/>
  <c r="AC41" i="28" s="1"/>
  <c r="J905" i="32"/>
  <c r="AD41" i="28" s="1"/>
  <c r="J906" i="32"/>
  <c r="AE41" i="28" s="1"/>
  <c r="J907" i="32"/>
  <c r="AF41" i="28" s="1"/>
  <c r="J908" i="32"/>
  <c r="AG41" i="28" s="1"/>
  <c r="J909" i="32"/>
  <c r="AH41" i="28" s="1"/>
  <c r="J910" i="32"/>
  <c r="AI41" i="28" s="1"/>
  <c r="J911" i="32"/>
  <c r="AJ41" i="28" s="1"/>
  <c r="J912" i="32"/>
  <c r="AK41" i="28" s="1"/>
  <c r="J913" i="32"/>
  <c r="AL41" i="28" s="1"/>
  <c r="J147" i="32"/>
  <c r="I137" i="32"/>
  <c r="I138" i="32"/>
  <c r="I139" i="32"/>
  <c r="I140" i="32"/>
  <c r="I141" i="32"/>
  <c r="I142" i="32"/>
  <c r="I143" i="32"/>
  <c r="I144" i="32"/>
  <c r="I145" i="32"/>
  <c r="I146" i="32"/>
  <c r="I147" i="32"/>
  <c r="I148" i="32"/>
  <c r="I149" i="32"/>
  <c r="I150" i="32"/>
  <c r="I151" i="32"/>
  <c r="I152" i="32"/>
  <c r="I153" i="32"/>
  <c r="I154" i="32"/>
  <c r="I155" i="32"/>
  <c r="I156" i="32"/>
  <c r="I157" i="32"/>
  <c r="I158" i="32"/>
  <c r="I159" i="32"/>
  <c r="I160" i="32"/>
  <c r="I161" i="32"/>
  <c r="I162" i="32"/>
  <c r="I163" i="32"/>
  <c r="I164" i="32"/>
  <c r="I165" i="32"/>
  <c r="I166" i="32"/>
  <c r="I167" i="32"/>
  <c r="I168" i="32"/>
  <c r="I169" i="32"/>
  <c r="I170" i="32"/>
  <c r="I171" i="32"/>
  <c r="I172" i="32"/>
  <c r="I173" i="32"/>
  <c r="I174" i="32"/>
  <c r="I175" i="32"/>
  <c r="I176" i="32"/>
  <c r="I177" i="32"/>
  <c r="I178" i="32"/>
  <c r="I179" i="32"/>
  <c r="I180" i="32"/>
  <c r="I181" i="32"/>
  <c r="I182" i="32"/>
  <c r="I183" i="32"/>
  <c r="I184" i="32"/>
  <c r="I185" i="32"/>
  <c r="I186" i="32"/>
  <c r="I187" i="32"/>
  <c r="I188" i="32"/>
  <c r="I189" i="32"/>
  <c r="I190" i="32"/>
  <c r="I191" i="32"/>
  <c r="I192" i="32"/>
  <c r="I193" i="32"/>
  <c r="I194" i="32"/>
  <c r="I195" i="32"/>
  <c r="I196" i="32"/>
  <c r="I197" i="32"/>
  <c r="I198" i="32"/>
  <c r="I199" i="32"/>
  <c r="I200" i="32"/>
  <c r="I201" i="32"/>
  <c r="I202" i="32"/>
  <c r="I203" i="32"/>
  <c r="I204" i="32"/>
  <c r="I205" i="32"/>
  <c r="I206" i="32"/>
  <c r="I207" i="32"/>
  <c r="I208" i="32"/>
  <c r="I209" i="32"/>
  <c r="I210" i="32"/>
  <c r="I211" i="32"/>
  <c r="I212" i="32"/>
  <c r="I213" i="32"/>
  <c r="I214" i="32"/>
  <c r="I215" i="32"/>
  <c r="I216" i="32"/>
  <c r="I217" i="32"/>
  <c r="I218" i="32"/>
  <c r="I219" i="32"/>
  <c r="I220" i="32"/>
  <c r="I221" i="32"/>
  <c r="I222" i="32"/>
  <c r="I223" i="32"/>
  <c r="I224" i="32"/>
  <c r="I225" i="32"/>
  <c r="I226" i="32"/>
  <c r="I227" i="32"/>
  <c r="I228" i="32"/>
  <c r="I229" i="32"/>
  <c r="I230" i="32"/>
  <c r="I231" i="32"/>
  <c r="I232" i="32"/>
  <c r="I233" i="32"/>
  <c r="I234" i="32"/>
  <c r="I235" i="32"/>
  <c r="I236" i="32"/>
  <c r="I237" i="32"/>
  <c r="I238" i="32"/>
  <c r="I239" i="32"/>
  <c r="I240" i="32"/>
  <c r="I241" i="32"/>
  <c r="I242" i="32"/>
  <c r="I243" i="32"/>
  <c r="I244" i="32"/>
  <c r="I245" i="32"/>
  <c r="I246" i="32"/>
  <c r="I247" i="32"/>
  <c r="I248" i="32"/>
  <c r="I249" i="32"/>
  <c r="I250" i="32"/>
  <c r="I251" i="32"/>
  <c r="I252" i="32"/>
  <c r="I253" i="32"/>
  <c r="I254" i="32"/>
  <c r="I255" i="32"/>
  <c r="I256" i="32"/>
  <c r="I257" i="32"/>
  <c r="I258" i="32"/>
  <c r="I259" i="32"/>
  <c r="I260" i="32"/>
  <c r="I261" i="32"/>
  <c r="I262" i="32"/>
  <c r="I263" i="32"/>
  <c r="I264" i="32"/>
  <c r="I265" i="32"/>
  <c r="I266" i="32"/>
  <c r="I267" i="32"/>
  <c r="I268" i="32"/>
  <c r="I269" i="32"/>
  <c r="I270" i="32"/>
  <c r="I271" i="32"/>
  <c r="I272" i="32"/>
  <c r="I273" i="32"/>
  <c r="I274" i="32"/>
  <c r="I275" i="32"/>
  <c r="I276" i="32"/>
  <c r="I277" i="32"/>
  <c r="I278" i="32"/>
  <c r="I279" i="32"/>
  <c r="I280" i="32"/>
  <c r="I281" i="32"/>
  <c r="I282" i="32"/>
  <c r="I283" i="32"/>
  <c r="I284" i="32"/>
  <c r="I285" i="32"/>
  <c r="I286" i="32"/>
  <c r="I287" i="32"/>
  <c r="I288" i="32"/>
  <c r="I289" i="32"/>
  <c r="I290" i="32"/>
  <c r="I291" i="32"/>
  <c r="I292" i="32"/>
  <c r="I293" i="32"/>
  <c r="I294" i="32"/>
  <c r="I295" i="32"/>
  <c r="I296" i="32"/>
  <c r="I297" i="32"/>
  <c r="I298" i="32"/>
  <c r="I299" i="32"/>
  <c r="I300" i="32"/>
  <c r="I301" i="32"/>
  <c r="I302" i="32"/>
  <c r="I303" i="32"/>
  <c r="I304" i="32"/>
  <c r="I305" i="32"/>
  <c r="I306" i="32"/>
  <c r="I307" i="32"/>
  <c r="I308" i="32"/>
  <c r="I309" i="32"/>
  <c r="I310" i="32"/>
  <c r="I311" i="32"/>
  <c r="I312" i="32"/>
  <c r="I313" i="32"/>
  <c r="I314" i="32"/>
  <c r="I315" i="32"/>
  <c r="I316" i="32"/>
  <c r="I317" i="32"/>
  <c r="I318" i="32"/>
  <c r="I319" i="32"/>
  <c r="I320" i="32"/>
  <c r="I321" i="32"/>
  <c r="I322" i="32"/>
  <c r="I323" i="32"/>
  <c r="I324" i="32"/>
  <c r="I325" i="32"/>
  <c r="I326" i="32"/>
  <c r="I327" i="32"/>
  <c r="I328" i="32"/>
  <c r="I329" i="32"/>
  <c r="I330" i="32"/>
  <c r="I331" i="32"/>
  <c r="I332" i="32"/>
  <c r="I333" i="32"/>
  <c r="I334" i="32"/>
  <c r="I335" i="32"/>
  <c r="I336" i="32"/>
  <c r="I337" i="32"/>
  <c r="I338" i="32"/>
  <c r="I339" i="32"/>
  <c r="I340" i="32"/>
  <c r="I341" i="32"/>
  <c r="I342" i="32"/>
  <c r="I343" i="32"/>
  <c r="I344" i="32"/>
  <c r="I345" i="32"/>
  <c r="I346" i="32"/>
  <c r="I347" i="32"/>
  <c r="I348" i="32"/>
  <c r="I349" i="32"/>
  <c r="I350" i="32"/>
  <c r="I351" i="32"/>
  <c r="I352" i="32"/>
  <c r="I353" i="32"/>
  <c r="I354" i="32"/>
  <c r="I355" i="32"/>
  <c r="I356" i="32"/>
  <c r="I357" i="32"/>
  <c r="I358" i="32"/>
  <c r="I359" i="32"/>
  <c r="I360" i="32"/>
  <c r="I361" i="32"/>
  <c r="I362" i="32"/>
  <c r="I363" i="32"/>
  <c r="I364" i="32"/>
  <c r="I365" i="32"/>
  <c r="I366" i="32"/>
  <c r="I367" i="32"/>
  <c r="I368" i="32"/>
  <c r="I369" i="32"/>
  <c r="I370" i="32"/>
  <c r="I371" i="32"/>
  <c r="I372" i="32"/>
  <c r="I373" i="32"/>
  <c r="I374" i="32"/>
  <c r="I375" i="32"/>
  <c r="I376" i="32"/>
  <c r="I377" i="32"/>
  <c r="I378" i="32"/>
  <c r="I379" i="32"/>
  <c r="I380" i="32"/>
  <c r="I381" i="32"/>
  <c r="I382" i="32"/>
  <c r="I383" i="32"/>
  <c r="I384" i="32"/>
  <c r="I385" i="32"/>
  <c r="I386" i="32"/>
  <c r="I387" i="32"/>
  <c r="I388" i="32"/>
  <c r="I389" i="32"/>
  <c r="I390" i="32"/>
  <c r="I391" i="32"/>
  <c r="I392" i="32"/>
  <c r="I393" i="32"/>
  <c r="I394" i="32"/>
  <c r="I395" i="32"/>
  <c r="I396" i="32"/>
  <c r="I397" i="32"/>
  <c r="I398" i="32"/>
  <c r="I399" i="32"/>
  <c r="I400" i="32"/>
  <c r="I401" i="32"/>
  <c r="I402" i="32"/>
  <c r="I403" i="32"/>
  <c r="I404" i="32"/>
  <c r="I405" i="32"/>
  <c r="I406" i="32"/>
  <c r="I407" i="32"/>
  <c r="I408" i="32"/>
  <c r="I409" i="32"/>
  <c r="I410" i="32"/>
  <c r="I411" i="32"/>
  <c r="I412" i="32"/>
  <c r="I413" i="32"/>
  <c r="I414" i="32"/>
  <c r="I415" i="32"/>
  <c r="I416" i="32"/>
  <c r="I417" i="32"/>
  <c r="I418" i="32"/>
  <c r="I419" i="32"/>
  <c r="I420" i="32"/>
  <c r="I421" i="32"/>
  <c r="I422" i="32"/>
  <c r="I423" i="32"/>
  <c r="I424" i="32"/>
  <c r="I425" i="32"/>
  <c r="I426" i="32"/>
  <c r="I427" i="32"/>
  <c r="I428" i="32"/>
  <c r="I429" i="32"/>
  <c r="I430" i="32"/>
  <c r="I431" i="32"/>
  <c r="I432" i="32"/>
  <c r="I433" i="32"/>
  <c r="I434" i="32"/>
  <c r="I435" i="32"/>
  <c r="I436" i="32"/>
  <c r="I437" i="32"/>
  <c r="I438" i="32"/>
  <c r="I439" i="32"/>
  <c r="I440" i="32"/>
  <c r="I441" i="32"/>
  <c r="I442" i="32"/>
  <c r="I443" i="32"/>
  <c r="I444" i="32"/>
  <c r="I445" i="32"/>
  <c r="I446" i="32"/>
  <c r="I447" i="32"/>
  <c r="I448" i="32"/>
  <c r="I449" i="32"/>
  <c r="I450" i="32"/>
  <c r="I451" i="32"/>
  <c r="I452" i="32"/>
  <c r="I453" i="32"/>
  <c r="I454" i="32"/>
  <c r="I455" i="32"/>
  <c r="I456" i="32"/>
  <c r="I457" i="32"/>
  <c r="I458" i="32"/>
  <c r="I459" i="32"/>
  <c r="I460" i="32"/>
  <c r="I461" i="32"/>
  <c r="I462" i="32"/>
  <c r="I463" i="32"/>
  <c r="I464" i="32"/>
  <c r="I465" i="32"/>
  <c r="I466" i="32"/>
  <c r="I467" i="32"/>
  <c r="I468" i="32"/>
  <c r="I469" i="32"/>
  <c r="I470" i="32"/>
  <c r="I471" i="32"/>
  <c r="I472" i="32"/>
  <c r="I473" i="32"/>
  <c r="I474" i="32"/>
  <c r="I475" i="32"/>
  <c r="I476" i="32"/>
  <c r="I477" i="32"/>
  <c r="I478" i="32"/>
  <c r="I479" i="32"/>
  <c r="I480" i="32"/>
  <c r="I481" i="32"/>
  <c r="I482" i="32"/>
  <c r="I483" i="32"/>
  <c r="I484" i="32"/>
  <c r="I485" i="32"/>
  <c r="I486" i="32"/>
  <c r="I487" i="32"/>
  <c r="I488" i="32"/>
  <c r="I489" i="32"/>
  <c r="I490" i="32"/>
  <c r="I491" i="32"/>
  <c r="I492" i="32"/>
  <c r="I493" i="32"/>
  <c r="I494" i="32"/>
  <c r="I495" i="32"/>
  <c r="I496" i="32"/>
  <c r="I497" i="32"/>
  <c r="I498" i="32"/>
  <c r="I499" i="32"/>
  <c r="I500" i="32"/>
  <c r="I501" i="32"/>
  <c r="I502" i="32"/>
  <c r="I503" i="32"/>
  <c r="I504" i="32"/>
  <c r="I505" i="32"/>
  <c r="I506" i="32"/>
  <c r="I507" i="32"/>
  <c r="I508" i="32"/>
  <c r="I509" i="32"/>
  <c r="I510" i="32"/>
  <c r="I511" i="32"/>
  <c r="I512" i="32"/>
  <c r="I513" i="32"/>
  <c r="I514" i="32"/>
  <c r="I515" i="32"/>
  <c r="I516" i="32"/>
  <c r="I517" i="32"/>
  <c r="I518" i="32"/>
  <c r="I519" i="32"/>
  <c r="I520" i="32"/>
  <c r="I521" i="32"/>
  <c r="I522" i="32"/>
  <c r="I523" i="32"/>
  <c r="I524" i="32"/>
  <c r="I525" i="32"/>
  <c r="I526" i="32"/>
  <c r="I527" i="32"/>
  <c r="I528" i="32"/>
  <c r="I529" i="32"/>
  <c r="I530" i="32"/>
  <c r="I531" i="32"/>
  <c r="I532" i="32"/>
  <c r="I533" i="32"/>
  <c r="I534" i="32"/>
  <c r="I535" i="32"/>
  <c r="I536" i="32"/>
  <c r="I537" i="32"/>
  <c r="I538" i="32"/>
  <c r="I539" i="32"/>
  <c r="I540" i="32"/>
  <c r="I541" i="32"/>
  <c r="I542" i="32"/>
  <c r="I543" i="32"/>
  <c r="I544" i="32"/>
  <c r="I545" i="32"/>
  <c r="I546" i="32"/>
  <c r="I547" i="32"/>
  <c r="I548" i="32"/>
  <c r="I549" i="32"/>
  <c r="I550" i="32"/>
  <c r="I551" i="32"/>
  <c r="I552" i="32"/>
  <c r="I553" i="32"/>
  <c r="I554" i="32"/>
  <c r="I555" i="32"/>
  <c r="I556" i="32"/>
  <c r="I557" i="32"/>
  <c r="I558" i="32"/>
  <c r="I559" i="32"/>
  <c r="I560" i="32"/>
  <c r="I561" i="32"/>
  <c r="I562" i="32"/>
  <c r="I563" i="32"/>
  <c r="I564" i="32"/>
  <c r="I565" i="32"/>
  <c r="I566" i="32"/>
  <c r="I567" i="32"/>
  <c r="I568" i="32"/>
  <c r="I569" i="32"/>
  <c r="I570" i="32"/>
  <c r="I571" i="32"/>
  <c r="I572" i="32"/>
  <c r="I573" i="32"/>
  <c r="I574" i="32"/>
  <c r="I575" i="32"/>
  <c r="I576" i="32"/>
  <c r="I577" i="32"/>
  <c r="I578" i="32"/>
  <c r="I579" i="32"/>
  <c r="I580" i="32"/>
  <c r="I581" i="32"/>
  <c r="I582" i="32"/>
  <c r="I583" i="32"/>
  <c r="I584" i="32"/>
  <c r="I585" i="32"/>
  <c r="I586" i="32"/>
  <c r="I587" i="32"/>
  <c r="I588" i="32"/>
  <c r="I589" i="32"/>
  <c r="I590" i="32"/>
  <c r="I591" i="32"/>
  <c r="I592" i="32"/>
  <c r="I593" i="32"/>
  <c r="I594" i="32"/>
  <c r="I595" i="32"/>
  <c r="I596" i="32"/>
  <c r="I597" i="32"/>
  <c r="I598" i="32"/>
  <c r="I599" i="32"/>
  <c r="I600" i="32"/>
  <c r="I601" i="32"/>
  <c r="I602" i="32"/>
  <c r="I603" i="32"/>
  <c r="I604" i="32"/>
  <c r="I605" i="32"/>
  <c r="I606" i="32"/>
  <c r="I607" i="32"/>
  <c r="I608" i="32"/>
  <c r="I609" i="32"/>
  <c r="I610" i="32"/>
  <c r="I611" i="32"/>
  <c r="I612" i="32"/>
  <c r="I613" i="32"/>
  <c r="I614" i="32"/>
  <c r="I615" i="32"/>
  <c r="I616" i="32"/>
  <c r="I617" i="32"/>
  <c r="I618" i="32"/>
  <c r="I619" i="32"/>
  <c r="I620" i="32"/>
  <c r="I621" i="32"/>
  <c r="I622" i="32"/>
  <c r="I623" i="32"/>
  <c r="I624" i="32"/>
  <c r="I625" i="32"/>
  <c r="I626" i="32"/>
  <c r="I627" i="32"/>
  <c r="I628" i="32"/>
  <c r="I629" i="32"/>
  <c r="I630" i="32"/>
  <c r="I631" i="32"/>
  <c r="I632" i="32"/>
  <c r="I633" i="32"/>
  <c r="I634" i="32"/>
  <c r="I635" i="32"/>
  <c r="I636" i="32"/>
  <c r="I637" i="32"/>
  <c r="I638" i="32"/>
  <c r="I639" i="32"/>
  <c r="I640" i="32"/>
  <c r="I641" i="32"/>
  <c r="I642" i="32"/>
  <c r="I643" i="32"/>
  <c r="I644" i="32"/>
  <c r="I645" i="32"/>
  <c r="I646" i="32"/>
  <c r="I647" i="32"/>
  <c r="I648" i="32"/>
  <c r="I649" i="32"/>
  <c r="I650" i="32"/>
  <c r="I651" i="32"/>
  <c r="I652" i="32"/>
  <c r="I653" i="32"/>
  <c r="I654" i="32"/>
  <c r="I655" i="32"/>
  <c r="I656" i="32"/>
  <c r="I657" i="32"/>
  <c r="I658" i="32"/>
  <c r="I659" i="32"/>
  <c r="I660" i="32"/>
  <c r="I661" i="32"/>
  <c r="I662" i="32"/>
  <c r="I663" i="32"/>
  <c r="I664" i="32"/>
  <c r="I665" i="32"/>
  <c r="I666" i="32"/>
  <c r="I667" i="32"/>
  <c r="I668" i="32"/>
  <c r="I669" i="32"/>
  <c r="I670" i="32"/>
  <c r="I671" i="32"/>
  <c r="I672" i="32"/>
  <c r="I673" i="32"/>
  <c r="I674" i="32"/>
  <c r="I675" i="32"/>
  <c r="I676" i="32"/>
  <c r="I677" i="32"/>
  <c r="I678" i="32"/>
  <c r="I679" i="32"/>
  <c r="I680" i="32"/>
  <c r="I681" i="32"/>
  <c r="I682" i="32"/>
  <c r="I683" i="32"/>
  <c r="I684" i="32"/>
  <c r="I685" i="32"/>
  <c r="I686" i="32"/>
  <c r="I687" i="32"/>
  <c r="I688" i="32"/>
  <c r="I689" i="32"/>
  <c r="I690" i="32"/>
  <c r="I691" i="32"/>
  <c r="I692" i="32"/>
  <c r="I693" i="32"/>
  <c r="I694" i="32"/>
  <c r="I695" i="32"/>
  <c r="I696" i="32"/>
  <c r="I697" i="32"/>
  <c r="I698" i="32"/>
  <c r="I699" i="32"/>
  <c r="I700" i="32"/>
  <c r="I701" i="32"/>
  <c r="I702" i="32"/>
  <c r="I703" i="32"/>
  <c r="I704" i="32"/>
  <c r="I705" i="32"/>
  <c r="I706" i="32"/>
  <c r="I707" i="32"/>
  <c r="I708" i="32"/>
  <c r="I709" i="32"/>
  <c r="I710" i="32"/>
  <c r="I711" i="32"/>
  <c r="I712" i="32"/>
  <c r="I713" i="32"/>
  <c r="I714" i="32"/>
  <c r="I715" i="32"/>
  <c r="I716" i="32"/>
  <c r="I717" i="32"/>
  <c r="I718" i="32"/>
  <c r="I719" i="32"/>
  <c r="I720" i="32"/>
  <c r="I721" i="32"/>
  <c r="I722" i="32"/>
  <c r="I723" i="32"/>
  <c r="I724" i="32"/>
  <c r="I725" i="32"/>
  <c r="I726" i="32"/>
  <c r="I727" i="32"/>
  <c r="I728" i="32"/>
  <c r="I729" i="32"/>
  <c r="I730" i="32"/>
  <c r="I731" i="32"/>
  <c r="I732" i="32"/>
  <c r="I733" i="32"/>
  <c r="I734" i="32"/>
  <c r="I735" i="32"/>
  <c r="I736" i="32"/>
  <c r="I737" i="32"/>
  <c r="I738" i="32"/>
  <c r="I739" i="32"/>
  <c r="I740" i="32"/>
  <c r="I741" i="32"/>
  <c r="I742" i="32"/>
  <c r="I743" i="32"/>
  <c r="I744" i="32"/>
  <c r="I745" i="32"/>
  <c r="I746" i="32"/>
  <c r="I747" i="32"/>
  <c r="I748" i="32"/>
  <c r="I749" i="32"/>
  <c r="I750" i="32"/>
  <c r="I751" i="32"/>
  <c r="I752" i="32"/>
  <c r="I753" i="32"/>
  <c r="I754" i="32"/>
  <c r="I755" i="32"/>
  <c r="I756" i="32"/>
  <c r="I757" i="32"/>
  <c r="I758" i="32"/>
  <c r="I759" i="32"/>
  <c r="I760" i="32"/>
  <c r="I761" i="32"/>
  <c r="I762" i="32"/>
  <c r="I763" i="32"/>
  <c r="I764" i="32"/>
  <c r="I765" i="32"/>
  <c r="I766" i="32"/>
  <c r="I767" i="32"/>
  <c r="I768" i="32"/>
  <c r="I769" i="32"/>
  <c r="I770" i="32"/>
  <c r="I771" i="32"/>
  <c r="I772" i="32"/>
  <c r="I773" i="32"/>
  <c r="I774" i="32"/>
  <c r="I775" i="32"/>
  <c r="I776" i="32"/>
  <c r="I777" i="32"/>
  <c r="I778" i="32"/>
  <c r="I779" i="32"/>
  <c r="I780" i="32"/>
  <c r="I781" i="32"/>
  <c r="I782" i="32"/>
  <c r="I783" i="32"/>
  <c r="I784" i="32"/>
  <c r="I785" i="32"/>
  <c r="I786" i="32"/>
  <c r="I787" i="32"/>
  <c r="I788" i="32"/>
  <c r="I789" i="32"/>
  <c r="I790" i="32"/>
  <c r="I791" i="32"/>
  <c r="I792" i="32"/>
  <c r="I793" i="32"/>
  <c r="I794" i="32"/>
  <c r="I795" i="32"/>
  <c r="I796" i="32"/>
  <c r="I797" i="32"/>
  <c r="I798" i="32"/>
  <c r="I799" i="32"/>
  <c r="I800" i="32"/>
  <c r="I801" i="32"/>
  <c r="I802" i="32"/>
  <c r="I803" i="32"/>
  <c r="I804" i="32"/>
  <c r="I805" i="32"/>
  <c r="I806" i="32"/>
  <c r="I807" i="32"/>
  <c r="I808" i="32"/>
  <c r="I809" i="32"/>
  <c r="I810" i="32"/>
  <c r="I811" i="32"/>
  <c r="I812" i="32"/>
  <c r="I813" i="32"/>
  <c r="I814" i="32"/>
  <c r="I815" i="32"/>
  <c r="I816" i="32"/>
  <c r="I817" i="32"/>
  <c r="I818" i="32"/>
  <c r="I819" i="32"/>
  <c r="I820" i="32"/>
  <c r="I821" i="32"/>
  <c r="I822" i="32"/>
  <c r="I823" i="32"/>
  <c r="I824" i="32"/>
  <c r="I825" i="32"/>
  <c r="I826" i="32"/>
  <c r="I827" i="32"/>
  <c r="I828" i="32"/>
  <c r="I829" i="32"/>
  <c r="I830" i="32"/>
  <c r="I831" i="32"/>
  <c r="I832" i="32"/>
  <c r="I833" i="32"/>
  <c r="I834" i="32"/>
  <c r="I835" i="32"/>
  <c r="I836" i="32"/>
  <c r="I837" i="32"/>
  <c r="I838" i="32"/>
  <c r="I839" i="32"/>
  <c r="I840" i="32"/>
  <c r="I841" i="32"/>
  <c r="I842" i="32"/>
  <c r="I843" i="32"/>
  <c r="I844" i="32"/>
  <c r="I845" i="32"/>
  <c r="I846" i="32"/>
  <c r="I847" i="32"/>
  <c r="I848" i="32"/>
  <c r="I849" i="32"/>
  <c r="I850" i="32"/>
  <c r="I851" i="32"/>
  <c r="I852" i="32"/>
  <c r="I853" i="32"/>
  <c r="I854" i="32"/>
  <c r="I855" i="32"/>
  <c r="I856" i="32"/>
  <c r="I857" i="32"/>
  <c r="I858" i="32"/>
  <c r="I859" i="32"/>
  <c r="I860" i="32"/>
  <c r="I861" i="32"/>
  <c r="I862" i="32"/>
  <c r="I863" i="32"/>
  <c r="I864" i="32"/>
  <c r="I865" i="32"/>
  <c r="I866" i="32"/>
  <c r="I867" i="32"/>
  <c r="I868" i="32"/>
  <c r="I869" i="32"/>
  <c r="I870" i="32"/>
  <c r="I871" i="32"/>
  <c r="I872" i="32"/>
  <c r="I873" i="32"/>
  <c r="I874" i="32"/>
  <c r="I875" i="32"/>
  <c r="I876" i="32"/>
  <c r="I877" i="32"/>
  <c r="I878" i="32"/>
  <c r="I879" i="32"/>
  <c r="D40" i="28" s="1"/>
  <c r="I880" i="32"/>
  <c r="E40" i="28" s="1"/>
  <c r="I881" i="32"/>
  <c r="F40" i="28" s="1"/>
  <c r="I882" i="32"/>
  <c r="G40" i="28" s="1"/>
  <c r="I883" i="32"/>
  <c r="H40" i="28" s="1"/>
  <c r="I884" i="32"/>
  <c r="I40" i="28" s="1"/>
  <c r="I885" i="32"/>
  <c r="J40" i="28" s="1"/>
  <c r="I886" i="32"/>
  <c r="K40" i="28" s="1"/>
  <c r="I887" i="32"/>
  <c r="L40" i="28" s="1"/>
  <c r="I888" i="32"/>
  <c r="M40" i="28" s="1"/>
  <c r="I889" i="32"/>
  <c r="N40" i="28" s="1"/>
  <c r="I890" i="32"/>
  <c r="O40" i="28" s="1"/>
  <c r="I891" i="32"/>
  <c r="P40" i="28" s="1"/>
  <c r="I892" i="32"/>
  <c r="Q40" i="28" s="1"/>
  <c r="I893" i="32"/>
  <c r="R40" i="28" s="1"/>
  <c r="I894" i="32"/>
  <c r="S40" i="28" s="1"/>
  <c r="I895" i="32"/>
  <c r="T40" i="28" s="1"/>
  <c r="I896" i="32"/>
  <c r="U40" i="28" s="1"/>
  <c r="I897" i="32"/>
  <c r="V40" i="28" s="1"/>
  <c r="I898" i="32"/>
  <c r="W40" i="28" s="1"/>
  <c r="I899" i="32"/>
  <c r="X40" i="28" s="1"/>
  <c r="I900" i="32"/>
  <c r="Y40" i="28" s="1"/>
  <c r="I901" i="32"/>
  <c r="Z40" i="28" s="1"/>
  <c r="I902" i="32"/>
  <c r="AA40" i="28" s="1"/>
  <c r="I903" i="32"/>
  <c r="AB40" i="28" s="1"/>
  <c r="I904" i="32"/>
  <c r="AC40" i="28" s="1"/>
  <c r="I905" i="32"/>
  <c r="AD40" i="28" s="1"/>
  <c r="I906" i="32"/>
  <c r="AE40" i="28" s="1"/>
  <c r="I907" i="32"/>
  <c r="AF40" i="28" s="1"/>
  <c r="I908" i="32"/>
  <c r="AG40" i="28" s="1"/>
  <c r="I909" i="32"/>
  <c r="AH40" i="28" s="1"/>
  <c r="I910" i="32"/>
  <c r="AI40" i="28" s="1"/>
  <c r="I911" i="32"/>
  <c r="AJ40" i="28" s="1"/>
  <c r="I912" i="32"/>
  <c r="AK40" i="28" s="1"/>
  <c r="I913" i="32"/>
  <c r="AL40" i="28" s="1"/>
  <c r="I136" i="32"/>
  <c r="G526" i="33"/>
  <c r="K29" i="28" s="1"/>
  <c r="F526" i="33"/>
  <c r="K24" i="28" s="1"/>
  <c r="G525" i="33"/>
  <c r="J29" i="28" s="1"/>
  <c r="F525" i="33"/>
  <c r="J24" i="28" s="1"/>
  <c r="G524" i="33"/>
  <c r="I29" i="28" s="1"/>
  <c r="F524" i="33"/>
  <c r="I24" i="28" s="1"/>
  <c r="G523" i="33"/>
  <c r="H29" i="28" s="1"/>
  <c r="F523" i="33"/>
  <c r="H24" i="28" s="1"/>
  <c r="G522" i="33"/>
  <c r="G29" i="28" s="1"/>
  <c r="F522" i="33"/>
  <c r="G24" i="28" s="1"/>
  <c r="G521" i="33"/>
  <c r="F29" i="28" s="1"/>
  <c r="F521" i="33"/>
  <c r="F24" i="28" s="1"/>
  <c r="G520" i="33"/>
  <c r="E29" i="28" s="1"/>
  <c r="F520" i="33"/>
  <c r="E24" i="28" s="1"/>
  <c r="G519" i="33"/>
  <c r="D29" i="28" s="1"/>
  <c r="F519" i="33"/>
  <c r="D24" i="28" s="1"/>
  <c r="G518" i="33"/>
  <c r="F518" i="33"/>
  <c r="G517" i="33"/>
  <c r="F517" i="33"/>
  <c r="G516" i="33"/>
  <c r="F516" i="33"/>
  <c r="G515" i="33"/>
  <c r="F515" i="33"/>
  <c r="G514" i="33"/>
  <c r="F514" i="33"/>
  <c r="G513" i="33"/>
  <c r="F513" i="33"/>
  <c r="G512" i="33"/>
  <c r="F512" i="33"/>
  <c r="G511" i="33"/>
  <c r="F511" i="33"/>
  <c r="G510" i="33"/>
  <c r="F510" i="33"/>
  <c r="G509" i="33"/>
  <c r="F509" i="33"/>
  <c r="G508" i="33"/>
  <c r="F508" i="33"/>
  <c r="G507" i="33"/>
  <c r="F507" i="33"/>
  <c r="G506" i="33"/>
  <c r="F506" i="33"/>
  <c r="G505" i="33"/>
  <c r="F505" i="33"/>
  <c r="G504" i="33"/>
  <c r="F504" i="33"/>
  <c r="G503" i="33"/>
  <c r="F503" i="33"/>
  <c r="G502" i="33"/>
  <c r="F502" i="33"/>
  <c r="G501" i="33"/>
  <c r="F501" i="33"/>
  <c r="G500" i="33"/>
  <c r="F500" i="33"/>
  <c r="G499" i="33"/>
  <c r="F499" i="33"/>
  <c r="G498" i="33"/>
  <c r="F498" i="33"/>
  <c r="G497" i="33"/>
  <c r="F497" i="33"/>
  <c r="G496" i="33"/>
  <c r="F496" i="33"/>
  <c r="G495" i="33"/>
  <c r="F495" i="33"/>
  <c r="G494" i="33"/>
  <c r="F494" i="33"/>
  <c r="G493" i="33"/>
  <c r="F493" i="33"/>
  <c r="G492" i="33"/>
  <c r="F492" i="33"/>
  <c r="G491" i="33"/>
  <c r="F491" i="33"/>
  <c r="G490" i="33"/>
  <c r="F490" i="33"/>
  <c r="G489" i="33"/>
  <c r="F489" i="33"/>
  <c r="G488" i="33"/>
  <c r="F488" i="33"/>
  <c r="G487" i="33"/>
  <c r="F487" i="33"/>
  <c r="G486" i="33"/>
  <c r="F486" i="33"/>
  <c r="G485" i="33"/>
  <c r="F485" i="33"/>
  <c r="G484" i="33"/>
  <c r="F484" i="33"/>
  <c r="G483" i="33"/>
  <c r="F483" i="33"/>
  <c r="G482" i="33"/>
  <c r="F482" i="33"/>
  <c r="G481" i="33"/>
  <c r="F481" i="33"/>
  <c r="G480" i="33"/>
  <c r="F480" i="33"/>
  <c r="G479" i="33"/>
  <c r="F479" i="33"/>
  <c r="G478" i="33"/>
  <c r="F478" i="33"/>
  <c r="G477" i="33"/>
  <c r="F477" i="33"/>
  <c r="G476" i="33"/>
  <c r="F476" i="33"/>
  <c r="G475" i="33"/>
  <c r="F475" i="33"/>
  <c r="G474" i="33"/>
  <c r="F474" i="33"/>
  <c r="G473" i="33"/>
  <c r="F473" i="33"/>
  <c r="G472" i="33"/>
  <c r="F472" i="33"/>
  <c r="G471" i="33"/>
  <c r="F471" i="33"/>
  <c r="G470" i="33"/>
  <c r="F470" i="33"/>
  <c r="G469" i="33"/>
  <c r="F469" i="33"/>
  <c r="G468" i="33"/>
  <c r="F468" i="33"/>
  <c r="G467" i="33"/>
  <c r="F467" i="33"/>
  <c r="G466" i="33"/>
  <c r="F466" i="33"/>
  <c r="G465" i="33"/>
  <c r="F465" i="33"/>
  <c r="G464" i="33"/>
  <c r="F464" i="33"/>
  <c r="G463" i="33"/>
  <c r="F463" i="33"/>
  <c r="G462" i="33"/>
  <c r="F462" i="33"/>
  <c r="G461" i="33"/>
  <c r="F461" i="33"/>
  <c r="G460" i="33"/>
  <c r="F460" i="33"/>
  <c r="G459" i="33"/>
  <c r="F459" i="33"/>
  <c r="G458" i="33"/>
  <c r="F458" i="33"/>
  <c r="G457" i="33"/>
  <c r="F457" i="33"/>
  <c r="G456" i="33"/>
  <c r="F456" i="33"/>
  <c r="G455" i="33"/>
  <c r="F455" i="33"/>
  <c r="G454" i="33"/>
  <c r="F454" i="33"/>
  <c r="G453" i="33"/>
  <c r="F453" i="33"/>
  <c r="G452" i="33"/>
  <c r="F452" i="33"/>
  <c r="G451" i="33"/>
  <c r="F451" i="33"/>
  <c r="G450" i="33"/>
  <c r="F450" i="33"/>
  <c r="G449" i="33"/>
  <c r="F449" i="33"/>
  <c r="G448" i="33"/>
  <c r="F448" i="33"/>
  <c r="G447" i="33"/>
  <c r="F447" i="33"/>
  <c r="G446" i="33"/>
  <c r="F446" i="33"/>
  <c r="G445" i="33"/>
  <c r="F445" i="33"/>
  <c r="G444" i="33"/>
  <c r="F444" i="33"/>
  <c r="G443" i="33"/>
  <c r="F443" i="33"/>
  <c r="G442" i="33"/>
  <c r="F442" i="33"/>
  <c r="G441" i="33"/>
  <c r="F441" i="33"/>
  <c r="G440" i="33"/>
  <c r="F440" i="33"/>
  <c r="G439" i="33"/>
  <c r="F439" i="33"/>
  <c r="G438" i="33"/>
  <c r="F438" i="33"/>
  <c r="G437" i="33"/>
  <c r="F437" i="33"/>
  <c r="G436" i="33"/>
  <c r="F436" i="33"/>
  <c r="G435" i="33"/>
  <c r="F435" i="33"/>
  <c r="G434" i="33"/>
  <c r="F434" i="33"/>
  <c r="G433" i="33"/>
  <c r="F433" i="33"/>
  <c r="G432" i="33"/>
  <c r="F432" i="33"/>
  <c r="G431" i="33"/>
  <c r="F431" i="33"/>
  <c r="G430" i="33"/>
  <c r="F430" i="33"/>
  <c r="G429" i="33"/>
  <c r="F429" i="33"/>
  <c r="G428" i="33"/>
  <c r="F428" i="33"/>
  <c r="G427" i="33"/>
  <c r="F427" i="33"/>
  <c r="G426" i="33"/>
  <c r="F426" i="33"/>
  <c r="G425" i="33"/>
  <c r="F425" i="33"/>
  <c r="G424" i="33"/>
  <c r="F424" i="33"/>
  <c r="G423" i="33"/>
  <c r="F423" i="33"/>
  <c r="G422" i="33"/>
  <c r="F422" i="33"/>
  <c r="G421" i="33"/>
  <c r="F421" i="33"/>
  <c r="G420" i="33"/>
  <c r="F420" i="33"/>
  <c r="G419" i="33"/>
  <c r="F419" i="33"/>
  <c r="G418" i="33"/>
  <c r="F418" i="33"/>
  <c r="G417" i="33"/>
  <c r="F417" i="33"/>
  <c r="G416" i="33"/>
  <c r="F416" i="33"/>
  <c r="G415" i="33"/>
  <c r="F415" i="33"/>
  <c r="G414" i="33"/>
  <c r="F414" i="33"/>
  <c r="G413" i="33"/>
  <c r="F413" i="33"/>
  <c r="G412" i="33"/>
  <c r="F412" i="33"/>
  <c r="G411" i="33"/>
  <c r="F411" i="33"/>
  <c r="G410" i="33"/>
  <c r="F410" i="33"/>
  <c r="G409" i="33"/>
  <c r="F409" i="33"/>
  <c r="G408" i="33"/>
  <c r="F408" i="33"/>
  <c r="G407" i="33"/>
  <c r="F407" i="33"/>
  <c r="G406" i="33"/>
  <c r="F406" i="33"/>
  <c r="G405" i="33"/>
  <c r="F405" i="33"/>
  <c r="G404" i="33"/>
  <c r="F404" i="33"/>
  <c r="G403" i="33"/>
  <c r="F403" i="33"/>
  <c r="G402" i="33"/>
  <c r="F402" i="33"/>
  <c r="G401" i="33"/>
  <c r="F401" i="33"/>
  <c r="G400" i="33"/>
  <c r="F400" i="33"/>
  <c r="G399" i="33"/>
  <c r="F399" i="33"/>
  <c r="G398" i="33"/>
  <c r="F398" i="33"/>
  <c r="G397" i="33"/>
  <c r="F397" i="33"/>
  <c r="G396" i="33"/>
  <c r="F396" i="33"/>
  <c r="G395" i="33"/>
  <c r="F395" i="33"/>
  <c r="G394" i="33"/>
  <c r="F394" i="33"/>
  <c r="G393" i="33"/>
  <c r="F393" i="33"/>
  <c r="G392" i="33"/>
  <c r="F392" i="33"/>
  <c r="G391" i="33"/>
  <c r="F391" i="33"/>
  <c r="G390" i="33"/>
  <c r="F390" i="33"/>
  <c r="G389" i="33"/>
  <c r="F389" i="33"/>
  <c r="G388" i="33"/>
  <c r="F388" i="33"/>
  <c r="G387" i="33"/>
  <c r="F387" i="33"/>
  <c r="G386" i="33"/>
  <c r="F386" i="33"/>
  <c r="G385" i="33"/>
  <c r="F385" i="33"/>
  <c r="G384" i="33"/>
  <c r="F384" i="33"/>
  <c r="G383" i="33"/>
  <c r="F383" i="33"/>
  <c r="G382" i="33"/>
  <c r="F382" i="33"/>
  <c r="G381" i="33"/>
  <c r="F381" i="33"/>
  <c r="G380" i="33"/>
  <c r="F380" i="33"/>
  <c r="G379" i="33"/>
  <c r="F379" i="33"/>
  <c r="G378" i="33"/>
  <c r="F378" i="33"/>
  <c r="G377" i="33"/>
  <c r="F377" i="33"/>
  <c r="G376" i="33"/>
  <c r="F376" i="33"/>
  <c r="G375" i="33"/>
  <c r="F375" i="33"/>
  <c r="G374" i="33"/>
  <c r="F374" i="33"/>
  <c r="G373" i="33"/>
  <c r="F373" i="33"/>
  <c r="G372" i="33"/>
  <c r="F372" i="33"/>
  <c r="G371" i="33"/>
  <c r="F371" i="33"/>
  <c r="G370" i="33"/>
  <c r="F370" i="33"/>
  <c r="G369" i="33"/>
  <c r="F369" i="33"/>
  <c r="G368" i="33"/>
  <c r="F368" i="33"/>
  <c r="G367" i="33"/>
  <c r="F367" i="33"/>
  <c r="G366" i="33"/>
  <c r="F366" i="33"/>
  <c r="G365" i="33"/>
  <c r="F365" i="33"/>
  <c r="G364" i="33"/>
  <c r="F364" i="33"/>
  <c r="G363" i="33"/>
  <c r="F363" i="33"/>
  <c r="G362" i="33"/>
  <c r="F362" i="33"/>
  <c r="G361" i="33"/>
  <c r="F361" i="33"/>
  <c r="G360" i="33"/>
  <c r="F360" i="33"/>
  <c r="G359" i="33"/>
  <c r="F359" i="33"/>
  <c r="G358" i="33"/>
  <c r="F358" i="33"/>
  <c r="G357" i="33"/>
  <c r="F357" i="33"/>
  <c r="G356" i="33"/>
  <c r="F356" i="33"/>
  <c r="G355" i="33"/>
  <c r="F355" i="33"/>
  <c r="G354" i="33"/>
  <c r="F354" i="33"/>
  <c r="G353" i="33"/>
  <c r="F353" i="33"/>
  <c r="G352" i="33"/>
  <c r="F352" i="33"/>
  <c r="G351" i="33"/>
  <c r="F351" i="33"/>
  <c r="G350" i="33"/>
  <c r="F350" i="33"/>
  <c r="G349" i="33"/>
  <c r="F349" i="33"/>
  <c r="G348" i="33"/>
  <c r="F348" i="33"/>
  <c r="G347" i="33"/>
  <c r="F347" i="33"/>
  <c r="G346" i="33"/>
  <c r="F346" i="33"/>
  <c r="G345" i="33"/>
  <c r="F345" i="33"/>
  <c r="G344" i="33"/>
  <c r="F344" i="33"/>
  <c r="G343" i="33"/>
  <c r="F343" i="33"/>
  <c r="G342" i="33"/>
  <c r="F342" i="33"/>
  <c r="G341" i="33"/>
  <c r="F341" i="33"/>
  <c r="G340" i="33"/>
  <c r="F340" i="33"/>
  <c r="G339" i="33"/>
  <c r="F339" i="33"/>
  <c r="G338" i="33"/>
  <c r="F338" i="33"/>
  <c r="G337" i="33"/>
  <c r="F337" i="33"/>
  <c r="G336" i="33"/>
  <c r="F336" i="33"/>
  <c r="G335" i="33"/>
  <c r="F335" i="33"/>
  <c r="G334" i="33"/>
  <c r="F334" i="33"/>
  <c r="G333" i="33"/>
  <c r="F333" i="33"/>
  <c r="G332" i="33"/>
  <c r="F332" i="33"/>
  <c r="G331" i="33"/>
  <c r="F331" i="33"/>
  <c r="G330" i="33"/>
  <c r="F330" i="33"/>
  <c r="G329" i="33"/>
  <c r="F329" i="33"/>
  <c r="G328" i="33"/>
  <c r="F328" i="33"/>
  <c r="G327" i="33"/>
  <c r="F327" i="33"/>
  <c r="G326" i="33"/>
  <c r="F326" i="33"/>
  <c r="G325" i="33"/>
  <c r="F325" i="33"/>
  <c r="G324" i="33"/>
  <c r="F324" i="33"/>
  <c r="G323" i="33"/>
  <c r="F323" i="33"/>
  <c r="G322" i="33"/>
  <c r="F322" i="33"/>
  <c r="G321" i="33"/>
  <c r="F321" i="33"/>
  <c r="G320" i="33"/>
  <c r="F320" i="33"/>
  <c r="G319" i="33"/>
  <c r="F319" i="33"/>
  <c r="G318" i="33"/>
  <c r="F318" i="33"/>
  <c r="G317" i="33"/>
  <c r="F317" i="33"/>
  <c r="G316" i="33"/>
  <c r="F316" i="33"/>
  <c r="G315" i="33"/>
  <c r="F315" i="33"/>
  <c r="G314" i="33"/>
  <c r="F314" i="33"/>
  <c r="G313" i="33"/>
  <c r="F313" i="33"/>
  <c r="G312" i="33"/>
  <c r="F312" i="33"/>
  <c r="G311" i="33"/>
  <c r="F311" i="33"/>
  <c r="G310" i="33"/>
  <c r="F310" i="33"/>
  <c r="G309" i="33"/>
  <c r="F309" i="33"/>
  <c r="G308" i="33"/>
  <c r="F308" i="33"/>
  <c r="G307" i="33"/>
  <c r="F307" i="33"/>
  <c r="G306" i="33"/>
  <c r="F306" i="33"/>
  <c r="G305" i="33"/>
  <c r="F305" i="33"/>
  <c r="G304" i="33"/>
  <c r="F304" i="33"/>
  <c r="G303" i="33"/>
  <c r="F303" i="33"/>
  <c r="G302" i="33"/>
  <c r="F302" i="33"/>
  <c r="G301" i="33"/>
  <c r="F301" i="33"/>
  <c r="G300" i="33"/>
  <c r="F300" i="33"/>
  <c r="G299" i="33"/>
  <c r="F299" i="33"/>
  <c r="G298" i="33"/>
  <c r="F298" i="33"/>
  <c r="G297" i="33"/>
  <c r="F297" i="33"/>
  <c r="G296" i="33"/>
  <c r="F296" i="33"/>
  <c r="G295" i="33"/>
  <c r="F295" i="33"/>
  <c r="G294" i="33"/>
  <c r="F294" i="33"/>
  <c r="G293" i="33"/>
  <c r="F293" i="33"/>
  <c r="G292" i="33"/>
  <c r="F292" i="33"/>
  <c r="G291" i="33"/>
  <c r="F291" i="33"/>
  <c r="G290" i="33"/>
  <c r="F290" i="33"/>
  <c r="G289" i="33"/>
  <c r="F289" i="33"/>
  <c r="G288" i="33"/>
  <c r="F288" i="33"/>
  <c r="G287" i="33"/>
  <c r="F287" i="33"/>
  <c r="G286" i="33"/>
  <c r="F286" i="33"/>
  <c r="G285" i="33"/>
  <c r="F285" i="33"/>
  <c r="G284" i="33"/>
  <c r="F284" i="33"/>
  <c r="G283" i="33"/>
  <c r="F283" i="33"/>
  <c r="G282" i="33"/>
  <c r="F282" i="33"/>
  <c r="G281" i="33"/>
  <c r="F281" i="33"/>
  <c r="G280" i="33"/>
  <c r="F280" i="33"/>
  <c r="G279" i="33"/>
  <c r="F279" i="33"/>
  <c r="G278" i="33"/>
  <c r="F278" i="33"/>
  <c r="G277" i="33"/>
  <c r="F277" i="33"/>
  <c r="G276" i="33"/>
  <c r="F276" i="33"/>
  <c r="G275" i="33"/>
  <c r="F275" i="33"/>
  <c r="G274" i="33"/>
  <c r="F274" i="33"/>
  <c r="G273" i="33"/>
  <c r="F273" i="33"/>
  <c r="G272" i="33"/>
  <c r="F272" i="33"/>
  <c r="G271" i="33"/>
  <c r="F271" i="33"/>
  <c r="G270" i="33"/>
  <c r="F270" i="33"/>
  <c r="G269" i="33"/>
  <c r="F269" i="33"/>
  <c r="G268" i="33"/>
  <c r="F268" i="33"/>
  <c r="G267" i="33"/>
  <c r="F267" i="33"/>
  <c r="G266" i="33"/>
  <c r="F266" i="33"/>
  <c r="G265" i="33"/>
  <c r="F265" i="33"/>
  <c r="G264" i="33"/>
  <c r="F264" i="33"/>
  <c r="G263" i="33"/>
  <c r="F263" i="33"/>
  <c r="G262" i="33"/>
  <c r="F262" i="33"/>
  <c r="G261" i="33"/>
  <c r="F261" i="33"/>
  <c r="G260" i="33"/>
  <c r="F260" i="33"/>
  <c r="G259" i="33"/>
  <c r="F259" i="33"/>
  <c r="G258" i="33"/>
  <c r="F258" i="33"/>
  <c r="G257" i="33"/>
  <c r="F257" i="33"/>
  <c r="G256" i="33"/>
  <c r="F256" i="33"/>
  <c r="G255" i="33"/>
  <c r="F255" i="33"/>
  <c r="G254" i="33"/>
  <c r="F254" i="33"/>
  <c r="G253" i="33"/>
  <c r="F253" i="33"/>
  <c r="G252" i="33"/>
  <c r="F252" i="33"/>
  <c r="G251" i="33"/>
  <c r="F251" i="33"/>
  <c r="G250" i="33"/>
  <c r="F250" i="33"/>
  <c r="G249" i="33"/>
  <c r="F249" i="33"/>
  <c r="G248" i="33"/>
  <c r="F248" i="33"/>
  <c r="G247" i="33"/>
  <c r="F247" i="33"/>
  <c r="G246" i="33"/>
  <c r="F246" i="33"/>
  <c r="G245" i="33"/>
  <c r="F245" i="33"/>
  <c r="G244" i="33"/>
  <c r="F244" i="33"/>
  <c r="G243" i="33"/>
  <c r="F243" i="33"/>
  <c r="G242" i="33"/>
  <c r="F242" i="33"/>
  <c r="G241" i="33"/>
  <c r="F241" i="33"/>
  <c r="G240" i="33"/>
  <c r="F240" i="33"/>
  <c r="G239" i="33"/>
  <c r="F239" i="33"/>
  <c r="G238" i="33"/>
  <c r="F238" i="33"/>
  <c r="G237" i="33"/>
  <c r="F237" i="33"/>
  <c r="G236" i="33"/>
  <c r="F236" i="33"/>
  <c r="G235" i="33"/>
  <c r="F235" i="33"/>
  <c r="G234" i="33"/>
  <c r="F234" i="33"/>
  <c r="G233" i="33"/>
  <c r="F233" i="33"/>
  <c r="G232" i="33"/>
  <c r="F232" i="33"/>
  <c r="G231" i="33"/>
  <c r="F231" i="33"/>
  <c r="G230" i="33"/>
  <c r="F230" i="33"/>
  <c r="G229" i="33"/>
  <c r="F229" i="33"/>
  <c r="G228" i="33"/>
  <c r="F228" i="33"/>
  <c r="G227" i="33"/>
  <c r="F227" i="33"/>
  <c r="G226" i="33"/>
  <c r="F226" i="33"/>
  <c r="G225" i="33"/>
  <c r="F225" i="33"/>
  <c r="G224" i="33"/>
  <c r="F224" i="33"/>
  <c r="G223" i="33"/>
  <c r="F223" i="33"/>
  <c r="G222" i="33"/>
  <c r="F222" i="33"/>
  <c r="G221" i="33"/>
  <c r="F221" i="33"/>
  <c r="G220" i="33"/>
  <c r="F220" i="33"/>
  <c r="G219" i="33"/>
  <c r="F219" i="33"/>
  <c r="G218" i="33"/>
  <c r="F218" i="33"/>
  <c r="G217" i="33"/>
  <c r="F217" i="33"/>
  <c r="G216" i="33"/>
  <c r="F216" i="33"/>
  <c r="G215" i="33"/>
  <c r="F215" i="33"/>
  <c r="G214" i="33"/>
  <c r="F214" i="33"/>
  <c r="G213" i="33"/>
  <c r="F213" i="33"/>
  <c r="G212" i="33"/>
  <c r="F212" i="33"/>
  <c r="G211" i="33"/>
  <c r="F211" i="33"/>
  <c r="G210" i="33"/>
  <c r="F210" i="33"/>
  <c r="G209" i="33"/>
  <c r="F209" i="33"/>
  <c r="G208" i="33"/>
  <c r="F208" i="33"/>
  <c r="G207" i="33"/>
  <c r="F207" i="33"/>
  <c r="G206" i="33"/>
  <c r="F206" i="33"/>
  <c r="G205" i="33"/>
  <c r="F205" i="33"/>
  <c r="G204" i="33"/>
  <c r="F204" i="33"/>
  <c r="G203" i="33"/>
  <c r="F203" i="33"/>
  <c r="G202" i="33"/>
  <c r="F202" i="33"/>
  <c r="G201" i="33"/>
  <c r="F201" i="33"/>
  <c r="G200" i="33"/>
  <c r="F200" i="33"/>
  <c r="G199" i="33"/>
  <c r="F199" i="33"/>
  <c r="G198" i="33"/>
  <c r="F198" i="33"/>
  <c r="G197" i="33"/>
  <c r="F197" i="33"/>
  <c r="G196" i="33"/>
  <c r="F196" i="33"/>
  <c r="G195" i="33"/>
  <c r="F195" i="33"/>
  <c r="G194" i="33"/>
  <c r="F194" i="33"/>
  <c r="G193" i="33"/>
  <c r="F193" i="33"/>
  <c r="G192" i="33"/>
  <c r="F192" i="33"/>
  <c r="G191" i="33"/>
  <c r="F191" i="33"/>
  <c r="G190" i="33"/>
  <c r="F190" i="33"/>
  <c r="G189" i="33"/>
  <c r="F189" i="33"/>
  <c r="G188" i="33"/>
  <c r="F188" i="33"/>
  <c r="G187" i="33"/>
  <c r="F187" i="33"/>
  <c r="G186" i="33"/>
  <c r="F186" i="33"/>
  <c r="G185" i="33"/>
  <c r="F185" i="33"/>
  <c r="G184" i="33"/>
  <c r="F184" i="33"/>
  <c r="G183" i="33"/>
  <c r="F183" i="33"/>
  <c r="G182" i="33"/>
  <c r="F182" i="33"/>
  <c r="G181" i="33"/>
  <c r="F181" i="33"/>
  <c r="G180" i="33"/>
  <c r="F180" i="33"/>
  <c r="G179" i="33"/>
  <c r="F179" i="33"/>
  <c r="G178" i="33"/>
  <c r="F178" i="33"/>
  <c r="G177" i="33"/>
  <c r="F177" i="33"/>
  <c r="G176" i="33"/>
  <c r="F176" i="33"/>
  <c r="G175" i="33"/>
  <c r="F175" i="33"/>
  <c r="G174" i="33"/>
  <c r="F174" i="33"/>
  <c r="G173" i="33"/>
  <c r="F173" i="33"/>
  <c r="G172" i="33"/>
  <c r="F172" i="33"/>
  <c r="G171" i="33"/>
  <c r="F171" i="33"/>
  <c r="G170" i="33"/>
  <c r="F170" i="33"/>
  <c r="G169" i="33"/>
  <c r="F169" i="33"/>
  <c r="G168" i="33"/>
  <c r="F168" i="33"/>
  <c r="G167" i="33"/>
  <c r="F167" i="33"/>
  <c r="G166" i="33"/>
  <c r="F166" i="33"/>
  <c r="G165" i="33"/>
  <c r="F165" i="33"/>
  <c r="G164" i="33"/>
  <c r="F164" i="33"/>
  <c r="G163" i="33"/>
  <c r="F163" i="33"/>
  <c r="G162" i="33"/>
  <c r="F162" i="33"/>
  <c r="G161" i="33"/>
  <c r="F161" i="33"/>
  <c r="G160" i="33"/>
  <c r="F160" i="33"/>
  <c r="G159" i="33"/>
  <c r="F159" i="33"/>
  <c r="G158" i="33"/>
  <c r="F158" i="33"/>
  <c r="G157" i="33"/>
  <c r="F157" i="33"/>
  <c r="G156" i="33"/>
  <c r="F156" i="33"/>
  <c r="G155" i="33"/>
  <c r="F155" i="33"/>
  <c r="G154" i="33"/>
  <c r="F154" i="33"/>
  <c r="G153" i="33"/>
  <c r="F153" i="33"/>
  <c r="G152" i="33"/>
  <c r="F152" i="33"/>
  <c r="G151" i="33"/>
  <c r="F151" i="33"/>
  <c r="G150" i="33"/>
  <c r="F150" i="33"/>
  <c r="G149" i="33"/>
  <c r="F149" i="33"/>
  <c r="G148" i="33"/>
  <c r="F148" i="33"/>
  <c r="G147" i="33"/>
  <c r="F147" i="33"/>
  <c r="G146" i="33"/>
  <c r="F146" i="33"/>
  <c r="G145" i="33"/>
  <c r="F145" i="33"/>
  <c r="G144" i="33"/>
  <c r="F144" i="33"/>
  <c r="G143" i="33"/>
  <c r="F143" i="33"/>
  <c r="G142" i="33"/>
  <c r="F142" i="33"/>
  <c r="G141" i="33"/>
  <c r="F141" i="33"/>
  <c r="G140" i="33"/>
  <c r="F140" i="33"/>
  <c r="G139" i="33"/>
  <c r="F139" i="33"/>
  <c r="G138" i="33"/>
  <c r="F138" i="33"/>
  <c r="G137" i="33"/>
  <c r="F137" i="33"/>
  <c r="G136" i="33"/>
  <c r="F136" i="33"/>
  <c r="G135" i="33"/>
  <c r="F135" i="33"/>
  <c r="G134" i="33"/>
  <c r="F134" i="33"/>
  <c r="G133" i="33"/>
  <c r="F133" i="33"/>
  <c r="G132" i="33"/>
  <c r="F132" i="33"/>
  <c r="G131" i="33"/>
  <c r="F131" i="33"/>
  <c r="G130" i="33"/>
  <c r="F130" i="33"/>
  <c r="G129" i="33"/>
  <c r="F129" i="33"/>
  <c r="G128" i="33"/>
  <c r="F128" i="33"/>
  <c r="G127" i="33"/>
  <c r="F127" i="33"/>
  <c r="G126" i="33"/>
  <c r="F126" i="33"/>
  <c r="G125" i="33"/>
  <c r="F125" i="33"/>
  <c r="G124" i="33"/>
  <c r="F124" i="33"/>
  <c r="G123" i="33"/>
  <c r="F123" i="33"/>
  <c r="G122" i="33"/>
  <c r="F122" i="33"/>
  <c r="G121" i="33"/>
  <c r="F121" i="33"/>
  <c r="G120" i="33"/>
  <c r="F120" i="33"/>
  <c r="G119" i="33"/>
  <c r="F119" i="33"/>
  <c r="G118" i="33"/>
  <c r="F118" i="33"/>
  <c r="G117" i="33"/>
  <c r="F117" i="33"/>
  <c r="G116" i="33"/>
  <c r="F116" i="33"/>
  <c r="G115" i="33"/>
  <c r="F115" i="33"/>
  <c r="G114" i="33"/>
  <c r="F114" i="33"/>
  <c r="G113" i="33"/>
  <c r="F113" i="33"/>
  <c r="G112" i="33"/>
  <c r="F112" i="33"/>
  <c r="G111" i="33"/>
  <c r="F111" i="33"/>
  <c r="G110" i="33"/>
  <c r="F110" i="33"/>
  <c r="G109" i="33"/>
  <c r="F109" i="33"/>
  <c r="G108" i="33"/>
  <c r="F108" i="33"/>
  <c r="G107" i="33"/>
  <c r="F107" i="33"/>
  <c r="G106" i="33"/>
  <c r="F106" i="33"/>
  <c r="G105" i="33"/>
  <c r="F105" i="33"/>
  <c r="G104" i="33"/>
  <c r="F104" i="33"/>
  <c r="G103" i="33"/>
  <c r="F103" i="33"/>
  <c r="G102" i="33"/>
  <c r="F102" i="33"/>
  <c r="G101" i="33"/>
  <c r="F101" i="33"/>
  <c r="G100" i="33"/>
  <c r="F100" i="33"/>
  <c r="G99" i="33"/>
  <c r="F99" i="33"/>
  <c r="G98" i="33"/>
  <c r="F98" i="33"/>
  <c r="G97" i="33"/>
  <c r="F97" i="33"/>
  <c r="G96" i="33"/>
  <c r="F96" i="33"/>
  <c r="G95" i="33"/>
  <c r="F95" i="33"/>
  <c r="G94" i="33"/>
  <c r="F94" i="33"/>
  <c r="G93" i="33"/>
  <c r="F93" i="33"/>
  <c r="G92" i="33"/>
  <c r="F92" i="33"/>
  <c r="G91" i="33"/>
  <c r="F91" i="33"/>
  <c r="G90" i="33"/>
  <c r="F90" i="33"/>
  <c r="G89" i="33"/>
  <c r="F89" i="33"/>
  <c r="G88" i="33"/>
  <c r="F88" i="33"/>
  <c r="G87" i="33"/>
  <c r="F87" i="33"/>
  <c r="G86" i="33"/>
  <c r="F86" i="33"/>
  <c r="G85" i="33"/>
  <c r="F85" i="33"/>
  <c r="G84" i="33"/>
  <c r="F84" i="33"/>
  <c r="G83" i="33"/>
  <c r="F83" i="33"/>
  <c r="G82" i="33"/>
  <c r="F82" i="33"/>
  <c r="G81" i="33"/>
  <c r="F81" i="33"/>
  <c r="G80" i="33"/>
  <c r="F80" i="33"/>
  <c r="G79" i="33"/>
  <c r="F79" i="33"/>
  <c r="G78" i="33"/>
  <c r="F78" i="33"/>
  <c r="G77" i="33"/>
  <c r="F77" i="33"/>
  <c r="G76" i="33"/>
  <c r="F76" i="33"/>
  <c r="G75" i="33"/>
  <c r="F75" i="33"/>
  <c r="G74" i="33"/>
  <c r="F74" i="33"/>
  <c r="G73" i="33"/>
  <c r="F73" i="33"/>
  <c r="G72" i="33"/>
  <c r="F72" i="33"/>
  <c r="G71" i="33"/>
  <c r="F71" i="33"/>
  <c r="G70" i="33"/>
  <c r="F70" i="33"/>
  <c r="G69" i="33"/>
  <c r="F69" i="33"/>
  <c r="G68" i="33"/>
  <c r="F68" i="33"/>
  <c r="G67" i="33"/>
  <c r="F67" i="33"/>
  <c r="G66" i="33"/>
  <c r="F66" i="33"/>
  <c r="G65" i="33"/>
  <c r="F65" i="33"/>
  <c r="G64" i="33"/>
  <c r="F64" i="33"/>
  <c r="G63" i="33"/>
  <c r="F63" i="33"/>
  <c r="G62" i="33"/>
  <c r="F62" i="33"/>
  <c r="G61" i="33"/>
  <c r="F61" i="33"/>
  <c r="G60" i="33"/>
  <c r="F60" i="33"/>
  <c r="G59" i="33"/>
  <c r="F59" i="33"/>
  <c r="G58" i="33"/>
  <c r="F58" i="33"/>
  <c r="G57" i="33"/>
  <c r="F57" i="33"/>
  <c r="G56" i="33"/>
  <c r="F56" i="33"/>
  <c r="G55" i="33"/>
  <c r="F55" i="33"/>
  <c r="G54" i="33"/>
  <c r="F54" i="33"/>
  <c r="G53" i="33"/>
  <c r="F53" i="33"/>
  <c r="G52" i="33"/>
  <c r="F52" i="33"/>
  <c r="G51" i="33"/>
  <c r="F51" i="33"/>
  <c r="G50" i="33"/>
  <c r="F50" i="33"/>
  <c r="G49" i="33"/>
  <c r="F49" i="33"/>
  <c r="G48" i="33"/>
  <c r="F48" i="33"/>
  <c r="G47" i="33"/>
  <c r="F47" i="33"/>
  <c r="G46" i="33"/>
  <c r="F46" i="33"/>
  <c r="G45" i="33"/>
  <c r="F45" i="33"/>
  <c r="G44" i="33"/>
  <c r="F44" i="33"/>
  <c r="G43" i="33"/>
  <c r="F43" i="33"/>
  <c r="G42" i="33"/>
  <c r="F42" i="33"/>
  <c r="G41" i="33"/>
  <c r="F41" i="33"/>
  <c r="G40" i="33"/>
  <c r="F40" i="33"/>
  <c r="G39" i="33"/>
  <c r="F39" i="33"/>
  <c r="G38" i="33"/>
  <c r="F38" i="33"/>
  <c r="G37" i="33"/>
  <c r="F37" i="33"/>
  <c r="G36" i="33"/>
  <c r="F36" i="33"/>
  <c r="G35" i="33"/>
  <c r="F35" i="33"/>
  <c r="G34" i="33"/>
  <c r="F34" i="33"/>
  <c r="G33" i="33"/>
  <c r="F33" i="33"/>
  <c r="G32" i="33"/>
  <c r="F32" i="33"/>
  <c r="G31" i="33"/>
  <c r="F31" i="33"/>
  <c r="G30" i="33"/>
  <c r="F30" i="33"/>
  <c r="G29" i="33"/>
  <c r="F29" i="33"/>
  <c r="G28" i="33"/>
  <c r="F28" i="33"/>
  <c r="G27" i="33"/>
  <c r="F27" i="33"/>
  <c r="G26" i="33"/>
  <c r="F26" i="33"/>
  <c r="G25" i="33"/>
  <c r="F25" i="33"/>
  <c r="G24" i="33"/>
  <c r="F24" i="33"/>
  <c r="G23" i="33"/>
  <c r="F23" i="33"/>
  <c r="G22" i="33"/>
  <c r="F22" i="33"/>
  <c r="G21" i="33"/>
  <c r="F21" i="33"/>
  <c r="G20" i="33"/>
  <c r="F20" i="33"/>
  <c r="G19" i="33"/>
  <c r="F19" i="33"/>
  <c r="G18" i="33"/>
  <c r="F18" i="33"/>
  <c r="G17" i="33"/>
  <c r="F17" i="33"/>
  <c r="G16" i="33"/>
  <c r="F16" i="33"/>
  <c r="G15" i="33"/>
  <c r="F15" i="33"/>
  <c r="F14" i="33"/>
  <c r="F13" i="33"/>
  <c r="F12" i="33"/>
  <c r="F11" i="33"/>
  <c r="F10" i="33"/>
  <c r="F9" i="33"/>
  <c r="F8" i="33"/>
  <c r="F7" i="33"/>
  <c r="F6" i="33"/>
  <c r="F5" i="33"/>
  <c r="F4" i="33"/>
  <c r="F528" i="33"/>
  <c r="M24" i="28" s="1"/>
  <c r="G528" i="33"/>
  <c r="M29" i="28" s="1"/>
  <c r="F529" i="33"/>
  <c r="N24" i="28" s="1"/>
  <c r="G529" i="33"/>
  <c r="N29" i="28" s="1"/>
  <c r="F530" i="33"/>
  <c r="O24" i="28" s="1"/>
  <c r="G530" i="33"/>
  <c r="O29" i="28" s="1"/>
  <c r="F531" i="33"/>
  <c r="P24" i="28" s="1"/>
  <c r="G531" i="33"/>
  <c r="P29" i="28" s="1"/>
  <c r="F532" i="33"/>
  <c r="Q24" i="28" s="1"/>
  <c r="G532" i="33"/>
  <c r="Q29" i="28" s="1"/>
  <c r="F533" i="33"/>
  <c r="R24" i="28" s="1"/>
  <c r="G533" i="33"/>
  <c r="R29" i="28" s="1"/>
  <c r="F534" i="33"/>
  <c r="S24" i="28" s="1"/>
  <c r="G534" i="33"/>
  <c r="S29" i="28" s="1"/>
  <c r="F535" i="33"/>
  <c r="T24" i="28" s="1"/>
  <c r="G535" i="33"/>
  <c r="T29" i="28" s="1"/>
  <c r="F536" i="33"/>
  <c r="U24" i="28" s="1"/>
  <c r="G536" i="33"/>
  <c r="U29" i="28" s="1"/>
  <c r="F537" i="33"/>
  <c r="V24" i="28" s="1"/>
  <c r="G537" i="33"/>
  <c r="V29" i="28" s="1"/>
  <c r="F538" i="33"/>
  <c r="W24" i="28" s="1"/>
  <c r="G538" i="33"/>
  <c r="W29" i="28" s="1"/>
  <c r="F539" i="33"/>
  <c r="X24" i="28" s="1"/>
  <c r="G539" i="33"/>
  <c r="X29" i="28" s="1"/>
  <c r="F540" i="33"/>
  <c r="Y24" i="28" s="1"/>
  <c r="G540" i="33"/>
  <c r="Y29" i="28" s="1"/>
  <c r="F541" i="33"/>
  <c r="Z24" i="28" s="1"/>
  <c r="G541" i="33"/>
  <c r="Z29" i="28" s="1"/>
  <c r="F542" i="33"/>
  <c r="AA24" i="28" s="1"/>
  <c r="G542" i="33"/>
  <c r="AA29" i="28" s="1"/>
  <c r="F543" i="33"/>
  <c r="AB24" i="28" s="1"/>
  <c r="G543" i="33"/>
  <c r="AB29" i="28" s="1"/>
  <c r="F544" i="33"/>
  <c r="AC24" i="28" s="1"/>
  <c r="G544" i="33"/>
  <c r="AC29" i="28" s="1"/>
  <c r="F545" i="33"/>
  <c r="AD24" i="28" s="1"/>
  <c r="G545" i="33"/>
  <c r="AD29" i="28" s="1"/>
  <c r="F546" i="33"/>
  <c r="AE24" i="28" s="1"/>
  <c r="G546" i="33"/>
  <c r="AE29" i="28" s="1"/>
  <c r="F547" i="33"/>
  <c r="AF24" i="28" s="1"/>
  <c r="G547" i="33"/>
  <c r="AF29" i="28" s="1"/>
  <c r="F548" i="33"/>
  <c r="AG24" i="28" s="1"/>
  <c r="G548" i="33"/>
  <c r="AG29" i="28" s="1"/>
  <c r="F549" i="33"/>
  <c r="AH24" i="28" s="1"/>
  <c r="G549" i="33"/>
  <c r="AH29" i="28" s="1"/>
  <c r="F550" i="33"/>
  <c r="AI24" i="28" s="1"/>
  <c r="G550" i="33"/>
  <c r="AI29" i="28" s="1"/>
  <c r="F551" i="33"/>
  <c r="AJ24" i="28" s="1"/>
  <c r="G551" i="33"/>
  <c r="AJ29" i="28" s="1"/>
  <c r="F552" i="33"/>
  <c r="AK24" i="28" s="1"/>
  <c r="G552" i="33"/>
  <c r="AK29" i="28" s="1"/>
  <c r="F553" i="33"/>
  <c r="AL24" i="28" s="1"/>
  <c r="G553" i="33"/>
  <c r="AL29" i="28" s="1"/>
  <c r="G527" i="33"/>
  <c r="L29" i="28" s="1"/>
  <c r="F527" i="33"/>
  <c r="L24" i="28" s="1"/>
  <c r="D553" i="33"/>
  <c r="AL28" i="28" s="1"/>
  <c r="D552" i="33"/>
  <c r="AK28" i="28" s="1"/>
  <c r="D551" i="33"/>
  <c r="AJ28" i="28" s="1"/>
  <c r="D550" i="33"/>
  <c r="AI28" i="28" s="1"/>
  <c r="D549" i="33"/>
  <c r="AH28" i="28" s="1"/>
  <c r="D548" i="33"/>
  <c r="AG28" i="28" s="1"/>
  <c r="D547" i="33"/>
  <c r="AF28" i="28" s="1"/>
  <c r="D546" i="33"/>
  <c r="AE28" i="28" s="1"/>
  <c r="D545" i="33"/>
  <c r="AD28" i="28" s="1"/>
  <c r="D544" i="33"/>
  <c r="AC28" i="28" s="1"/>
  <c r="D543" i="33"/>
  <c r="AB28" i="28" s="1"/>
  <c r="D542" i="33"/>
  <c r="AA28" i="28" s="1"/>
  <c r="D541" i="33"/>
  <c r="Z28" i="28" s="1"/>
  <c r="D540" i="33"/>
  <c r="Y28" i="28" s="1"/>
  <c r="D539" i="33"/>
  <c r="X28" i="28" s="1"/>
  <c r="D538" i="33"/>
  <c r="W28" i="28" s="1"/>
  <c r="D537" i="33"/>
  <c r="V28" i="28" s="1"/>
  <c r="D536" i="33"/>
  <c r="U28" i="28" s="1"/>
  <c r="D535" i="33"/>
  <c r="T28" i="28" s="1"/>
  <c r="D534" i="33"/>
  <c r="S28" i="28" s="1"/>
  <c r="D533" i="33"/>
  <c r="R28" i="28" s="1"/>
  <c r="D531" i="33"/>
  <c r="P28" i="28" s="1"/>
  <c r="D530" i="33"/>
  <c r="O28" i="28" s="1"/>
  <c r="D529" i="33"/>
  <c r="N28" i="28" s="1"/>
  <c r="D528" i="33"/>
  <c r="M28" i="28" s="1"/>
  <c r="D527" i="33"/>
  <c r="L28" i="28" s="1"/>
  <c r="D526" i="33"/>
  <c r="K28" i="28" s="1"/>
  <c r="D525" i="33"/>
  <c r="J28" i="28" s="1"/>
  <c r="D524" i="33"/>
  <c r="I28" i="28" s="1"/>
  <c r="D523" i="33"/>
  <c r="H28" i="28" s="1"/>
  <c r="D522" i="33"/>
  <c r="G28" i="28" s="1"/>
  <c r="D521" i="33"/>
  <c r="F28" i="28" s="1"/>
  <c r="D520" i="33"/>
  <c r="E28" i="28" s="1"/>
  <c r="D519" i="33"/>
  <c r="D28" i="28" s="1"/>
  <c r="D518" i="33"/>
  <c r="D517" i="33"/>
  <c r="D516" i="33"/>
  <c r="D515" i="33"/>
  <c r="D514" i="33"/>
  <c r="D513" i="33"/>
  <c r="D512" i="33"/>
  <c r="D511" i="33"/>
  <c r="D510" i="33"/>
  <c r="D509" i="33"/>
  <c r="D508" i="33"/>
  <c r="D507" i="33"/>
  <c r="D506" i="33"/>
  <c r="D505" i="33"/>
  <c r="D504" i="33"/>
  <c r="D503" i="33"/>
  <c r="D502" i="33"/>
  <c r="D501" i="33"/>
  <c r="D500" i="33"/>
  <c r="D499" i="33"/>
  <c r="D498" i="33"/>
  <c r="D497" i="33"/>
  <c r="D496" i="33"/>
  <c r="D495" i="33"/>
  <c r="D494" i="33"/>
  <c r="D493" i="33"/>
  <c r="D492" i="33"/>
  <c r="D491" i="33"/>
  <c r="D490" i="33"/>
  <c r="D489" i="33"/>
  <c r="D488" i="33"/>
  <c r="D487" i="33"/>
  <c r="D486" i="33"/>
  <c r="D485" i="33"/>
  <c r="D484" i="33"/>
  <c r="D483" i="33"/>
  <c r="D482" i="33"/>
  <c r="D481" i="33"/>
  <c r="D480" i="33"/>
  <c r="D479" i="33"/>
  <c r="D478" i="33"/>
  <c r="D477" i="33"/>
  <c r="D476" i="33"/>
  <c r="D475" i="33"/>
  <c r="D474" i="33"/>
  <c r="D473" i="33"/>
  <c r="D472" i="33"/>
  <c r="D471" i="33"/>
  <c r="D470" i="33"/>
  <c r="D469" i="33"/>
  <c r="D468" i="33"/>
  <c r="D467" i="33"/>
  <c r="D466" i="33"/>
  <c r="D465" i="33"/>
  <c r="D464" i="33"/>
  <c r="D463" i="33"/>
  <c r="D462" i="33"/>
  <c r="D461" i="33"/>
  <c r="D460" i="33"/>
  <c r="D459" i="33"/>
  <c r="D458" i="33"/>
  <c r="D457" i="33"/>
  <c r="D456" i="33"/>
  <c r="D455" i="33"/>
  <c r="D454" i="33"/>
  <c r="D453" i="33"/>
  <c r="D452" i="33"/>
  <c r="D451" i="33"/>
  <c r="D450" i="33"/>
  <c r="D449" i="33"/>
  <c r="D448" i="33"/>
  <c r="D447" i="33"/>
  <c r="D446" i="33"/>
  <c r="D445" i="33"/>
  <c r="D444" i="33"/>
  <c r="D443" i="33"/>
  <c r="D442" i="33"/>
  <c r="D441" i="33"/>
  <c r="D440" i="33"/>
  <c r="D439" i="33"/>
  <c r="D438" i="33"/>
  <c r="D437" i="33"/>
  <c r="D436" i="33"/>
  <c r="D435" i="33"/>
  <c r="D434" i="33"/>
  <c r="D433" i="33"/>
  <c r="D432" i="33"/>
  <c r="D431" i="33"/>
  <c r="D430" i="33"/>
  <c r="D429" i="33"/>
  <c r="D428" i="33"/>
  <c r="D427" i="33"/>
  <c r="D426" i="33"/>
  <c r="D425" i="33"/>
  <c r="D424" i="33"/>
  <c r="D423" i="33"/>
  <c r="D422" i="33"/>
  <c r="D421" i="33"/>
  <c r="D420" i="33"/>
  <c r="D419" i="33"/>
  <c r="D418" i="33"/>
  <c r="D417" i="33"/>
  <c r="D416" i="33"/>
  <c r="D415" i="33"/>
  <c r="D414" i="33"/>
  <c r="D413" i="33"/>
  <c r="D412" i="33"/>
  <c r="D411" i="33"/>
  <c r="D410" i="33"/>
  <c r="D409" i="33"/>
  <c r="D408" i="33"/>
  <c r="D407" i="33"/>
  <c r="D406" i="33"/>
  <c r="D405" i="33"/>
  <c r="D404" i="33"/>
  <c r="D403" i="33"/>
  <c r="D402" i="33"/>
  <c r="D401" i="33"/>
  <c r="D400" i="33"/>
  <c r="D399" i="33"/>
  <c r="D398" i="33"/>
  <c r="D397" i="33"/>
  <c r="D396" i="33"/>
  <c r="D395" i="33"/>
  <c r="D394" i="33"/>
  <c r="D393" i="33"/>
  <c r="D392" i="33"/>
  <c r="D391" i="33"/>
  <c r="D390" i="33"/>
  <c r="D389" i="33"/>
  <c r="D388" i="33"/>
  <c r="D387" i="33"/>
  <c r="D386" i="33"/>
  <c r="D385" i="33"/>
  <c r="D384" i="33"/>
  <c r="D383" i="33"/>
  <c r="D382" i="33"/>
  <c r="D381" i="33"/>
  <c r="D380" i="33"/>
  <c r="D379" i="33"/>
  <c r="D378" i="33"/>
  <c r="D377" i="33"/>
  <c r="D376" i="33"/>
  <c r="D375" i="33"/>
  <c r="D374" i="33"/>
  <c r="D373" i="33"/>
  <c r="D372" i="33"/>
  <c r="D371" i="33"/>
  <c r="D370" i="33"/>
  <c r="D369" i="33"/>
  <c r="D368" i="33"/>
  <c r="D367" i="33"/>
  <c r="D366" i="33"/>
  <c r="D365" i="33"/>
  <c r="D364" i="33"/>
  <c r="D363" i="33"/>
  <c r="D532" i="33"/>
  <c r="Q28" i="28" s="1"/>
  <c r="C352" i="33"/>
  <c r="C353" i="33"/>
  <c r="C354" i="33"/>
  <c r="C355" i="33"/>
  <c r="C356" i="33"/>
  <c r="C357" i="33"/>
  <c r="C358" i="33"/>
  <c r="C359" i="33"/>
  <c r="C360" i="33"/>
  <c r="C361" i="33"/>
  <c r="C362" i="33"/>
  <c r="C363" i="33"/>
  <c r="C364" i="33"/>
  <c r="C365" i="33"/>
  <c r="C366" i="33"/>
  <c r="C367" i="33"/>
  <c r="C368" i="33"/>
  <c r="C369" i="33"/>
  <c r="C370" i="33"/>
  <c r="C371" i="33"/>
  <c r="C372" i="33"/>
  <c r="C373" i="33"/>
  <c r="C374" i="33"/>
  <c r="C375" i="33"/>
  <c r="C376" i="33"/>
  <c r="C377" i="33"/>
  <c r="C378" i="33"/>
  <c r="C379" i="33"/>
  <c r="C380" i="33"/>
  <c r="C381" i="33"/>
  <c r="C382" i="33"/>
  <c r="C383" i="33"/>
  <c r="C384" i="33"/>
  <c r="C385" i="33"/>
  <c r="C386" i="33"/>
  <c r="C387" i="33"/>
  <c r="C388" i="33"/>
  <c r="C389" i="33"/>
  <c r="C390" i="33"/>
  <c r="C391" i="33"/>
  <c r="C392" i="33"/>
  <c r="C393" i="33"/>
  <c r="C394" i="33"/>
  <c r="C395" i="33"/>
  <c r="C396" i="33"/>
  <c r="C397" i="33"/>
  <c r="C398" i="33"/>
  <c r="C399" i="33"/>
  <c r="C400" i="33"/>
  <c r="C401" i="33"/>
  <c r="C402" i="33"/>
  <c r="C403" i="33"/>
  <c r="C404" i="33"/>
  <c r="C405" i="33"/>
  <c r="C406" i="33"/>
  <c r="C407" i="33"/>
  <c r="C408" i="33"/>
  <c r="C409" i="33"/>
  <c r="C410" i="33"/>
  <c r="C411" i="33"/>
  <c r="C412" i="33"/>
  <c r="C413" i="33"/>
  <c r="C414" i="33"/>
  <c r="C415" i="33"/>
  <c r="C416" i="33"/>
  <c r="C417" i="33"/>
  <c r="C418" i="33"/>
  <c r="C419" i="33"/>
  <c r="C420" i="33"/>
  <c r="C421" i="33"/>
  <c r="C422" i="33"/>
  <c r="C423" i="33"/>
  <c r="C424" i="33"/>
  <c r="C425" i="33"/>
  <c r="C426" i="33"/>
  <c r="C427" i="33"/>
  <c r="C428" i="33"/>
  <c r="C429" i="33"/>
  <c r="C430" i="33"/>
  <c r="C431" i="33"/>
  <c r="C432" i="33"/>
  <c r="C433" i="33"/>
  <c r="C434" i="33"/>
  <c r="C435" i="33"/>
  <c r="C436" i="33"/>
  <c r="C437" i="33"/>
  <c r="C438" i="33"/>
  <c r="C439" i="33"/>
  <c r="C440" i="33"/>
  <c r="C441" i="33"/>
  <c r="C442" i="33"/>
  <c r="C443" i="33"/>
  <c r="C444" i="33"/>
  <c r="C445" i="33"/>
  <c r="C446" i="33"/>
  <c r="C447" i="33"/>
  <c r="C448" i="33"/>
  <c r="C449" i="33"/>
  <c r="C450" i="33"/>
  <c r="C451" i="33"/>
  <c r="C452" i="33"/>
  <c r="C453" i="33"/>
  <c r="C454" i="33"/>
  <c r="C455" i="33"/>
  <c r="C456" i="33"/>
  <c r="C457" i="33"/>
  <c r="C458" i="33"/>
  <c r="C459" i="33"/>
  <c r="C460" i="33"/>
  <c r="C461" i="33"/>
  <c r="C462" i="33"/>
  <c r="C463" i="33"/>
  <c r="C464" i="33"/>
  <c r="C465" i="33"/>
  <c r="C466" i="33"/>
  <c r="C467" i="33"/>
  <c r="C468" i="33"/>
  <c r="C469" i="33"/>
  <c r="C470" i="33"/>
  <c r="C471" i="33"/>
  <c r="C472" i="33"/>
  <c r="C473" i="33"/>
  <c r="C474" i="33"/>
  <c r="C475" i="33"/>
  <c r="C476" i="33"/>
  <c r="C477" i="33"/>
  <c r="C478" i="33"/>
  <c r="C479" i="33"/>
  <c r="C480" i="33"/>
  <c r="C481" i="33"/>
  <c r="C482" i="33"/>
  <c r="C483" i="33"/>
  <c r="C484" i="33"/>
  <c r="C485" i="33"/>
  <c r="C486" i="33"/>
  <c r="C487" i="33"/>
  <c r="C488" i="33"/>
  <c r="C489" i="33"/>
  <c r="C490" i="33"/>
  <c r="C491" i="33"/>
  <c r="C492" i="33"/>
  <c r="C493" i="33"/>
  <c r="C494" i="33"/>
  <c r="C495" i="33"/>
  <c r="C496" i="33"/>
  <c r="C497" i="33"/>
  <c r="C498" i="33"/>
  <c r="C499" i="33"/>
  <c r="C500" i="33"/>
  <c r="C501" i="33"/>
  <c r="C502" i="33"/>
  <c r="C503" i="33"/>
  <c r="C504" i="33"/>
  <c r="C505" i="33"/>
  <c r="C506" i="33"/>
  <c r="C507" i="33"/>
  <c r="C508" i="33"/>
  <c r="C509" i="33"/>
  <c r="C510" i="33"/>
  <c r="C511" i="33"/>
  <c r="C512" i="33"/>
  <c r="C513" i="33"/>
  <c r="C514" i="33"/>
  <c r="C515" i="33"/>
  <c r="C516" i="33"/>
  <c r="C517" i="33"/>
  <c r="C518" i="33"/>
  <c r="C519" i="33"/>
  <c r="D23" i="28" s="1"/>
  <c r="C520" i="33"/>
  <c r="E23" i="28" s="1"/>
  <c r="C521" i="33"/>
  <c r="F23" i="28" s="1"/>
  <c r="C522" i="33"/>
  <c r="G23" i="28" s="1"/>
  <c r="C523" i="33"/>
  <c r="H23" i="28" s="1"/>
  <c r="C524" i="33"/>
  <c r="I23" i="28" s="1"/>
  <c r="C525" i="33"/>
  <c r="J23" i="28" s="1"/>
  <c r="C526" i="33"/>
  <c r="K23" i="28" s="1"/>
  <c r="C527" i="33"/>
  <c r="L23" i="28" s="1"/>
  <c r="C528" i="33"/>
  <c r="M23" i="28" s="1"/>
  <c r="C529" i="33"/>
  <c r="N23" i="28" s="1"/>
  <c r="C530" i="33"/>
  <c r="O23" i="28" s="1"/>
  <c r="C531" i="33"/>
  <c r="P23" i="28" s="1"/>
  <c r="C532" i="33"/>
  <c r="Q23" i="28" s="1"/>
  <c r="C533" i="33"/>
  <c r="R23" i="28" s="1"/>
  <c r="C534" i="33"/>
  <c r="S23" i="28" s="1"/>
  <c r="C535" i="33"/>
  <c r="T23" i="28" s="1"/>
  <c r="C536" i="33"/>
  <c r="U23" i="28" s="1"/>
  <c r="C537" i="33"/>
  <c r="V23" i="28" s="1"/>
  <c r="C538" i="33"/>
  <c r="W23" i="28" s="1"/>
  <c r="C539" i="33"/>
  <c r="X23" i="28" s="1"/>
  <c r="C540" i="33"/>
  <c r="Y23" i="28" s="1"/>
  <c r="C541" i="33"/>
  <c r="Z23" i="28" s="1"/>
  <c r="C542" i="33"/>
  <c r="AA23" i="28" s="1"/>
  <c r="C543" i="33"/>
  <c r="AB23" i="28" s="1"/>
  <c r="C544" i="33"/>
  <c r="AC23" i="28" s="1"/>
  <c r="C545" i="33"/>
  <c r="AD23" i="28" s="1"/>
  <c r="C546" i="33"/>
  <c r="AE23" i="28" s="1"/>
  <c r="C547" i="33"/>
  <c r="AF23" i="28" s="1"/>
  <c r="C548" i="33"/>
  <c r="AG23" i="28" s="1"/>
  <c r="C549" i="33"/>
  <c r="AH23" i="28" s="1"/>
  <c r="C550" i="33"/>
  <c r="AI23" i="28" s="1"/>
  <c r="C551" i="33"/>
  <c r="AJ23" i="28" s="1"/>
  <c r="C552" i="33"/>
  <c r="AK23" i="28" s="1"/>
  <c r="C553" i="33"/>
  <c r="AL23" i="28" s="1"/>
  <c r="R548" i="33"/>
  <c r="AG32" i="28" s="1"/>
  <c r="S548" i="33"/>
  <c r="AG62" i="28" s="1"/>
  <c r="R549" i="33"/>
  <c r="S549" i="33"/>
  <c r="AH20" i="28" s="1"/>
  <c r="R550" i="33"/>
  <c r="AI62" i="28" s="1"/>
  <c r="S550" i="33"/>
  <c r="AI20" i="28" s="1"/>
  <c r="R551" i="33"/>
  <c r="AJ27" i="28" s="1"/>
  <c r="S551" i="33"/>
  <c r="R552" i="33"/>
  <c r="S552" i="33"/>
  <c r="AK20" i="28" s="1"/>
  <c r="R553" i="33"/>
  <c r="S553" i="33"/>
  <c r="S184" i="33"/>
  <c r="S185" i="33"/>
  <c r="S186" i="33"/>
  <c r="S187" i="33"/>
  <c r="S188" i="33"/>
  <c r="S189" i="33"/>
  <c r="S190" i="33"/>
  <c r="S191" i="33"/>
  <c r="S192" i="33"/>
  <c r="S193" i="33"/>
  <c r="S194" i="33"/>
  <c r="S195" i="33"/>
  <c r="S196" i="33"/>
  <c r="S197" i="33"/>
  <c r="S198" i="33"/>
  <c r="S199" i="33"/>
  <c r="S200" i="33"/>
  <c r="S201" i="33"/>
  <c r="S202" i="33"/>
  <c r="S203" i="33"/>
  <c r="S204" i="33"/>
  <c r="S205" i="33"/>
  <c r="S206" i="33"/>
  <c r="S207" i="33"/>
  <c r="S208" i="33"/>
  <c r="S209" i="33"/>
  <c r="S210" i="33"/>
  <c r="S211" i="33"/>
  <c r="S212" i="33"/>
  <c r="S213" i="33"/>
  <c r="S214" i="33"/>
  <c r="S215" i="33"/>
  <c r="S216" i="33"/>
  <c r="S217" i="33"/>
  <c r="S218" i="33"/>
  <c r="S219" i="33"/>
  <c r="S220" i="33"/>
  <c r="S221" i="33"/>
  <c r="S222" i="33"/>
  <c r="S223" i="33"/>
  <c r="S224" i="33"/>
  <c r="S225" i="33"/>
  <c r="S226" i="33"/>
  <c r="S227" i="33"/>
  <c r="S228" i="33"/>
  <c r="S229" i="33"/>
  <c r="S230" i="33"/>
  <c r="S231" i="33"/>
  <c r="S232" i="33"/>
  <c r="S233" i="33"/>
  <c r="S234" i="33"/>
  <c r="S235" i="33"/>
  <c r="S236" i="33"/>
  <c r="S237" i="33"/>
  <c r="S238" i="33"/>
  <c r="S239" i="33"/>
  <c r="S240" i="33"/>
  <c r="S241" i="33"/>
  <c r="S242" i="33"/>
  <c r="S243" i="33"/>
  <c r="S244" i="33"/>
  <c r="S245" i="33"/>
  <c r="S246" i="33"/>
  <c r="S247" i="33"/>
  <c r="S248" i="33"/>
  <c r="S249" i="33"/>
  <c r="S250" i="33"/>
  <c r="S251" i="33"/>
  <c r="S252" i="33"/>
  <c r="S253" i="33"/>
  <c r="S254" i="33"/>
  <c r="S255" i="33"/>
  <c r="S256" i="33"/>
  <c r="S257" i="33"/>
  <c r="S258" i="33"/>
  <c r="S259" i="33"/>
  <c r="S260" i="33"/>
  <c r="S261" i="33"/>
  <c r="S262" i="33"/>
  <c r="S263" i="33"/>
  <c r="S264" i="33"/>
  <c r="S265" i="33"/>
  <c r="S266" i="33"/>
  <c r="S267" i="33"/>
  <c r="S268" i="33"/>
  <c r="S269" i="33"/>
  <c r="S270" i="33"/>
  <c r="S271" i="33"/>
  <c r="S272" i="33"/>
  <c r="S273" i="33"/>
  <c r="S274" i="33"/>
  <c r="S275" i="33"/>
  <c r="S276" i="33"/>
  <c r="S277" i="33"/>
  <c r="S278" i="33"/>
  <c r="S279" i="33"/>
  <c r="S280" i="33"/>
  <c r="S281" i="33"/>
  <c r="S282" i="33"/>
  <c r="S283" i="33"/>
  <c r="S284" i="33"/>
  <c r="S285" i="33"/>
  <c r="S286" i="33"/>
  <c r="S287" i="33"/>
  <c r="S288" i="33"/>
  <c r="S289" i="33"/>
  <c r="S290" i="33"/>
  <c r="S291" i="33"/>
  <c r="S292" i="33"/>
  <c r="S293" i="33"/>
  <c r="S294" i="33"/>
  <c r="S295" i="33"/>
  <c r="S296" i="33"/>
  <c r="S297" i="33"/>
  <c r="S298" i="33"/>
  <c r="S299" i="33"/>
  <c r="S300" i="33"/>
  <c r="S301" i="33"/>
  <c r="S302" i="33"/>
  <c r="S303" i="33"/>
  <c r="S304" i="33"/>
  <c r="S305" i="33"/>
  <c r="S306" i="33"/>
  <c r="S307" i="33"/>
  <c r="S308" i="33"/>
  <c r="S309" i="33"/>
  <c r="S310" i="33"/>
  <c r="S311" i="33"/>
  <c r="S312" i="33"/>
  <c r="S313" i="33"/>
  <c r="S314" i="33"/>
  <c r="S315" i="33"/>
  <c r="S316" i="33"/>
  <c r="S317" i="33"/>
  <c r="S318" i="33"/>
  <c r="S319" i="33"/>
  <c r="S320" i="33"/>
  <c r="S321" i="33"/>
  <c r="S322" i="33"/>
  <c r="S323" i="33"/>
  <c r="S324" i="33"/>
  <c r="S325" i="33"/>
  <c r="S326" i="33"/>
  <c r="S327" i="33"/>
  <c r="S328" i="33"/>
  <c r="S329" i="33"/>
  <c r="S330" i="33"/>
  <c r="S331" i="33"/>
  <c r="S332" i="33"/>
  <c r="S333" i="33"/>
  <c r="S334" i="33"/>
  <c r="S335" i="33"/>
  <c r="S336" i="33"/>
  <c r="S337" i="33"/>
  <c r="S338" i="33"/>
  <c r="S339" i="33"/>
  <c r="S340" i="33"/>
  <c r="S341" i="33"/>
  <c r="S342" i="33"/>
  <c r="S343" i="33"/>
  <c r="S344" i="33"/>
  <c r="S345" i="33"/>
  <c r="S346" i="33"/>
  <c r="S347" i="33"/>
  <c r="S348" i="33"/>
  <c r="S349" i="33"/>
  <c r="S350" i="33"/>
  <c r="S351" i="33"/>
  <c r="S352" i="33"/>
  <c r="S353" i="33"/>
  <c r="S354" i="33"/>
  <c r="S355" i="33"/>
  <c r="S356" i="33"/>
  <c r="S357" i="33"/>
  <c r="S358" i="33"/>
  <c r="S359" i="33"/>
  <c r="S360" i="33"/>
  <c r="S361" i="33"/>
  <c r="S362" i="33"/>
  <c r="S363" i="33"/>
  <c r="S364" i="33"/>
  <c r="S365" i="33"/>
  <c r="S366" i="33"/>
  <c r="S367" i="33"/>
  <c r="S368" i="33"/>
  <c r="S369" i="33"/>
  <c r="S370" i="33"/>
  <c r="S371" i="33"/>
  <c r="S372" i="33"/>
  <c r="S373" i="33"/>
  <c r="S374" i="33"/>
  <c r="S375" i="33"/>
  <c r="S376" i="33"/>
  <c r="S377" i="33"/>
  <c r="S378" i="33"/>
  <c r="S379" i="33"/>
  <c r="S380" i="33"/>
  <c r="S381" i="33"/>
  <c r="S382" i="33"/>
  <c r="S383" i="33"/>
  <c r="S384" i="33"/>
  <c r="S385" i="33"/>
  <c r="S386" i="33"/>
  <c r="S387" i="33"/>
  <c r="S388" i="33"/>
  <c r="S389" i="33"/>
  <c r="S390" i="33"/>
  <c r="S391" i="33"/>
  <c r="S392" i="33"/>
  <c r="S393" i="33"/>
  <c r="S394" i="33"/>
  <c r="S395" i="33"/>
  <c r="S396" i="33"/>
  <c r="S397" i="33"/>
  <c r="S398" i="33"/>
  <c r="S399" i="33"/>
  <c r="S400" i="33"/>
  <c r="S401" i="33"/>
  <c r="S402" i="33"/>
  <c r="S403" i="33"/>
  <c r="S404" i="33"/>
  <c r="S405" i="33"/>
  <c r="S406" i="33"/>
  <c r="S407" i="33"/>
  <c r="S408" i="33"/>
  <c r="S409" i="33"/>
  <c r="S410" i="33"/>
  <c r="S411" i="33"/>
  <c r="S412" i="33"/>
  <c r="S413" i="33"/>
  <c r="S414" i="33"/>
  <c r="S415" i="33"/>
  <c r="S416" i="33"/>
  <c r="S417" i="33"/>
  <c r="S418" i="33"/>
  <c r="S419" i="33"/>
  <c r="S420" i="33"/>
  <c r="S421" i="33"/>
  <c r="S422" i="33"/>
  <c r="S423" i="33"/>
  <c r="S424" i="33"/>
  <c r="S425" i="33"/>
  <c r="S426" i="33"/>
  <c r="S427" i="33"/>
  <c r="S428" i="33"/>
  <c r="S429" i="33"/>
  <c r="S430" i="33"/>
  <c r="S431" i="33"/>
  <c r="S432" i="33"/>
  <c r="S433" i="33"/>
  <c r="S434" i="33"/>
  <c r="S435" i="33"/>
  <c r="S436" i="33"/>
  <c r="S437" i="33"/>
  <c r="S438" i="33"/>
  <c r="S439" i="33"/>
  <c r="S440" i="33"/>
  <c r="S441" i="33"/>
  <c r="S442" i="33"/>
  <c r="S443" i="33"/>
  <c r="S444" i="33"/>
  <c r="S445" i="33"/>
  <c r="S446" i="33"/>
  <c r="S447" i="33"/>
  <c r="S448" i="33"/>
  <c r="S449" i="33"/>
  <c r="S450" i="33"/>
  <c r="S451" i="33"/>
  <c r="S452" i="33"/>
  <c r="S453" i="33"/>
  <c r="S454" i="33"/>
  <c r="S455" i="33"/>
  <c r="S456" i="33"/>
  <c r="S457" i="33"/>
  <c r="S458" i="33"/>
  <c r="S459" i="33"/>
  <c r="S460" i="33"/>
  <c r="S461" i="33"/>
  <c r="S462" i="33"/>
  <c r="S463" i="33"/>
  <c r="S464" i="33"/>
  <c r="S465" i="33"/>
  <c r="S466" i="33"/>
  <c r="S467" i="33"/>
  <c r="S468" i="33"/>
  <c r="S469" i="33"/>
  <c r="S470" i="33"/>
  <c r="S471" i="33"/>
  <c r="S472" i="33"/>
  <c r="S473" i="33"/>
  <c r="S474" i="33"/>
  <c r="S475" i="33"/>
  <c r="S476" i="33"/>
  <c r="S477" i="33"/>
  <c r="S478" i="33"/>
  <c r="S479" i="33"/>
  <c r="S480" i="33"/>
  <c r="S481" i="33"/>
  <c r="S482" i="33"/>
  <c r="S483" i="33"/>
  <c r="S484" i="33"/>
  <c r="S485" i="33"/>
  <c r="S486" i="33"/>
  <c r="S487" i="33"/>
  <c r="S488" i="33"/>
  <c r="S489" i="33"/>
  <c r="S490" i="33"/>
  <c r="S491" i="33"/>
  <c r="S492" i="33"/>
  <c r="S493" i="33"/>
  <c r="S494" i="33"/>
  <c r="S495" i="33"/>
  <c r="S496" i="33"/>
  <c r="S497" i="33"/>
  <c r="S498" i="33"/>
  <c r="S499" i="33"/>
  <c r="S500" i="33"/>
  <c r="S501" i="33"/>
  <c r="S502" i="33"/>
  <c r="S503" i="33"/>
  <c r="S504" i="33"/>
  <c r="S505" i="33"/>
  <c r="S506" i="33"/>
  <c r="S507" i="33"/>
  <c r="S508" i="33"/>
  <c r="S509" i="33"/>
  <c r="S510" i="33"/>
  <c r="S511" i="33"/>
  <c r="S512" i="33"/>
  <c r="S513" i="33"/>
  <c r="S514" i="33"/>
  <c r="S515" i="33"/>
  <c r="S516" i="33"/>
  <c r="S517" i="33"/>
  <c r="S518" i="33"/>
  <c r="S519" i="33"/>
  <c r="S520" i="33"/>
  <c r="E20" i="28" s="1"/>
  <c r="S521" i="33"/>
  <c r="S522" i="33"/>
  <c r="S523" i="33"/>
  <c r="S524" i="33"/>
  <c r="S525" i="33"/>
  <c r="J62" i="28" s="1"/>
  <c r="S526" i="33"/>
  <c r="K20" i="28" s="1"/>
  <c r="S527" i="33"/>
  <c r="S528" i="33"/>
  <c r="S529" i="33"/>
  <c r="S530" i="33"/>
  <c r="S531" i="33"/>
  <c r="P62" i="28" s="1"/>
  <c r="S532" i="33"/>
  <c r="Q20" i="28" s="1"/>
  <c r="S533" i="33"/>
  <c r="S534" i="33"/>
  <c r="S535" i="33"/>
  <c r="S536" i="33"/>
  <c r="S537" i="33"/>
  <c r="V62" i="28" s="1"/>
  <c r="S538" i="33"/>
  <c r="W20" i="28" s="1"/>
  <c r="S539" i="33"/>
  <c r="S540" i="33"/>
  <c r="S541" i="33"/>
  <c r="S542" i="33"/>
  <c r="S543" i="33"/>
  <c r="AB62" i="28" s="1"/>
  <c r="S544" i="33"/>
  <c r="AC20" i="28" s="1"/>
  <c r="S545" i="33"/>
  <c r="S546" i="33"/>
  <c r="S547" i="33"/>
  <c r="S183" i="33"/>
  <c r="R173" i="33"/>
  <c r="R174" i="33"/>
  <c r="R175" i="33"/>
  <c r="R176" i="33"/>
  <c r="R177" i="33"/>
  <c r="R178" i="33"/>
  <c r="R179" i="33"/>
  <c r="R180" i="33"/>
  <c r="R181" i="33"/>
  <c r="R182" i="33"/>
  <c r="R183" i="33"/>
  <c r="R184" i="33"/>
  <c r="R185" i="33"/>
  <c r="R186" i="33"/>
  <c r="R187" i="33"/>
  <c r="R188" i="33"/>
  <c r="R189" i="33"/>
  <c r="R190" i="33"/>
  <c r="R191" i="33"/>
  <c r="R192" i="33"/>
  <c r="R193" i="33"/>
  <c r="R194" i="33"/>
  <c r="R195" i="33"/>
  <c r="R196" i="33"/>
  <c r="R197" i="33"/>
  <c r="R198" i="33"/>
  <c r="R199" i="33"/>
  <c r="R200" i="33"/>
  <c r="R201" i="33"/>
  <c r="R202" i="33"/>
  <c r="R203" i="33"/>
  <c r="R204" i="33"/>
  <c r="R205" i="33"/>
  <c r="R206" i="33"/>
  <c r="R207" i="33"/>
  <c r="R208" i="33"/>
  <c r="R209" i="33"/>
  <c r="R210" i="33"/>
  <c r="R211" i="33"/>
  <c r="R212" i="33"/>
  <c r="R213" i="33"/>
  <c r="R214" i="33"/>
  <c r="R215" i="33"/>
  <c r="R216" i="33"/>
  <c r="R217" i="33"/>
  <c r="R218" i="33"/>
  <c r="R219" i="33"/>
  <c r="R220" i="33"/>
  <c r="R221" i="33"/>
  <c r="R222" i="33"/>
  <c r="R223" i="33"/>
  <c r="R224" i="33"/>
  <c r="R225" i="33"/>
  <c r="R226" i="33"/>
  <c r="R227" i="33"/>
  <c r="R228" i="33"/>
  <c r="R229" i="33"/>
  <c r="R230" i="33"/>
  <c r="R231" i="33"/>
  <c r="R232" i="33"/>
  <c r="R233" i="33"/>
  <c r="R234" i="33"/>
  <c r="R235" i="33"/>
  <c r="R236" i="33"/>
  <c r="R237" i="33"/>
  <c r="R238" i="33"/>
  <c r="R239" i="33"/>
  <c r="R240" i="33"/>
  <c r="R241" i="33"/>
  <c r="R242" i="33"/>
  <c r="R243" i="33"/>
  <c r="R244" i="33"/>
  <c r="R245" i="33"/>
  <c r="R246" i="33"/>
  <c r="R247" i="33"/>
  <c r="R248" i="33"/>
  <c r="R249" i="33"/>
  <c r="R250" i="33"/>
  <c r="R251" i="33"/>
  <c r="R252" i="33"/>
  <c r="R253" i="33"/>
  <c r="R254" i="33"/>
  <c r="R255" i="33"/>
  <c r="R256" i="33"/>
  <c r="R257" i="33"/>
  <c r="R258" i="33"/>
  <c r="R259" i="33"/>
  <c r="R260" i="33"/>
  <c r="R261" i="33"/>
  <c r="R262" i="33"/>
  <c r="R263" i="33"/>
  <c r="R264" i="33"/>
  <c r="R265" i="33"/>
  <c r="R266" i="33"/>
  <c r="R267" i="33"/>
  <c r="R268" i="33"/>
  <c r="R269" i="33"/>
  <c r="R270" i="33"/>
  <c r="R271" i="33"/>
  <c r="R272" i="33"/>
  <c r="R273" i="33"/>
  <c r="R274" i="33"/>
  <c r="R275" i="33"/>
  <c r="R276" i="33"/>
  <c r="R277" i="33"/>
  <c r="R278" i="33"/>
  <c r="R279" i="33"/>
  <c r="R280" i="33"/>
  <c r="R281" i="33"/>
  <c r="R282" i="33"/>
  <c r="R283" i="33"/>
  <c r="R284" i="33"/>
  <c r="R285" i="33"/>
  <c r="R286" i="33"/>
  <c r="R287" i="33"/>
  <c r="R288" i="33"/>
  <c r="R289" i="33"/>
  <c r="R290" i="33"/>
  <c r="R291" i="33"/>
  <c r="R292" i="33"/>
  <c r="R293" i="33"/>
  <c r="R294" i="33"/>
  <c r="R295" i="33"/>
  <c r="R296" i="33"/>
  <c r="R297" i="33"/>
  <c r="R298" i="33"/>
  <c r="R299" i="33"/>
  <c r="R300" i="33"/>
  <c r="R301" i="33"/>
  <c r="R302" i="33"/>
  <c r="R303" i="33"/>
  <c r="R304" i="33"/>
  <c r="R305" i="33"/>
  <c r="R306" i="33"/>
  <c r="R307" i="33"/>
  <c r="R308" i="33"/>
  <c r="R309" i="33"/>
  <c r="R310" i="33"/>
  <c r="R311" i="33"/>
  <c r="R312" i="33"/>
  <c r="R313" i="33"/>
  <c r="R314" i="33"/>
  <c r="R315" i="33"/>
  <c r="R316" i="33"/>
  <c r="R317" i="33"/>
  <c r="R318" i="33"/>
  <c r="R319" i="33"/>
  <c r="R320" i="33"/>
  <c r="R321" i="33"/>
  <c r="R322" i="33"/>
  <c r="R323" i="33"/>
  <c r="R324" i="33"/>
  <c r="R325" i="33"/>
  <c r="R326" i="33"/>
  <c r="R327" i="33"/>
  <c r="R328" i="33"/>
  <c r="R329" i="33"/>
  <c r="R330" i="33"/>
  <c r="R331" i="33"/>
  <c r="R332" i="33"/>
  <c r="R333" i="33"/>
  <c r="R334" i="33"/>
  <c r="R335" i="33"/>
  <c r="R336" i="33"/>
  <c r="R337" i="33"/>
  <c r="R338" i="33"/>
  <c r="R339" i="33"/>
  <c r="R340" i="33"/>
  <c r="R341" i="33"/>
  <c r="R342" i="33"/>
  <c r="R343" i="33"/>
  <c r="R344" i="33"/>
  <c r="R345" i="33"/>
  <c r="R346" i="33"/>
  <c r="R347" i="33"/>
  <c r="R348" i="33"/>
  <c r="R349" i="33"/>
  <c r="R350" i="33"/>
  <c r="R351" i="33"/>
  <c r="R352" i="33"/>
  <c r="R353" i="33"/>
  <c r="R354" i="33"/>
  <c r="R355" i="33"/>
  <c r="R356" i="33"/>
  <c r="R357" i="33"/>
  <c r="R358" i="33"/>
  <c r="R359" i="33"/>
  <c r="R360" i="33"/>
  <c r="R361" i="33"/>
  <c r="R362" i="33"/>
  <c r="R363" i="33"/>
  <c r="R364" i="33"/>
  <c r="R365" i="33"/>
  <c r="R366" i="33"/>
  <c r="R367" i="33"/>
  <c r="R368" i="33"/>
  <c r="R369" i="33"/>
  <c r="R370" i="33"/>
  <c r="R371" i="33"/>
  <c r="R372" i="33"/>
  <c r="R373" i="33"/>
  <c r="R374" i="33"/>
  <c r="R375" i="33"/>
  <c r="R376" i="33"/>
  <c r="R377" i="33"/>
  <c r="R378" i="33"/>
  <c r="R379" i="33"/>
  <c r="R380" i="33"/>
  <c r="R381" i="33"/>
  <c r="R382" i="33"/>
  <c r="R383" i="33"/>
  <c r="R384" i="33"/>
  <c r="R385" i="33"/>
  <c r="R386" i="33"/>
  <c r="R387" i="33"/>
  <c r="R388" i="33"/>
  <c r="R389" i="33"/>
  <c r="R390" i="33"/>
  <c r="R391" i="33"/>
  <c r="R392" i="33"/>
  <c r="R393" i="33"/>
  <c r="R394" i="33"/>
  <c r="R395" i="33"/>
  <c r="R396" i="33"/>
  <c r="R397" i="33"/>
  <c r="R398" i="33"/>
  <c r="R399" i="33"/>
  <c r="R400" i="33"/>
  <c r="R401" i="33"/>
  <c r="R402" i="33"/>
  <c r="R403" i="33"/>
  <c r="R404" i="33"/>
  <c r="R405" i="33"/>
  <c r="R406" i="33"/>
  <c r="R407" i="33"/>
  <c r="R408" i="33"/>
  <c r="R409" i="33"/>
  <c r="R410" i="33"/>
  <c r="R411" i="33"/>
  <c r="R412" i="33"/>
  <c r="R413" i="33"/>
  <c r="R414" i="33"/>
  <c r="R415" i="33"/>
  <c r="R416" i="33"/>
  <c r="R417" i="33"/>
  <c r="R418" i="33"/>
  <c r="R419" i="33"/>
  <c r="R420" i="33"/>
  <c r="R421" i="33"/>
  <c r="R422" i="33"/>
  <c r="R423" i="33"/>
  <c r="R424" i="33"/>
  <c r="R425" i="33"/>
  <c r="R426" i="33"/>
  <c r="R427" i="33"/>
  <c r="R428" i="33"/>
  <c r="R429" i="33"/>
  <c r="R430" i="33"/>
  <c r="R431" i="33"/>
  <c r="R432" i="33"/>
  <c r="R433" i="33"/>
  <c r="R434" i="33"/>
  <c r="R435" i="33"/>
  <c r="R436" i="33"/>
  <c r="R437" i="33"/>
  <c r="R438" i="33"/>
  <c r="R439" i="33"/>
  <c r="R440" i="33"/>
  <c r="R441" i="33"/>
  <c r="R442" i="33"/>
  <c r="R443" i="33"/>
  <c r="R444" i="33"/>
  <c r="R445" i="33"/>
  <c r="R446" i="33"/>
  <c r="R447" i="33"/>
  <c r="R448" i="33"/>
  <c r="R449" i="33"/>
  <c r="R450" i="33"/>
  <c r="R451" i="33"/>
  <c r="R452" i="33"/>
  <c r="R453" i="33"/>
  <c r="R454" i="33"/>
  <c r="R455" i="33"/>
  <c r="R456" i="33"/>
  <c r="R457" i="33"/>
  <c r="R458" i="33"/>
  <c r="R459" i="33"/>
  <c r="R460" i="33"/>
  <c r="R461" i="33"/>
  <c r="R462" i="33"/>
  <c r="R463" i="33"/>
  <c r="R464" i="33"/>
  <c r="R465" i="33"/>
  <c r="R466" i="33"/>
  <c r="R467" i="33"/>
  <c r="R468" i="33"/>
  <c r="R469" i="33"/>
  <c r="R470" i="33"/>
  <c r="R471" i="33"/>
  <c r="R472" i="33"/>
  <c r="R473" i="33"/>
  <c r="R474" i="33"/>
  <c r="R475" i="33"/>
  <c r="R476" i="33"/>
  <c r="R477" i="33"/>
  <c r="R478" i="33"/>
  <c r="R479" i="33"/>
  <c r="R480" i="33"/>
  <c r="R481" i="33"/>
  <c r="R482" i="33"/>
  <c r="R483" i="33"/>
  <c r="R484" i="33"/>
  <c r="R485" i="33"/>
  <c r="R486" i="33"/>
  <c r="R487" i="33"/>
  <c r="R488" i="33"/>
  <c r="R489" i="33"/>
  <c r="R490" i="33"/>
  <c r="R491" i="33"/>
  <c r="R492" i="33"/>
  <c r="R493" i="33"/>
  <c r="R494" i="33"/>
  <c r="R495" i="33"/>
  <c r="R496" i="33"/>
  <c r="R497" i="33"/>
  <c r="R498" i="33"/>
  <c r="R499" i="33"/>
  <c r="R500" i="33"/>
  <c r="R501" i="33"/>
  <c r="R502" i="33"/>
  <c r="R503" i="33"/>
  <c r="R504" i="33"/>
  <c r="R505" i="33"/>
  <c r="R506" i="33"/>
  <c r="R507" i="33"/>
  <c r="R508" i="33"/>
  <c r="R509" i="33"/>
  <c r="R510" i="33"/>
  <c r="R511" i="33"/>
  <c r="R512" i="33"/>
  <c r="R513" i="33"/>
  <c r="R514" i="33"/>
  <c r="R515" i="33"/>
  <c r="R516" i="33"/>
  <c r="R517" i="33"/>
  <c r="R518" i="33"/>
  <c r="R519" i="33"/>
  <c r="D27" i="28" s="1"/>
  <c r="R520" i="33"/>
  <c r="R521" i="33"/>
  <c r="R522" i="33"/>
  <c r="R523" i="33"/>
  <c r="R524" i="33"/>
  <c r="R525" i="33"/>
  <c r="J27" i="28" s="1"/>
  <c r="R526" i="33"/>
  <c r="R527" i="33"/>
  <c r="R528" i="33"/>
  <c r="R529" i="33"/>
  <c r="R530" i="33"/>
  <c r="R531" i="33"/>
  <c r="P27" i="28" s="1"/>
  <c r="R532" i="33"/>
  <c r="R533" i="33"/>
  <c r="R534" i="33"/>
  <c r="R535" i="33"/>
  <c r="R536" i="33"/>
  <c r="R537" i="33"/>
  <c r="V27" i="28" s="1"/>
  <c r="R538" i="33"/>
  <c r="R539" i="33"/>
  <c r="R540" i="33"/>
  <c r="R541" i="33"/>
  <c r="R542" i="33"/>
  <c r="R543" i="33"/>
  <c r="AB27" i="28" s="1"/>
  <c r="R544" i="33"/>
  <c r="R545" i="33"/>
  <c r="R546" i="33"/>
  <c r="R547" i="33"/>
  <c r="R172" i="33"/>
  <c r="M184" i="33"/>
  <c r="M185" i="33"/>
  <c r="M186" i="33"/>
  <c r="M187" i="33"/>
  <c r="M188" i="33"/>
  <c r="M189" i="33"/>
  <c r="M190" i="33"/>
  <c r="M191" i="33"/>
  <c r="M192" i="33"/>
  <c r="M193" i="33"/>
  <c r="M194" i="33"/>
  <c r="M195" i="33"/>
  <c r="M196" i="33"/>
  <c r="M197" i="33"/>
  <c r="M198" i="33"/>
  <c r="M199" i="33"/>
  <c r="M200" i="33"/>
  <c r="M201" i="33"/>
  <c r="M202" i="33"/>
  <c r="M203" i="33"/>
  <c r="M204" i="33"/>
  <c r="M205" i="33"/>
  <c r="M206" i="33"/>
  <c r="M207" i="33"/>
  <c r="M208" i="33"/>
  <c r="M209" i="33"/>
  <c r="M210" i="33"/>
  <c r="M211" i="33"/>
  <c r="M212" i="33"/>
  <c r="M213" i="33"/>
  <c r="M214" i="33"/>
  <c r="M215" i="33"/>
  <c r="M216" i="33"/>
  <c r="M217" i="33"/>
  <c r="M218" i="33"/>
  <c r="M219" i="33"/>
  <c r="M220" i="33"/>
  <c r="M221" i="33"/>
  <c r="M222" i="33"/>
  <c r="M223" i="33"/>
  <c r="M224" i="33"/>
  <c r="M225" i="33"/>
  <c r="M226" i="33"/>
  <c r="M227" i="33"/>
  <c r="M228" i="33"/>
  <c r="M229" i="33"/>
  <c r="M230" i="33"/>
  <c r="M231" i="33"/>
  <c r="M232" i="33"/>
  <c r="M233" i="33"/>
  <c r="M234" i="33"/>
  <c r="M235" i="33"/>
  <c r="M236" i="33"/>
  <c r="M237" i="33"/>
  <c r="M238" i="33"/>
  <c r="M239" i="33"/>
  <c r="M240" i="33"/>
  <c r="M241" i="33"/>
  <c r="M242" i="33"/>
  <c r="M243" i="33"/>
  <c r="M244" i="33"/>
  <c r="M245" i="33"/>
  <c r="M246" i="33"/>
  <c r="M247" i="33"/>
  <c r="M248" i="33"/>
  <c r="M249" i="33"/>
  <c r="M250" i="33"/>
  <c r="M251" i="33"/>
  <c r="M252" i="33"/>
  <c r="M253" i="33"/>
  <c r="M254" i="33"/>
  <c r="M255" i="33"/>
  <c r="M256" i="33"/>
  <c r="M257" i="33"/>
  <c r="M258" i="33"/>
  <c r="M259" i="33"/>
  <c r="M260" i="33"/>
  <c r="M261" i="33"/>
  <c r="M262" i="33"/>
  <c r="M263" i="33"/>
  <c r="M264" i="33"/>
  <c r="M265" i="33"/>
  <c r="M266" i="33"/>
  <c r="M267" i="33"/>
  <c r="M268" i="33"/>
  <c r="M269" i="33"/>
  <c r="M270" i="33"/>
  <c r="M271" i="33"/>
  <c r="M272" i="33"/>
  <c r="M273" i="33"/>
  <c r="M274" i="33"/>
  <c r="M275" i="33"/>
  <c r="M276" i="33"/>
  <c r="M277" i="33"/>
  <c r="M278" i="33"/>
  <c r="M279" i="33"/>
  <c r="M280" i="33"/>
  <c r="M281" i="33"/>
  <c r="M282" i="33"/>
  <c r="M283" i="33"/>
  <c r="M284" i="33"/>
  <c r="M285" i="33"/>
  <c r="M286" i="33"/>
  <c r="M287" i="33"/>
  <c r="M288" i="33"/>
  <c r="M289" i="33"/>
  <c r="M290" i="33"/>
  <c r="M291" i="33"/>
  <c r="M292" i="33"/>
  <c r="M293" i="33"/>
  <c r="M294" i="33"/>
  <c r="M295" i="33"/>
  <c r="M296" i="33"/>
  <c r="M297" i="33"/>
  <c r="M298" i="33"/>
  <c r="M299" i="33"/>
  <c r="M300" i="33"/>
  <c r="M301" i="33"/>
  <c r="M302" i="33"/>
  <c r="M303" i="33"/>
  <c r="M304" i="33"/>
  <c r="M305" i="33"/>
  <c r="M306" i="33"/>
  <c r="M307" i="33"/>
  <c r="M308" i="33"/>
  <c r="M309" i="33"/>
  <c r="M310" i="33"/>
  <c r="M311" i="33"/>
  <c r="M312" i="33"/>
  <c r="M313" i="33"/>
  <c r="M314" i="33"/>
  <c r="M315" i="33"/>
  <c r="M316" i="33"/>
  <c r="M317" i="33"/>
  <c r="M318" i="33"/>
  <c r="M319" i="33"/>
  <c r="M320" i="33"/>
  <c r="M321" i="33"/>
  <c r="M322" i="33"/>
  <c r="M323" i="33"/>
  <c r="M324" i="33"/>
  <c r="M325" i="33"/>
  <c r="M326" i="33"/>
  <c r="M327" i="33"/>
  <c r="M328" i="33"/>
  <c r="M329" i="33"/>
  <c r="M330" i="33"/>
  <c r="M331" i="33"/>
  <c r="M332" i="33"/>
  <c r="M333" i="33"/>
  <c r="M334" i="33"/>
  <c r="M335" i="33"/>
  <c r="M336" i="33"/>
  <c r="M337" i="33"/>
  <c r="M338" i="33"/>
  <c r="M339" i="33"/>
  <c r="M340" i="33"/>
  <c r="M341" i="33"/>
  <c r="M342" i="33"/>
  <c r="M343" i="33"/>
  <c r="M344" i="33"/>
  <c r="M345" i="33"/>
  <c r="M346" i="33"/>
  <c r="M347" i="33"/>
  <c r="M348" i="33"/>
  <c r="M349" i="33"/>
  <c r="M350" i="33"/>
  <c r="M351" i="33"/>
  <c r="M352" i="33"/>
  <c r="M353" i="33"/>
  <c r="M354" i="33"/>
  <c r="M355" i="33"/>
  <c r="M356" i="33"/>
  <c r="M357" i="33"/>
  <c r="M358" i="33"/>
  <c r="M359" i="33"/>
  <c r="M360" i="33"/>
  <c r="M361" i="33"/>
  <c r="M362" i="33"/>
  <c r="M363" i="33"/>
  <c r="M364" i="33"/>
  <c r="M365" i="33"/>
  <c r="M366" i="33"/>
  <c r="M367" i="33"/>
  <c r="M368" i="33"/>
  <c r="M369" i="33"/>
  <c r="M370" i="33"/>
  <c r="M371" i="33"/>
  <c r="M372" i="33"/>
  <c r="M373" i="33"/>
  <c r="M374" i="33"/>
  <c r="M375" i="33"/>
  <c r="M376" i="33"/>
  <c r="M377" i="33"/>
  <c r="M378" i="33"/>
  <c r="M379" i="33"/>
  <c r="M380" i="33"/>
  <c r="M381" i="33"/>
  <c r="M382" i="33"/>
  <c r="M383" i="33"/>
  <c r="M384" i="33"/>
  <c r="M385" i="33"/>
  <c r="M386" i="33"/>
  <c r="M387" i="33"/>
  <c r="M388" i="33"/>
  <c r="M389" i="33"/>
  <c r="M390" i="33"/>
  <c r="M391" i="33"/>
  <c r="M392" i="33"/>
  <c r="M393" i="33"/>
  <c r="M394" i="33"/>
  <c r="M395" i="33"/>
  <c r="M396" i="33"/>
  <c r="M397" i="33"/>
  <c r="M398" i="33"/>
  <c r="M399" i="33"/>
  <c r="M400" i="33"/>
  <c r="M401" i="33"/>
  <c r="M402" i="33"/>
  <c r="M403" i="33"/>
  <c r="M404" i="33"/>
  <c r="M405" i="33"/>
  <c r="M406" i="33"/>
  <c r="M407" i="33"/>
  <c r="M408" i="33"/>
  <c r="M409" i="33"/>
  <c r="M410" i="33"/>
  <c r="M411" i="33"/>
  <c r="M412" i="33"/>
  <c r="M413" i="33"/>
  <c r="M414" i="33"/>
  <c r="M415" i="33"/>
  <c r="M416" i="33"/>
  <c r="M417" i="33"/>
  <c r="M418" i="33"/>
  <c r="M419" i="33"/>
  <c r="M420" i="33"/>
  <c r="M421" i="33"/>
  <c r="M422" i="33"/>
  <c r="M423" i="33"/>
  <c r="M424" i="33"/>
  <c r="M425" i="33"/>
  <c r="M426" i="33"/>
  <c r="M427" i="33"/>
  <c r="M428" i="33"/>
  <c r="M429" i="33"/>
  <c r="M430" i="33"/>
  <c r="M431" i="33"/>
  <c r="M432" i="33"/>
  <c r="M433" i="33"/>
  <c r="M434" i="33"/>
  <c r="M435" i="33"/>
  <c r="M436" i="33"/>
  <c r="M437" i="33"/>
  <c r="M438" i="33"/>
  <c r="M439" i="33"/>
  <c r="M440" i="33"/>
  <c r="M441" i="33"/>
  <c r="M442" i="33"/>
  <c r="M443" i="33"/>
  <c r="M444" i="33"/>
  <c r="M445" i="33"/>
  <c r="M446" i="33"/>
  <c r="M447" i="33"/>
  <c r="M448" i="33"/>
  <c r="M449" i="33"/>
  <c r="M450" i="33"/>
  <c r="M451" i="33"/>
  <c r="M452" i="33"/>
  <c r="M453" i="33"/>
  <c r="M454" i="33"/>
  <c r="M455" i="33"/>
  <c r="M456" i="33"/>
  <c r="M457" i="33"/>
  <c r="M458" i="33"/>
  <c r="M459" i="33"/>
  <c r="M460" i="33"/>
  <c r="M461" i="33"/>
  <c r="M462" i="33"/>
  <c r="M463" i="33"/>
  <c r="M464" i="33"/>
  <c r="M465" i="33"/>
  <c r="M466" i="33"/>
  <c r="M467" i="33"/>
  <c r="M468" i="33"/>
  <c r="M469" i="33"/>
  <c r="M470" i="33"/>
  <c r="M471" i="33"/>
  <c r="M472" i="33"/>
  <c r="M473" i="33"/>
  <c r="M474" i="33"/>
  <c r="M475" i="33"/>
  <c r="M476" i="33"/>
  <c r="M477" i="33"/>
  <c r="M478" i="33"/>
  <c r="M479" i="33"/>
  <c r="M480" i="33"/>
  <c r="M481" i="33"/>
  <c r="M482" i="33"/>
  <c r="M483" i="33"/>
  <c r="M484" i="33"/>
  <c r="M485" i="33"/>
  <c r="M486" i="33"/>
  <c r="M487" i="33"/>
  <c r="M488" i="33"/>
  <c r="M489" i="33"/>
  <c r="M490" i="33"/>
  <c r="M491" i="33"/>
  <c r="M492" i="33"/>
  <c r="M493" i="33"/>
  <c r="M494" i="33"/>
  <c r="M495" i="33"/>
  <c r="M496" i="33"/>
  <c r="M497" i="33"/>
  <c r="M498" i="33"/>
  <c r="M499" i="33"/>
  <c r="M500" i="33"/>
  <c r="M501" i="33"/>
  <c r="M502" i="33"/>
  <c r="M503" i="33"/>
  <c r="M504" i="33"/>
  <c r="M505" i="33"/>
  <c r="M506" i="33"/>
  <c r="M507" i="33"/>
  <c r="M508" i="33"/>
  <c r="M509" i="33"/>
  <c r="M510" i="33"/>
  <c r="M511" i="33"/>
  <c r="M512" i="33"/>
  <c r="M513" i="33"/>
  <c r="M514" i="33"/>
  <c r="M515" i="33"/>
  <c r="M516" i="33"/>
  <c r="M517" i="33"/>
  <c r="M518" i="33"/>
  <c r="M519" i="33"/>
  <c r="D31" i="28" s="1"/>
  <c r="M520" i="33"/>
  <c r="E31" i="28" s="1"/>
  <c r="M521" i="33"/>
  <c r="F31" i="28" s="1"/>
  <c r="M522" i="33"/>
  <c r="G31" i="28" s="1"/>
  <c r="M523" i="33"/>
  <c r="H31" i="28" s="1"/>
  <c r="M524" i="33"/>
  <c r="I31" i="28" s="1"/>
  <c r="M525" i="33"/>
  <c r="J31" i="28" s="1"/>
  <c r="M526" i="33"/>
  <c r="K31" i="28" s="1"/>
  <c r="M527" i="33"/>
  <c r="L31" i="28" s="1"/>
  <c r="M528" i="33"/>
  <c r="M31" i="28" s="1"/>
  <c r="M529" i="33"/>
  <c r="N31" i="28" s="1"/>
  <c r="M530" i="33"/>
  <c r="O31" i="28" s="1"/>
  <c r="M531" i="33"/>
  <c r="P31" i="28" s="1"/>
  <c r="M532" i="33"/>
  <c r="Q31" i="28" s="1"/>
  <c r="M533" i="33"/>
  <c r="R31" i="28" s="1"/>
  <c r="M534" i="33"/>
  <c r="S31" i="28" s="1"/>
  <c r="M535" i="33"/>
  <c r="T31" i="28" s="1"/>
  <c r="M536" i="33"/>
  <c r="U31" i="28" s="1"/>
  <c r="M537" i="33"/>
  <c r="V31" i="28" s="1"/>
  <c r="M538" i="33"/>
  <c r="W31" i="28" s="1"/>
  <c r="M539" i="33"/>
  <c r="X31" i="28" s="1"/>
  <c r="M540" i="33"/>
  <c r="Y31" i="28" s="1"/>
  <c r="M541" i="33"/>
  <c r="Z31" i="28" s="1"/>
  <c r="M542" i="33"/>
  <c r="AA31" i="28" s="1"/>
  <c r="M543" i="33"/>
  <c r="AB31" i="28" s="1"/>
  <c r="M544" i="33"/>
  <c r="AC31" i="28" s="1"/>
  <c r="M545" i="33"/>
  <c r="AD31" i="28" s="1"/>
  <c r="M546" i="33"/>
  <c r="AE31" i="28" s="1"/>
  <c r="M547" i="33"/>
  <c r="AF31" i="28" s="1"/>
  <c r="M548" i="33"/>
  <c r="AG31" i="28" s="1"/>
  <c r="M549" i="33"/>
  <c r="AH31" i="28" s="1"/>
  <c r="M550" i="33"/>
  <c r="AI31" i="28" s="1"/>
  <c r="M551" i="33"/>
  <c r="AJ31" i="28" s="1"/>
  <c r="M552" i="33"/>
  <c r="AK31" i="28" s="1"/>
  <c r="M553" i="33"/>
  <c r="AL31" i="28" s="1"/>
  <c r="M183" i="33"/>
  <c r="L172" i="33"/>
  <c r="L174" i="33"/>
  <c r="L175" i="33"/>
  <c r="L176" i="33"/>
  <c r="L177" i="33"/>
  <c r="L178" i="33"/>
  <c r="L179" i="33"/>
  <c r="L180" i="33"/>
  <c r="L181" i="33"/>
  <c r="L182" i="33"/>
  <c r="L183" i="33"/>
  <c r="L184" i="33"/>
  <c r="L185" i="33"/>
  <c r="L186" i="33"/>
  <c r="L187" i="33"/>
  <c r="L188" i="33"/>
  <c r="L189" i="33"/>
  <c r="L190" i="33"/>
  <c r="L191" i="33"/>
  <c r="L192" i="33"/>
  <c r="L193" i="33"/>
  <c r="L194" i="33"/>
  <c r="L195" i="33"/>
  <c r="L196" i="33"/>
  <c r="L197" i="33"/>
  <c r="L198" i="33"/>
  <c r="L199" i="33"/>
  <c r="L200" i="33"/>
  <c r="L201" i="33"/>
  <c r="L202" i="33"/>
  <c r="L203" i="33"/>
  <c r="L204" i="33"/>
  <c r="L205" i="33"/>
  <c r="L206" i="33"/>
  <c r="L207" i="33"/>
  <c r="L208" i="33"/>
  <c r="L209" i="33"/>
  <c r="L210" i="33"/>
  <c r="L211" i="33"/>
  <c r="L212" i="33"/>
  <c r="L213" i="33"/>
  <c r="L214" i="33"/>
  <c r="L215" i="33"/>
  <c r="L216" i="33"/>
  <c r="L217" i="33"/>
  <c r="L218" i="33"/>
  <c r="L219" i="33"/>
  <c r="L220" i="33"/>
  <c r="L221" i="33"/>
  <c r="L222" i="33"/>
  <c r="L223" i="33"/>
  <c r="L224" i="33"/>
  <c r="L225" i="33"/>
  <c r="L226" i="33"/>
  <c r="L227" i="33"/>
  <c r="L228" i="33"/>
  <c r="L229" i="33"/>
  <c r="L230" i="33"/>
  <c r="L231" i="33"/>
  <c r="L232" i="33"/>
  <c r="L233" i="33"/>
  <c r="L234" i="33"/>
  <c r="L235" i="33"/>
  <c r="L236" i="33"/>
  <c r="L237" i="33"/>
  <c r="L238" i="33"/>
  <c r="L239" i="33"/>
  <c r="L240" i="33"/>
  <c r="L241" i="33"/>
  <c r="L242" i="33"/>
  <c r="L243" i="33"/>
  <c r="L244" i="33"/>
  <c r="L245" i="33"/>
  <c r="L246" i="33"/>
  <c r="L247" i="33"/>
  <c r="L248" i="33"/>
  <c r="L249" i="33"/>
  <c r="L250" i="33"/>
  <c r="L251" i="33"/>
  <c r="L252" i="33"/>
  <c r="L253" i="33"/>
  <c r="L254" i="33"/>
  <c r="L255" i="33"/>
  <c r="L256" i="33"/>
  <c r="L257" i="33"/>
  <c r="L258" i="33"/>
  <c r="L259" i="33"/>
  <c r="L260" i="33"/>
  <c r="L261" i="33"/>
  <c r="L262" i="33"/>
  <c r="L263" i="33"/>
  <c r="L264" i="33"/>
  <c r="L265" i="33"/>
  <c r="L266" i="33"/>
  <c r="L267" i="33"/>
  <c r="L268" i="33"/>
  <c r="L269" i="33"/>
  <c r="L270" i="33"/>
  <c r="L271" i="33"/>
  <c r="L272" i="33"/>
  <c r="L273" i="33"/>
  <c r="L274" i="33"/>
  <c r="L275" i="33"/>
  <c r="L276" i="33"/>
  <c r="L277" i="33"/>
  <c r="L278" i="33"/>
  <c r="L279" i="33"/>
  <c r="L280" i="33"/>
  <c r="L281" i="33"/>
  <c r="L282" i="33"/>
  <c r="L283" i="33"/>
  <c r="L284" i="33"/>
  <c r="L285" i="33"/>
  <c r="L286" i="33"/>
  <c r="L287" i="33"/>
  <c r="L288" i="33"/>
  <c r="L289" i="33"/>
  <c r="L290" i="33"/>
  <c r="L291" i="33"/>
  <c r="L292" i="33"/>
  <c r="L293" i="33"/>
  <c r="L294" i="33"/>
  <c r="L295" i="33"/>
  <c r="L296" i="33"/>
  <c r="L297" i="33"/>
  <c r="L298" i="33"/>
  <c r="L299" i="33"/>
  <c r="L300" i="33"/>
  <c r="L301" i="33"/>
  <c r="L302" i="33"/>
  <c r="L303" i="33"/>
  <c r="L304" i="33"/>
  <c r="L305" i="33"/>
  <c r="L306" i="33"/>
  <c r="L307" i="33"/>
  <c r="L308" i="33"/>
  <c r="L309" i="33"/>
  <c r="L310" i="33"/>
  <c r="L311" i="33"/>
  <c r="L312" i="33"/>
  <c r="L313" i="33"/>
  <c r="L314" i="33"/>
  <c r="L315" i="33"/>
  <c r="L316" i="33"/>
  <c r="L317" i="33"/>
  <c r="L318" i="33"/>
  <c r="L319" i="33"/>
  <c r="L320" i="33"/>
  <c r="L321" i="33"/>
  <c r="L322" i="33"/>
  <c r="L323" i="33"/>
  <c r="L324" i="33"/>
  <c r="L325" i="33"/>
  <c r="L326" i="33"/>
  <c r="L327" i="33"/>
  <c r="L328" i="33"/>
  <c r="L329" i="33"/>
  <c r="L330" i="33"/>
  <c r="L331" i="33"/>
  <c r="L332" i="33"/>
  <c r="L333" i="33"/>
  <c r="L334" i="33"/>
  <c r="L335" i="33"/>
  <c r="L336" i="33"/>
  <c r="L337" i="33"/>
  <c r="L338" i="33"/>
  <c r="L339" i="33"/>
  <c r="L340" i="33"/>
  <c r="L341" i="33"/>
  <c r="L342" i="33"/>
  <c r="L343" i="33"/>
  <c r="L344" i="33"/>
  <c r="L345" i="33"/>
  <c r="L346" i="33"/>
  <c r="L347" i="33"/>
  <c r="L348" i="33"/>
  <c r="L349" i="33"/>
  <c r="L350" i="33"/>
  <c r="L351" i="33"/>
  <c r="L352" i="33"/>
  <c r="L353" i="33"/>
  <c r="L354" i="33"/>
  <c r="L355" i="33"/>
  <c r="L356" i="33"/>
  <c r="L357" i="33"/>
  <c r="L358" i="33"/>
  <c r="L359" i="33"/>
  <c r="L360" i="33"/>
  <c r="L361" i="33"/>
  <c r="L362" i="33"/>
  <c r="L363" i="33"/>
  <c r="L364" i="33"/>
  <c r="L365" i="33"/>
  <c r="L366" i="33"/>
  <c r="L367" i="33"/>
  <c r="L368" i="33"/>
  <c r="L369" i="33"/>
  <c r="L370" i="33"/>
  <c r="L371" i="33"/>
  <c r="L372" i="33"/>
  <c r="L373" i="33"/>
  <c r="L374" i="33"/>
  <c r="L375" i="33"/>
  <c r="L376" i="33"/>
  <c r="L377" i="33"/>
  <c r="L378" i="33"/>
  <c r="L379" i="33"/>
  <c r="L380" i="33"/>
  <c r="L381" i="33"/>
  <c r="L382" i="33"/>
  <c r="L383" i="33"/>
  <c r="L384" i="33"/>
  <c r="L385" i="33"/>
  <c r="L386" i="33"/>
  <c r="L387" i="33"/>
  <c r="L388" i="33"/>
  <c r="L389" i="33"/>
  <c r="L390" i="33"/>
  <c r="L391" i="33"/>
  <c r="L392" i="33"/>
  <c r="L393" i="33"/>
  <c r="L394" i="33"/>
  <c r="L395" i="33"/>
  <c r="L396" i="33"/>
  <c r="L397" i="33"/>
  <c r="L398" i="33"/>
  <c r="L399" i="33"/>
  <c r="L400" i="33"/>
  <c r="L401" i="33"/>
  <c r="L402" i="33"/>
  <c r="L403" i="33"/>
  <c r="L404" i="33"/>
  <c r="L405" i="33"/>
  <c r="L406" i="33"/>
  <c r="L407" i="33"/>
  <c r="L408" i="33"/>
  <c r="L409" i="33"/>
  <c r="L410" i="33"/>
  <c r="L411" i="33"/>
  <c r="L412" i="33"/>
  <c r="L413" i="33"/>
  <c r="L414" i="33"/>
  <c r="L415" i="33"/>
  <c r="L416" i="33"/>
  <c r="L417" i="33"/>
  <c r="L418" i="33"/>
  <c r="L419" i="33"/>
  <c r="L420" i="33"/>
  <c r="L421" i="33"/>
  <c r="L422" i="33"/>
  <c r="L423" i="33"/>
  <c r="L424" i="33"/>
  <c r="L425" i="33"/>
  <c r="L426" i="33"/>
  <c r="L427" i="33"/>
  <c r="L428" i="33"/>
  <c r="L429" i="33"/>
  <c r="L430" i="33"/>
  <c r="L431" i="33"/>
  <c r="L432" i="33"/>
  <c r="L433" i="33"/>
  <c r="L434" i="33"/>
  <c r="L435" i="33"/>
  <c r="L436" i="33"/>
  <c r="L437" i="33"/>
  <c r="L438" i="33"/>
  <c r="L439" i="33"/>
  <c r="L440" i="33"/>
  <c r="L441" i="33"/>
  <c r="L442" i="33"/>
  <c r="L443" i="33"/>
  <c r="L444" i="33"/>
  <c r="L445" i="33"/>
  <c r="L446" i="33"/>
  <c r="L447" i="33"/>
  <c r="L448" i="33"/>
  <c r="L449" i="33"/>
  <c r="L450" i="33"/>
  <c r="L451" i="33"/>
  <c r="L452" i="33"/>
  <c r="L453" i="33"/>
  <c r="L454" i="33"/>
  <c r="L455" i="33"/>
  <c r="L456" i="33"/>
  <c r="L457" i="33"/>
  <c r="L458" i="33"/>
  <c r="L459" i="33"/>
  <c r="L460" i="33"/>
  <c r="L461" i="33"/>
  <c r="L462" i="33"/>
  <c r="L463" i="33"/>
  <c r="L464" i="33"/>
  <c r="L465" i="33"/>
  <c r="L466" i="33"/>
  <c r="L467" i="33"/>
  <c r="L468" i="33"/>
  <c r="L469" i="33"/>
  <c r="L470" i="33"/>
  <c r="L471" i="33"/>
  <c r="L472" i="33"/>
  <c r="L473" i="33"/>
  <c r="L474" i="33"/>
  <c r="L475" i="33"/>
  <c r="L476" i="33"/>
  <c r="L477" i="33"/>
  <c r="L478" i="33"/>
  <c r="L479" i="33"/>
  <c r="L480" i="33"/>
  <c r="L481" i="33"/>
  <c r="L482" i="33"/>
  <c r="L483" i="33"/>
  <c r="L484" i="33"/>
  <c r="L485" i="33"/>
  <c r="L486" i="33"/>
  <c r="L487" i="33"/>
  <c r="L488" i="33"/>
  <c r="L489" i="33"/>
  <c r="L490" i="33"/>
  <c r="L491" i="33"/>
  <c r="L492" i="33"/>
  <c r="L493" i="33"/>
  <c r="L494" i="33"/>
  <c r="L495" i="33"/>
  <c r="L496" i="33"/>
  <c r="L497" i="33"/>
  <c r="L498" i="33"/>
  <c r="L499" i="33"/>
  <c r="L500" i="33"/>
  <c r="L501" i="33"/>
  <c r="L502" i="33"/>
  <c r="L503" i="33"/>
  <c r="L504" i="33"/>
  <c r="L505" i="33"/>
  <c r="L506" i="33"/>
  <c r="L507" i="33"/>
  <c r="L508" i="33"/>
  <c r="L509" i="33"/>
  <c r="L510" i="33"/>
  <c r="L511" i="33"/>
  <c r="L512" i="33"/>
  <c r="L513" i="33"/>
  <c r="L514" i="33"/>
  <c r="L515" i="33"/>
  <c r="L516" i="33"/>
  <c r="L517" i="33"/>
  <c r="L518" i="33"/>
  <c r="L519" i="33"/>
  <c r="D26" i="28" s="1"/>
  <c r="L520" i="33"/>
  <c r="E26" i="28" s="1"/>
  <c r="L521" i="33"/>
  <c r="F26" i="28" s="1"/>
  <c r="L522" i="33"/>
  <c r="G26" i="28" s="1"/>
  <c r="L523" i="33"/>
  <c r="H26" i="28" s="1"/>
  <c r="L524" i="33"/>
  <c r="I26" i="28" s="1"/>
  <c r="L525" i="33"/>
  <c r="J26" i="28" s="1"/>
  <c r="L526" i="33"/>
  <c r="K26" i="28" s="1"/>
  <c r="L527" i="33"/>
  <c r="L26" i="28" s="1"/>
  <c r="L528" i="33"/>
  <c r="M26" i="28" s="1"/>
  <c r="L529" i="33"/>
  <c r="N26" i="28" s="1"/>
  <c r="L530" i="33"/>
  <c r="O26" i="28" s="1"/>
  <c r="L531" i="33"/>
  <c r="P26" i="28" s="1"/>
  <c r="L532" i="33"/>
  <c r="Q26" i="28" s="1"/>
  <c r="L533" i="33"/>
  <c r="R26" i="28" s="1"/>
  <c r="L534" i="33"/>
  <c r="S26" i="28" s="1"/>
  <c r="L535" i="33"/>
  <c r="T26" i="28" s="1"/>
  <c r="L536" i="33"/>
  <c r="U26" i="28" s="1"/>
  <c r="L537" i="33"/>
  <c r="V26" i="28" s="1"/>
  <c r="L538" i="33"/>
  <c r="W26" i="28" s="1"/>
  <c r="L539" i="33"/>
  <c r="X26" i="28" s="1"/>
  <c r="L540" i="33"/>
  <c r="Y26" i="28" s="1"/>
  <c r="L541" i="33"/>
  <c r="Z26" i="28" s="1"/>
  <c r="L542" i="33"/>
  <c r="AA26" i="28" s="1"/>
  <c r="L543" i="33"/>
  <c r="AB26" i="28" s="1"/>
  <c r="L544" i="33"/>
  <c r="AC26" i="28" s="1"/>
  <c r="L545" i="33"/>
  <c r="AD26" i="28" s="1"/>
  <c r="L546" i="33"/>
  <c r="AE26" i="28" s="1"/>
  <c r="L547" i="33"/>
  <c r="AF26" i="28" s="1"/>
  <c r="L548" i="33"/>
  <c r="AG26" i="28" s="1"/>
  <c r="L549" i="33"/>
  <c r="AH26" i="28" s="1"/>
  <c r="L550" i="33"/>
  <c r="AI26" i="28" s="1"/>
  <c r="L551" i="33"/>
  <c r="AJ26" i="28" s="1"/>
  <c r="L552" i="33"/>
  <c r="AK26" i="28" s="1"/>
  <c r="L553" i="33"/>
  <c r="AL26" i="28" s="1"/>
  <c r="L173" i="33"/>
  <c r="J183" i="33"/>
  <c r="J184" i="33"/>
  <c r="J185" i="33"/>
  <c r="J186" i="33"/>
  <c r="J187" i="33"/>
  <c r="J188" i="33"/>
  <c r="J189" i="33"/>
  <c r="J190" i="33"/>
  <c r="J191" i="33"/>
  <c r="J192" i="33"/>
  <c r="J193" i="33"/>
  <c r="J194" i="33"/>
  <c r="J195" i="33"/>
  <c r="J196" i="33"/>
  <c r="J197" i="33"/>
  <c r="J198" i="33"/>
  <c r="J199" i="33"/>
  <c r="J200" i="33"/>
  <c r="J201" i="33"/>
  <c r="J202" i="33"/>
  <c r="J203" i="33"/>
  <c r="J204" i="33"/>
  <c r="J205" i="33"/>
  <c r="J206" i="33"/>
  <c r="J207" i="33"/>
  <c r="J208" i="33"/>
  <c r="J209" i="33"/>
  <c r="J210" i="33"/>
  <c r="J211" i="33"/>
  <c r="J212" i="33"/>
  <c r="J213" i="33"/>
  <c r="J214" i="33"/>
  <c r="J215" i="33"/>
  <c r="J216" i="33"/>
  <c r="J217" i="33"/>
  <c r="J218" i="33"/>
  <c r="J219" i="33"/>
  <c r="J220" i="33"/>
  <c r="J221" i="33"/>
  <c r="J222" i="33"/>
  <c r="J223" i="33"/>
  <c r="J224" i="33"/>
  <c r="J225" i="33"/>
  <c r="J226" i="33"/>
  <c r="J227" i="33"/>
  <c r="J228" i="33"/>
  <c r="J229" i="33"/>
  <c r="J230" i="33"/>
  <c r="J231" i="33"/>
  <c r="J232" i="33"/>
  <c r="J233" i="33"/>
  <c r="J234" i="33"/>
  <c r="J235" i="33"/>
  <c r="J236" i="33"/>
  <c r="J237" i="33"/>
  <c r="J238" i="33"/>
  <c r="J239" i="33"/>
  <c r="J240" i="33"/>
  <c r="J241" i="33"/>
  <c r="J242" i="33"/>
  <c r="J243" i="33"/>
  <c r="J244" i="33"/>
  <c r="J245" i="33"/>
  <c r="J246" i="33"/>
  <c r="J247" i="33"/>
  <c r="J248" i="33"/>
  <c r="J249" i="33"/>
  <c r="J250" i="33"/>
  <c r="J251" i="33"/>
  <c r="J252" i="33"/>
  <c r="J253" i="33"/>
  <c r="J254" i="33"/>
  <c r="J255" i="33"/>
  <c r="J256" i="33"/>
  <c r="J257" i="33"/>
  <c r="J258" i="33"/>
  <c r="J259" i="33"/>
  <c r="J260" i="33"/>
  <c r="J261" i="33"/>
  <c r="J262" i="33"/>
  <c r="J263" i="33"/>
  <c r="J264" i="33"/>
  <c r="J265" i="33"/>
  <c r="J266" i="33"/>
  <c r="J267" i="33"/>
  <c r="J268" i="33"/>
  <c r="J269" i="33"/>
  <c r="J270" i="33"/>
  <c r="J271" i="33"/>
  <c r="J272" i="33"/>
  <c r="J273" i="33"/>
  <c r="J274" i="33"/>
  <c r="J275" i="33"/>
  <c r="J276" i="33"/>
  <c r="J277" i="33"/>
  <c r="J278" i="33"/>
  <c r="J279" i="33"/>
  <c r="J280" i="33"/>
  <c r="J281" i="33"/>
  <c r="J282" i="33"/>
  <c r="J283" i="33"/>
  <c r="J284" i="33"/>
  <c r="J285" i="33"/>
  <c r="J286" i="33"/>
  <c r="J287" i="33"/>
  <c r="J288" i="33"/>
  <c r="J289" i="33"/>
  <c r="J290" i="33"/>
  <c r="J291" i="33"/>
  <c r="J292" i="33"/>
  <c r="J293" i="33"/>
  <c r="J294" i="33"/>
  <c r="J295" i="33"/>
  <c r="J296" i="33"/>
  <c r="J297" i="33"/>
  <c r="J298" i="33"/>
  <c r="J299" i="33"/>
  <c r="J300" i="33"/>
  <c r="J301" i="33"/>
  <c r="J302" i="33"/>
  <c r="J303" i="33"/>
  <c r="J304" i="33"/>
  <c r="J305" i="33"/>
  <c r="J306" i="33"/>
  <c r="J307" i="33"/>
  <c r="J308" i="33"/>
  <c r="J309" i="33"/>
  <c r="J310" i="33"/>
  <c r="J311" i="33"/>
  <c r="J312" i="33"/>
  <c r="J313" i="33"/>
  <c r="J314" i="33"/>
  <c r="J315" i="33"/>
  <c r="J316" i="33"/>
  <c r="J317" i="33"/>
  <c r="J318" i="33"/>
  <c r="J319" i="33"/>
  <c r="J320" i="33"/>
  <c r="J321" i="33"/>
  <c r="J322" i="33"/>
  <c r="J323" i="33"/>
  <c r="J324" i="33"/>
  <c r="J325" i="33"/>
  <c r="J326" i="33"/>
  <c r="J327" i="33"/>
  <c r="J328" i="33"/>
  <c r="J329" i="33"/>
  <c r="J330" i="33"/>
  <c r="J331" i="33"/>
  <c r="J332" i="33"/>
  <c r="J333" i="33"/>
  <c r="J334" i="33"/>
  <c r="J335" i="33"/>
  <c r="J336" i="33"/>
  <c r="J337" i="33"/>
  <c r="J338" i="33"/>
  <c r="J339" i="33"/>
  <c r="J340" i="33"/>
  <c r="J341" i="33"/>
  <c r="J342" i="33"/>
  <c r="J343" i="33"/>
  <c r="J344" i="33"/>
  <c r="J345" i="33"/>
  <c r="J346" i="33"/>
  <c r="J347" i="33"/>
  <c r="J348" i="33"/>
  <c r="J349" i="33"/>
  <c r="J350" i="33"/>
  <c r="J351" i="33"/>
  <c r="J352" i="33"/>
  <c r="J353" i="33"/>
  <c r="J354" i="33"/>
  <c r="J355" i="33"/>
  <c r="J356" i="33"/>
  <c r="J357" i="33"/>
  <c r="J358" i="33"/>
  <c r="J359" i="33"/>
  <c r="J360" i="33"/>
  <c r="J361" i="33"/>
  <c r="J362" i="33"/>
  <c r="J363" i="33"/>
  <c r="J364" i="33"/>
  <c r="J365" i="33"/>
  <c r="J366" i="33"/>
  <c r="J367" i="33"/>
  <c r="J368" i="33"/>
  <c r="J369" i="33"/>
  <c r="J370" i="33"/>
  <c r="J371" i="33"/>
  <c r="J372" i="33"/>
  <c r="J373" i="33"/>
  <c r="J374" i="33"/>
  <c r="J375" i="33"/>
  <c r="J376" i="33"/>
  <c r="J377" i="33"/>
  <c r="J378" i="33"/>
  <c r="J379" i="33"/>
  <c r="J380" i="33"/>
  <c r="J381" i="33"/>
  <c r="J382" i="33"/>
  <c r="J383" i="33"/>
  <c r="J384" i="33"/>
  <c r="J385" i="33"/>
  <c r="J386" i="33"/>
  <c r="J387" i="33"/>
  <c r="J388" i="33"/>
  <c r="J389" i="33"/>
  <c r="J390" i="33"/>
  <c r="J391" i="33"/>
  <c r="J392" i="33"/>
  <c r="J393" i="33"/>
  <c r="J394" i="33"/>
  <c r="J395" i="33"/>
  <c r="J396" i="33"/>
  <c r="J397" i="33"/>
  <c r="J398" i="33"/>
  <c r="J399" i="33"/>
  <c r="J400" i="33"/>
  <c r="J401" i="33"/>
  <c r="J402" i="33"/>
  <c r="J403" i="33"/>
  <c r="J404" i="33"/>
  <c r="J405" i="33"/>
  <c r="J406" i="33"/>
  <c r="J407" i="33"/>
  <c r="J408" i="33"/>
  <c r="J409" i="33"/>
  <c r="J410" i="33"/>
  <c r="J411" i="33"/>
  <c r="J412" i="33"/>
  <c r="J413" i="33"/>
  <c r="J414" i="33"/>
  <c r="J415" i="33"/>
  <c r="J416" i="33"/>
  <c r="J417" i="33"/>
  <c r="J418" i="33"/>
  <c r="J419" i="33"/>
  <c r="J420" i="33"/>
  <c r="J421" i="33"/>
  <c r="J422" i="33"/>
  <c r="J423" i="33"/>
  <c r="J424" i="33"/>
  <c r="J425" i="33"/>
  <c r="J426" i="33"/>
  <c r="J427" i="33"/>
  <c r="J428" i="33"/>
  <c r="J429" i="33"/>
  <c r="J430" i="33"/>
  <c r="J431" i="33"/>
  <c r="J432" i="33"/>
  <c r="J433" i="33"/>
  <c r="J434" i="33"/>
  <c r="J435" i="33"/>
  <c r="J436" i="33"/>
  <c r="J437" i="33"/>
  <c r="J438" i="33"/>
  <c r="J439" i="33"/>
  <c r="J440" i="33"/>
  <c r="J441" i="33"/>
  <c r="J442" i="33"/>
  <c r="J443" i="33"/>
  <c r="J444" i="33"/>
  <c r="J445" i="33"/>
  <c r="J446" i="33"/>
  <c r="J447" i="33"/>
  <c r="J448" i="33"/>
  <c r="J449" i="33"/>
  <c r="J450" i="33"/>
  <c r="J451" i="33"/>
  <c r="J452" i="33"/>
  <c r="J453" i="33"/>
  <c r="J454" i="33"/>
  <c r="J455" i="33"/>
  <c r="J456" i="33"/>
  <c r="J457" i="33"/>
  <c r="J458" i="33"/>
  <c r="J459" i="33"/>
  <c r="J460" i="33"/>
  <c r="J461" i="33"/>
  <c r="J462" i="33"/>
  <c r="J463" i="33"/>
  <c r="J464" i="33"/>
  <c r="J465" i="33"/>
  <c r="J466" i="33"/>
  <c r="J467" i="33"/>
  <c r="J468" i="33"/>
  <c r="J469" i="33"/>
  <c r="J470" i="33"/>
  <c r="J471" i="33"/>
  <c r="J472" i="33"/>
  <c r="J473" i="33"/>
  <c r="J474" i="33"/>
  <c r="J475" i="33"/>
  <c r="J476" i="33"/>
  <c r="J477" i="33"/>
  <c r="J478" i="33"/>
  <c r="J479" i="33"/>
  <c r="J480" i="33"/>
  <c r="J481" i="33"/>
  <c r="J482" i="33"/>
  <c r="J483" i="33"/>
  <c r="J484" i="33"/>
  <c r="J485" i="33"/>
  <c r="J486" i="33"/>
  <c r="J487" i="33"/>
  <c r="J488" i="33"/>
  <c r="J489" i="33"/>
  <c r="J490" i="33"/>
  <c r="J491" i="33"/>
  <c r="J492" i="33"/>
  <c r="J493" i="33"/>
  <c r="J494" i="33"/>
  <c r="J495" i="33"/>
  <c r="J496" i="33"/>
  <c r="J497" i="33"/>
  <c r="J498" i="33"/>
  <c r="J499" i="33"/>
  <c r="J500" i="33"/>
  <c r="J501" i="33"/>
  <c r="J502" i="33"/>
  <c r="J503" i="33"/>
  <c r="J504" i="33"/>
  <c r="J505" i="33"/>
  <c r="J506" i="33"/>
  <c r="J507" i="33"/>
  <c r="J508" i="33"/>
  <c r="J509" i="33"/>
  <c r="J510" i="33"/>
  <c r="J511" i="33"/>
  <c r="J512" i="33"/>
  <c r="J513" i="33"/>
  <c r="J514" i="33"/>
  <c r="J515" i="33"/>
  <c r="J516" i="33"/>
  <c r="J517" i="33"/>
  <c r="J518" i="33"/>
  <c r="J519" i="33"/>
  <c r="D30" i="28" s="1"/>
  <c r="J520" i="33"/>
  <c r="E30" i="28" s="1"/>
  <c r="J521" i="33"/>
  <c r="F30" i="28" s="1"/>
  <c r="J522" i="33"/>
  <c r="G30" i="28" s="1"/>
  <c r="J523" i="33"/>
  <c r="H30" i="28" s="1"/>
  <c r="J524" i="33"/>
  <c r="I30" i="28" s="1"/>
  <c r="J525" i="33"/>
  <c r="J30" i="28" s="1"/>
  <c r="J526" i="33"/>
  <c r="K30" i="28" s="1"/>
  <c r="J527" i="33"/>
  <c r="L30" i="28" s="1"/>
  <c r="J528" i="33"/>
  <c r="M30" i="28" s="1"/>
  <c r="J529" i="33"/>
  <c r="N30" i="28" s="1"/>
  <c r="J530" i="33"/>
  <c r="O30" i="28" s="1"/>
  <c r="J531" i="33"/>
  <c r="P30" i="28" s="1"/>
  <c r="J532" i="33"/>
  <c r="Q30" i="28" s="1"/>
  <c r="J533" i="33"/>
  <c r="R30" i="28" s="1"/>
  <c r="J534" i="33"/>
  <c r="S30" i="28" s="1"/>
  <c r="J535" i="33"/>
  <c r="T30" i="28" s="1"/>
  <c r="J536" i="33"/>
  <c r="U30" i="28" s="1"/>
  <c r="J537" i="33"/>
  <c r="V30" i="28" s="1"/>
  <c r="J538" i="33"/>
  <c r="W30" i="28" s="1"/>
  <c r="J539" i="33"/>
  <c r="X30" i="28" s="1"/>
  <c r="J540" i="33"/>
  <c r="Y30" i="28" s="1"/>
  <c r="J541" i="33"/>
  <c r="Z30" i="28" s="1"/>
  <c r="J542" i="33"/>
  <c r="AA30" i="28" s="1"/>
  <c r="J543" i="33"/>
  <c r="AB30" i="28" s="1"/>
  <c r="J544" i="33"/>
  <c r="AC30" i="28" s="1"/>
  <c r="J545" i="33"/>
  <c r="AD30" i="28" s="1"/>
  <c r="J546" i="33"/>
  <c r="AE30" i="28" s="1"/>
  <c r="J547" i="33"/>
  <c r="AF30" i="28" s="1"/>
  <c r="J548" i="33"/>
  <c r="AG30" i="28" s="1"/>
  <c r="J549" i="33"/>
  <c r="AH30" i="28" s="1"/>
  <c r="J550" i="33"/>
  <c r="AI30" i="28" s="1"/>
  <c r="J551" i="33"/>
  <c r="AJ30" i="28" s="1"/>
  <c r="J552" i="33"/>
  <c r="AK30" i="28" s="1"/>
  <c r="J553" i="33"/>
  <c r="AL30" i="28" s="1"/>
  <c r="I172" i="33"/>
  <c r="I173" i="33"/>
  <c r="I174" i="33"/>
  <c r="I175" i="33"/>
  <c r="I176" i="33"/>
  <c r="I177" i="33"/>
  <c r="I178" i="33"/>
  <c r="I179" i="33"/>
  <c r="I180" i="33"/>
  <c r="I181" i="33"/>
  <c r="I182" i="33"/>
  <c r="I183" i="33"/>
  <c r="I184" i="33"/>
  <c r="I185" i="33"/>
  <c r="I186" i="33"/>
  <c r="I187" i="33"/>
  <c r="I188" i="33"/>
  <c r="I189" i="33"/>
  <c r="I190" i="33"/>
  <c r="I191" i="33"/>
  <c r="I192" i="33"/>
  <c r="I193" i="33"/>
  <c r="I194" i="33"/>
  <c r="I195" i="33"/>
  <c r="I196" i="33"/>
  <c r="I197" i="33"/>
  <c r="I198" i="33"/>
  <c r="I199" i="33"/>
  <c r="I200" i="33"/>
  <c r="I201" i="33"/>
  <c r="I202" i="33"/>
  <c r="I203" i="33"/>
  <c r="I204" i="33"/>
  <c r="I205" i="33"/>
  <c r="I206" i="33"/>
  <c r="I207" i="33"/>
  <c r="I208" i="33"/>
  <c r="I209" i="33"/>
  <c r="I210" i="33"/>
  <c r="I211" i="33"/>
  <c r="I212" i="33"/>
  <c r="I213" i="33"/>
  <c r="I214" i="33"/>
  <c r="I215" i="33"/>
  <c r="I216" i="33"/>
  <c r="I217" i="33"/>
  <c r="I218" i="33"/>
  <c r="I219" i="33"/>
  <c r="I220" i="33"/>
  <c r="I221" i="33"/>
  <c r="I222" i="33"/>
  <c r="I223" i="33"/>
  <c r="I224" i="33"/>
  <c r="I225" i="33"/>
  <c r="I226" i="33"/>
  <c r="I227" i="33"/>
  <c r="I228" i="33"/>
  <c r="I229" i="33"/>
  <c r="I230" i="33"/>
  <c r="I231" i="33"/>
  <c r="I232" i="33"/>
  <c r="I233" i="33"/>
  <c r="I234" i="33"/>
  <c r="I235" i="33"/>
  <c r="I236" i="33"/>
  <c r="I237" i="33"/>
  <c r="I238" i="33"/>
  <c r="I239" i="33"/>
  <c r="I240" i="33"/>
  <c r="I241" i="33"/>
  <c r="I242" i="33"/>
  <c r="I243" i="33"/>
  <c r="I244" i="33"/>
  <c r="I245" i="33"/>
  <c r="I246" i="33"/>
  <c r="I247" i="33"/>
  <c r="I248" i="33"/>
  <c r="I249" i="33"/>
  <c r="I250" i="33"/>
  <c r="I251" i="33"/>
  <c r="I252" i="33"/>
  <c r="I253" i="33"/>
  <c r="I254" i="33"/>
  <c r="I255" i="33"/>
  <c r="I256" i="33"/>
  <c r="I257" i="33"/>
  <c r="I258" i="33"/>
  <c r="I259" i="33"/>
  <c r="I260" i="33"/>
  <c r="I261" i="33"/>
  <c r="I262" i="33"/>
  <c r="I263" i="33"/>
  <c r="I264" i="33"/>
  <c r="I265" i="33"/>
  <c r="I266" i="33"/>
  <c r="I267" i="33"/>
  <c r="I268" i="33"/>
  <c r="I269" i="33"/>
  <c r="I270" i="33"/>
  <c r="I271" i="33"/>
  <c r="I272" i="33"/>
  <c r="I273" i="33"/>
  <c r="I274" i="33"/>
  <c r="I275" i="33"/>
  <c r="I276" i="33"/>
  <c r="I277" i="33"/>
  <c r="I278" i="33"/>
  <c r="I279" i="33"/>
  <c r="I280" i="33"/>
  <c r="I281" i="33"/>
  <c r="I282" i="33"/>
  <c r="I283" i="33"/>
  <c r="I284" i="33"/>
  <c r="I285" i="33"/>
  <c r="I286" i="33"/>
  <c r="I287" i="33"/>
  <c r="I288" i="33"/>
  <c r="I289" i="33"/>
  <c r="I290" i="33"/>
  <c r="I291" i="33"/>
  <c r="I292" i="33"/>
  <c r="I293" i="33"/>
  <c r="I294" i="33"/>
  <c r="I295" i="33"/>
  <c r="I296" i="33"/>
  <c r="I297" i="33"/>
  <c r="I298" i="33"/>
  <c r="I299" i="33"/>
  <c r="I300" i="33"/>
  <c r="I301" i="33"/>
  <c r="I302" i="33"/>
  <c r="I303" i="33"/>
  <c r="I304" i="33"/>
  <c r="I305" i="33"/>
  <c r="I306" i="33"/>
  <c r="I307" i="33"/>
  <c r="I308" i="33"/>
  <c r="I309" i="33"/>
  <c r="I310" i="33"/>
  <c r="I311" i="33"/>
  <c r="I312" i="33"/>
  <c r="I313" i="33"/>
  <c r="I314" i="33"/>
  <c r="I315" i="33"/>
  <c r="I316" i="33"/>
  <c r="I317" i="33"/>
  <c r="I318" i="33"/>
  <c r="I319" i="33"/>
  <c r="I320" i="33"/>
  <c r="I321" i="33"/>
  <c r="I322" i="33"/>
  <c r="I323" i="33"/>
  <c r="I324" i="33"/>
  <c r="I325" i="33"/>
  <c r="I326" i="33"/>
  <c r="I327" i="33"/>
  <c r="I328" i="33"/>
  <c r="I329" i="33"/>
  <c r="I330" i="33"/>
  <c r="I331" i="33"/>
  <c r="I332" i="33"/>
  <c r="I333" i="33"/>
  <c r="I334" i="33"/>
  <c r="I335" i="33"/>
  <c r="I336" i="33"/>
  <c r="I337" i="33"/>
  <c r="I338" i="33"/>
  <c r="I339" i="33"/>
  <c r="I340" i="33"/>
  <c r="I341" i="33"/>
  <c r="I342" i="33"/>
  <c r="I343" i="33"/>
  <c r="I344" i="33"/>
  <c r="I345" i="33"/>
  <c r="I346" i="33"/>
  <c r="I347" i="33"/>
  <c r="I348" i="33"/>
  <c r="I349" i="33"/>
  <c r="I350" i="33"/>
  <c r="I351" i="33"/>
  <c r="I352" i="33"/>
  <c r="I353" i="33"/>
  <c r="I354" i="33"/>
  <c r="I355" i="33"/>
  <c r="I356" i="33"/>
  <c r="I357" i="33"/>
  <c r="I358" i="33"/>
  <c r="I359" i="33"/>
  <c r="I360" i="33"/>
  <c r="I361" i="33"/>
  <c r="I362" i="33"/>
  <c r="I363" i="33"/>
  <c r="I364" i="33"/>
  <c r="I365" i="33"/>
  <c r="I366" i="33"/>
  <c r="I367" i="33"/>
  <c r="I368" i="33"/>
  <c r="I369" i="33"/>
  <c r="I370" i="33"/>
  <c r="I371" i="33"/>
  <c r="I372" i="33"/>
  <c r="I373" i="33"/>
  <c r="I374" i="33"/>
  <c r="I375" i="33"/>
  <c r="I376" i="33"/>
  <c r="I377" i="33"/>
  <c r="I378" i="33"/>
  <c r="I379" i="33"/>
  <c r="I380" i="33"/>
  <c r="I381" i="33"/>
  <c r="I382" i="33"/>
  <c r="I383" i="33"/>
  <c r="I384" i="33"/>
  <c r="I385" i="33"/>
  <c r="I386" i="33"/>
  <c r="I387" i="33"/>
  <c r="I388" i="33"/>
  <c r="I389" i="33"/>
  <c r="I390" i="33"/>
  <c r="I391" i="33"/>
  <c r="I392" i="33"/>
  <c r="I393" i="33"/>
  <c r="I394" i="33"/>
  <c r="I395" i="33"/>
  <c r="I396" i="33"/>
  <c r="I397" i="33"/>
  <c r="I398" i="33"/>
  <c r="I399" i="33"/>
  <c r="I400" i="33"/>
  <c r="I401" i="33"/>
  <c r="I402" i="33"/>
  <c r="I403" i="33"/>
  <c r="I404" i="33"/>
  <c r="I405" i="33"/>
  <c r="I406" i="33"/>
  <c r="I407" i="33"/>
  <c r="I408" i="33"/>
  <c r="I409" i="33"/>
  <c r="I410" i="33"/>
  <c r="I411" i="33"/>
  <c r="I412" i="33"/>
  <c r="I413" i="33"/>
  <c r="I414" i="33"/>
  <c r="I415" i="33"/>
  <c r="I416" i="33"/>
  <c r="I417" i="33"/>
  <c r="I418" i="33"/>
  <c r="I419" i="33"/>
  <c r="I420" i="33"/>
  <c r="I421" i="33"/>
  <c r="I422" i="33"/>
  <c r="I423" i="33"/>
  <c r="I424" i="33"/>
  <c r="I425" i="33"/>
  <c r="I426" i="33"/>
  <c r="I427" i="33"/>
  <c r="I428" i="33"/>
  <c r="I429" i="33"/>
  <c r="I430" i="33"/>
  <c r="I431" i="33"/>
  <c r="I432" i="33"/>
  <c r="I433" i="33"/>
  <c r="I434" i="33"/>
  <c r="I435" i="33"/>
  <c r="I436" i="33"/>
  <c r="I437" i="33"/>
  <c r="I438" i="33"/>
  <c r="I439" i="33"/>
  <c r="I440" i="33"/>
  <c r="I441" i="33"/>
  <c r="I442" i="33"/>
  <c r="I443" i="33"/>
  <c r="I444" i="33"/>
  <c r="I445" i="33"/>
  <c r="I446" i="33"/>
  <c r="I447" i="33"/>
  <c r="I448" i="33"/>
  <c r="I449" i="33"/>
  <c r="I450" i="33"/>
  <c r="I451" i="33"/>
  <c r="I452" i="33"/>
  <c r="I453" i="33"/>
  <c r="I454" i="33"/>
  <c r="I455" i="33"/>
  <c r="I456" i="33"/>
  <c r="I457" i="33"/>
  <c r="I458" i="33"/>
  <c r="I459" i="33"/>
  <c r="I460" i="33"/>
  <c r="I461" i="33"/>
  <c r="I462" i="33"/>
  <c r="I463" i="33"/>
  <c r="I464" i="33"/>
  <c r="I465" i="33"/>
  <c r="I466" i="33"/>
  <c r="I467" i="33"/>
  <c r="I468" i="33"/>
  <c r="I469" i="33"/>
  <c r="I470" i="33"/>
  <c r="I471" i="33"/>
  <c r="I472" i="33"/>
  <c r="I473" i="33"/>
  <c r="I474" i="33"/>
  <c r="I475" i="33"/>
  <c r="I476" i="33"/>
  <c r="I477" i="33"/>
  <c r="I478" i="33"/>
  <c r="I479" i="33"/>
  <c r="I480" i="33"/>
  <c r="I481" i="33"/>
  <c r="I482" i="33"/>
  <c r="I483" i="33"/>
  <c r="I484" i="33"/>
  <c r="I485" i="33"/>
  <c r="I486" i="33"/>
  <c r="I487" i="33"/>
  <c r="I488" i="33"/>
  <c r="I489" i="33"/>
  <c r="I490" i="33"/>
  <c r="I491" i="33"/>
  <c r="I492" i="33"/>
  <c r="I493" i="33"/>
  <c r="I494" i="33"/>
  <c r="I495" i="33"/>
  <c r="I496" i="33"/>
  <c r="I497" i="33"/>
  <c r="I498" i="33"/>
  <c r="I499" i="33"/>
  <c r="I500" i="33"/>
  <c r="I501" i="33"/>
  <c r="I502" i="33"/>
  <c r="I503" i="33"/>
  <c r="I504" i="33"/>
  <c r="I505" i="33"/>
  <c r="I506" i="33"/>
  <c r="I507" i="33"/>
  <c r="I508" i="33"/>
  <c r="I509" i="33"/>
  <c r="I510" i="33"/>
  <c r="I511" i="33"/>
  <c r="I512" i="33"/>
  <c r="I513" i="33"/>
  <c r="I514" i="33"/>
  <c r="I515" i="33"/>
  <c r="I516" i="33"/>
  <c r="I517" i="33"/>
  <c r="I518" i="33"/>
  <c r="I519" i="33"/>
  <c r="D25" i="28" s="1"/>
  <c r="I520" i="33"/>
  <c r="E25" i="28" s="1"/>
  <c r="I521" i="33"/>
  <c r="F25" i="28" s="1"/>
  <c r="I522" i="33"/>
  <c r="G25" i="28" s="1"/>
  <c r="I523" i="33"/>
  <c r="H25" i="28" s="1"/>
  <c r="I524" i="33"/>
  <c r="I25" i="28" s="1"/>
  <c r="I525" i="33"/>
  <c r="J25" i="28" s="1"/>
  <c r="I526" i="33"/>
  <c r="K25" i="28" s="1"/>
  <c r="I527" i="33"/>
  <c r="L25" i="28" s="1"/>
  <c r="I528" i="33"/>
  <c r="M25" i="28" s="1"/>
  <c r="I529" i="33"/>
  <c r="N25" i="28" s="1"/>
  <c r="I530" i="33"/>
  <c r="O25" i="28" s="1"/>
  <c r="I531" i="33"/>
  <c r="P25" i="28" s="1"/>
  <c r="I532" i="33"/>
  <c r="Q25" i="28" s="1"/>
  <c r="I533" i="33"/>
  <c r="R25" i="28" s="1"/>
  <c r="I534" i="33"/>
  <c r="S25" i="28" s="1"/>
  <c r="I535" i="33"/>
  <c r="T25" i="28" s="1"/>
  <c r="I536" i="33"/>
  <c r="U25" i="28" s="1"/>
  <c r="I537" i="33"/>
  <c r="V25" i="28" s="1"/>
  <c r="I538" i="33"/>
  <c r="W25" i="28" s="1"/>
  <c r="I539" i="33"/>
  <c r="X25" i="28" s="1"/>
  <c r="I540" i="33"/>
  <c r="Y25" i="28" s="1"/>
  <c r="I541" i="33"/>
  <c r="Z25" i="28" s="1"/>
  <c r="I542" i="33"/>
  <c r="AA25" i="28" s="1"/>
  <c r="I543" i="33"/>
  <c r="AB25" i="28" s="1"/>
  <c r="I544" i="33"/>
  <c r="AC25" i="28" s="1"/>
  <c r="I545" i="33"/>
  <c r="AD25" i="28" s="1"/>
  <c r="I546" i="33"/>
  <c r="AE25" i="28" s="1"/>
  <c r="I547" i="33"/>
  <c r="AF25" i="28" s="1"/>
  <c r="I548" i="33"/>
  <c r="AG25" i="28" s="1"/>
  <c r="I549" i="33"/>
  <c r="AH25" i="28" s="1"/>
  <c r="I550" i="33"/>
  <c r="AI25" i="28" s="1"/>
  <c r="I551" i="33"/>
  <c r="AJ25" i="28" s="1"/>
  <c r="I553" i="33"/>
  <c r="AL25" i="28" s="1"/>
  <c r="I552" i="33"/>
  <c r="AK25" i="28" s="1"/>
  <c r="I4" i="37"/>
  <c r="I5" i="37"/>
  <c r="I6" i="37"/>
  <c r="I7" i="37"/>
  <c r="I8" i="37"/>
  <c r="I9" i="37"/>
  <c r="I10" i="37"/>
  <c r="I11" i="37"/>
  <c r="I12" i="37"/>
  <c r="I13" i="37"/>
  <c r="I14" i="37"/>
  <c r="I15" i="37"/>
  <c r="I16" i="37"/>
  <c r="I17" i="37"/>
  <c r="I18" i="37"/>
  <c r="I19" i="37"/>
  <c r="I20" i="37"/>
  <c r="I21" i="37"/>
  <c r="I22" i="37"/>
  <c r="I23" i="37"/>
  <c r="I24" i="37"/>
  <c r="I25" i="37"/>
  <c r="I26" i="37"/>
  <c r="I27" i="37"/>
  <c r="I28" i="37"/>
  <c r="I29" i="37"/>
  <c r="I30" i="37"/>
  <c r="I31" i="37"/>
  <c r="I32" i="37"/>
  <c r="I33" i="37"/>
  <c r="I34" i="37"/>
  <c r="I35" i="37"/>
  <c r="I36" i="37"/>
  <c r="I37" i="37"/>
  <c r="I38" i="37"/>
  <c r="I39" i="37"/>
  <c r="I40" i="37"/>
  <c r="I41" i="37"/>
  <c r="I42" i="37"/>
  <c r="I43" i="37"/>
  <c r="I44" i="37"/>
  <c r="I45" i="37"/>
  <c r="I46" i="37"/>
  <c r="I47" i="37"/>
  <c r="I48" i="37"/>
  <c r="I49" i="37"/>
  <c r="I50" i="37"/>
  <c r="I51" i="37"/>
  <c r="I52" i="37"/>
  <c r="I53" i="37"/>
  <c r="I54" i="37"/>
  <c r="I55" i="37"/>
  <c r="I56" i="37"/>
  <c r="I57" i="37"/>
  <c r="I58" i="37"/>
  <c r="I59" i="37"/>
  <c r="I60" i="37"/>
  <c r="I61" i="37"/>
  <c r="I62" i="37"/>
  <c r="I63" i="37"/>
  <c r="I64" i="37"/>
  <c r="I65" i="37"/>
  <c r="I66" i="37"/>
  <c r="I67" i="37"/>
  <c r="I68" i="37"/>
  <c r="I69" i="37"/>
  <c r="I70" i="37"/>
  <c r="I71" i="37"/>
  <c r="I72" i="37"/>
  <c r="I73" i="37"/>
  <c r="I74" i="37"/>
  <c r="I75" i="37"/>
  <c r="I76" i="37"/>
  <c r="I77" i="37"/>
  <c r="I78" i="37"/>
  <c r="I79" i="37"/>
  <c r="I80" i="37"/>
  <c r="I81" i="37"/>
  <c r="I82" i="37"/>
  <c r="I83" i="37"/>
  <c r="I84" i="37"/>
  <c r="I85" i="37"/>
  <c r="I86" i="37"/>
  <c r="I87" i="37"/>
  <c r="I88" i="37"/>
  <c r="I89" i="37"/>
  <c r="I90" i="37"/>
  <c r="I91" i="37"/>
  <c r="I92" i="37"/>
  <c r="I93" i="37"/>
  <c r="I94" i="37"/>
  <c r="I95" i="37"/>
  <c r="I96" i="37"/>
  <c r="I97" i="37"/>
  <c r="I98" i="37"/>
  <c r="I99" i="37"/>
  <c r="I100" i="37"/>
  <c r="I101" i="37"/>
  <c r="I102" i="37"/>
  <c r="I103" i="37"/>
  <c r="I104" i="37"/>
  <c r="I105" i="37"/>
  <c r="I106" i="37"/>
  <c r="I107" i="37"/>
  <c r="I108" i="37"/>
  <c r="I109" i="37"/>
  <c r="I110" i="37"/>
  <c r="I111" i="37"/>
  <c r="I112" i="37"/>
  <c r="I113" i="37"/>
  <c r="I114" i="37"/>
  <c r="I115" i="37"/>
  <c r="I116" i="37"/>
  <c r="I117" i="37"/>
  <c r="I118" i="37"/>
  <c r="I119" i="37"/>
  <c r="I120" i="37"/>
  <c r="I121" i="37"/>
  <c r="I122" i="37"/>
  <c r="I123" i="37"/>
  <c r="I124" i="37"/>
  <c r="I125" i="37"/>
  <c r="I126" i="37"/>
  <c r="I127" i="37"/>
  <c r="I128" i="37"/>
  <c r="I129" i="37"/>
  <c r="I130" i="37"/>
  <c r="I131" i="37"/>
  <c r="I132" i="37"/>
  <c r="I133" i="37"/>
  <c r="I134" i="37"/>
  <c r="I135" i="37"/>
  <c r="I136" i="37"/>
  <c r="I137" i="37"/>
  <c r="I138" i="37"/>
  <c r="I139" i="37"/>
  <c r="I140" i="37"/>
  <c r="I141" i="37"/>
  <c r="I142" i="37"/>
  <c r="I143" i="37"/>
  <c r="I144" i="37"/>
  <c r="I145" i="37"/>
  <c r="I146" i="37"/>
  <c r="I147" i="37"/>
  <c r="I148" i="37"/>
  <c r="I149" i="37"/>
  <c r="I150" i="37"/>
  <c r="I151" i="37"/>
  <c r="I152" i="37"/>
  <c r="I153" i="37"/>
  <c r="I154" i="37"/>
  <c r="I155" i="37"/>
  <c r="I156" i="37"/>
  <c r="I157" i="37"/>
  <c r="I158" i="37"/>
  <c r="I159" i="37"/>
  <c r="I160" i="37"/>
  <c r="I161" i="37"/>
  <c r="I162" i="37"/>
  <c r="I163" i="37"/>
  <c r="I164" i="37"/>
  <c r="I165" i="37"/>
  <c r="I166" i="37"/>
  <c r="I167" i="37"/>
  <c r="I168" i="37"/>
  <c r="I169" i="37"/>
  <c r="I170" i="37"/>
  <c r="I171" i="37"/>
  <c r="I172" i="37"/>
  <c r="I173" i="37"/>
  <c r="I174" i="37"/>
  <c r="I175" i="37"/>
  <c r="I176" i="37"/>
  <c r="I177" i="37"/>
  <c r="I178" i="37"/>
  <c r="I179" i="37"/>
  <c r="I180" i="37"/>
  <c r="I181" i="37"/>
  <c r="I182" i="37"/>
  <c r="I183" i="37"/>
  <c r="I184" i="37"/>
  <c r="I185" i="37"/>
  <c r="I186" i="37"/>
  <c r="I187" i="37"/>
  <c r="I188" i="37"/>
  <c r="I189" i="37"/>
  <c r="I190" i="37"/>
  <c r="I191" i="37"/>
  <c r="I192" i="37"/>
  <c r="I193" i="37"/>
  <c r="I194" i="37"/>
  <c r="I195" i="37"/>
  <c r="I196" i="37"/>
  <c r="I197" i="37"/>
  <c r="I198" i="37"/>
  <c r="I199" i="37"/>
  <c r="I200" i="37"/>
  <c r="I201" i="37"/>
  <c r="I202" i="37"/>
  <c r="I203" i="37"/>
  <c r="I204" i="37"/>
  <c r="I205" i="37"/>
  <c r="I206" i="37"/>
  <c r="I207" i="37"/>
  <c r="I208" i="37"/>
  <c r="I209" i="37"/>
  <c r="I210" i="37"/>
  <c r="I211" i="37"/>
  <c r="I212" i="37"/>
  <c r="I213" i="37"/>
  <c r="I214" i="37"/>
  <c r="I215" i="37"/>
  <c r="I216" i="37"/>
  <c r="I217" i="37"/>
  <c r="I218" i="37"/>
  <c r="I219" i="37"/>
  <c r="I220" i="37"/>
  <c r="I221" i="37"/>
  <c r="I222" i="37"/>
  <c r="I223" i="37"/>
  <c r="I224" i="37"/>
  <c r="I225" i="37"/>
  <c r="I226" i="37"/>
  <c r="I227" i="37"/>
  <c r="I228" i="37"/>
  <c r="I229" i="37"/>
  <c r="I230" i="37"/>
  <c r="I231" i="37"/>
  <c r="I232" i="37"/>
  <c r="I233" i="37"/>
  <c r="I234" i="37"/>
  <c r="I235" i="37"/>
  <c r="I236" i="37"/>
  <c r="I237" i="37"/>
  <c r="I238" i="37"/>
  <c r="I239" i="37"/>
  <c r="I240" i="37"/>
  <c r="I241" i="37"/>
  <c r="I242" i="37"/>
  <c r="I243" i="37"/>
  <c r="I244" i="37"/>
  <c r="I245" i="37"/>
  <c r="I246" i="37"/>
  <c r="I247" i="37"/>
  <c r="I248" i="37"/>
  <c r="I249" i="37"/>
  <c r="I250" i="37"/>
  <c r="I251" i="37"/>
  <c r="I252" i="37"/>
  <c r="I253" i="37"/>
  <c r="I254" i="37"/>
  <c r="I255" i="37"/>
  <c r="I256" i="37"/>
  <c r="I257" i="37"/>
  <c r="I258" i="37"/>
  <c r="I259" i="37"/>
  <c r="I260" i="37"/>
  <c r="I261" i="37"/>
  <c r="I262" i="37"/>
  <c r="I263" i="37"/>
  <c r="I264" i="37"/>
  <c r="I265" i="37"/>
  <c r="I266" i="37"/>
  <c r="I267" i="37"/>
  <c r="I268" i="37"/>
  <c r="I269" i="37"/>
  <c r="I270" i="37"/>
  <c r="I271" i="37"/>
  <c r="I272" i="37"/>
  <c r="I273" i="37"/>
  <c r="I274" i="37"/>
  <c r="I275" i="37"/>
  <c r="I276" i="37"/>
  <c r="I277" i="37"/>
  <c r="I278" i="37"/>
  <c r="I279" i="37"/>
  <c r="I280" i="37"/>
  <c r="I281" i="37"/>
  <c r="I282" i="37"/>
  <c r="I283" i="37"/>
  <c r="I284" i="37"/>
  <c r="I285" i="37"/>
  <c r="I286" i="37"/>
  <c r="I287" i="37"/>
  <c r="I288" i="37"/>
  <c r="I289" i="37"/>
  <c r="I290" i="37"/>
  <c r="I291" i="37"/>
  <c r="I292" i="37"/>
  <c r="I293" i="37"/>
  <c r="I294" i="37"/>
  <c r="I295" i="37"/>
  <c r="I296" i="37"/>
  <c r="I297" i="37"/>
  <c r="I298" i="37"/>
  <c r="I299" i="37"/>
  <c r="I300" i="37"/>
  <c r="I301" i="37"/>
  <c r="I302" i="37"/>
  <c r="I303" i="37"/>
  <c r="I304" i="37"/>
  <c r="I305" i="37"/>
  <c r="I306" i="37"/>
  <c r="I307" i="37"/>
  <c r="I308" i="37"/>
  <c r="I309" i="37"/>
  <c r="I310" i="37"/>
  <c r="I311" i="37"/>
  <c r="I312" i="37"/>
  <c r="I313" i="37"/>
  <c r="I314" i="37"/>
  <c r="I315" i="37"/>
  <c r="I316" i="37"/>
  <c r="I317" i="37"/>
  <c r="I318" i="37"/>
  <c r="I319" i="37"/>
  <c r="I320" i="37"/>
  <c r="I321" i="37"/>
  <c r="I322" i="37"/>
  <c r="I323" i="37"/>
  <c r="I324" i="37"/>
  <c r="I325" i="37"/>
  <c r="I326" i="37"/>
  <c r="I327" i="37"/>
  <c r="I328" i="37"/>
  <c r="I329" i="37"/>
  <c r="I330" i="37"/>
  <c r="I331" i="37"/>
  <c r="I332" i="37"/>
  <c r="I333" i="37"/>
  <c r="I334" i="37"/>
  <c r="I335" i="37"/>
  <c r="I336" i="37"/>
  <c r="I337" i="37"/>
  <c r="I338" i="37"/>
  <c r="I339" i="37"/>
  <c r="I340" i="37"/>
  <c r="I341" i="37"/>
  <c r="I342" i="37"/>
  <c r="I343" i="37"/>
  <c r="I344" i="37"/>
  <c r="I345" i="37"/>
  <c r="I346" i="37"/>
  <c r="I347" i="37"/>
  <c r="I348" i="37"/>
  <c r="I349" i="37"/>
  <c r="I350" i="37"/>
  <c r="I351" i="37"/>
  <c r="I352" i="37"/>
  <c r="I353" i="37"/>
  <c r="I354" i="37"/>
  <c r="I355" i="37"/>
  <c r="I356" i="37"/>
  <c r="I357" i="37"/>
  <c r="I358" i="37"/>
  <c r="I359" i="37"/>
  <c r="I360" i="37"/>
  <c r="I361" i="37"/>
  <c r="I362" i="37"/>
  <c r="I363" i="37"/>
  <c r="I364" i="37"/>
  <c r="I365" i="37"/>
  <c r="I366" i="37"/>
  <c r="I367" i="37"/>
  <c r="I368" i="37"/>
  <c r="I369" i="37"/>
  <c r="I370" i="37"/>
  <c r="I371" i="37"/>
  <c r="I372" i="37"/>
  <c r="I373" i="37"/>
  <c r="I374" i="37"/>
  <c r="I375" i="37"/>
  <c r="I376" i="37"/>
  <c r="I377" i="37"/>
  <c r="I378" i="37"/>
  <c r="I379" i="37"/>
  <c r="I380" i="37"/>
  <c r="I381" i="37"/>
  <c r="I382" i="37"/>
  <c r="I383" i="37"/>
  <c r="I384" i="37"/>
  <c r="I385" i="37"/>
  <c r="I386" i="37"/>
  <c r="I387" i="37"/>
  <c r="I388" i="37"/>
  <c r="I389" i="37"/>
  <c r="I390" i="37"/>
  <c r="I391" i="37"/>
  <c r="I392" i="37"/>
  <c r="I393" i="37"/>
  <c r="I394" i="37"/>
  <c r="I395" i="37"/>
  <c r="I396" i="37"/>
  <c r="I397" i="37"/>
  <c r="I398" i="37"/>
  <c r="I399" i="37"/>
  <c r="I400" i="37"/>
  <c r="I401" i="37"/>
  <c r="I402" i="37"/>
  <c r="I403" i="37"/>
  <c r="I404" i="37"/>
  <c r="I405" i="37"/>
  <c r="I406" i="37"/>
  <c r="I407" i="37"/>
  <c r="I408" i="37"/>
  <c r="I409" i="37"/>
  <c r="I410" i="37"/>
  <c r="I411" i="37"/>
  <c r="I412" i="37"/>
  <c r="I413" i="37"/>
  <c r="I414" i="37"/>
  <c r="I415" i="37"/>
  <c r="I416" i="37"/>
  <c r="I417" i="37"/>
  <c r="I418" i="37"/>
  <c r="I419" i="37"/>
  <c r="I420" i="37"/>
  <c r="I421" i="37"/>
  <c r="I422" i="37"/>
  <c r="I423" i="37"/>
  <c r="I424" i="37"/>
  <c r="I425" i="37"/>
  <c r="I426" i="37"/>
  <c r="I427" i="37"/>
  <c r="I428" i="37"/>
  <c r="I429" i="37"/>
  <c r="I430" i="37"/>
  <c r="I431" i="37"/>
  <c r="I432" i="37"/>
  <c r="I433" i="37"/>
  <c r="I434" i="37"/>
  <c r="I435" i="37"/>
  <c r="I436" i="37"/>
  <c r="I437" i="37"/>
  <c r="I438" i="37"/>
  <c r="I439" i="37"/>
  <c r="I440" i="37"/>
  <c r="I441" i="37"/>
  <c r="I442" i="37"/>
  <c r="I443" i="37"/>
  <c r="I444" i="37"/>
  <c r="I445" i="37"/>
  <c r="I446" i="37"/>
  <c r="I447" i="37"/>
  <c r="I448" i="37"/>
  <c r="I449" i="37"/>
  <c r="I450" i="37"/>
  <c r="I451" i="37"/>
  <c r="I452" i="37"/>
  <c r="I453" i="37"/>
  <c r="I454" i="37"/>
  <c r="I455" i="37"/>
  <c r="I456" i="37"/>
  <c r="I457" i="37"/>
  <c r="I458" i="37"/>
  <c r="I459" i="37"/>
  <c r="I460" i="37"/>
  <c r="I461" i="37"/>
  <c r="I462" i="37"/>
  <c r="I463" i="37"/>
  <c r="I464" i="37"/>
  <c r="I465" i="37"/>
  <c r="I466" i="37"/>
  <c r="I467" i="37"/>
  <c r="I468" i="37"/>
  <c r="I469" i="37"/>
  <c r="I470" i="37"/>
  <c r="I471" i="37"/>
  <c r="I472" i="37"/>
  <c r="I473" i="37"/>
  <c r="I474" i="37"/>
  <c r="I475" i="37"/>
  <c r="I476" i="37"/>
  <c r="I477" i="37"/>
  <c r="I478" i="37"/>
  <c r="I479" i="37"/>
  <c r="I480" i="37"/>
  <c r="I481" i="37"/>
  <c r="I482" i="37"/>
  <c r="I483" i="37"/>
  <c r="I484" i="37"/>
  <c r="I485" i="37"/>
  <c r="I486" i="37"/>
  <c r="I487" i="37"/>
  <c r="I488" i="37"/>
  <c r="I489" i="37"/>
  <c r="I490" i="37"/>
  <c r="I491" i="37"/>
  <c r="I492" i="37"/>
  <c r="I493" i="37"/>
  <c r="I494" i="37"/>
  <c r="I495" i="37"/>
  <c r="I496" i="37"/>
  <c r="I497" i="37"/>
  <c r="I498" i="37"/>
  <c r="I499" i="37"/>
  <c r="I500" i="37"/>
  <c r="I501" i="37"/>
  <c r="I502" i="37"/>
  <c r="I503" i="37"/>
  <c r="I504" i="37"/>
  <c r="I505" i="37"/>
  <c r="I506" i="37"/>
  <c r="I507" i="37"/>
  <c r="I508" i="37"/>
  <c r="I509" i="37"/>
  <c r="I510" i="37"/>
  <c r="I511" i="37"/>
  <c r="I512" i="37"/>
  <c r="I513" i="37"/>
  <c r="I514" i="37"/>
  <c r="I515" i="37"/>
  <c r="I516" i="37"/>
  <c r="I517" i="37"/>
  <c r="I518" i="37"/>
  <c r="I519" i="37"/>
  <c r="I520" i="37"/>
  <c r="I521" i="37"/>
  <c r="I522" i="37"/>
  <c r="I523" i="37"/>
  <c r="I524" i="37"/>
  <c r="I525" i="37"/>
  <c r="I526" i="37"/>
  <c r="I527" i="37"/>
  <c r="I528" i="37"/>
  <c r="I529" i="37"/>
  <c r="I530" i="37"/>
  <c r="I531" i="37"/>
  <c r="I532" i="37"/>
  <c r="I533" i="37"/>
  <c r="I534" i="37"/>
  <c r="I535" i="37"/>
  <c r="I536" i="37"/>
  <c r="I537" i="37"/>
  <c r="I538" i="37"/>
  <c r="I539" i="37"/>
  <c r="I540" i="37"/>
  <c r="I541" i="37"/>
  <c r="I542" i="37"/>
  <c r="I543" i="37"/>
  <c r="I544" i="37"/>
  <c r="I545" i="37"/>
  <c r="I546" i="37"/>
  <c r="I547" i="37"/>
  <c r="I548" i="37"/>
  <c r="I549" i="37"/>
  <c r="I550" i="37"/>
  <c r="I551" i="37"/>
  <c r="I552" i="37"/>
  <c r="I553" i="37"/>
  <c r="I554" i="37"/>
  <c r="I555" i="37"/>
  <c r="I556" i="37"/>
  <c r="I557" i="37"/>
  <c r="I558" i="37"/>
  <c r="I559" i="37"/>
  <c r="I560" i="37"/>
  <c r="I561" i="37"/>
  <c r="I562" i="37"/>
  <c r="I563" i="37"/>
  <c r="I564" i="37"/>
  <c r="I565" i="37"/>
  <c r="I566" i="37"/>
  <c r="I567" i="37"/>
  <c r="I568" i="37"/>
  <c r="I569" i="37"/>
  <c r="I570" i="37"/>
  <c r="I571" i="37"/>
  <c r="I572" i="37"/>
  <c r="I573" i="37"/>
  <c r="I574" i="37"/>
  <c r="I575" i="37"/>
  <c r="I576" i="37"/>
  <c r="I577" i="37"/>
  <c r="I578" i="37"/>
  <c r="I579" i="37"/>
  <c r="I580" i="37"/>
  <c r="I581" i="37"/>
  <c r="I582" i="37"/>
  <c r="I583" i="37"/>
  <c r="I584" i="37"/>
  <c r="I585" i="37"/>
  <c r="I586" i="37"/>
  <c r="I587" i="37"/>
  <c r="I588" i="37"/>
  <c r="I589" i="37"/>
  <c r="I590" i="37"/>
  <c r="I591" i="37"/>
  <c r="I592" i="37"/>
  <c r="I593" i="37"/>
  <c r="I594" i="37"/>
  <c r="I595" i="37"/>
  <c r="I596" i="37"/>
  <c r="I597" i="37"/>
  <c r="I598" i="37"/>
  <c r="I599" i="37"/>
  <c r="I600" i="37"/>
  <c r="I601" i="37"/>
  <c r="I602" i="37"/>
  <c r="I603" i="37"/>
  <c r="I604" i="37"/>
  <c r="I605" i="37"/>
  <c r="I606" i="37"/>
  <c r="I607" i="37"/>
  <c r="I608" i="37"/>
  <c r="I609" i="37"/>
  <c r="I610" i="37"/>
  <c r="I611" i="37"/>
  <c r="I612" i="37"/>
  <c r="I613" i="37"/>
  <c r="I614" i="37"/>
  <c r="I615" i="37"/>
  <c r="I616" i="37"/>
  <c r="I617" i="37"/>
  <c r="I618" i="37"/>
  <c r="I619" i="37"/>
  <c r="I620" i="37"/>
  <c r="I621" i="37"/>
  <c r="I622" i="37"/>
  <c r="I623" i="37"/>
  <c r="I624" i="37"/>
  <c r="I625" i="37"/>
  <c r="I626" i="37"/>
  <c r="I627" i="37"/>
  <c r="I628" i="37"/>
  <c r="I629" i="37"/>
  <c r="I630" i="37"/>
  <c r="I631" i="37"/>
  <c r="I632" i="37"/>
  <c r="I633" i="37"/>
  <c r="I634" i="37"/>
  <c r="I635" i="37"/>
  <c r="I636" i="37"/>
  <c r="I637" i="37"/>
  <c r="I638" i="37"/>
  <c r="I639" i="37"/>
  <c r="I640" i="37"/>
  <c r="I641" i="37"/>
  <c r="I642" i="37"/>
  <c r="I643" i="37"/>
  <c r="I644" i="37"/>
  <c r="I645" i="37"/>
  <c r="I646" i="37"/>
  <c r="I647" i="37"/>
  <c r="I648" i="37"/>
  <c r="I649" i="37"/>
  <c r="I650" i="37"/>
  <c r="I651" i="37"/>
  <c r="I652" i="37"/>
  <c r="I653" i="37"/>
  <c r="I654" i="37"/>
  <c r="I655" i="37"/>
  <c r="I656" i="37"/>
  <c r="I657" i="37"/>
  <c r="I658" i="37"/>
  <c r="I659" i="37"/>
  <c r="I660" i="37"/>
  <c r="I661" i="37"/>
  <c r="I662" i="37"/>
  <c r="I663" i="37"/>
  <c r="I664" i="37"/>
  <c r="I665" i="37"/>
  <c r="I666" i="37"/>
  <c r="I667" i="37"/>
  <c r="I668" i="37"/>
  <c r="I669" i="37"/>
  <c r="I670" i="37"/>
  <c r="I671" i="37"/>
  <c r="I672" i="37"/>
  <c r="I673" i="37"/>
  <c r="I674" i="37"/>
  <c r="I675" i="37"/>
  <c r="I676" i="37"/>
  <c r="I677" i="37"/>
  <c r="I678" i="37"/>
  <c r="I679" i="37"/>
  <c r="I680" i="37"/>
  <c r="I681" i="37"/>
  <c r="I682" i="37"/>
  <c r="I683" i="37"/>
  <c r="I684" i="37"/>
  <c r="I685" i="37"/>
  <c r="I686" i="37"/>
  <c r="I687" i="37"/>
  <c r="I688" i="37"/>
  <c r="I689" i="37"/>
  <c r="I690" i="37"/>
  <c r="I691" i="37"/>
  <c r="I692" i="37"/>
  <c r="I693" i="37"/>
  <c r="I694" i="37"/>
  <c r="I695" i="37"/>
  <c r="I696" i="37"/>
  <c r="I697" i="37"/>
  <c r="I698" i="37"/>
  <c r="I699" i="37"/>
  <c r="I700" i="37"/>
  <c r="I701" i="37"/>
  <c r="I702" i="37"/>
  <c r="I703" i="37"/>
  <c r="I704" i="37"/>
  <c r="I705" i="37"/>
  <c r="I706" i="37"/>
  <c r="I707" i="37"/>
  <c r="I708" i="37"/>
  <c r="I709" i="37"/>
  <c r="I710" i="37"/>
  <c r="I711" i="37"/>
  <c r="I712" i="37"/>
  <c r="I713" i="37"/>
  <c r="I714" i="37"/>
  <c r="I715" i="37"/>
  <c r="I716" i="37"/>
  <c r="I717" i="37"/>
  <c r="I718" i="37"/>
  <c r="I719" i="37"/>
  <c r="I720" i="37"/>
  <c r="I721" i="37"/>
  <c r="I722" i="37"/>
  <c r="I723" i="37"/>
  <c r="I724" i="37"/>
  <c r="I725" i="37"/>
  <c r="I726" i="37"/>
  <c r="I727" i="37"/>
  <c r="I728" i="37"/>
  <c r="I729" i="37"/>
  <c r="I730" i="37"/>
  <c r="I731" i="37"/>
  <c r="I732" i="37"/>
  <c r="I733" i="37"/>
  <c r="I734" i="37"/>
  <c r="I735" i="37"/>
  <c r="I736" i="37"/>
  <c r="I737" i="37"/>
  <c r="I738" i="37"/>
  <c r="I739" i="37"/>
  <c r="I740" i="37"/>
  <c r="I741" i="37"/>
  <c r="I742" i="37"/>
  <c r="I743" i="37"/>
  <c r="I744" i="37"/>
  <c r="I745" i="37"/>
  <c r="I746" i="37"/>
  <c r="I747" i="37"/>
  <c r="I748" i="37"/>
  <c r="I749" i="37"/>
  <c r="I750" i="37"/>
  <c r="I751" i="37"/>
  <c r="I752" i="37"/>
  <c r="I757" i="37"/>
  <c r="I756" i="37"/>
  <c r="I755" i="37"/>
  <c r="I754" i="37"/>
  <c r="I753" i="37"/>
  <c r="E45" i="28"/>
  <c r="F45" i="28"/>
  <c r="G45" i="28"/>
  <c r="H45" i="28"/>
  <c r="I45" i="28"/>
  <c r="J45" i="28"/>
  <c r="K45" i="28"/>
  <c r="L45" i="28"/>
  <c r="M45" i="28"/>
  <c r="N45" i="28"/>
  <c r="O45" i="28"/>
  <c r="P45" i="28"/>
  <c r="Q45" i="28"/>
  <c r="R45" i="28"/>
  <c r="S45" i="28"/>
  <c r="T45" i="28"/>
  <c r="U45" i="28"/>
  <c r="V45" i="28"/>
  <c r="W45" i="28"/>
  <c r="X45" i="28"/>
  <c r="Y45" i="28"/>
  <c r="Z45" i="28"/>
  <c r="AA45" i="28"/>
  <c r="AB45" i="28"/>
  <c r="AC45" i="28"/>
  <c r="D45" i="28"/>
  <c r="E61" i="28"/>
  <c r="F61" i="28"/>
  <c r="G61" i="28"/>
  <c r="H61" i="28"/>
  <c r="I61" i="28"/>
  <c r="J61" i="28"/>
  <c r="K61" i="28"/>
  <c r="L61" i="28"/>
  <c r="M61" i="28"/>
  <c r="N61" i="28"/>
  <c r="O61" i="28"/>
  <c r="P61" i="28"/>
  <c r="Q61" i="28"/>
  <c r="R61" i="28"/>
  <c r="S61" i="28"/>
  <c r="T61" i="28"/>
  <c r="U61" i="28"/>
  <c r="V61" i="28"/>
  <c r="W61" i="28"/>
  <c r="X61" i="28"/>
  <c r="Y61" i="28"/>
  <c r="Z61" i="28"/>
  <c r="AA61" i="28"/>
  <c r="AB61" i="28"/>
  <c r="AC61" i="28"/>
  <c r="D61" i="28"/>
  <c r="T742" i="37"/>
  <c r="W15" i="28" s="1"/>
  <c r="U742" i="37"/>
  <c r="W16" i="28" s="1"/>
  <c r="T743" i="37"/>
  <c r="X15" i="28" s="1"/>
  <c r="U743" i="37"/>
  <c r="X16" i="28" s="1"/>
  <c r="T744" i="37"/>
  <c r="Y15" i="28" s="1"/>
  <c r="U744" i="37"/>
  <c r="Y16" i="28" s="1"/>
  <c r="T745" i="37"/>
  <c r="Z15" i="28" s="1"/>
  <c r="U745" i="37"/>
  <c r="Z16" i="28" s="1"/>
  <c r="T746" i="37"/>
  <c r="AA15" i="28" s="1"/>
  <c r="U746" i="37"/>
  <c r="AA16" i="28" s="1"/>
  <c r="T747" i="37"/>
  <c r="AB15" i="28" s="1"/>
  <c r="U747" i="37"/>
  <c r="AB16" i="28" s="1"/>
  <c r="T748" i="37"/>
  <c r="AC15" i="28" s="1"/>
  <c r="U748" i="37"/>
  <c r="AC16" i="28" s="1"/>
  <c r="T749" i="37"/>
  <c r="AD15" i="28" s="1"/>
  <c r="U749" i="37"/>
  <c r="AD16" i="28" s="1"/>
  <c r="T750" i="37"/>
  <c r="U750" i="37"/>
  <c r="AE16" i="28" s="1"/>
  <c r="T751" i="37"/>
  <c r="AF15" i="28" s="1"/>
  <c r="U751" i="37"/>
  <c r="AF16" i="28" s="1"/>
  <c r="T752" i="37"/>
  <c r="AG15" i="28" s="1"/>
  <c r="U752" i="37"/>
  <c r="AG16" i="28" s="1"/>
  <c r="T753" i="37"/>
  <c r="AH15" i="28" s="1"/>
  <c r="U753" i="37"/>
  <c r="AH16" i="28" s="1"/>
  <c r="T754" i="37"/>
  <c r="AI15" i="28" s="1"/>
  <c r="U754" i="37"/>
  <c r="AI16" i="28" s="1"/>
  <c r="T755" i="37"/>
  <c r="AJ15" i="28" s="1"/>
  <c r="U755" i="37"/>
  <c r="AJ16" i="28" s="1"/>
  <c r="T756" i="37"/>
  <c r="AK15" i="28" s="1"/>
  <c r="U756" i="37"/>
  <c r="AK16" i="28" s="1"/>
  <c r="T757" i="37"/>
  <c r="AL15" i="28" s="1"/>
  <c r="U757" i="37"/>
  <c r="AL16" i="28" s="1"/>
  <c r="AM15" i="28"/>
  <c r="AM16" i="28"/>
  <c r="E17" i="28"/>
  <c r="F17" i="28"/>
  <c r="G17" i="28"/>
  <c r="H17" i="28"/>
  <c r="I17" i="28"/>
  <c r="J17" i="28"/>
  <c r="K17" i="28"/>
  <c r="L17" i="28"/>
  <c r="M17" i="28"/>
  <c r="N17" i="28"/>
  <c r="O17" i="28"/>
  <c r="P17" i="28"/>
  <c r="Q17" i="28"/>
  <c r="R17" i="28"/>
  <c r="S17" i="28"/>
  <c r="T17" i="28"/>
  <c r="U17" i="28"/>
  <c r="V17" i="28"/>
  <c r="W17" i="28"/>
  <c r="X17" i="28"/>
  <c r="Y17" i="28"/>
  <c r="Z17" i="28"/>
  <c r="AA17" i="28"/>
  <c r="AB17" i="28"/>
  <c r="AC17" i="28"/>
  <c r="AD17" i="28"/>
  <c r="AE17" i="28"/>
  <c r="AF17" i="28"/>
  <c r="D17" i="28"/>
  <c r="E6" i="28"/>
  <c r="F6" i="28"/>
  <c r="G6" i="28"/>
  <c r="H6" i="28"/>
  <c r="I6" i="28"/>
  <c r="J6" i="28"/>
  <c r="K6" i="28"/>
  <c r="L6" i="28"/>
  <c r="M6" i="28"/>
  <c r="N6" i="28"/>
  <c r="O6" i="28"/>
  <c r="P6" i="28"/>
  <c r="Q6" i="28"/>
  <c r="R6" i="28"/>
  <c r="S6" i="28"/>
  <c r="T6" i="28"/>
  <c r="U6" i="28"/>
  <c r="V6" i="28"/>
  <c r="W6" i="28"/>
  <c r="X6" i="28"/>
  <c r="Y6" i="28"/>
  <c r="Z6" i="28"/>
  <c r="AA6" i="28"/>
  <c r="AB6" i="28"/>
  <c r="AC6" i="28"/>
  <c r="AD6" i="28"/>
  <c r="AE6" i="28"/>
  <c r="AF6" i="28"/>
  <c r="E7" i="28"/>
  <c r="F7" i="28"/>
  <c r="G7" i="28"/>
  <c r="H7" i="28"/>
  <c r="I7" i="28"/>
  <c r="J7" i="28"/>
  <c r="K7" i="28"/>
  <c r="L7" i="28"/>
  <c r="M7" i="28"/>
  <c r="N7" i="28"/>
  <c r="O7" i="28"/>
  <c r="P7" i="28"/>
  <c r="Q7" i="28"/>
  <c r="R7" i="28"/>
  <c r="S7" i="28"/>
  <c r="T7" i="28"/>
  <c r="U7" i="28"/>
  <c r="V7" i="28"/>
  <c r="W7" i="28"/>
  <c r="X7" i="28"/>
  <c r="Y7" i="28"/>
  <c r="Z7" i="28"/>
  <c r="AA7" i="28"/>
  <c r="AB7" i="28"/>
  <c r="AC7" i="28"/>
  <c r="AD7" i="28"/>
  <c r="AE7" i="28"/>
  <c r="AF7" i="28"/>
  <c r="E12" i="28"/>
  <c r="F12" i="28"/>
  <c r="G12" i="28"/>
  <c r="H12" i="28"/>
  <c r="I12" i="28"/>
  <c r="J12" i="28"/>
  <c r="K12" i="28"/>
  <c r="L12" i="28"/>
  <c r="M12" i="28"/>
  <c r="N12" i="28"/>
  <c r="O12" i="28"/>
  <c r="P12" i="28"/>
  <c r="Q12" i="28"/>
  <c r="R12" i="28"/>
  <c r="S12" i="28"/>
  <c r="T12" i="28"/>
  <c r="U12" i="28"/>
  <c r="V12" i="28"/>
  <c r="W12" i="28"/>
  <c r="X12" i="28"/>
  <c r="Y12" i="28"/>
  <c r="Z12" i="28"/>
  <c r="AA12" i="28"/>
  <c r="AB12" i="28"/>
  <c r="AC12" i="28"/>
  <c r="AD12" i="28"/>
  <c r="AE12" i="28"/>
  <c r="AF12" i="28"/>
  <c r="AE15" i="28"/>
  <c r="D12" i="28"/>
  <c r="P28" i="37"/>
  <c r="P29" i="37"/>
  <c r="P30" i="37"/>
  <c r="P31" i="37"/>
  <c r="P32" i="37"/>
  <c r="P33" i="37"/>
  <c r="P34" i="37"/>
  <c r="P35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48" i="37"/>
  <c r="P49" i="37"/>
  <c r="P50" i="37"/>
  <c r="P51" i="37"/>
  <c r="P52" i="37"/>
  <c r="P53" i="37"/>
  <c r="P54" i="37"/>
  <c r="P55" i="37"/>
  <c r="P56" i="37"/>
  <c r="P57" i="37"/>
  <c r="P58" i="37"/>
  <c r="P59" i="37"/>
  <c r="P60" i="37"/>
  <c r="P61" i="37"/>
  <c r="P62" i="37"/>
  <c r="P63" i="37"/>
  <c r="P64" i="37"/>
  <c r="P65" i="37"/>
  <c r="P66" i="37"/>
  <c r="P67" i="37"/>
  <c r="P68" i="37"/>
  <c r="P69" i="37"/>
  <c r="P70" i="37"/>
  <c r="P71" i="37"/>
  <c r="P72" i="37"/>
  <c r="P73" i="37"/>
  <c r="P74" i="37"/>
  <c r="P75" i="37"/>
  <c r="P76" i="37"/>
  <c r="P77" i="37"/>
  <c r="P78" i="37"/>
  <c r="P79" i="37"/>
  <c r="P80" i="37"/>
  <c r="P81" i="37"/>
  <c r="P82" i="37"/>
  <c r="P83" i="37"/>
  <c r="P84" i="37"/>
  <c r="P85" i="37"/>
  <c r="P86" i="37"/>
  <c r="P87" i="37"/>
  <c r="P88" i="37"/>
  <c r="P89" i="37"/>
  <c r="P90" i="37"/>
  <c r="P91" i="37"/>
  <c r="P92" i="37"/>
  <c r="P93" i="37"/>
  <c r="P94" i="37"/>
  <c r="P95" i="37"/>
  <c r="P96" i="37"/>
  <c r="P97" i="37"/>
  <c r="P98" i="37"/>
  <c r="P99" i="37"/>
  <c r="P100" i="37"/>
  <c r="P101" i="37"/>
  <c r="P102" i="37"/>
  <c r="P103" i="37"/>
  <c r="P104" i="37"/>
  <c r="P105" i="37"/>
  <c r="P106" i="37"/>
  <c r="P107" i="37"/>
  <c r="P108" i="37"/>
  <c r="P109" i="37"/>
  <c r="P110" i="37"/>
  <c r="P111" i="37"/>
  <c r="P112" i="37"/>
  <c r="P113" i="37"/>
  <c r="P114" i="37"/>
  <c r="P115" i="37"/>
  <c r="P116" i="37"/>
  <c r="P117" i="37"/>
  <c r="P118" i="37"/>
  <c r="P119" i="37"/>
  <c r="P120" i="37"/>
  <c r="P121" i="37"/>
  <c r="P122" i="37"/>
  <c r="P123" i="37"/>
  <c r="P124" i="37"/>
  <c r="P125" i="37"/>
  <c r="P126" i="37"/>
  <c r="P127" i="37"/>
  <c r="P128" i="37"/>
  <c r="P129" i="37"/>
  <c r="P130" i="37"/>
  <c r="P131" i="37"/>
  <c r="P132" i="37"/>
  <c r="P133" i="37"/>
  <c r="P134" i="37"/>
  <c r="P135" i="37"/>
  <c r="P136" i="37"/>
  <c r="P137" i="37"/>
  <c r="P138" i="37"/>
  <c r="P139" i="37"/>
  <c r="P140" i="37"/>
  <c r="P141" i="37"/>
  <c r="P142" i="37"/>
  <c r="P143" i="37"/>
  <c r="P144" i="37"/>
  <c r="P145" i="37"/>
  <c r="P146" i="37"/>
  <c r="P147" i="37"/>
  <c r="P148" i="37"/>
  <c r="P149" i="37"/>
  <c r="P150" i="37"/>
  <c r="P151" i="37"/>
  <c r="P152" i="37"/>
  <c r="P153" i="37"/>
  <c r="P154" i="37"/>
  <c r="P155" i="37"/>
  <c r="P156" i="37"/>
  <c r="P157" i="37"/>
  <c r="P158" i="37"/>
  <c r="P159" i="37"/>
  <c r="P160" i="37"/>
  <c r="P161" i="37"/>
  <c r="P162" i="37"/>
  <c r="P163" i="37"/>
  <c r="P164" i="37"/>
  <c r="P165" i="37"/>
  <c r="P166" i="37"/>
  <c r="P167" i="37"/>
  <c r="P168" i="37"/>
  <c r="P169" i="37"/>
  <c r="P170" i="37"/>
  <c r="P171" i="37"/>
  <c r="P172" i="37"/>
  <c r="P173" i="37"/>
  <c r="P174" i="37"/>
  <c r="P175" i="37"/>
  <c r="P176" i="37"/>
  <c r="P177" i="37"/>
  <c r="P178" i="37"/>
  <c r="P179" i="37"/>
  <c r="P180" i="37"/>
  <c r="P181" i="37"/>
  <c r="P182" i="37"/>
  <c r="P183" i="37"/>
  <c r="P184" i="37"/>
  <c r="P185" i="37"/>
  <c r="P186" i="37"/>
  <c r="P187" i="37"/>
  <c r="P188" i="37"/>
  <c r="P189" i="37"/>
  <c r="P190" i="37"/>
  <c r="P191" i="37"/>
  <c r="P192" i="37"/>
  <c r="P193" i="37"/>
  <c r="P194" i="37"/>
  <c r="P195" i="37"/>
  <c r="P196" i="37"/>
  <c r="P197" i="37"/>
  <c r="P198" i="37"/>
  <c r="P199" i="37"/>
  <c r="P200" i="37"/>
  <c r="P201" i="37"/>
  <c r="P202" i="37"/>
  <c r="P203" i="37"/>
  <c r="P204" i="37"/>
  <c r="P205" i="37"/>
  <c r="P206" i="37"/>
  <c r="P207" i="37"/>
  <c r="P208" i="37"/>
  <c r="P209" i="37"/>
  <c r="P210" i="37"/>
  <c r="P211" i="37"/>
  <c r="P212" i="37"/>
  <c r="P213" i="37"/>
  <c r="P214" i="37"/>
  <c r="P215" i="37"/>
  <c r="P216" i="37"/>
  <c r="P217" i="37"/>
  <c r="P218" i="37"/>
  <c r="P219" i="37"/>
  <c r="P220" i="37"/>
  <c r="P221" i="37"/>
  <c r="P222" i="37"/>
  <c r="P223" i="37"/>
  <c r="P224" i="37"/>
  <c r="P225" i="37"/>
  <c r="P226" i="37"/>
  <c r="P227" i="37"/>
  <c r="P228" i="37"/>
  <c r="P229" i="37"/>
  <c r="P230" i="37"/>
  <c r="P231" i="37"/>
  <c r="P232" i="37"/>
  <c r="P233" i="37"/>
  <c r="P234" i="37"/>
  <c r="P235" i="37"/>
  <c r="P236" i="37"/>
  <c r="P237" i="37"/>
  <c r="P238" i="37"/>
  <c r="P239" i="37"/>
  <c r="P240" i="37"/>
  <c r="P241" i="37"/>
  <c r="P242" i="37"/>
  <c r="P243" i="37"/>
  <c r="P244" i="37"/>
  <c r="P245" i="37"/>
  <c r="P246" i="37"/>
  <c r="P247" i="37"/>
  <c r="P248" i="37"/>
  <c r="P249" i="37"/>
  <c r="P250" i="37"/>
  <c r="P251" i="37"/>
  <c r="P252" i="37"/>
  <c r="P253" i="37"/>
  <c r="P254" i="37"/>
  <c r="P255" i="37"/>
  <c r="P256" i="37"/>
  <c r="P257" i="37"/>
  <c r="P258" i="37"/>
  <c r="P259" i="37"/>
  <c r="P260" i="37"/>
  <c r="P261" i="37"/>
  <c r="P262" i="37"/>
  <c r="P263" i="37"/>
  <c r="P264" i="37"/>
  <c r="P265" i="37"/>
  <c r="P266" i="37"/>
  <c r="P267" i="37"/>
  <c r="P268" i="37"/>
  <c r="P269" i="37"/>
  <c r="P270" i="37"/>
  <c r="P271" i="37"/>
  <c r="P272" i="37"/>
  <c r="P273" i="37"/>
  <c r="P274" i="37"/>
  <c r="P275" i="37"/>
  <c r="P276" i="37"/>
  <c r="P277" i="37"/>
  <c r="P278" i="37"/>
  <c r="P279" i="37"/>
  <c r="P280" i="37"/>
  <c r="P281" i="37"/>
  <c r="P282" i="37"/>
  <c r="P283" i="37"/>
  <c r="P284" i="37"/>
  <c r="P285" i="37"/>
  <c r="P286" i="37"/>
  <c r="P287" i="37"/>
  <c r="P288" i="37"/>
  <c r="P289" i="37"/>
  <c r="P290" i="37"/>
  <c r="P291" i="37"/>
  <c r="P292" i="37"/>
  <c r="P293" i="37"/>
  <c r="P294" i="37"/>
  <c r="P295" i="37"/>
  <c r="P296" i="37"/>
  <c r="P297" i="37"/>
  <c r="P298" i="37"/>
  <c r="P299" i="37"/>
  <c r="P300" i="37"/>
  <c r="P301" i="37"/>
  <c r="P302" i="37"/>
  <c r="P303" i="37"/>
  <c r="P304" i="37"/>
  <c r="P305" i="37"/>
  <c r="P306" i="37"/>
  <c r="P307" i="37"/>
  <c r="P308" i="37"/>
  <c r="P309" i="37"/>
  <c r="P310" i="37"/>
  <c r="P311" i="37"/>
  <c r="P312" i="37"/>
  <c r="P313" i="37"/>
  <c r="P314" i="37"/>
  <c r="P315" i="37"/>
  <c r="P316" i="37"/>
  <c r="P317" i="37"/>
  <c r="P318" i="37"/>
  <c r="P319" i="37"/>
  <c r="P320" i="37"/>
  <c r="P321" i="37"/>
  <c r="P322" i="37"/>
  <c r="P323" i="37"/>
  <c r="P324" i="37"/>
  <c r="P325" i="37"/>
  <c r="P326" i="37"/>
  <c r="P327" i="37"/>
  <c r="P328" i="37"/>
  <c r="P329" i="37"/>
  <c r="P330" i="37"/>
  <c r="P331" i="37"/>
  <c r="P332" i="37"/>
  <c r="P333" i="37"/>
  <c r="P334" i="37"/>
  <c r="P335" i="37"/>
  <c r="P336" i="37"/>
  <c r="P337" i="37"/>
  <c r="P338" i="37"/>
  <c r="P339" i="37"/>
  <c r="P340" i="37"/>
  <c r="P341" i="37"/>
  <c r="P342" i="37"/>
  <c r="P343" i="37"/>
  <c r="P344" i="37"/>
  <c r="P345" i="37"/>
  <c r="P346" i="37"/>
  <c r="P347" i="37"/>
  <c r="P348" i="37"/>
  <c r="P349" i="37"/>
  <c r="P350" i="37"/>
  <c r="P351" i="37"/>
  <c r="P352" i="37"/>
  <c r="P353" i="37"/>
  <c r="P354" i="37"/>
  <c r="P355" i="37"/>
  <c r="P356" i="37"/>
  <c r="P357" i="37"/>
  <c r="P358" i="37"/>
  <c r="P359" i="37"/>
  <c r="P360" i="37"/>
  <c r="P361" i="37"/>
  <c r="P362" i="37"/>
  <c r="P363" i="37"/>
  <c r="P364" i="37"/>
  <c r="P365" i="37"/>
  <c r="P366" i="37"/>
  <c r="P367" i="37"/>
  <c r="P368" i="37"/>
  <c r="P369" i="37"/>
  <c r="P370" i="37"/>
  <c r="P371" i="37"/>
  <c r="P372" i="37"/>
  <c r="P373" i="37"/>
  <c r="P374" i="37"/>
  <c r="P375" i="37"/>
  <c r="P376" i="37"/>
  <c r="P377" i="37"/>
  <c r="P378" i="37"/>
  <c r="P379" i="37"/>
  <c r="P380" i="37"/>
  <c r="P381" i="37"/>
  <c r="P382" i="37"/>
  <c r="P383" i="37"/>
  <c r="P384" i="37"/>
  <c r="P385" i="37"/>
  <c r="P386" i="37"/>
  <c r="P387" i="37"/>
  <c r="P388" i="37"/>
  <c r="P389" i="37"/>
  <c r="P390" i="37"/>
  <c r="P391" i="37"/>
  <c r="P392" i="37"/>
  <c r="P393" i="37"/>
  <c r="P394" i="37"/>
  <c r="P395" i="37"/>
  <c r="P396" i="37"/>
  <c r="P397" i="37"/>
  <c r="P398" i="37"/>
  <c r="P399" i="37"/>
  <c r="P400" i="37"/>
  <c r="P401" i="37"/>
  <c r="P402" i="37"/>
  <c r="P403" i="37"/>
  <c r="P404" i="37"/>
  <c r="P405" i="37"/>
  <c r="P406" i="37"/>
  <c r="P407" i="37"/>
  <c r="P408" i="37"/>
  <c r="P409" i="37"/>
  <c r="P410" i="37"/>
  <c r="P411" i="37"/>
  <c r="P412" i="37"/>
  <c r="P413" i="37"/>
  <c r="P414" i="37"/>
  <c r="P415" i="37"/>
  <c r="P416" i="37"/>
  <c r="P417" i="37"/>
  <c r="P418" i="37"/>
  <c r="P419" i="37"/>
  <c r="P420" i="37"/>
  <c r="P421" i="37"/>
  <c r="P422" i="37"/>
  <c r="P423" i="37"/>
  <c r="P424" i="37"/>
  <c r="P425" i="37"/>
  <c r="P426" i="37"/>
  <c r="P427" i="37"/>
  <c r="P428" i="37"/>
  <c r="P429" i="37"/>
  <c r="P430" i="37"/>
  <c r="P431" i="37"/>
  <c r="P432" i="37"/>
  <c r="P433" i="37"/>
  <c r="P434" i="37"/>
  <c r="P435" i="37"/>
  <c r="P436" i="37"/>
  <c r="P437" i="37"/>
  <c r="P438" i="37"/>
  <c r="P439" i="37"/>
  <c r="P440" i="37"/>
  <c r="P441" i="37"/>
  <c r="P442" i="37"/>
  <c r="P443" i="37"/>
  <c r="P444" i="37"/>
  <c r="P445" i="37"/>
  <c r="P446" i="37"/>
  <c r="P447" i="37"/>
  <c r="P448" i="37"/>
  <c r="P449" i="37"/>
  <c r="P450" i="37"/>
  <c r="P451" i="37"/>
  <c r="P452" i="37"/>
  <c r="P453" i="37"/>
  <c r="P454" i="37"/>
  <c r="P455" i="37"/>
  <c r="P456" i="37"/>
  <c r="P457" i="37"/>
  <c r="P458" i="37"/>
  <c r="P459" i="37"/>
  <c r="P460" i="37"/>
  <c r="P461" i="37"/>
  <c r="P462" i="37"/>
  <c r="P463" i="37"/>
  <c r="P464" i="37"/>
  <c r="P465" i="37"/>
  <c r="P466" i="37"/>
  <c r="P467" i="37"/>
  <c r="P468" i="37"/>
  <c r="P469" i="37"/>
  <c r="P470" i="37"/>
  <c r="P471" i="37"/>
  <c r="P472" i="37"/>
  <c r="P473" i="37"/>
  <c r="P474" i="37"/>
  <c r="P475" i="37"/>
  <c r="P476" i="37"/>
  <c r="P477" i="37"/>
  <c r="P478" i="37"/>
  <c r="P479" i="37"/>
  <c r="P480" i="37"/>
  <c r="P481" i="37"/>
  <c r="P482" i="37"/>
  <c r="P483" i="37"/>
  <c r="P484" i="37"/>
  <c r="P485" i="37"/>
  <c r="P486" i="37"/>
  <c r="P487" i="37"/>
  <c r="P488" i="37"/>
  <c r="P489" i="37"/>
  <c r="P490" i="37"/>
  <c r="P491" i="37"/>
  <c r="P492" i="37"/>
  <c r="P493" i="37"/>
  <c r="P494" i="37"/>
  <c r="P495" i="37"/>
  <c r="P496" i="37"/>
  <c r="P497" i="37"/>
  <c r="P498" i="37"/>
  <c r="P499" i="37"/>
  <c r="P500" i="37"/>
  <c r="P501" i="37"/>
  <c r="P502" i="37"/>
  <c r="P503" i="37"/>
  <c r="P504" i="37"/>
  <c r="P505" i="37"/>
  <c r="P506" i="37"/>
  <c r="P507" i="37"/>
  <c r="P508" i="37"/>
  <c r="P509" i="37"/>
  <c r="P510" i="37"/>
  <c r="P511" i="37"/>
  <c r="P512" i="37"/>
  <c r="P513" i="37"/>
  <c r="P514" i="37"/>
  <c r="P515" i="37"/>
  <c r="P516" i="37"/>
  <c r="P517" i="37"/>
  <c r="P518" i="37"/>
  <c r="P519" i="37"/>
  <c r="P520" i="37"/>
  <c r="P521" i="37"/>
  <c r="P522" i="37"/>
  <c r="P523" i="37"/>
  <c r="P524" i="37"/>
  <c r="P525" i="37"/>
  <c r="P526" i="37"/>
  <c r="P527" i="37"/>
  <c r="P528" i="37"/>
  <c r="P529" i="37"/>
  <c r="P530" i="37"/>
  <c r="P531" i="37"/>
  <c r="P532" i="37"/>
  <c r="P533" i="37"/>
  <c r="P534" i="37"/>
  <c r="P535" i="37"/>
  <c r="P536" i="37"/>
  <c r="P537" i="37"/>
  <c r="P538" i="37"/>
  <c r="P539" i="37"/>
  <c r="P540" i="37"/>
  <c r="P541" i="37"/>
  <c r="P542" i="37"/>
  <c r="P543" i="37"/>
  <c r="P544" i="37"/>
  <c r="P545" i="37"/>
  <c r="P546" i="37"/>
  <c r="P547" i="37"/>
  <c r="P548" i="37"/>
  <c r="P549" i="37"/>
  <c r="P550" i="37"/>
  <c r="P551" i="37"/>
  <c r="P552" i="37"/>
  <c r="P553" i="37"/>
  <c r="P554" i="37"/>
  <c r="P555" i="37"/>
  <c r="P556" i="37"/>
  <c r="P557" i="37"/>
  <c r="P558" i="37"/>
  <c r="P559" i="37"/>
  <c r="P560" i="37"/>
  <c r="P561" i="37"/>
  <c r="P562" i="37"/>
  <c r="P563" i="37"/>
  <c r="P564" i="37"/>
  <c r="P565" i="37"/>
  <c r="P566" i="37"/>
  <c r="P567" i="37"/>
  <c r="P568" i="37"/>
  <c r="P569" i="37"/>
  <c r="P570" i="37"/>
  <c r="P571" i="37"/>
  <c r="P572" i="37"/>
  <c r="P573" i="37"/>
  <c r="P574" i="37"/>
  <c r="P575" i="37"/>
  <c r="P576" i="37"/>
  <c r="P577" i="37"/>
  <c r="P578" i="37"/>
  <c r="P579" i="37"/>
  <c r="P580" i="37"/>
  <c r="P581" i="37"/>
  <c r="P582" i="37"/>
  <c r="P583" i="37"/>
  <c r="P584" i="37"/>
  <c r="P585" i="37"/>
  <c r="P586" i="37"/>
  <c r="P587" i="37"/>
  <c r="P588" i="37"/>
  <c r="P589" i="37"/>
  <c r="P590" i="37"/>
  <c r="P591" i="37"/>
  <c r="P592" i="37"/>
  <c r="P593" i="37"/>
  <c r="P594" i="37"/>
  <c r="P595" i="37"/>
  <c r="P596" i="37"/>
  <c r="P597" i="37"/>
  <c r="P598" i="37"/>
  <c r="P599" i="37"/>
  <c r="P600" i="37"/>
  <c r="P601" i="37"/>
  <c r="P602" i="37"/>
  <c r="P603" i="37"/>
  <c r="P604" i="37"/>
  <c r="P605" i="37"/>
  <c r="P606" i="37"/>
  <c r="P607" i="37"/>
  <c r="P608" i="37"/>
  <c r="P609" i="37"/>
  <c r="P610" i="37"/>
  <c r="P611" i="37"/>
  <c r="P612" i="37"/>
  <c r="P613" i="37"/>
  <c r="P614" i="37"/>
  <c r="P615" i="37"/>
  <c r="P616" i="37"/>
  <c r="P617" i="37"/>
  <c r="P618" i="37"/>
  <c r="P619" i="37"/>
  <c r="P620" i="37"/>
  <c r="P621" i="37"/>
  <c r="P622" i="37"/>
  <c r="P623" i="37"/>
  <c r="P624" i="37"/>
  <c r="P625" i="37"/>
  <c r="P626" i="37"/>
  <c r="P627" i="37"/>
  <c r="P628" i="37"/>
  <c r="P629" i="37"/>
  <c r="P630" i="37"/>
  <c r="P631" i="37"/>
  <c r="P632" i="37"/>
  <c r="P633" i="37"/>
  <c r="P634" i="37"/>
  <c r="P635" i="37"/>
  <c r="P636" i="37"/>
  <c r="P637" i="37"/>
  <c r="P638" i="37"/>
  <c r="P639" i="37"/>
  <c r="P640" i="37"/>
  <c r="P641" i="37"/>
  <c r="P642" i="37"/>
  <c r="P643" i="37"/>
  <c r="P644" i="37"/>
  <c r="P645" i="37"/>
  <c r="P646" i="37"/>
  <c r="P647" i="37"/>
  <c r="P648" i="37"/>
  <c r="P649" i="37"/>
  <c r="P650" i="37"/>
  <c r="P651" i="37"/>
  <c r="P652" i="37"/>
  <c r="P653" i="37"/>
  <c r="P654" i="37"/>
  <c r="P655" i="37"/>
  <c r="P656" i="37"/>
  <c r="P657" i="37"/>
  <c r="P658" i="37"/>
  <c r="P659" i="37"/>
  <c r="P660" i="37"/>
  <c r="P661" i="37"/>
  <c r="P662" i="37"/>
  <c r="P663" i="37"/>
  <c r="P664" i="37"/>
  <c r="P665" i="37"/>
  <c r="P666" i="37"/>
  <c r="P667" i="37"/>
  <c r="P668" i="37"/>
  <c r="P669" i="37"/>
  <c r="P670" i="37"/>
  <c r="P671" i="37"/>
  <c r="P672" i="37"/>
  <c r="P673" i="37"/>
  <c r="P674" i="37"/>
  <c r="P675" i="37"/>
  <c r="P676" i="37"/>
  <c r="P677" i="37"/>
  <c r="P678" i="37"/>
  <c r="P679" i="37"/>
  <c r="P680" i="37"/>
  <c r="P681" i="37"/>
  <c r="P682" i="37"/>
  <c r="P683" i="37"/>
  <c r="P684" i="37"/>
  <c r="P685" i="37"/>
  <c r="P686" i="37"/>
  <c r="P687" i="37"/>
  <c r="P688" i="37"/>
  <c r="P689" i="37"/>
  <c r="P690" i="37"/>
  <c r="P691" i="37"/>
  <c r="P692" i="37"/>
  <c r="P693" i="37"/>
  <c r="P694" i="37"/>
  <c r="P695" i="37"/>
  <c r="P696" i="37"/>
  <c r="P697" i="37"/>
  <c r="P698" i="37"/>
  <c r="P699" i="37"/>
  <c r="P700" i="37"/>
  <c r="P701" i="37"/>
  <c r="P702" i="37"/>
  <c r="P703" i="37"/>
  <c r="P704" i="37"/>
  <c r="P705" i="37"/>
  <c r="P706" i="37"/>
  <c r="P707" i="37"/>
  <c r="P708" i="37"/>
  <c r="P709" i="37"/>
  <c r="P710" i="37"/>
  <c r="P711" i="37"/>
  <c r="P712" i="37"/>
  <c r="P713" i="37"/>
  <c r="P714" i="37"/>
  <c r="P715" i="37"/>
  <c r="P716" i="37"/>
  <c r="P717" i="37"/>
  <c r="P718" i="37"/>
  <c r="P719" i="37"/>
  <c r="P720" i="37"/>
  <c r="P721" i="37"/>
  <c r="P722" i="37"/>
  <c r="P723" i="37"/>
  <c r="P724" i="37"/>
  <c r="P725" i="37"/>
  <c r="P726" i="37"/>
  <c r="P727" i="37"/>
  <c r="P728" i="37"/>
  <c r="P729" i="37"/>
  <c r="P730" i="37"/>
  <c r="P731" i="37"/>
  <c r="P732" i="37"/>
  <c r="P733" i="37"/>
  <c r="P734" i="37"/>
  <c r="P735" i="37"/>
  <c r="P736" i="37"/>
  <c r="P737" i="37"/>
  <c r="P738" i="37"/>
  <c r="P739" i="37"/>
  <c r="P740" i="37"/>
  <c r="P741" i="37"/>
  <c r="P742" i="37"/>
  <c r="P743" i="37"/>
  <c r="P744" i="37"/>
  <c r="P745" i="37"/>
  <c r="P746" i="37"/>
  <c r="P747" i="37"/>
  <c r="P748" i="37"/>
  <c r="P750" i="37"/>
  <c r="P751" i="37"/>
  <c r="P752" i="37"/>
  <c r="P753" i="37"/>
  <c r="P754" i="37"/>
  <c r="P755" i="37"/>
  <c r="P756" i="37"/>
  <c r="P757" i="37"/>
  <c r="P749" i="37"/>
  <c r="U327" i="37"/>
  <c r="U328" i="37"/>
  <c r="U329" i="37"/>
  <c r="U330" i="37"/>
  <c r="U331" i="37"/>
  <c r="U332" i="37"/>
  <c r="U333" i="37"/>
  <c r="U334" i="37"/>
  <c r="U335" i="37"/>
  <c r="U336" i="37"/>
  <c r="U337" i="37"/>
  <c r="U338" i="37"/>
  <c r="U339" i="37"/>
  <c r="U340" i="37"/>
  <c r="U341" i="37"/>
  <c r="U342" i="37"/>
  <c r="U343" i="37"/>
  <c r="U344" i="37"/>
  <c r="U345" i="37"/>
  <c r="U346" i="37"/>
  <c r="U347" i="37"/>
  <c r="U348" i="37"/>
  <c r="U349" i="37"/>
  <c r="U350" i="37"/>
  <c r="U351" i="37"/>
  <c r="U352" i="37"/>
  <c r="U353" i="37"/>
  <c r="U354" i="37"/>
  <c r="U355" i="37"/>
  <c r="U356" i="37"/>
  <c r="U357" i="37"/>
  <c r="U358" i="37"/>
  <c r="U359" i="37"/>
  <c r="U360" i="37"/>
  <c r="U361" i="37"/>
  <c r="U362" i="37"/>
  <c r="U363" i="37"/>
  <c r="U364" i="37"/>
  <c r="U365" i="37"/>
  <c r="U366" i="37"/>
  <c r="U367" i="37"/>
  <c r="U368" i="37"/>
  <c r="U369" i="37"/>
  <c r="U370" i="37"/>
  <c r="U371" i="37"/>
  <c r="U372" i="37"/>
  <c r="U373" i="37"/>
  <c r="U374" i="37"/>
  <c r="U375" i="37"/>
  <c r="U376" i="37"/>
  <c r="U377" i="37"/>
  <c r="U378" i="37"/>
  <c r="U379" i="37"/>
  <c r="U380" i="37"/>
  <c r="U381" i="37"/>
  <c r="U382" i="37"/>
  <c r="U383" i="37"/>
  <c r="U384" i="37"/>
  <c r="U385" i="37"/>
  <c r="U386" i="37"/>
  <c r="U387" i="37"/>
  <c r="U388" i="37"/>
  <c r="U389" i="37"/>
  <c r="U390" i="37"/>
  <c r="U391" i="37"/>
  <c r="U392" i="37"/>
  <c r="U393" i="37"/>
  <c r="U394" i="37"/>
  <c r="U395" i="37"/>
  <c r="U396" i="37"/>
  <c r="U397" i="37"/>
  <c r="U398" i="37"/>
  <c r="U399" i="37"/>
  <c r="U400" i="37"/>
  <c r="U401" i="37"/>
  <c r="U402" i="37"/>
  <c r="U403" i="37"/>
  <c r="U404" i="37"/>
  <c r="U405" i="37"/>
  <c r="U406" i="37"/>
  <c r="U407" i="37"/>
  <c r="U408" i="37"/>
  <c r="U409" i="37"/>
  <c r="U410" i="37"/>
  <c r="U411" i="37"/>
  <c r="U412" i="37"/>
  <c r="U413" i="37"/>
  <c r="U414" i="37"/>
  <c r="U415" i="37"/>
  <c r="U416" i="37"/>
  <c r="U417" i="37"/>
  <c r="U418" i="37"/>
  <c r="U419" i="37"/>
  <c r="U420" i="37"/>
  <c r="U421" i="37"/>
  <c r="U422" i="37"/>
  <c r="U423" i="37"/>
  <c r="U424" i="37"/>
  <c r="U425" i="37"/>
  <c r="U426" i="37"/>
  <c r="U427" i="37"/>
  <c r="U428" i="37"/>
  <c r="U429" i="37"/>
  <c r="U430" i="37"/>
  <c r="U431" i="37"/>
  <c r="U432" i="37"/>
  <c r="U433" i="37"/>
  <c r="U434" i="37"/>
  <c r="U435" i="37"/>
  <c r="U436" i="37"/>
  <c r="U437" i="37"/>
  <c r="U438" i="37"/>
  <c r="U439" i="37"/>
  <c r="U440" i="37"/>
  <c r="U441" i="37"/>
  <c r="U442" i="37"/>
  <c r="U443" i="37"/>
  <c r="U444" i="37"/>
  <c r="U445" i="37"/>
  <c r="U446" i="37"/>
  <c r="U447" i="37"/>
  <c r="U448" i="37"/>
  <c r="U449" i="37"/>
  <c r="U450" i="37"/>
  <c r="U451" i="37"/>
  <c r="U452" i="37"/>
  <c r="U453" i="37"/>
  <c r="U454" i="37"/>
  <c r="U455" i="37"/>
  <c r="U456" i="37"/>
  <c r="U457" i="37"/>
  <c r="U458" i="37"/>
  <c r="U459" i="37"/>
  <c r="U460" i="37"/>
  <c r="U461" i="37"/>
  <c r="U462" i="37"/>
  <c r="U463" i="37"/>
  <c r="U464" i="37"/>
  <c r="U465" i="37"/>
  <c r="U466" i="37"/>
  <c r="U467" i="37"/>
  <c r="U468" i="37"/>
  <c r="U469" i="37"/>
  <c r="U470" i="37"/>
  <c r="U471" i="37"/>
  <c r="U472" i="37"/>
  <c r="U473" i="37"/>
  <c r="U474" i="37"/>
  <c r="U475" i="37"/>
  <c r="U476" i="37"/>
  <c r="U477" i="37"/>
  <c r="U478" i="37"/>
  <c r="U479" i="37"/>
  <c r="U480" i="37"/>
  <c r="U481" i="37"/>
  <c r="U482" i="37"/>
  <c r="U483" i="37"/>
  <c r="U484" i="37"/>
  <c r="U485" i="37"/>
  <c r="U486" i="37"/>
  <c r="U487" i="37"/>
  <c r="U488" i="37"/>
  <c r="U489" i="37"/>
  <c r="U490" i="37"/>
  <c r="U491" i="37"/>
  <c r="U492" i="37"/>
  <c r="U493" i="37"/>
  <c r="U494" i="37"/>
  <c r="U495" i="37"/>
  <c r="U496" i="37"/>
  <c r="U497" i="37"/>
  <c r="U498" i="37"/>
  <c r="U499" i="37"/>
  <c r="U500" i="37"/>
  <c r="U501" i="37"/>
  <c r="U502" i="37"/>
  <c r="U503" i="37"/>
  <c r="U504" i="37"/>
  <c r="U505" i="37"/>
  <c r="U506" i="37"/>
  <c r="U507" i="37"/>
  <c r="U508" i="37"/>
  <c r="U509" i="37"/>
  <c r="U510" i="37"/>
  <c r="U511" i="37"/>
  <c r="U512" i="37"/>
  <c r="U513" i="37"/>
  <c r="U514" i="37"/>
  <c r="U515" i="37"/>
  <c r="U516" i="37"/>
  <c r="U517" i="37"/>
  <c r="U518" i="37"/>
  <c r="U519" i="37"/>
  <c r="U520" i="37"/>
  <c r="U521" i="37"/>
  <c r="U522" i="37"/>
  <c r="U523" i="37"/>
  <c r="U524" i="37"/>
  <c r="U525" i="37"/>
  <c r="U526" i="37"/>
  <c r="U527" i="37"/>
  <c r="U528" i="37"/>
  <c r="U529" i="37"/>
  <c r="U530" i="37"/>
  <c r="U531" i="37"/>
  <c r="U532" i="37"/>
  <c r="U533" i="37"/>
  <c r="U534" i="37"/>
  <c r="U535" i="37"/>
  <c r="U536" i="37"/>
  <c r="U537" i="37"/>
  <c r="U538" i="37"/>
  <c r="U539" i="37"/>
  <c r="U540" i="37"/>
  <c r="U541" i="37"/>
  <c r="U542" i="37"/>
  <c r="U543" i="37"/>
  <c r="U544" i="37"/>
  <c r="U545" i="37"/>
  <c r="U546" i="37"/>
  <c r="U547" i="37"/>
  <c r="U548" i="37"/>
  <c r="U549" i="37"/>
  <c r="U550" i="37"/>
  <c r="U551" i="37"/>
  <c r="U552" i="37"/>
  <c r="U553" i="37"/>
  <c r="U554" i="37"/>
  <c r="U555" i="37"/>
  <c r="U556" i="37"/>
  <c r="U557" i="37"/>
  <c r="U558" i="37"/>
  <c r="U559" i="37"/>
  <c r="U560" i="37"/>
  <c r="U561" i="37"/>
  <c r="U562" i="37"/>
  <c r="U563" i="37"/>
  <c r="U564" i="37"/>
  <c r="U565" i="37"/>
  <c r="U566" i="37"/>
  <c r="U567" i="37"/>
  <c r="U568" i="37"/>
  <c r="U569" i="37"/>
  <c r="U570" i="37"/>
  <c r="U571" i="37"/>
  <c r="U572" i="37"/>
  <c r="U573" i="37"/>
  <c r="U574" i="37"/>
  <c r="U575" i="37"/>
  <c r="U576" i="37"/>
  <c r="U577" i="37"/>
  <c r="U578" i="37"/>
  <c r="U579" i="37"/>
  <c r="U580" i="37"/>
  <c r="U581" i="37"/>
  <c r="U582" i="37"/>
  <c r="U583" i="37"/>
  <c r="U584" i="37"/>
  <c r="U585" i="37"/>
  <c r="U586" i="37"/>
  <c r="U587" i="37"/>
  <c r="U588" i="37"/>
  <c r="U589" i="37"/>
  <c r="U590" i="37"/>
  <c r="U591" i="37"/>
  <c r="U592" i="37"/>
  <c r="U593" i="37"/>
  <c r="U594" i="37"/>
  <c r="U595" i="37"/>
  <c r="U596" i="37"/>
  <c r="U597" i="37"/>
  <c r="U598" i="37"/>
  <c r="U599" i="37"/>
  <c r="U600" i="37"/>
  <c r="U601" i="37"/>
  <c r="U602" i="37"/>
  <c r="U603" i="37"/>
  <c r="U604" i="37"/>
  <c r="U605" i="37"/>
  <c r="U606" i="37"/>
  <c r="U607" i="37"/>
  <c r="U608" i="37"/>
  <c r="U609" i="37"/>
  <c r="U610" i="37"/>
  <c r="U611" i="37"/>
  <c r="U612" i="37"/>
  <c r="U613" i="37"/>
  <c r="U614" i="37"/>
  <c r="U615" i="37"/>
  <c r="U616" i="37"/>
  <c r="U617" i="37"/>
  <c r="U618" i="37"/>
  <c r="U619" i="37"/>
  <c r="U620" i="37"/>
  <c r="U621" i="37"/>
  <c r="U622" i="37"/>
  <c r="U623" i="37"/>
  <c r="U624" i="37"/>
  <c r="U625" i="37"/>
  <c r="U626" i="37"/>
  <c r="U627" i="37"/>
  <c r="U628" i="37"/>
  <c r="U629" i="37"/>
  <c r="U630" i="37"/>
  <c r="U631" i="37"/>
  <c r="U632" i="37"/>
  <c r="U633" i="37"/>
  <c r="U634" i="37"/>
  <c r="U635" i="37"/>
  <c r="U636" i="37"/>
  <c r="U637" i="37"/>
  <c r="U638" i="37"/>
  <c r="U639" i="37"/>
  <c r="U640" i="37"/>
  <c r="U641" i="37"/>
  <c r="U642" i="37"/>
  <c r="U643" i="37"/>
  <c r="U644" i="37"/>
  <c r="U645" i="37"/>
  <c r="U646" i="37"/>
  <c r="U647" i="37"/>
  <c r="U648" i="37"/>
  <c r="U649" i="37"/>
  <c r="U650" i="37"/>
  <c r="U651" i="37"/>
  <c r="U652" i="37"/>
  <c r="U653" i="37"/>
  <c r="U654" i="37"/>
  <c r="U655" i="37"/>
  <c r="U656" i="37"/>
  <c r="U657" i="37"/>
  <c r="U658" i="37"/>
  <c r="U659" i="37"/>
  <c r="U660" i="37"/>
  <c r="U661" i="37"/>
  <c r="U662" i="37"/>
  <c r="U663" i="37"/>
  <c r="U664" i="37"/>
  <c r="U665" i="37"/>
  <c r="U666" i="37"/>
  <c r="U667" i="37"/>
  <c r="U668" i="37"/>
  <c r="U669" i="37"/>
  <c r="U670" i="37"/>
  <c r="U671" i="37"/>
  <c r="U672" i="37"/>
  <c r="U673" i="37"/>
  <c r="U674" i="37"/>
  <c r="U675" i="37"/>
  <c r="U676" i="37"/>
  <c r="U677" i="37"/>
  <c r="U678" i="37"/>
  <c r="U679" i="37"/>
  <c r="U680" i="37"/>
  <c r="U681" i="37"/>
  <c r="U682" i="37"/>
  <c r="U683" i="37"/>
  <c r="U684" i="37"/>
  <c r="U685" i="37"/>
  <c r="U686" i="37"/>
  <c r="U687" i="37"/>
  <c r="U688" i="37"/>
  <c r="U689" i="37"/>
  <c r="U690" i="37"/>
  <c r="U691" i="37"/>
  <c r="U692" i="37"/>
  <c r="U693" i="37"/>
  <c r="U694" i="37"/>
  <c r="U695" i="37"/>
  <c r="U696" i="37"/>
  <c r="U697" i="37"/>
  <c r="U698" i="37"/>
  <c r="U699" i="37"/>
  <c r="U700" i="37"/>
  <c r="U701" i="37"/>
  <c r="U702" i="37"/>
  <c r="U703" i="37"/>
  <c r="U704" i="37"/>
  <c r="U705" i="37"/>
  <c r="U706" i="37"/>
  <c r="U707" i="37"/>
  <c r="U708" i="37"/>
  <c r="U709" i="37"/>
  <c r="U710" i="37"/>
  <c r="U711" i="37"/>
  <c r="U712" i="37"/>
  <c r="U713" i="37"/>
  <c r="U714" i="37"/>
  <c r="U715" i="37"/>
  <c r="U716" i="37"/>
  <c r="U717" i="37"/>
  <c r="U718" i="37"/>
  <c r="U719" i="37"/>
  <c r="U720" i="37"/>
  <c r="U721" i="37"/>
  <c r="U722" i="37"/>
  <c r="U723" i="37"/>
  <c r="D16" i="28" s="1"/>
  <c r="U724" i="37"/>
  <c r="E16" i="28" s="1"/>
  <c r="U725" i="37"/>
  <c r="F16" i="28" s="1"/>
  <c r="U726" i="37"/>
  <c r="G16" i="28" s="1"/>
  <c r="U727" i="37"/>
  <c r="H16" i="28" s="1"/>
  <c r="U728" i="37"/>
  <c r="I16" i="28" s="1"/>
  <c r="U729" i="37"/>
  <c r="J16" i="28" s="1"/>
  <c r="U730" i="37"/>
  <c r="K16" i="28" s="1"/>
  <c r="U731" i="37"/>
  <c r="L16" i="28" s="1"/>
  <c r="U732" i="37"/>
  <c r="M16" i="28" s="1"/>
  <c r="U733" i="37"/>
  <c r="N16" i="28" s="1"/>
  <c r="U734" i="37"/>
  <c r="O16" i="28" s="1"/>
  <c r="U735" i="37"/>
  <c r="P16" i="28" s="1"/>
  <c r="U736" i="37"/>
  <c r="Q16" i="28" s="1"/>
  <c r="U737" i="37"/>
  <c r="R16" i="28" s="1"/>
  <c r="U738" i="37"/>
  <c r="S16" i="28" s="1"/>
  <c r="U739" i="37"/>
  <c r="T16" i="28" s="1"/>
  <c r="U740" i="37"/>
  <c r="U16" i="28" s="1"/>
  <c r="U741" i="37"/>
  <c r="V16" i="28" s="1"/>
  <c r="T316" i="37"/>
  <c r="T317" i="37"/>
  <c r="T318" i="37"/>
  <c r="T319" i="37"/>
  <c r="T320" i="37"/>
  <c r="T321" i="37"/>
  <c r="T322" i="37"/>
  <c r="T323" i="37"/>
  <c r="T324" i="37"/>
  <c r="T325" i="37"/>
  <c r="T326" i="37"/>
  <c r="T327" i="37"/>
  <c r="T328" i="37"/>
  <c r="T329" i="37"/>
  <c r="T330" i="37"/>
  <c r="T331" i="37"/>
  <c r="T332" i="37"/>
  <c r="T333" i="37"/>
  <c r="T334" i="37"/>
  <c r="T335" i="37"/>
  <c r="T336" i="37"/>
  <c r="T337" i="37"/>
  <c r="T338" i="37"/>
  <c r="T339" i="37"/>
  <c r="T340" i="37"/>
  <c r="T341" i="37"/>
  <c r="T342" i="37"/>
  <c r="T343" i="37"/>
  <c r="T344" i="37"/>
  <c r="T345" i="37"/>
  <c r="T346" i="37"/>
  <c r="T347" i="37"/>
  <c r="T348" i="37"/>
  <c r="T349" i="37"/>
  <c r="T350" i="37"/>
  <c r="T351" i="37"/>
  <c r="T352" i="37"/>
  <c r="T353" i="37"/>
  <c r="T354" i="37"/>
  <c r="T355" i="37"/>
  <c r="T356" i="37"/>
  <c r="T357" i="37"/>
  <c r="T358" i="37"/>
  <c r="T359" i="37"/>
  <c r="T360" i="37"/>
  <c r="T361" i="37"/>
  <c r="T362" i="37"/>
  <c r="T363" i="37"/>
  <c r="T364" i="37"/>
  <c r="T365" i="37"/>
  <c r="T366" i="37"/>
  <c r="T367" i="37"/>
  <c r="T368" i="37"/>
  <c r="T369" i="37"/>
  <c r="T370" i="37"/>
  <c r="T371" i="37"/>
  <c r="T372" i="37"/>
  <c r="T373" i="37"/>
  <c r="T374" i="37"/>
  <c r="T375" i="37"/>
  <c r="T376" i="37"/>
  <c r="T377" i="37"/>
  <c r="T378" i="37"/>
  <c r="T379" i="37"/>
  <c r="T380" i="37"/>
  <c r="T381" i="37"/>
  <c r="T382" i="37"/>
  <c r="T383" i="37"/>
  <c r="T384" i="37"/>
  <c r="T385" i="37"/>
  <c r="T386" i="37"/>
  <c r="T387" i="37"/>
  <c r="T388" i="37"/>
  <c r="T389" i="37"/>
  <c r="T390" i="37"/>
  <c r="T391" i="37"/>
  <c r="T392" i="37"/>
  <c r="T393" i="37"/>
  <c r="T394" i="37"/>
  <c r="T395" i="37"/>
  <c r="T396" i="37"/>
  <c r="T397" i="37"/>
  <c r="T398" i="37"/>
  <c r="T399" i="37"/>
  <c r="T400" i="37"/>
  <c r="T401" i="37"/>
  <c r="T402" i="37"/>
  <c r="T403" i="37"/>
  <c r="T404" i="37"/>
  <c r="T405" i="37"/>
  <c r="T406" i="37"/>
  <c r="T407" i="37"/>
  <c r="T408" i="37"/>
  <c r="T409" i="37"/>
  <c r="T410" i="37"/>
  <c r="T411" i="37"/>
  <c r="T412" i="37"/>
  <c r="T413" i="37"/>
  <c r="T414" i="37"/>
  <c r="T415" i="37"/>
  <c r="T416" i="37"/>
  <c r="T417" i="37"/>
  <c r="T418" i="37"/>
  <c r="T419" i="37"/>
  <c r="T420" i="37"/>
  <c r="T421" i="37"/>
  <c r="T422" i="37"/>
  <c r="T423" i="37"/>
  <c r="T424" i="37"/>
  <c r="T425" i="37"/>
  <c r="T426" i="37"/>
  <c r="T427" i="37"/>
  <c r="T428" i="37"/>
  <c r="T429" i="37"/>
  <c r="T430" i="37"/>
  <c r="T431" i="37"/>
  <c r="T432" i="37"/>
  <c r="T433" i="37"/>
  <c r="T434" i="37"/>
  <c r="T435" i="37"/>
  <c r="T436" i="37"/>
  <c r="T437" i="37"/>
  <c r="T438" i="37"/>
  <c r="T439" i="37"/>
  <c r="T440" i="37"/>
  <c r="T441" i="37"/>
  <c r="T442" i="37"/>
  <c r="T443" i="37"/>
  <c r="T444" i="37"/>
  <c r="T445" i="37"/>
  <c r="T446" i="37"/>
  <c r="T447" i="37"/>
  <c r="T448" i="37"/>
  <c r="T449" i="37"/>
  <c r="T450" i="37"/>
  <c r="T451" i="37"/>
  <c r="T452" i="37"/>
  <c r="T453" i="37"/>
  <c r="T454" i="37"/>
  <c r="T455" i="37"/>
  <c r="T456" i="37"/>
  <c r="T457" i="37"/>
  <c r="T458" i="37"/>
  <c r="T459" i="37"/>
  <c r="T460" i="37"/>
  <c r="T461" i="37"/>
  <c r="T462" i="37"/>
  <c r="T463" i="37"/>
  <c r="T464" i="37"/>
  <c r="T465" i="37"/>
  <c r="T466" i="37"/>
  <c r="T467" i="37"/>
  <c r="T468" i="37"/>
  <c r="T469" i="37"/>
  <c r="T470" i="37"/>
  <c r="T471" i="37"/>
  <c r="T472" i="37"/>
  <c r="T473" i="37"/>
  <c r="T474" i="37"/>
  <c r="T475" i="37"/>
  <c r="T476" i="37"/>
  <c r="T477" i="37"/>
  <c r="T478" i="37"/>
  <c r="T479" i="37"/>
  <c r="T480" i="37"/>
  <c r="T481" i="37"/>
  <c r="T482" i="37"/>
  <c r="T483" i="37"/>
  <c r="T484" i="37"/>
  <c r="T485" i="37"/>
  <c r="T486" i="37"/>
  <c r="T487" i="37"/>
  <c r="T488" i="37"/>
  <c r="T489" i="37"/>
  <c r="T490" i="37"/>
  <c r="T491" i="37"/>
  <c r="T492" i="37"/>
  <c r="T493" i="37"/>
  <c r="T494" i="37"/>
  <c r="T495" i="37"/>
  <c r="T496" i="37"/>
  <c r="T497" i="37"/>
  <c r="T498" i="37"/>
  <c r="T499" i="37"/>
  <c r="T500" i="37"/>
  <c r="T501" i="37"/>
  <c r="T502" i="37"/>
  <c r="T503" i="37"/>
  <c r="T504" i="37"/>
  <c r="T505" i="37"/>
  <c r="T506" i="37"/>
  <c r="T507" i="37"/>
  <c r="T508" i="37"/>
  <c r="T509" i="37"/>
  <c r="T510" i="37"/>
  <c r="T511" i="37"/>
  <c r="T512" i="37"/>
  <c r="T513" i="37"/>
  <c r="T514" i="37"/>
  <c r="T515" i="37"/>
  <c r="T516" i="37"/>
  <c r="T517" i="37"/>
  <c r="T518" i="37"/>
  <c r="T519" i="37"/>
  <c r="T520" i="37"/>
  <c r="T521" i="37"/>
  <c r="T522" i="37"/>
  <c r="T523" i="37"/>
  <c r="T524" i="37"/>
  <c r="T525" i="37"/>
  <c r="T526" i="37"/>
  <c r="T527" i="37"/>
  <c r="T528" i="37"/>
  <c r="T529" i="37"/>
  <c r="T530" i="37"/>
  <c r="T531" i="37"/>
  <c r="T532" i="37"/>
  <c r="T533" i="37"/>
  <c r="T534" i="37"/>
  <c r="T535" i="37"/>
  <c r="T536" i="37"/>
  <c r="T537" i="37"/>
  <c r="T538" i="37"/>
  <c r="T539" i="37"/>
  <c r="T540" i="37"/>
  <c r="T541" i="37"/>
  <c r="T542" i="37"/>
  <c r="T543" i="37"/>
  <c r="T544" i="37"/>
  <c r="T545" i="37"/>
  <c r="T546" i="37"/>
  <c r="T547" i="37"/>
  <c r="T548" i="37"/>
  <c r="T549" i="37"/>
  <c r="T550" i="37"/>
  <c r="T551" i="37"/>
  <c r="T552" i="37"/>
  <c r="T553" i="37"/>
  <c r="T554" i="37"/>
  <c r="T555" i="37"/>
  <c r="T556" i="37"/>
  <c r="T557" i="37"/>
  <c r="T558" i="37"/>
  <c r="T559" i="37"/>
  <c r="T560" i="37"/>
  <c r="T561" i="37"/>
  <c r="T562" i="37"/>
  <c r="T563" i="37"/>
  <c r="T564" i="37"/>
  <c r="T565" i="37"/>
  <c r="T566" i="37"/>
  <c r="T567" i="37"/>
  <c r="T568" i="37"/>
  <c r="T569" i="37"/>
  <c r="T570" i="37"/>
  <c r="T571" i="37"/>
  <c r="T572" i="37"/>
  <c r="T573" i="37"/>
  <c r="T574" i="37"/>
  <c r="T575" i="37"/>
  <c r="T576" i="37"/>
  <c r="T577" i="37"/>
  <c r="T578" i="37"/>
  <c r="T579" i="37"/>
  <c r="T580" i="37"/>
  <c r="T581" i="37"/>
  <c r="T582" i="37"/>
  <c r="T583" i="37"/>
  <c r="T584" i="37"/>
  <c r="T585" i="37"/>
  <c r="T586" i="37"/>
  <c r="T587" i="37"/>
  <c r="T588" i="37"/>
  <c r="T589" i="37"/>
  <c r="T590" i="37"/>
  <c r="T591" i="37"/>
  <c r="T592" i="37"/>
  <c r="T593" i="37"/>
  <c r="T594" i="37"/>
  <c r="T595" i="37"/>
  <c r="T596" i="37"/>
  <c r="T597" i="37"/>
  <c r="T598" i="37"/>
  <c r="T599" i="37"/>
  <c r="T600" i="37"/>
  <c r="T601" i="37"/>
  <c r="T602" i="37"/>
  <c r="T603" i="37"/>
  <c r="T604" i="37"/>
  <c r="T605" i="37"/>
  <c r="T606" i="37"/>
  <c r="T607" i="37"/>
  <c r="T608" i="37"/>
  <c r="T609" i="37"/>
  <c r="T610" i="37"/>
  <c r="T611" i="37"/>
  <c r="T612" i="37"/>
  <c r="T613" i="37"/>
  <c r="T614" i="37"/>
  <c r="T615" i="37"/>
  <c r="T616" i="37"/>
  <c r="T617" i="37"/>
  <c r="T618" i="37"/>
  <c r="T619" i="37"/>
  <c r="T620" i="37"/>
  <c r="T621" i="37"/>
  <c r="T622" i="37"/>
  <c r="T623" i="37"/>
  <c r="T624" i="37"/>
  <c r="T625" i="37"/>
  <c r="T626" i="37"/>
  <c r="T627" i="37"/>
  <c r="T628" i="37"/>
  <c r="T629" i="37"/>
  <c r="T630" i="37"/>
  <c r="T631" i="37"/>
  <c r="T632" i="37"/>
  <c r="T633" i="37"/>
  <c r="T634" i="37"/>
  <c r="T635" i="37"/>
  <c r="T636" i="37"/>
  <c r="T637" i="37"/>
  <c r="T638" i="37"/>
  <c r="T639" i="37"/>
  <c r="T640" i="37"/>
  <c r="T641" i="37"/>
  <c r="T642" i="37"/>
  <c r="T643" i="37"/>
  <c r="T644" i="37"/>
  <c r="T645" i="37"/>
  <c r="T646" i="37"/>
  <c r="T647" i="37"/>
  <c r="T648" i="37"/>
  <c r="T649" i="37"/>
  <c r="T650" i="37"/>
  <c r="T651" i="37"/>
  <c r="T652" i="37"/>
  <c r="T653" i="37"/>
  <c r="T654" i="37"/>
  <c r="T655" i="37"/>
  <c r="T656" i="37"/>
  <c r="T657" i="37"/>
  <c r="T658" i="37"/>
  <c r="T659" i="37"/>
  <c r="T660" i="37"/>
  <c r="T661" i="37"/>
  <c r="T662" i="37"/>
  <c r="T663" i="37"/>
  <c r="T664" i="37"/>
  <c r="T665" i="37"/>
  <c r="T666" i="37"/>
  <c r="T667" i="37"/>
  <c r="T668" i="37"/>
  <c r="T669" i="37"/>
  <c r="T670" i="37"/>
  <c r="T671" i="37"/>
  <c r="T672" i="37"/>
  <c r="T673" i="37"/>
  <c r="T674" i="37"/>
  <c r="T675" i="37"/>
  <c r="T676" i="37"/>
  <c r="T677" i="37"/>
  <c r="T678" i="37"/>
  <c r="T679" i="37"/>
  <c r="T680" i="37"/>
  <c r="T681" i="37"/>
  <c r="T682" i="37"/>
  <c r="T683" i="37"/>
  <c r="T684" i="37"/>
  <c r="T685" i="37"/>
  <c r="T686" i="37"/>
  <c r="T687" i="37"/>
  <c r="T688" i="37"/>
  <c r="T689" i="37"/>
  <c r="T690" i="37"/>
  <c r="T691" i="37"/>
  <c r="T692" i="37"/>
  <c r="T693" i="37"/>
  <c r="T694" i="37"/>
  <c r="T695" i="37"/>
  <c r="T696" i="37"/>
  <c r="T697" i="37"/>
  <c r="T698" i="37"/>
  <c r="T699" i="37"/>
  <c r="T700" i="37"/>
  <c r="T701" i="37"/>
  <c r="T702" i="37"/>
  <c r="T703" i="37"/>
  <c r="T704" i="37"/>
  <c r="T705" i="37"/>
  <c r="T706" i="37"/>
  <c r="T707" i="37"/>
  <c r="T708" i="37"/>
  <c r="T709" i="37"/>
  <c r="T710" i="37"/>
  <c r="T711" i="37"/>
  <c r="T712" i="37"/>
  <c r="T713" i="37"/>
  <c r="T714" i="37"/>
  <c r="T715" i="37"/>
  <c r="T716" i="37"/>
  <c r="T717" i="37"/>
  <c r="T718" i="37"/>
  <c r="T719" i="37"/>
  <c r="T720" i="37"/>
  <c r="T721" i="37"/>
  <c r="T722" i="37"/>
  <c r="T723" i="37"/>
  <c r="D15" i="28" s="1"/>
  <c r="T724" i="37"/>
  <c r="E15" i="28" s="1"/>
  <c r="T725" i="37"/>
  <c r="F15" i="28" s="1"/>
  <c r="T726" i="37"/>
  <c r="G15" i="28" s="1"/>
  <c r="T727" i="37"/>
  <c r="H15" i="28" s="1"/>
  <c r="T728" i="37"/>
  <c r="I15" i="28" s="1"/>
  <c r="T729" i="37"/>
  <c r="J15" i="28" s="1"/>
  <c r="T730" i="37"/>
  <c r="K15" i="28" s="1"/>
  <c r="T731" i="37"/>
  <c r="L15" i="28" s="1"/>
  <c r="T732" i="37"/>
  <c r="M15" i="28" s="1"/>
  <c r="T733" i="37"/>
  <c r="N15" i="28" s="1"/>
  <c r="T734" i="37"/>
  <c r="O15" i="28" s="1"/>
  <c r="T735" i="37"/>
  <c r="P15" i="28" s="1"/>
  <c r="T736" i="37"/>
  <c r="Q15" i="28" s="1"/>
  <c r="T737" i="37"/>
  <c r="R15" i="28" s="1"/>
  <c r="T738" i="37"/>
  <c r="S15" i="28" s="1"/>
  <c r="T739" i="37"/>
  <c r="T15" i="28" s="1"/>
  <c r="T740" i="37"/>
  <c r="U15" i="28" s="1"/>
  <c r="T741" i="37"/>
  <c r="V15" i="28" s="1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84" i="37"/>
  <c r="Q85" i="37"/>
  <c r="Q86" i="37"/>
  <c r="Q87" i="37"/>
  <c r="Q88" i="37"/>
  <c r="Q89" i="37"/>
  <c r="Q90" i="37"/>
  <c r="Q91" i="37"/>
  <c r="Q92" i="37"/>
  <c r="Q93" i="37"/>
  <c r="Q94" i="37"/>
  <c r="Q95" i="37"/>
  <c r="Q96" i="37"/>
  <c r="Q97" i="37"/>
  <c r="Q98" i="37"/>
  <c r="Q99" i="37"/>
  <c r="Q100" i="37"/>
  <c r="Q101" i="37"/>
  <c r="Q102" i="37"/>
  <c r="Q103" i="37"/>
  <c r="Q104" i="37"/>
  <c r="Q105" i="37"/>
  <c r="Q106" i="37"/>
  <c r="Q107" i="37"/>
  <c r="Q108" i="37"/>
  <c r="Q109" i="37"/>
  <c r="Q110" i="37"/>
  <c r="Q111" i="37"/>
  <c r="Q112" i="37"/>
  <c r="Q113" i="37"/>
  <c r="Q114" i="37"/>
  <c r="Q115" i="37"/>
  <c r="Q116" i="37"/>
  <c r="Q117" i="37"/>
  <c r="Q118" i="37"/>
  <c r="Q119" i="37"/>
  <c r="Q120" i="37"/>
  <c r="Q121" i="37"/>
  <c r="Q122" i="37"/>
  <c r="Q123" i="37"/>
  <c r="Q124" i="37"/>
  <c r="Q125" i="37"/>
  <c r="Q126" i="37"/>
  <c r="Q127" i="37"/>
  <c r="Q128" i="37"/>
  <c r="Q129" i="37"/>
  <c r="Q130" i="37"/>
  <c r="Q131" i="37"/>
  <c r="Q132" i="37"/>
  <c r="Q133" i="37"/>
  <c r="Q134" i="37"/>
  <c r="Q135" i="37"/>
  <c r="Q136" i="37"/>
  <c r="Q137" i="37"/>
  <c r="Q138" i="37"/>
  <c r="Q139" i="37"/>
  <c r="Q140" i="37"/>
  <c r="Q141" i="37"/>
  <c r="Q142" i="37"/>
  <c r="Q143" i="37"/>
  <c r="Q144" i="37"/>
  <c r="Q145" i="37"/>
  <c r="Q146" i="37"/>
  <c r="Q147" i="37"/>
  <c r="Q148" i="37"/>
  <c r="Q149" i="37"/>
  <c r="Q150" i="37"/>
  <c r="Q151" i="37"/>
  <c r="Q152" i="37"/>
  <c r="Q153" i="37"/>
  <c r="Q154" i="37"/>
  <c r="Q155" i="37"/>
  <c r="Q156" i="37"/>
  <c r="Q157" i="37"/>
  <c r="Q158" i="37"/>
  <c r="Q159" i="37"/>
  <c r="Q160" i="37"/>
  <c r="Q161" i="37"/>
  <c r="Q162" i="37"/>
  <c r="Q163" i="37"/>
  <c r="Q164" i="37"/>
  <c r="Q165" i="37"/>
  <c r="Q166" i="37"/>
  <c r="Q167" i="37"/>
  <c r="Q168" i="37"/>
  <c r="Q169" i="37"/>
  <c r="Q170" i="37"/>
  <c r="Q171" i="37"/>
  <c r="Q172" i="37"/>
  <c r="Q173" i="37"/>
  <c r="Q174" i="37"/>
  <c r="Q175" i="37"/>
  <c r="Q176" i="37"/>
  <c r="Q177" i="37"/>
  <c r="Q178" i="37"/>
  <c r="Q179" i="37"/>
  <c r="Q180" i="37"/>
  <c r="Q181" i="37"/>
  <c r="Q182" i="37"/>
  <c r="Q183" i="37"/>
  <c r="Q184" i="37"/>
  <c r="Q185" i="37"/>
  <c r="Q186" i="37"/>
  <c r="Q187" i="37"/>
  <c r="Q188" i="37"/>
  <c r="Q189" i="37"/>
  <c r="Q190" i="37"/>
  <c r="Q191" i="37"/>
  <c r="Q192" i="37"/>
  <c r="Q193" i="37"/>
  <c r="Q194" i="37"/>
  <c r="Q195" i="37"/>
  <c r="Q196" i="37"/>
  <c r="Q197" i="37"/>
  <c r="Q198" i="37"/>
  <c r="Q199" i="37"/>
  <c r="Q200" i="37"/>
  <c r="Q201" i="37"/>
  <c r="Q202" i="37"/>
  <c r="Q203" i="37"/>
  <c r="Q204" i="37"/>
  <c r="Q205" i="37"/>
  <c r="Q206" i="37"/>
  <c r="Q207" i="37"/>
  <c r="Q208" i="37"/>
  <c r="Q209" i="37"/>
  <c r="Q210" i="37"/>
  <c r="Q211" i="37"/>
  <c r="Q212" i="37"/>
  <c r="Q213" i="37"/>
  <c r="Q214" i="37"/>
  <c r="Q215" i="37"/>
  <c r="Q216" i="37"/>
  <c r="Q217" i="37"/>
  <c r="Q218" i="37"/>
  <c r="Q219" i="37"/>
  <c r="Q220" i="37"/>
  <c r="Q221" i="37"/>
  <c r="Q222" i="37"/>
  <c r="Q223" i="37"/>
  <c r="Q224" i="37"/>
  <c r="Q225" i="37"/>
  <c r="Q226" i="37"/>
  <c r="Q227" i="37"/>
  <c r="Q228" i="37"/>
  <c r="Q229" i="37"/>
  <c r="Q230" i="37"/>
  <c r="Q231" i="37"/>
  <c r="Q232" i="37"/>
  <c r="Q233" i="37"/>
  <c r="Q234" i="37"/>
  <c r="Q235" i="37"/>
  <c r="Q236" i="37"/>
  <c r="Q237" i="37"/>
  <c r="Q238" i="37"/>
  <c r="Q239" i="37"/>
  <c r="Q240" i="37"/>
  <c r="Q241" i="37"/>
  <c r="Q242" i="37"/>
  <c r="Q243" i="37"/>
  <c r="Q244" i="37"/>
  <c r="Q245" i="37"/>
  <c r="Q246" i="37"/>
  <c r="Q247" i="37"/>
  <c r="Q248" i="37"/>
  <c r="Q249" i="37"/>
  <c r="Q250" i="37"/>
  <c r="Q251" i="37"/>
  <c r="Q252" i="37"/>
  <c r="Q253" i="37"/>
  <c r="Q254" i="37"/>
  <c r="Q255" i="37"/>
  <c r="Q256" i="37"/>
  <c r="Q257" i="37"/>
  <c r="Q258" i="37"/>
  <c r="Q259" i="37"/>
  <c r="Q260" i="37"/>
  <c r="Q261" i="37"/>
  <c r="Q262" i="37"/>
  <c r="Q263" i="37"/>
  <c r="Q264" i="37"/>
  <c r="Q265" i="37"/>
  <c r="Q266" i="37"/>
  <c r="Q267" i="37"/>
  <c r="Q268" i="37"/>
  <c r="Q269" i="37"/>
  <c r="Q270" i="37"/>
  <c r="Q271" i="37"/>
  <c r="Q272" i="37"/>
  <c r="Q273" i="37"/>
  <c r="Q274" i="37"/>
  <c r="Q275" i="37"/>
  <c r="Q276" i="37"/>
  <c r="Q277" i="37"/>
  <c r="Q278" i="37"/>
  <c r="Q279" i="37"/>
  <c r="Q280" i="37"/>
  <c r="Q281" i="37"/>
  <c r="Q282" i="37"/>
  <c r="Q283" i="37"/>
  <c r="Q284" i="37"/>
  <c r="Q285" i="37"/>
  <c r="Q286" i="37"/>
  <c r="Q287" i="37"/>
  <c r="Q288" i="37"/>
  <c r="Q289" i="37"/>
  <c r="Q290" i="37"/>
  <c r="Q291" i="37"/>
  <c r="Q292" i="37"/>
  <c r="Q293" i="37"/>
  <c r="Q294" i="37"/>
  <c r="Q295" i="37"/>
  <c r="Q296" i="37"/>
  <c r="Q297" i="37"/>
  <c r="Q298" i="37"/>
  <c r="Q299" i="37"/>
  <c r="Q300" i="37"/>
  <c r="Q301" i="37"/>
  <c r="Q302" i="37"/>
  <c r="Q303" i="37"/>
  <c r="Q304" i="37"/>
  <c r="Q305" i="37"/>
  <c r="Q306" i="37"/>
  <c r="Q307" i="37"/>
  <c r="Q308" i="37"/>
  <c r="Q309" i="37"/>
  <c r="Q310" i="37"/>
  <c r="Q311" i="37"/>
  <c r="Q312" i="37"/>
  <c r="Q313" i="37"/>
  <c r="Q314" i="37"/>
  <c r="Q315" i="37"/>
  <c r="Q316" i="37"/>
  <c r="Q317" i="37"/>
  <c r="Q318" i="37"/>
  <c r="Q319" i="37"/>
  <c r="Q320" i="37"/>
  <c r="Q321" i="37"/>
  <c r="Q322" i="37"/>
  <c r="Q323" i="37"/>
  <c r="Q324" i="37"/>
  <c r="Q325" i="37"/>
  <c r="Q326" i="37"/>
  <c r="Q327" i="37"/>
  <c r="Q328" i="37"/>
  <c r="Q329" i="37"/>
  <c r="Q330" i="37"/>
  <c r="Q331" i="37"/>
  <c r="Q332" i="37"/>
  <c r="Q333" i="37"/>
  <c r="Q334" i="37"/>
  <c r="Q335" i="37"/>
  <c r="Q336" i="37"/>
  <c r="Q337" i="37"/>
  <c r="Q338" i="37"/>
  <c r="Q339" i="37"/>
  <c r="Q340" i="37"/>
  <c r="Q341" i="37"/>
  <c r="Q342" i="37"/>
  <c r="Q343" i="37"/>
  <c r="Q344" i="37"/>
  <c r="Q345" i="37"/>
  <c r="Q346" i="37"/>
  <c r="Q347" i="37"/>
  <c r="Q348" i="37"/>
  <c r="Q349" i="37"/>
  <c r="Q350" i="37"/>
  <c r="Q351" i="37"/>
  <c r="Q352" i="37"/>
  <c r="Q353" i="37"/>
  <c r="Q354" i="37"/>
  <c r="Q355" i="37"/>
  <c r="Q356" i="37"/>
  <c r="Q357" i="37"/>
  <c r="Q358" i="37"/>
  <c r="Q359" i="37"/>
  <c r="Q360" i="37"/>
  <c r="Q361" i="37"/>
  <c r="Q362" i="37"/>
  <c r="Q363" i="37"/>
  <c r="Q364" i="37"/>
  <c r="Q365" i="37"/>
  <c r="Q366" i="37"/>
  <c r="Q367" i="37"/>
  <c r="Q368" i="37"/>
  <c r="Q369" i="37"/>
  <c r="Q370" i="37"/>
  <c r="Q371" i="37"/>
  <c r="Q372" i="37"/>
  <c r="Q373" i="37"/>
  <c r="Q374" i="37"/>
  <c r="Q375" i="37"/>
  <c r="Q376" i="37"/>
  <c r="Q377" i="37"/>
  <c r="Q378" i="37"/>
  <c r="Q379" i="37"/>
  <c r="Q380" i="37"/>
  <c r="Q381" i="37"/>
  <c r="Q382" i="37"/>
  <c r="Q383" i="37"/>
  <c r="Q384" i="37"/>
  <c r="Q385" i="37"/>
  <c r="Q386" i="37"/>
  <c r="Q387" i="37"/>
  <c r="Q388" i="37"/>
  <c r="Q389" i="37"/>
  <c r="Q390" i="37"/>
  <c r="Q391" i="37"/>
  <c r="Q392" i="37"/>
  <c r="Q393" i="37"/>
  <c r="Q394" i="37"/>
  <c r="Q395" i="37"/>
  <c r="Q396" i="37"/>
  <c r="Q397" i="37"/>
  <c r="Q398" i="37"/>
  <c r="Q399" i="37"/>
  <c r="Q400" i="37"/>
  <c r="Q401" i="37"/>
  <c r="Q402" i="37"/>
  <c r="Q403" i="37"/>
  <c r="Q404" i="37"/>
  <c r="Q405" i="37"/>
  <c r="Q406" i="37"/>
  <c r="Q407" i="37"/>
  <c r="Q408" i="37"/>
  <c r="Q409" i="37"/>
  <c r="Q410" i="37"/>
  <c r="Q411" i="37"/>
  <c r="Q412" i="37"/>
  <c r="Q413" i="37"/>
  <c r="Q414" i="37"/>
  <c r="Q415" i="37"/>
  <c r="Q416" i="37"/>
  <c r="Q417" i="37"/>
  <c r="Q418" i="37"/>
  <c r="Q419" i="37"/>
  <c r="Q420" i="37"/>
  <c r="Q421" i="37"/>
  <c r="Q422" i="37"/>
  <c r="Q423" i="37"/>
  <c r="Q424" i="37"/>
  <c r="Q425" i="37"/>
  <c r="Q426" i="37"/>
  <c r="Q427" i="37"/>
  <c r="Q428" i="37"/>
  <c r="Q429" i="37"/>
  <c r="Q430" i="37"/>
  <c r="Q431" i="37"/>
  <c r="Q432" i="37"/>
  <c r="Q433" i="37"/>
  <c r="Q434" i="37"/>
  <c r="Q435" i="37"/>
  <c r="Q436" i="37"/>
  <c r="Q437" i="37"/>
  <c r="Q438" i="37"/>
  <c r="Q439" i="37"/>
  <c r="Q440" i="37"/>
  <c r="Q441" i="37"/>
  <c r="Q442" i="37"/>
  <c r="Q443" i="37"/>
  <c r="Q444" i="37"/>
  <c r="Q445" i="37"/>
  <c r="Q446" i="37"/>
  <c r="Q447" i="37"/>
  <c r="Q448" i="37"/>
  <c r="Q449" i="37"/>
  <c r="Q450" i="37"/>
  <c r="Q451" i="37"/>
  <c r="Q452" i="37"/>
  <c r="Q453" i="37"/>
  <c r="Q454" i="37"/>
  <c r="Q455" i="37"/>
  <c r="Q456" i="37"/>
  <c r="Q457" i="37"/>
  <c r="Q458" i="37"/>
  <c r="Q459" i="37"/>
  <c r="Q460" i="37"/>
  <c r="Q461" i="37"/>
  <c r="Q462" i="37"/>
  <c r="Q463" i="37"/>
  <c r="Q464" i="37"/>
  <c r="Q465" i="37"/>
  <c r="Q466" i="37"/>
  <c r="Q467" i="37"/>
  <c r="Q468" i="37"/>
  <c r="Q469" i="37"/>
  <c r="Q470" i="37"/>
  <c r="Q471" i="37"/>
  <c r="Q472" i="37"/>
  <c r="Q473" i="37"/>
  <c r="Q474" i="37"/>
  <c r="Q475" i="37"/>
  <c r="Q476" i="37"/>
  <c r="Q477" i="37"/>
  <c r="Q478" i="37"/>
  <c r="Q479" i="37"/>
  <c r="Q480" i="37"/>
  <c r="Q481" i="37"/>
  <c r="Q482" i="37"/>
  <c r="Q483" i="37"/>
  <c r="Q484" i="37"/>
  <c r="Q485" i="37"/>
  <c r="Q486" i="37"/>
  <c r="Q487" i="37"/>
  <c r="Q488" i="37"/>
  <c r="Q489" i="37"/>
  <c r="Q490" i="37"/>
  <c r="Q491" i="37"/>
  <c r="Q492" i="37"/>
  <c r="Q493" i="37"/>
  <c r="Q494" i="37"/>
  <c r="Q495" i="37"/>
  <c r="Q496" i="37"/>
  <c r="Q497" i="37"/>
  <c r="Q498" i="37"/>
  <c r="Q499" i="37"/>
  <c r="Q500" i="37"/>
  <c r="Q501" i="37"/>
  <c r="Q502" i="37"/>
  <c r="Q503" i="37"/>
  <c r="Q504" i="37"/>
  <c r="Q505" i="37"/>
  <c r="Q506" i="37"/>
  <c r="Q507" i="37"/>
  <c r="Q508" i="37"/>
  <c r="Q509" i="37"/>
  <c r="Q510" i="37"/>
  <c r="Q511" i="37"/>
  <c r="Q512" i="37"/>
  <c r="Q513" i="37"/>
  <c r="Q514" i="37"/>
  <c r="Q515" i="37"/>
  <c r="Q516" i="37"/>
  <c r="Q517" i="37"/>
  <c r="Q518" i="37"/>
  <c r="Q519" i="37"/>
  <c r="Q520" i="37"/>
  <c r="Q521" i="37"/>
  <c r="Q522" i="37"/>
  <c r="Q523" i="37"/>
  <c r="Q524" i="37"/>
  <c r="Q525" i="37"/>
  <c r="Q526" i="37"/>
  <c r="Q527" i="37"/>
  <c r="Q528" i="37"/>
  <c r="Q529" i="37"/>
  <c r="Q530" i="37"/>
  <c r="Q531" i="37"/>
  <c r="Q532" i="37"/>
  <c r="Q533" i="37"/>
  <c r="Q534" i="37"/>
  <c r="Q535" i="37"/>
  <c r="Q536" i="37"/>
  <c r="Q537" i="37"/>
  <c r="Q538" i="37"/>
  <c r="Q539" i="37"/>
  <c r="Q540" i="37"/>
  <c r="Q541" i="37"/>
  <c r="Q542" i="37"/>
  <c r="Q543" i="37"/>
  <c r="Q544" i="37"/>
  <c r="Q545" i="37"/>
  <c r="Q546" i="37"/>
  <c r="Q547" i="37"/>
  <c r="Q548" i="37"/>
  <c r="Q549" i="37"/>
  <c r="Q550" i="37"/>
  <c r="Q551" i="37"/>
  <c r="Q552" i="37"/>
  <c r="Q553" i="37"/>
  <c r="Q554" i="37"/>
  <c r="Q555" i="37"/>
  <c r="Q556" i="37"/>
  <c r="Q557" i="37"/>
  <c r="Q558" i="37"/>
  <c r="Q559" i="37"/>
  <c r="Q560" i="37"/>
  <c r="Q561" i="37"/>
  <c r="Q562" i="37"/>
  <c r="Q563" i="37"/>
  <c r="Q564" i="37"/>
  <c r="Q565" i="37"/>
  <c r="Q566" i="37"/>
  <c r="Q567" i="37"/>
  <c r="Q568" i="37"/>
  <c r="Q569" i="37"/>
  <c r="Q570" i="37"/>
  <c r="Q571" i="37"/>
  <c r="Q572" i="37"/>
  <c r="Q573" i="37"/>
  <c r="Q574" i="37"/>
  <c r="Q575" i="37"/>
  <c r="Q576" i="37"/>
  <c r="Q577" i="37"/>
  <c r="Q578" i="37"/>
  <c r="Q579" i="37"/>
  <c r="Q580" i="37"/>
  <c r="Q581" i="37"/>
  <c r="Q582" i="37"/>
  <c r="Q583" i="37"/>
  <c r="Q584" i="37"/>
  <c r="Q585" i="37"/>
  <c r="Q586" i="37"/>
  <c r="Q587" i="37"/>
  <c r="Q588" i="37"/>
  <c r="Q589" i="37"/>
  <c r="Q590" i="37"/>
  <c r="Q591" i="37"/>
  <c r="Q592" i="37"/>
  <c r="Q593" i="37"/>
  <c r="Q594" i="37"/>
  <c r="Q595" i="37"/>
  <c r="Q596" i="37"/>
  <c r="Q597" i="37"/>
  <c r="Q598" i="37"/>
  <c r="Q599" i="37"/>
  <c r="Q600" i="37"/>
  <c r="Q601" i="37"/>
  <c r="Q602" i="37"/>
  <c r="Q603" i="37"/>
  <c r="Q604" i="37"/>
  <c r="Q605" i="37"/>
  <c r="Q606" i="37"/>
  <c r="Q607" i="37"/>
  <c r="Q608" i="37"/>
  <c r="Q609" i="37"/>
  <c r="Q610" i="37"/>
  <c r="Q611" i="37"/>
  <c r="Q612" i="37"/>
  <c r="Q613" i="37"/>
  <c r="Q614" i="37"/>
  <c r="Q615" i="37"/>
  <c r="Q616" i="37"/>
  <c r="Q617" i="37"/>
  <c r="Q618" i="37"/>
  <c r="Q619" i="37"/>
  <c r="Q620" i="37"/>
  <c r="Q621" i="37"/>
  <c r="Q622" i="37"/>
  <c r="Q623" i="37"/>
  <c r="Q624" i="37"/>
  <c r="Q625" i="37"/>
  <c r="Q626" i="37"/>
  <c r="Q627" i="37"/>
  <c r="Q628" i="37"/>
  <c r="Q629" i="37"/>
  <c r="Q630" i="37"/>
  <c r="Q631" i="37"/>
  <c r="Q632" i="37"/>
  <c r="Q633" i="37"/>
  <c r="Q634" i="37"/>
  <c r="Q635" i="37"/>
  <c r="Q636" i="37"/>
  <c r="Q637" i="37"/>
  <c r="Q638" i="37"/>
  <c r="Q639" i="37"/>
  <c r="Q640" i="37"/>
  <c r="Q641" i="37"/>
  <c r="Q642" i="37"/>
  <c r="Q643" i="37"/>
  <c r="Q644" i="37"/>
  <c r="Q645" i="37"/>
  <c r="Q646" i="37"/>
  <c r="Q647" i="37"/>
  <c r="Q648" i="37"/>
  <c r="Q649" i="37"/>
  <c r="Q650" i="37"/>
  <c r="Q651" i="37"/>
  <c r="Q652" i="37"/>
  <c r="Q653" i="37"/>
  <c r="Q654" i="37"/>
  <c r="Q655" i="37"/>
  <c r="Q656" i="37"/>
  <c r="Q657" i="37"/>
  <c r="Q658" i="37"/>
  <c r="Q659" i="37"/>
  <c r="Q660" i="37"/>
  <c r="Q661" i="37"/>
  <c r="Q662" i="37"/>
  <c r="Q663" i="37"/>
  <c r="Q664" i="37"/>
  <c r="Q665" i="37"/>
  <c r="Q666" i="37"/>
  <c r="Q667" i="37"/>
  <c r="Q668" i="37"/>
  <c r="Q669" i="37"/>
  <c r="Q670" i="37"/>
  <c r="Q671" i="37"/>
  <c r="Q672" i="37"/>
  <c r="Q673" i="37"/>
  <c r="Q674" i="37"/>
  <c r="Q675" i="37"/>
  <c r="Q676" i="37"/>
  <c r="Q677" i="37"/>
  <c r="Q678" i="37"/>
  <c r="Q679" i="37"/>
  <c r="Q680" i="37"/>
  <c r="Q681" i="37"/>
  <c r="Q682" i="37"/>
  <c r="Q683" i="37"/>
  <c r="Q684" i="37"/>
  <c r="Q685" i="37"/>
  <c r="Q686" i="37"/>
  <c r="Q687" i="37"/>
  <c r="Q688" i="37"/>
  <c r="Q689" i="37"/>
  <c r="Q690" i="37"/>
  <c r="Q691" i="37"/>
  <c r="Q692" i="37"/>
  <c r="Q693" i="37"/>
  <c r="Q694" i="37"/>
  <c r="Q695" i="37"/>
  <c r="Q696" i="37"/>
  <c r="Q697" i="37"/>
  <c r="Q698" i="37"/>
  <c r="Q699" i="37"/>
  <c r="Q700" i="37"/>
  <c r="Q701" i="37"/>
  <c r="Q702" i="37"/>
  <c r="Q703" i="37"/>
  <c r="Q704" i="37"/>
  <c r="Q705" i="37"/>
  <c r="Q706" i="37"/>
  <c r="Q707" i="37"/>
  <c r="Q708" i="37"/>
  <c r="Q709" i="37"/>
  <c r="Q710" i="37"/>
  <c r="Q711" i="37"/>
  <c r="Q712" i="37"/>
  <c r="Q713" i="37"/>
  <c r="Q714" i="37"/>
  <c r="Q715" i="37"/>
  <c r="Q716" i="37"/>
  <c r="Q717" i="37"/>
  <c r="Q718" i="37"/>
  <c r="Q719" i="37"/>
  <c r="Q720" i="37"/>
  <c r="Q721" i="37"/>
  <c r="Q722" i="37"/>
  <c r="Q723" i="37"/>
  <c r="D11" i="28" s="1"/>
  <c r="Q724" i="37"/>
  <c r="E11" i="28" s="1"/>
  <c r="Q725" i="37"/>
  <c r="F11" i="28" s="1"/>
  <c r="Q726" i="37"/>
  <c r="G11" i="28" s="1"/>
  <c r="Q727" i="37"/>
  <c r="H11" i="28" s="1"/>
  <c r="Q728" i="37"/>
  <c r="I11" i="28" s="1"/>
  <c r="Q729" i="37"/>
  <c r="J11" i="28" s="1"/>
  <c r="Q730" i="37"/>
  <c r="K11" i="28" s="1"/>
  <c r="Q731" i="37"/>
  <c r="L11" i="28" s="1"/>
  <c r="Q732" i="37"/>
  <c r="M11" i="28" s="1"/>
  <c r="Q733" i="37"/>
  <c r="N11" i="28" s="1"/>
  <c r="Q734" i="37"/>
  <c r="O11" i="28" s="1"/>
  <c r="Q735" i="37"/>
  <c r="P11" i="28" s="1"/>
  <c r="Q736" i="37"/>
  <c r="Q11" i="28" s="1"/>
  <c r="Q737" i="37"/>
  <c r="R11" i="28" s="1"/>
  <c r="Q738" i="37"/>
  <c r="S11" i="28" s="1"/>
  <c r="Q739" i="37"/>
  <c r="T11" i="28" s="1"/>
  <c r="Q740" i="37"/>
  <c r="U11" i="28" s="1"/>
  <c r="Q741" i="37"/>
  <c r="V11" i="28" s="1"/>
  <c r="Q742" i="37"/>
  <c r="W11" i="28" s="1"/>
  <c r="Q743" i="37"/>
  <c r="X11" i="28" s="1"/>
  <c r="Q744" i="37"/>
  <c r="Y11" i="28" s="1"/>
  <c r="Q745" i="37"/>
  <c r="Z11" i="28" s="1"/>
  <c r="Q746" i="37"/>
  <c r="AA11" i="28" s="1"/>
  <c r="Q747" i="37"/>
  <c r="AB11" i="28" s="1"/>
  <c r="Q748" i="37"/>
  <c r="AC11" i="28" s="1"/>
  <c r="Q749" i="37"/>
  <c r="AD11" i="28" s="1"/>
  <c r="Q750" i="37"/>
  <c r="AE11" i="28" s="1"/>
  <c r="Q752" i="37"/>
  <c r="AG11" i="28" s="1"/>
  <c r="Q753" i="37"/>
  <c r="AH11" i="28" s="1"/>
  <c r="Q754" i="37"/>
  <c r="AI11" i="28" s="1"/>
  <c r="Q755" i="37"/>
  <c r="AJ11" i="28" s="1"/>
  <c r="Q756" i="37"/>
  <c r="AK11" i="28" s="1"/>
  <c r="Q757" i="37"/>
  <c r="AL11" i="28" s="1"/>
  <c r="AM11" i="28"/>
  <c r="Q751" i="37"/>
  <c r="AF11" i="28" s="1"/>
  <c r="L399" i="37"/>
  <c r="L400" i="37"/>
  <c r="L401" i="37"/>
  <c r="L402" i="37"/>
  <c r="L403" i="37"/>
  <c r="L404" i="37"/>
  <c r="L405" i="37"/>
  <c r="L406" i="37"/>
  <c r="L407" i="37"/>
  <c r="L408" i="37"/>
  <c r="L409" i="37"/>
  <c r="L410" i="37"/>
  <c r="L411" i="37"/>
  <c r="L412" i="37"/>
  <c r="L413" i="37"/>
  <c r="L414" i="37"/>
  <c r="L415" i="37"/>
  <c r="L416" i="37"/>
  <c r="L417" i="37"/>
  <c r="L418" i="37"/>
  <c r="L419" i="37"/>
  <c r="L420" i="37"/>
  <c r="L421" i="37"/>
  <c r="L422" i="37"/>
  <c r="L423" i="37"/>
  <c r="L424" i="37"/>
  <c r="L425" i="37"/>
  <c r="L426" i="37"/>
  <c r="L427" i="37"/>
  <c r="L428" i="37"/>
  <c r="L429" i="37"/>
  <c r="L430" i="37"/>
  <c r="L431" i="37"/>
  <c r="L432" i="37"/>
  <c r="L433" i="37"/>
  <c r="L434" i="37"/>
  <c r="L435" i="37"/>
  <c r="L436" i="37"/>
  <c r="L437" i="37"/>
  <c r="L438" i="37"/>
  <c r="L439" i="37"/>
  <c r="L440" i="37"/>
  <c r="L441" i="37"/>
  <c r="L442" i="37"/>
  <c r="L443" i="37"/>
  <c r="L444" i="37"/>
  <c r="L445" i="37"/>
  <c r="L446" i="37"/>
  <c r="L447" i="37"/>
  <c r="L448" i="37"/>
  <c r="L449" i="37"/>
  <c r="L450" i="37"/>
  <c r="L451" i="37"/>
  <c r="L452" i="37"/>
  <c r="L453" i="37"/>
  <c r="L454" i="37"/>
  <c r="L455" i="37"/>
  <c r="L456" i="37"/>
  <c r="L457" i="37"/>
  <c r="L458" i="37"/>
  <c r="L459" i="37"/>
  <c r="L460" i="37"/>
  <c r="L461" i="37"/>
  <c r="L462" i="37"/>
  <c r="L463" i="37"/>
  <c r="L464" i="37"/>
  <c r="L465" i="37"/>
  <c r="L466" i="37"/>
  <c r="L467" i="37"/>
  <c r="L468" i="37"/>
  <c r="L469" i="37"/>
  <c r="L470" i="37"/>
  <c r="L471" i="37"/>
  <c r="L472" i="37"/>
  <c r="L473" i="37"/>
  <c r="L474" i="37"/>
  <c r="L475" i="37"/>
  <c r="L476" i="37"/>
  <c r="L477" i="37"/>
  <c r="L478" i="37"/>
  <c r="L479" i="37"/>
  <c r="L480" i="37"/>
  <c r="L481" i="37"/>
  <c r="L482" i="37"/>
  <c r="L483" i="37"/>
  <c r="L484" i="37"/>
  <c r="L485" i="37"/>
  <c r="L486" i="37"/>
  <c r="L487" i="37"/>
  <c r="L488" i="37"/>
  <c r="L489" i="37"/>
  <c r="L490" i="37"/>
  <c r="L491" i="37"/>
  <c r="L492" i="37"/>
  <c r="L493" i="37"/>
  <c r="L494" i="37"/>
  <c r="L495" i="37"/>
  <c r="L496" i="37"/>
  <c r="L497" i="37"/>
  <c r="L498" i="37"/>
  <c r="L499" i="37"/>
  <c r="L500" i="37"/>
  <c r="L501" i="37"/>
  <c r="L502" i="37"/>
  <c r="L503" i="37"/>
  <c r="L504" i="37"/>
  <c r="L505" i="37"/>
  <c r="L506" i="37"/>
  <c r="L507" i="37"/>
  <c r="L508" i="37"/>
  <c r="L509" i="37"/>
  <c r="L510" i="37"/>
  <c r="L511" i="37"/>
  <c r="L512" i="37"/>
  <c r="L513" i="37"/>
  <c r="L514" i="37"/>
  <c r="L515" i="37"/>
  <c r="L516" i="37"/>
  <c r="L517" i="37"/>
  <c r="L518" i="37"/>
  <c r="L519" i="37"/>
  <c r="L520" i="37"/>
  <c r="L521" i="37"/>
  <c r="L522" i="37"/>
  <c r="L523" i="37"/>
  <c r="L524" i="37"/>
  <c r="L525" i="37"/>
  <c r="L526" i="37"/>
  <c r="L527" i="37"/>
  <c r="L528" i="37"/>
  <c r="L529" i="37"/>
  <c r="L530" i="37"/>
  <c r="L531" i="37"/>
  <c r="L532" i="37"/>
  <c r="L533" i="37"/>
  <c r="L534" i="37"/>
  <c r="L535" i="37"/>
  <c r="L536" i="37"/>
  <c r="L537" i="37"/>
  <c r="L538" i="37"/>
  <c r="L539" i="37"/>
  <c r="L540" i="37"/>
  <c r="L541" i="37"/>
  <c r="L542" i="37"/>
  <c r="L543" i="37"/>
  <c r="L544" i="37"/>
  <c r="L545" i="37"/>
  <c r="L546" i="37"/>
  <c r="L547" i="37"/>
  <c r="L548" i="37"/>
  <c r="L549" i="37"/>
  <c r="L550" i="37"/>
  <c r="L551" i="37"/>
  <c r="L552" i="37"/>
  <c r="L553" i="37"/>
  <c r="L554" i="37"/>
  <c r="L555" i="37"/>
  <c r="L556" i="37"/>
  <c r="L557" i="37"/>
  <c r="L558" i="37"/>
  <c r="L559" i="37"/>
  <c r="L560" i="37"/>
  <c r="L561" i="37"/>
  <c r="L562" i="37"/>
  <c r="L563" i="37"/>
  <c r="L564" i="37"/>
  <c r="L565" i="37"/>
  <c r="L566" i="37"/>
  <c r="L567" i="37"/>
  <c r="L568" i="37"/>
  <c r="L569" i="37"/>
  <c r="L570" i="37"/>
  <c r="L571" i="37"/>
  <c r="L572" i="37"/>
  <c r="L573" i="37"/>
  <c r="L574" i="37"/>
  <c r="L575" i="37"/>
  <c r="L576" i="37"/>
  <c r="L577" i="37"/>
  <c r="L578" i="37"/>
  <c r="L579" i="37"/>
  <c r="L580" i="37"/>
  <c r="L581" i="37"/>
  <c r="L582" i="37"/>
  <c r="L583" i="37"/>
  <c r="L584" i="37"/>
  <c r="L585" i="37"/>
  <c r="L586" i="37"/>
  <c r="L587" i="37"/>
  <c r="L588" i="37"/>
  <c r="L589" i="37"/>
  <c r="L590" i="37"/>
  <c r="L591" i="37"/>
  <c r="L592" i="37"/>
  <c r="L593" i="37"/>
  <c r="L594" i="37"/>
  <c r="L595" i="37"/>
  <c r="L596" i="37"/>
  <c r="L597" i="37"/>
  <c r="L598" i="37"/>
  <c r="L599" i="37"/>
  <c r="L600" i="37"/>
  <c r="L601" i="37"/>
  <c r="L602" i="37"/>
  <c r="L603" i="37"/>
  <c r="L604" i="37"/>
  <c r="L605" i="37"/>
  <c r="L606" i="37"/>
  <c r="L607" i="37"/>
  <c r="L608" i="37"/>
  <c r="L609" i="37"/>
  <c r="L610" i="37"/>
  <c r="L611" i="37"/>
  <c r="L612" i="37"/>
  <c r="L613" i="37"/>
  <c r="L614" i="37"/>
  <c r="L615" i="37"/>
  <c r="L616" i="37"/>
  <c r="L617" i="37"/>
  <c r="L618" i="37"/>
  <c r="L619" i="37"/>
  <c r="L620" i="37"/>
  <c r="L621" i="37"/>
  <c r="L622" i="37"/>
  <c r="L623" i="37"/>
  <c r="L624" i="37"/>
  <c r="L625" i="37"/>
  <c r="L626" i="37"/>
  <c r="L627" i="37"/>
  <c r="L628" i="37"/>
  <c r="L629" i="37"/>
  <c r="L630" i="37"/>
  <c r="L631" i="37"/>
  <c r="L632" i="37"/>
  <c r="L633" i="37"/>
  <c r="L634" i="37"/>
  <c r="L635" i="37"/>
  <c r="L636" i="37"/>
  <c r="L637" i="37"/>
  <c r="L638" i="37"/>
  <c r="L639" i="37"/>
  <c r="L640" i="37"/>
  <c r="L641" i="37"/>
  <c r="L642" i="37"/>
  <c r="L643" i="37"/>
  <c r="L644" i="37"/>
  <c r="L645" i="37"/>
  <c r="L646" i="37"/>
  <c r="L647" i="37"/>
  <c r="L648" i="37"/>
  <c r="L649" i="37"/>
  <c r="L650" i="37"/>
  <c r="L651" i="37"/>
  <c r="L652" i="37"/>
  <c r="L653" i="37"/>
  <c r="L654" i="37"/>
  <c r="L655" i="37"/>
  <c r="L656" i="37"/>
  <c r="L657" i="37"/>
  <c r="L658" i="37"/>
  <c r="L659" i="37"/>
  <c r="L660" i="37"/>
  <c r="L661" i="37"/>
  <c r="L662" i="37"/>
  <c r="L663" i="37"/>
  <c r="L664" i="37"/>
  <c r="L665" i="37"/>
  <c r="L666" i="37"/>
  <c r="L667" i="37"/>
  <c r="L668" i="37"/>
  <c r="L669" i="37"/>
  <c r="L670" i="37"/>
  <c r="L671" i="37"/>
  <c r="L672" i="37"/>
  <c r="L673" i="37"/>
  <c r="L674" i="37"/>
  <c r="L675" i="37"/>
  <c r="L676" i="37"/>
  <c r="L677" i="37"/>
  <c r="L678" i="37"/>
  <c r="L679" i="37"/>
  <c r="L680" i="37"/>
  <c r="L681" i="37"/>
  <c r="L682" i="37"/>
  <c r="L683" i="37"/>
  <c r="L684" i="37"/>
  <c r="L685" i="37"/>
  <c r="L686" i="37"/>
  <c r="L687" i="37"/>
  <c r="L688" i="37"/>
  <c r="L689" i="37"/>
  <c r="L690" i="37"/>
  <c r="L691" i="37"/>
  <c r="L692" i="37"/>
  <c r="L693" i="37"/>
  <c r="L694" i="37"/>
  <c r="L695" i="37"/>
  <c r="L696" i="37"/>
  <c r="L697" i="37"/>
  <c r="L698" i="37"/>
  <c r="L699" i="37"/>
  <c r="L700" i="37"/>
  <c r="L701" i="37"/>
  <c r="L702" i="37"/>
  <c r="L703" i="37"/>
  <c r="L704" i="37"/>
  <c r="L705" i="37"/>
  <c r="L706" i="37"/>
  <c r="L707" i="37"/>
  <c r="L708" i="37"/>
  <c r="L709" i="37"/>
  <c r="L710" i="37"/>
  <c r="L711" i="37"/>
  <c r="L712" i="37"/>
  <c r="L713" i="37"/>
  <c r="L714" i="37"/>
  <c r="L715" i="37"/>
  <c r="L716" i="37"/>
  <c r="L717" i="37"/>
  <c r="L718" i="37"/>
  <c r="L719" i="37"/>
  <c r="L720" i="37"/>
  <c r="L721" i="37"/>
  <c r="L722" i="37"/>
  <c r="L723" i="37"/>
  <c r="D14" i="28" s="1"/>
  <c r="L724" i="37"/>
  <c r="E14" i="28" s="1"/>
  <c r="L725" i="37"/>
  <c r="F14" i="28" s="1"/>
  <c r="L726" i="37"/>
  <c r="G14" i="28" s="1"/>
  <c r="L727" i="37"/>
  <c r="H14" i="28" s="1"/>
  <c r="L728" i="37"/>
  <c r="I14" i="28" s="1"/>
  <c r="L729" i="37"/>
  <c r="J14" i="28" s="1"/>
  <c r="L730" i="37"/>
  <c r="K14" i="28" s="1"/>
  <c r="L731" i="37"/>
  <c r="L14" i="28" s="1"/>
  <c r="L732" i="37"/>
  <c r="M14" i="28" s="1"/>
  <c r="L733" i="37"/>
  <c r="N14" i="28" s="1"/>
  <c r="L734" i="37"/>
  <c r="O14" i="28" s="1"/>
  <c r="L735" i="37"/>
  <c r="P14" i="28" s="1"/>
  <c r="L736" i="37"/>
  <c r="Q14" i="28" s="1"/>
  <c r="L737" i="37"/>
  <c r="R14" i="28" s="1"/>
  <c r="L738" i="37"/>
  <c r="S14" i="28" s="1"/>
  <c r="L739" i="37"/>
  <c r="T14" i="28" s="1"/>
  <c r="L740" i="37"/>
  <c r="U14" i="28" s="1"/>
  <c r="L741" i="37"/>
  <c r="V14" i="28" s="1"/>
  <c r="L742" i="37"/>
  <c r="W14" i="28" s="1"/>
  <c r="L743" i="37"/>
  <c r="X14" i="28" s="1"/>
  <c r="L744" i="37"/>
  <c r="Y14" i="28" s="1"/>
  <c r="L745" i="37"/>
  <c r="Z14" i="28" s="1"/>
  <c r="L746" i="37"/>
  <c r="AA14" i="28" s="1"/>
  <c r="L747" i="37"/>
  <c r="AB14" i="28" s="1"/>
  <c r="L748" i="37"/>
  <c r="AC14" i="28" s="1"/>
  <c r="L749" i="37"/>
  <c r="AD14" i="28" s="1"/>
  <c r="L750" i="37"/>
  <c r="AE14" i="28" s="1"/>
  <c r="L751" i="37"/>
  <c r="AF14" i="28" s="1"/>
  <c r="L752" i="37"/>
  <c r="AG14" i="28" s="1"/>
  <c r="L753" i="37"/>
  <c r="AH14" i="28" s="1"/>
  <c r="L754" i="37"/>
  <c r="AI14" i="28" s="1"/>
  <c r="L755" i="37"/>
  <c r="AJ14" i="28" s="1"/>
  <c r="L756" i="37"/>
  <c r="AK14" i="28" s="1"/>
  <c r="L757" i="37"/>
  <c r="AL14" i="28" s="1"/>
  <c r="AM14" i="28"/>
  <c r="G748" i="37"/>
  <c r="AC13" i="28" s="1"/>
  <c r="G749" i="37"/>
  <c r="AD13" i="28" s="1"/>
  <c r="G750" i="37"/>
  <c r="AE13" i="28" s="1"/>
  <c r="G751" i="37"/>
  <c r="AF13" i="28" s="1"/>
  <c r="G752" i="37"/>
  <c r="AG13" i="28" s="1"/>
  <c r="G753" i="37"/>
  <c r="AH13" i="28" s="1"/>
  <c r="G754" i="37"/>
  <c r="AI13" i="28" s="1"/>
  <c r="G755" i="37"/>
  <c r="AJ13" i="28" s="1"/>
  <c r="G756" i="37"/>
  <c r="AK13" i="28" s="1"/>
  <c r="G757" i="37"/>
  <c r="AL13" i="28" s="1"/>
  <c r="G123" i="37"/>
  <c r="G124" i="37"/>
  <c r="G125" i="37"/>
  <c r="G126" i="37"/>
  <c r="G127" i="37"/>
  <c r="G128" i="37"/>
  <c r="G129" i="37"/>
  <c r="G130" i="37"/>
  <c r="G131" i="37"/>
  <c r="G132" i="37"/>
  <c r="G133" i="37"/>
  <c r="G134" i="37"/>
  <c r="G135" i="37"/>
  <c r="G136" i="37"/>
  <c r="G137" i="37"/>
  <c r="G138" i="37"/>
  <c r="G139" i="37"/>
  <c r="G140" i="37"/>
  <c r="G141" i="37"/>
  <c r="G142" i="37"/>
  <c r="G143" i="37"/>
  <c r="G144" i="37"/>
  <c r="G145" i="37"/>
  <c r="G146" i="37"/>
  <c r="G147" i="37"/>
  <c r="G148" i="37"/>
  <c r="G149" i="37"/>
  <c r="G150" i="37"/>
  <c r="G151" i="37"/>
  <c r="G152" i="37"/>
  <c r="G153" i="37"/>
  <c r="G154" i="37"/>
  <c r="G155" i="37"/>
  <c r="G156" i="37"/>
  <c r="G157" i="37"/>
  <c r="G158" i="37"/>
  <c r="G159" i="37"/>
  <c r="G160" i="37"/>
  <c r="G161" i="37"/>
  <c r="G162" i="37"/>
  <c r="G163" i="37"/>
  <c r="G164" i="37"/>
  <c r="G165" i="37"/>
  <c r="G166" i="37"/>
  <c r="G167" i="37"/>
  <c r="G168" i="37"/>
  <c r="G169" i="37"/>
  <c r="G170" i="37"/>
  <c r="G171" i="37"/>
  <c r="G172" i="37"/>
  <c r="G173" i="37"/>
  <c r="G174" i="37"/>
  <c r="G175" i="37"/>
  <c r="G176" i="37"/>
  <c r="G177" i="37"/>
  <c r="G178" i="37"/>
  <c r="G179" i="37"/>
  <c r="G180" i="37"/>
  <c r="G181" i="37"/>
  <c r="G182" i="37"/>
  <c r="G183" i="37"/>
  <c r="G184" i="37"/>
  <c r="G185" i="37"/>
  <c r="G186" i="37"/>
  <c r="G187" i="37"/>
  <c r="G188" i="37"/>
  <c r="G189" i="37"/>
  <c r="G190" i="37"/>
  <c r="G191" i="37"/>
  <c r="G192" i="37"/>
  <c r="G193" i="37"/>
  <c r="G194" i="37"/>
  <c r="G195" i="37"/>
  <c r="G196" i="37"/>
  <c r="G197" i="37"/>
  <c r="G198" i="37"/>
  <c r="G199" i="37"/>
  <c r="G200" i="37"/>
  <c r="G201" i="37"/>
  <c r="G202" i="37"/>
  <c r="G203" i="37"/>
  <c r="G204" i="37"/>
  <c r="G205" i="37"/>
  <c r="G206" i="37"/>
  <c r="G207" i="37"/>
  <c r="G208" i="37"/>
  <c r="G209" i="37"/>
  <c r="G210" i="37"/>
  <c r="G211" i="37"/>
  <c r="G212" i="37"/>
  <c r="G213" i="37"/>
  <c r="G214" i="37"/>
  <c r="G215" i="37"/>
  <c r="G216" i="37"/>
  <c r="G217" i="37"/>
  <c r="G218" i="37"/>
  <c r="G219" i="37"/>
  <c r="G220" i="37"/>
  <c r="G221" i="37"/>
  <c r="G222" i="37"/>
  <c r="G223" i="37"/>
  <c r="G224" i="37"/>
  <c r="G225" i="37"/>
  <c r="G226" i="37"/>
  <c r="G227" i="37"/>
  <c r="G228" i="37"/>
  <c r="G229" i="37"/>
  <c r="G230" i="37"/>
  <c r="G231" i="37"/>
  <c r="G232" i="37"/>
  <c r="G233" i="37"/>
  <c r="G234" i="37"/>
  <c r="G235" i="37"/>
  <c r="G236" i="37"/>
  <c r="G237" i="37"/>
  <c r="G238" i="37"/>
  <c r="G239" i="37"/>
  <c r="G240" i="37"/>
  <c r="G241" i="37"/>
  <c r="G242" i="37"/>
  <c r="G243" i="37"/>
  <c r="G244" i="37"/>
  <c r="G245" i="37"/>
  <c r="G246" i="37"/>
  <c r="G247" i="37"/>
  <c r="G248" i="37"/>
  <c r="G249" i="37"/>
  <c r="G250" i="37"/>
  <c r="G251" i="37"/>
  <c r="G252" i="37"/>
  <c r="G253" i="37"/>
  <c r="G254" i="37"/>
  <c r="G255" i="37"/>
  <c r="G256" i="37"/>
  <c r="G257" i="37"/>
  <c r="G258" i="37"/>
  <c r="G259" i="37"/>
  <c r="G260" i="37"/>
  <c r="G261" i="37"/>
  <c r="G262" i="37"/>
  <c r="G263" i="37"/>
  <c r="G264" i="37"/>
  <c r="G265" i="37"/>
  <c r="G266" i="37"/>
  <c r="G267" i="37"/>
  <c r="G268" i="37"/>
  <c r="G269" i="37"/>
  <c r="G270" i="37"/>
  <c r="G271" i="37"/>
  <c r="G272" i="37"/>
  <c r="G273" i="37"/>
  <c r="G274" i="37"/>
  <c r="G275" i="37"/>
  <c r="G276" i="37"/>
  <c r="G277" i="37"/>
  <c r="G278" i="37"/>
  <c r="G279" i="37"/>
  <c r="G280" i="37"/>
  <c r="G281" i="37"/>
  <c r="G282" i="37"/>
  <c r="G283" i="37"/>
  <c r="G284" i="37"/>
  <c r="G285" i="37"/>
  <c r="G286" i="37"/>
  <c r="G287" i="37"/>
  <c r="G288" i="37"/>
  <c r="G289" i="37"/>
  <c r="G290" i="37"/>
  <c r="G291" i="37"/>
  <c r="G292" i="37"/>
  <c r="G293" i="37"/>
  <c r="G294" i="37"/>
  <c r="G295" i="37"/>
  <c r="G296" i="37"/>
  <c r="G297" i="37"/>
  <c r="G298" i="37"/>
  <c r="G299" i="37"/>
  <c r="G300" i="37"/>
  <c r="G301" i="37"/>
  <c r="G302" i="37"/>
  <c r="G303" i="37"/>
  <c r="G304" i="37"/>
  <c r="G305" i="37"/>
  <c r="G306" i="37"/>
  <c r="G307" i="37"/>
  <c r="G308" i="37"/>
  <c r="G309" i="37"/>
  <c r="G310" i="37"/>
  <c r="G311" i="37"/>
  <c r="G312" i="37"/>
  <c r="G313" i="37"/>
  <c r="G314" i="37"/>
  <c r="G315" i="37"/>
  <c r="G316" i="37"/>
  <c r="G317" i="37"/>
  <c r="G318" i="37"/>
  <c r="G319" i="37"/>
  <c r="G320" i="37"/>
  <c r="G321" i="37"/>
  <c r="G322" i="37"/>
  <c r="G323" i="37"/>
  <c r="G324" i="37"/>
  <c r="G325" i="37"/>
  <c r="G326" i="37"/>
  <c r="G327" i="37"/>
  <c r="G328" i="37"/>
  <c r="G329" i="37"/>
  <c r="G330" i="37"/>
  <c r="G331" i="37"/>
  <c r="G332" i="37"/>
  <c r="G333" i="37"/>
  <c r="G334" i="37"/>
  <c r="G335" i="37"/>
  <c r="G336" i="37"/>
  <c r="G337" i="37"/>
  <c r="G338" i="37"/>
  <c r="G339" i="37"/>
  <c r="G340" i="37"/>
  <c r="G341" i="37"/>
  <c r="G342" i="37"/>
  <c r="G343" i="37"/>
  <c r="G344" i="37"/>
  <c r="G345" i="37"/>
  <c r="G346" i="37"/>
  <c r="G347" i="37"/>
  <c r="G348" i="37"/>
  <c r="G349" i="37"/>
  <c r="G350" i="37"/>
  <c r="G351" i="37"/>
  <c r="G352" i="37"/>
  <c r="G353" i="37"/>
  <c r="G354" i="37"/>
  <c r="G355" i="37"/>
  <c r="G356" i="37"/>
  <c r="G357" i="37"/>
  <c r="G358" i="37"/>
  <c r="G359" i="37"/>
  <c r="G360" i="37"/>
  <c r="G361" i="37"/>
  <c r="G362" i="37"/>
  <c r="G363" i="37"/>
  <c r="G364" i="37"/>
  <c r="G365" i="37"/>
  <c r="G366" i="37"/>
  <c r="G367" i="37"/>
  <c r="G368" i="37"/>
  <c r="G369" i="37"/>
  <c r="G370" i="37"/>
  <c r="G371" i="37"/>
  <c r="G372" i="37"/>
  <c r="G373" i="37"/>
  <c r="G374" i="37"/>
  <c r="G375" i="37"/>
  <c r="G376" i="37"/>
  <c r="G377" i="37"/>
  <c r="G378" i="37"/>
  <c r="G379" i="37"/>
  <c r="G380" i="37"/>
  <c r="G381" i="37"/>
  <c r="G382" i="37"/>
  <c r="G383" i="37"/>
  <c r="G384" i="37"/>
  <c r="G385" i="37"/>
  <c r="G386" i="37"/>
  <c r="G387" i="37"/>
  <c r="G388" i="37"/>
  <c r="G389" i="37"/>
  <c r="G390" i="37"/>
  <c r="G391" i="37"/>
  <c r="G392" i="37"/>
  <c r="G393" i="37"/>
  <c r="G394" i="37"/>
  <c r="G395" i="37"/>
  <c r="G396" i="37"/>
  <c r="G397" i="37"/>
  <c r="G398" i="37"/>
  <c r="G399" i="37"/>
  <c r="G400" i="37"/>
  <c r="G401" i="37"/>
  <c r="G402" i="37"/>
  <c r="G403" i="37"/>
  <c r="G404" i="37"/>
  <c r="G405" i="37"/>
  <c r="G406" i="37"/>
  <c r="G407" i="37"/>
  <c r="G408" i="37"/>
  <c r="G409" i="37"/>
  <c r="G410" i="37"/>
  <c r="G411" i="37"/>
  <c r="G412" i="37"/>
  <c r="G413" i="37"/>
  <c r="G414" i="37"/>
  <c r="G415" i="37"/>
  <c r="G416" i="37"/>
  <c r="G417" i="37"/>
  <c r="G418" i="37"/>
  <c r="G419" i="37"/>
  <c r="G420" i="37"/>
  <c r="G421" i="37"/>
  <c r="G422" i="37"/>
  <c r="G423" i="37"/>
  <c r="G424" i="37"/>
  <c r="G425" i="37"/>
  <c r="G426" i="37"/>
  <c r="G427" i="37"/>
  <c r="G428" i="37"/>
  <c r="G429" i="37"/>
  <c r="G430" i="37"/>
  <c r="G431" i="37"/>
  <c r="G432" i="37"/>
  <c r="G433" i="37"/>
  <c r="G434" i="37"/>
  <c r="G435" i="37"/>
  <c r="G436" i="37"/>
  <c r="G437" i="37"/>
  <c r="G438" i="37"/>
  <c r="G439" i="37"/>
  <c r="G440" i="37"/>
  <c r="G441" i="37"/>
  <c r="G442" i="37"/>
  <c r="G443" i="37"/>
  <c r="G444" i="37"/>
  <c r="G445" i="37"/>
  <c r="G446" i="37"/>
  <c r="G447" i="37"/>
  <c r="G448" i="37"/>
  <c r="G449" i="37"/>
  <c r="G450" i="37"/>
  <c r="G451" i="37"/>
  <c r="G452" i="37"/>
  <c r="G453" i="37"/>
  <c r="G454" i="37"/>
  <c r="G455" i="37"/>
  <c r="G456" i="37"/>
  <c r="G457" i="37"/>
  <c r="G458" i="37"/>
  <c r="G459" i="37"/>
  <c r="G460" i="37"/>
  <c r="G461" i="37"/>
  <c r="G462" i="37"/>
  <c r="G463" i="37"/>
  <c r="G464" i="37"/>
  <c r="G465" i="37"/>
  <c r="G466" i="37"/>
  <c r="G467" i="37"/>
  <c r="G468" i="37"/>
  <c r="G469" i="37"/>
  <c r="G470" i="37"/>
  <c r="G471" i="37"/>
  <c r="G472" i="37"/>
  <c r="G473" i="37"/>
  <c r="G474" i="37"/>
  <c r="G475" i="37"/>
  <c r="G476" i="37"/>
  <c r="G477" i="37"/>
  <c r="G478" i="37"/>
  <c r="G479" i="37"/>
  <c r="G480" i="37"/>
  <c r="G481" i="37"/>
  <c r="G482" i="37"/>
  <c r="G483" i="37"/>
  <c r="G484" i="37"/>
  <c r="G485" i="37"/>
  <c r="G486" i="37"/>
  <c r="G487" i="37"/>
  <c r="G488" i="37"/>
  <c r="G489" i="37"/>
  <c r="G490" i="37"/>
  <c r="G491" i="37"/>
  <c r="G492" i="37"/>
  <c r="G493" i="37"/>
  <c r="G494" i="37"/>
  <c r="G495" i="37"/>
  <c r="G496" i="37"/>
  <c r="G497" i="37"/>
  <c r="G498" i="37"/>
  <c r="G499" i="37"/>
  <c r="G500" i="37"/>
  <c r="G501" i="37"/>
  <c r="G502" i="37"/>
  <c r="G503" i="37"/>
  <c r="G504" i="37"/>
  <c r="G505" i="37"/>
  <c r="G506" i="37"/>
  <c r="G507" i="37"/>
  <c r="G508" i="37"/>
  <c r="G509" i="37"/>
  <c r="G510" i="37"/>
  <c r="G511" i="37"/>
  <c r="G512" i="37"/>
  <c r="G513" i="37"/>
  <c r="G514" i="37"/>
  <c r="G515" i="37"/>
  <c r="G516" i="37"/>
  <c r="G517" i="37"/>
  <c r="G518" i="37"/>
  <c r="G519" i="37"/>
  <c r="G520" i="37"/>
  <c r="G521" i="37"/>
  <c r="G522" i="37"/>
  <c r="G523" i="37"/>
  <c r="G524" i="37"/>
  <c r="G525" i="37"/>
  <c r="G526" i="37"/>
  <c r="G527" i="37"/>
  <c r="G528" i="37"/>
  <c r="G529" i="37"/>
  <c r="G530" i="37"/>
  <c r="G531" i="37"/>
  <c r="G532" i="37"/>
  <c r="G533" i="37"/>
  <c r="G534" i="37"/>
  <c r="G535" i="37"/>
  <c r="G536" i="37"/>
  <c r="G537" i="37"/>
  <c r="G538" i="37"/>
  <c r="G539" i="37"/>
  <c r="G540" i="37"/>
  <c r="G541" i="37"/>
  <c r="G542" i="37"/>
  <c r="G543" i="37"/>
  <c r="G544" i="37"/>
  <c r="G545" i="37"/>
  <c r="G546" i="37"/>
  <c r="G547" i="37"/>
  <c r="G548" i="37"/>
  <c r="G549" i="37"/>
  <c r="G550" i="37"/>
  <c r="G551" i="37"/>
  <c r="G552" i="37"/>
  <c r="G553" i="37"/>
  <c r="G554" i="37"/>
  <c r="G555" i="37"/>
  <c r="G556" i="37"/>
  <c r="G557" i="37"/>
  <c r="G558" i="37"/>
  <c r="G559" i="37"/>
  <c r="G560" i="37"/>
  <c r="G561" i="37"/>
  <c r="G562" i="37"/>
  <c r="G563" i="37"/>
  <c r="G564" i="37"/>
  <c r="G565" i="37"/>
  <c r="G566" i="37"/>
  <c r="G567" i="37"/>
  <c r="G568" i="37"/>
  <c r="G569" i="37"/>
  <c r="G570" i="37"/>
  <c r="G571" i="37"/>
  <c r="G572" i="37"/>
  <c r="G573" i="37"/>
  <c r="G574" i="37"/>
  <c r="G575" i="37"/>
  <c r="G576" i="37"/>
  <c r="G577" i="37"/>
  <c r="G578" i="37"/>
  <c r="G579" i="37"/>
  <c r="G580" i="37"/>
  <c r="G581" i="37"/>
  <c r="G582" i="37"/>
  <c r="G583" i="37"/>
  <c r="G584" i="37"/>
  <c r="G585" i="37"/>
  <c r="G586" i="37"/>
  <c r="G587" i="37"/>
  <c r="G588" i="37"/>
  <c r="G589" i="37"/>
  <c r="G590" i="37"/>
  <c r="G591" i="37"/>
  <c r="G592" i="37"/>
  <c r="G593" i="37"/>
  <c r="G594" i="37"/>
  <c r="G595" i="37"/>
  <c r="G596" i="37"/>
  <c r="G597" i="37"/>
  <c r="G598" i="37"/>
  <c r="G599" i="37"/>
  <c r="G600" i="37"/>
  <c r="G601" i="37"/>
  <c r="G602" i="37"/>
  <c r="G603" i="37"/>
  <c r="G604" i="37"/>
  <c r="G605" i="37"/>
  <c r="G606" i="37"/>
  <c r="G607" i="37"/>
  <c r="G608" i="37"/>
  <c r="G609" i="37"/>
  <c r="G610" i="37"/>
  <c r="G611" i="37"/>
  <c r="G612" i="37"/>
  <c r="G613" i="37"/>
  <c r="G614" i="37"/>
  <c r="G615" i="37"/>
  <c r="G616" i="37"/>
  <c r="G617" i="37"/>
  <c r="G618" i="37"/>
  <c r="G619" i="37"/>
  <c r="G620" i="37"/>
  <c r="G621" i="37"/>
  <c r="G622" i="37"/>
  <c r="G623" i="37"/>
  <c r="G624" i="37"/>
  <c r="G625" i="37"/>
  <c r="G626" i="37"/>
  <c r="G627" i="37"/>
  <c r="G628" i="37"/>
  <c r="G629" i="37"/>
  <c r="G630" i="37"/>
  <c r="G631" i="37"/>
  <c r="G632" i="37"/>
  <c r="G633" i="37"/>
  <c r="G634" i="37"/>
  <c r="G635" i="37"/>
  <c r="G636" i="37"/>
  <c r="G637" i="37"/>
  <c r="G638" i="37"/>
  <c r="G639" i="37"/>
  <c r="G640" i="37"/>
  <c r="G641" i="37"/>
  <c r="G642" i="37"/>
  <c r="G643" i="37"/>
  <c r="G644" i="37"/>
  <c r="G645" i="37"/>
  <c r="G646" i="37"/>
  <c r="G647" i="37"/>
  <c r="G648" i="37"/>
  <c r="G649" i="37"/>
  <c r="G650" i="37"/>
  <c r="G651" i="37"/>
  <c r="G652" i="37"/>
  <c r="G653" i="37"/>
  <c r="G654" i="37"/>
  <c r="G655" i="37"/>
  <c r="G656" i="37"/>
  <c r="G657" i="37"/>
  <c r="G658" i="37"/>
  <c r="G659" i="37"/>
  <c r="G660" i="37"/>
  <c r="G661" i="37"/>
  <c r="G662" i="37"/>
  <c r="G663" i="37"/>
  <c r="G664" i="37"/>
  <c r="G665" i="37"/>
  <c r="G666" i="37"/>
  <c r="G667" i="37"/>
  <c r="G668" i="37"/>
  <c r="G669" i="37"/>
  <c r="G670" i="37"/>
  <c r="G671" i="37"/>
  <c r="G672" i="37"/>
  <c r="G673" i="37"/>
  <c r="G674" i="37"/>
  <c r="G675" i="37"/>
  <c r="G676" i="37"/>
  <c r="G677" i="37"/>
  <c r="G678" i="37"/>
  <c r="G679" i="37"/>
  <c r="G680" i="37"/>
  <c r="G681" i="37"/>
  <c r="G682" i="37"/>
  <c r="G683" i="37"/>
  <c r="G684" i="37"/>
  <c r="G685" i="37"/>
  <c r="G686" i="37"/>
  <c r="G687" i="37"/>
  <c r="G688" i="37"/>
  <c r="G689" i="37"/>
  <c r="G690" i="37"/>
  <c r="G691" i="37"/>
  <c r="G692" i="37"/>
  <c r="G693" i="37"/>
  <c r="G694" i="37"/>
  <c r="G695" i="37"/>
  <c r="G696" i="37"/>
  <c r="G697" i="37"/>
  <c r="G698" i="37"/>
  <c r="G699" i="37"/>
  <c r="G700" i="37"/>
  <c r="G701" i="37"/>
  <c r="G702" i="37"/>
  <c r="G703" i="37"/>
  <c r="G704" i="37"/>
  <c r="G705" i="37"/>
  <c r="G706" i="37"/>
  <c r="G707" i="37"/>
  <c r="G708" i="37"/>
  <c r="G709" i="37"/>
  <c r="G710" i="37"/>
  <c r="G711" i="37"/>
  <c r="G712" i="37"/>
  <c r="G713" i="37"/>
  <c r="G714" i="37"/>
  <c r="G715" i="37"/>
  <c r="G716" i="37"/>
  <c r="G717" i="37"/>
  <c r="G718" i="37"/>
  <c r="G719" i="37"/>
  <c r="G720" i="37"/>
  <c r="G721" i="37"/>
  <c r="G722" i="37"/>
  <c r="G723" i="37"/>
  <c r="G724" i="37"/>
  <c r="E13" i="28" s="1"/>
  <c r="G725" i="37"/>
  <c r="F13" i="28" s="1"/>
  <c r="G726" i="37"/>
  <c r="G13" i="28" s="1"/>
  <c r="G727" i="37"/>
  <c r="H13" i="28" s="1"/>
  <c r="G728" i="37"/>
  <c r="I13" i="28" s="1"/>
  <c r="G729" i="37"/>
  <c r="J13" i="28" s="1"/>
  <c r="G730" i="37"/>
  <c r="K13" i="28" s="1"/>
  <c r="G731" i="37"/>
  <c r="L13" i="28" s="1"/>
  <c r="G732" i="37"/>
  <c r="M13" i="28" s="1"/>
  <c r="G733" i="37"/>
  <c r="N13" i="28" s="1"/>
  <c r="G734" i="37"/>
  <c r="O13" i="28" s="1"/>
  <c r="G735" i="37"/>
  <c r="P13" i="28" s="1"/>
  <c r="G736" i="37"/>
  <c r="Q13" i="28" s="1"/>
  <c r="G737" i="37"/>
  <c r="R13" i="28" s="1"/>
  <c r="G738" i="37"/>
  <c r="S13" i="28" s="1"/>
  <c r="G739" i="37"/>
  <c r="T13" i="28" s="1"/>
  <c r="G740" i="37"/>
  <c r="U13" i="28" s="1"/>
  <c r="G741" i="37"/>
  <c r="V13" i="28" s="1"/>
  <c r="G742" i="37"/>
  <c r="W13" i="28" s="1"/>
  <c r="G743" i="37"/>
  <c r="X13" i="28" s="1"/>
  <c r="G744" i="37"/>
  <c r="Y13" i="28" s="1"/>
  <c r="G745" i="37"/>
  <c r="Z13" i="28" s="1"/>
  <c r="G746" i="37"/>
  <c r="AA13" i="28" s="1"/>
  <c r="G747" i="37"/>
  <c r="AB13" i="28" s="1"/>
  <c r="N3" i="32"/>
  <c r="N4" i="32"/>
  <c r="N5" i="32"/>
  <c r="N6" i="32"/>
  <c r="N7" i="32"/>
  <c r="N8" i="32"/>
  <c r="N9" i="32"/>
  <c r="N10" i="32"/>
  <c r="N11" i="32"/>
  <c r="N12" i="32"/>
  <c r="N13" i="32"/>
  <c r="N14" i="32"/>
  <c r="N15" i="32"/>
  <c r="N16" i="32"/>
  <c r="N17" i="32"/>
  <c r="N18" i="32"/>
  <c r="N19" i="32"/>
  <c r="N20" i="32"/>
  <c r="N21" i="32"/>
  <c r="N22" i="32"/>
  <c r="N23" i="32"/>
  <c r="N24" i="32"/>
  <c r="N25" i="32"/>
  <c r="N26" i="32"/>
  <c r="N27" i="32"/>
  <c r="N28" i="32"/>
  <c r="N29" i="32"/>
  <c r="N30" i="32"/>
  <c r="N31" i="32"/>
  <c r="N32" i="32"/>
  <c r="N33" i="32"/>
  <c r="N34" i="32"/>
  <c r="N35" i="32"/>
  <c r="N36" i="32"/>
  <c r="N37" i="32"/>
  <c r="N38" i="32"/>
  <c r="N39" i="32"/>
  <c r="N40" i="32"/>
  <c r="N41" i="32"/>
  <c r="N42" i="32"/>
  <c r="N43" i="32"/>
  <c r="N44" i="32"/>
  <c r="N45" i="32"/>
  <c r="N46" i="32"/>
  <c r="N47" i="32"/>
  <c r="N48" i="32"/>
  <c r="N49" i="32"/>
  <c r="N50" i="32"/>
  <c r="N51" i="32"/>
  <c r="N52" i="32"/>
  <c r="N53" i="32"/>
  <c r="N54" i="32"/>
  <c r="N55" i="32"/>
  <c r="N56" i="32"/>
  <c r="N57" i="32"/>
  <c r="N58" i="32"/>
  <c r="N59" i="32"/>
  <c r="N60" i="32"/>
  <c r="N61" i="32"/>
  <c r="N62" i="32"/>
  <c r="N63" i="32"/>
  <c r="N64" i="32"/>
  <c r="N65" i="32"/>
  <c r="N66" i="32"/>
  <c r="N67" i="32"/>
  <c r="N68" i="32"/>
  <c r="N69" i="32"/>
  <c r="N70" i="32"/>
  <c r="N71" i="32"/>
  <c r="N72" i="32"/>
  <c r="N73" i="32"/>
  <c r="N74" i="32"/>
  <c r="N75" i="32"/>
  <c r="N76" i="32"/>
  <c r="N77" i="32"/>
  <c r="N78" i="32"/>
  <c r="N79" i="32"/>
  <c r="N80" i="32"/>
  <c r="N81" i="32"/>
  <c r="N82" i="32"/>
  <c r="N83" i="32"/>
  <c r="N84" i="32"/>
  <c r="N85" i="32"/>
  <c r="N86" i="32"/>
  <c r="N87" i="32"/>
  <c r="N88" i="32"/>
  <c r="N89" i="32"/>
  <c r="N90" i="32"/>
  <c r="N91" i="32"/>
  <c r="N92" i="32"/>
  <c r="N93" i="32"/>
  <c r="N94" i="32"/>
  <c r="N95" i="32"/>
  <c r="N96" i="32"/>
  <c r="N97" i="32"/>
  <c r="N98" i="32"/>
  <c r="N99" i="32"/>
  <c r="N100" i="32"/>
  <c r="N101" i="32"/>
  <c r="N102" i="32"/>
  <c r="N103" i="32"/>
  <c r="N104" i="32"/>
  <c r="N105" i="32"/>
  <c r="N106" i="32"/>
  <c r="N107" i="32"/>
  <c r="N108" i="32"/>
  <c r="N109" i="32"/>
  <c r="N110" i="32"/>
  <c r="N111" i="32"/>
  <c r="N112" i="32"/>
  <c r="N113" i="32"/>
  <c r="N114" i="32"/>
  <c r="N115" i="32"/>
  <c r="N116" i="32"/>
  <c r="N117" i="32"/>
  <c r="N118" i="32"/>
  <c r="N119" i="32"/>
  <c r="N120" i="32"/>
  <c r="N121" i="32"/>
  <c r="N122" i="32"/>
  <c r="N123" i="32"/>
  <c r="N124" i="32"/>
  <c r="N125" i="32"/>
  <c r="N126" i="32"/>
  <c r="N127" i="32"/>
  <c r="N128" i="32"/>
  <c r="N129" i="32"/>
  <c r="N130" i="32"/>
  <c r="N131" i="32"/>
  <c r="N132" i="32"/>
  <c r="N133" i="32"/>
  <c r="N134" i="32"/>
  <c r="N135" i="32"/>
  <c r="N136" i="32"/>
  <c r="N137" i="32"/>
  <c r="N138" i="32"/>
  <c r="N139" i="32"/>
  <c r="N140" i="32"/>
  <c r="N141" i="32"/>
  <c r="N142" i="32"/>
  <c r="N143" i="32"/>
  <c r="N144" i="32"/>
  <c r="N145" i="32"/>
  <c r="N146" i="32"/>
  <c r="N147" i="32"/>
  <c r="N148" i="32"/>
  <c r="N149" i="32"/>
  <c r="N150" i="32"/>
  <c r="N151" i="32"/>
  <c r="N152" i="32"/>
  <c r="N153" i="32"/>
  <c r="N154" i="32"/>
  <c r="N155" i="32"/>
  <c r="N156" i="32"/>
  <c r="N157" i="32"/>
  <c r="N158" i="32"/>
  <c r="N159" i="32"/>
  <c r="N160" i="32"/>
  <c r="N161" i="32"/>
  <c r="N162" i="32"/>
  <c r="N163" i="32"/>
  <c r="N164" i="32"/>
  <c r="N165" i="32"/>
  <c r="N166" i="32"/>
  <c r="N167" i="32"/>
  <c r="N168" i="32"/>
  <c r="N169" i="32"/>
  <c r="N170" i="32"/>
  <c r="N171" i="32"/>
  <c r="N172" i="32"/>
  <c r="N173" i="32"/>
  <c r="N174" i="32"/>
  <c r="N175" i="32"/>
  <c r="N176" i="32"/>
  <c r="N177" i="32"/>
  <c r="N178" i="32"/>
  <c r="N179" i="32"/>
  <c r="N180" i="32"/>
  <c r="N181" i="32"/>
  <c r="N182" i="32"/>
  <c r="N183" i="32"/>
  <c r="N184" i="32"/>
  <c r="N185" i="32"/>
  <c r="N186" i="32"/>
  <c r="N187" i="32"/>
  <c r="N188" i="32"/>
  <c r="N189" i="32"/>
  <c r="N190" i="32"/>
  <c r="N191" i="32"/>
  <c r="N192" i="32"/>
  <c r="N193" i="32"/>
  <c r="N194" i="32"/>
  <c r="N195" i="32"/>
  <c r="N196" i="32"/>
  <c r="N197" i="32"/>
  <c r="N198" i="32"/>
  <c r="N199" i="32"/>
  <c r="N200" i="32"/>
  <c r="N201" i="32"/>
  <c r="N202" i="32"/>
  <c r="N203" i="32"/>
  <c r="N204" i="32"/>
  <c r="N205" i="32"/>
  <c r="N206" i="32"/>
  <c r="N207" i="32"/>
  <c r="N208" i="32"/>
  <c r="N209" i="32"/>
  <c r="N210" i="32"/>
  <c r="N211" i="32"/>
  <c r="N212" i="32"/>
  <c r="N213" i="32"/>
  <c r="N214" i="32"/>
  <c r="N215" i="32"/>
  <c r="N216" i="32"/>
  <c r="N217" i="32"/>
  <c r="N218" i="32"/>
  <c r="N219" i="32"/>
  <c r="N220" i="32"/>
  <c r="N221" i="32"/>
  <c r="N222" i="32"/>
  <c r="N223" i="32"/>
  <c r="N224" i="32"/>
  <c r="N225" i="32"/>
  <c r="N226" i="32"/>
  <c r="N227" i="32"/>
  <c r="N228" i="32"/>
  <c r="N229" i="32"/>
  <c r="N230" i="32"/>
  <c r="N231" i="32"/>
  <c r="N232" i="32"/>
  <c r="N233" i="32"/>
  <c r="N234" i="32"/>
  <c r="N235" i="32"/>
  <c r="N236" i="32"/>
  <c r="N237" i="32"/>
  <c r="N238" i="32"/>
  <c r="N239" i="32"/>
  <c r="N240" i="32"/>
  <c r="N241" i="32"/>
  <c r="N242" i="32"/>
  <c r="N243" i="32"/>
  <c r="N244" i="32"/>
  <c r="N245" i="32"/>
  <c r="N246" i="32"/>
  <c r="N247" i="32"/>
  <c r="N248" i="32"/>
  <c r="N249" i="32"/>
  <c r="N250" i="32"/>
  <c r="N251" i="32"/>
  <c r="N252" i="32"/>
  <c r="N253" i="32"/>
  <c r="N254" i="32"/>
  <c r="N255" i="32"/>
  <c r="N256" i="32"/>
  <c r="N257" i="32"/>
  <c r="N258" i="32"/>
  <c r="N259" i="32"/>
  <c r="N260" i="32"/>
  <c r="N261" i="32"/>
  <c r="N262" i="32"/>
  <c r="N263" i="32"/>
  <c r="N264" i="32"/>
  <c r="N265" i="32"/>
  <c r="N266" i="32"/>
  <c r="N267" i="32"/>
  <c r="N268" i="32"/>
  <c r="N269" i="32"/>
  <c r="N270" i="32"/>
  <c r="N271" i="32"/>
  <c r="N272" i="32"/>
  <c r="N273" i="32"/>
  <c r="N274" i="32"/>
  <c r="N275" i="32"/>
  <c r="N276" i="32"/>
  <c r="N277" i="32"/>
  <c r="N278" i="32"/>
  <c r="N279" i="32"/>
  <c r="N280" i="32"/>
  <c r="N281" i="32"/>
  <c r="N282" i="32"/>
  <c r="N283" i="32"/>
  <c r="N284" i="32"/>
  <c r="N285" i="32"/>
  <c r="N286" i="32"/>
  <c r="N287" i="32"/>
  <c r="N288" i="32"/>
  <c r="N289" i="32"/>
  <c r="N290" i="32"/>
  <c r="N291" i="32"/>
  <c r="N292" i="32"/>
  <c r="N293" i="32"/>
  <c r="N294" i="32"/>
  <c r="N295" i="32"/>
  <c r="N296" i="32"/>
  <c r="N297" i="32"/>
  <c r="N298" i="32"/>
  <c r="N299" i="32"/>
  <c r="N300" i="32"/>
  <c r="N301" i="32"/>
  <c r="N302" i="32"/>
  <c r="N303" i="32"/>
  <c r="N304" i="32"/>
  <c r="N305" i="32"/>
  <c r="N306" i="32"/>
  <c r="N307" i="32"/>
  <c r="N308" i="32"/>
  <c r="N309" i="32"/>
  <c r="N310" i="32"/>
  <c r="N311" i="32"/>
  <c r="N312" i="32"/>
  <c r="N313" i="32"/>
  <c r="N314" i="32"/>
  <c r="N315" i="32"/>
  <c r="N316" i="32"/>
  <c r="N317" i="32"/>
  <c r="N318" i="32"/>
  <c r="N319" i="32"/>
  <c r="N320" i="32"/>
  <c r="N321" i="32"/>
  <c r="N322" i="32"/>
  <c r="N323" i="32"/>
  <c r="N324" i="32"/>
  <c r="N325" i="32"/>
  <c r="N326" i="32"/>
  <c r="N327" i="32"/>
  <c r="N328" i="32"/>
  <c r="N329" i="32"/>
  <c r="N330" i="32"/>
  <c r="N331" i="32"/>
  <c r="N332" i="32"/>
  <c r="N333" i="32"/>
  <c r="N334" i="32"/>
  <c r="N335" i="32"/>
  <c r="N336" i="32"/>
  <c r="N337" i="32"/>
  <c r="N338" i="32"/>
  <c r="N339" i="32"/>
  <c r="N340" i="32"/>
  <c r="N341" i="32"/>
  <c r="N342" i="32"/>
  <c r="N343" i="32"/>
  <c r="N344" i="32"/>
  <c r="N345" i="32"/>
  <c r="N346" i="32"/>
  <c r="N347" i="32"/>
  <c r="N348" i="32"/>
  <c r="N349" i="32"/>
  <c r="N350" i="32"/>
  <c r="N351" i="32"/>
  <c r="N352" i="32"/>
  <c r="N353" i="32"/>
  <c r="N354" i="32"/>
  <c r="N355" i="32"/>
  <c r="N356" i="32"/>
  <c r="N357" i="32"/>
  <c r="N358" i="32"/>
  <c r="N359" i="32"/>
  <c r="N360" i="32"/>
  <c r="N361" i="32"/>
  <c r="N362" i="32"/>
  <c r="N363" i="32"/>
  <c r="N364" i="32"/>
  <c r="N365" i="32"/>
  <c r="N366" i="32"/>
  <c r="N367" i="32"/>
  <c r="N368" i="32"/>
  <c r="N369" i="32"/>
  <c r="N370" i="32"/>
  <c r="N371" i="32"/>
  <c r="N372" i="32"/>
  <c r="N373" i="32"/>
  <c r="N374" i="32"/>
  <c r="N375" i="32"/>
  <c r="N376" i="32"/>
  <c r="N377" i="32"/>
  <c r="N378" i="32"/>
  <c r="N379" i="32"/>
  <c r="N380" i="32"/>
  <c r="N381" i="32"/>
  <c r="N382" i="32"/>
  <c r="N383" i="32"/>
  <c r="N384" i="32"/>
  <c r="N385" i="32"/>
  <c r="N386" i="32"/>
  <c r="N387" i="32"/>
  <c r="N388" i="32"/>
  <c r="N389" i="32"/>
  <c r="N390" i="32"/>
  <c r="N391" i="32"/>
  <c r="N392" i="32"/>
  <c r="N393" i="32"/>
  <c r="N394" i="32"/>
  <c r="N395" i="32"/>
  <c r="N396" i="32"/>
  <c r="N397" i="32"/>
  <c r="N398" i="32"/>
  <c r="N399" i="32"/>
  <c r="N400" i="32"/>
  <c r="N401" i="32"/>
  <c r="N402" i="32"/>
  <c r="N403" i="32"/>
  <c r="N404" i="32"/>
  <c r="N405" i="32"/>
  <c r="N406" i="32"/>
  <c r="N407" i="32"/>
  <c r="N408" i="32"/>
  <c r="N409" i="32"/>
  <c r="N410" i="32"/>
  <c r="N411" i="32"/>
  <c r="N412" i="32"/>
  <c r="N413" i="32"/>
  <c r="N414" i="32"/>
  <c r="N415" i="32"/>
  <c r="N416" i="32"/>
  <c r="N417" i="32"/>
  <c r="N418" i="32"/>
  <c r="N419" i="32"/>
  <c r="N420" i="32"/>
  <c r="N421" i="32"/>
  <c r="N422" i="32"/>
  <c r="N423" i="32"/>
  <c r="N424" i="32"/>
  <c r="N425" i="32"/>
  <c r="N426" i="32"/>
  <c r="N427" i="32"/>
  <c r="N428" i="32"/>
  <c r="N429" i="32"/>
  <c r="N430" i="32"/>
  <c r="N431" i="32"/>
  <c r="N432" i="32"/>
  <c r="N433" i="32"/>
  <c r="N434" i="32"/>
  <c r="N435" i="32"/>
  <c r="N436" i="32"/>
  <c r="N437" i="32"/>
  <c r="N438" i="32"/>
  <c r="N439" i="32"/>
  <c r="N440" i="32"/>
  <c r="N441" i="32"/>
  <c r="N442" i="32"/>
  <c r="N443" i="32"/>
  <c r="N444" i="32"/>
  <c r="N445" i="32"/>
  <c r="N446" i="32"/>
  <c r="N447" i="32"/>
  <c r="N448" i="32"/>
  <c r="N449" i="32"/>
  <c r="N450" i="32"/>
  <c r="N451" i="32"/>
  <c r="N452" i="32"/>
  <c r="N453" i="32"/>
  <c r="N454" i="32"/>
  <c r="N455" i="32"/>
  <c r="N456" i="32"/>
  <c r="N457" i="32"/>
  <c r="N458" i="32"/>
  <c r="N459" i="32"/>
  <c r="N460" i="32"/>
  <c r="N461" i="32"/>
  <c r="N462" i="32"/>
  <c r="N463" i="32"/>
  <c r="N464" i="32"/>
  <c r="N465" i="32"/>
  <c r="N466" i="32"/>
  <c r="N467" i="32"/>
  <c r="N468" i="32"/>
  <c r="N469" i="32"/>
  <c r="N470" i="32"/>
  <c r="N471" i="32"/>
  <c r="N472" i="32"/>
  <c r="N473" i="32"/>
  <c r="N474" i="32"/>
  <c r="N475" i="32"/>
  <c r="N476" i="32"/>
  <c r="N477" i="32"/>
  <c r="N478" i="32"/>
  <c r="N479" i="32"/>
  <c r="N480" i="32"/>
  <c r="N481" i="32"/>
  <c r="N482" i="32"/>
  <c r="N483" i="32"/>
  <c r="N484" i="32"/>
  <c r="N485" i="32"/>
  <c r="N486" i="32"/>
  <c r="N487" i="32"/>
  <c r="N488" i="32"/>
  <c r="N489" i="32"/>
  <c r="N490" i="32"/>
  <c r="N491" i="32"/>
  <c r="N492" i="32"/>
  <c r="N493" i="32"/>
  <c r="N494" i="32"/>
  <c r="N495" i="32"/>
  <c r="N496" i="32"/>
  <c r="N497" i="32"/>
  <c r="N498" i="32"/>
  <c r="N499" i="32"/>
  <c r="N500" i="32"/>
  <c r="N501" i="32"/>
  <c r="N502" i="32"/>
  <c r="N503" i="32"/>
  <c r="N504" i="32"/>
  <c r="N505" i="32"/>
  <c r="N506" i="32"/>
  <c r="N507" i="32"/>
  <c r="N508" i="32"/>
  <c r="N509" i="32"/>
  <c r="N510" i="32"/>
  <c r="N511" i="32"/>
  <c r="N512" i="32"/>
  <c r="N513" i="32"/>
  <c r="N514" i="32"/>
  <c r="N515" i="32"/>
  <c r="N516" i="32"/>
  <c r="N517" i="32"/>
  <c r="N518" i="32"/>
  <c r="N519" i="32"/>
  <c r="N520" i="32"/>
  <c r="N521" i="32"/>
  <c r="N522" i="32"/>
  <c r="N523" i="32"/>
  <c r="N524" i="32"/>
  <c r="N525" i="32"/>
  <c r="N526" i="32"/>
  <c r="N527" i="32"/>
  <c r="N528" i="32"/>
  <c r="N529" i="32"/>
  <c r="N530" i="32"/>
  <c r="N531" i="32"/>
  <c r="N532" i="32"/>
  <c r="N533" i="32"/>
  <c r="N534" i="32"/>
  <c r="N535" i="32"/>
  <c r="N536" i="32"/>
  <c r="N537" i="32"/>
  <c r="N538" i="32"/>
  <c r="N539" i="32"/>
  <c r="N540" i="32"/>
  <c r="N541" i="32"/>
  <c r="N542" i="32"/>
  <c r="N543" i="32"/>
  <c r="N544" i="32"/>
  <c r="N545" i="32"/>
  <c r="N546" i="32"/>
  <c r="N547" i="32"/>
  <c r="N548" i="32"/>
  <c r="N549" i="32"/>
  <c r="N550" i="32"/>
  <c r="N551" i="32"/>
  <c r="N552" i="32"/>
  <c r="N553" i="32"/>
  <c r="N554" i="32"/>
  <c r="N555" i="32"/>
  <c r="N556" i="32"/>
  <c r="N557" i="32"/>
  <c r="N558" i="32"/>
  <c r="N559" i="32"/>
  <c r="N560" i="32"/>
  <c r="N561" i="32"/>
  <c r="N562" i="32"/>
  <c r="N563" i="32"/>
  <c r="N564" i="32"/>
  <c r="N565" i="32"/>
  <c r="N566" i="32"/>
  <c r="N567" i="32"/>
  <c r="N568" i="32"/>
  <c r="N569" i="32"/>
  <c r="N570" i="32"/>
  <c r="N571" i="32"/>
  <c r="N572" i="32"/>
  <c r="N573" i="32"/>
  <c r="N574" i="32"/>
  <c r="N575" i="32"/>
  <c r="N576" i="32"/>
  <c r="N577" i="32"/>
  <c r="N578" i="32"/>
  <c r="N579" i="32"/>
  <c r="N580" i="32"/>
  <c r="N581" i="32"/>
  <c r="N582" i="32"/>
  <c r="N583" i="32"/>
  <c r="N584" i="32"/>
  <c r="N585" i="32"/>
  <c r="N586" i="32"/>
  <c r="N587" i="32"/>
  <c r="N588" i="32"/>
  <c r="N589" i="32"/>
  <c r="N590" i="32"/>
  <c r="N591" i="32"/>
  <c r="N592" i="32"/>
  <c r="N593" i="32"/>
  <c r="N594" i="32"/>
  <c r="N595" i="32"/>
  <c r="N596" i="32"/>
  <c r="N597" i="32"/>
  <c r="N598" i="32"/>
  <c r="N599" i="32"/>
  <c r="N600" i="32"/>
  <c r="N601" i="32"/>
  <c r="N602" i="32"/>
  <c r="N603" i="32"/>
  <c r="N604" i="32"/>
  <c r="N605" i="32"/>
  <c r="N606" i="32"/>
  <c r="N607" i="32"/>
  <c r="N608" i="32"/>
  <c r="N609" i="32"/>
  <c r="N610" i="32"/>
  <c r="N611" i="32"/>
  <c r="N612" i="32"/>
  <c r="N613" i="32"/>
  <c r="N614" i="32"/>
  <c r="N615" i="32"/>
  <c r="N616" i="32"/>
  <c r="N617" i="32"/>
  <c r="N618" i="32"/>
  <c r="N619" i="32"/>
  <c r="N620" i="32"/>
  <c r="N621" i="32"/>
  <c r="N622" i="32"/>
  <c r="N623" i="32"/>
  <c r="N624" i="32"/>
  <c r="N625" i="32"/>
  <c r="N626" i="32"/>
  <c r="N627" i="32"/>
  <c r="N628" i="32"/>
  <c r="N629" i="32"/>
  <c r="N630" i="32"/>
  <c r="N631" i="32"/>
  <c r="N632" i="32"/>
  <c r="N633" i="32"/>
  <c r="N634" i="32"/>
  <c r="N635" i="32"/>
  <c r="N636" i="32"/>
  <c r="N637" i="32"/>
  <c r="N638" i="32"/>
  <c r="N639" i="32"/>
  <c r="N640" i="32"/>
  <c r="N641" i="32"/>
  <c r="N642" i="32"/>
  <c r="N643" i="32"/>
  <c r="N644" i="32"/>
  <c r="N645" i="32"/>
  <c r="N646" i="32"/>
  <c r="N647" i="32"/>
  <c r="N648" i="32"/>
  <c r="N649" i="32"/>
  <c r="N650" i="32"/>
  <c r="N651" i="32"/>
  <c r="N652" i="32"/>
  <c r="N653" i="32"/>
  <c r="N654" i="32"/>
  <c r="N655" i="32"/>
  <c r="N656" i="32"/>
  <c r="N657" i="32"/>
  <c r="N658" i="32"/>
  <c r="N659" i="32"/>
  <c r="N660" i="32"/>
  <c r="N661" i="32"/>
  <c r="N662" i="32"/>
  <c r="N663" i="32"/>
  <c r="N664" i="32"/>
  <c r="N665" i="32"/>
  <c r="N666" i="32"/>
  <c r="N667" i="32"/>
  <c r="N668" i="32"/>
  <c r="N669" i="32"/>
  <c r="N670" i="32"/>
  <c r="N671" i="32"/>
  <c r="N672" i="32"/>
  <c r="N673" i="32"/>
  <c r="N674" i="32"/>
  <c r="N675" i="32"/>
  <c r="N676" i="32"/>
  <c r="N677" i="32"/>
  <c r="N678" i="32"/>
  <c r="N679" i="32"/>
  <c r="N680" i="32"/>
  <c r="N681" i="32"/>
  <c r="N682" i="32"/>
  <c r="N683" i="32"/>
  <c r="N684" i="32"/>
  <c r="N685" i="32"/>
  <c r="N686" i="32"/>
  <c r="N687" i="32"/>
  <c r="N688" i="32"/>
  <c r="N689" i="32"/>
  <c r="N690" i="32"/>
  <c r="N691" i="32"/>
  <c r="N692" i="32"/>
  <c r="N693" i="32"/>
  <c r="N694" i="32"/>
  <c r="N695" i="32"/>
  <c r="N696" i="32"/>
  <c r="N697" i="32"/>
  <c r="N698" i="32"/>
  <c r="N699" i="32"/>
  <c r="N700" i="32"/>
  <c r="N701" i="32"/>
  <c r="N702" i="32"/>
  <c r="N703" i="32"/>
  <c r="N704" i="32"/>
  <c r="N705" i="32"/>
  <c r="N706" i="32"/>
  <c r="N707" i="32"/>
  <c r="N708" i="32"/>
  <c r="N709" i="32"/>
  <c r="N710" i="32"/>
  <c r="N711" i="32"/>
  <c r="N712" i="32"/>
  <c r="N713" i="32"/>
  <c r="N714" i="32"/>
  <c r="N715" i="32"/>
  <c r="N716" i="32"/>
  <c r="N717" i="32"/>
  <c r="N718" i="32"/>
  <c r="N719" i="32"/>
  <c r="N720" i="32"/>
  <c r="N721" i="32"/>
  <c r="N722" i="32"/>
  <c r="N723" i="32"/>
  <c r="N724" i="32"/>
  <c r="N725" i="32"/>
  <c r="N726" i="32"/>
  <c r="N727" i="32"/>
  <c r="N728" i="32"/>
  <c r="N729" i="32"/>
  <c r="N730" i="32"/>
  <c r="N731" i="32"/>
  <c r="N732" i="32"/>
  <c r="N733" i="32"/>
  <c r="N734" i="32"/>
  <c r="N735" i="32"/>
  <c r="N736" i="32"/>
  <c r="N737" i="32"/>
  <c r="N738" i="32"/>
  <c r="N739" i="32"/>
  <c r="N740" i="32"/>
  <c r="N741" i="32"/>
  <c r="N742" i="32"/>
  <c r="N743" i="32"/>
  <c r="N744" i="32"/>
  <c r="N745" i="32"/>
  <c r="N746" i="32"/>
  <c r="N747" i="32"/>
  <c r="N748" i="32"/>
  <c r="N749" i="32"/>
  <c r="N750" i="32"/>
  <c r="N751" i="32"/>
  <c r="N752" i="32"/>
  <c r="N753" i="32"/>
  <c r="N754" i="32"/>
  <c r="N755" i="32"/>
  <c r="N756" i="32"/>
  <c r="N757" i="32"/>
  <c r="N758" i="32"/>
  <c r="N759" i="32"/>
  <c r="N760" i="32"/>
  <c r="N761" i="32"/>
  <c r="N762" i="32"/>
  <c r="N763" i="32"/>
  <c r="N764" i="32"/>
  <c r="N765" i="32"/>
  <c r="N766" i="32"/>
  <c r="N767" i="32"/>
  <c r="N768" i="32"/>
  <c r="N769" i="32"/>
  <c r="N770" i="32"/>
  <c r="N771" i="32"/>
  <c r="N772" i="32"/>
  <c r="N773" i="32"/>
  <c r="N774" i="32"/>
  <c r="N775" i="32"/>
  <c r="N776" i="32"/>
  <c r="N777" i="32"/>
  <c r="N778" i="32"/>
  <c r="N779" i="32"/>
  <c r="N780" i="32"/>
  <c r="N781" i="32"/>
  <c r="N782" i="32"/>
  <c r="N783" i="32"/>
  <c r="N784" i="32"/>
  <c r="N785" i="32"/>
  <c r="N786" i="32"/>
  <c r="N787" i="32"/>
  <c r="N788" i="32"/>
  <c r="N789" i="32"/>
  <c r="N790" i="32"/>
  <c r="N791" i="32"/>
  <c r="N792" i="32"/>
  <c r="N793" i="32"/>
  <c r="N794" i="32"/>
  <c r="N795" i="32"/>
  <c r="N796" i="32"/>
  <c r="N797" i="32"/>
  <c r="N798" i="32"/>
  <c r="N799" i="32"/>
  <c r="N800" i="32"/>
  <c r="N801" i="32"/>
  <c r="N802" i="32"/>
  <c r="N803" i="32"/>
  <c r="N804" i="32"/>
  <c r="N805" i="32"/>
  <c r="N806" i="32"/>
  <c r="N807" i="32"/>
  <c r="N808" i="32"/>
  <c r="N809" i="32"/>
  <c r="N810" i="32"/>
  <c r="N811" i="32"/>
  <c r="N812" i="32"/>
  <c r="N813" i="32"/>
  <c r="N814" i="32"/>
  <c r="N815" i="32"/>
  <c r="N816" i="32"/>
  <c r="N817" i="32"/>
  <c r="N818" i="32"/>
  <c r="N819" i="32"/>
  <c r="N820" i="32"/>
  <c r="N821" i="32"/>
  <c r="N822" i="32"/>
  <c r="N823" i="32"/>
  <c r="N824" i="32"/>
  <c r="N825" i="32"/>
  <c r="N826" i="32"/>
  <c r="N827" i="32"/>
  <c r="N828" i="32"/>
  <c r="N829" i="32"/>
  <c r="N830" i="32"/>
  <c r="N831" i="32"/>
  <c r="N832" i="32"/>
  <c r="N833" i="32"/>
  <c r="N834" i="32"/>
  <c r="N835" i="32"/>
  <c r="N836" i="32"/>
  <c r="N837" i="32"/>
  <c r="N838" i="32"/>
  <c r="N839" i="32"/>
  <c r="N840" i="32"/>
  <c r="N841" i="32"/>
  <c r="N842" i="32"/>
  <c r="N843" i="32"/>
  <c r="N844" i="32"/>
  <c r="N845" i="32"/>
  <c r="N846" i="32"/>
  <c r="N847" i="32"/>
  <c r="N848" i="32"/>
  <c r="N849" i="32"/>
  <c r="N850" i="32"/>
  <c r="N851" i="32"/>
  <c r="N852" i="32"/>
  <c r="N853" i="32"/>
  <c r="N854" i="32"/>
  <c r="N855" i="32"/>
  <c r="N856" i="32"/>
  <c r="N857" i="32"/>
  <c r="N858" i="32"/>
  <c r="N859" i="32"/>
  <c r="N860" i="32"/>
  <c r="N861" i="32"/>
  <c r="N862" i="32"/>
  <c r="N863" i="32"/>
  <c r="N864" i="32"/>
  <c r="N865" i="32"/>
  <c r="N866" i="32"/>
  <c r="N867" i="32"/>
  <c r="N868" i="32"/>
  <c r="N869" i="32"/>
  <c r="N870" i="32"/>
  <c r="N871" i="32"/>
  <c r="N872" i="32"/>
  <c r="N873" i="32"/>
  <c r="N874" i="32"/>
  <c r="N875" i="32"/>
  <c r="N876" i="32"/>
  <c r="N877" i="32"/>
  <c r="N878" i="32"/>
  <c r="N879" i="32"/>
  <c r="D36" i="28" s="1"/>
  <c r="N880" i="32"/>
  <c r="E36" i="28" s="1"/>
  <c r="N881" i="32"/>
  <c r="F36" i="28" s="1"/>
  <c r="N882" i="32"/>
  <c r="G36" i="28" s="1"/>
  <c r="N883" i="32"/>
  <c r="H36" i="28" s="1"/>
  <c r="N884" i="32"/>
  <c r="I36" i="28" s="1"/>
  <c r="N885" i="32"/>
  <c r="J36" i="28" s="1"/>
  <c r="N886" i="32"/>
  <c r="K36" i="28" s="1"/>
  <c r="N887" i="32"/>
  <c r="L36" i="28" s="1"/>
  <c r="N888" i="32"/>
  <c r="M36" i="28" s="1"/>
  <c r="N889" i="32"/>
  <c r="N36" i="28" s="1"/>
  <c r="N890" i="32"/>
  <c r="O36" i="28" s="1"/>
  <c r="N891" i="32"/>
  <c r="P36" i="28" s="1"/>
  <c r="N892" i="32"/>
  <c r="Q36" i="28" s="1"/>
  <c r="N893" i="32"/>
  <c r="R36" i="28" s="1"/>
  <c r="N894" i="32"/>
  <c r="S36" i="28" s="1"/>
  <c r="N895" i="32"/>
  <c r="T36" i="28" s="1"/>
  <c r="N896" i="32"/>
  <c r="U36" i="28" s="1"/>
  <c r="N897" i="32"/>
  <c r="V36" i="28" s="1"/>
  <c r="N898" i="32"/>
  <c r="W36" i="28" s="1"/>
  <c r="N899" i="32"/>
  <c r="X36" i="28" s="1"/>
  <c r="N900" i="32"/>
  <c r="Y36" i="28" s="1"/>
  <c r="N901" i="32"/>
  <c r="Z36" i="28" s="1"/>
  <c r="N902" i="32"/>
  <c r="AA36" i="28" s="1"/>
  <c r="N903" i="32"/>
  <c r="AB36" i="28" s="1"/>
  <c r="N904" i="32"/>
  <c r="AC36" i="28" s="1"/>
  <c r="N905" i="32"/>
  <c r="AD36" i="28" s="1"/>
  <c r="N906" i="32"/>
  <c r="AE36" i="28" s="1"/>
  <c r="N907" i="32"/>
  <c r="AF36" i="28" s="1"/>
  <c r="N908" i="32"/>
  <c r="AG36" i="28" s="1"/>
  <c r="N909" i="32"/>
  <c r="AH36" i="28" s="1"/>
  <c r="N910" i="32"/>
  <c r="AI36" i="28" s="1"/>
  <c r="N911" i="32"/>
  <c r="AJ36" i="28" s="1"/>
  <c r="N912" i="32"/>
  <c r="AK36" i="28" s="1"/>
  <c r="N913" i="32"/>
  <c r="AL36" i="28" s="1"/>
  <c r="J15" i="37"/>
  <c r="J16" i="37"/>
  <c r="J17" i="37"/>
  <c r="J18" i="37"/>
  <c r="J19" i="37"/>
  <c r="J20" i="37"/>
  <c r="J21" i="37"/>
  <c r="J22" i="37"/>
  <c r="J23" i="37"/>
  <c r="J24" i="37"/>
  <c r="J25" i="37"/>
  <c r="J26" i="37"/>
  <c r="J27" i="37"/>
  <c r="J28" i="37"/>
  <c r="J29" i="37"/>
  <c r="J30" i="37"/>
  <c r="J31" i="37"/>
  <c r="J32" i="37"/>
  <c r="J33" i="37"/>
  <c r="J34" i="37"/>
  <c r="J35" i="37"/>
  <c r="J36" i="37"/>
  <c r="J37" i="37"/>
  <c r="J38" i="37"/>
  <c r="J39" i="37"/>
  <c r="J40" i="37"/>
  <c r="J41" i="37"/>
  <c r="J42" i="37"/>
  <c r="J43" i="37"/>
  <c r="J44" i="37"/>
  <c r="J45" i="37"/>
  <c r="J46" i="37"/>
  <c r="J47" i="37"/>
  <c r="J48" i="37"/>
  <c r="J49" i="37"/>
  <c r="J50" i="37"/>
  <c r="J51" i="37"/>
  <c r="J52" i="37"/>
  <c r="J53" i="37"/>
  <c r="J54" i="37"/>
  <c r="J55" i="37"/>
  <c r="J56" i="37"/>
  <c r="J57" i="37"/>
  <c r="J58" i="37"/>
  <c r="J59" i="37"/>
  <c r="J60" i="37"/>
  <c r="J61" i="37"/>
  <c r="J62" i="37"/>
  <c r="J63" i="37"/>
  <c r="J64" i="37"/>
  <c r="J65" i="37"/>
  <c r="J66" i="37"/>
  <c r="J67" i="37"/>
  <c r="J68" i="37"/>
  <c r="J69" i="37"/>
  <c r="J70" i="37"/>
  <c r="J71" i="37"/>
  <c r="J72" i="37"/>
  <c r="J73" i="37"/>
  <c r="J74" i="37"/>
  <c r="J75" i="37"/>
  <c r="J76" i="37"/>
  <c r="J77" i="37"/>
  <c r="J78" i="37"/>
  <c r="J79" i="37"/>
  <c r="J80" i="37"/>
  <c r="J81" i="37"/>
  <c r="J82" i="37"/>
  <c r="J83" i="37"/>
  <c r="J84" i="37"/>
  <c r="J85" i="37"/>
  <c r="J86" i="37"/>
  <c r="J87" i="37"/>
  <c r="J88" i="37"/>
  <c r="J89" i="37"/>
  <c r="J90" i="37"/>
  <c r="J91" i="37"/>
  <c r="J92" i="37"/>
  <c r="J93" i="37"/>
  <c r="J94" i="37"/>
  <c r="J95" i="37"/>
  <c r="J96" i="37"/>
  <c r="J97" i="37"/>
  <c r="J98" i="37"/>
  <c r="J99" i="37"/>
  <c r="J100" i="37"/>
  <c r="J101" i="37"/>
  <c r="J102" i="37"/>
  <c r="J103" i="37"/>
  <c r="J104" i="37"/>
  <c r="J105" i="37"/>
  <c r="J106" i="37"/>
  <c r="J107" i="37"/>
  <c r="J108" i="37"/>
  <c r="J109" i="37"/>
  <c r="J110" i="37"/>
  <c r="J111" i="37"/>
  <c r="J112" i="37"/>
  <c r="J113" i="37"/>
  <c r="J114" i="37"/>
  <c r="J115" i="37"/>
  <c r="J116" i="37"/>
  <c r="J117" i="37"/>
  <c r="J118" i="37"/>
  <c r="J119" i="37"/>
  <c r="J120" i="37"/>
  <c r="J121" i="37"/>
  <c r="J122" i="37"/>
  <c r="J123" i="37"/>
  <c r="J124" i="37"/>
  <c r="J125" i="37"/>
  <c r="J126" i="37"/>
  <c r="J127" i="37"/>
  <c r="J128" i="37"/>
  <c r="J129" i="37"/>
  <c r="J130" i="37"/>
  <c r="J131" i="37"/>
  <c r="J132" i="37"/>
  <c r="J133" i="37"/>
  <c r="J134" i="37"/>
  <c r="J135" i="37"/>
  <c r="J136" i="37"/>
  <c r="J137" i="37"/>
  <c r="J138" i="37"/>
  <c r="J139" i="37"/>
  <c r="J140" i="37"/>
  <c r="J141" i="37"/>
  <c r="J142" i="37"/>
  <c r="J143" i="37"/>
  <c r="J144" i="37"/>
  <c r="J145" i="37"/>
  <c r="J146" i="37"/>
  <c r="J147" i="37"/>
  <c r="J148" i="37"/>
  <c r="J149" i="37"/>
  <c r="J150" i="37"/>
  <c r="J151" i="37"/>
  <c r="J152" i="37"/>
  <c r="J153" i="37"/>
  <c r="J154" i="37"/>
  <c r="J155" i="37"/>
  <c r="J156" i="37"/>
  <c r="J157" i="37"/>
  <c r="J158" i="37"/>
  <c r="J159" i="37"/>
  <c r="J160" i="37"/>
  <c r="J161" i="37"/>
  <c r="J162" i="37"/>
  <c r="J163" i="37"/>
  <c r="J164" i="37"/>
  <c r="J165" i="37"/>
  <c r="J166" i="37"/>
  <c r="J167" i="37"/>
  <c r="J168" i="37"/>
  <c r="J169" i="37"/>
  <c r="J170" i="37"/>
  <c r="J171" i="37"/>
  <c r="J172" i="37"/>
  <c r="J173" i="37"/>
  <c r="J174" i="37"/>
  <c r="J175" i="37"/>
  <c r="J176" i="37"/>
  <c r="J177" i="37"/>
  <c r="J178" i="37"/>
  <c r="J179" i="37"/>
  <c r="J180" i="37"/>
  <c r="J181" i="37"/>
  <c r="J182" i="37"/>
  <c r="J183" i="37"/>
  <c r="J184" i="37"/>
  <c r="J185" i="37"/>
  <c r="J186" i="37"/>
  <c r="J187" i="37"/>
  <c r="J188" i="37"/>
  <c r="J189" i="37"/>
  <c r="J190" i="37"/>
  <c r="J191" i="37"/>
  <c r="J192" i="37"/>
  <c r="J193" i="37"/>
  <c r="J194" i="37"/>
  <c r="J195" i="37"/>
  <c r="J196" i="37"/>
  <c r="J197" i="37"/>
  <c r="J198" i="37"/>
  <c r="J199" i="37"/>
  <c r="J200" i="37"/>
  <c r="J201" i="37"/>
  <c r="J202" i="37"/>
  <c r="J203" i="37"/>
  <c r="J204" i="37"/>
  <c r="J205" i="37"/>
  <c r="J206" i="37"/>
  <c r="J207" i="37"/>
  <c r="J208" i="37"/>
  <c r="J209" i="37"/>
  <c r="J210" i="37"/>
  <c r="J211" i="37"/>
  <c r="J212" i="37"/>
  <c r="J213" i="37"/>
  <c r="J214" i="37"/>
  <c r="J215" i="37"/>
  <c r="J216" i="37"/>
  <c r="J217" i="37"/>
  <c r="J218" i="37"/>
  <c r="J219" i="37"/>
  <c r="J220" i="37"/>
  <c r="J221" i="37"/>
  <c r="J222" i="37"/>
  <c r="J223" i="37"/>
  <c r="J224" i="37"/>
  <c r="J225" i="37"/>
  <c r="J226" i="37"/>
  <c r="J227" i="37"/>
  <c r="J228" i="37"/>
  <c r="J229" i="37"/>
  <c r="J230" i="37"/>
  <c r="J231" i="37"/>
  <c r="J232" i="37"/>
  <c r="J233" i="37"/>
  <c r="J234" i="37"/>
  <c r="J235" i="37"/>
  <c r="J236" i="37"/>
  <c r="J237" i="37"/>
  <c r="J238" i="37"/>
  <c r="J239" i="37"/>
  <c r="J240" i="37"/>
  <c r="J241" i="37"/>
  <c r="J242" i="37"/>
  <c r="J243" i="37"/>
  <c r="J244" i="37"/>
  <c r="J245" i="37"/>
  <c r="J246" i="37"/>
  <c r="J247" i="37"/>
  <c r="J248" i="37"/>
  <c r="J249" i="37"/>
  <c r="J250" i="37"/>
  <c r="J251" i="37"/>
  <c r="J252" i="37"/>
  <c r="J253" i="37"/>
  <c r="J254" i="37"/>
  <c r="J255" i="37"/>
  <c r="J256" i="37"/>
  <c r="J257" i="37"/>
  <c r="J258" i="37"/>
  <c r="J259" i="37"/>
  <c r="J260" i="37"/>
  <c r="J261" i="37"/>
  <c r="J262" i="37"/>
  <c r="J263" i="37"/>
  <c r="J264" i="37"/>
  <c r="J265" i="37"/>
  <c r="J266" i="37"/>
  <c r="J267" i="37"/>
  <c r="J268" i="37"/>
  <c r="J269" i="37"/>
  <c r="J270" i="37"/>
  <c r="J271" i="37"/>
  <c r="J272" i="37"/>
  <c r="J273" i="37"/>
  <c r="J274" i="37"/>
  <c r="J275" i="37"/>
  <c r="J276" i="37"/>
  <c r="J277" i="37"/>
  <c r="J278" i="37"/>
  <c r="J279" i="37"/>
  <c r="J280" i="37"/>
  <c r="J281" i="37"/>
  <c r="J282" i="37"/>
  <c r="J283" i="37"/>
  <c r="J284" i="37"/>
  <c r="J285" i="37"/>
  <c r="J286" i="37"/>
  <c r="J287" i="37"/>
  <c r="J288" i="37"/>
  <c r="J289" i="37"/>
  <c r="J290" i="37"/>
  <c r="J291" i="37"/>
  <c r="J292" i="37"/>
  <c r="J293" i="37"/>
  <c r="J294" i="37"/>
  <c r="J295" i="37"/>
  <c r="J296" i="37"/>
  <c r="J297" i="37"/>
  <c r="J298" i="37"/>
  <c r="J299" i="37"/>
  <c r="J300" i="37"/>
  <c r="J301" i="37"/>
  <c r="J302" i="37"/>
  <c r="J303" i="37"/>
  <c r="J304" i="37"/>
  <c r="J305" i="37"/>
  <c r="J306" i="37"/>
  <c r="J307" i="37"/>
  <c r="J308" i="37"/>
  <c r="J309" i="37"/>
  <c r="J310" i="37"/>
  <c r="J311" i="37"/>
  <c r="J312" i="37"/>
  <c r="J313" i="37"/>
  <c r="J314" i="37"/>
  <c r="J315" i="37"/>
  <c r="J316" i="37"/>
  <c r="J317" i="37"/>
  <c r="J318" i="37"/>
  <c r="J319" i="37"/>
  <c r="J320" i="37"/>
  <c r="J321" i="37"/>
  <c r="J322" i="37"/>
  <c r="J323" i="37"/>
  <c r="J324" i="37"/>
  <c r="J325" i="37"/>
  <c r="J326" i="37"/>
  <c r="J327" i="37"/>
  <c r="J328" i="37"/>
  <c r="J329" i="37"/>
  <c r="J330" i="37"/>
  <c r="J331" i="37"/>
  <c r="J332" i="37"/>
  <c r="J333" i="37"/>
  <c r="J334" i="37"/>
  <c r="J335" i="37"/>
  <c r="J336" i="37"/>
  <c r="J337" i="37"/>
  <c r="J338" i="37"/>
  <c r="J339" i="37"/>
  <c r="J340" i="37"/>
  <c r="J341" i="37"/>
  <c r="J342" i="37"/>
  <c r="J343" i="37"/>
  <c r="J344" i="37"/>
  <c r="J345" i="37"/>
  <c r="J346" i="37"/>
  <c r="J347" i="37"/>
  <c r="J348" i="37"/>
  <c r="J349" i="37"/>
  <c r="J350" i="37"/>
  <c r="J351" i="37"/>
  <c r="J352" i="37"/>
  <c r="J353" i="37"/>
  <c r="J354" i="37"/>
  <c r="J355" i="37"/>
  <c r="J356" i="37"/>
  <c r="J357" i="37"/>
  <c r="J358" i="37"/>
  <c r="J359" i="37"/>
  <c r="J360" i="37"/>
  <c r="J361" i="37"/>
  <c r="J362" i="37"/>
  <c r="J363" i="37"/>
  <c r="J364" i="37"/>
  <c r="J365" i="37"/>
  <c r="J366" i="37"/>
  <c r="J367" i="37"/>
  <c r="J368" i="37"/>
  <c r="J369" i="37"/>
  <c r="J370" i="37"/>
  <c r="J371" i="37"/>
  <c r="J372" i="37"/>
  <c r="J373" i="37"/>
  <c r="J374" i="37"/>
  <c r="J375" i="37"/>
  <c r="J376" i="37"/>
  <c r="J377" i="37"/>
  <c r="J378" i="37"/>
  <c r="J379" i="37"/>
  <c r="J380" i="37"/>
  <c r="J381" i="37"/>
  <c r="J382" i="37"/>
  <c r="J383" i="37"/>
  <c r="J384" i="37"/>
  <c r="J385" i="37"/>
  <c r="J386" i="37"/>
  <c r="J387" i="37"/>
  <c r="J388" i="37"/>
  <c r="J389" i="37"/>
  <c r="J390" i="37"/>
  <c r="J391" i="37"/>
  <c r="J392" i="37"/>
  <c r="J393" i="37"/>
  <c r="J394" i="37"/>
  <c r="J395" i="37"/>
  <c r="J396" i="37"/>
  <c r="J397" i="37"/>
  <c r="J398" i="37"/>
  <c r="J399" i="37"/>
  <c r="J400" i="37"/>
  <c r="J401" i="37"/>
  <c r="J402" i="37"/>
  <c r="J403" i="37"/>
  <c r="J404" i="37"/>
  <c r="J405" i="37"/>
  <c r="J406" i="37"/>
  <c r="J407" i="37"/>
  <c r="J408" i="37"/>
  <c r="J409" i="37"/>
  <c r="J410" i="37"/>
  <c r="J411" i="37"/>
  <c r="J412" i="37"/>
  <c r="J413" i="37"/>
  <c r="J414" i="37"/>
  <c r="J415" i="37"/>
  <c r="J416" i="37"/>
  <c r="J417" i="37"/>
  <c r="J418" i="37"/>
  <c r="J419" i="37"/>
  <c r="J420" i="37"/>
  <c r="J421" i="37"/>
  <c r="J422" i="37"/>
  <c r="J423" i="37"/>
  <c r="J424" i="37"/>
  <c r="J425" i="37"/>
  <c r="J426" i="37"/>
  <c r="J427" i="37"/>
  <c r="J428" i="37"/>
  <c r="J429" i="37"/>
  <c r="J430" i="37"/>
  <c r="J431" i="37"/>
  <c r="J432" i="37"/>
  <c r="J433" i="37"/>
  <c r="J434" i="37"/>
  <c r="J435" i="37"/>
  <c r="J436" i="37"/>
  <c r="J437" i="37"/>
  <c r="J438" i="37"/>
  <c r="J439" i="37"/>
  <c r="J440" i="37"/>
  <c r="J441" i="37"/>
  <c r="J442" i="37"/>
  <c r="J443" i="37"/>
  <c r="J444" i="37"/>
  <c r="J445" i="37"/>
  <c r="J446" i="37"/>
  <c r="J447" i="37"/>
  <c r="J448" i="37"/>
  <c r="J449" i="37"/>
  <c r="J450" i="37"/>
  <c r="J451" i="37"/>
  <c r="J452" i="37"/>
  <c r="J453" i="37"/>
  <c r="J454" i="37"/>
  <c r="J455" i="37"/>
  <c r="J456" i="37"/>
  <c r="J457" i="37"/>
  <c r="J458" i="37"/>
  <c r="J459" i="37"/>
  <c r="J460" i="37"/>
  <c r="J461" i="37"/>
  <c r="J462" i="37"/>
  <c r="J463" i="37"/>
  <c r="J464" i="37"/>
  <c r="J465" i="37"/>
  <c r="J466" i="37"/>
  <c r="J467" i="37"/>
  <c r="J468" i="37"/>
  <c r="J469" i="37"/>
  <c r="J470" i="37"/>
  <c r="J471" i="37"/>
  <c r="J472" i="37"/>
  <c r="J473" i="37"/>
  <c r="J474" i="37"/>
  <c r="J475" i="37"/>
  <c r="J476" i="37"/>
  <c r="J477" i="37"/>
  <c r="J478" i="37"/>
  <c r="J479" i="37"/>
  <c r="J480" i="37"/>
  <c r="J481" i="37"/>
  <c r="J482" i="37"/>
  <c r="J483" i="37"/>
  <c r="J484" i="37"/>
  <c r="J485" i="37"/>
  <c r="J486" i="37"/>
  <c r="J487" i="37"/>
  <c r="J488" i="37"/>
  <c r="J489" i="37"/>
  <c r="J490" i="37"/>
  <c r="J491" i="37"/>
  <c r="J492" i="37"/>
  <c r="J493" i="37"/>
  <c r="J494" i="37"/>
  <c r="J495" i="37"/>
  <c r="J496" i="37"/>
  <c r="J497" i="37"/>
  <c r="J498" i="37"/>
  <c r="J499" i="37"/>
  <c r="J500" i="37"/>
  <c r="J501" i="37"/>
  <c r="J502" i="37"/>
  <c r="J503" i="37"/>
  <c r="J504" i="37"/>
  <c r="J505" i="37"/>
  <c r="J506" i="37"/>
  <c r="J507" i="37"/>
  <c r="J508" i="37"/>
  <c r="J509" i="37"/>
  <c r="J510" i="37"/>
  <c r="J511" i="37"/>
  <c r="J512" i="37"/>
  <c r="J513" i="37"/>
  <c r="J514" i="37"/>
  <c r="J515" i="37"/>
  <c r="J516" i="37"/>
  <c r="J517" i="37"/>
  <c r="J518" i="37"/>
  <c r="J519" i="37"/>
  <c r="J520" i="37"/>
  <c r="J521" i="37"/>
  <c r="J522" i="37"/>
  <c r="J523" i="37"/>
  <c r="J524" i="37"/>
  <c r="J525" i="37"/>
  <c r="J526" i="37"/>
  <c r="J527" i="37"/>
  <c r="J528" i="37"/>
  <c r="J529" i="37"/>
  <c r="J530" i="37"/>
  <c r="J531" i="37"/>
  <c r="J532" i="37"/>
  <c r="J533" i="37"/>
  <c r="J534" i="37"/>
  <c r="J535" i="37"/>
  <c r="J536" i="37"/>
  <c r="J537" i="37"/>
  <c r="J538" i="37"/>
  <c r="J539" i="37"/>
  <c r="J540" i="37"/>
  <c r="J541" i="37"/>
  <c r="J542" i="37"/>
  <c r="J543" i="37"/>
  <c r="J544" i="37"/>
  <c r="J545" i="37"/>
  <c r="J546" i="37"/>
  <c r="J547" i="37"/>
  <c r="J548" i="37"/>
  <c r="J549" i="37"/>
  <c r="J550" i="37"/>
  <c r="J551" i="37"/>
  <c r="J552" i="37"/>
  <c r="J553" i="37"/>
  <c r="J554" i="37"/>
  <c r="J555" i="37"/>
  <c r="J556" i="37"/>
  <c r="J557" i="37"/>
  <c r="J558" i="37"/>
  <c r="J559" i="37"/>
  <c r="J560" i="37"/>
  <c r="J561" i="37"/>
  <c r="J562" i="37"/>
  <c r="J563" i="37"/>
  <c r="J564" i="37"/>
  <c r="J565" i="37"/>
  <c r="J566" i="37"/>
  <c r="J567" i="37"/>
  <c r="J568" i="37"/>
  <c r="J569" i="37"/>
  <c r="J570" i="37"/>
  <c r="J571" i="37"/>
  <c r="J572" i="37"/>
  <c r="J573" i="37"/>
  <c r="J574" i="37"/>
  <c r="J575" i="37"/>
  <c r="J576" i="37"/>
  <c r="J577" i="37"/>
  <c r="J578" i="37"/>
  <c r="J579" i="37"/>
  <c r="J580" i="37"/>
  <c r="J581" i="37"/>
  <c r="J582" i="37"/>
  <c r="J583" i="37"/>
  <c r="J584" i="37"/>
  <c r="J585" i="37"/>
  <c r="J586" i="37"/>
  <c r="J587" i="37"/>
  <c r="J588" i="37"/>
  <c r="J589" i="37"/>
  <c r="J590" i="37"/>
  <c r="J591" i="37"/>
  <c r="J592" i="37"/>
  <c r="J593" i="37"/>
  <c r="J594" i="37"/>
  <c r="J595" i="37"/>
  <c r="J596" i="37"/>
  <c r="J597" i="37"/>
  <c r="J598" i="37"/>
  <c r="J599" i="37"/>
  <c r="J600" i="37"/>
  <c r="J601" i="37"/>
  <c r="J602" i="37"/>
  <c r="J603" i="37"/>
  <c r="J604" i="37"/>
  <c r="J605" i="37"/>
  <c r="J606" i="37"/>
  <c r="J607" i="37"/>
  <c r="J608" i="37"/>
  <c r="J609" i="37"/>
  <c r="J610" i="37"/>
  <c r="J611" i="37"/>
  <c r="J612" i="37"/>
  <c r="J613" i="37"/>
  <c r="J614" i="37"/>
  <c r="J615" i="37"/>
  <c r="J616" i="37"/>
  <c r="J617" i="37"/>
  <c r="J618" i="37"/>
  <c r="J619" i="37"/>
  <c r="J620" i="37"/>
  <c r="J621" i="37"/>
  <c r="J622" i="37"/>
  <c r="J623" i="37"/>
  <c r="J624" i="37"/>
  <c r="J625" i="37"/>
  <c r="J626" i="37"/>
  <c r="J627" i="37"/>
  <c r="J628" i="37"/>
  <c r="J629" i="37"/>
  <c r="J630" i="37"/>
  <c r="J631" i="37"/>
  <c r="J632" i="37"/>
  <c r="J633" i="37"/>
  <c r="J634" i="37"/>
  <c r="J635" i="37"/>
  <c r="J636" i="37"/>
  <c r="J637" i="37"/>
  <c r="J638" i="37"/>
  <c r="J639" i="37"/>
  <c r="J640" i="37"/>
  <c r="J641" i="37"/>
  <c r="J642" i="37"/>
  <c r="J643" i="37"/>
  <c r="J644" i="37"/>
  <c r="J645" i="37"/>
  <c r="J646" i="37"/>
  <c r="J647" i="37"/>
  <c r="J648" i="37"/>
  <c r="J649" i="37"/>
  <c r="J650" i="37"/>
  <c r="J651" i="37"/>
  <c r="J652" i="37"/>
  <c r="J653" i="37"/>
  <c r="J654" i="37"/>
  <c r="J655" i="37"/>
  <c r="J656" i="37"/>
  <c r="J657" i="37"/>
  <c r="J658" i="37"/>
  <c r="J659" i="37"/>
  <c r="J660" i="37"/>
  <c r="J661" i="37"/>
  <c r="J662" i="37"/>
  <c r="J663" i="37"/>
  <c r="J664" i="37"/>
  <c r="J665" i="37"/>
  <c r="J666" i="37"/>
  <c r="J667" i="37"/>
  <c r="J668" i="37"/>
  <c r="J669" i="37"/>
  <c r="J670" i="37"/>
  <c r="J671" i="37"/>
  <c r="J672" i="37"/>
  <c r="J673" i="37"/>
  <c r="J674" i="37"/>
  <c r="J675" i="37"/>
  <c r="J676" i="37"/>
  <c r="J677" i="37"/>
  <c r="J678" i="37"/>
  <c r="J679" i="37"/>
  <c r="J680" i="37"/>
  <c r="J681" i="37"/>
  <c r="J682" i="37"/>
  <c r="J683" i="37"/>
  <c r="J684" i="37"/>
  <c r="J685" i="37"/>
  <c r="J686" i="37"/>
  <c r="J687" i="37"/>
  <c r="J688" i="37"/>
  <c r="J689" i="37"/>
  <c r="J690" i="37"/>
  <c r="J691" i="37"/>
  <c r="J692" i="37"/>
  <c r="J693" i="37"/>
  <c r="J694" i="37"/>
  <c r="J695" i="37"/>
  <c r="J696" i="37"/>
  <c r="J697" i="37"/>
  <c r="J698" i="37"/>
  <c r="J699" i="37"/>
  <c r="J700" i="37"/>
  <c r="J701" i="37"/>
  <c r="J702" i="37"/>
  <c r="J703" i="37"/>
  <c r="J704" i="37"/>
  <c r="J705" i="37"/>
  <c r="J706" i="37"/>
  <c r="J707" i="37"/>
  <c r="J708" i="37"/>
  <c r="J709" i="37"/>
  <c r="J710" i="37"/>
  <c r="J711" i="37"/>
  <c r="J712" i="37"/>
  <c r="J713" i="37"/>
  <c r="J714" i="37"/>
  <c r="J715" i="37"/>
  <c r="J716" i="37"/>
  <c r="J717" i="37"/>
  <c r="J718" i="37"/>
  <c r="J719" i="37"/>
  <c r="J720" i="37"/>
  <c r="J721" i="37"/>
  <c r="J722" i="37"/>
  <c r="J723" i="37"/>
  <c r="D9" i="28" s="1"/>
  <c r="J724" i="37"/>
  <c r="E9" i="28" s="1"/>
  <c r="J725" i="37"/>
  <c r="F9" i="28" s="1"/>
  <c r="J726" i="37"/>
  <c r="G9" i="28" s="1"/>
  <c r="J727" i="37"/>
  <c r="H9" i="28" s="1"/>
  <c r="J728" i="37"/>
  <c r="I9" i="28" s="1"/>
  <c r="J729" i="37"/>
  <c r="J9" i="28" s="1"/>
  <c r="J730" i="37"/>
  <c r="K9" i="28" s="1"/>
  <c r="J731" i="37"/>
  <c r="L9" i="28" s="1"/>
  <c r="J732" i="37"/>
  <c r="M9" i="28" s="1"/>
  <c r="J733" i="37"/>
  <c r="N9" i="28" s="1"/>
  <c r="J734" i="37"/>
  <c r="O9" i="28" s="1"/>
  <c r="J735" i="37"/>
  <c r="P9" i="28" s="1"/>
  <c r="J736" i="37"/>
  <c r="Q9" i="28" s="1"/>
  <c r="J737" i="37"/>
  <c r="R9" i="28" s="1"/>
  <c r="J738" i="37"/>
  <c r="S9" i="28" s="1"/>
  <c r="J739" i="37"/>
  <c r="T9" i="28" s="1"/>
  <c r="J740" i="37"/>
  <c r="U9" i="28" s="1"/>
  <c r="J741" i="37"/>
  <c r="V9" i="28" s="1"/>
  <c r="J742" i="37"/>
  <c r="W9" i="28" s="1"/>
  <c r="J743" i="37"/>
  <c r="X9" i="28" s="1"/>
  <c r="J744" i="37"/>
  <c r="Y9" i="28" s="1"/>
  <c r="J745" i="37"/>
  <c r="Z9" i="28" s="1"/>
  <c r="J746" i="37"/>
  <c r="AA9" i="28" s="1"/>
  <c r="J750" i="37"/>
  <c r="AE9" i="28" s="1"/>
  <c r="J751" i="37"/>
  <c r="AF9" i="28" s="1"/>
  <c r="J752" i="37"/>
  <c r="AG9" i="28" s="1"/>
  <c r="J753" i="37"/>
  <c r="AH9" i="28" s="1"/>
  <c r="J754" i="37"/>
  <c r="AI9" i="28" s="1"/>
  <c r="J755" i="37"/>
  <c r="AJ9" i="28" s="1"/>
  <c r="J756" i="37"/>
  <c r="AK9" i="28" s="1"/>
  <c r="J757" i="37"/>
  <c r="AL9" i="28" s="1"/>
  <c r="AM9" i="28"/>
  <c r="J747" i="37"/>
  <c r="AB9" i="28" s="1"/>
  <c r="J748" i="37"/>
  <c r="AC9" i="28" s="1"/>
  <c r="J749" i="37"/>
  <c r="AD9" i="28" s="1"/>
  <c r="E751" i="37"/>
  <c r="AF8" i="28" s="1"/>
  <c r="E752" i="37"/>
  <c r="AG8" i="28" s="1"/>
  <c r="E753" i="37"/>
  <c r="AH8" i="28" s="1"/>
  <c r="E754" i="37"/>
  <c r="AI8" i="28" s="1"/>
  <c r="E755" i="37"/>
  <c r="AJ8" i="28" s="1"/>
  <c r="E756" i="37"/>
  <c r="AK8" i="28" s="1"/>
  <c r="E757" i="37"/>
  <c r="AL8" i="28" s="1"/>
  <c r="AM8" i="28"/>
  <c r="E17" i="37"/>
  <c r="E18" i="37"/>
  <c r="E19" i="37"/>
  <c r="E20" i="37"/>
  <c r="E21" i="37"/>
  <c r="E22" i="37"/>
  <c r="E23" i="37"/>
  <c r="E24" i="37"/>
  <c r="E25" i="37"/>
  <c r="E26" i="37"/>
  <c r="E27" i="37"/>
  <c r="E28" i="37"/>
  <c r="E29" i="37"/>
  <c r="E30" i="37"/>
  <c r="E31" i="37"/>
  <c r="E32" i="37"/>
  <c r="E33" i="37"/>
  <c r="E34" i="37"/>
  <c r="E35" i="37"/>
  <c r="E36" i="37"/>
  <c r="E37" i="37"/>
  <c r="E38" i="37"/>
  <c r="E39" i="37"/>
  <c r="E40" i="37"/>
  <c r="E41" i="37"/>
  <c r="E42" i="37"/>
  <c r="E43" i="37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59" i="37"/>
  <c r="E60" i="37"/>
  <c r="E61" i="37"/>
  <c r="E62" i="37"/>
  <c r="E63" i="37"/>
  <c r="E64" i="37"/>
  <c r="E65" i="37"/>
  <c r="E66" i="37"/>
  <c r="E67" i="37"/>
  <c r="E68" i="37"/>
  <c r="E69" i="37"/>
  <c r="E70" i="37"/>
  <c r="E71" i="37"/>
  <c r="E72" i="37"/>
  <c r="E73" i="37"/>
  <c r="E74" i="37"/>
  <c r="E75" i="37"/>
  <c r="E76" i="37"/>
  <c r="E77" i="37"/>
  <c r="E78" i="37"/>
  <c r="E79" i="37"/>
  <c r="E80" i="37"/>
  <c r="E81" i="37"/>
  <c r="E82" i="37"/>
  <c r="E83" i="37"/>
  <c r="E84" i="37"/>
  <c r="E85" i="37"/>
  <c r="E86" i="37"/>
  <c r="E87" i="37"/>
  <c r="E88" i="37"/>
  <c r="E89" i="37"/>
  <c r="E90" i="37"/>
  <c r="E91" i="37"/>
  <c r="E92" i="37"/>
  <c r="E93" i="37"/>
  <c r="E94" i="37"/>
  <c r="E95" i="37"/>
  <c r="E96" i="37"/>
  <c r="E97" i="37"/>
  <c r="E98" i="37"/>
  <c r="E99" i="37"/>
  <c r="E100" i="37"/>
  <c r="E101" i="37"/>
  <c r="E102" i="37"/>
  <c r="E103" i="37"/>
  <c r="E104" i="37"/>
  <c r="E105" i="37"/>
  <c r="E106" i="37"/>
  <c r="E107" i="37"/>
  <c r="E108" i="37"/>
  <c r="E109" i="37"/>
  <c r="E110" i="37"/>
  <c r="E111" i="37"/>
  <c r="E112" i="37"/>
  <c r="E113" i="37"/>
  <c r="E114" i="37"/>
  <c r="E115" i="37"/>
  <c r="E116" i="37"/>
  <c r="E117" i="37"/>
  <c r="E118" i="37"/>
  <c r="E119" i="37"/>
  <c r="E120" i="37"/>
  <c r="E121" i="37"/>
  <c r="E122" i="37"/>
  <c r="E123" i="37"/>
  <c r="E124" i="37"/>
  <c r="E125" i="37"/>
  <c r="E126" i="37"/>
  <c r="E127" i="37"/>
  <c r="E128" i="37"/>
  <c r="E129" i="37"/>
  <c r="E130" i="37"/>
  <c r="E131" i="37"/>
  <c r="E132" i="37"/>
  <c r="E133" i="37"/>
  <c r="E134" i="37"/>
  <c r="E135" i="37"/>
  <c r="E136" i="37"/>
  <c r="E137" i="37"/>
  <c r="E138" i="37"/>
  <c r="E139" i="37"/>
  <c r="E140" i="37"/>
  <c r="E141" i="37"/>
  <c r="E142" i="37"/>
  <c r="E143" i="37"/>
  <c r="E144" i="37"/>
  <c r="E145" i="37"/>
  <c r="E146" i="37"/>
  <c r="E147" i="37"/>
  <c r="E148" i="37"/>
  <c r="E149" i="37"/>
  <c r="E150" i="37"/>
  <c r="E151" i="37"/>
  <c r="E152" i="37"/>
  <c r="E153" i="37"/>
  <c r="E154" i="37"/>
  <c r="E155" i="37"/>
  <c r="E156" i="37"/>
  <c r="E157" i="37"/>
  <c r="E158" i="37"/>
  <c r="E159" i="37"/>
  <c r="E160" i="37"/>
  <c r="E161" i="37"/>
  <c r="E162" i="37"/>
  <c r="E163" i="37"/>
  <c r="E164" i="37"/>
  <c r="E165" i="37"/>
  <c r="E166" i="37"/>
  <c r="E167" i="37"/>
  <c r="E168" i="37"/>
  <c r="E169" i="37"/>
  <c r="E170" i="37"/>
  <c r="E171" i="37"/>
  <c r="E172" i="37"/>
  <c r="E173" i="37"/>
  <c r="E174" i="37"/>
  <c r="E175" i="37"/>
  <c r="E176" i="37"/>
  <c r="E177" i="37"/>
  <c r="E178" i="37"/>
  <c r="E179" i="37"/>
  <c r="E180" i="37"/>
  <c r="E181" i="37"/>
  <c r="E182" i="37"/>
  <c r="E183" i="37"/>
  <c r="E184" i="37"/>
  <c r="E185" i="37"/>
  <c r="E186" i="37"/>
  <c r="E187" i="37"/>
  <c r="E188" i="37"/>
  <c r="E189" i="37"/>
  <c r="E190" i="37"/>
  <c r="E191" i="37"/>
  <c r="E192" i="37"/>
  <c r="E193" i="37"/>
  <c r="E194" i="37"/>
  <c r="E195" i="37"/>
  <c r="E196" i="37"/>
  <c r="E197" i="37"/>
  <c r="E198" i="37"/>
  <c r="E199" i="37"/>
  <c r="E200" i="37"/>
  <c r="E201" i="37"/>
  <c r="E202" i="37"/>
  <c r="E203" i="37"/>
  <c r="E204" i="37"/>
  <c r="E205" i="37"/>
  <c r="E206" i="37"/>
  <c r="E207" i="37"/>
  <c r="E208" i="37"/>
  <c r="E209" i="37"/>
  <c r="E210" i="37"/>
  <c r="E211" i="37"/>
  <c r="E212" i="37"/>
  <c r="E213" i="37"/>
  <c r="E214" i="37"/>
  <c r="E215" i="37"/>
  <c r="E216" i="37"/>
  <c r="E217" i="37"/>
  <c r="E218" i="37"/>
  <c r="E219" i="37"/>
  <c r="E220" i="37"/>
  <c r="E221" i="37"/>
  <c r="E222" i="37"/>
  <c r="E223" i="37"/>
  <c r="E224" i="37"/>
  <c r="E225" i="37"/>
  <c r="E226" i="37"/>
  <c r="E227" i="37"/>
  <c r="E228" i="37"/>
  <c r="E229" i="37"/>
  <c r="E230" i="37"/>
  <c r="E231" i="37"/>
  <c r="E232" i="37"/>
  <c r="E233" i="37"/>
  <c r="E234" i="37"/>
  <c r="E235" i="37"/>
  <c r="E236" i="37"/>
  <c r="E237" i="37"/>
  <c r="E238" i="37"/>
  <c r="E239" i="37"/>
  <c r="E240" i="37"/>
  <c r="E241" i="37"/>
  <c r="E242" i="37"/>
  <c r="E243" i="37"/>
  <c r="E244" i="37"/>
  <c r="E245" i="37"/>
  <c r="E246" i="37"/>
  <c r="E247" i="37"/>
  <c r="E248" i="37"/>
  <c r="E249" i="37"/>
  <c r="E250" i="37"/>
  <c r="E251" i="37"/>
  <c r="E252" i="37"/>
  <c r="E253" i="37"/>
  <c r="E254" i="37"/>
  <c r="E255" i="37"/>
  <c r="E256" i="37"/>
  <c r="E257" i="37"/>
  <c r="E258" i="37"/>
  <c r="E259" i="37"/>
  <c r="E260" i="37"/>
  <c r="E261" i="37"/>
  <c r="E262" i="37"/>
  <c r="E263" i="37"/>
  <c r="E264" i="37"/>
  <c r="E265" i="37"/>
  <c r="E266" i="37"/>
  <c r="E267" i="37"/>
  <c r="E268" i="37"/>
  <c r="E269" i="37"/>
  <c r="E270" i="37"/>
  <c r="E271" i="37"/>
  <c r="E272" i="37"/>
  <c r="E273" i="37"/>
  <c r="E274" i="37"/>
  <c r="E275" i="37"/>
  <c r="E276" i="37"/>
  <c r="E277" i="37"/>
  <c r="E278" i="37"/>
  <c r="E279" i="37"/>
  <c r="E280" i="37"/>
  <c r="E281" i="37"/>
  <c r="E282" i="37"/>
  <c r="E283" i="37"/>
  <c r="E284" i="37"/>
  <c r="E285" i="37"/>
  <c r="E286" i="37"/>
  <c r="E287" i="37"/>
  <c r="E288" i="37"/>
  <c r="E289" i="37"/>
  <c r="E290" i="37"/>
  <c r="E291" i="37"/>
  <c r="E292" i="37"/>
  <c r="E293" i="37"/>
  <c r="E294" i="37"/>
  <c r="E295" i="37"/>
  <c r="E296" i="37"/>
  <c r="E297" i="37"/>
  <c r="E298" i="37"/>
  <c r="E299" i="37"/>
  <c r="E300" i="37"/>
  <c r="E301" i="37"/>
  <c r="E302" i="37"/>
  <c r="E303" i="37"/>
  <c r="E304" i="37"/>
  <c r="E305" i="37"/>
  <c r="E306" i="37"/>
  <c r="E307" i="37"/>
  <c r="E308" i="37"/>
  <c r="E309" i="37"/>
  <c r="E310" i="37"/>
  <c r="E311" i="37"/>
  <c r="E312" i="37"/>
  <c r="E313" i="37"/>
  <c r="E314" i="37"/>
  <c r="E315" i="37"/>
  <c r="E316" i="37"/>
  <c r="E317" i="37"/>
  <c r="E318" i="37"/>
  <c r="E319" i="37"/>
  <c r="E320" i="37"/>
  <c r="E321" i="37"/>
  <c r="E322" i="37"/>
  <c r="E323" i="37"/>
  <c r="E324" i="37"/>
  <c r="E325" i="37"/>
  <c r="E326" i="37"/>
  <c r="E327" i="37"/>
  <c r="E328" i="37"/>
  <c r="E329" i="37"/>
  <c r="E330" i="37"/>
  <c r="E331" i="37"/>
  <c r="E332" i="37"/>
  <c r="E333" i="37"/>
  <c r="E334" i="37"/>
  <c r="E335" i="37"/>
  <c r="E336" i="37"/>
  <c r="E337" i="37"/>
  <c r="E338" i="37"/>
  <c r="E339" i="37"/>
  <c r="E340" i="37"/>
  <c r="E341" i="37"/>
  <c r="E342" i="37"/>
  <c r="E343" i="37"/>
  <c r="E344" i="37"/>
  <c r="E345" i="37"/>
  <c r="E346" i="37"/>
  <c r="E347" i="37"/>
  <c r="E348" i="37"/>
  <c r="E349" i="37"/>
  <c r="E350" i="37"/>
  <c r="E351" i="37"/>
  <c r="E352" i="37"/>
  <c r="E353" i="37"/>
  <c r="E354" i="37"/>
  <c r="E355" i="37"/>
  <c r="E356" i="37"/>
  <c r="E357" i="37"/>
  <c r="E358" i="37"/>
  <c r="E359" i="37"/>
  <c r="E360" i="37"/>
  <c r="E361" i="37"/>
  <c r="E362" i="37"/>
  <c r="E363" i="37"/>
  <c r="E364" i="37"/>
  <c r="E365" i="37"/>
  <c r="E366" i="37"/>
  <c r="E367" i="37"/>
  <c r="E368" i="37"/>
  <c r="E369" i="37"/>
  <c r="E370" i="37"/>
  <c r="E371" i="37"/>
  <c r="E372" i="37"/>
  <c r="E373" i="37"/>
  <c r="E374" i="37"/>
  <c r="E375" i="37"/>
  <c r="E376" i="37"/>
  <c r="E377" i="37"/>
  <c r="E378" i="37"/>
  <c r="E379" i="37"/>
  <c r="E380" i="37"/>
  <c r="E381" i="37"/>
  <c r="E382" i="37"/>
  <c r="E383" i="37"/>
  <c r="E384" i="37"/>
  <c r="E385" i="37"/>
  <c r="E386" i="37"/>
  <c r="E387" i="37"/>
  <c r="E388" i="37"/>
  <c r="E389" i="37"/>
  <c r="E390" i="37"/>
  <c r="E391" i="37"/>
  <c r="E392" i="37"/>
  <c r="E393" i="37"/>
  <c r="E394" i="37"/>
  <c r="E395" i="37"/>
  <c r="E396" i="37"/>
  <c r="E397" i="37"/>
  <c r="E398" i="37"/>
  <c r="E399" i="37"/>
  <c r="E400" i="37"/>
  <c r="E401" i="37"/>
  <c r="E402" i="37"/>
  <c r="E403" i="37"/>
  <c r="E404" i="37"/>
  <c r="E405" i="37"/>
  <c r="E406" i="37"/>
  <c r="E407" i="37"/>
  <c r="E408" i="37"/>
  <c r="E409" i="37"/>
  <c r="E410" i="37"/>
  <c r="E411" i="37"/>
  <c r="E412" i="37"/>
  <c r="E413" i="37"/>
  <c r="E414" i="37"/>
  <c r="E415" i="37"/>
  <c r="E416" i="37"/>
  <c r="E417" i="37"/>
  <c r="E418" i="37"/>
  <c r="E419" i="37"/>
  <c r="E420" i="37"/>
  <c r="E421" i="37"/>
  <c r="E422" i="37"/>
  <c r="E423" i="37"/>
  <c r="E424" i="37"/>
  <c r="E425" i="37"/>
  <c r="E426" i="37"/>
  <c r="E427" i="37"/>
  <c r="E428" i="37"/>
  <c r="E429" i="37"/>
  <c r="E430" i="37"/>
  <c r="E431" i="37"/>
  <c r="E432" i="37"/>
  <c r="E433" i="37"/>
  <c r="E434" i="37"/>
  <c r="E435" i="37"/>
  <c r="E436" i="37"/>
  <c r="E437" i="37"/>
  <c r="E438" i="37"/>
  <c r="E439" i="37"/>
  <c r="E440" i="37"/>
  <c r="E441" i="37"/>
  <c r="E442" i="37"/>
  <c r="E443" i="37"/>
  <c r="E444" i="37"/>
  <c r="E445" i="37"/>
  <c r="E446" i="37"/>
  <c r="E447" i="37"/>
  <c r="E448" i="37"/>
  <c r="E449" i="37"/>
  <c r="E450" i="37"/>
  <c r="E451" i="37"/>
  <c r="E452" i="37"/>
  <c r="E453" i="37"/>
  <c r="E454" i="37"/>
  <c r="E455" i="37"/>
  <c r="E456" i="37"/>
  <c r="E457" i="37"/>
  <c r="E458" i="37"/>
  <c r="E459" i="37"/>
  <c r="E460" i="37"/>
  <c r="E461" i="37"/>
  <c r="E462" i="37"/>
  <c r="E463" i="37"/>
  <c r="E464" i="37"/>
  <c r="E465" i="37"/>
  <c r="E466" i="37"/>
  <c r="E467" i="37"/>
  <c r="E468" i="37"/>
  <c r="E469" i="37"/>
  <c r="E470" i="37"/>
  <c r="E471" i="37"/>
  <c r="E472" i="37"/>
  <c r="E473" i="37"/>
  <c r="E474" i="37"/>
  <c r="E475" i="37"/>
  <c r="E476" i="37"/>
  <c r="E477" i="37"/>
  <c r="E478" i="37"/>
  <c r="E479" i="37"/>
  <c r="E480" i="37"/>
  <c r="E481" i="37"/>
  <c r="E482" i="37"/>
  <c r="E483" i="37"/>
  <c r="E484" i="37"/>
  <c r="E485" i="37"/>
  <c r="E486" i="37"/>
  <c r="E487" i="37"/>
  <c r="E488" i="37"/>
  <c r="E489" i="37"/>
  <c r="E490" i="37"/>
  <c r="E491" i="37"/>
  <c r="E492" i="37"/>
  <c r="E493" i="37"/>
  <c r="E494" i="37"/>
  <c r="E495" i="37"/>
  <c r="E496" i="37"/>
  <c r="E497" i="37"/>
  <c r="E498" i="37"/>
  <c r="E499" i="37"/>
  <c r="E500" i="37"/>
  <c r="E501" i="37"/>
  <c r="E502" i="37"/>
  <c r="E503" i="37"/>
  <c r="E504" i="37"/>
  <c r="E505" i="37"/>
  <c r="E506" i="37"/>
  <c r="E507" i="37"/>
  <c r="E508" i="37"/>
  <c r="E509" i="37"/>
  <c r="E510" i="37"/>
  <c r="E511" i="37"/>
  <c r="E512" i="37"/>
  <c r="E513" i="37"/>
  <c r="E514" i="37"/>
  <c r="E515" i="37"/>
  <c r="E516" i="37"/>
  <c r="E517" i="37"/>
  <c r="E518" i="37"/>
  <c r="E519" i="37"/>
  <c r="E520" i="37"/>
  <c r="E521" i="37"/>
  <c r="E522" i="37"/>
  <c r="E523" i="37"/>
  <c r="E524" i="37"/>
  <c r="E525" i="37"/>
  <c r="E526" i="37"/>
  <c r="E527" i="37"/>
  <c r="E528" i="37"/>
  <c r="E529" i="37"/>
  <c r="E530" i="37"/>
  <c r="E531" i="37"/>
  <c r="E532" i="37"/>
  <c r="E533" i="37"/>
  <c r="E534" i="37"/>
  <c r="E535" i="37"/>
  <c r="E536" i="37"/>
  <c r="E537" i="37"/>
  <c r="E538" i="37"/>
  <c r="E539" i="37"/>
  <c r="E540" i="37"/>
  <c r="E541" i="37"/>
  <c r="E542" i="37"/>
  <c r="E543" i="37"/>
  <c r="E544" i="37"/>
  <c r="E545" i="37"/>
  <c r="E546" i="37"/>
  <c r="E547" i="37"/>
  <c r="E548" i="37"/>
  <c r="E549" i="37"/>
  <c r="E550" i="37"/>
  <c r="E551" i="37"/>
  <c r="E552" i="37"/>
  <c r="E553" i="37"/>
  <c r="E554" i="37"/>
  <c r="E555" i="37"/>
  <c r="E556" i="37"/>
  <c r="E557" i="37"/>
  <c r="E558" i="37"/>
  <c r="E559" i="37"/>
  <c r="E560" i="37"/>
  <c r="E561" i="37"/>
  <c r="E562" i="37"/>
  <c r="E563" i="37"/>
  <c r="E564" i="37"/>
  <c r="E565" i="37"/>
  <c r="E566" i="37"/>
  <c r="E567" i="37"/>
  <c r="E568" i="37"/>
  <c r="E569" i="37"/>
  <c r="E570" i="37"/>
  <c r="E571" i="37"/>
  <c r="E572" i="37"/>
  <c r="E573" i="37"/>
  <c r="E574" i="37"/>
  <c r="E575" i="37"/>
  <c r="E576" i="37"/>
  <c r="E577" i="37"/>
  <c r="E578" i="37"/>
  <c r="E579" i="37"/>
  <c r="E580" i="37"/>
  <c r="E581" i="37"/>
  <c r="E582" i="37"/>
  <c r="E583" i="37"/>
  <c r="E584" i="37"/>
  <c r="E585" i="37"/>
  <c r="E586" i="37"/>
  <c r="E587" i="37"/>
  <c r="E588" i="37"/>
  <c r="E589" i="37"/>
  <c r="E590" i="37"/>
  <c r="E591" i="37"/>
  <c r="E592" i="37"/>
  <c r="E593" i="37"/>
  <c r="E594" i="37"/>
  <c r="E595" i="37"/>
  <c r="E596" i="37"/>
  <c r="E597" i="37"/>
  <c r="E598" i="37"/>
  <c r="E599" i="37"/>
  <c r="E600" i="37"/>
  <c r="E601" i="37"/>
  <c r="E602" i="37"/>
  <c r="E603" i="37"/>
  <c r="E604" i="37"/>
  <c r="E605" i="37"/>
  <c r="E606" i="37"/>
  <c r="E607" i="37"/>
  <c r="E608" i="37"/>
  <c r="E609" i="37"/>
  <c r="E610" i="37"/>
  <c r="E611" i="37"/>
  <c r="E612" i="37"/>
  <c r="E613" i="37"/>
  <c r="E614" i="37"/>
  <c r="E615" i="37"/>
  <c r="E616" i="37"/>
  <c r="E617" i="37"/>
  <c r="E618" i="37"/>
  <c r="E619" i="37"/>
  <c r="E620" i="37"/>
  <c r="E621" i="37"/>
  <c r="E622" i="37"/>
  <c r="E623" i="37"/>
  <c r="E624" i="37"/>
  <c r="E625" i="37"/>
  <c r="E626" i="37"/>
  <c r="E627" i="37"/>
  <c r="E628" i="37"/>
  <c r="E629" i="37"/>
  <c r="E630" i="37"/>
  <c r="E631" i="37"/>
  <c r="E632" i="37"/>
  <c r="E633" i="37"/>
  <c r="E634" i="37"/>
  <c r="E635" i="37"/>
  <c r="E636" i="37"/>
  <c r="E637" i="37"/>
  <c r="E638" i="37"/>
  <c r="E639" i="37"/>
  <c r="E640" i="37"/>
  <c r="E641" i="37"/>
  <c r="E642" i="37"/>
  <c r="E643" i="37"/>
  <c r="E644" i="37"/>
  <c r="E645" i="37"/>
  <c r="E646" i="37"/>
  <c r="E647" i="37"/>
  <c r="E648" i="37"/>
  <c r="E649" i="37"/>
  <c r="E650" i="37"/>
  <c r="E651" i="37"/>
  <c r="E652" i="37"/>
  <c r="E653" i="37"/>
  <c r="E654" i="37"/>
  <c r="E655" i="37"/>
  <c r="E656" i="37"/>
  <c r="E657" i="37"/>
  <c r="E658" i="37"/>
  <c r="E659" i="37"/>
  <c r="E660" i="37"/>
  <c r="E661" i="37"/>
  <c r="E662" i="37"/>
  <c r="E663" i="37"/>
  <c r="E664" i="37"/>
  <c r="E665" i="37"/>
  <c r="E666" i="37"/>
  <c r="E667" i="37"/>
  <c r="E668" i="37"/>
  <c r="E669" i="37"/>
  <c r="E670" i="37"/>
  <c r="E671" i="37"/>
  <c r="E672" i="37"/>
  <c r="E673" i="37"/>
  <c r="E674" i="37"/>
  <c r="E675" i="37"/>
  <c r="E676" i="37"/>
  <c r="E677" i="37"/>
  <c r="E678" i="37"/>
  <c r="E679" i="37"/>
  <c r="E680" i="37"/>
  <c r="E681" i="37"/>
  <c r="E682" i="37"/>
  <c r="E683" i="37"/>
  <c r="E684" i="37"/>
  <c r="E685" i="37"/>
  <c r="E686" i="37"/>
  <c r="E687" i="37"/>
  <c r="E688" i="37"/>
  <c r="E689" i="37"/>
  <c r="E690" i="37"/>
  <c r="E691" i="37"/>
  <c r="E692" i="37"/>
  <c r="E693" i="37"/>
  <c r="E694" i="37"/>
  <c r="E695" i="37"/>
  <c r="E696" i="37"/>
  <c r="E697" i="37"/>
  <c r="E698" i="37"/>
  <c r="E699" i="37"/>
  <c r="E700" i="37"/>
  <c r="E701" i="37"/>
  <c r="E702" i="37"/>
  <c r="E703" i="37"/>
  <c r="E704" i="37"/>
  <c r="E705" i="37"/>
  <c r="E706" i="37"/>
  <c r="E707" i="37"/>
  <c r="E708" i="37"/>
  <c r="E709" i="37"/>
  <c r="E710" i="37"/>
  <c r="E711" i="37"/>
  <c r="E712" i="37"/>
  <c r="E713" i="37"/>
  <c r="E714" i="37"/>
  <c r="E715" i="37"/>
  <c r="E716" i="37"/>
  <c r="E717" i="37"/>
  <c r="E718" i="37"/>
  <c r="E719" i="37"/>
  <c r="E720" i="37"/>
  <c r="E721" i="37"/>
  <c r="E722" i="37"/>
  <c r="E723" i="37"/>
  <c r="D8" i="28" s="1"/>
  <c r="E724" i="37"/>
  <c r="E8" i="28" s="1"/>
  <c r="E725" i="37"/>
  <c r="F8" i="28" s="1"/>
  <c r="E726" i="37"/>
  <c r="G8" i="28" s="1"/>
  <c r="E727" i="37"/>
  <c r="H8" i="28" s="1"/>
  <c r="E728" i="37"/>
  <c r="I8" i="28" s="1"/>
  <c r="E729" i="37"/>
  <c r="J8" i="28" s="1"/>
  <c r="E730" i="37"/>
  <c r="K8" i="28" s="1"/>
  <c r="E731" i="37"/>
  <c r="L8" i="28" s="1"/>
  <c r="E732" i="37"/>
  <c r="M8" i="28" s="1"/>
  <c r="E733" i="37"/>
  <c r="N8" i="28" s="1"/>
  <c r="E734" i="37"/>
  <c r="O8" i="28" s="1"/>
  <c r="E735" i="37"/>
  <c r="P8" i="28" s="1"/>
  <c r="E736" i="37"/>
  <c r="Q8" i="28" s="1"/>
  <c r="E737" i="37"/>
  <c r="R8" i="28" s="1"/>
  <c r="E738" i="37"/>
  <c r="S8" i="28" s="1"/>
  <c r="E739" i="37"/>
  <c r="T8" i="28" s="1"/>
  <c r="E740" i="37"/>
  <c r="U8" i="28" s="1"/>
  <c r="E741" i="37"/>
  <c r="V8" i="28" s="1"/>
  <c r="E742" i="37"/>
  <c r="W8" i="28" s="1"/>
  <c r="E743" i="37"/>
  <c r="X8" i="28" s="1"/>
  <c r="E744" i="37"/>
  <c r="Y8" i="28" s="1"/>
  <c r="E745" i="37"/>
  <c r="Z8" i="28" s="1"/>
  <c r="E746" i="37"/>
  <c r="AA8" i="28" s="1"/>
  <c r="E747" i="37"/>
  <c r="AB8" i="28" s="1"/>
  <c r="E748" i="37"/>
  <c r="AC8" i="28" s="1"/>
  <c r="E749" i="37"/>
  <c r="AD8" i="28" s="1"/>
  <c r="E750" i="37"/>
  <c r="AE8" i="28" s="1"/>
  <c r="E16" i="37"/>
  <c r="E15" i="37"/>
  <c r="E56" i="28"/>
  <c r="F56" i="28"/>
  <c r="G56" i="28"/>
  <c r="H56" i="28"/>
  <c r="I56" i="28"/>
  <c r="J56" i="28"/>
  <c r="K56" i="28"/>
  <c r="L56" i="28"/>
  <c r="M56" i="28"/>
  <c r="N56" i="28"/>
  <c r="O56" i="28"/>
  <c r="P56" i="28"/>
  <c r="Q56" i="28"/>
  <c r="R56" i="28"/>
  <c r="S56" i="28"/>
  <c r="T56" i="28"/>
  <c r="U56" i="28"/>
  <c r="V56" i="28"/>
  <c r="W56" i="28"/>
  <c r="X56" i="28"/>
  <c r="Y56" i="28"/>
  <c r="Z56" i="28"/>
  <c r="AA56" i="28"/>
  <c r="AB56" i="28"/>
  <c r="AC56" i="28"/>
  <c r="D56" i="28"/>
  <c r="AA930" i="4" l="1"/>
  <c r="AA929" i="4"/>
  <c r="AM49" i="28"/>
  <c r="AL48" i="28"/>
  <c r="AF48" i="28"/>
  <c r="AK48" i="28"/>
  <c r="AE48" i="28"/>
  <c r="AJ48" i="28"/>
  <c r="AD48" i="28"/>
  <c r="AI48" i="28"/>
  <c r="AH48" i="28"/>
  <c r="H928" i="4"/>
  <c r="I927" i="4"/>
  <c r="I930" i="4"/>
  <c r="H929" i="4"/>
  <c r="H926" i="4"/>
  <c r="I932" i="4"/>
  <c r="AI47" i="28"/>
  <c r="AC27" i="28"/>
  <c r="W27" i="28"/>
  <c r="Q27" i="28"/>
  <c r="K27" i="28"/>
  <c r="E27" i="28"/>
  <c r="AD27" i="28"/>
  <c r="L27" i="28"/>
  <c r="R27" i="28"/>
  <c r="AU32" i="28"/>
  <c r="AO32" i="28"/>
  <c r="X27" i="28"/>
  <c r="F27" i="28"/>
  <c r="X32" i="28"/>
  <c r="R32" i="28"/>
  <c r="L32" i="28"/>
  <c r="F32" i="28"/>
  <c r="AV32" i="28"/>
  <c r="AP32" i="28"/>
  <c r="R20" i="28"/>
  <c r="L20" i="28"/>
  <c r="F20" i="28"/>
  <c r="AE27" i="28"/>
  <c r="Y27" i="28"/>
  <c r="S27" i="28"/>
  <c r="M27" i="28"/>
  <c r="G27" i="28"/>
  <c r="AL19" i="28"/>
  <c r="AA927" i="4"/>
  <c r="AA928" i="4"/>
  <c r="AW32" i="28"/>
  <c r="AF19" i="28"/>
  <c r="Z19" i="28"/>
  <c r="T19" i="28"/>
  <c r="N19" i="28"/>
  <c r="H19" i="28"/>
  <c r="AE32" i="28"/>
  <c r="Y32" i="28"/>
  <c r="S32" i="28"/>
  <c r="M32" i="28"/>
  <c r="G32" i="28"/>
  <c r="AK27" i="28"/>
  <c r="Z27" i="28"/>
  <c r="T27" i="28"/>
  <c r="N27" i="28"/>
  <c r="H27" i="28"/>
  <c r="AQ32" i="28"/>
  <c r="I929" i="4"/>
  <c r="AV46" i="28"/>
  <c r="AP46" i="28"/>
  <c r="AJ46" i="28"/>
  <c r="AD46" i="28"/>
  <c r="X46" i="28"/>
  <c r="R46" i="28"/>
  <c r="L46" i="28"/>
  <c r="F46" i="28"/>
  <c r="AC46" i="28"/>
  <c r="W46" i="28"/>
  <c r="Q46" i="28"/>
  <c r="K46" i="28"/>
  <c r="H625" i="4"/>
  <c r="I928" i="4"/>
  <c r="D46" i="28"/>
  <c r="AB46" i="28"/>
  <c r="V46" i="28"/>
  <c r="P46" i="28"/>
  <c r="J46" i="28"/>
  <c r="E19" i="28"/>
  <c r="AA931" i="4"/>
  <c r="I931" i="4"/>
  <c r="AA46" i="28"/>
  <c r="U46" i="28"/>
  <c r="O46" i="28"/>
  <c r="I46" i="28"/>
  <c r="Z927" i="4"/>
  <c r="H927" i="4"/>
  <c r="Z46" i="28"/>
  <c r="T46" i="28"/>
  <c r="N46" i="28"/>
  <c r="H46" i="28"/>
  <c r="H428" i="4"/>
  <c r="X20" i="28"/>
  <c r="Y46" i="28"/>
  <c r="S46" i="28"/>
  <c r="M46" i="28"/>
  <c r="G46" i="28"/>
  <c r="AT32" i="28"/>
  <c r="AN32" i="28"/>
  <c r="AA27" i="28"/>
  <c r="U27" i="28"/>
  <c r="O27" i="28"/>
  <c r="I27" i="28"/>
  <c r="Z20" i="28"/>
  <c r="T20" i="28"/>
  <c r="N20" i="28"/>
  <c r="H20" i="28"/>
  <c r="Q19" i="28"/>
  <c r="AX20" i="28"/>
  <c r="AL20" i="28"/>
  <c r="AF20" i="28"/>
  <c r="Y20" i="28"/>
  <c r="S20" i="28"/>
  <c r="M20" i="28"/>
  <c r="G20" i="28"/>
  <c r="K19" i="28"/>
  <c r="AW20" i="28"/>
  <c r="AQ20" i="28"/>
  <c r="AE20" i="28"/>
  <c r="AV20" i="28"/>
  <c r="AP20" i="28"/>
  <c r="AJ20" i="28"/>
  <c r="AD20" i="28"/>
  <c r="AU19" i="28"/>
  <c r="AA19" i="28"/>
  <c r="U19" i="28"/>
  <c r="O19" i="28"/>
  <c r="I19" i="28"/>
  <c r="D20" i="28"/>
  <c r="AB20" i="28"/>
  <c r="V20" i="28"/>
  <c r="P20" i="28"/>
  <c r="J20" i="28"/>
  <c r="AC19" i="28"/>
  <c r="AR19" i="28"/>
  <c r="AT20" i="28"/>
  <c r="AN20" i="28"/>
  <c r="AO19" i="28"/>
  <c r="AK19" i="28"/>
  <c r="AH19" i="28"/>
  <c r="AA20" i="28"/>
  <c r="U20" i="28"/>
  <c r="O20" i="28"/>
  <c r="I20" i="28"/>
  <c r="W19" i="28"/>
  <c r="AY19" i="28"/>
  <c r="AS19" i="28"/>
  <c r="AM19" i="28"/>
  <c r="AY20" i="28"/>
  <c r="AS20" i="28"/>
  <c r="AM20" i="28"/>
  <c r="AG20" i="28"/>
  <c r="AI19" i="28"/>
  <c r="T62" i="28"/>
  <c r="D19" i="28"/>
  <c r="X19" i="28"/>
  <c r="R19" i="28"/>
  <c r="L19" i="28"/>
  <c r="F19" i="28"/>
  <c r="AV19" i="28"/>
  <c r="AP19" i="28"/>
  <c r="AJ19" i="28"/>
  <c r="AD19" i="28"/>
  <c r="AD62" i="28"/>
  <c r="N62" i="28"/>
  <c r="AB19" i="28"/>
  <c r="V19" i="28"/>
  <c r="P19" i="28"/>
  <c r="J19" i="28"/>
  <c r="AT19" i="28"/>
  <c r="AN19" i="28"/>
  <c r="AA62" i="28"/>
  <c r="I62" i="28"/>
  <c r="AG19" i="28"/>
  <c r="AU62" i="28"/>
  <c r="O62" i="28"/>
  <c r="Z62" i="28"/>
  <c r="H62" i="28"/>
  <c r="AY62" i="28"/>
  <c r="AX19" i="28"/>
  <c r="AO62" i="28"/>
  <c r="U62" i="28"/>
  <c r="Y19" i="28"/>
  <c r="S19" i="28"/>
  <c r="M19" i="28"/>
  <c r="G19" i="28"/>
  <c r="AW19" i="28"/>
  <c r="AQ19" i="28"/>
  <c r="AE19" i="28"/>
  <c r="AJ62" i="28"/>
  <c r="AF32" i="28"/>
  <c r="Z32" i="28"/>
  <c r="T32" i="28"/>
  <c r="N32" i="28"/>
  <c r="H32" i="28"/>
  <c r="AK32" i="28"/>
  <c r="AH32" i="28"/>
  <c r="AW62" i="28"/>
  <c r="AQ62" i="28"/>
  <c r="AK62" i="28"/>
  <c r="AE62" i="28"/>
  <c r="AC32" i="28"/>
  <c r="W32" i="28"/>
  <c r="Q32" i="28"/>
  <c r="K32" i="28"/>
  <c r="E32" i="28"/>
  <c r="Y62" i="28"/>
  <c r="S62" i="28"/>
  <c r="M62" i="28"/>
  <c r="G62" i="28"/>
  <c r="AR32" i="28"/>
  <c r="AT62" i="28"/>
  <c r="AN62" i="28"/>
  <c r="AH62" i="28"/>
  <c r="AB32" i="28"/>
  <c r="V32" i="28"/>
  <c r="P32" i="28"/>
  <c r="J32" i="28"/>
  <c r="D32" i="28"/>
  <c r="AL32" i="28"/>
  <c r="AI32" i="28"/>
  <c r="D62" i="28"/>
  <c r="X62" i="28"/>
  <c r="R62" i="28"/>
  <c r="L62" i="28"/>
  <c r="F62" i="28"/>
  <c r="AS32" i="28"/>
  <c r="AM32" i="28"/>
  <c r="AD32" i="28"/>
  <c r="AS62" i="28"/>
  <c r="AM62" i="28"/>
  <c r="AA32" i="28"/>
  <c r="U32" i="28"/>
  <c r="O32" i="28"/>
  <c r="I32" i="28"/>
  <c r="AC62" i="28"/>
  <c r="W62" i="28"/>
  <c r="Q62" i="28"/>
  <c r="K62" i="28"/>
  <c r="E62" i="28"/>
  <c r="AR62" i="28"/>
  <c r="AL62" i="28"/>
  <c r="AF62" i="28"/>
  <c r="H728" i="4"/>
  <c r="H704" i="4"/>
  <c r="H554" i="4"/>
  <c r="H799" i="4"/>
  <c r="H691" i="4"/>
  <c r="H661" i="4"/>
  <c r="H499" i="4"/>
  <c r="H463" i="4"/>
  <c r="H325" i="4"/>
  <c r="H289" i="4"/>
  <c r="H253" i="4"/>
  <c r="H127" i="4"/>
  <c r="H897" i="4"/>
  <c r="H871" i="4"/>
  <c r="H847" i="4"/>
  <c r="H823" i="4"/>
  <c r="H793" i="4"/>
  <c r="H769" i="4"/>
  <c r="H763" i="4"/>
  <c r="H685" i="4"/>
  <c r="H655" i="4"/>
  <c r="H619" i="4"/>
  <c r="H589" i="4"/>
  <c r="H583" i="4"/>
  <c r="H529" i="4"/>
  <c r="H493" i="4"/>
  <c r="H457" i="4"/>
  <c r="H427" i="4"/>
  <c r="H403" i="4"/>
  <c r="H379" i="4"/>
  <c r="H355" i="4"/>
  <c r="H319" i="4"/>
  <c r="H283" i="4"/>
  <c r="H247" i="4"/>
  <c r="H229" i="4"/>
  <c r="H223" i="4"/>
  <c r="H193" i="4"/>
  <c r="H157" i="4"/>
  <c r="H903" i="4"/>
  <c r="H872" i="4"/>
  <c r="H848" i="4"/>
  <c r="H824" i="4"/>
  <c r="H733" i="4"/>
  <c r="H709" i="4"/>
  <c r="H702" i="4"/>
  <c r="H559" i="4"/>
  <c r="H535" i="4"/>
  <c r="H380" i="4"/>
  <c r="H356" i="4"/>
  <c r="H199" i="4"/>
  <c r="H163" i="4"/>
  <c r="H909" i="4"/>
  <c r="H883" i="4"/>
  <c r="H859" i="4"/>
  <c r="H817" i="4"/>
  <c r="H770" i="4"/>
  <c r="H745" i="4"/>
  <c r="H715" i="4"/>
  <c r="H692" i="4"/>
  <c r="H673" i="4"/>
  <c r="H649" i="4"/>
  <c r="H613" i="4"/>
  <c r="H595" i="4"/>
  <c r="H571" i="4"/>
  <c r="H541" i="4"/>
  <c r="H517" i="4"/>
  <c r="H487" i="4"/>
  <c r="H415" i="4"/>
  <c r="H921" i="4"/>
  <c r="H889" i="4"/>
  <c r="H841" i="4"/>
  <c r="H811" i="4"/>
  <c r="H787" i="4"/>
  <c r="H739" i="4"/>
  <c r="H631" i="4"/>
  <c r="H895" i="4"/>
  <c r="H773" i="4"/>
  <c r="H404" i="4"/>
  <c r="H915" i="4"/>
  <c r="H865" i="4"/>
  <c r="H829" i="4"/>
  <c r="H805" i="4"/>
  <c r="H781" i="4"/>
  <c r="H757" i="4"/>
  <c r="H721" i="4"/>
  <c r="H697" i="4"/>
  <c r="H679" i="4"/>
  <c r="H643" i="4"/>
  <c r="H607" i="4"/>
  <c r="H577" i="4"/>
  <c r="H553" i="4"/>
  <c r="H523" i="4"/>
  <c r="H505" i="4"/>
  <c r="H475" i="4"/>
  <c r="H439" i="4"/>
  <c r="H373" i="4"/>
  <c r="H175" i="4"/>
  <c r="H151" i="4"/>
  <c r="H139" i="4"/>
  <c r="H877" i="4"/>
  <c r="H853" i="4"/>
  <c r="H835" i="4"/>
  <c r="H775" i="4"/>
  <c r="H751" i="4"/>
  <c r="H727" i="4"/>
  <c r="H667" i="4"/>
  <c r="H637" i="4"/>
  <c r="H601" i="4"/>
  <c r="H565" i="4"/>
  <c r="H547" i="4"/>
  <c r="H511" i="4"/>
  <c r="H481" i="4"/>
  <c r="H469" i="4"/>
  <c r="H451" i="4"/>
  <c r="H445" i="4"/>
  <c r="H433" i="4"/>
  <c r="H421" i="4"/>
  <c r="H409" i="4"/>
  <c r="H397" i="4"/>
  <c r="H391" i="4"/>
  <c r="H385" i="4"/>
  <c r="H367" i="4"/>
  <c r="H361" i="4"/>
  <c r="H349" i="4"/>
  <c r="H343" i="4"/>
  <c r="H337" i="4"/>
  <c r="H331" i="4"/>
  <c r="H313" i="4"/>
  <c r="H307" i="4"/>
  <c r="H301" i="4"/>
  <c r="H295" i="4"/>
  <c r="H277" i="4"/>
  <c r="H271" i="4"/>
  <c r="H265" i="4"/>
  <c r="H259" i="4"/>
  <c r="H241" i="4"/>
  <c r="H235" i="4"/>
  <c r="H230" i="4"/>
  <c r="H217" i="4"/>
  <c r="H211" i="4"/>
  <c r="H205" i="4"/>
  <c r="H187" i="4"/>
  <c r="H181" i="4"/>
  <c r="H169" i="4"/>
  <c r="H145" i="4"/>
  <c r="H133" i="4"/>
  <c r="H703" i="4"/>
  <c r="H680" i="4"/>
  <c r="H242" i="4"/>
  <c r="H218" i="4"/>
  <c r="H884" i="4"/>
  <c r="H860" i="4"/>
  <c r="H836" i="4"/>
  <c r="H812" i="4"/>
  <c r="H416" i="4"/>
  <c r="H392" i="4"/>
  <c r="H368" i="4"/>
  <c r="H916" i="4"/>
  <c r="I897" i="4"/>
  <c r="H920" i="4"/>
  <c r="H914" i="4"/>
  <c r="H908" i="4"/>
  <c r="I905" i="4"/>
  <c r="H888" i="4"/>
  <c r="H882" i="4"/>
  <c r="H876" i="4"/>
  <c r="H870" i="4"/>
  <c r="H864" i="4"/>
  <c r="H858" i="4"/>
  <c r="H852" i="4"/>
  <c r="H846" i="4"/>
  <c r="H840" i="4"/>
  <c r="H834" i="4"/>
  <c r="H828" i="4"/>
  <c r="H822" i="4"/>
  <c r="H816" i="4"/>
  <c r="H810" i="4"/>
  <c r="H804" i="4"/>
  <c r="H798" i="4"/>
  <c r="H792" i="4"/>
  <c r="H786" i="4"/>
  <c r="H780" i="4"/>
  <c r="H768" i="4"/>
  <c r="H762" i="4"/>
  <c r="H756" i="4"/>
  <c r="H750" i="4"/>
  <c r="H744" i="4"/>
  <c r="H738" i="4"/>
  <c r="H732" i="4"/>
  <c r="H726" i="4"/>
  <c r="H720" i="4"/>
  <c r="H714" i="4"/>
  <c r="H708" i="4"/>
  <c r="H696" i="4"/>
  <c r="H690" i="4"/>
  <c r="H684" i="4"/>
  <c r="H678" i="4"/>
  <c r="H672" i="4"/>
  <c r="H666" i="4"/>
  <c r="H660" i="4"/>
  <c r="H654" i="4"/>
  <c r="H648" i="4"/>
  <c r="H642" i="4"/>
  <c r="H636" i="4"/>
  <c r="H716" i="4"/>
  <c r="H566" i="4"/>
  <c r="H542" i="4"/>
  <c r="H630" i="4"/>
  <c r="H624" i="4"/>
  <c r="H618" i="4"/>
  <c r="H612" i="4"/>
  <c r="H606" i="4"/>
  <c r="H600" i="4"/>
  <c r="H594" i="4"/>
  <c r="H588" i="4"/>
  <c r="H582" i="4"/>
  <c r="H576" i="4"/>
  <c r="H570" i="4"/>
  <c r="H564" i="4"/>
  <c r="H558" i="4"/>
  <c r="H552" i="4"/>
  <c r="H546" i="4"/>
  <c r="H540" i="4"/>
  <c r="H534" i="4"/>
  <c r="H528" i="4"/>
  <c r="H522" i="4"/>
  <c r="H516" i="4"/>
  <c r="H510" i="4"/>
  <c r="H504" i="4"/>
  <c r="H498" i="4"/>
  <c r="H492" i="4"/>
  <c r="H486" i="4"/>
  <c r="H480" i="4"/>
  <c r="H474" i="4"/>
  <c r="H468" i="4"/>
  <c r="H462" i="4"/>
  <c r="H456" i="4"/>
  <c r="H450" i="4"/>
  <c r="H444" i="4"/>
  <c r="H438" i="4"/>
  <c r="H432" i="4"/>
  <c r="H426" i="4"/>
  <c r="H420" i="4"/>
  <c r="I413" i="4"/>
  <c r="H408" i="4"/>
  <c r="H402" i="4"/>
  <c r="H396" i="4"/>
  <c r="H390" i="4"/>
  <c r="H384" i="4"/>
  <c r="H378" i="4"/>
  <c r="H372" i="4"/>
  <c r="H366" i="4"/>
  <c r="H360" i="4"/>
  <c r="H354" i="4"/>
  <c r="H348" i="4"/>
  <c r="H342" i="4"/>
  <c r="H336" i="4"/>
  <c r="H330" i="4"/>
  <c r="H324" i="4"/>
  <c r="H318" i="4"/>
  <c r="H312" i="4"/>
  <c r="H306" i="4"/>
  <c r="H300" i="4"/>
  <c r="H294" i="4"/>
  <c r="H288" i="4"/>
  <c r="H282" i="4"/>
  <c r="H276" i="4"/>
  <c r="H270" i="4"/>
  <c r="H264" i="4"/>
  <c r="H258" i="4"/>
  <c r="H252" i="4"/>
  <c r="H246" i="4"/>
  <c r="H240" i="4"/>
  <c r="H234" i="4"/>
  <c r="H228" i="4"/>
  <c r="H222" i="4"/>
  <c r="H216" i="4"/>
  <c r="H210" i="4"/>
  <c r="H204" i="4"/>
  <c r="H198" i="4"/>
  <c r="H192" i="4"/>
  <c r="H186" i="4"/>
  <c r="H180" i="4"/>
  <c r="H174" i="4"/>
  <c r="H168" i="4"/>
  <c r="H162" i="4"/>
  <c r="H156" i="4"/>
  <c r="H150" i="4"/>
  <c r="H144" i="4"/>
  <c r="H138" i="4"/>
  <c r="H132" i="4"/>
  <c r="H126" i="4"/>
  <c r="H890" i="4"/>
  <c r="H878" i="4"/>
  <c r="H866" i="4"/>
  <c r="H854" i="4"/>
  <c r="H842" i="4"/>
  <c r="H830" i="4"/>
  <c r="H818" i="4"/>
  <c r="H806" i="4"/>
  <c r="H800" i="4"/>
  <c r="H794" i="4"/>
  <c r="H788" i="4"/>
  <c r="H782" i="4"/>
  <c r="H776" i="4"/>
  <c r="H758" i="4"/>
  <c r="H746" i="4"/>
  <c r="H740" i="4"/>
  <c r="H734" i="4"/>
  <c r="H722" i="4"/>
  <c r="H710" i="4"/>
  <c r="H698" i="4"/>
  <c r="H686" i="4"/>
  <c r="H668" i="4"/>
  <c r="H662" i="4"/>
  <c r="H656" i="4"/>
  <c r="H650" i="4"/>
  <c r="H638" i="4"/>
  <c r="H632" i="4"/>
  <c r="H626" i="4"/>
  <c r="H620" i="4"/>
  <c r="H614" i="4"/>
  <c r="H608" i="4"/>
  <c r="H602" i="4"/>
  <c r="H596" i="4"/>
  <c r="H590" i="4"/>
  <c r="H584" i="4"/>
  <c r="H578" i="4"/>
  <c r="H572" i="4"/>
  <c r="H560" i="4"/>
  <c r="H548" i="4"/>
  <c r="H530" i="4"/>
  <c r="I807" i="4"/>
  <c r="H896" i="4"/>
  <c r="H524" i="4"/>
  <c r="H518" i="4"/>
  <c r="H512" i="4"/>
  <c r="H506" i="4"/>
  <c r="H500" i="4"/>
  <c r="H494" i="4"/>
  <c r="H482" i="4"/>
  <c r="H476" i="4"/>
  <c r="H470" i="4"/>
  <c r="H464" i="4"/>
  <c r="H458" i="4"/>
  <c r="H452" i="4"/>
  <c r="H446" i="4"/>
  <c r="H440" i="4"/>
  <c r="H434" i="4"/>
  <c r="H422" i="4"/>
  <c r="H410" i="4"/>
  <c r="H398" i="4"/>
  <c r="H386" i="4"/>
  <c r="H374" i="4"/>
  <c r="H362" i="4"/>
  <c r="H344" i="4"/>
  <c r="H338" i="4"/>
  <c r="H332" i="4"/>
  <c r="H320" i="4"/>
  <c r="H314" i="4"/>
  <c r="H308" i="4"/>
  <c r="H302" i="4"/>
  <c r="H296" i="4"/>
  <c r="H290" i="4"/>
  <c r="H284" i="4"/>
  <c r="H278" i="4"/>
  <c r="H272" i="4"/>
  <c r="H266" i="4"/>
  <c r="H260" i="4"/>
  <c r="H254" i="4"/>
  <c r="H236" i="4"/>
  <c r="H224" i="4"/>
  <c r="H206" i="4"/>
  <c r="H200" i="4"/>
  <c r="H194" i="4"/>
  <c r="H188" i="4"/>
  <c r="H182" i="4"/>
  <c r="H176" i="4"/>
  <c r="H170" i="4"/>
  <c r="H158" i="4"/>
  <c r="H152" i="4"/>
  <c r="H146" i="4"/>
  <c r="H140" i="4"/>
  <c r="H134" i="4"/>
  <c r="H128" i="4"/>
  <c r="H774" i="4"/>
  <c r="H414" i="4"/>
  <c r="H887" i="4"/>
  <c r="H863" i="4"/>
  <c r="H845" i="4"/>
  <c r="H821" i="4"/>
  <c r="H815" i="4"/>
  <c r="H809" i="4"/>
  <c r="H755" i="4"/>
  <c r="H749" i="4"/>
  <c r="H737" i="4"/>
  <c r="H894" i="4"/>
  <c r="H923" i="4"/>
  <c r="I921" i="4"/>
  <c r="I915" i="4"/>
  <c r="I909" i="4"/>
  <c r="I902" i="4"/>
  <c r="H766" i="4"/>
  <c r="I755" i="4"/>
  <c r="H730" i="4"/>
  <c r="H675" i="4"/>
  <c r="I647" i="4"/>
  <c r="H567" i="4"/>
  <c r="H537" i="4"/>
  <c r="I493" i="4"/>
  <c r="H429" i="4"/>
  <c r="H351" i="4"/>
  <c r="I331" i="4"/>
  <c r="I251" i="4"/>
  <c r="H243" i="4"/>
  <c r="H213" i="4"/>
  <c r="I169" i="4"/>
  <c r="H902" i="4"/>
  <c r="H910" i="4"/>
  <c r="H898" i="4"/>
  <c r="H764" i="4"/>
  <c r="H752" i="4"/>
  <c r="H674" i="4"/>
  <c r="H536" i="4"/>
  <c r="H488" i="4"/>
  <c r="H350" i="4"/>
  <c r="H326" i="4"/>
  <c r="H212" i="4"/>
  <c r="H164" i="4"/>
  <c r="I918" i="4"/>
  <c r="I879" i="4"/>
  <c r="I575" i="4"/>
  <c r="I912" i="4"/>
  <c r="I843" i="4"/>
  <c r="I925" i="4"/>
  <c r="I919" i="4"/>
  <c r="I913" i="4"/>
  <c r="I906" i="4"/>
  <c r="I900" i="4"/>
  <c r="H874" i="4"/>
  <c r="I871" i="4"/>
  <c r="H850" i="4"/>
  <c r="H826" i="4"/>
  <c r="I797" i="4"/>
  <c r="I779" i="4"/>
  <c r="H772" i="4"/>
  <c r="I743" i="4"/>
  <c r="H688" i="4"/>
  <c r="I671" i="4"/>
  <c r="H652" i="4"/>
  <c r="I634" i="4"/>
  <c r="H603" i="4"/>
  <c r="H580" i="4"/>
  <c r="H148" i="4"/>
  <c r="H142" i="4"/>
  <c r="H904" i="4"/>
  <c r="H802" i="4"/>
  <c r="H645" i="4"/>
  <c r="H459" i="4"/>
  <c r="H321" i="4"/>
  <c r="H135" i="4"/>
  <c r="I899" i="4"/>
  <c r="H644" i="4"/>
  <c r="H248" i="4"/>
  <c r="I898" i="4"/>
  <c r="I701" i="4"/>
  <c r="H911" i="4"/>
  <c r="H922" i="4"/>
  <c r="I924" i="4"/>
  <c r="I880" i="4"/>
  <c r="I881" i="4"/>
  <c r="I882" i="4"/>
  <c r="I884" i="4"/>
  <c r="I856" i="4"/>
  <c r="I857" i="4"/>
  <c r="I858" i="4"/>
  <c r="I860" i="4"/>
  <c r="I832" i="4"/>
  <c r="I833" i="4"/>
  <c r="I834" i="4"/>
  <c r="I836" i="4"/>
  <c r="I808" i="4"/>
  <c r="I809" i="4"/>
  <c r="I810" i="4"/>
  <c r="I812" i="4"/>
  <c r="H807" i="4"/>
  <c r="I787" i="4"/>
  <c r="I788" i="4"/>
  <c r="I784" i="4"/>
  <c r="I785" i="4"/>
  <c r="I786" i="4"/>
  <c r="I783" i="4"/>
  <c r="H783" i="4"/>
  <c r="I763" i="4"/>
  <c r="I764" i="4"/>
  <c r="I759" i="4"/>
  <c r="I760" i="4"/>
  <c r="I762" i="4"/>
  <c r="H759" i="4"/>
  <c r="I739" i="4"/>
  <c r="I740" i="4"/>
  <c r="I738" i="4"/>
  <c r="I735" i="4"/>
  <c r="I736" i="4"/>
  <c r="H735" i="4"/>
  <c r="I715" i="4"/>
  <c r="I716" i="4"/>
  <c r="I712" i="4"/>
  <c r="H713" i="4"/>
  <c r="I713" i="4"/>
  <c r="I714" i="4"/>
  <c r="H712" i="4"/>
  <c r="I711" i="4"/>
  <c r="I685" i="4"/>
  <c r="I686" i="4"/>
  <c r="I684" i="4"/>
  <c r="H683" i="4"/>
  <c r="I681" i="4"/>
  <c r="I682" i="4"/>
  <c r="I667" i="4"/>
  <c r="I668" i="4"/>
  <c r="I666" i="4"/>
  <c r="H665" i="4"/>
  <c r="H663" i="4"/>
  <c r="I663" i="4"/>
  <c r="H664" i="4"/>
  <c r="I664" i="4"/>
  <c r="I643" i="4"/>
  <c r="I644" i="4"/>
  <c r="I640" i="4"/>
  <c r="H641" i="4"/>
  <c r="I641" i="4"/>
  <c r="I642" i="4"/>
  <c r="H640" i="4"/>
  <c r="I639" i="4"/>
  <c r="I632" i="4"/>
  <c r="I629" i="4"/>
  <c r="I630" i="4"/>
  <c r="I628" i="4"/>
  <c r="H629" i="4"/>
  <c r="I631" i="4"/>
  <c r="H627" i="4"/>
  <c r="H628" i="4"/>
  <c r="I620" i="4"/>
  <c r="I615" i="4"/>
  <c r="I616" i="4"/>
  <c r="I618" i="4"/>
  <c r="H617" i="4"/>
  <c r="I619" i="4"/>
  <c r="I617" i="4"/>
  <c r="H615" i="4"/>
  <c r="I602" i="4"/>
  <c r="I597" i="4"/>
  <c r="I598" i="4"/>
  <c r="H599" i="4"/>
  <c r="H597" i="4"/>
  <c r="H598" i="4"/>
  <c r="I599" i="4"/>
  <c r="I600" i="4"/>
  <c r="I590" i="4"/>
  <c r="I585" i="4"/>
  <c r="I587" i="4"/>
  <c r="I588" i="4"/>
  <c r="H587" i="4"/>
  <c r="I586" i="4"/>
  <c r="I589" i="4"/>
  <c r="H585" i="4"/>
  <c r="H586" i="4"/>
  <c r="I578" i="4"/>
  <c r="I573" i="4"/>
  <c r="I577" i="4"/>
  <c r="I576" i="4"/>
  <c r="H575" i="4"/>
  <c r="I574" i="4"/>
  <c r="I566" i="4"/>
  <c r="I561" i="4"/>
  <c r="I562" i="4"/>
  <c r="I564" i="4"/>
  <c r="H563" i="4"/>
  <c r="I565" i="4"/>
  <c r="H561" i="4"/>
  <c r="I563" i="4"/>
  <c r="H562" i="4"/>
  <c r="I560" i="4"/>
  <c r="I555" i="4"/>
  <c r="I559" i="4"/>
  <c r="H557" i="4"/>
  <c r="I556" i="4"/>
  <c r="I558" i="4"/>
  <c r="H555" i="4"/>
  <c r="H556" i="4"/>
  <c r="I548" i="4"/>
  <c r="I543" i="4"/>
  <c r="I544" i="4"/>
  <c r="H545" i="4"/>
  <c r="I545" i="4"/>
  <c r="I546" i="4"/>
  <c r="H543" i="4"/>
  <c r="I542" i="4"/>
  <c r="I537" i="4"/>
  <c r="I541" i="4"/>
  <c r="I538" i="4"/>
  <c r="H539" i="4"/>
  <c r="I539" i="4"/>
  <c r="I540" i="4"/>
  <c r="I536" i="4"/>
  <c r="I531" i="4"/>
  <c r="I533" i="4"/>
  <c r="I534" i="4"/>
  <c r="H533" i="4"/>
  <c r="I532" i="4"/>
  <c r="H532" i="4"/>
  <c r="I535" i="4"/>
  <c r="I530" i="4"/>
  <c r="I525" i="4"/>
  <c r="I526" i="4"/>
  <c r="H527" i="4"/>
  <c r="I527" i="4"/>
  <c r="I528" i="4"/>
  <c r="H525" i="4"/>
  <c r="H526" i="4"/>
  <c r="I524" i="4"/>
  <c r="I519" i="4"/>
  <c r="I523" i="4"/>
  <c r="I522" i="4"/>
  <c r="H521" i="4"/>
  <c r="H519" i="4"/>
  <c r="H520" i="4"/>
  <c r="I520" i="4"/>
  <c r="I518" i="4"/>
  <c r="I513" i="4"/>
  <c r="I515" i="4"/>
  <c r="I516" i="4"/>
  <c r="H515" i="4"/>
  <c r="I514" i="4"/>
  <c r="I517" i="4"/>
  <c r="H513" i="4"/>
  <c r="H514" i="4"/>
  <c r="I512" i="4"/>
  <c r="I507" i="4"/>
  <c r="I508" i="4"/>
  <c r="I510" i="4"/>
  <c r="H509" i="4"/>
  <c r="I511" i="4"/>
  <c r="I509" i="4"/>
  <c r="H507" i="4"/>
  <c r="I506" i="4"/>
  <c r="I501" i="4"/>
  <c r="I505" i="4"/>
  <c r="H503" i="4"/>
  <c r="I502" i="4"/>
  <c r="I504" i="4"/>
  <c r="I500" i="4"/>
  <c r="I495" i="4"/>
  <c r="I497" i="4"/>
  <c r="I498" i="4"/>
  <c r="I496" i="4"/>
  <c r="H497" i="4"/>
  <c r="I499" i="4"/>
  <c r="H496" i="4"/>
  <c r="I494" i="4"/>
  <c r="I489" i="4"/>
  <c r="I490" i="4"/>
  <c r="H491" i="4"/>
  <c r="H489" i="4"/>
  <c r="H490" i="4"/>
  <c r="I491" i="4"/>
  <c r="I492" i="4"/>
  <c r="I488" i="4"/>
  <c r="I483" i="4"/>
  <c r="I487" i="4"/>
  <c r="I484" i="4"/>
  <c r="H485" i="4"/>
  <c r="I485" i="4"/>
  <c r="I486" i="4"/>
  <c r="H483" i="4"/>
  <c r="H484" i="4"/>
  <c r="I482" i="4"/>
  <c r="I477" i="4"/>
  <c r="I479" i="4"/>
  <c r="I480" i="4"/>
  <c r="H479" i="4"/>
  <c r="I478" i="4"/>
  <c r="I481" i="4"/>
  <c r="H477" i="4"/>
  <c r="H478" i="4"/>
  <c r="I476" i="4"/>
  <c r="I471" i="4"/>
  <c r="I472" i="4"/>
  <c r="H473" i="4"/>
  <c r="I473" i="4"/>
  <c r="I474" i="4"/>
  <c r="H471" i="4"/>
  <c r="I470" i="4"/>
  <c r="I465" i="4"/>
  <c r="I469" i="4"/>
  <c r="I468" i="4"/>
  <c r="H467" i="4"/>
  <c r="I466" i="4"/>
  <c r="I464" i="4"/>
  <c r="I459" i="4"/>
  <c r="I461" i="4"/>
  <c r="I462" i="4"/>
  <c r="H461" i="4"/>
  <c r="I460" i="4"/>
  <c r="H460" i="4"/>
  <c r="I463" i="4"/>
  <c r="I458" i="4"/>
  <c r="I453" i="4"/>
  <c r="I454" i="4"/>
  <c r="I456" i="4"/>
  <c r="H455" i="4"/>
  <c r="I457" i="4"/>
  <c r="H453" i="4"/>
  <c r="I455" i="4"/>
  <c r="H454" i="4"/>
  <c r="I452" i="4"/>
  <c r="I447" i="4"/>
  <c r="I451" i="4"/>
  <c r="H449" i="4"/>
  <c r="I448" i="4"/>
  <c r="I450" i="4"/>
  <c r="H447" i="4"/>
  <c r="H448" i="4"/>
  <c r="I446" i="4"/>
  <c r="I441" i="4"/>
  <c r="I443" i="4"/>
  <c r="I444" i="4"/>
  <c r="I442" i="4"/>
  <c r="H443" i="4"/>
  <c r="I445" i="4"/>
  <c r="H441" i="4"/>
  <c r="H442" i="4"/>
  <c r="I440" i="4"/>
  <c r="I435" i="4"/>
  <c r="I436" i="4"/>
  <c r="H437" i="4"/>
  <c r="I437" i="4"/>
  <c r="I438" i="4"/>
  <c r="H435" i="4"/>
  <c r="I434" i="4"/>
  <c r="I429" i="4"/>
  <c r="I433" i="4"/>
  <c r="I430" i="4"/>
  <c r="H431" i="4"/>
  <c r="I431" i="4"/>
  <c r="I432" i="4"/>
  <c r="I428" i="4"/>
  <c r="I423" i="4"/>
  <c r="I425" i="4"/>
  <c r="I426" i="4"/>
  <c r="H425" i="4"/>
  <c r="I424" i="4"/>
  <c r="H424" i="4"/>
  <c r="I427" i="4"/>
  <c r="I422" i="4"/>
  <c r="I417" i="4"/>
  <c r="I418" i="4"/>
  <c r="H419" i="4"/>
  <c r="I419" i="4"/>
  <c r="I420" i="4"/>
  <c r="H417" i="4"/>
  <c r="H418" i="4"/>
  <c r="I416" i="4"/>
  <c r="I411" i="4"/>
  <c r="I415" i="4"/>
  <c r="I414" i="4"/>
  <c r="H413" i="4"/>
  <c r="H411" i="4"/>
  <c r="H412" i="4"/>
  <c r="I412" i="4"/>
  <c r="I410" i="4"/>
  <c r="I405" i="4"/>
  <c r="I407" i="4"/>
  <c r="I408" i="4"/>
  <c r="H407" i="4"/>
  <c r="I406" i="4"/>
  <c r="I409" i="4"/>
  <c r="H405" i="4"/>
  <c r="H406" i="4"/>
  <c r="I404" i="4"/>
  <c r="I399" i="4"/>
  <c r="I400" i="4"/>
  <c r="I402" i="4"/>
  <c r="H401" i="4"/>
  <c r="I403" i="4"/>
  <c r="I401" i="4"/>
  <c r="H399" i="4"/>
  <c r="I398" i="4"/>
  <c r="I393" i="4"/>
  <c r="I397" i="4"/>
  <c r="H395" i="4"/>
  <c r="I394" i="4"/>
  <c r="I396" i="4"/>
  <c r="I392" i="4"/>
  <c r="I387" i="4"/>
  <c r="I389" i="4"/>
  <c r="I390" i="4"/>
  <c r="I388" i="4"/>
  <c r="H389" i="4"/>
  <c r="I391" i="4"/>
  <c r="H388" i="4"/>
  <c r="I386" i="4"/>
  <c r="I381" i="4"/>
  <c r="I382" i="4"/>
  <c r="H383" i="4"/>
  <c r="H381" i="4"/>
  <c r="H382" i="4"/>
  <c r="I383" i="4"/>
  <c r="I384" i="4"/>
  <c r="I380" i="4"/>
  <c r="I375" i="4"/>
  <c r="I379" i="4"/>
  <c r="I376" i="4"/>
  <c r="H377" i="4"/>
  <c r="I377" i="4"/>
  <c r="I378" i="4"/>
  <c r="H375" i="4"/>
  <c r="H376" i="4"/>
  <c r="I374" i="4"/>
  <c r="I369" i="4"/>
  <c r="I371" i="4"/>
  <c r="I372" i="4"/>
  <c r="H371" i="4"/>
  <c r="I370" i="4"/>
  <c r="I373" i="4"/>
  <c r="H369" i="4"/>
  <c r="H370" i="4"/>
  <c r="I368" i="4"/>
  <c r="I363" i="4"/>
  <c r="I364" i="4"/>
  <c r="H365" i="4"/>
  <c r="I365" i="4"/>
  <c r="I366" i="4"/>
  <c r="H363" i="4"/>
  <c r="I362" i="4"/>
  <c r="I357" i="4"/>
  <c r="I361" i="4"/>
  <c r="I360" i="4"/>
  <c r="H359" i="4"/>
  <c r="I358" i="4"/>
  <c r="I356" i="4"/>
  <c r="I351" i="4"/>
  <c r="I353" i="4"/>
  <c r="I354" i="4"/>
  <c r="H353" i="4"/>
  <c r="I352" i="4"/>
  <c r="H352" i="4"/>
  <c r="I355" i="4"/>
  <c r="I350" i="4"/>
  <c r="I345" i="4"/>
  <c r="I346" i="4"/>
  <c r="I348" i="4"/>
  <c r="H347" i="4"/>
  <c r="I349" i="4"/>
  <c r="H345" i="4"/>
  <c r="I347" i="4"/>
  <c r="H346" i="4"/>
  <c r="I344" i="4"/>
  <c r="I339" i="4"/>
  <c r="I343" i="4"/>
  <c r="H341" i="4"/>
  <c r="I340" i="4"/>
  <c r="I342" i="4"/>
  <c r="H339" i="4"/>
  <c r="H340" i="4"/>
  <c r="I338" i="4"/>
  <c r="I333" i="4"/>
  <c r="I335" i="4"/>
  <c r="I336" i="4"/>
  <c r="I334" i="4"/>
  <c r="H335" i="4"/>
  <c r="I337" i="4"/>
  <c r="H333" i="4"/>
  <c r="H334" i="4"/>
  <c r="I332" i="4"/>
  <c r="I327" i="4"/>
  <c r="I328" i="4"/>
  <c r="H329" i="4"/>
  <c r="I329" i="4"/>
  <c r="I330" i="4"/>
  <c r="H327" i="4"/>
  <c r="I326" i="4"/>
  <c r="I321" i="4"/>
  <c r="I325" i="4"/>
  <c r="I322" i="4"/>
  <c r="H323" i="4"/>
  <c r="I323" i="4"/>
  <c r="I324" i="4"/>
  <c r="I320" i="4"/>
  <c r="I315" i="4"/>
  <c r="I317" i="4"/>
  <c r="I318" i="4"/>
  <c r="H317" i="4"/>
  <c r="I316" i="4"/>
  <c r="H316" i="4"/>
  <c r="I319" i="4"/>
  <c r="I314" i="4"/>
  <c r="I309" i="4"/>
  <c r="I310" i="4"/>
  <c r="H311" i="4"/>
  <c r="I311" i="4"/>
  <c r="I312" i="4"/>
  <c r="H309" i="4"/>
  <c r="H310" i="4"/>
  <c r="I308" i="4"/>
  <c r="I303" i="4"/>
  <c r="I307" i="4"/>
  <c r="I306" i="4"/>
  <c r="H305" i="4"/>
  <c r="H303" i="4"/>
  <c r="H304" i="4"/>
  <c r="I304" i="4"/>
  <c r="I302" i="4"/>
  <c r="I297" i="4"/>
  <c r="I299" i="4"/>
  <c r="I300" i="4"/>
  <c r="H299" i="4"/>
  <c r="I298" i="4"/>
  <c r="I301" i="4"/>
  <c r="H297" i="4"/>
  <c r="H298" i="4"/>
  <c r="I296" i="4"/>
  <c r="I291" i="4"/>
  <c r="I292" i="4"/>
  <c r="I294" i="4"/>
  <c r="H293" i="4"/>
  <c r="I295" i="4"/>
  <c r="I293" i="4"/>
  <c r="H291" i="4"/>
  <c r="I290" i="4"/>
  <c r="I285" i="4"/>
  <c r="I289" i="4"/>
  <c r="H287" i="4"/>
  <c r="I286" i="4"/>
  <c r="I288" i="4"/>
  <c r="I284" i="4"/>
  <c r="I279" i="4"/>
  <c r="I281" i="4"/>
  <c r="I282" i="4"/>
  <c r="I280" i="4"/>
  <c r="H281" i="4"/>
  <c r="I283" i="4"/>
  <c r="H280" i="4"/>
  <c r="I278" i="4"/>
  <c r="I273" i="4"/>
  <c r="I274" i="4"/>
  <c r="H275" i="4"/>
  <c r="H273" i="4"/>
  <c r="H274" i="4"/>
  <c r="I275" i="4"/>
  <c r="I276" i="4"/>
  <c r="I272" i="4"/>
  <c r="I267" i="4"/>
  <c r="I271" i="4"/>
  <c r="I268" i="4"/>
  <c r="H269" i="4"/>
  <c r="I269" i="4"/>
  <c r="I270" i="4"/>
  <c r="H267" i="4"/>
  <c r="H268" i="4"/>
  <c r="I266" i="4"/>
  <c r="I261" i="4"/>
  <c r="I263" i="4"/>
  <c r="I264" i="4"/>
  <c r="H263" i="4"/>
  <c r="I262" i="4"/>
  <c r="I265" i="4"/>
  <c r="H261" i="4"/>
  <c r="H262" i="4"/>
  <c r="I260" i="4"/>
  <c r="I255" i="4"/>
  <c r="I256" i="4"/>
  <c r="H257" i="4"/>
  <c r="I257" i="4"/>
  <c r="I258" i="4"/>
  <c r="H255" i="4"/>
  <c r="I254" i="4"/>
  <c r="I249" i="4"/>
  <c r="I253" i="4"/>
  <c r="I252" i="4"/>
  <c r="H251" i="4"/>
  <c r="I250" i="4"/>
  <c r="I248" i="4"/>
  <c r="I243" i="4"/>
  <c r="I245" i="4"/>
  <c r="I246" i="4"/>
  <c r="H245" i="4"/>
  <c r="I244" i="4"/>
  <c r="H244" i="4"/>
  <c r="I247" i="4"/>
  <c r="I242" i="4"/>
  <c r="I237" i="4"/>
  <c r="I238" i="4"/>
  <c r="I240" i="4"/>
  <c r="H239" i="4"/>
  <c r="I241" i="4"/>
  <c r="H237" i="4"/>
  <c r="I239" i="4"/>
  <c r="H238" i="4"/>
  <c r="I236" i="4"/>
  <c r="I231" i="4"/>
  <c r="I235" i="4"/>
  <c r="H233" i="4"/>
  <c r="I232" i="4"/>
  <c r="I234" i="4"/>
  <c r="H231" i="4"/>
  <c r="H232" i="4"/>
  <c r="I230" i="4"/>
  <c r="I225" i="4"/>
  <c r="I227" i="4"/>
  <c r="I228" i="4"/>
  <c r="I226" i="4"/>
  <c r="H227" i="4"/>
  <c r="I229" i="4"/>
  <c r="H225" i="4"/>
  <c r="H226" i="4"/>
  <c r="I224" i="4"/>
  <c r="I219" i="4"/>
  <c r="I220" i="4"/>
  <c r="H221" i="4"/>
  <c r="I221" i="4"/>
  <c r="I222" i="4"/>
  <c r="H219" i="4"/>
  <c r="I218" i="4"/>
  <c r="I213" i="4"/>
  <c r="I217" i="4"/>
  <c r="I214" i="4"/>
  <c r="H215" i="4"/>
  <c r="I215" i="4"/>
  <c r="I216" i="4"/>
  <c r="I212" i="4"/>
  <c r="I207" i="4"/>
  <c r="I209" i="4"/>
  <c r="I210" i="4"/>
  <c r="H209" i="4"/>
  <c r="I208" i="4"/>
  <c r="H208" i="4"/>
  <c r="I211" i="4"/>
  <c r="I206" i="4"/>
  <c r="I201" i="4"/>
  <c r="I202" i="4"/>
  <c r="H203" i="4"/>
  <c r="I203" i="4"/>
  <c r="I204" i="4"/>
  <c r="H201" i="4"/>
  <c r="H202" i="4"/>
  <c r="I200" i="4"/>
  <c r="I195" i="4"/>
  <c r="I199" i="4"/>
  <c r="I198" i="4"/>
  <c r="H197" i="4"/>
  <c r="H195" i="4"/>
  <c r="H196" i="4"/>
  <c r="I196" i="4"/>
  <c r="I194" i="4"/>
  <c r="I189" i="4"/>
  <c r="I191" i="4"/>
  <c r="I192" i="4"/>
  <c r="H191" i="4"/>
  <c r="I190" i="4"/>
  <c r="I193" i="4"/>
  <c r="H189" i="4"/>
  <c r="H190" i="4"/>
  <c r="I188" i="4"/>
  <c r="I183" i="4"/>
  <c r="I184" i="4"/>
  <c r="I186" i="4"/>
  <c r="H185" i="4"/>
  <c r="I187" i="4"/>
  <c r="I185" i="4"/>
  <c r="H183" i="4"/>
  <c r="I182" i="4"/>
  <c r="I177" i="4"/>
  <c r="I181" i="4"/>
  <c r="H179" i="4"/>
  <c r="I178" i="4"/>
  <c r="I180" i="4"/>
  <c r="I176" i="4"/>
  <c r="I171" i="4"/>
  <c r="I173" i="4"/>
  <c r="I174" i="4"/>
  <c r="I172" i="4"/>
  <c r="H173" i="4"/>
  <c r="I175" i="4"/>
  <c r="H172" i="4"/>
  <c r="I170" i="4"/>
  <c r="I165" i="4"/>
  <c r="I166" i="4"/>
  <c r="H167" i="4"/>
  <c r="H165" i="4"/>
  <c r="H166" i="4"/>
  <c r="I167" i="4"/>
  <c r="I168" i="4"/>
  <c r="I164" i="4"/>
  <c r="I159" i="4"/>
  <c r="I163" i="4"/>
  <c r="I160" i="4"/>
  <c r="H161" i="4"/>
  <c r="I161" i="4"/>
  <c r="I162" i="4"/>
  <c r="H159" i="4"/>
  <c r="H160" i="4"/>
  <c r="I134" i="4"/>
  <c r="I129" i="4"/>
  <c r="I130" i="4"/>
  <c r="I131" i="4"/>
  <c r="H131" i="4"/>
  <c r="I132" i="4"/>
  <c r="I133" i="4"/>
  <c r="H129" i="4"/>
  <c r="H130" i="4"/>
  <c r="H808" i="4"/>
  <c r="H779" i="4"/>
  <c r="H743" i="4"/>
  <c r="H736" i="4"/>
  <c r="H682" i="4"/>
  <c r="H574" i="4"/>
  <c r="H544" i="4"/>
  <c r="H466" i="4"/>
  <c r="H436" i="4"/>
  <c r="H358" i="4"/>
  <c r="H328" i="4"/>
  <c r="H250" i="4"/>
  <c r="H220" i="4"/>
  <c r="I835" i="4"/>
  <c r="I689" i="4"/>
  <c r="I557" i="4"/>
  <c r="I475" i="4"/>
  <c r="I395" i="4"/>
  <c r="I313" i="4"/>
  <c r="I233" i="4"/>
  <c r="I151" i="4"/>
  <c r="I892" i="4"/>
  <c r="I893" i="4"/>
  <c r="I894" i="4"/>
  <c r="I896" i="4"/>
  <c r="I868" i="4"/>
  <c r="I869" i="4"/>
  <c r="I870" i="4"/>
  <c r="I872" i="4"/>
  <c r="I838" i="4"/>
  <c r="I839" i="4"/>
  <c r="I840" i="4"/>
  <c r="I837" i="4"/>
  <c r="I841" i="4"/>
  <c r="I842" i="4"/>
  <c r="I814" i="4"/>
  <c r="I815" i="4"/>
  <c r="I816" i="4"/>
  <c r="I813" i="4"/>
  <c r="I817" i="4"/>
  <c r="I818" i="4"/>
  <c r="H813" i="4"/>
  <c r="I793" i="4"/>
  <c r="I794" i="4"/>
  <c r="I792" i="4"/>
  <c r="I789" i="4"/>
  <c r="I790" i="4"/>
  <c r="H789" i="4"/>
  <c r="I769" i="4"/>
  <c r="I770" i="4"/>
  <c r="I766" i="4"/>
  <c r="I767" i="4"/>
  <c r="I768" i="4"/>
  <c r="I765" i="4"/>
  <c r="H765" i="4"/>
  <c r="I745" i="4"/>
  <c r="I746" i="4"/>
  <c r="I741" i="4"/>
  <c r="I742" i="4"/>
  <c r="I744" i="4"/>
  <c r="H741" i="4"/>
  <c r="I721" i="4"/>
  <c r="I722" i="4"/>
  <c r="I720" i="4"/>
  <c r="H719" i="4"/>
  <c r="I717" i="4"/>
  <c r="I718" i="4"/>
  <c r="I697" i="4"/>
  <c r="I698" i="4"/>
  <c r="I694" i="4"/>
  <c r="H695" i="4"/>
  <c r="I695" i="4"/>
  <c r="I696" i="4"/>
  <c r="I693" i="4"/>
  <c r="H693" i="4"/>
  <c r="H694" i="4"/>
  <c r="I649" i="4"/>
  <c r="I650" i="4"/>
  <c r="I648" i="4"/>
  <c r="H647" i="4"/>
  <c r="I645" i="4"/>
  <c r="I646" i="4"/>
  <c r="I146" i="4"/>
  <c r="I141" i="4"/>
  <c r="I145" i="4"/>
  <c r="I144" i="4"/>
  <c r="H143" i="4"/>
  <c r="I142" i="4"/>
  <c r="H893" i="4"/>
  <c r="H881" i="4"/>
  <c r="H875" i="4"/>
  <c r="H869" i="4"/>
  <c r="H857" i="4"/>
  <c r="H851" i="4"/>
  <c r="H839" i="4"/>
  <c r="H833" i="4"/>
  <c r="H827" i="4"/>
  <c r="H814" i="4"/>
  <c r="H785" i="4"/>
  <c r="H778" i="4"/>
  <c r="H742" i="4"/>
  <c r="H711" i="4"/>
  <c r="H681" i="4"/>
  <c r="H573" i="4"/>
  <c r="H495" i="4"/>
  <c r="H465" i="4"/>
  <c r="H387" i="4"/>
  <c r="H357" i="4"/>
  <c r="H279" i="4"/>
  <c r="H249" i="4"/>
  <c r="H171" i="4"/>
  <c r="H141" i="4"/>
  <c r="I867" i="4"/>
  <c r="I831" i="4"/>
  <c r="I791" i="4"/>
  <c r="I737" i="4"/>
  <c r="I683" i="4"/>
  <c r="I627" i="4"/>
  <c r="I547" i="4"/>
  <c r="I467" i="4"/>
  <c r="I385" i="4"/>
  <c r="I305" i="4"/>
  <c r="I223" i="4"/>
  <c r="I143" i="4"/>
  <c r="I886" i="4"/>
  <c r="I887" i="4"/>
  <c r="I888" i="4"/>
  <c r="I885" i="4"/>
  <c r="I889" i="4"/>
  <c r="I890" i="4"/>
  <c r="I862" i="4"/>
  <c r="I863" i="4"/>
  <c r="I864" i="4"/>
  <c r="I861" i="4"/>
  <c r="I865" i="4"/>
  <c r="I866" i="4"/>
  <c r="I844" i="4"/>
  <c r="I845" i="4"/>
  <c r="I846" i="4"/>
  <c r="I848" i="4"/>
  <c r="I820" i="4"/>
  <c r="I821" i="4"/>
  <c r="I822" i="4"/>
  <c r="I824" i="4"/>
  <c r="H819" i="4"/>
  <c r="I799" i="4"/>
  <c r="I800" i="4"/>
  <c r="I795" i="4"/>
  <c r="I796" i="4"/>
  <c r="I798" i="4"/>
  <c r="H795" i="4"/>
  <c r="I775" i="4"/>
  <c r="I776" i="4"/>
  <c r="I774" i="4"/>
  <c r="I771" i="4"/>
  <c r="I772" i="4"/>
  <c r="H771" i="4"/>
  <c r="I751" i="4"/>
  <c r="I752" i="4"/>
  <c r="I748" i="4"/>
  <c r="I749" i="4"/>
  <c r="I750" i="4"/>
  <c r="I747" i="4"/>
  <c r="H747" i="4"/>
  <c r="I727" i="4"/>
  <c r="I728" i="4"/>
  <c r="I723" i="4"/>
  <c r="I724" i="4"/>
  <c r="I726" i="4"/>
  <c r="H723" i="4"/>
  <c r="I703" i="4"/>
  <c r="I704" i="4"/>
  <c r="I702" i="4"/>
  <c r="H701" i="4"/>
  <c r="H699" i="4"/>
  <c r="I699" i="4"/>
  <c r="H700" i="4"/>
  <c r="I700" i="4"/>
  <c r="I679" i="4"/>
  <c r="I680" i="4"/>
  <c r="I676" i="4"/>
  <c r="H677" i="4"/>
  <c r="I677" i="4"/>
  <c r="I678" i="4"/>
  <c r="H676" i="4"/>
  <c r="I675" i="4"/>
  <c r="I661" i="4"/>
  <c r="I662" i="4"/>
  <c r="I658" i="4"/>
  <c r="H659" i="4"/>
  <c r="I659" i="4"/>
  <c r="I660" i="4"/>
  <c r="I657" i="4"/>
  <c r="H657" i="4"/>
  <c r="H658" i="4"/>
  <c r="I614" i="4"/>
  <c r="I609" i="4"/>
  <c r="I613" i="4"/>
  <c r="H611" i="4"/>
  <c r="I610" i="4"/>
  <c r="I612" i="4"/>
  <c r="I140" i="4"/>
  <c r="I135" i="4"/>
  <c r="I137" i="4"/>
  <c r="I138" i="4"/>
  <c r="I139" i="4"/>
  <c r="H137" i="4"/>
  <c r="H136" i="4"/>
  <c r="I136" i="4"/>
  <c r="H892" i="4"/>
  <c r="H886" i="4"/>
  <c r="H880" i="4"/>
  <c r="H868" i="4"/>
  <c r="H862" i="4"/>
  <c r="H856" i="4"/>
  <c r="H844" i="4"/>
  <c r="H838" i="4"/>
  <c r="H832" i="4"/>
  <c r="H820" i="4"/>
  <c r="H791" i="4"/>
  <c r="H784" i="4"/>
  <c r="H748" i="4"/>
  <c r="H718" i="4"/>
  <c r="H610" i="4"/>
  <c r="H502" i="4"/>
  <c r="H472" i="4"/>
  <c r="H394" i="4"/>
  <c r="H364" i="4"/>
  <c r="H286" i="4"/>
  <c r="H256" i="4"/>
  <c r="H178" i="4"/>
  <c r="I895" i="4"/>
  <c r="I859" i="4"/>
  <c r="I823" i="4"/>
  <c r="I725" i="4"/>
  <c r="I611" i="4"/>
  <c r="I529" i="4"/>
  <c r="I449" i="4"/>
  <c r="I367" i="4"/>
  <c r="I287" i="4"/>
  <c r="I205" i="4"/>
  <c r="I874" i="4"/>
  <c r="I875" i="4"/>
  <c r="I876" i="4"/>
  <c r="I873" i="4"/>
  <c r="I877" i="4"/>
  <c r="I878" i="4"/>
  <c r="I850" i="4"/>
  <c r="I851" i="4"/>
  <c r="I852" i="4"/>
  <c r="I849" i="4"/>
  <c r="I853" i="4"/>
  <c r="I854" i="4"/>
  <c r="I826" i="4"/>
  <c r="I827" i="4"/>
  <c r="I828" i="4"/>
  <c r="I825" i="4"/>
  <c r="I829" i="4"/>
  <c r="I830" i="4"/>
  <c r="I802" i="4"/>
  <c r="I803" i="4"/>
  <c r="I804" i="4"/>
  <c r="I801" i="4"/>
  <c r="I805" i="4"/>
  <c r="I806" i="4"/>
  <c r="H801" i="4"/>
  <c r="I781" i="4"/>
  <c r="I782" i="4"/>
  <c r="I777" i="4"/>
  <c r="I778" i="4"/>
  <c r="I780" i="4"/>
  <c r="H777" i="4"/>
  <c r="I757" i="4"/>
  <c r="I758" i="4"/>
  <c r="I756" i="4"/>
  <c r="I753" i="4"/>
  <c r="I754" i="4"/>
  <c r="H753" i="4"/>
  <c r="I733" i="4"/>
  <c r="I734" i="4"/>
  <c r="I730" i="4"/>
  <c r="I731" i="4"/>
  <c r="I732" i="4"/>
  <c r="I729" i="4"/>
  <c r="H729" i="4"/>
  <c r="I709" i="4"/>
  <c r="I710" i="4"/>
  <c r="H707" i="4"/>
  <c r="I705" i="4"/>
  <c r="I706" i="4"/>
  <c r="I708" i="4"/>
  <c r="H705" i="4"/>
  <c r="H706" i="4"/>
  <c r="I691" i="4"/>
  <c r="I692" i="4"/>
  <c r="H689" i="4"/>
  <c r="I687" i="4"/>
  <c r="I688" i="4"/>
  <c r="I690" i="4"/>
  <c r="H687" i="4"/>
  <c r="I673" i="4"/>
  <c r="I674" i="4"/>
  <c r="H671" i="4"/>
  <c r="I669" i="4"/>
  <c r="I670" i="4"/>
  <c r="I672" i="4"/>
  <c r="H669" i="4"/>
  <c r="H670" i="4"/>
  <c r="I655" i="4"/>
  <c r="I656" i="4"/>
  <c r="H653" i="4"/>
  <c r="I651" i="4"/>
  <c r="I652" i="4"/>
  <c r="I654" i="4"/>
  <c r="H651" i="4"/>
  <c r="I638" i="4"/>
  <c r="I636" i="4"/>
  <c r="I637" i="4"/>
  <c r="H635" i="4"/>
  <c r="I633" i="4"/>
  <c r="I635" i="4"/>
  <c r="H633" i="4"/>
  <c r="H634" i="4"/>
  <c r="I626" i="4"/>
  <c r="I622" i="4"/>
  <c r="I623" i="4"/>
  <c r="H623" i="4"/>
  <c r="I621" i="4"/>
  <c r="I624" i="4"/>
  <c r="H621" i="4"/>
  <c r="I625" i="4"/>
  <c r="H622" i="4"/>
  <c r="I608" i="4"/>
  <c r="I603" i="4"/>
  <c r="I605" i="4"/>
  <c r="I606" i="4"/>
  <c r="I604" i="4"/>
  <c r="H605" i="4"/>
  <c r="I607" i="4"/>
  <c r="H604" i="4"/>
  <c r="I596" i="4"/>
  <c r="I591" i="4"/>
  <c r="I595" i="4"/>
  <c r="I592" i="4"/>
  <c r="H593" i="4"/>
  <c r="I593" i="4"/>
  <c r="I594" i="4"/>
  <c r="H591" i="4"/>
  <c r="H592" i="4"/>
  <c r="I584" i="4"/>
  <c r="I579" i="4"/>
  <c r="I580" i="4"/>
  <c r="H581" i="4"/>
  <c r="I581" i="4"/>
  <c r="I582" i="4"/>
  <c r="H579" i="4"/>
  <c r="I572" i="4"/>
  <c r="I567" i="4"/>
  <c r="I569" i="4"/>
  <c r="I570" i="4"/>
  <c r="H569" i="4"/>
  <c r="I568" i="4"/>
  <c r="H568" i="4"/>
  <c r="I571" i="4"/>
  <c r="I554" i="4"/>
  <c r="I549" i="4"/>
  <c r="I551" i="4"/>
  <c r="I552" i="4"/>
  <c r="I550" i="4"/>
  <c r="H551" i="4"/>
  <c r="I553" i="4"/>
  <c r="H549" i="4"/>
  <c r="H550" i="4"/>
  <c r="I152" i="4"/>
  <c r="I147" i="4"/>
  <c r="I148" i="4"/>
  <c r="H149" i="4"/>
  <c r="I149" i="4"/>
  <c r="I150" i="4"/>
  <c r="H147" i="4"/>
  <c r="H891" i="4"/>
  <c r="H885" i="4"/>
  <c r="H879" i="4"/>
  <c r="H873" i="4"/>
  <c r="H867" i="4"/>
  <c r="H861" i="4"/>
  <c r="H855" i="4"/>
  <c r="H849" i="4"/>
  <c r="H843" i="4"/>
  <c r="H837" i="4"/>
  <c r="H831" i="4"/>
  <c r="H825" i="4"/>
  <c r="H797" i="4"/>
  <c r="H790" i="4"/>
  <c r="H761" i="4"/>
  <c r="H754" i="4"/>
  <c r="H725" i="4"/>
  <c r="H717" i="4"/>
  <c r="H639" i="4"/>
  <c r="H609" i="4"/>
  <c r="H531" i="4"/>
  <c r="H501" i="4"/>
  <c r="H423" i="4"/>
  <c r="H393" i="4"/>
  <c r="H315" i="4"/>
  <c r="H285" i="4"/>
  <c r="H207" i="4"/>
  <c r="H177" i="4"/>
  <c r="I891" i="4"/>
  <c r="I855" i="4"/>
  <c r="I819" i="4"/>
  <c r="I773" i="4"/>
  <c r="I719" i="4"/>
  <c r="I665" i="4"/>
  <c r="I601" i="4"/>
  <c r="I521" i="4"/>
  <c r="I439" i="4"/>
  <c r="I359" i="4"/>
  <c r="I277" i="4"/>
  <c r="I197" i="4"/>
  <c r="I158" i="4"/>
  <c r="I153" i="4"/>
  <c r="I155" i="4"/>
  <c r="I156" i="4"/>
  <c r="H155" i="4"/>
  <c r="I154" i="4"/>
  <c r="I157" i="4"/>
  <c r="H153" i="4"/>
  <c r="H154" i="4"/>
  <c r="H803" i="4"/>
  <c r="H796" i="4"/>
  <c r="H767" i="4"/>
  <c r="H760" i="4"/>
  <c r="H731" i="4"/>
  <c r="H724" i="4"/>
  <c r="H646" i="4"/>
  <c r="H616" i="4"/>
  <c r="H538" i="4"/>
  <c r="H508" i="4"/>
  <c r="H430" i="4"/>
  <c r="H400" i="4"/>
  <c r="H322" i="4"/>
  <c r="H292" i="4"/>
  <c r="H214" i="4"/>
  <c r="H184" i="4"/>
  <c r="I883" i="4"/>
  <c r="I847" i="4"/>
  <c r="I811" i="4"/>
  <c r="I761" i="4"/>
  <c r="I707" i="4"/>
  <c r="I653" i="4"/>
  <c r="I583" i="4"/>
  <c r="I503" i="4"/>
  <c r="I421" i="4"/>
  <c r="I341" i="4"/>
  <c r="I259" i="4"/>
  <c r="I179" i="4"/>
  <c r="H925" i="4"/>
  <c r="H919" i="4"/>
  <c r="H913" i="4"/>
  <c r="I923" i="4"/>
  <c r="I917" i="4"/>
  <c r="I911" i="4"/>
  <c r="I904" i="4"/>
  <c r="H924" i="4"/>
  <c r="H918" i="4"/>
  <c r="H907" i="4"/>
  <c r="I922" i="4"/>
  <c r="I916" i="4"/>
  <c r="I910" i="4"/>
  <c r="I903" i="4"/>
  <c r="H901" i="4"/>
  <c r="H917" i="4"/>
  <c r="I907" i="4"/>
  <c r="H906" i="4"/>
  <c r="H900" i="4"/>
  <c r="I926" i="4"/>
  <c r="I920" i="4"/>
  <c r="I914" i="4"/>
  <c r="I908" i="4"/>
  <c r="I901" i="4"/>
  <c r="H905" i="4"/>
  <c r="H899" i="4"/>
  <c r="H912" i="4"/>
  <c r="AA895" i="4"/>
  <c r="AA889" i="4"/>
  <c r="AA883" i="4"/>
  <c r="AA877" i="4"/>
  <c r="AA871" i="4"/>
  <c r="AA865" i="4"/>
  <c r="AA859" i="4"/>
  <c r="AA853" i="4"/>
  <c r="AA847" i="4"/>
  <c r="AA841" i="4"/>
  <c r="AA835" i="4"/>
  <c r="AA829" i="4"/>
  <c r="AA823" i="4"/>
  <c r="AA817" i="4"/>
  <c r="AA811" i="4"/>
  <c r="AA805" i="4"/>
  <c r="AA799" i="4"/>
  <c r="AA793" i="4"/>
  <c r="AA787" i="4"/>
  <c r="AA781" i="4"/>
  <c r="AA775" i="4"/>
  <c r="AA769" i="4"/>
  <c r="AA763" i="4"/>
  <c r="AA757" i="4"/>
  <c r="AA745" i="4"/>
  <c r="AA739" i="4"/>
  <c r="AA733" i="4"/>
  <c r="AA727" i="4"/>
  <c r="AA721" i="4"/>
  <c r="AA715" i="4"/>
  <c r="AA709" i="4"/>
  <c r="AA703" i="4"/>
  <c r="AA697" i="4"/>
  <c r="AA691" i="4"/>
  <c r="AA685" i="4"/>
  <c r="AA679" i="4"/>
  <c r="AA673" i="4"/>
  <c r="AA667" i="4"/>
  <c r="AA661" i="4"/>
  <c r="AA655" i="4"/>
  <c r="AA649" i="4"/>
  <c r="AA637" i="4"/>
  <c r="AA631" i="4"/>
  <c r="AA625" i="4"/>
  <c r="AA619" i="4"/>
  <c r="AA613" i="4"/>
  <c r="AA607" i="4"/>
  <c r="AA601" i="4"/>
  <c r="AA595" i="4"/>
  <c r="AA589" i="4"/>
  <c r="AA583" i="4"/>
  <c r="AA577" i="4"/>
  <c r="AA571" i="4"/>
  <c r="AA565" i="4"/>
  <c r="AA559" i="4"/>
  <c r="AA553" i="4"/>
  <c r="AA547" i="4"/>
  <c r="AA541" i="4"/>
  <c r="AA529" i="4"/>
  <c r="AA523" i="4"/>
  <c r="AA517" i="4"/>
  <c r="AA511" i="4"/>
  <c r="AA505" i="4"/>
  <c r="AA499" i="4"/>
  <c r="AA493" i="4"/>
  <c r="AA487" i="4"/>
  <c r="AA481" i="4"/>
  <c r="AA475" i="4"/>
  <c r="AA469" i="4"/>
  <c r="AA463" i="4"/>
  <c r="AA457" i="4"/>
  <c r="AA451" i="4"/>
  <c r="AA445" i="4"/>
  <c r="AA439" i="4"/>
  <c r="AA433" i="4"/>
  <c r="AA427" i="4"/>
  <c r="AA421" i="4"/>
  <c r="AA415" i="4"/>
  <c r="AA409" i="4"/>
  <c r="AA403" i="4"/>
  <c r="AA397" i="4"/>
  <c r="AA391" i="4"/>
  <c r="AA385" i="4"/>
  <c r="AA379" i="4"/>
  <c r="AA373" i="4"/>
  <c r="AA367" i="4"/>
  <c r="AA361" i="4"/>
  <c r="AA355" i="4"/>
  <c r="AA349" i="4"/>
  <c r="AA343" i="4"/>
  <c r="AA337" i="4"/>
  <c r="AA331" i="4"/>
  <c r="AA325" i="4"/>
  <c r="AA319" i="4"/>
  <c r="AA313" i="4"/>
  <c r="AA307" i="4"/>
  <c r="AA301" i="4"/>
  <c r="AA295" i="4"/>
  <c r="AA289" i="4"/>
  <c r="AA283" i="4"/>
  <c r="AA277" i="4"/>
  <c r="AA271" i="4"/>
  <c r="AA265" i="4"/>
  <c r="AA259" i="4"/>
  <c r="AA253" i="4"/>
  <c r="AA247" i="4"/>
  <c r="AA241" i="4"/>
  <c r="AA235" i="4"/>
  <c r="AA229" i="4"/>
  <c r="AA223" i="4"/>
  <c r="AA217" i="4"/>
  <c r="AA211" i="4"/>
  <c r="AA205" i="4"/>
  <c r="AA199" i="4"/>
  <c r="AA193" i="4"/>
  <c r="AA187" i="4"/>
  <c r="AA181" i="4"/>
  <c r="AA175" i="4"/>
  <c r="AA169" i="4"/>
  <c r="AA163" i="4"/>
  <c r="AA157" i="4"/>
  <c r="AA913" i="4"/>
  <c r="Z921" i="4"/>
  <c r="AA924" i="4"/>
  <c r="AA918" i="4"/>
  <c r="AA912" i="4"/>
  <c r="AA906" i="4"/>
  <c r="AA900" i="4"/>
  <c r="AA894" i="4"/>
  <c r="AA888" i="4"/>
  <c r="AA882" i="4"/>
  <c r="AA876" i="4"/>
  <c r="AA870" i="4"/>
  <c r="AA864" i="4"/>
  <c r="AA858" i="4"/>
  <c r="AA852" i="4"/>
  <c r="AA846" i="4"/>
  <c r="AA840" i="4"/>
  <c r="AA834" i="4"/>
  <c r="AA828" i="4"/>
  <c r="AA822" i="4"/>
  <c r="AA816" i="4"/>
  <c r="AA810" i="4"/>
  <c r="AA804" i="4"/>
  <c r="AA798" i="4"/>
  <c r="AA792" i="4"/>
  <c r="AA786" i="4"/>
  <c r="AA780" i="4"/>
  <c r="AA774" i="4"/>
  <c r="AA768" i="4"/>
  <c r="AA762" i="4"/>
  <c r="AA756" i="4"/>
  <c r="AA750" i="4"/>
  <c r="AA744" i="4"/>
  <c r="AA738" i="4"/>
  <c r="AA732" i="4"/>
  <c r="AA726" i="4"/>
  <c r="AA720" i="4"/>
  <c r="AA714" i="4"/>
  <c r="AA708" i="4"/>
  <c r="AA702" i="4"/>
  <c r="AA696" i="4"/>
  <c r="AA690" i="4"/>
  <c r="AA684" i="4"/>
  <c r="AA678" i="4"/>
  <c r="AA672" i="4"/>
  <c r="AA666" i="4"/>
  <c r="AA660" i="4"/>
  <c r="AA654" i="4"/>
  <c r="AA648" i="4"/>
  <c r="AA642" i="4"/>
  <c r="AA636" i="4"/>
  <c r="AA630" i="4"/>
  <c r="AA624" i="4"/>
  <c r="AA618" i="4"/>
  <c r="AA612" i="4"/>
  <c r="AA606" i="4"/>
  <c r="AA600" i="4"/>
  <c r="AA594" i="4"/>
  <c r="AA588" i="4"/>
  <c r="AA582" i="4"/>
  <c r="AA576" i="4"/>
  <c r="AA570" i="4"/>
  <c r="AA564" i="4"/>
  <c r="AA558" i="4"/>
  <c r="AA552" i="4"/>
  <c r="AA546" i="4"/>
  <c r="AA540" i="4"/>
  <c r="AA534" i="4"/>
  <c r="AA528" i="4"/>
  <c r="AA522" i="4"/>
  <c r="AA516" i="4"/>
  <c r="AA510" i="4"/>
  <c r="AA504" i="4"/>
  <c r="AA498" i="4"/>
  <c r="AA492" i="4"/>
  <c r="AA486" i="4"/>
  <c r="AA480" i="4"/>
  <c r="AA474" i="4"/>
  <c r="AA468" i="4"/>
  <c r="AA462" i="4"/>
  <c r="AA456" i="4"/>
  <c r="AA450" i="4"/>
  <c r="AA444" i="4"/>
  <c r="AA438" i="4"/>
  <c r="AA432" i="4"/>
  <c r="AA426" i="4"/>
  <c r="AA420" i="4"/>
  <c r="AA414" i="4"/>
  <c r="AA408" i="4"/>
  <c r="AA402" i="4"/>
  <c r="AA396" i="4"/>
  <c r="AA390" i="4"/>
  <c r="AA384" i="4"/>
  <c r="AA378" i="4"/>
  <c r="AA372" i="4"/>
  <c r="AA366" i="4"/>
  <c r="AA360" i="4"/>
  <c r="AA354" i="4"/>
  <c r="AA348" i="4"/>
  <c r="AA342" i="4"/>
  <c r="AA336" i="4"/>
  <c r="AA330" i="4"/>
  <c r="AA324" i="4"/>
  <c r="AA318" i="4"/>
  <c r="AA312" i="4"/>
  <c r="AA306" i="4"/>
  <c r="AA300" i="4"/>
  <c r="AA294" i="4"/>
  <c r="AA288" i="4"/>
  <c r="AA282" i="4"/>
  <c r="AA276" i="4"/>
  <c r="AA270" i="4"/>
  <c r="AA264" i="4"/>
  <c r="AA258" i="4"/>
  <c r="AA252" i="4"/>
  <c r="AA246" i="4"/>
  <c r="AA240" i="4"/>
  <c r="AA234" i="4"/>
  <c r="AA228" i="4"/>
  <c r="AA222" i="4"/>
  <c r="AA216" i="4"/>
  <c r="AA210" i="4"/>
  <c r="AA204" i="4"/>
  <c r="AA198" i="4"/>
  <c r="AA192" i="4"/>
  <c r="AA186" i="4"/>
  <c r="AA180" i="4"/>
  <c r="AA174" i="4"/>
  <c r="AA168" i="4"/>
  <c r="AA162" i="4"/>
  <c r="AA156" i="4"/>
  <c r="AA919" i="4"/>
  <c r="AA901" i="4"/>
  <c r="Z748" i="4"/>
  <c r="AA751" i="4"/>
  <c r="Z640" i="4"/>
  <c r="AA643" i="4"/>
  <c r="Z532" i="4"/>
  <c r="AA535" i="4"/>
  <c r="Z922" i="4"/>
  <c r="AA925" i="4"/>
  <c r="AA921" i="4"/>
  <c r="AA915" i="4"/>
  <c r="AA909" i="4"/>
  <c r="AA903" i="4"/>
  <c r="AA897" i="4"/>
  <c r="AA891" i="4"/>
  <c r="AA885" i="4"/>
  <c r="Z876" i="4"/>
  <c r="AA879" i="4"/>
  <c r="AA926" i="4"/>
  <c r="AA907" i="4"/>
  <c r="AA923" i="4"/>
  <c r="Z912" i="4"/>
  <c r="AA917" i="4"/>
  <c r="AA911" i="4"/>
  <c r="AA905" i="4"/>
  <c r="AA899" i="4"/>
  <c r="Z890" i="4"/>
  <c r="AA893" i="4"/>
  <c r="Z884" i="4"/>
  <c r="AA887" i="4"/>
  <c r="Z878" i="4"/>
  <c r="AA881" i="4"/>
  <c r="Z872" i="4"/>
  <c r="AA875" i="4"/>
  <c r="Z866" i="4"/>
  <c r="AA869" i="4"/>
  <c r="Z860" i="4"/>
  <c r="AA863" i="4"/>
  <c r="Z854" i="4"/>
  <c r="AA857" i="4"/>
  <c r="Z848" i="4"/>
  <c r="AA851" i="4"/>
  <c r="Z842" i="4"/>
  <c r="AA845" i="4"/>
  <c r="Z836" i="4"/>
  <c r="AA839" i="4"/>
  <c r="Z830" i="4"/>
  <c r="AA833" i="4"/>
  <c r="Z824" i="4"/>
  <c r="AA827" i="4"/>
  <c r="Z818" i="4"/>
  <c r="AA821" i="4"/>
  <c r="Z812" i="4"/>
  <c r="AA815" i="4"/>
  <c r="Z806" i="4"/>
  <c r="AA809" i="4"/>
  <c r="Z800" i="4"/>
  <c r="AA803" i="4"/>
  <c r="Z794" i="4"/>
  <c r="AA797" i="4"/>
  <c r="Z788" i="4"/>
  <c r="AA791" i="4"/>
  <c r="Z782" i="4"/>
  <c r="AA785" i="4"/>
  <c r="Z776" i="4"/>
  <c r="AA779" i="4"/>
  <c r="Z770" i="4"/>
  <c r="AA773" i="4"/>
  <c r="Z764" i="4"/>
  <c r="AA767" i="4"/>
  <c r="Z758" i="4"/>
  <c r="AA761" i="4"/>
  <c r="Z752" i="4"/>
  <c r="AA755" i="4"/>
  <c r="Z746" i="4"/>
  <c r="AA749" i="4"/>
  <c r="Z740" i="4"/>
  <c r="AA743" i="4"/>
  <c r="Z734" i="4"/>
  <c r="AA737" i="4"/>
  <c r="Z728" i="4"/>
  <c r="AA731" i="4"/>
  <c r="Z722" i="4"/>
  <c r="AA725" i="4"/>
  <c r="Z716" i="4"/>
  <c r="AA719" i="4"/>
  <c r="Z710" i="4"/>
  <c r="AA713" i="4"/>
  <c r="Z704" i="4"/>
  <c r="AA707" i="4"/>
  <c r="Z698" i="4"/>
  <c r="AA701" i="4"/>
  <c r="Z692" i="4"/>
  <c r="AA695" i="4"/>
  <c r="Z686" i="4"/>
  <c r="AA689" i="4"/>
  <c r="Z680" i="4"/>
  <c r="AA683" i="4"/>
  <c r="Z674" i="4"/>
  <c r="AA677" i="4"/>
  <c r="Z668" i="4"/>
  <c r="AA671" i="4"/>
  <c r="Z662" i="4"/>
  <c r="AA665" i="4"/>
  <c r="Z656" i="4"/>
  <c r="AA659" i="4"/>
  <c r="Z650" i="4"/>
  <c r="AA653" i="4"/>
  <c r="Z644" i="4"/>
  <c r="AA647" i="4"/>
  <c r="Z638" i="4"/>
  <c r="AA641" i="4"/>
  <c r="Z632" i="4"/>
  <c r="AA635" i="4"/>
  <c r="Z626" i="4"/>
  <c r="AA629" i="4"/>
  <c r="Z620" i="4"/>
  <c r="AA623" i="4"/>
  <c r="Z614" i="4"/>
  <c r="AA617" i="4"/>
  <c r="Z608" i="4"/>
  <c r="AA611" i="4"/>
  <c r="Z602" i="4"/>
  <c r="AA605" i="4"/>
  <c r="Z596" i="4"/>
  <c r="AA599" i="4"/>
  <c r="Z590" i="4"/>
  <c r="AA593" i="4"/>
  <c r="Z584" i="4"/>
  <c r="AA587" i="4"/>
  <c r="Z578" i="4"/>
  <c r="AA581" i="4"/>
  <c r="Z572" i="4"/>
  <c r="AA575" i="4"/>
  <c r="Z566" i="4"/>
  <c r="AA569" i="4"/>
  <c r="Z560" i="4"/>
  <c r="AA563" i="4"/>
  <c r="Z554" i="4"/>
  <c r="AA557" i="4"/>
  <c r="Z548" i="4"/>
  <c r="AA551" i="4"/>
  <c r="Z542" i="4"/>
  <c r="AA545" i="4"/>
  <c r="Z536" i="4"/>
  <c r="AA539" i="4"/>
  <c r="Z530" i="4"/>
  <c r="AA533" i="4"/>
  <c r="Z524" i="4"/>
  <c r="AA527" i="4"/>
  <c r="AA922" i="4"/>
  <c r="AA916" i="4"/>
  <c r="AA910" i="4"/>
  <c r="AA904" i="4"/>
  <c r="AA898" i="4"/>
  <c r="AA892" i="4"/>
  <c r="AA886" i="4"/>
  <c r="AA880" i="4"/>
  <c r="AA874" i="4"/>
  <c r="AA868" i="4"/>
  <c r="AA862" i="4"/>
  <c r="AA856" i="4"/>
  <c r="AA850" i="4"/>
  <c r="AA844" i="4"/>
  <c r="AA838" i="4"/>
  <c r="AA832" i="4"/>
  <c r="AA826" i="4"/>
  <c r="AA820" i="4"/>
  <c r="AA814" i="4"/>
  <c r="AA808" i="4"/>
  <c r="AA802" i="4"/>
  <c r="AA796" i="4"/>
  <c r="AA790" i="4"/>
  <c r="AA784" i="4"/>
  <c r="AA778" i="4"/>
  <c r="AA772" i="4"/>
  <c r="AA766" i="4"/>
  <c r="AA760" i="4"/>
  <c r="AA754" i="4"/>
  <c r="AA748" i="4"/>
  <c r="AA742" i="4"/>
  <c r="AA736" i="4"/>
  <c r="AA730" i="4"/>
  <c r="AA724" i="4"/>
  <c r="AA718" i="4"/>
  <c r="AA712" i="4"/>
  <c r="AA706" i="4"/>
  <c r="AA700" i="4"/>
  <c r="AA694" i="4"/>
  <c r="AA688" i="4"/>
  <c r="AA682" i="4"/>
  <c r="AA676" i="4"/>
  <c r="AA670" i="4"/>
  <c r="Z661" i="4"/>
  <c r="AA664" i="4"/>
  <c r="AA658" i="4"/>
  <c r="AA652" i="4"/>
  <c r="AA646" i="4"/>
  <c r="AA640" i="4"/>
  <c r="AA634" i="4"/>
  <c r="AA628" i="4"/>
  <c r="AA622" i="4"/>
  <c r="AA616" i="4"/>
  <c r="AA610" i="4"/>
  <c r="AA604" i="4"/>
  <c r="AA598" i="4"/>
  <c r="AA592" i="4"/>
  <c r="AA562" i="4"/>
  <c r="AA538" i="4"/>
  <c r="AA520" i="4"/>
  <c r="AA208" i="4"/>
  <c r="AA873" i="4"/>
  <c r="AA867" i="4"/>
  <c r="Z858" i="4"/>
  <c r="AA861" i="4"/>
  <c r="AA855" i="4"/>
  <c r="AA849" i="4"/>
  <c r="Z840" i="4"/>
  <c r="AA843" i="4"/>
  <c r="AA837" i="4"/>
  <c r="AA831" i="4"/>
  <c r="Z822" i="4"/>
  <c r="AA825" i="4"/>
  <c r="AA819" i="4"/>
  <c r="AA813" i="4"/>
  <c r="AA807" i="4"/>
  <c r="AA801" i="4"/>
  <c r="AA795" i="4"/>
  <c r="Z786" i="4"/>
  <c r="AA789" i="4"/>
  <c r="AA783" i="4"/>
  <c r="AA777" i="4"/>
  <c r="Z768" i="4"/>
  <c r="AA771" i="4"/>
  <c r="AA765" i="4"/>
  <c r="AA759" i="4"/>
  <c r="AA753" i="4"/>
  <c r="AA747" i="4"/>
  <c r="AA741" i="4"/>
  <c r="AA735" i="4"/>
  <c r="Z726" i="4"/>
  <c r="AA729" i="4"/>
  <c r="AA723" i="4"/>
  <c r="AA717" i="4"/>
  <c r="AA711" i="4"/>
  <c r="AA705" i="4"/>
  <c r="AA699" i="4"/>
  <c r="AA693" i="4"/>
  <c r="AA687" i="4"/>
  <c r="AA681" i="4"/>
  <c r="AA675" i="4"/>
  <c r="AA669" i="4"/>
  <c r="AA663" i="4"/>
  <c r="AA657" i="4"/>
  <c r="AA651" i="4"/>
  <c r="AA645" i="4"/>
  <c r="AA639" i="4"/>
  <c r="AA633" i="4"/>
  <c r="AA627" i="4"/>
  <c r="Z618" i="4"/>
  <c r="AA621" i="4"/>
  <c r="AA615" i="4"/>
  <c r="AA609" i="4"/>
  <c r="AA603" i="4"/>
  <c r="AA597" i="4"/>
  <c r="AA591" i="4"/>
  <c r="AA585" i="4"/>
  <c r="AA579" i="4"/>
  <c r="AA573" i="4"/>
  <c r="AA567" i="4"/>
  <c r="AA561" i="4"/>
  <c r="AA555" i="4"/>
  <c r="AA549" i="4"/>
  <c r="AA543" i="4"/>
  <c r="AA537" i="4"/>
  <c r="AA531" i="4"/>
  <c r="AA525" i="4"/>
  <c r="AA519" i="4"/>
  <c r="AA513" i="4"/>
  <c r="AA507" i="4"/>
  <c r="AA501" i="4"/>
  <c r="AA495" i="4"/>
  <c r="AA489" i="4"/>
  <c r="AA483" i="4"/>
  <c r="AA477" i="4"/>
  <c r="AA471" i="4"/>
  <c r="AA465" i="4"/>
  <c r="AA459" i="4"/>
  <c r="AA453" i="4"/>
  <c r="AA447" i="4"/>
  <c r="AA441" i="4"/>
  <c r="AA435" i="4"/>
  <c r="AA429" i="4"/>
  <c r="AA423" i="4"/>
  <c r="AA417" i="4"/>
  <c r="AA411" i="4"/>
  <c r="AA405" i="4"/>
  <c r="AA399" i="4"/>
  <c r="AA393" i="4"/>
  <c r="AA387" i="4"/>
  <c r="AA381" i="4"/>
  <c r="AA375" i="4"/>
  <c r="AA369" i="4"/>
  <c r="AA363" i="4"/>
  <c r="AA357" i="4"/>
  <c r="AA351" i="4"/>
  <c r="AA345" i="4"/>
  <c r="AA339" i="4"/>
  <c r="AA920" i="4"/>
  <c r="AA914" i="4"/>
  <c r="AA908" i="4"/>
  <c r="AA902" i="4"/>
  <c r="AA896" i="4"/>
  <c r="AA890" i="4"/>
  <c r="AA884" i="4"/>
  <c r="AA878" i="4"/>
  <c r="AA872" i="4"/>
  <c r="AA866" i="4"/>
  <c r="AA860" i="4"/>
  <c r="AA854" i="4"/>
  <c r="AA848" i="4"/>
  <c r="AA842" i="4"/>
  <c r="AA836" i="4"/>
  <c r="AA830" i="4"/>
  <c r="AA824" i="4"/>
  <c r="AA818" i="4"/>
  <c r="AA812" i="4"/>
  <c r="AA806" i="4"/>
  <c r="AA800" i="4"/>
  <c r="AA794" i="4"/>
  <c r="AA788" i="4"/>
  <c r="AA782" i="4"/>
  <c r="AA776" i="4"/>
  <c r="AA770" i="4"/>
  <c r="AA764" i="4"/>
  <c r="AA758" i="4"/>
  <c r="AA752" i="4"/>
  <c r="AA746" i="4"/>
  <c r="AA740" i="4"/>
  <c r="AA734" i="4"/>
  <c r="AA728" i="4"/>
  <c r="AA722" i="4"/>
  <c r="AA716" i="4"/>
  <c r="AA710" i="4"/>
  <c r="AA704" i="4"/>
  <c r="AA698" i="4"/>
  <c r="AA692" i="4"/>
  <c r="AA686" i="4"/>
  <c r="Z683" i="4"/>
  <c r="AA680" i="4"/>
  <c r="AA674" i="4"/>
  <c r="AA668" i="4"/>
  <c r="AA662" i="4"/>
  <c r="AA656" i="4"/>
  <c r="AA650" i="4"/>
  <c r="AA644" i="4"/>
  <c r="AA638" i="4"/>
  <c r="AA632" i="4"/>
  <c r="AA626" i="4"/>
  <c r="AA620" i="4"/>
  <c r="AA614" i="4"/>
  <c r="AA608" i="4"/>
  <c r="AA602" i="4"/>
  <c r="AA596" i="4"/>
  <c r="AA590" i="4"/>
  <c r="AA584" i="4"/>
  <c r="Z575" i="4"/>
  <c r="AA578" i="4"/>
  <c r="AA572" i="4"/>
  <c r="AA566" i="4"/>
  <c r="AA560" i="4"/>
  <c r="AA554" i="4"/>
  <c r="AA548" i="4"/>
  <c r="AA542" i="4"/>
  <c r="AA536" i="4"/>
  <c r="AA530" i="4"/>
  <c r="AA524" i="4"/>
  <c r="AA518" i="4"/>
  <c r="Z509" i="4"/>
  <c r="AA512" i="4"/>
  <c r="AA506" i="4"/>
  <c r="AA500" i="4"/>
  <c r="AA494" i="4"/>
  <c r="AA488" i="4"/>
  <c r="AA482" i="4"/>
  <c r="AA476" i="4"/>
  <c r="AA470" i="4"/>
  <c r="AA452" i="4"/>
  <c r="AA434" i="4"/>
  <c r="AA416" i="4"/>
  <c r="AA380" i="4"/>
  <c r="AA326" i="4"/>
  <c r="Z518" i="4"/>
  <c r="AA521" i="4"/>
  <c r="Z512" i="4"/>
  <c r="AA515" i="4"/>
  <c r="Z506" i="4"/>
  <c r="AA509" i="4"/>
  <c r="Z500" i="4"/>
  <c r="AA503" i="4"/>
  <c r="Z494" i="4"/>
  <c r="AA497" i="4"/>
  <c r="Z488" i="4"/>
  <c r="AA491" i="4"/>
  <c r="Z482" i="4"/>
  <c r="AA485" i="4"/>
  <c r="AA479" i="4"/>
  <c r="AA473" i="4"/>
  <c r="AA467" i="4"/>
  <c r="Z458" i="4"/>
  <c r="AA461" i="4"/>
  <c r="AA455" i="4"/>
  <c r="AA449" i="4"/>
  <c r="AA443" i="4"/>
  <c r="AA437" i="4"/>
  <c r="AA431" i="4"/>
  <c r="AA425" i="4"/>
  <c r="AA419" i="4"/>
  <c r="AA413" i="4"/>
  <c r="AA407" i="4"/>
  <c r="AA401" i="4"/>
  <c r="AA395" i="4"/>
  <c r="AA389" i="4"/>
  <c r="AA383" i="4"/>
  <c r="AA377" i="4"/>
  <c r="AA371" i="4"/>
  <c r="AA365" i="4"/>
  <c r="AA359" i="4"/>
  <c r="AA353" i="4"/>
  <c r="AA347" i="4"/>
  <c r="AA341" i="4"/>
  <c r="AA335" i="4"/>
  <c r="AA329" i="4"/>
  <c r="AA323" i="4"/>
  <c r="AA317" i="4"/>
  <c r="AA311" i="4"/>
  <c r="AA305" i="4"/>
  <c r="AA299" i="4"/>
  <c r="AA293" i="4"/>
  <c r="AA287" i="4"/>
  <c r="AA281" i="4"/>
  <c r="AA275" i="4"/>
  <c r="AA269" i="4"/>
  <c r="AA263" i="4"/>
  <c r="AA257" i="4"/>
  <c r="AA251" i="4"/>
  <c r="AA245" i="4"/>
  <c r="AA239" i="4"/>
  <c r="AA233" i="4"/>
  <c r="AA227" i="4"/>
  <c r="AA221" i="4"/>
  <c r="AA215" i="4"/>
  <c r="AA209" i="4"/>
  <c r="AA203" i="4"/>
  <c r="AA197" i="4"/>
  <c r="AA191" i="4"/>
  <c r="AA185" i="4"/>
  <c r="AA179" i="4"/>
  <c r="AA173" i="4"/>
  <c r="AA167" i="4"/>
  <c r="AA161" i="4"/>
  <c r="AA155" i="4"/>
  <c r="AA586" i="4"/>
  <c r="AA580" i="4"/>
  <c r="AA574" i="4"/>
  <c r="AA568" i="4"/>
  <c r="AA556" i="4"/>
  <c r="AA550" i="4"/>
  <c r="AA544" i="4"/>
  <c r="AA532" i="4"/>
  <c r="AA526" i="4"/>
  <c r="AA514" i="4"/>
  <c r="AA508" i="4"/>
  <c r="AA502" i="4"/>
  <c r="AA496" i="4"/>
  <c r="AA490" i="4"/>
  <c r="Z481" i="4"/>
  <c r="AA484" i="4"/>
  <c r="Z475" i="4"/>
  <c r="AA478" i="4"/>
  <c r="Z469" i="4"/>
  <c r="AA472" i="4"/>
  <c r="Z463" i="4"/>
  <c r="AA466" i="4"/>
  <c r="Z457" i="4"/>
  <c r="Z451" i="4"/>
  <c r="AA454" i="4"/>
  <c r="Z445" i="4"/>
  <c r="AA448" i="4"/>
  <c r="Z439" i="4"/>
  <c r="Z433" i="4"/>
  <c r="AA436" i="4"/>
  <c r="Z427" i="4"/>
  <c r="AA430" i="4"/>
  <c r="Z421" i="4"/>
  <c r="AA424" i="4"/>
  <c r="Z415" i="4"/>
  <c r="AA418" i="4"/>
  <c r="Z409" i="4"/>
  <c r="AA412" i="4"/>
  <c r="Z403" i="4"/>
  <c r="AA406" i="4"/>
  <c r="Z397" i="4"/>
  <c r="AA400" i="4"/>
  <c r="Z391" i="4"/>
  <c r="AA394" i="4"/>
  <c r="Z385" i="4"/>
  <c r="AA388" i="4"/>
  <c r="Z379" i="4"/>
  <c r="AA382" i="4"/>
  <c r="Z373" i="4"/>
  <c r="AA376" i="4"/>
  <c r="Z367" i="4"/>
  <c r="AA370" i="4"/>
  <c r="Z361" i="4"/>
  <c r="AA364" i="4"/>
  <c r="Z355" i="4"/>
  <c r="AA358" i="4"/>
  <c r="Z349" i="4"/>
  <c r="Z343" i="4"/>
  <c r="AA346" i="4"/>
  <c r="Z337" i="4"/>
  <c r="AA340" i="4"/>
  <c r="Z331" i="4"/>
  <c r="AA334" i="4"/>
  <c r="Z325" i="4"/>
  <c r="AA328" i="4"/>
  <c r="Z319" i="4"/>
  <c r="AA322" i="4"/>
  <c r="Z313" i="4"/>
  <c r="AA316" i="4"/>
  <c r="Z307" i="4"/>
  <c r="AA310" i="4"/>
  <c r="Z301" i="4"/>
  <c r="AA304" i="4"/>
  <c r="Z295" i="4"/>
  <c r="Z289" i="4"/>
  <c r="AA292" i="4"/>
  <c r="Z283" i="4"/>
  <c r="AA286" i="4"/>
  <c r="Z277" i="4"/>
  <c r="Z271" i="4"/>
  <c r="AA274" i="4"/>
  <c r="Z265" i="4"/>
  <c r="AA268" i="4"/>
  <c r="Z259" i="4"/>
  <c r="Z253" i="4"/>
  <c r="AA256" i="4"/>
  <c r="Z247" i="4"/>
  <c r="AA250" i="4"/>
  <c r="Z241" i="4"/>
  <c r="Z235" i="4"/>
  <c r="AA238" i="4"/>
  <c r="Z229" i="4"/>
  <c r="AA232" i="4"/>
  <c r="Z223" i="4"/>
  <c r="Z217" i="4"/>
  <c r="AA220" i="4"/>
  <c r="Z211" i="4"/>
  <c r="AA214" i="4"/>
  <c r="Z205" i="4"/>
  <c r="Z199" i="4"/>
  <c r="AA202" i="4"/>
  <c r="Z193" i="4"/>
  <c r="AA196" i="4"/>
  <c r="Z187" i="4"/>
  <c r="Z181" i="4"/>
  <c r="AA184" i="4"/>
  <c r="Z175" i="4"/>
  <c r="AA178" i="4"/>
  <c r="Z169" i="4"/>
  <c r="Z163" i="4"/>
  <c r="AA166" i="4"/>
  <c r="Z157" i="4"/>
  <c r="AA160" i="4"/>
  <c r="Z151" i="4"/>
  <c r="AA442" i="4"/>
  <c r="AA298" i="4"/>
  <c r="AA190" i="4"/>
  <c r="AA333" i="4"/>
  <c r="AA327" i="4"/>
  <c r="AA321" i="4"/>
  <c r="AA315" i="4"/>
  <c r="AA309" i="4"/>
  <c r="AA303" i="4"/>
  <c r="AA297" i="4"/>
  <c r="AA291" i="4"/>
  <c r="AA285" i="4"/>
  <c r="AA279" i="4"/>
  <c r="AA273" i="4"/>
  <c r="AA267" i="4"/>
  <c r="AA261" i="4"/>
  <c r="AA255" i="4"/>
  <c r="AA249" i="4"/>
  <c r="AA243" i="4"/>
  <c r="AA237" i="4"/>
  <c r="AA231" i="4"/>
  <c r="AA225" i="4"/>
  <c r="AA219" i="4"/>
  <c r="AA213" i="4"/>
  <c r="AA207" i="4"/>
  <c r="AA201" i="4"/>
  <c r="AA195" i="4"/>
  <c r="AA189" i="4"/>
  <c r="AA183" i="4"/>
  <c r="AA177" i="4"/>
  <c r="AA171" i="4"/>
  <c r="AA165" i="4"/>
  <c r="AA159" i="4"/>
  <c r="AA153" i="4"/>
  <c r="AA280" i="4"/>
  <c r="AA172" i="4"/>
  <c r="AA464" i="4"/>
  <c r="AA458" i="4"/>
  <c r="AA446" i="4"/>
  <c r="AA440" i="4"/>
  <c r="AA428" i="4"/>
  <c r="AA422" i="4"/>
  <c r="AA410" i="4"/>
  <c r="AA404" i="4"/>
  <c r="AA398" i="4"/>
  <c r="AA392" i="4"/>
  <c r="AA386" i="4"/>
  <c r="AA374" i="4"/>
  <c r="AA368" i="4"/>
  <c r="AA362" i="4"/>
  <c r="AA356" i="4"/>
  <c r="AA350" i="4"/>
  <c r="AA344" i="4"/>
  <c r="AA338" i="4"/>
  <c r="AA332" i="4"/>
  <c r="AA320" i="4"/>
  <c r="AA314" i="4"/>
  <c r="AA308" i="4"/>
  <c r="AA302" i="4"/>
  <c r="AA296" i="4"/>
  <c r="AA290" i="4"/>
  <c r="AA284" i="4"/>
  <c r="AA278" i="4"/>
  <c r="AA272" i="4"/>
  <c r="AA266" i="4"/>
  <c r="AA260" i="4"/>
  <c r="AA254" i="4"/>
  <c r="AA248" i="4"/>
  <c r="AA242" i="4"/>
  <c r="AA236" i="4"/>
  <c r="AA230" i="4"/>
  <c r="AA224" i="4"/>
  <c r="AA218" i="4"/>
  <c r="AA212" i="4"/>
  <c r="AA206" i="4"/>
  <c r="AA200" i="4"/>
  <c r="AA194" i="4"/>
  <c r="AA188" i="4"/>
  <c r="AA182" i="4"/>
  <c r="AA176" i="4"/>
  <c r="AA170" i="4"/>
  <c r="AA164" i="4"/>
  <c r="AA158" i="4"/>
  <c r="AA352" i="4"/>
  <c r="AA262" i="4"/>
  <c r="AA154" i="4"/>
  <c r="AA244" i="4"/>
  <c r="AA460" i="4"/>
  <c r="AA226" i="4"/>
  <c r="Z926" i="4"/>
  <c r="Z919" i="4"/>
  <c r="Z913" i="4"/>
  <c r="Z907" i="4"/>
  <c r="Z901" i="4"/>
  <c r="Z895" i="4"/>
  <c r="H57" i="28" s="1"/>
  <c r="Z889" i="4"/>
  <c r="Z883" i="4"/>
  <c r="Z877" i="4"/>
  <c r="Z871" i="4"/>
  <c r="Z865" i="4"/>
  <c r="Z859" i="4"/>
  <c r="Z853" i="4"/>
  <c r="Z847" i="4"/>
  <c r="Z841" i="4"/>
  <c r="Z835" i="4"/>
  <c r="Z829" i="4"/>
  <c r="Z823" i="4"/>
  <c r="Z817" i="4"/>
  <c r="Z811" i="4"/>
  <c r="Z805" i="4"/>
  <c r="Z799" i="4"/>
  <c r="Z793" i="4"/>
  <c r="Z787" i="4"/>
  <c r="Z781" i="4"/>
  <c r="Z775" i="4"/>
  <c r="Z769" i="4"/>
  <c r="Z763" i="4"/>
  <c r="Z757" i="4"/>
  <c r="Z751" i="4"/>
  <c r="Z745" i="4"/>
  <c r="Z739" i="4"/>
  <c r="Z733" i="4"/>
  <c r="Z727" i="4"/>
  <c r="Z721" i="4"/>
  <c r="Z715" i="4"/>
  <c r="Z709" i="4"/>
  <c r="Z703" i="4"/>
  <c r="Z697" i="4"/>
  <c r="Z691" i="4"/>
  <c r="Z685" i="4"/>
  <c r="Z679" i="4"/>
  <c r="Z673" i="4"/>
  <c r="Z667" i="4"/>
  <c r="Z655" i="4"/>
  <c r="Z649" i="4"/>
  <c r="Z643" i="4"/>
  <c r="Z637" i="4"/>
  <c r="Z631" i="4"/>
  <c r="Z625" i="4"/>
  <c r="Z619" i="4"/>
  <c r="Z613" i="4"/>
  <c r="Z607" i="4"/>
  <c r="Z601" i="4"/>
  <c r="Z595" i="4"/>
  <c r="Z589" i="4"/>
  <c r="Z583" i="4"/>
  <c r="Z577" i="4"/>
  <c r="Z571" i="4"/>
  <c r="Z565" i="4"/>
  <c r="Z559" i="4"/>
  <c r="Z547" i="4"/>
  <c r="Z541" i="4"/>
  <c r="Z535" i="4"/>
  <c r="Z529" i="4"/>
  <c r="Z523" i="4"/>
  <c r="Z517" i="4"/>
  <c r="Z511" i="4"/>
  <c r="Z505" i="4"/>
  <c r="Z499" i="4"/>
  <c r="Z493" i="4"/>
  <c r="Z487" i="4"/>
  <c r="Z894" i="4"/>
  <c r="Z920" i="4"/>
  <c r="Z902" i="4"/>
  <c r="Z553" i="4"/>
  <c r="Z925" i="4"/>
  <c r="Z918" i="4"/>
  <c r="Z906" i="4"/>
  <c r="Z900" i="4"/>
  <c r="Z888" i="4"/>
  <c r="Z882" i="4"/>
  <c r="Z870" i="4"/>
  <c r="Z864" i="4"/>
  <c r="Z852" i="4"/>
  <c r="Z846" i="4"/>
  <c r="Z834" i="4"/>
  <c r="Z828" i="4"/>
  <c r="Z816" i="4"/>
  <c r="Z810" i="4"/>
  <c r="Z798" i="4"/>
  <c r="Z792" i="4"/>
  <c r="Z780" i="4"/>
  <c r="Z774" i="4"/>
  <c r="Z762" i="4"/>
  <c r="Z756" i="4"/>
  <c r="Z750" i="4"/>
  <c r="Z744" i="4"/>
  <c r="Z738" i="4"/>
  <c r="Z732" i="4"/>
  <c r="Z720" i="4"/>
  <c r="Z714" i="4"/>
  <c r="Z708" i="4"/>
  <c r="Z702" i="4"/>
  <c r="Z696" i="4"/>
  <c r="Z690" i="4"/>
  <c r="Z684" i="4"/>
  <c r="Z678" i="4"/>
  <c r="Z672" i="4"/>
  <c r="Z666" i="4"/>
  <c r="Z660" i="4"/>
  <c r="Z654" i="4"/>
  <c r="Z648" i="4"/>
  <c r="Z642" i="4"/>
  <c r="Z636" i="4"/>
  <c r="Z630" i="4"/>
  <c r="Z624" i="4"/>
  <c r="Z612" i="4"/>
  <c r="Z606" i="4"/>
  <c r="Z600" i="4"/>
  <c r="Z594" i="4"/>
  <c r="Z582" i="4"/>
  <c r="Z564" i="4"/>
  <c r="Z546" i="4"/>
  <c r="Z528" i="4"/>
  <c r="Z504" i="4"/>
  <c r="Z492" i="4"/>
  <c r="Z432" i="4"/>
  <c r="Z360" i="4"/>
  <c r="Z324" i="4"/>
  <c r="Z252" i="4"/>
  <c r="Z216" i="4"/>
  <c r="Z924" i="4"/>
  <c r="Z917" i="4"/>
  <c r="Z911" i="4"/>
  <c r="Z905" i="4"/>
  <c r="Z899" i="4"/>
  <c r="Z893" i="4"/>
  <c r="Z887" i="4"/>
  <c r="Z881" i="4"/>
  <c r="Z875" i="4"/>
  <c r="Z869" i="4"/>
  <c r="Z863" i="4"/>
  <c r="Z857" i="4"/>
  <c r="Z851" i="4"/>
  <c r="Z845" i="4"/>
  <c r="Z839" i="4"/>
  <c r="Z833" i="4"/>
  <c r="Z827" i="4"/>
  <c r="Z821" i="4"/>
  <c r="Z815" i="4"/>
  <c r="Z809" i="4"/>
  <c r="Z803" i="4"/>
  <c r="Z797" i="4"/>
  <c r="Z791" i="4"/>
  <c r="Z785" i="4"/>
  <c r="Z779" i="4"/>
  <c r="Z773" i="4"/>
  <c r="Z767" i="4"/>
  <c r="Z761" i="4"/>
  <c r="Z755" i="4"/>
  <c r="Z749" i="4"/>
  <c r="Z743" i="4"/>
  <c r="Z737" i="4"/>
  <c r="Z731" i="4"/>
  <c r="Z725" i="4"/>
  <c r="Z719" i="4"/>
  <c r="Z713" i="4"/>
  <c r="Z707" i="4"/>
  <c r="Z701" i="4"/>
  <c r="Z695" i="4"/>
  <c r="Z689" i="4"/>
  <c r="Z677" i="4"/>
  <c r="Z671" i="4"/>
  <c r="Z665" i="4"/>
  <c r="Z659" i="4"/>
  <c r="Z653" i="4"/>
  <c r="Z647" i="4"/>
  <c r="Z641" i="4"/>
  <c r="Z635" i="4"/>
  <c r="Z629" i="4"/>
  <c r="Z623" i="4"/>
  <c r="Z617" i="4"/>
  <c r="Z611" i="4"/>
  <c r="Z605" i="4"/>
  <c r="Z599" i="4"/>
  <c r="Z593" i="4"/>
  <c r="Z587" i="4"/>
  <c r="Z581" i="4"/>
  <c r="Z569" i="4"/>
  <c r="Z563" i="4"/>
  <c r="Z557" i="4"/>
  <c r="Z551" i="4"/>
  <c r="Z545" i="4"/>
  <c r="Z539" i="4"/>
  <c r="Z533" i="4"/>
  <c r="Z527" i="4"/>
  <c r="Z521" i="4"/>
  <c r="Z515" i="4"/>
  <c r="Z503" i="4"/>
  <c r="Z497" i="4"/>
  <c r="Z491" i="4"/>
  <c r="Z485" i="4"/>
  <c r="Z479" i="4"/>
  <c r="Z473" i="4"/>
  <c r="Z467" i="4"/>
  <c r="Z461" i="4"/>
  <c r="Z455" i="4"/>
  <c r="Z449" i="4"/>
  <c r="Z443" i="4"/>
  <c r="Z437" i="4"/>
  <c r="Z431" i="4"/>
  <c r="Z425" i="4"/>
  <c r="Z419" i="4"/>
  <c r="Z413" i="4"/>
  <c r="Z407" i="4"/>
  <c r="Z401" i="4"/>
  <c r="Z395" i="4"/>
  <c r="Z389" i="4"/>
  <c r="Z383" i="4"/>
  <c r="Z377" i="4"/>
  <c r="Z371" i="4"/>
  <c r="Z365" i="4"/>
  <c r="Z359" i="4"/>
  <c r="Z353" i="4"/>
  <c r="Z347" i="4"/>
  <c r="Z341" i="4"/>
  <c r="Z335" i="4"/>
  <c r="Z329" i="4"/>
  <c r="Z323" i="4"/>
  <c r="Z317" i="4"/>
  <c r="Z311" i="4"/>
  <c r="Z305" i="4"/>
  <c r="Z299" i="4"/>
  <c r="Z293" i="4"/>
  <c r="Z287" i="4"/>
  <c r="Z281" i="4"/>
  <c r="Z275" i="4"/>
  <c r="Z269" i="4"/>
  <c r="Z263" i="4"/>
  <c r="Z257" i="4"/>
  <c r="Z251" i="4"/>
  <c r="Z245" i="4"/>
  <c r="Z239" i="4"/>
  <c r="Z233" i="4"/>
  <c r="Z227" i="4"/>
  <c r="Z221" i="4"/>
  <c r="Z215" i="4"/>
  <c r="Z209" i="4"/>
  <c r="Z203" i="4"/>
  <c r="Z197" i="4"/>
  <c r="Z191" i="4"/>
  <c r="Z185" i="4"/>
  <c r="Z179" i="4"/>
  <c r="Z173" i="4"/>
  <c r="Z167" i="4"/>
  <c r="Z161" i="4"/>
  <c r="Z155" i="4"/>
  <c r="Z480" i="4"/>
  <c r="Z908" i="4"/>
  <c r="Z923" i="4"/>
  <c r="Z916" i="4"/>
  <c r="Z910" i="4"/>
  <c r="Z904" i="4"/>
  <c r="Z898" i="4"/>
  <c r="Z892" i="4"/>
  <c r="Z886" i="4"/>
  <c r="Z880" i="4"/>
  <c r="Z874" i="4"/>
  <c r="Z868" i="4"/>
  <c r="Z862" i="4"/>
  <c r="Z856" i="4"/>
  <c r="Z850" i="4"/>
  <c r="Z844" i="4"/>
  <c r="Z838" i="4"/>
  <c r="Z832" i="4"/>
  <c r="Z826" i="4"/>
  <c r="Z820" i="4"/>
  <c r="Z814" i="4"/>
  <c r="Z808" i="4"/>
  <c r="Z802" i="4"/>
  <c r="Z796" i="4"/>
  <c r="Z790" i="4"/>
  <c r="Z784" i="4"/>
  <c r="Z778" i="4"/>
  <c r="Z772" i="4"/>
  <c r="Z766" i="4"/>
  <c r="Z760" i="4"/>
  <c r="Z754" i="4"/>
  <c r="Z742" i="4"/>
  <c r="Z736" i="4"/>
  <c r="Z730" i="4"/>
  <c r="Z724" i="4"/>
  <c r="Z718" i="4"/>
  <c r="Z712" i="4"/>
  <c r="Z706" i="4"/>
  <c r="Z700" i="4"/>
  <c r="Z694" i="4"/>
  <c r="Z688" i="4"/>
  <c r="Z682" i="4"/>
  <c r="Z676" i="4"/>
  <c r="Z670" i="4"/>
  <c r="Z664" i="4"/>
  <c r="Z658" i="4"/>
  <c r="Z652" i="4"/>
  <c r="Z646" i="4"/>
  <c r="Z634" i="4"/>
  <c r="Z628" i="4"/>
  <c r="Z622" i="4"/>
  <c r="Z616" i="4"/>
  <c r="Z610" i="4"/>
  <c r="Z604" i="4"/>
  <c r="Z598" i="4"/>
  <c r="Z592" i="4"/>
  <c r="Z586" i="4"/>
  <c r="Z580" i="4"/>
  <c r="Z574" i="4"/>
  <c r="Z568" i="4"/>
  <c r="Z562" i="4"/>
  <c r="Z556" i="4"/>
  <c r="Z550" i="4"/>
  <c r="Z544" i="4"/>
  <c r="Z538" i="4"/>
  <c r="Z526" i="4"/>
  <c r="Z520" i="4"/>
  <c r="Z514" i="4"/>
  <c r="Z508" i="4"/>
  <c r="Z502" i="4"/>
  <c r="Z496" i="4"/>
  <c r="Z490" i="4"/>
  <c r="Z484" i="4"/>
  <c r="Z478" i="4"/>
  <c r="Z472" i="4"/>
  <c r="Z466" i="4"/>
  <c r="Z460" i="4"/>
  <c r="Z454" i="4"/>
  <c r="Z448" i="4"/>
  <c r="Z442" i="4"/>
  <c r="Z436" i="4"/>
  <c r="Z430" i="4"/>
  <c r="Z424" i="4"/>
  <c r="Z418" i="4"/>
  <c r="Z412" i="4"/>
  <c r="Z406" i="4"/>
  <c r="Z400" i="4"/>
  <c r="Z394" i="4"/>
  <c r="Z388" i="4"/>
  <c r="Z382" i="4"/>
  <c r="Z376" i="4"/>
  <c r="Z370" i="4"/>
  <c r="Z364" i="4"/>
  <c r="Z358" i="4"/>
  <c r="Z352" i="4"/>
  <c r="Z346" i="4"/>
  <c r="Z340" i="4"/>
  <c r="Z334" i="4"/>
  <c r="Z328" i="4"/>
  <c r="Z322" i="4"/>
  <c r="Z316" i="4"/>
  <c r="Z310" i="4"/>
  <c r="Z304" i="4"/>
  <c r="Z298" i="4"/>
  <c r="Z292" i="4"/>
  <c r="Z286" i="4"/>
  <c r="Z280" i="4"/>
  <c r="Z274" i="4"/>
  <c r="Z268" i="4"/>
  <c r="Z262" i="4"/>
  <c r="Z256" i="4"/>
  <c r="Z250" i="4"/>
  <c r="Z244" i="4"/>
  <c r="Z238" i="4"/>
  <c r="Z232" i="4"/>
  <c r="Z226" i="4"/>
  <c r="Z220" i="4"/>
  <c r="Z214" i="4"/>
  <c r="Z208" i="4"/>
  <c r="Z202" i="4"/>
  <c r="Z196" i="4"/>
  <c r="Z190" i="4"/>
  <c r="Z184" i="4"/>
  <c r="Z178" i="4"/>
  <c r="Z172" i="4"/>
  <c r="Z166" i="4"/>
  <c r="Z160" i="4"/>
  <c r="Z154" i="4"/>
  <c r="Z396" i="4"/>
  <c r="Z914" i="4"/>
  <c r="Z896" i="4"/>
  <c r="Z804" i="4"/>
  <c r="Z915" i="4"/>
  <c r="Z909" i="4"/>
  <c r="Z903" i="4"/>
  <c r="Z897" i="4"/>
  <c r="Z891" i="4"/>
  <c r="Z885" i="4"/>
  <c r="Z879" i="4"/>
  <c r="Z873" i="4"/>
  <c r="Z867" i="4"/>
  <c r="Z861" i="4"/>
  <c r="Z855" i="4"/>
  <c r="Z849" i="4"/>
  <c r="Z843" i="4"/>
  <c r="Z837" i="4"/>
  <c r="Z831" i="4"/>
  <c r="Z825" i="4"/>
  <c r="Z819" i="4"/>
  <c r="Z813" i="4"/>
  <c r="Z807" i="4"/>
  <c r="Z801" i="4"/>
  <c r="Z795" i="4"/>
  <c r="Z789" i="4"/>
  <c r="Z783" i="4"/>
  <c r="Z777" i="4"/>
  <c r="Z771" i="4"/>
  <c r="Z765" i="4"/>
  <c r="Z759" i="4"/>
  <c r="Z753" i="4"/>
  <c r="Z747" i="4"/>
  <c r="Z741" i="4"/>
  <c r="Z735" i="4"/>
  <c r="Z729" i="4"/>
  <c r="Z723" i="4"/>
  <c r="Z717" i="4"/>
  <c r="Z711" i="4"/>
  <c r="Z705" i="4"/>
  <c r="Z699" i="4"/>
  <c r="Z693" i="4"/>
  <c r="Z687" i="4"/>
  <c r="Z681" i="4"/>
  <c r="Z675" i="4"/>
  <c r="Z669" i="4"/>
  <c r="Z663" i="4"/>
  <c r="Z657" i="4"/>
  <c r="Z651" i="4"/>
  <c r="Z645" i="4"/>
  <c r="Z639" i="4"/>
  <c r="Z633" i="4"/>
  <c r="Z627" i="4"/>
  <c r="Z621" i="4"/>
  <c r="Z615" i="4"/>
  <c r="Z609" i="4"/>
  <c r="Z603" i="4"/>
  <c r="Z597" i="4"/>
  <c r="Z591" i="4"/>
  <c r="Z585" i="4"/>
  <c r="Z579" i="4"/>
  <c r="Z573" i="4"/>
  <c r="Z567" i="4"/>
  <c r="Z561" i="4"/>
  <c r="Z555" i="4"/>
  <c r="Z549" i="4"/>
  <c r="Z543" i="4"/>
  <c r="Z537" i="4"/>
  <c r="Z531" i="4"/>
  <c r="Z525" i="4"/>
  <c r="Z519" i="4"/>
  <c r="Z513" i="4"/>
  <c r="Z507" i="4"/>
  <c r="Z501" i="4"/>
  <c r="Z495" i="4"/>
  <c r="Z489" i="4"/>
  <c r="Z483" i="4"/>
  <c r="Z477" i="4"/>
  <c r="Z471" i="4"/>
  <c r="Z465" i="4"/>
  <c r="Z459" i="4"/>
  <c r="Z453" i="4"/>
  <c r="Z447" i="4"/>
  <c r="Z441" i="4"/>
  <c r="Z435" i="4"/>
  <c r="Z429" i="4"/>
  <c r="Z423" i="4"/>
  <c r="Z417" i="4"/>
  <c r="Z411" i="4"/>
  <c r="Z405" i="4"/>
  <c r="Z399" i="4"/>
  <c r="Z393" i="4"/>
  <c r="Z387" i="4"/>
  <c r="Z381" i="4"/>
  <c r="Z375" i="4"/>
  <c r="Z369" i="4"/>
  <c r="Z363" i="4"/>
  <c r="Z357" i="4"/>
  <c r="Z351" i="4"/>
  <c r="Z345" i="4"/>
  <c r="Z339" i="4"/>
  <c r="Z333" i="4"/>
  <c r="Z327" i="4"/>
  <c r="Z321" i="4"/>
  <c r="Z315" i="4"/>
  <c r="Z309" i="4"/>
  <c r="Z303" i="4"/>
  <c r="Z297" i="4"/>
  <c r="Z291" i="4"/>
  <c r="Z285" i="4"/>
  <c r="Z288" i="4"/>
  <c r="Z476" i="4"/>
  <c r="Z470" i="4"/>
  <c r="Z464" i="4"/>
  <c r="Z452" i="4"/>
  <c r="Z446" i="4"/>
  <c r="Z440" i="4"/>
  <c r="Z434" i="4"/>
  <c r="Z428" i="4"/>
  <c r="Z422" i="4"/>
  <c r="Z416" i="4"/>
  <c r="Z410" i="4"/>
  <c r="Z404" i="4"/>
  <c r="Z398" i="4"/>
  <c r="Z392" i="4"/>
  <c r="Z386" i="4"/>
  <c r="Z380" i="4"/>
  <c r="Z374" i="4"/>
  <c r="Z368" i="4"/>
  <c r="Z362" i="4"/>
  <c r="Z356" i="4"/>
  <c r="Z350" i="4"/>
  <c r="Z344" i="4"/>
  <c r="Z338" i="4"/>
  <c r="Z332" i="4"/>
  <c r="Z326" i="4"/>
  <c r="Z320" i="4"/>
  <c r="Z314" i="4"/>
  <c r="Z308" i="4"/>
  <c r="Z302" i="4"/>
  <c r="Z296" i="4"/>
  <c r="Z290" i="4"/>
  <c r="Z284" i="4"/>
  <c r="Z278" i="4"/>
  <c r="Z272" i="4"/>
  <c r="Z266" i="4"/>
  <c r="Z260" i="4"/>
  <c r="Z254" i="4"/>
  <c r="Z248" i="4"/>
  <c r="Z242" i="4"/>
  <c r="Z236" i="4"/>
  <c r="Z230" i="4"/>
  <c r="Z224" i="4"/>
  <c r="Z218" i="4"/>
  <c r="Z212" i="4"/>
  <c r="Z206" i="4"/>
  <c r="Z200" i="4"/>
  <c r="Z194" i="4"/>
  <c r="Z188" i="4"/>
  <c r="Z182" i="4"/>
  <c r="Z176" i="4"/>
  <c r="Z170" i="4"/>
  <c r="Z164" i="4"/>
  <c r="Z158" i="4"/>
  <c r="Z152" i="4"/>
  <c r="Z588" i="4"/>
  <c r="Z576" i="4"/>
  <c r="Z570" i="4"/>
  <c r="Z558" i="4"/>
  <c r="Z552" i="4"/>
  <c r="Z540" i="4"/>
  <c r="Z534" i="4"/>
  <c r="Z522" i="4"/>
  <c r="Z516" i="4"/>
  <c r="Z510" i="4"/>
  <c r="Z498" i="4"/>
  <c r="Z486" i="4"/>
  <c r="Z474" i="4"/>
  <c r="Z468" i="4"/>
  <c r="Z462" i="4"/>
  <c r="Z456" i="4"/>
  <c r="Z450" i="4"/>
  <c r="Z444" i="4"/>
  <c r="Z438" i="4"/>
  <c r="Z426" i="4"/>
  <c r="Z420" i="4"/>
  <c r="Z414" i="4"/>
  <c r="Z408" i="4"/>
  <c r="Z402" i="4"/>
  <c r="Z390" i="4"/>
  <c r="Z384" i="4"/>
  <c r="Z378" i="4"/>
  <c r="Z372" i="4"/>
  <c r="Z366" i="4"/>
  <c r="Z354" i="4"/>
  <c r="Z348" i="4"/>
  <c r="Z342" i="4"/>
  <c r="Z336" i="4"/>
  <c r="Z330" i="4"/>
  <c r="Z318" i="4"/>
  <c r="Z312" i="4"/>
  <c r="Z306" i="4"/>
  <c r="Z300" i="4"/>
  <c r="Z294" i="4"/>
  <c r="Z282" i="4"/>
  <c r="Z276" i="4"/>
  <c r="Z270" i="4"/>
  <c r="Z264" i="4"/>
  <c r="Z258" i="4"/>
  <c r="Z246" i="4"/>
  <c r="Z240" i="4"/>
  <c r="Z234" i="4"/>
  <c r="Z228" i="4"/>
  <c r="Z222" i="4"/>
  <c r="Z210" i="4"/>
  <c r="Z204" i="4"/>
  <c r="Z198" i="4"/>
  <c r="Z192" i="4"/>
  <c r="Z186" i="4"/>
  <c r="Z180" i="4"/>
  <c r="Z174" i="4"/>
  <c r="Z168" i="4"/>
  <c r="Z156" i="4"/>
  <c r="Z279" i="4"/>
  <c r="Z273" i="4"/>
  <c r="Z267" i="4"/>
  <c r="Z261" i="4"/>
  <c r="Z255" i="4"/>
  <c r="Z249" i="4"/>
  <c r="Z243" i="4"/>
  <c r="Z237" i="4"/>
  <c r="Z231" i="4"/>
  <c r="Z225" i="4"/>
  <c r="Z219" i="4"/>
  <c r="Z213" i="4"/>
  <c r="Z207" i="4"/>
  <c r="Z201" i="4"/>
  <c r="Z195" i="4"/>
  <c r="Z189" i="4"/>
  <c r="Z183" i="4"/>
  <c r="Z177" i="4"/>
  <c r="Z171" i="4"/>
  <c r="Z165" i="4"/>
  <c r="Z159" i="4"/>
  <c r="Z153" i="4"/>
  <c r="Z162" i="4"/>
  <c r="Z150" i="4"/>
  <c r="D13" i="28"/>
  <c r="N461" i="37"/>
  <c r="N462" i="37"/>
  <c r="N463" i="37"/>
  <c r="N464" i="37"/>
  <c r="N465" i="37"/>
  <c r="N466" i="37"/>
  <c r="N467" i="37"/>
  <c r="N468" i="37"/>
  <c r="N469" i="37"/>
  <c r="N470" i="37"/>
  <c r="N471" i="37"/>
  <c r="N472" i="37"/>
  <c r="N473" i="37"/>
  <c r="N474" i="37"/>
  <c r="N475" i="37"/>
  <c r="N476" i="37"/>
  <c r="N477" i="37"/>
  <c r="N478" i="37"/>
  <c r="N479" i="37"/>
  <c r="N480" i="37"/>
  <c r="N481" i="37"/>
  <c r="N482" i="37"/>
  <c r="N483" i="37"/>
  <c r="N484" i="37"/>
  <c r="N485" i="37"/>
  <c r="N486" i="37"/>
  <c r="N487" i="37"/>
  <c r="N488" i="37"/>
  <c r="N489" i="37"/>
  <c r="N490" i="37"/>
  <c r="N491" i="37"/>
  <c r="N492" i="37"/>
  <c r="N493" i="37"/>
  <c r="N494" i="37"/>
  <c r="N495" i="37"/>
  <c r="N496" i="37"/>
  <c r="N497" i="37"/>
  <c r="N498" i="37"/>
  <c r="N499" i="37"/>
  <c r="N500" i="37"/>
  <c r="N501" i="37"/>
  <c r="N502" i="37"/>
  <c r="N503" i="37"/>
  <c r="N504" i="37"/>
  <c r="N505" i="37"/>
  <c r="N506" i="37"/>
  <c r="N507" i="37"/>
  <c r="N508" i="37"/>
  <c r="N509" i="37"/>
  <c r="N510" i="37"/>
  <c r="N511" i="37"/>
  <c r="N512" i="37"/>
  <c r="N513" i="37"/>
  <c r="N514" i="37"/>
  <c r="N515" i="37"/>
  <c r="N516" i="37"/>
  <c r="N517" i="37"/>
  <c r="N518" i="37"/>
  <c r="N519" i="37"/>
  <c r="N520" i="37"/>
  <c r="N521" i="37"/>
  <c r="N522" i="37"/>
  <c r="N523" i="37"/>
  <c r="N524" i="37"/>
  <c r="N525" i="37"/>
  <c r="N526" i="37"/>
  <c r="N527" i="37"/>
  <c r="N528" i="37"/>
  <c r="N529" i="37"/>
  <c r="N530" i="37"/>
  <c r="N531" i="37"/>
  <c r="N532" i="37"/>
  <c r="N533" i="37"/>
  <c r="N534" i="37"/>
  <c r="N535" i="37"/>
  <c r="N536" i="37"/>
  <c r="N537" i="37"/>
  <c r="N538" i="37"/>
  <c r="N539" i="37"/>
  <c r="N540" i="37"/>
  <c r="N541" i="37"/>
  <c r="N542" i="37"/>
  <c r="N543" i="37"/>
  <c r="N544" i="37"/>
  <c r="N545" i="37"/>
  <c r="N546" i="37"/>
  <c r="N547" i="37"/>
  <c r="N548" i="37"/>
  <c r="N549" i="37"/>
  <c r="N550" i="37"/>
  <c r="N551" i="37"/>
  <c r="N552" i="37"/>
  <c r="N553" i="37"/>
  <c r="N554" i="37"/>
  <c r="N555" i="37"/>
  <c r="N556" i="37"/>
  <c r="N557" i="37"/>
  <c r="N558" i="37"/>
  <c r="N559" i="37"/>
  <c r="N560" i="37"/>
  <c r="N561" i="37"/>
  <c r="N562" i="37"/>
  <c r="N563" i="37"/>
  <c r="N564" i="37"/>
  <c r="N565" i="37"/>
  <c r="N566" i="37"/>
  <c r="N567" i="37"/>
  <c r="N568" i="37"/>
  <c r="N569" i="37"/>
  <c r="N570" i="37"/>
  <c r="N571" i="37"/>
  <c r="N572" i="37"/>
  <c r="N573" i="37"/>
  <c r="N574" i="37"/>
  <c r="N575" i="37"/>
  <c r="N576" i="37"/>
  <c r="N577" i="37"/>
  <c r="N578" i="37"/>
  <c r="N579" i="37"/>
  <c r="N580" i="37"/>
  <c r="N581" i="37"/>
  <c r="N582" i="37"/>
  <c r="N583" i="37"/>
  <c r="N584" i="37"/>
  <c r="N585" i="37"/>
  <c r="N586" i="37"/>
  <c r="N587" i="37"/>
  <c r="N588" i="37"/>
  <c r="N589" i="37"/>
  <c r="N590" i="37"/>
  <c r="N591" i="37"/>
  <c r="N592" i="37"/>
  <c r="N593" i="37"/>
  <c r="N594" i="37"/>
  <c r="N595" i="37"/>
  <c r="N596" i="37"/>
  <c r="N597" i="37"/>
  <c r="N598" i="37"/>
  <c r="N599" i="37"/>
  <c r="N600" i="37"/>
  <c r="N601" i="37"/>
  <c r="N602" i="37"/>
  <c r="N603" i="37"/>
  <c r="N604" i="37"/>
  <c r="N605" i="37"/>
  <c r="N606" i="37"/>
  <c r="N607" i="37"/>
  <c r="N608" i="37"/>
  <c r="N609" i="37"/>
  <c r="N610" i="37"/>
  <c r="N611" i="37"/>
  <c r="N612" i="37"/>
  <c r="N613" i="37"/>
  <c r="N614" i="37"/>
  <c r="N615" i="37"/>
  <c r="N616" i="37"/>
  <c r="N617" i="37"/>
  <c r="N618" i="37"/>
  <c r="N619" i="37"/>
  <c r="N620" i="37"/>
  <c r="N621" i="37"/>
  <c r="N622" i="37"/>
  <c r="N623" i="37"/>
  <c r="N624" i="37"/>
  <c r="N625" i="37"/>
  <c r="N626" i="37"/>
  <c r="N627" i="37"/>
  <c r="N628" i="37"/>
  <c r="N629" i="37"/>
  <c r="N630" i="37"/>
  <c r="N631" i="37"/>
  <c r="N632" i="37"/>
  <c r="N633" i="37"/>
  <c r="N634" i="37"/>
  <c r="N635" i="37"/>
  <c r="N636" i="37"/>
  <c r="N637" i="37"/>
  <c r="N638" i="37"/>
  <c r="N639" i="37"/>
  <c r="N640" i="37"/>
  <c r="N641" i="37"/>
  <c r="N642" i="37"/>
  <c r="N643" i="37"/>
  <c r="N644" i="37"/>
  <c r="N645" i="37"/>
  <c r="N646" i="37"/>
  <c r="N647" i="37"/>
  <c r="N648" i="37"/>
  <c r="N649" i="37"/>
  <c r="N650" i="37"/>
  <c r="N651" i="37"/>
  <c r="N652" i="37"/>
  <c r="N653" i="37"/>
  <c r="N654" i="37"/>
  <c r="N655" i="37"/>
  <c r="N656" i="37"/>
  <c r="N657" i="37"/>
  <c r="N658" i="37"/>
  <c r="N659" i="37"/>
  <c r="N660" i="37"/>
  <c r="N661" i="37"/>
  <c r="N662" i="37"/>
  <c r="N663" i="37"/>
  <c r="N664" i="37"/>
  <c r="N665" i="37"/>
  <c r="N666" i="37"/>
  <c r="N667" i="37"/>
  <c r="N668" i="37"/>
  <c r="N669" i="37"/>
  <c r="N670" i="37"/>
  <c r="N671" i="37"/>
  <c r="N672" i="37"/>
  <c r="N673" i="37"/>
  <c r="N674" i="37"/>
  <c r="N675" i="37"/>
  <c r="N676" i="37"/>
  <c r="N677" i="37"/>
  <c r="N678" i="37"/>
  <c r="N679" i="37"/>
  <c r="N680" i="37"/>
  <c r="N681" i="37"/>
  <c r="N682" i="37"/>
  <c r="N683" i="37"/>
  <c r="N684" i="37"/>
  <c r="N685" i="37"/>
  <c r="N686" i="37"/>
  <c r="N687" i="37"/>
  <c r="N688" i="37"/>
  <c r="N689" i="37"/>
  <c r="N690" i="37"/>
  <c r="N691" i="37"/>
  <c r="N692" i="37"/>
  <c r="N693" i="37"/>
  <c r="N694" i="37"/>
  <c r="N695" i="37"/>
  <c r="N696" i="37"/>
  <c r="N697" i="37"/>
  <c r="N698" i="37"/>
  <c r="N699" i="37"/>
  <c r="N700" i="37"/>
  <c r="N701" i="37"/>
  <c r="N702" i="37"/>
  <c r="N703" i="37"/>
  <c r="N704" i="37"/>
  <c r="N705" i="37"/>
  <c r="N706" i="37"/>
  <c r="N707" i="37"/>
  <c r="N708" i="37"/>
  <c r="N709" i="37"/>
  <c r="N710" i="37"/>
  <c r="N711" i="37"/>
  <c r="N712" i="37"/>
  <c r="N713" i="37"/>
  <c r="N714" i="37"/>
  <c r="N715" i="37"/>
  <c r="N716" i="37"/>
  <c r="N717" i="37"/>
  <c r="N718" i="37"/>
  <c r="N719" i="37"/>
  <c r="N720" i="37"/>
  <c r="N721" i="37"/>
  <c r="N722" i="37"/>
  <c r="N723" i="37"/>
  <c r="D10" i="28" s="1"/>
  <c r="N724" i="37"/>
  <c r="E10" i="28" s="1"/>
  <c r="N725" i="37"/>
  <c r="F10" i="28" s="1"/>
  <c r="N726" i="37"/>
  <c r="G10" i="28" s="1"/>
  <c r="N727" i="37"/>
  <c r="H10" i="28" s="1"/>
  <c r="N728" i="37"/>
  <c r="I10" i="28" s="1"/>
  <c r="N729" i="37"/>
  <c r="J10" i="28" s="1"/>
  <c r="N730" i="37"/>
  <c r="K10" i="28" s="1"/>
  <c r="N731" i="37"/>
  <c r="L10" i="28" s="1"/>
  <c r="N732" i="37"/>
  <c r="M10" i="28" s="1"/>
  <c r="N733" i="37"/>
  <c r="N10" i="28" s="1"/>
  <c r="N734" i="37"/>
  <c r="O10" i="28" s="1"/>
  <c r="N735" i="37"/>
  <c r="P10" i="28" s="1"/>
  <c r="N736" i="37"/>
  <c r="Q10" i="28" s="1"/>
  <c r="N737" i="37"/>
  <c r="R10" i="28" s="1"/>
  <c r="N738" i="37"/>
  <c r="S10" i="28" s="1"/>
  <c r="N739" i="37"/>
  <c r="T10" i="28" s="1"/>
  <c r="N740" i="37"/>
  <c r="U10" i="28" s="1"/>
  <c r="N741" i="37"/>
  <c r="V10" i="28" s="1"/>
  <c r="N742" i="37"/>
  <c r="W10" i="28" s="1"/>
  <c r="N743" i="37"/>
  <c r="X10" i="28" s="1"/>
  <c r="N744" i="37"/>
  <c r="Y10" i="28" s="1"/>
  <c r="N745" i="37"/>
  <c r="Z10" i="28" s="1"/>
  <c r="N746" i="37"/>
  <c r="AA10" i="28" s="1"/>
  <c r="N747" i="37"/>
  <c r="AB10" i="28" s="1"/>
  <c r="N748" i="37"/>
  <c r="AC10" i="28" s="1"/>
  <c r="N749" i="37"/>
  <c r="AD10" i="28" s="1"/>
  <c r="N750" i="37"/>
  <c r="AE10" i="28" s="1"/>
  <c r="N751" i="37"/>
  <c r="AF10" i="28" s="1"/>
  <c r="N752" i="37"/>
  <c r="AG10" i="28" s="1"/>
  <c r="N753" i="37"/>
  <c r="AH10" i="28" s="1"/>
  <c r="N754" i="37"/>
  <c r="AI10" i="28" s="1"/>
  <c r="N755" i="37"/>
  <c r="AJ10" i="28" s="1"/>
  <c r="N756" i="37"/>
  <c r="AK10" i="28" s="1"/>
  <c r="N757" i="37"/>
  <c r="AL10" i="28" s="1"/>
  <c r="AM10" i="28"/>
  <c r="D7" i="28"/>
  <c r="D6" i="28"/>
  <c r="C15" i="32"/>
  <c r="C16" i="32"/>
  <c r="C17" i="32"/>
  <c r="C18" i="32"/>
  <c r="C19" i="32"/>
  <c r="C20" i="32"/>
  <c r="C21" i="32"/>
  <c r="C22" i="32"/>
  <c r="C23" i="32"/>
  <c r="C24" i="32"/>
  <c r="C25" i="32"/>
  <c r="C26" i="32"/>
  <c r="C27" i="32"/>
  <c r="C28" i="32"/>
  <c r="C29" i="32"/>
  <c r="C30" i="32"/>
  <c r="C31" i="32"/>
  <c r="C32" i="32"/>
  <c r="C33" i="32"/>
  <c r="C34" i="32"/>
  <c r="C35" i="32"/>
  <c r="C36" i="32"/>
  <c r="C37" i="32"/>
  <c r="C38" i="32"/>
  <c r="C39" i="32"/>
  <c r="C40" i="32"/>
  <c r="C41" i="32"/>
  <c r="C42" i="32"/>
  <c r="C43" i="32"/>
  <c r="C44" i="32"/>
  <c r="C45" i="32"/>
  <c r="C46" i="32"/>
  <c r="C47" i="32"/>
  <c r="C48" i="32"/>
  <c r="C49" i="32"/>
  <c r="C50" i="32"/>
  <c r="C51" i="32"/>
  <c r="C52" i="32"/>
  <c r="C53" i="32"/>
  <c r="C54" i="32"/>
  <c r="C55" i="32"/>
  <c r="C56" i="32"/>
  <c r="C57" i="32"/>
  <c r="C58" i="32"/>
  <c r="C59" i="32"/>
  <c r="C60" i="32"/>
  <c r="C61" i="32"/>
  <c r="C62" i="32"/>
  <c r="C63" i="32"/>
  <c r="C64" i="32"/>
  <c r="C65" i="32"/>
  <c r="C66" i="32"/>
  <c r="C67" i="32"/>
  <c r="C68" i="32"/>
  <c r="C69" i="32"/>
  <c r="C70" i="32"/>
  <c r="C71" i="32"/>
  <c r="C72" i="32"/>
  <c r="C73" i="32"/>
  <c r="C74" i="32"/>
  <c r="C75" i="32"/>
  <c r="C76" i="32"/>
  <c r="C77" i="32"/>
  <c r="C78" i="32"/>
  <c r="C79" i="32"/>
  <c r="C80" i="32"/>
  <c r="C81" i="32"/>
  <c r="C82" i="32"/>
  <c r="C83" i="32"/>
  <c r="C84" i="32"/>
  <c r="C85" i="32"/>
  <c r="C86" i="32"/>
  <c r="C87" i="32"/>
  <c r="C88" i="32"/>
  <c r="C89" i="32"/>
  <c r="C90" i="32"/>
  <c r="C91" i="32"/>
  <c r="C92" i="32"/>
  <c r="C93" i="32"/>
  <c r="C94" i="32"/>
  <c r="C95" i="32"/>
  <c r="C96" i="32"/>
  <c r="C97" i="32"/>
  <c r="C98" i="32"/>
  <c r="C99" i="32"/>
  <c r="C100" i="32"/>
  <c r="C101" i="32"/>
  <c r="C102" i="32"/>
  <c r="C103" i="32"/>
  <c r="C104" i="32"/>
  <c r="C105" i="32"/>
  <c r="C106" i="32"/>
  <c r="C107" i="32"/>
  <c r="C108" i="32"/>
  <c r="C109" i="32"/>
  <c r="C110" i="32"/>
  <c r="C111" i="32"/>
  <c r="C112" i="32"/>
  <c r="C113" i="32"/>
  <c r="C114" i="32"/>
  <c r="C115" i="32"/>
  <c r="C116" i="32"/>
  <c r="C117" i="32"/>
  <c r="C118" i="32"/>
  <c r="C119" i="32"/>
  <c r="C120" i="32"/>
  <c r="C121" i="32"/>
  <c r="C122" i="32"/>
  <c r="C123" i="32"/>
  <c r="C124" i="32"/>
  <c r="C125" i="32"/>
  <c r="C126" i="32"/>
  <c r="C127" i="32"/>
  <c r="C128" i="32"/>
  <c r="C129" i="32"/>
  <c r="C130" i="32"/>
  <c r="C131" i="32"/>
  <c r="C132" i="32"/>
  <c r="C133" i="32"/>
  <c r="C134" i="32"/>
  <c r="C135" i="32"/>
  <c r="C136" i="32"/>
  <c r="C137" i="32"/>
  <c r="C138" i="32"/>
  <c r="C139" i="32"/>
  <c r="C140" i="32"/>
  <c r="C141" i="32"/>
  <c r="C142" i="32"/>
  <c r="C143" i="32"/>
  <c r="C144" i="32"/>
  <c r="C145" i="32"/>
  <c r="C146" i="32"/>
  <c r="C147" i="32"/>
  <c r="C148" i="32"/>
  <c r="C149" i="32"/>
  <c r="C150" i="32"/>
  <c r="C151" i="32"/>
  <c r="C152" i="32"/>
  <c r="C153" i="32"/>
  <c r="C154" i="32"/>
  <c r="C155" i="32"/>
  <c r="C156" i="32"/>
  <c r="C157" i="32"/>
  <c r="C158" i="32"/>
  <c r="C159" i="32"/>
  <c r="C160" i="32"/>
  <c r="C161" i="32"/>
  <c r="C162" i="32"/>
  <c r="C163" i="32"/>
  <c r="C164" i="32"/>
  <c r="C165" i="32"/>
  <c r="C166" i="32"/>
  <c r="C167" i="32"/>
  <c r="C168" i="32"/>
  <c r="C169" i="32"/>
  <c r="C170" i="32"/>
  <c r="C171" i="32"/>
  <c r="C172" i="32"/>
  <c r="C173" i="32"/>
  <c r="C174" i="32"/>
  <c r="C175" i="32"/>
  <c r="C176" i="32"/>
  <c r="C177" i="32"/>
  <c r="C178" i="32"/>
  <c r="C179" i="32"/>
  <c r="C180" i="32"/>
  <c r="C181" i="32"/>
  <c r="C182" i="32"/>
  <c r="C183" i="32"/>
  <c r="C184" i="32"/>
  <c r="C185" i="32"/>
  <c r="C186" i="32"/>
  <c r="C187" i="32"/>
  <c r="C188" i="32"/>
  <c r="C189" i="32"/>
  <c r="C190" i="32"/>
  <c r="C191" i="32"/>
  <c r="C192" i="32"/>
  <c r="C193" i="32"/>
  <c r="C194" i="32"/>
  <c r="C195" i="32"/>
  <c r="C196" i="32"/>
  <c r="C197" i="32"/>
  <c r="C198" i="32"/>
  <c r="C199" i="32"/>
  <c r="C200" i="32"/>
  <c r="C201" i="32"/>
  <c r="C202" i="32"/>
  <c r="C203" i="32"/>
  <c r="C204" i="32"/>
  <c r="C205" i="32"/>
  <c r="C206" i="32"/>
  <c r="C207" i="32"/>
  <c r="C208" i="32"/>
  <c r="C209" i="32"/>
  <c r="C210" i="32"/>
  <c r="C211" i="32"/>
  <c r="C212" i="32"/>
  <c r="C213" i="32"/>
  <c r="C214" i="32"/>
  <c r="C215" i="32"/>
  <c r="C216" i="32"/>
  <c r="C217" i="32"/>
  <c r="C218" i="32"/>
  <c r="C219" i="32"/>
  <c r="C220" i="32"/>
  <c r="C221" i="32"/>
  <c r="C222" i="32"/>
  <c r="C223" i="32"/>
  <c r="C224" i="32"/>
  <c r="C225" i="32"/>
  <c r="C226" i="32"/>
  <c r="C227" i="32"/>
  <c r="C228" i="32"/>
  <c r="C229" i="32"/>
  <c r="C230" i="32"/>
  <c r="C231" i="32"/>
  <c r="C232" i="32"/>
  <c r="C233" i="32"/>
  <c r="C234" i="32"/>
  <c r="C235" i="32"/>
  <c r="C236" i="32"/>
  <c r="C237" i="32"/>
  <c r="C238" i="32"/>
  <c r="C239" i="32"/>
  <c r="C240" i="32"/>
  <c r="C241" i="32"/>
  <c r="C242" i="32"/>
  <c r="C243" i="32"/>
  <c r="C244" i="32"/>
  <c r="C245" i="32"/>
  <c r="C246" i="32"/>
  <c r="C247" i="32"/>
  <c r="C248" i="32"/>
  <c r="C249" i="32"/>
  <c r="C250" i="32"/>
  <c r="C251" i="32"/>
  <c r="C252" i="32"/>
  <c r="C253" i="32"/>
  <c r="C254" i="32"/>
  <c r="C255" i="32"/>
  <c r="C256" i="32"/>
  <c r="C257" i="32"/>
  <c r="C258" i="32"/>
  <c r="C259" i="32"/>
  <c r="C260" i="32"/>
  <c r="C261" i="32"/>
  <c r="C262" i="32"/>
  <c r="C263" i="32"/>
  <c r="C264" i="32"/>
  <c r="C265" i="32"/>
  <c r="C266" i="32"/>
  <c r="C267" i="32"/>
  <c r="C268" i="32"/>
  <c r="C269" i="32"/>
  <c r="C270" i="32"/>
  <c r="C271" i="32"/>
  <c r="C272" i="32"/>
  <c r="C273" i="32"/>
  <c r="C274" i="32"/>
  <c r="C275" i="32"/>
  <c r="C276" i="32"/>
  <c r="C277" i="32"/>
  <c r="C278" i="32"/>
  <c r="C279" i="32"/>
  <c r="C280" i="32"/>
  <c r="C281" i="32"/>
  <c r="C282" i="32"/>
  <c r="C283" i="32"/>
  <c r="C284" i="32"/>
  <c r="C285" i="32"/>
  <c r="C286" i="32"/>
  <c r="C287" i="32"/>
  <c r="C288" i="32"/>
  <c r="C289" i="32"/>
  <c r="C290" i="32"/>
  <c r="C291" i="32"/>
  <c r="C292" i="32"/>
  <c r="C293" i="32"/>
  <c r="C294" i="32"/>
  <c r="C295" i="32"/>
  <c r="C296" i="32"/>
  <c r="C297" i="32"/>
  <c r="C298" i="32"/>
  <c r="C299" i="32"/>
  <c r="C300" i="32"/>
  <c r="C301" i="32"/>
  <c r="C302" i="32"/>
  <c r="C303" i="32"/>
  <c r="C304" i="32"/>
  <c r="C305" i="32"/>
  <c r="C306" i="32"/>
  <c r="C307" i="32"/>
  <c r="C308" i="32"/>
  <c r="C309" i="32"/>
  <c r="C310" i="32"/>
  <c r="C311" i="32"/>
  <c r="C312" i="32"/>
  <c r="C313" i="32"/>
  <c r="C314" i="32"/>
  <c r="C315" i="32"/>
  <c r="C316" i="32"/>
  <c r="C317" i="32"/>
  <c r="C318" i="32"/>
  <c r="C319" i="32"/>
  <c r="C320" i="32"/>
  <c r="C321" i="32"/>
  <c r="C322" i="32"/>
  <c r="C323" i="32"/>
  <c r="C324" i="32"/>
  <c r="C325" i="32"/>
  <c r="C326" i="32"/>
  <c r="C327" i="32"/>
  <c r="C328" i="32"/>
  <c r="C329" i="32"/>
  <c r="C330" i="32"/>
  <c r="C331" i="32"/>
  <c r="C332" i="32"/>
  <c r="C333" i="32"/>
  <c r="C334" i="32"/>
  <c r="C335" i="32"/>
  <c r="C336" i="32"/>
  <c r="C337" i="32"/>
  <c r="C338" i="32"/>
  <c r="C339" i="32"/>
  <c r="C340" i="32"/>
  <c r="C341" i="32"/>
  <c r="C342" i="32"/>
  <c r="C343" i="32"/>
  <c r="C344" i="32"/>
  <c r="C345" i="32"/>
  <c r="C346" i="32"/>
  <c r="C347" i="32"/>
  <c r="C348" i="32"/>
  <c r="C349" i="32"/>
  <c r="C350" i="32"/>
  <c r="C351" i="32"/>
  <c r="C352" i="32"/>
  <c r="C353" i="32"/>
  <c r="C354" i="32"/>
  <c r="C355" i="32"/>
  <c r="C356" i="32"/>
  <c r="C357" i="32"/>
  <c r="C358" i="32"/>
  <c r="C359" i="32"/>
  <c r="C360" i="32"/>
  <c r="C361" i="32"/>
  <c r="C362" i="32"/>
  <c r="C363" i="32"/>
  <c r="C364" i="32"/>
  <c r="C365" i="32"/>
  <c r="C366" i="32"/>
  <c r="C367" i="32"/>
  <c r="C368" i="32"/>
  <c r="C369" i="32"/>
  <c r="C370" i="32"/>
  <c r="C371" i="32"/>
  <c r="C372" i="32"/>
  <c r="C373" i="32"/>
  <c r="C374" i="32"/>
  <c r="C375" i="32"/>
  <c r="C376" i="32"/>
  <c r="C377" i="32"/>
  <c r="C378" i="32"/>
  <c r="C379" i="32"/>
  <c r="C380" i="32"/>
  <c r="C381" i="32"/>
  <c r="C382" i="32"/>
  <c r="C383" i="32"/>
  <c r="C384" i="32"/>
  <c r="C385" i="32"/>
  <c r="C386" i="32"/>
  <c r="C387" i="32"/>
  <c r="C388" i="32"/>
  <c r="C389" i="32"/>
  <c r="C390" i="32"/>
  <c r="C391" i="32"/>
  <c r="C392" i="32"/>
  <c r="C393" i="32"/>
  <c r="C394" i="32"/>
  <c r="C395" i="32"/>
  <c r="C396" i="32"/>
  <c r="C397" i="32"/>
  <c r="C398" i="32"/>
  <c r="C399" i="32"/>
  <c r="C400" i="32"/>
  <c r="C401" i="32"/>
  <c r="C402" i="32"/>
  <c r="C403" i="32"/>
  <c r="C404" i="32"/>
  <c r="C405" i="32"/>
  <c r="C406" i="32"/>
  <c r="C407" i="32"/>
  <c r="C408" i="32"/>
  <c r="C409" i="32"/>
  <c r="C410" i="32"/>
  <c r="C411" i="32"/>
  <c r="C412" i="32"/>
  <c r="C413" i="32"/>
  <c r="C414" i="32"/>
  <c r="C415" i="32"/>
  <c r="C416" i="32"/>
  <c r="C417" i="32"/>
  <c r="C418" i="32"/>
  <c r="C419" i="32"/>
  <c r="C420" i="32"/>
  <c r="C421" i="32"/>
  <c r="C422" i="32"/>
  <c r="C423" i="32"/>
  <c r="C424" i="32"/>
  <c r="C425" i="32"/>
  <c r="C426" i="32"/>
  <c r="C427" i="32"/>
  <c r="C428" i="32"/>
  <c r="C429" i="32"/>
  <c r="C430" i="32"/>
  <c r="C431" i="32"/>
  <c r="C432" i="32"/>
  <c r="C433" i="32"/>
  <c r="C434" i="32"/>
  <c r="C435" i="32"/>
  <c r="C436" i="32"/>
  <c r="C437" i="32"/>
  <c r="C438" i="32"/>
  <c r="C439" i="32"/>
  <c r="C440" i="32"/>
  <c r="C441" i="32"/>
  <c r="C442" i="32"/>
  <c r="C443" i="32"/>
  <c r="C444" i="32"/>
  <c r="C445" i="32"/>
  <c r="C446" i="32"/>
  <c r="C447" i="32"/>
  <c r="C448" i="32"/>
  <c r="C449" i="32"/>
  <c r="C450" i="32"/>
  <c r="C451" i="32"/>
  <c r="C452" i="32"/>
  <c r="C453" i="32"/>
  <c r="C454" i="32"/>
  <c r="C455" i="32"/>
  <c r="C456" i="32"/>
  <c r="C457" i="32"/>
  <c r="C458" i="32"/>
  <c r="C459" i="32"/>
  <c r="C460" i="32"/>
  <c r="C461" i="32"/>
  <c r="C462" i="32"/>
  <c r="C463" i="32"/>
  <c r="C464" i="32"/>
  <c r="C465" i="32"/>
  <c r="C466" i="32"/>
  <c r="C467" i="32"/>
  <c r="C468" i="32"/>
  <c r="C469" i="32"/>
  <c r="C470" i="32"/>
  <c r="C471" i="32"/>
  <c r="C472" i="32"/>
  <c r="C473" i="32"/>
  <c r="C474" i="32"/>
  <c r="C475" i="32"/>
  <c r="C476" i="32"/>
  <c r="C477" i="32"/>
  <c r="C478" i="32"/>
  <c r="C479" i="32"/>
  <c r="C480" i="32"/>
  <c r="C481" i="32"/>
  <c r="C482" i="32"/>
  <c r="C483" i="32"/>
  <c r="C484" i="32"/>
  <c r="C485" i="32"/>
  <c r="C486" i="32"/>
  <c r="C487" i="32"/>
  <c r="C488" i="32"/>
  <c r="C489" i="32"/>
  <c r="C490" i="32"/>
  <c r="C491" i="32"/>
  <c r="C492" i="32"/>
  <c r="C493" i="32"/>
  <c r="C494" i="32"/>
  <c r="C495" i="32"/>
  <c r="C496" i="32"/>
  <c r="C497" i="32"/>
  <c r="C498" i="32"/>
  <c r="C499" i="32"/>
  <c r="C500" i="32"/>
  <c r="C501" i="32"/>
  <c r="C502" i="32"/>
  <c r="C503" i="32"/>
  <c r="C504" i="32"/>
  <c r="C505" i="32"/>
  <c r="C506" i="32"/>
  <c r="C507" i="32"/>
  <c r="C508" i="32"/>
  <c r="C509" i="32"/>
  <c r="C510" i="32"/>
  <c r="C511" i="32"/>
  <c r="C512" i="32"/>
  <c r="C513" i="32"/>
  <c r="C514" i="32"/>
  <c r="C515" i="32"/>
  <c r="C516" i="32"/>
  <c r="C517" i="32"/>
  <c r="C518" i="32"/>
  <c r="C519" i="32"/>
  <c r="C520" i="32"/>
  <c r="C521" i="32"/>
  <c r="C522" i="32"/>
  <c r="C523" i="32"/>
  <c r="C524" i="32"/>
  <c r="C525" i="32"/>
  <c r="C526" i="32"/>
  <c r="C527" i="32"/>
  <c r="C528" i="32"/>
  <c r="C529" i="32"/>
  <c r="C530" i="32"/>
  <c r="C531" i="32"/>
  <c r="C532" i="32"/>
  <c r="C533" i="32"/>
  <c r="C534" i="32"/>
  <c r="C535" i="32"/>
  <c r="C536" i="32"/>
  <c r="C537" i="32"/>
  <c r="C538" i="32"/>
  <c r="C539" i="32"/>
  <c r="C540" i="32"/>
  <c r="C541" i="32"/>
  <c r="C542" i="32"/>
  <c r="C543" i="32"/>
  <c r="C544" i="32"/>
  <c r="C545" i="32"/>
  <c r="C546" i="32"/>
  <c r="C547" i="32"/>
  <c r="C548" i="32"/>
  <c r="C549" i="32"/>
  <c r="C550" i="32"/>
  <c r="C551" i="32"/>
  <c r="C552" i="32"/>
  <c r="C553" i="32"/>
  <c r="C554" i="32"/>
  <c r="C555" i="32"/>
  <c r="C556" i="32"/>
  <c r="C557" i="32"/>
  <c r="C558" i="32"/>
  <c r="C559" i="32"/>
  <c r="C560" i="32"/>
  <c r="C561" i="32"/>
  <c r="C562" i="32"/>
  <c r="C563" i="32"/>
  <c r="C564" i="32"/>
  <c r="C565" i="32"/>
  <c r="C566" i="32"/>
  <c r="C567" i="32"/>
  <c r="C568" i="32"/>
  <c r="C569" i="32"/>
  <c r="C570" i="32"/>
  <c r="C571" i="32"/>
  <c r="C572" i="32"/>
  <c r="C573" i="32"/>
  <c r="C574" i="32"/>
  <c r="C575" i="32"/>
  <c r="C576" i="32"/>
  <c r="C577" i="32"/>
  <c r="C578" i="32"/>
  <c r="C579" i="32"/>
  <c r="C580" i="32"/>
  <c r="C581" i="32"/>
  <c r="C582" i="32"/>
  <c r="C583" i="32"/>
  <c r="C584" i="32"/>
  <c r="C585" i="32"/>
  <c r="C586" i="32"/>
  <c r="C587" i="32"/>
  <c r="C588" i="32"/>
  <c r="C589" i="32"/>
  <c r="C590" i="32"/>
  <c r="C591" i="32"/>
  <c r="C592" i="32"/>
  <c r="C593" i="32"/>
  <c r="C594" i="32"/>
  <c r="C595" i="32"/>
  <c r="C596" i="32"/>
  <c r="C597" i="32"/>
  <c r="C598" i="32"/>
  <c r="C599" i="32"/>
  <c r="C600" i="32"/>
  <c r="C601" i="32"/>
  <c r="C602" i="32"/>
  <c r="C603" i="32"/>
  <c r="C604" i="32"/>
  <c r="C605" i="32"/>
  <c r="C606" i="32"/>
  <c r="C607" i="32"/>
  <c r="C608" i="32"/>
  <c r="C609" i="32"/>
  <c r="C610" i="32"/>
  <c r="C611" i="32"/>
  <c r="C612" i="32"/>
  <c r="C613" i="32"/>
  <c r="C614" i="32"/>
  <c r="C615" i="32"/>
  <c r="C616" i="32"/>
  <c r="C617" i="32"/>
  <c r="C618" i="32"/>
  <c r="C619" i="32"/>
  <c r="C620" i="32"/>
  <c r="C621" i="32"/>
  <c r="C622" i="32"/>
  <c r="C623" i="32"/>
  <c r="C624" i="32"/>
  <c r="C625" i="32"/>
  <c r="C626" i="32"/>
  <c r="C627" i="32"/>
  <c r="C628" i="32"/>
  <c r="C629" i="32"/>
  <c r="C630" i="32"/>
  <c r="C631" i="32"/>
  <c r="C632" i="32"/>
  <c r="C633" i="32"/>
  <c r="C634" i="32"/>
  <c r="C635" i="32"/>
  <c r="C636" i="32"/>
  <c r="C637" i="32"/>
  <c r="C638" i="32"/>
  <c r="C639" i="32"/>
  <c r="C640" i="32"/>
  <c r="C641" i="32"/>
  <c r="C642" i="32"/>
  <c r="C643" i="32"/>
  <c r="C644" i="32"/>
  <c r="C645" i="32"/>
  <c r="C646" i="32"/>
  <c r="C647" i="32"/>
  <c r="C648" i="32"/>
  <c r="C649" i="32"/>
  <c r="C650" i="32"/>
  <c r="C651" i="32"/>
  <c r="C652" i="32"/>
  <c r="C653" i="32"/>
  <c r="C654" i="32"/>
  <c r="C655" i="32"/>
  <c r="C656" i="32"/>
  <c r="C657" i="32"/>
  <c r="C658" i="32"/>
  <c r="C659" i="32"/>
  <c r="C660" i="32"/>
  <c r="C661" i="32"/>
  <c r="C662" i="32"/>
  <c r="C663" i="32"/>
  <c r="C664" i="32"/>
  <c r="C665" i="32"/>
  <c r="C666" i="32"/>
  <c r="C667" i="32"/>
  <c r="C668" i="32"/>
  <c r="C669" i="32"/>
  <c r="C670" i="32"/>
  <c r="C671" i="32"/>
  <c r="C672" i="32"/>
  <c r="C673" i="32"/>
  <c r="C674" i="32"/>
  <c r="C675" i="32"/>
  <c r="C676" i="32"/>
  <c r="C677" i="32"/>
  <c r="C678" i="32"/>
  <c r="C679" i="32"/>
  <c r="C680" i="32"/>
  <c r="C681" i="32"/>
  <c r="C682" i="32"/>
  <c r="C683" i="32"/>
  <c r="C684" i="32"/>
  <c r="C685" i="32"/>
  <c r="C686" i="32"/>
  <c r="C687" i="32"/>
  <c r="C688" i="32"/>
  <c r="C689" i="32"/>
  <c r="C690" i="32"/>
  <c r="C691" i="32"/>
  <c r="C692" i="32"/>
  <c r="C693" i="32"/>
  <c r="C694" i="32"/>
  <c r="C695" i="32"/>
  <c r="C696" i="32"/>
  <c r="C697" i="32"/>
  <c r="C698" i="32"/>
  <c r="C699" i="32"/>
  <c r="C700" i="32"/>
  <c r="C701" i="32"/>
  <c r="C702" i="32"/>
  <c r="C703" i="32"/>
  <c r="C704" i="32"/>
  <c r="C705" i="32"/>
  <c r="C706" i="32"/>
  <c r="C707" i="32"/>
  <c r="C708" i="32"/>
  <c r="C709" i="32"/>
  <c r="C710" i="32"/>
  <c r="C711" i="32"/>
  <c r="C712" i="32"/>
  <c r="C713" i="32"/>
  <c r="C714" i="32"/>
  <c r="C715" i="32"/>
  <c r="C716" i="32"/>
  <c r="C717" i="32"/>
  <c r="C718" i="32"/>
  <c r="C719" i="32"/>
  <c r="C720" i="32"/>
  <c r="C721" i="32"/>
  <c r="C722" i="32"/>
  <c r="C723" i="32"/>
  <c r="C724" i="32"/>
  <c r="C725" i="32"/>
  <c r="C726" i="32"/>
  <c r="C727" i="32"/>
  <c r="C728" i="32"/>
  <c r="C729" i="32"/>
  <c r="C730" i="32"/>
  <c r="C731" i="32"/>
  <c r="C732" i="32"/>
  <c r="C733" i="32"/>
  <c r="C734" i="32"/>
  <c r="C735" i="32"/>
  <c r="C736" i="32"/>
  <c r="C737" i="32"/>
  <c r="C738" i="32"/>
  <c r="C739" i="32"/>
  <c r="C740" i="32"/>
  <c r="C741" i="32"/>
  <c r="C742" i="32"/>
  <c r="C743" i="32"/>
  <c r="C744" i="32"/>
  <c r="C745" i="32"/>
  <c r="C746" i="32"/>
  <c r="C747" i="32"/>
  <c r="C748" i="32"/>
  <c r="C749" i="32"/>
  <c r="C750" i="32"/>
  <c r="C751" i="32"/>
  <c r="C752" i="32"/>
  <c r="C753" i="32"/>
  <c r="C754" i="32"/>
  <c r="C755" i="32"/>
  <c r="C756" i="32"/>
  <c r="C757" i="32"/>
  <c r="C758" i="32"/>
  <c r="C759" i="32"/>
  <c r="C760" i="32"/>
  <c r="C761" i="32"/>
  <c r="C762" i="32"/>
  <c r="C763" i="32"/>
  <c r="C764" i="32"/>
  <c r="C765" i="32"/>
  <c r="C766" i="32"/>
  <c r="C767" i="32"/>
  <c r="C768" i="32"/>
  <c r="C769" i="32"/>
  <c r="C770" i="32"/>
  <c r="C771" i="32"/>
  <c r="C772" i="32"/>
  <c r="C773" i="32"/>
  <c r="C774" i="32"/>
  <c r="C775" i="32"/>
  <c r="C776" i="32"/>
  <c r="C777" i="32"/>
  <c r="C778" i="32"/>
  <c r="C779" i="32"/>
  <c r="C780" i="32"/>
  <c r="C781" i="32"/>
  <c r="C782" i="32"/>
  <c r="C783" i="32"/>
  <c r="C784" i="32"/>
  <c r="C785" i="32"/>
  <c r="C786" i="32"/>
  <c r="C787" i="32"/>
  <c r="C788" i="32"/>
  <c r="C789" i="32"/>
  <c r="C790" i="32"/>
  <c r="C791" i="32"/>
  <c r="C792" i="32"/>
  <c r="C793" i="32"/>
  <c r="C794" i="32"/>
  <c r="C795" i="32"/>
  <c r="C796" i="32"/>
  <c r="C797" i="32"/>
  <c r="C798" i="32"/>
  <c r="C799" i="32"/>
  <c r="C800" i="32"/>
  <c r="C801" i="32"/>
  <c r="C802" i="32"/>
  <c r="C803" i="32"/>
  <c r="C804" i="32"/>
  <c r="C805" i="32"/>
  <c r="C806" i="32"/>
  <c r="C807" i="32"/>
  <c r="C808" i="32"/>
  <c r="C809" i="32"/>
  <c r="C810" i="32"/>
  <c r="C811" i="32"/>
  <c r="C812" i="32"/>
  <c r="C813" i="32"/>
  <c r="C814" i="32"/>
  <c r="C815" i="32"/>
  <c r="C816" i="32"/>
  <c r="C817" i="32"/>
  <c r="C818" i="32"/>
  <c r="C819" i="32"/>
  <c r="C820" i="32"/>
  <c r="C821" i="32"/>
  <c r="C822" i="32"/>
  <c r="C823" i="32"/>
  <c r="C824" i="32"/>
  <c r="C825" i="32"/>
  <c r="C826" i="32"/>
  <c r="C827" i="32"/>
  <c r="C828" i="32"/>
  <c r="C829" i="32"/>
  <c r="C830" i="32"/>
  <c r="C831" i="32"/>
  <c r="C832" i="32"/>
  <c r="C833" i="32"/>
  <c r="C834" i="32"/>
  <c r="C835" i="32"/>
  <c r="C836" i="32"/>
  <c r="C837" i="32"/>
  <c r="C838" i="32"/>
  <c r="C839" i="32"/>
  <c r="C840" i="32"/>
  <c r="C841" i="32"/>
  <c r="C842" i="32"/>
  <c r="C843" i="32"/>
  <c r="C844" i="32"/>
  <c r="C845" i="32"/>
  <c r="C846" i="32"/>
  <c r="C847" i="32"/>
  <c r="C848" i="32"/>
  <c r="C849" i="32"/>
  <c r="C850" i="32"/>
  <c r="C851" i="32"/>
  <c r="C852" i="32"/>
  <c r="C853" i="32"/>
  <c r="C854" i="32"/>
  <c r="C855" i="32"/>
  <c r="C856" i="32"/>
  <c r="C857" i="32"/>
  <c r="C858" i="32"/>
  <c r="C859" i="32"/>
  <c r="C860" i="32"/>
  <c r="C861" i="32"/>
  <c r="C862" i="32"/>
  <c r="C863" i="32"/>
  <c r="C864" i="32"/>
  <c r="C865" i="32"/>
  <c r="C866" i="32"/>
  <c r="C867" i="32"/>
  <c r="C868" i="32"/>
  <c r="C869" i="32"/>
  <c r="C870" i="32"/>
  <c r="C871" i="32"/>
  <c r="C872" i="32"/>
  <c r="C873" i="32"/>
  <c r="C874" i="32"/>
  <c r="C875" i="32"/>
  <c r="C876" i="32"/>
  <c r="C877" i="32"/>
  <c r="C878" i="32"/>
  <c r="C879" i="32"/>
  <c r="C880" i="32"/>
  <c r="C881" i="32"/>
  <c r="C882" i="32"/>
  <c r="C883" i="32"/>
  <c r="C884" i="32"/>
  <c r="C885" i="32"/>
  <c r="C886" i="32"/>
  <c r="C887" i="32"/>
  <c r="C888" i="32"/>
  <c r="C889" i="32"/>
  <c r="C890" i="32"/>
  <c r="C891" i="32"/>
  <c r="C892" i="32"/>
  <c r="C893" i="32"/>
  <c r="C894" i="32"/>
  <c r="C895" i="32"/>
  <c r="C896" i="32"/>
  <c r="C897" i="32"/>
  <c r="C898" i="32"/>
  <c r="C899" i="32"/>
  <c r="C900" i="32"/>
  <c r="C901" i="32"/>
  <c r="C902" i="32"/>
  <c r="C903" i="32"/>
  <c r="C904" i="32"/>
  <c r="C905" i="32"/>
  <c r="C907" i="32"/>
  <c r="C908" i="32"/>
  <c r="C909" i="32"/>
  <c r="C910" i="32"/>
  <c r="C911" i="32"/>
  <c r="C912" i="32"/>
  <c r="C913" i="32"/>
  <c r="C906" i="32"/>
  <c r="Q59" i="28" l="1"/>
  <c r="S59" i="28"/>
  <c r="L59" i="28"/>
  <c r="D59" i="28"/>
  <c r="U59" i="28"/>
  <c r="J59" i="28"/>
  <c r="AB59" i="28"/>
  <c r="H59" i="28"/>
  <c r="W59" i="28"/>
  <c r="R59" i="28"/>
  <c r="N59" i="28"/>
  <c r="Y59" i="28"/>
  <c r="I59" i="28"/>
  <c r="AA59" i="28"/>
  <c r="E59" i="28"/>
  <c r="P59" i="28"/>
  <c r="G59" i="28"/>
  <c r="Z59" i="28"/>
  <c r="K59" i="28"/>
  <c r="AC59" i="28"/>
  <c r="F59" i="28"/>
  <c r="X59" i="28"/>
  <c r="M59" i="28"/>
  <c r="O59" i="28"/>
  <c r="T59" i="28"/>
  <c r="V59" i="28"/>
  <c r="H58" i="28"/>
  <c r="L57" i="28"/>
  <c r="L58" i="28"/>
  <c r="D57" i="28"/>
  <c r="D58" i="28"/>
  <c r="S57" i="28"/>
  <c r="S58" i="28"/>
  <c r="U57" i="28"/>
  <c r="U58" i="28"/>
  <c r="J57" i="28"/>
  <c r="J58" i="28"/>
  <c r="AB57" i="28"/>
  <c r="AB58" i="28"/>
  <c r="R57" i="28"/>
  <c r="R58" i="28"/>
  <c r="AA57" i="28"/>
  <c r="AA58" i="28"/>
  <c r="E57" i="28"/>
  <c r="E58" i="28"/>
  <c r="K57" i="28"/>
  <c r="K58" i="28"/>
  <c r="AC57" i="28"/>
  <c r="AC58" i="28"/>
  <c r="F57" i="28"/>
  <c r="F58" i="28"/>
  <c r="X57" i="28"/>
  <c r="X58" i="28"/>
  <c r="M57" i="28"/>
  <c r="M58" i="28"/>
  <c r="Q57" i="28"/>
  <c r="Q58" i="28"/>
  <c r="W57" i="28"/>
  <c r="W58" i="28"/>
  <c r="N57" i="28"/>
  <c r="N58" i="28"/>
  <c r="Y57" i="28"/>
  <c r="Y58" i="28"/>
  <c r="I57" i="28"/>
  <c r="I58" i="28"/>
  <c r="P57" i="28"/>
  <c r="P58" i="28"/>
  <c r="G57" i="28"/>
  <c r="G58" i="28"/>
  <c r="Z57" i="28"/>
  <c r="Z58" i="28"/>
  <c r="O57" i="28"/>
  <c r="O58" i="28"/>
  <c r="T57" i="28"/>
  <c r="T58" i="28"/>
  <c r="V57" i="28"/>
  <c r="V58" i="28"/>
  <c r="P638" i="32"/>
  <c r="P639" i="32"/>
  <c r="P640" i="32"/>
  <c r="P641" i="32"/>
  <c r="P642" i="32"/>
  <c r="P643" i="32"/>
  <c r="P644" i="32"/>
  <c r="P645" i="32"/>
  <c r="P646" i="32"/>
  <c r="P647" i="32"/>
  <c r="P648" i="32"/>
  <c r="P649" i="32"/>
  <c r="P650" i="32"/>
  <c r="P651" i="32"/>
  <c r="P652" i="32"/>
  <c r="P653" i="32"/>
  <c r="P654" i="32"/>
  <c r="P655" i="32"/>
  <c r="P656" i="32"/>
  <c r="P657" i="32"/>
  <c r="P658" i="32"/>
  <c r="P659" i="32"/>
  <c r="P660" i="32"/>
  <c r="P661" i="32"/>
  <c r="P662" i="32"/>
  <c r="P663" i="32"/>
  <c r="P664" i="32"/>
  <c r="P665" i="32"/>
  <c r="P666" i="32"/>
  <c r="P667" i="32"/>
  <c r="P668" i="32"/>
  <c r="P669" i="32"/>
  <c r="P670" i="32"/>
  <c r="P671" i="32"/>
  <c r="P672" i="32"/>
  <c r="P673" i="32"/>
  <c r="P674" i="32"/>
  <c r="P675" i="32"/>
  <c r="P676" i="32"/>
  <c r="P677" i="32"/>
  <c r="P678" i="32"/>
  <c r="P679" i="32"/>
  <c r="P680" i="32"/>
  <c r="P681" i="32"/>
  <c r="P682" i="32"/>
  <c r="P683" i="32"/>
  <c r="P684" i="32"/>
  <c r="P685" i="32"/>
  <c r="P686" i="32"/>
  <c r="P687" i="32"/>
  <c r="P688" i="32"/>
  <c r="P689" i="32"/>
  <c r="P690" i="32"/>
  <c r="P691" i="32"/>
  <c r="P692" i="32"/>
  <c r="P693" i="32"/>
  <c r="P694" i="32"/>
  <c r="P695" i="32"/>
  <c r="P696" i="32"/>
  <c r="P697" i="32"/>
  <c r="P698" i="32"/>
  <c r="P699" i="32"/>
  <c r="P700" i="32"/>
  <c r="P701" i="32"/>
  <c r="P702" i="32"/>
  <c r="P703" i="32"/>
  <c r="P704" i="32"/>
  <c r="P705" i="32"/>
  <c r="P706" i="32"/>
  <c r="P707" i="32"/>
  <c r="P708" i="32"/>
  <c r="P709" i="32"/>
  <c r="P710" i="32"/>
  <c r="P711" i="32"/>
  <c r="P712" i="32"/>
  <c r="P713" i="32"/>
  <c r="P714" i="32"/>
  <c r="P715" i="32"/>
  <c r="P716" i="32"/>
  <c r="P717" i="32"/>
  <c r="P718" i="32"/>
  <c r="P719" i="32"/>
  <c r="P720" i="32"/>
  <c r="P721" i="32"/>
  <c r="P722" i="32"/>
  <c r="P723" i="32"/>
  <c r="P724" i="32"/>
  <c r="P725" i="32"/>
  <c r="P726" i="32"/>
  <c r="P727" i="32"/>
  <c r="P728" i="32"/>
  <c r="P729" i="32"/>
  <c r="P730" i="32"/>
  <c r="P731" i="32"/>
  <c r="P732" i="32"/>
  <c r="P733" i="32"/>
  <c r="P734" i="32"/>
  <c r="P735" i="32"/>
  <c r="P736" i="32"/>
  <c r="P737" i="32"/>
  <c r="P738" i="32"/>
  <c r="P739" i="32"/>
  <c r="P740" i="32"/>
  <c r="P741" i="32"/>
  <c r="P742" i="32"/>
  <c r="P743" i="32"/>
  <c r="P744" i="32"/>
  <c r="P745" i="32"/>
  <c r="P746" i="32"/>
  <c r="P747" i="32"/>
  <c r="P748" i="32"/>
  <c r="P749" i="32"/>
  <c r="P750" i="32"/>
  <c r="P751" i="32"/>
  <c r="P752" i="32"/>
  <c r="P753" i="32"/>
  <c r="P754" i="32"/>
  <c r="P755" i="32"/>
  <c r="P756" i="32"/>
  <c r="P757" i="32"/>
  <c r="P758" i="32"/>
  <c r="P759" i="32"/>
  <c r="P760" i="32"/>
  <c r="P761" i="32"/>
  <c r="P762" i="32"/>
  <c r="P763" i="32"/>
  <c r="P764" i="32"/>
  <c r="P765" i="32"/>
  <c r="P766" i="32"/>
  <c r="P767" i="32"/>
  <c r="P768" i="32"/>
  <c r="P769" i="32"/>
  <c r="P770" i="32"/>
  <c r="P771" i="32"/>
  <c r="P772" i="32"/>
  <c r="P773" i="32"/>
  <c r="P774" i="32"/>
  <c r="P775" i="32"/>
  <c r="P776" i="32"/>
  <c r="P777" i="32"/>
  <c r="P778" i="32"/>
  <c r="P779" i="32"/>
  <c r="P780" i="32"/>
  <c r="P781" i="32"/>
  <c r="P782" i="32"/>
  <c r="P783" i="32"/>
  <c r="P784" i="32"/>
  <c r="P785" i="32"/>
  <c r="P786" i="32"/>
  <c r="P787" i="32"/>
  <c r="P788" i="32"/>
  <c r="P789" i="32"/>
  <c r="P790" i="32"/>
  <c r="P791" i="32"/>
  <c r="P792" i="32"/>
  <c r="P793" i="32"/>
  <c r="P794" i="32"/>
  <c r="P795" i="32"/>
  <c r="P796" i="32"/>
  <c r="P797" i="32"/>
  <c r="P798" i="32"/>
  <c r="P799" i="32"/>
  <c r="P800" i="32"/>
  <c r="P801" i="32"/>
  <c r="P802" i="32"/>
  <c r="P803" i="32"/>
  <c r="P804" i="32"/>
  <c r="P805" i="32"/>
  <c r="P806" i="32"/>
  <c r="P807" i="32"/>
  <c r="P808" i="32"/>
  <c r="P809" i="32"/>
  <c r="P810" i="32"/>
  <c r="P811" i="32"/>
  <c r="P812" i="32"/>
  <c r="P813" i="32"/>
  <c r="P814" i="32"/>
  <c r="P815" i="32"/>
  <c r="P816" i="32"/>
  <c r="P817" i="32"/>
  <c r="P818" i="32"/>
  <c r="P819" i="32"/>
  <c r="P820" i="32"/>
  <c r="P821" i="32"/>
  <c r="P822" i="32"/>
  <c r="P823" i="32"/>
  <c r="P824" i="32"/>
  <c r="P825" i="32"/>
  <c r="P826" i="32"/>
  <c r="P827" i="32"/>
  <c r="P828" i="32"/>
  <c r="P829" i="32"/>
  <c r="P830" i="32"/>
  <c r="P831" i="32"/>
  <c r="P832" i="32"/>
  <c r="P833" i="32"/>
  <c r="P834" i="32"/>
  <c r="P835" i="32"/>
  <c r="P836" i="32"/>
  <c r="P837" i="32"/>
  <c r="P838" i="32"/>
  <c r="P839" i="32"/>
  <c r="P840" i="32"/>
  <c r="P841" i="32"/>
  <c r="P842" i="32"/>
  <c r="P843" i="32"/>
  <c r="P844" i="32"/>
  <c r="P845" i="32"/>
  <c r="P846" i="32"/>
  <c r="P847" i="32"/>
  <c r="P848" i="32"/>
  <c r="P849" i="32"/>
  <c r="P850" i="32"/>
  <c r="P851" i="32"/>
  <c r="P852" i="32"/>
  <c r="P853" i="32"/>
  <c r="P854" i="32"/>
  <c r="P855" i="32"/>
  <c r="P856" i="32"/>
  <c r="P857" i="32"/>
  <c r="P858" i="32"/>
  <c r="P859" i="32"/>
  <c r="P860" i="32"/>
  <c r="P861" i="32"/>
  <c r="P862" i="32"/>
  <c r="P863" i="32"/>
  <c r="P864" i="32"/>
  <c r="P865" i="32"/>
  <c r="P866" i="32"/>
  <c r="P867" i="32"/>
  <c r="P868" i="32"/>
  <c r="P869" i="32"/>
  <c r="P870" i="32"/>
  <c r="P871" i="32"/>
  <c r="P872" i="32"/>
  <c r="P873" i="32"/>
  <c r="P874" i="32"/>
  <c r="P875" i="32"/>
  <c r="P876" i="32"/>
  <c r="P877" i="32"/>
  <c r="P878" i="32"/>
  <c r="P879" i="32"/>
  <c r="D42" i="28" s="1"/>
  <c r="P880" i="32"/>
  <c r="E42" i="28" s="1"/>
  <c r="P881" i="32"/>
  <c r="F42" i="28" s="1"/>
  <c r="P882" i="32"/>
  <c r="G42" i="28" s="1"/>
  <c r="P883" i="32"/>
  <c r="H42" i="28" s="1"/>
  <c r="P884" i="32"/>
  <c r="I42" i="28" s="1"/>
  <c r="P885" i="32"/>
  <c r="J42" i="28" s="1"/>
  <c r="P886" i="32"/>
  <c r="K42" i="28" s="1"/>
  <c r="P887" i="32"/>
  <c r="L42" i="28" s="1"/>
  <c r="P888" i="32"/>
  <c r="M42" i="28" s="1"/>
  <c r="P889" i="32"/>
  <c r="N42" i="28" s="1"/>
  <c r="P890" i="32"/>
  <c r="O42" i="28" s="1"/>
  <c r="P891" i="32"/>
  <c r="P42" i="28" s="1"/>
  <c r="P892" i="32"/>
  <c r="Q42" i="28" s="1"/>
  <c r="P893" i="32"/>
  <c r="R42" i="28" s="1"/>
  <c r="P894" i="32"/>
  <c r="S42" i="28" s="1"/>
  <c r="P895" i="32"/>
  <c r="T42" i="28" s="1"/>
  <c r="P896" i="32"/>
  <c r="U42" i="28" s="1"/>
  <c r="P897" i="32"/>
  <c r="V42" i="28" s="1"/>
  <c r="P898" i="32"/>
  <c r="W42" i="28" s="1"/>
  <c r="P899" i="32"/>
  <c r="X42" i="28" s="1"/>
  <c r="P900" i="32"/>
  <c r="Y42" i="28" s="1"/>
  <c r="P901" i="32"/>
  <c r="Z42" i="28" s="1"/>
  <c r="P902" i="32"/>
  <c r="AA42" i="28" s="1"/>
  <c r="P903" i="32"/>
  <c r="AB42" i="28" s="1"/>
  <c r="P904" i="32"/>
  <c r="AC42" i="28" s="1"/>
  <c r="P905" i="32"/>
  <c r="AD42" i="28" s="1"/>
  <c r="P906" i="32"/>
  <c r="AE42" i="28" s="1"/>
  <c r="P907" i="32"/>
  <c r="AF42" i="28" s="1"/>
  <c r="P908" i="32"/>
  <c r="AG42" i="28" s="1"/>
  <c r="P909" i="32"/>
  <c r="AH42" i="28" s="1"/>
  <c r="P911" i="32"/>
  <c r="AJ42" i="28" s="1"/>
  <c r="P912" i="32"/>
  <c r="AK42" i="28" s="1"/>
  <c r="P913" i="32"/>
  <c r="AL42" i="28" s="1"/>
</calcChain>
</file>

<file path=xl/sharedStrings.xml><?xml version="1.0" encoding="utf-8"?>
<sst xmlns="http://schemas.openxmlformats.org/spreadsheetml/2006/main" count="614" uniqueCount="471">
  <si>
    <t>%</t>
  </si>
  <si>
    <t>Indicadores</t>
  </si>
  <si>
    <t>Fonte</t>
  </si>
  <si>
    <t>Heatmap EUA</t>
  </si>
  <si>
    <t>Fed Funds Rate</t>
  </si>
  <si>
    <t>Core-PCE</t>
  </si>
  <si>
    <t>NFCI</t>
  </si>
  <si>
    <t>Payroll</t>
  </si>
  <si>
    <t>Unemployment Rate</t>
  </si>
  <si>
    <t>Industrial Production</t>
  </si>
  <si>
    <t>Retail Sales</t>
  </si>
  <si>
    <t>30y Mortgage Rate</t>
  </si>
  <si>
    <t>Construction Spending</t>
  </si>
  <si>
    <t>Monthly Supply</t>
  </si>
  <si>
    <t>Existing Homes Sales</t>
  </si>
  <si>
    <t>NAHB</t>
  </si>
  <si>
    <t>Housing Starts</t>
  </si>
  <si>
    <t>Unemployment Level</t>
  </si>
  <si>
    <t>12 Month Moving Average</t>
  </si>
  <si>
    <t>JOLTS</t>
  </si>
  <si>
    <t>JOLTS/Unemployment</t>
  </si>
  <si>
    <t>Building Permits</t>
  </si>
  <si>
    <t>Existing Home Sales</t>
  </si>
  <si>
    <t>Date</t>
  </si>
  <si>
    <t>Labor Force Participation Rate</t>
  </si>
  <si>
    <t>Average Hourly Earnings (12M)</t>
  </si>
  <si>
    <t>Average Weeks Unemployed</t>
  </si>
  <si>
    <t>Consumer Sentiment (U. Mich.)</t>
  </si>
  <si>
    <t>Core-PCE 12M</t>
  </si>
  <si>
    <t>Recession</t>
  </si>
  <si>
    <t>Sticky Price</t>
  </si>
  <si>
    <t>Wage Growth Tracker</t>
  </si>
  <si>
    <t>Quarters</t>
  </si>
  <si>
    <t>Personal Consumption Expenditures (PCE)</t>
  </si>
  <si>
    <t>Consumer Price Index (CPI)</t>
  </si>
  <si>
    <t>Producer Price Index (PPI)</t>
  </si>
  <si>
    <t>Trimmed Mean PCE</t>
  </si>
  <si>
    <t>PMI ISM Manufacturing</t>
  </si>
  <si>
    <t>PMI ISM Services</t>
  </si>
  <si>
    <t>Houses Under Construction</t>
  </si>
  <si>
    <t>Total Construction Spending</t>
  </si>
  <si>
    <t>S&amp;P 500 CAPE Ratio</t>
  </si>
  <si>
    <t>/</t>
  </si>
  <si>
    <t>Fed Funds Rate (FFR)</t>
  </si>
  <si>
    <t>St. Louis Fed Financial Stress Index</t>
  </si>
  <si>
    <t>Chicago Fed National Financial Conditions Index</t>
  </si>
  <si>
    <t>UST10Y - UST02Y</t>
  </si>
  <si>
    <t>UST02Y - UST03MY</t>
  </si>
  <si>
    <t>Sticky Price Index</t>
  </si>
  <si>
    <t>U. Mich. Inflation Expect.</t>
  </si>
  <si>
    <t>mil</t>
  </si>
  <si>
    <t>JOLTS/Un. Rate</t>
  </si>
  <si>
    <t>Employment Cost Index (ECI)</t>
  </si>
  <si>
    <t>S&amp;P/Case-Shiller Home Price Index</t>
  </si>
  <si>
    <t>Real PCE</t>
  </si>
  <si>
    <t>Affordability Index Fixed</t>
  </si>
  <si>
    <t>3 Month Average</t>
  </si>
  <si>
    <t>Housing Starts Change</t>
  </si>
  <si>
    <t>New House Sales</t>
  </si>
  <si>
    <t>H. Under Construction</t>
  </si>
  <si>
    <t>New Homes Sales</t>
  </si>
  <si>
    <t>Affordability Index</t>
  </si>
  <si>
    <t>Core-Retail Sales</t>
  </si>
  <si>
    <t>Core²-Retail Sales</t>
  </si>
  <si>
    <t>ANOTAÇÕES</t>
  </si>
  <si>
    <t>S&amp;P/Case-Shiller m/m</t>
  </si>
  <si>
    <t>S&amp;P/Case-Shiller a/a</t>
  </si>
  <si>
    <t>New House Sales a/a</t>
  </si>
  <si>
    <t>New House Sales m/m</t>
  </si>
  <si>
    <t>Existing Home Sales a/a</t>
  </si>
  <si>
    <t>Total Construction Spending a/a</t>
  </si>
  <si>
    <t>Housing Starts a/a</t>
  </si>
  <si>
    <t>Houses Under Construction a/a</t>
  </si>
  <si>
    <t>Building Permits a/a</t>
  </si>
  <si>
    <t>Industrial Prod.</t>
  </si>
  <si>
    <t>Core Retail Sales</t>
  </si>
  <si>
    <t>Core² Retail Sales</t>
  </si>
  <si>
    <t>S&amp;P/Case-Shiller</t>
  </si>
  <si>
    <t>PPI</t>
  </si>
  <si>
    <t>Real PCE m/m</t>
  </si>
  <si>
    <t>Real PCE a/a</t>
  </si>
  <si>
    <t>Industrial Production m/m</t>
  </si>
  <si>
    <t>Industrial Production a/a</t>
  </si>
  <si>
    <t>Retail Sales m/m</t>
  </si>
  <si>
    <t>Retail Sales a/a</t>
  </si>
  <si>
    <t>Core-Retail Sales m/m</t>
  </si>
  <si>
    <t>Core-Retail Sales a/a</t>
  </si>
  <si>
    <t>Core²-Retail Sales m/m</t>
  </si>
  <si>
    <t>Core²-Retail Sales a/a</t>
  </si>
  <si>
    <t>U. M. Consumer Expec.</t>
  </si>
  <si>
    <t>Real GDP</t>
  </si>
  <si>
    <t>Real GDP a.a.</t>
  </si>
  <si>
    <t>Initial Claims Monthly</t>
  </si>
  <si>
    <t>Real Disposable Income (RDI)</t>
  </si>
  <si>
    <t>a/a</t>
  </si>
  <si>
    <t>m/m</t>
  </si>
  <si>
    <t>RDI m/m</t>
  </si>
  <si>
    <t>RDI a/a</t>
  </si>
  <si>
    <t>Average Hourly Earnings</t>
  </si>
  <si>
    <t>Real Disposable Income</t>
  </si>
  <si>
    <t>Payroll 3 Month Average</t>
  </si>
  <si>
    <t>Housing Market</t>
  </si>
  <si>
    <t>Economic Activity</t>
  </si>
  <si>
    <t>Inflation</t>
  </si>
  <si>
    <t>Labor Market</t>
  </si>
  <si>
    <t>Monetary Policy</t>
  </si>
  <si>
    <t>3T19</t>
  </si>
  <si>
    <t>4T19</t>
  </si>
  <si>
    <t>1T20</t>
  </si>
  <si>
    <t>2T20</t>
  </si>
  <si>
    <t>3T20</t>
  </si>
  <si>
    <t>4T20</t>
  </si>
  <si>
    <t>1T21</t>
  </si>
  <si>
    <t>2T21</t>
  </si>
  <si>
    <t>3T21</t>
  </si>
  <si>
    <t>4T21</t>
  </si>
  <si>
    <t>1T22</t>
  </si>
  <si>
    <t>2T22</t>
  </si>
  <si>
    <t>3T22</t>
  </si>
  <si>
    <t>4T22</t>
  </si>
  <si>
    <t>1T23</t>
  </si>
  <si>
    <t>2T23</t>
  </si>
  <si>
    <t>Fed Assets</t>
  </si>
  <si>
    <t>Fed Assets Growth</t>
  </si>
  <si>
    <t>10y TIPS</t>
  </si>
  <si>
    <t>Personal Savings Rate</t>
  </si>
  <si>
    <t>Household Debt Service to Disposable Income</t>
  </si>
  <si>
    <t>Households and Nonprofit Organizations Exposure to Equities</t>
  </si>
  <si>
    <t>Delinquency Rate on Credit Cards</t>
  </si>
  <si>
    <t>Government Deficit as % to GDP</t>
  </si>
  <si>
    <t>PMI ISM Manuf. New Orders</t>
  </si>
  <si>
    <t>PMI ISM Serv. New Orders</t>
  </si>
  <si>
    <t>Monthly PCE</t>
  </si>
  <si>
    <t>Annual PCE</t>
  </si>
  <si>
    <t>Core PCE</t>
  </si>
  <si>
    <t>US Bank Credit Standards</t>
  </si>
  <si>
    <t xml:space="preserve"> </t>
  </si>
  <si>
    <t>Core-PCE 3M Annualized</t>
  </si>
  <si>
    <t>Core-PCE 6M Annualized</t>
  </si>
  <si>
    <t>Manufacturing New Orders</t>
  </si>
  <si>
    <t>Services New Orders</t>
  </si>
  <si>
    <t>PMI</t>
  </si>
  <si>
    <t>Core-CPI 3M Annualized</t>
  </si>
  <si>
    <t>Core-CPI 6M Annualized</t>
  </si>
  <si>
    <t>Monthly CPI</t>
  </si>
  <si>
    <t>Annual CPI</t>
  </si>
  <si>
    <t>Core Consumer Price Index</t>
  </si>
  <si>
    <t>Monthly Core-CPI</t>
  </si>
  <si>
    <t>Annual Core-CPI</t>
  </si>
  <si>
    <t>Average New Orders</t>
  </si>
  <si>
    <t>Services CPI</t>
  </si>
  <si>
    <t>Core-Services CPI</t>
  </si>
  <si>
    <t>Monthly Services CPI</t>
  </si>
  <si>
    <t>Annual Services CPI</t>
  </si>
  <si>
    <t>Durable Goods CPI</t>
  </si>
  <si>
    <t>Monthly Core-Services CPI</t>
  </si>
  <si>
    <t>Annual Core-Services CPI</t>
  </si>
  <si>
    <t>Monthly Durable Goods CPI</t>
  </si>
  <si>
    <t>Annual Durable Goods CPI</t>
  </si>
  <si>
    <t>Monthly PPI</t>
  </si>
  <si>
    <t>Annual PPI</t>
  </si>
  <si>
    <t>Monthly Core-PCE</t>
  </si>
  <si>
    <t>Annual Goods CPI</t>
  </si>
  <si>
    <t>Annual Core-PCE</t>
  </si>
  <si>
    <t>Real Retail Sales</t>
  </si>
  <si>
    <t>Real Retail Sales m/m</t>
  </si>
  <si>
    <t>Real Retail Sales a/a</t>
  </si>
  <si>
    <t>U. Michigan One-Year Inflation Expectations</t>
  </si>
  <si>
    <t>Average ECI</t>
  </si>
  <si>
    <t>Quarterly ECI</t>
  </si>
  <si>
    <t>Annual ECI</t>
  </si>
  <si>
    <t>O S&amp;P/Case-Shiller Home Price Index mede a variação dos preços dos imóveis dos 20 maiores mercados imobiliários americanos.</t>
  </si>
  <si>
    <t>1T47</t>
  </si>
  <si>
    <t>2T47</t>
  </si>
  <si>
    <t>3T47</t>
  </si>
  <si>
    <t>4T47</t>
  </si>
  <si>
    <t>1T48</t>
  </si>
  <si>
    <t>2T48</t>
  </si>
  <si>
    <t>3T48</t>
  </si>
  <si>
    <t>4T48</t>
  </si>
  <si>
    <t>1T49</t>
  </si>
  <si>
    <t>2T49</t>
  </si>
  <si>
    <t>3T49</t>
  </si>
  <si>
    <t>4T49</t>
  </si>
  <si>
    <t>1T50</t>
  </si>
  <si>
    <t>2T50</t>
  </si>
  <si>
    <t>3T50</t>
  </si>
  <si>
    <t>4T50</t>
  </si>
  <si>
    <t>1T51</t>
  </si>
  <si>
    <t>2T51</t>
  </si>
  <si>
    <t>3T51</t>
  </si>
  <si>
    <t>4T51</t>
  </si>
  <si>
    <t>1T52</t>
  </si>
  <si>
    <t>2T52</t>
  </si>
  <si>
    <t>3T52</t>
  </si>
  <si>
    <t>4T52</t>
  </si>
  <si>
    <t>1T53</t>
  </si>
  <si>
    <t>2T53</t>
  </si>
  <si>
    <t>3T53</t>
  </si>
  <si>
    <t>4T53</t>
  </si>
  <si>
    <t>1T54</t>
  </si>
  <si>
    <t>2T54</t>
  </si>
  <si>
    <t>3T54</t>
  </si>
  <si>
    <t>4T54</t>
  </si>
  <si>
    <t>1T55</t>
  </si>
  <si>
    <t>2T55</t>
  </si>
  <si>
    <t>3T55</t>
  </si>
  <si>
    <t>4T55</t>
  </si>
  <si>
    <t>1T56</t>
  </si>
  <si>
    <t>2T56</t>
  </si>
  <si>
    <t>3T56</t>
  </si>
  <si>
    <t>4T56</t>
  </si>
  <si>
    <t>1T57</t>
  </si>
  <si>
    <t>2T57</t>
  </si>
  <si>
    <t>3T57</t>
  </si>
  <si>
    <t>4T57</t>
  </si>
  <si>
    <t>1T58</t>
  </si>
  <si>
    <t>2T58</t>
  </si>
  <si>
    <t>3T58</t>
  </si>
  <si>
    <t>4T58</t>
  </si>
  <si>
    <t>1T59</t>
  </si>
  <si>
    <t>2T59</t>
  </si>
  <si>
    <t>3T59</t>
  </si>
  <si>
    <t>4T59</t>
  </si>
  <si>
    <t>1T60</t>
  </si>
  <si>
    <t>2T60</t>
  </si>
  <si>
    <t>3T60</t>
  </si>
  <si>
    <t>4T60</t>
  </si>
  <si>
    <t>1T61</t>
  </si>
  <si>
    <t>2T61</t>
  </si>
  <si>
    <t>3T61</t>
  </si>
  <si>
    <t>4T61</t>
  </si>
  <si>
    <t>1T62</t>
  </si>
  <si>
    <t>2T62</t>
  </si>
  <si>
    <t>3T62</t>
  </si>
  <si>
    <t>4T62</t>
  </si>
  <si>
    <t>1T63</t>
  </si>
  <si>
    <t>2T63</t>
  </si>
  <si>
    <t>3T63</t>
  </si>
  <si>
    <t>4T63</t>
  </si>
  <si>
    <t>1T64</t>
  </si>
  <si>
    <t>2T64</t>
  </si>
  <si>
    <t>3T64</t>
  </si>
  <si>
    <t>4T64</t>
  </si>
  <si>
    <t>1T65</t>
  </si>
  <si>
    <t>2T65</t>
  </si>
  <si>
    <t>3T65</t>
  </si>
  <si>
    <t>4T65</t>
  </si>
  <si>
    <t>1T66</t>
  </si>
  <si>
    <t>2T66</t>
  </si>
  <si>
    <t>3T66</t>
  </si>
  <si>
    <t>4T66</t>
  </si>
  <si>
    <t>1T67</t>
  </si>
  <si>
    <t>2T67</t>
  </si>
  <si>
    <t>3T67</t>
  </si>
  <si>
    <t>4T67</t>
  </si>
  <si>
    <t>1T68</t>
  </si>
  <si>
    <t>2T68</t>
  </si>
  <si>
    <t>3T68</t>
  </si>
  <si>
    <t>4T68</t>
  </si>
  <si>
    <t>1T69</t>
  </si>
  <si>
    <t>2T69</t>
  </si>
  <si>
    <t>3T69</t>
  </si>
  <si>
    <t>4T69</t>
  </si>
  <si>
    <t>1T70</t>
  </si>
  <si>
    <t>2T70</t>
  </si>
  <si>
    <t>3T70</t>
  </si>
  <si>
    <t>4T70</t>
  </si>
  <si>
    <t>1T71</t>
  </si>
  <si>
    <t>2T71</t>
  </si>
  <si>
    <t>3T71</t>
  </si>
  <si>
    <t>4T71</t>
  </si>
  <si>
    <t>1T72</t>
  </si>
  <si>
    <t>2T72</t>
  </si>
  <si>
    <t>3T72</t>
  </si>
  <si>
    <t>4T72</t>
  </si>
  <si>
    <t>1T73</t>
  </si>
  <si>
    <t>2T73</t>
  </si>
  <si>
    <t>3T73</t>
  </si>
  <si>
    <t>4T73</t>
  </si>
  <si>
    <t>1T74</t>
  </si>
  <si>
    <t>2T74</t>
  </si>
  <si>
    <t>3T74</t>
  </si>
  <si>
    <t>4T74</t>
  </si>
  <si>
    <t>1T75</t>
  </si>
  <si>
    <t>2T75</t>
  </si>
  <si>
    <t>3T75</t>
  </si>
  <si>
    <t>4T75</t>
  </si>
  <si>
    <t>1T76</t>
  </si>
  <si>
    <t>2T76</t>
  </si>
  <si>
    <t>3T76</t>
  </si>
  <si>
    <t>4T76</t>
  </si>
  <si>
    <t>1T77</t>
  </si>
  <si>
    <t>2T77</t>
  </si>
  <si>
    <t>3T77</t>
  </si>
  <si>
    <t>4T77</t>
  </si>
  <si>
    <t>1T78</t>
  </si>
  <si>
    <t>2T78</t>
  </si>
  <si>
    <t>3T78</t>
  </si>
  <si>
    <t>4T78</t>
  </si>
  <si>
    <t>1T79</t>
  </si>
  <si>
    <t>2T79</t>
  </si>
  <si>
    <t>3T79</t>
  </si>
  <si>
    <t>4T79</t>
  </si>
  <si>
    <t>1T80</t>
  </si>
  <si>
    <t>2T80</t>
  </si>
  <si>
    <t>3T80</t>
  </si>
  <si>
    <t>4T80</t>
  </si>
  <si>
    <t>1T81</t>
  </si>
  <si>
    <t>2T81</t>
  </si>
  <si>
    <t>3T81</t>
  </si>
  <si>
    <t>4T81</t>
  </si>
  <si>
    <t>1T82</t>
  </si>
  <si>
    <t>2T82</t>
  </si>
  <si>
    <t>3T82</t>
  </si>
  <si>
    <t>4T82</t>
  </si>
  <si>
    <t>1T83</t>
  </si>
  <si>
    <t>2T83</t>
  </si>
  <si>
    <t>3T83</t>
  </si>
  <si>
    <t>4T83</t>
  </si>
  <si>
    <t>1T84</t>
  </si>
  <si>
    <t>2T84</t>
  </si>
  <si>
    <t>3T84</t>
  </si>
  <si>
    <t>4T84</t>
  </si>
  <si>
    <t>1T85</t>
  </si>
  <si>
    <t>2T85</t>
  </si>
  <si>
    <t>3T85</t>
  </si>
  <si>
    <t>4T85</t>
  </si>
  <si>
    <t>1T86</t>
  </si>
  <si>
    <t>2T86</t>
  </si>
  <si>
    <t>3T86</t>
  </si>
  <si>
    <t>4T86</t>
  </si>
  <si>
    <t>1T87</t>
  </si>
  <si>
    <t>2T87</t>
  </si>
  <si>
    <t>3T87</t>
  </si>
  <si>
    <t>4T87</t>
  </si>
  <si>
    <t>1T88</t>
  </si>
  <si>
    <t>2T88</t>
  </si>
  <si>
    <t>3T88</t>
  </si>
  <si>
    <t>4T88</t>
  </si>
  <si>
    <t>1T89</t>
  </si>
  <si>
    <t>2T89</t>
  </si>
  <si>
    <t>3T89</t>
  </si>
  <si>
    <t>4T89</t>
  </si>
  <si>
    <t>1T90</t>
  </si>
  <si>
    <t>2T90</t>
  </si>
  <si>
    <t>3T90</t>
  </si>
  <si>
    <t>4T90</t>
  </si>
  <si>
    <t>1T91</t>
  </si>
  <si>
    <t>2T91</t>
  </si>
  <si>
    <t>3T91</t>
  </si>
  <si>
    <t>4T91</t>
  </si>
  <si>
    <t>1T92</t>
  </si>
  <si>
    <t>2T92</t>
  </si>
  <si>
    <t>3T92</t>
  </si>
  <si>
    <t>4T92</t>
  </si>
  <si>
    <t>1T93</t>
  </si>
  <si>
    <t>2T93</t>
  </si>
  <si>
    <t>3T93</t>
  </si>
  <si>
    <t>4T93</t>
  </si>
  <si>
    <t>1T94</t>
  </si>
  <si>
    <t>2T94</t>
  </si>
  <si>
    <t>3T94</t>
  </si>
  <si>
    <t>4T94</t>
  </si>
  <si>
    <t>1T95</t>
  </si>
  <si>
    <t>2T95</t>
  </si>
  <si>
    <t>3T95</t>
  </si>
  <si>
    <t>4T95</t>
  </si>
  <si>
    <t>1T96</t>
  </si>
  <si>
    <t>2T96</t>
  </si>
  <si>
    <t>3T96</t>
  </si>
  <si>
    <t>4T96</t>
  </si>
  <si>
    <t>1T97</t>
  </si>
  <si>
    <t>2T97</t>
  </si>
  <si>
    <t>3T97</t>
  </si>
  <si>
    <t>4T97</t>
  </si>
  <si>
    <t>1T98</t>
  </si>
  <si>
    <t>2T98</t>
  </si>
  <si>
    <t>3T98</t>
  </si>
  <si>
    <t>4T98</t>
  </si>
  <si>
    <t>1T99</t>
  </si>
  <si>
    <t>2T99</t>
  </si>
  <si>
    <t>3T99</t>
  </si>
  <si>
    <t>4T99</t>
  </si>
  <si>
    <t>1T00</t>
  </si>
  <si>
    <t>2T00</t>
  </si>
  <si>
    <t>3T00</t>
  </si>
  <si>
    <t>4T00</t>
  </si>
  <si>
    <t>1T01</t>
  </si>
  <si>
    <t>2T01</t>
  </si>
  <si>
    <t>3T01</t>
  </si>
  <si>
    <t>4T01</t>
  </si>
  <si>
    <t>1T02</t>
  </si>
  <si>
    <t>2T02</t>
  </si>
  <si>
    <t>3T02</t>
  </si>
  <si>
    <t>4T02</t>
  </si>
  <si>
    <t>1T03</t>
  </si>
  <si>
    <t>2T03</t>
  </si>
  <si>
    <t>3T03</t>
  </si>
  <si>
    <t>4T03</t>
  </si>
  <si>
    <t>1T04</t>
  </si>
  <si>
    <t>2T04</t>
  </si>
  <si>
    <t>3T04</t>
  </si>
  <si>
    <t>4T04</t>
  </si>
  <si>
    <t>1T05</t>
  </si>
  <si>
    <t>2T05</t>
  </si>
  <si>
    <t>3T05</t>
  </si>
  <si>
    <t>4T05</t>
  </si>
  <si>
    <t>1T06</t>
  </si>
  <si>
    <t>2T06</t>
  </si>
  <si>
    <t>3T06</t>
  </si>
  <si>
    <t>4T06</t>
  </si>
  <si>
    <t>1T07</t>
  </si>
  <si>
    <t>2T07</t>
  </si>
  <si>
    <t>3T07</t>
  </si>
  <si>
    <t>4T07</t>
  </si>
  <si>
    <t>1T08</t>
  </si>
  <si>
    <t>2T08</t>
  </si>
  <si>
    <t>3T08</t>
  </si>
  <si>
    <t>4T08</t>
  </si>
  <si>
    <t>1T09</t>
  </si>
  <si>
    <t>2T09</t>
  </si>
  <si>
    <t>3T09</t>
  </si>
  <si>
    <t>4T09</t>
  </si>
  <si>
    <t>1T10</t>
  </si>
  <si>
    <t>2T10</t>
  </si>
  <si>
    <t>3T10</t>
  </si>
  <si>
    <t>4T10</t>
  </si>
  <si>
    <t>1T11</t>
  </si>
  <si>
    <t>2T11</t>
  </si>
  <si>
    <t>3T11</t>
  </si>
  <si>
    <t>4T11</t>
  </si>
  <si>
    <t>1T12</t>
  </si>
  <si>
    <t>2T12</t>
  </si>
  <si>
    <t>3T12</t>
  </si>
  <si>
    <t>4T12</t>
  </si>
  <si>
    <t>1T13</t>
  </si>
  <si>
    <t>2T13</t>
  </si>
  <si>
    <t>3T13</t>
  </si>
  <si>
    <t>4T13</t>
  </si>
  <si>
    <t>1T14</t>
  </si>
  <si>
    <t>2T14</t>
  </si>
  <si>
    <t>3T14</t>
  </si>
  <si>
    <t>4T14</t>
  </si>
  <si>
    <t>1T15</t>
  </si>
  <si>
    <t>2T15</t>
  </si>
  <si>
    <t>3T15</t>
  </si>
  <si>
    <t>4T15</t>
  </si>
  <si>
    <t>1T16</t>
  </si>
  <si>
    <t>2T16</t>
  </si>
  <si>
    <t>3T16</t>
  </si>
  <si>
    <t>4T16</t>
  </si>
  <si>
    <t>1T17</t>
  </si>
  <si>
    <t>2T17</t>
  </si>
  <si>
    <t>3T17</t>
  </si>
  <si>
    <t>4T17</t>
  </si>
  <si>
    <t>1T18</t>
  </si>
  <si>
    <t>2T18</t>
  </si>
  <si>
    <t>3T18</t>
  </si>
  <si>
    <t>4T18</t>
  </si>
  <si>
    <t>1T19</t>
  </si>
  <si>
    <t>2T19</t>
  </si>
  <si>
    <t>3T23</t>
  </si>
  <si>
    <t>4T23</t>
  </si>
  <si>
    <t>1T24</t>
  </si>
  <si>
    <t>2T24</t>
  </si>
  <si>
    <t>3T24</t>
  </si>
  <si>
    <t>Manufacturing Employment</t>
  </si>
  <si>
    <t>Services Employment</t>
  </si>
  <si>
    <t>Average Employment</t>
  </si>
  <si>
    <t>O indicador "Inflation Expectations" da University of Michigan mede as expectativas de inflação para até 1 ano. Desde o início dos anos 2000 os entrevistados esperam uma inflação média de 3,11% no horizonte de 12 meses. A recente alta pode ser explicada pela valorização do petróleo e seu impacto sobre o combustível dos consumidores.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</si>
</sst>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4" formatCode="_-&quot;R$&quot;* #,##0.00_-;\-&quot;R$&quot;* #,##0.00_-;_-&quot;R$&quot;* &quot;-&quot;??_-;_-@_-"/>
    <numFmt numFmtId="43" formatCode="_-* #,##0.00_-;\-* #,##0.00_-;_-* &quot;-&quot;??_-;_-@_-"/>
    <numFmt numFmtId="164" formatCode="[$-416]mmm\-yy;@"/>
    <numFmt numFmtId="165" formatCode="0.0"/>
    <numFmt numFmtId="166" formatCode="_-[$$-409]* #,##0_ ;_-[$$-409]* \-#,##0\ ;_-[$$-409]* &quot;-&quot;??_ ;_-@_ "/>
    <numFmt numFmtId="167" formatCode="_-* #,##0_-;\-* #,##0_-;_-* &quot;-&quot;??_-;_-@_-"/>
    <numFmt numFmtId="168" formatCode="_-* #,##0.0_-;\-* #,##0.0_-;_-* &quot;-&quot;??_-;_-@_-"/>
    <numFmt numFmtId="169" formatCode="0.0%"/>
    <numFmt numFmtId="170" formatCode="#,##0.0"/>
  </numFmts>
  <fonts count="2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  <family val="2"/>
    </font>
    <font>
      <b/>
      <sz val="28"/>
      <color rgb="FFE5AA2D"/>
      <name val="Franklin Gothic Medium"/>
      <family val="2"/>
    </font>
    <font>
      <b/>
      <sz val="36"/>
      <color rgb="FFE5AA2D"/>
      <name val="Franklin Gothic Medium"/>
      <family val="2"/>
    </font>
    <font>
      <b/>
      <sz val="11"/>
      <color rgb="FFE5AA2D"/>
      <name val="Franklin Gothic Medium"/>
      <family val="2"/>
    </font>
    <font>
      <sz val="10"/>
      <color theme="1"/>
      <name val="UT"/>
    </font>
    <font>
      <sz val="11"/>
      <color theme="1"/>
      <name val="UT"/>
    </font>
    <font>
      <b/>
      <sz val="11"/>
      <color theme="0"/>
      <name val="Ut"/>
    </font>
    <font>
      <b/>
      <sz val="12"/>
      <color theme="0"/>
      <name val="Ut"/>
    </font>
    <font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i/>
      <sz val="10"/>
      <color theme="1"/>
      <name val="Calibri"/>
      <family val="2"/>
      <scheme val="minor"/>
    </font>
    <font>
      <u/>
      <sz val="10"/>
      <color theme="10"/>
      <name val="Calibri"/>
      <family val="2"/>
      <scheme val="minor"/>
    </font>
    <font>
      <b/>
      <sz val="10"/>
      <color indexed="9"/>
      <name val="Calibri"/>
      <family val="2"/>
    </font>
    <font>
      <sz val="10"/>
      <color rgb="FF000000"/>
      <name val="Calibri"/>
      <family val="2"/>
    </font>
    <font>
      <b/>
      <sz val="18"/>
      <color theme="0"/>
      <name val="Utsaah"/>
      <family val="2"/>
    </font>
    <font>
      <i/>
      <sz val="10"/>
      <color theme="1"/>
      <name val="UT"/>
    </font>
    <font>
      <b/>
      <i/>
      <sz val="10"/>
      <color rgb="FFE5AA2D"/>
      <name val="Franklin Gothic Medium"/>
      <family val="2"/>
    </font>
    <font>
      <b/>
      <i/>
      <sz val="10"/>
      <color theme="0"/>
      <name val="Ut"/>
    </font>
    <font>
      <b/>
      <sz val="36"/>
      <color theme="0"/>
      <name val="Franklin Gothic Medium"/>
      <family val="2"/>
    </font>
  </fonts>
  <fills count="11">
    <fill>
      <patternFill patternType="none"/>
    </fill>
    <fill>
      <patternFill patternType="gray125"/>
    </fill>
    <fill>
      <patternFill patternType="solid">
        <fgColor rgb="FF262626"/>
        <bgColor indexed="64"/>
      </patternFill>
    </fill>
    <fill>
      <patternFill patternType="darkGray">
        <bgColor indexed="12"/>
      </patternFill>
    </fill>
    <fill>
      <patternFill patternType="solid">
        <fgColor theme="0" tint="-0.14999847407452621"/>
        <bgColor theme="0" tint="-0.14999847407452621"/>
      </patternFill>
    </fill>
    <fill>
      <patternFill patternType="solid">
        <fgColor theme="9"/>
        <bgColor indexed="64"/>
      </patternFill>
    </fill>
    <fill>
      <patternFill patternType="solid">
        <fgColor rgb="FFFF0000"/>
        <bgColor indexed="64"/>
      </patternFill>
    </fill>
    <fill>
      <patternFill patternType="darkGray">
        <bgColor rgb="FF0000FF"/>
      </patternFill>
    </fill>
    <fill>
      <patternFill patternType="solid">
        <fgColor rgb="FFFFFF00"/>
        <bgColor indexed="64"/>
      </patternFill>
    </fill>
    <fill>
      <patternFill patternType="solid">
        <fgColor rgb="FF075758"/>
        <bgColor indexed="64"/>
      </patternFill>
    </fill>
    <fill>
      <patternFill patternType="solid">
        <fgColor theme="5"/>
        <bgColor indexed="64"/>
      </patternFill>
    </fill>
  </fills>
  <borders count="18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rgb="FFFFFFFF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3">
    <xf numFmtId="0" fontId="0" fillId="0" borderId="0"/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9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0" fontId="12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19">
    <xf numFmtId="0" fontId="0" fillId="0" borderId="0" xfId="0"/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vertical="center"/>
    </xf>
    <xf numFmtId="0" fontId="8" fillId="0" borderId="0" xfId="0" applyFont="1" applyAlignment="1">
      <alignment vertical="center"/>
    </xf>
    <xf numFmtId="0" fontId="0" fillId="0" borderId="0" xfId="0" applyAlignment="1">
      <alignment vertical="center"/>
    </xf>
    <xf numFmtId="0" fontId="11" fillId="0" borderId="0" xfId="0" applyFont="1" applyAlignment="1">
      <alignment horizontal="center" vertical="center"/>
    </xf>
    <xf numFmtId="164" fontId="11" fillId="0" borderId="0" xfId="0" applyNumberFormat="1" applyFont="1" applyAlignment="1">
      <alignment horizontal="center" vertical="center"/>
    </xf>
    <xf numFmtId="2" fontId="11" fillId="0" borderId="0" xfId="0" applyNumberFormat="1" applyFont="1" applyAlignment="1">
      <alignment horizontal="center" vertical="center"/>
    </xf>
    <xf numFmtId="10" fontId="11" fillId="0" borderId="0" xfId="1" applyNumberFormat="1" applyFont="1" applyAlignment="1">
      <alignment horizontal="center" vertical="center"/>
    </xf>
    <xf numFmtId="0" fontId="11" fillId="0" borderId="0" xfId="0" applyFont="1"/>
    <xf numFmtId="3" fontId="11" fillId="0" borderId="0" xfId="0" applyNumberFormat="1" applyFont="1" applyAlignment="1">
      <alignment horizontal="center" vertical="center"/>
    </xf>
    <xf numFmtId="4" fontId="11" fillId="0" borderId="0" xfId="0" applyNumberFormat="1" applyFont="1" applyAlignment="1">
      <alignment horizontal="center" vertical="center"/>
    </xf>
    <xf numFmtId="164" fontId="11" fillId="0" borderId="0" xfId="0" applyNumberFormat="1" applyFont="1" applyAlignment="1">
      <alignment horizontal="center"/>
    </xf>
    <xf numFmtId="164" fontId="11" fillId="4" borderId="0" xfId="0" applyNumberFormat="1" applyFont="1" applyFill="1" applyAlignment="1">
      <alignment horizontal="center" vertical="center"/>
    </xf>
    <xf numFmtId="0" fontId="9" fillId="2" borderId="0" xfId="0" applyFont="1" applyFill="1" applyAlignment="1">
      <alignment horizontal="center" vertical="center"/>
    </xf>
    <xf numFmtId="17" fontId="9" fillId="2" borderId="0" xfId="0" applyNumberFormat="1" applyFont="1" applyFill="1" applyAlignment="1">
      <alignment horizontal="center" vertical="center"/>
    </xf>
    <xf numFmtId="165" fontId="8" fillId="0" borderId="0" xfId="0" applyNumberFormat="1" applyFont="1" applyAlignment="1">
      <alignment horizontal="center" vertical="center"/>
    </xf>
    <xf numFmtId="1" fontId="8" fillId="0" borderId="0" xfId="0" applyNumberFormat="1" applyFont="1" applyAlignment="1">
      <alignment horizontal="center" vertical="center"/>
    </xf>
    <xf numFmtId="0" fontId="15" fillId="3" borderId="5" xfId="0" applyFont="1" applyFill="1" applyBorder="1" applyAlignment="1">
      <alignment horizontal="center" vertical="center" wrapText="1"/>
    </xf>
    <xf numFmtId="0" fontId="15" fillId="3" borderId="6" xfId="0" applyFont="1" applyFill="1" applyBorder="1" applyAlignment="1">
      <alignment horizontal="center" vertical="center" wrapText="1"/>
    </xf>
    <xf numFmtId="0" fontId="14" fillId="0" borderId="0" xfId="1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5" fillId="3" borderId="7" xfId="0" applyFont="1" applyFill="1" applyBorder="1" applyAlignment="1">
      <alignment horizontal="center" vertical="center" wrapText="1"/>
    </xf>
    <xf numFmtId="0" fontId="8" fillId="0" borderId="8" xfId="0" applyFont="1" applyBorder="1" applyAlignment="1">
      <alignment vertical="center"/>
    </xf>
    <xf numFmtId="0" fontId="8" fillId="0" borderId="9" xfId="0" applyFont="1" applyBorder="1" applyAlignment="1">
      <alignment vertical="center"/>
    </xf>
    <xf numFmtId="2" fontId="11" fillId="0" borderId="0" xfId="1" applyNumberFormat="1" applyFont="1" applyAlignment="1">
      <alignment horizontal="center" vertical="center"/>
    </xf>
    <xf numFmtId="2" fontId="11" fillId="0" borderId="0" xfId="0" applyNumberFormat="1" applyFont="1" applyAlignment="1">
      <alignment horizontal="right" vertical="center"/>
    </xf>
    <xf numFmtId="0" fontId="11" fillId="0" borderId="0" xfId="0" applyFont="1" applyAlignment="1">
      <alignment horizontal="right" vertical="center"/>
    </xf>
    <xf numFmtId="164" fontId="11" fillId="0" borderId="0" xfId="0" applyNumberFormat="1" applyFont="1" applyAlignment="1">
      <alignment horizontal="right" vertical="center"/>
    </xf>
    <xf numFmtId="1" fontId="11" fillId="0" borderId="0" xfId="0" applyNumberFormat="1" applyFont="1" applyAlignment="1">
      <alignment horizontal="right" vertical="center"/>
    </xf>
    <xf numFmtId="1" fontId="11" fillId="5" borderId="0" xfId="0" applyNumberFormat="1" applyFont="1" applyFill="1" applyAlignment="1">
      <alignment horizontal="right" vertical="center"/>
    </xf>
    <xf numFmtId="3" fontId="11" fillId="0" borderId="0" xfId="0" applyNumberFormat="1" applyFont="1" applyAlignment="1">
      <alignment horizontal="right" vertical="center"/>
    </xf>
    <xf numFmtId="166" fontId="11" fillId="0" borderId="0" xfId="6" applyNumberFormat="1" applyFont="1" applyAlignment="1">
      <alignment horizontal="center" vertical="center"/>
    </xf>
    <xf numFmtId="167" fontId="11" fillId="0" borderId="0" xfId="12" applyNumberFormat="1" applyFont="1" applyAlignment="1">
      <alignment horizontal="right" vertical="center"/>
    </xf>
    <xf numFmtId="168" fontId="11" fillId="0" borderId="0" xfId="12" applyNumberFormat="1" applyFont="1" applyAlignment="1">
      <alignment horizontal="right" vertical="center"/>
    </xf>
    <xf numFmtId="43" fontId="11" fillId="0" borderId="0" xfId="12" applyFont="1" applyAlignment="1">
      <alignment horizontal="center" vertical="center"/>
    </xf>
    <xf numFmtId="167" fontId="11" fillId="0" borderId="0" xfId="12" applyNumberFormat="1" applyFont="1" applyAlignment="1">
      <alignment horizontal="center" vertical="center"/>
    </xf>
    <xf numFmtId="168" fontId="11" fillId="0" borderId="0" xfId="0" applyNumberFormat="1" applyFont="1"/>
    <xf numFmtId="0" fontId="11" fillId="4" borderId="0" xfId="0" applyFont="1" applyFill="1"/>
    <xf numFmtId="168" fontId="11" fillId="4" borderId="0" xfId="0" applyNumberFormat="1" applyFont="1" applyFill="1"/>
    <xf numFmtId="1" fontId="11" fillId="6" borderId="0" xfId="0" applyNumberFormat="1" applyFont="1" applyFill="1" applyAlignment="1">
      <alignment horizontal="right" vertical="center"/>
    </xf>
    <xf numFmtId="169" fontId="11" fillId="0" borderId="0" xfId="1" applyNumberFormat="1" applyFont="1" applyAlignment="1">
      <alignment horizontal="right" vertical="center"/>
    </xf>
    <xf numFmtId="17" fontId="10" fillId="2" borderId="1" xfId="0" applyNumberFormat="1" applyFont="1" applyFill="1" applyBorder="1" applyAlignment="1">
      <alignment vertical="center"/>
    </xf>
    <xf numFmtId="17" fontId="10" fillId="2" borderId="2" xfId="0" applyNumberFormat="1" applyFont="1" applyFill="1" applyBorder="1" applyAlignment="1">
      <alignment vertical="center"/>
    </xf>
    <xf numFmtId="17" fontId="10" fillId="2" borderId="3" xfId="0" applyNumberFormat="1" applyFont="1" applyFill="1" applyBorder="1" applyAlignment="1">
      <alignment vertical="center"/>
    </xf>
    <xf numFmtId="0" fontId="18" fillId="0" borderId="0" xfId="0" applyFont="1" applyAlignment="1">
      <alignment vertical="center"/>
    </xf>
    <xf numFmtId="0" fontId="20" fillId="2" borderId="0" xfId="0" applyFont="1" applyFill="1" applyAlignment="1">
      <alignment horizontal="center" vertical="center"/>
    </xf>
    <xf numFmtId="0" fontId="18" fillId="0" borderId="4" xfId="0" applyFont="1" applyBorder="1" applyAlignment="1">
      <alignment horizontal="center" vertical="center"/>
    </xf>
    <xf numFmtId="17" fontId="20" fillId="2" borderId="2" xfId="0" applyNumberFormat="1" applyFont="1" applyFill="1" applyBorder="1" applyAlignment="1">
      <alignment vertical="center"/>
    </xf>
    <xf numFmtId="0" fontId="18" fillId="0" borderId="8" xfId="0" applyFont="1" applyBorder="1" applyAlignment="1">
      <alignment horizontal="center" vertical="center"/>
    </xf>
    <xf numFmtId="0" fontId="18" fillId="0" borderId="9" xfId="0" applyFont="1" applyBorder="1" applyAlignment="1">
      <alignment horizontal="center" vertical="center"/>
    </xf>
    <xf numFmtId="0" fontId="13" fillId="0" borderId="0" xfId="0" applyFont="1" applyAlignment="1">
      <alignment vertical="center"/>
    </xf>
    <xf numFmtId="165" fontId="8" fillId="0" borderId="14" xfId="0" applyNumberFormat="1" applyFont="1" applyBorder="1" applyAlignment="1">
      <alignment horizontal="center" vertical="center"/>
    </xf>
    <xf numFmtId="165" fontId="8" fillId="0" borderId="10" xfId="0" applyNumberFormat="1" applyFont="1" applyBorder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170" fontId="11" fillId="0" borderId="0" xfId="0" applyNumberFormat="1" applyFont="1" applyAlignment="1">
      <alignment horizontal="center" vertical="center"/>
    </xf>
    <xf numFmtId="169" fontId="11" fillId="0" borderId="0" xfId="1" applyNumberFormat="1" applyFont="1" applyAlignment="1">
      <alignment horizontal="center" vertical="center"/>
    </xf>
    <xf numFmtId="0" fontId="15" fillId="7" borderId="5" xfId="0" applyFont="1" applyFill="1" applyBorder="1" applyAlignment="1">
      <alignment horizontal="center" vertical="center" wrapText="1"/>
    </xf>
    <xf numFmtId="0" fontId="12" fillId="0" borderId="0" xfId="11" applyAlignment="1">
      <alignment horizontal="center" vertical="center"/>
    </xf>
    <xf numFmtId="2" fontId="11" fillId="0" borderId="0" xfId="12" applyNumberFormat="1" applyFont="1" applyAlignment="1">
      <alignment horizontal="center" vertical="center"/>
    </xf>
    <xf numFmtId="166" fontId="16" fillId="0" borderId="0" xfId="0" applyNumberFormat="1" applyFont="1" applyAlignment="1">
      <alignment horizontal="center" vertical="center"/>
    </xf>
    <xf numFmtId="169" fontId="16" fillId="0" borderId="0" xfId="1" applyNumberFormat="1" applyFont="1" applyAlignment="1">
      <alignment horizontal="center" vertical="center"/>
    </xf>
    <xf numFmtId="2" fontId="11" fillId="4" borderId="0" xfId="0" applyNumberFormat="1" applyFont="1" applyFill="1" applyAlignment="1">
      <alignment horizontal="center" vertical="center"/>
    </xf>
    <xf numFmtId="2" fontId="11" fillId="0" borderId="0" xfId="0" applyNumberFormat="1" applyFont="1" applyAlignment="1">
      <alignment horizontal="center"/>
    </xf>
    <xf numFmtId="166" fontId="11" fillId="0" borderId="0" xfId="0" applyNumberFormat="1" applyFont="1" applyAlignment="1">
      <alignment horizontal="center" vertical="center"/>
    </xf>
    <xf numFmtId="1" fontId="11" fillId="4" borderId="0" xfId="0" applyNumberFormat="1" applyFont="1" applyFill="1" applyAlignment="1">
      <alignment horizontal="center" vertical="center"/>
    </xf>
    <xf numFmtId="1" fontId="11" fillId="0" borderId="0" xfId="12" applyNumberFormat="1" applyFont="1" applyAlignment="1">
      <alignment horizontal="center" vertical="center"/>
    </xf>
    <xf numFmtId="3" fontId="8" fillId="0" borderId="0" xfId="0" applyNumberFormat="1" applyFont="1" applyAlignment="1">
      <alignment horizontal="center" vertical="center"/>
    </xf>
    <xf numFmtId="0" fontId="18" fillId="0" borderId="15" xfId="0" applyFont="1" applyBorder="1" applyAlignment="1">
      <alignment horizontal="center" vertical="center"/>
    </xf>
    <xf numFmtId="0" fontId="18" fillId="0" borderId="17" xfId="0" applyFont="1" applyBorder="1" applyAlignment="1">
      <alignment horizontal="center" vertical="center"/>
    </xf>
    <xf numFmtId="2" fontId="11" fillId="8" borderId="0" xfId="1" applyNumberFormat="1" applyFont="1" applyFill="1" applyAlignment="1">
      <alignment horizontal="center" vertical="center"/>
    </xf>
    <xf numFmtId="9" fontId="11" fillId="0" borderId="0" xfId="1" applyFont="1" applyAlignment="1">
      <alignment horizontal="center" vertical="center"/>
    </xf>
    <xf numFmtId="0" fontId="4" fillId="9" borderId="0" xfId="0" applyFont="1" applyFill="1" applyAlignment="1">
      <alignment vertical="center"/>
    </xf>
    <xf numFmtId="0" fontId="4" fillId="9" borderId="0" xfId="0" applyFont="1" applyFill="1" applyAlignment="1">
      <alignment horizontal="left" vertical="center"/>
    </xf>
    <xf numFmtId="0" fontId="19" fillId="9" borderId="0" xfId="0" applyFont="1" applyFill="1" applyAlignment="1">
      <alignment horizontal="left" vertical="center"/>
    </xf>
    <xf numFmtId="0" fontId="5" fillId="9" borderId="0" xfId="0" applyFont="1" applyFill="1" applyAlignment="1">
      <alignment horizontal="left" vertical="center"/>
    </xf>
    <xf numFmtId="3" fontId="6" fillId="9" borderId="0" xfId="6" applyNumberFormat="1" applyFont="1" applyFill="1" applyAlignment="1" applyProtection="1">
      <alignment vertical="center"/>
    </xf>
    <xf numFmtId="0" fontId="0" fillId="9" borderId="0" xfId="0" applyFill="1" applyAlignment="1">
      <alignment vertical="center"/>
    </xf>
    <xf numFmtId="0" fontId="21" fillId="9" borderId="0" xfId="0" applyFont="1" applyFill="1" applyAlignment="1">
      <alignment horizontal="left"/>
    </xf>
    <xf numFmtId="0" fontId="0" fillId="9" borderId="0" xfId="0" applyFill="1"/>
    <xf numFmtId="0" fontId="17" fillId="9" borderId="0" xfId="0" applyFont="1" applyFill="1" applyAlignment="1">
      <alignment vertical="center"/>
    </xf>
    <xf numFmtId="0" fontId="7" fillId="2" borderId="0" xfId="0" applyFont="1" applyFill="1" applyAlignment="1">
      <alignment vertical="center"/>
    </xf>
    <xf numFmtId="0" fontId="0" fillId="2" borderId="0" xfId="0" applyFill="1" applyAlignment="1">
      <alignment vertical="center"/>
    </xf>
    <xf numFmtId="0" fontId="8" fillId="2" borderId="0" xfId="0" applyFont="1" applyFill="1" applyAlignment="1">
      <alignment vertical="center"/>
    </xf>
    <xf numFmtId="166" fontId="11" fillId="0" borderId="0" xfId="1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43" fontId="11" fillId="0" borderId="0" xfId="12" applyFont="1" applyAlignment="1">
      <alignment horizontal="right" vertical="center"/>
    </xf>
    <xf numFmtId="43" fontId="11" fillId="5" borderId="0" xfId="12" applyFont="1" applyFill="1" applyAlignment="1">
      <alignment horizontal="right" vertical="center"/>
    </xf>
    <xf numFmtId="43" fontId="11" fillId="6" borderId="0" xfId="12" applyFont="1" applyFill="1" applyAlignment="1">
      <alignment horizontal="right" vertical="center"/>
    </xf>
    <xf numFmtId="2" fontId="11" fillId="8" borderId="0" xfId="0" applyNumberFormat="1" applyFont="1" applyFill="1" applyAlignment="1">
      <alignment horizontal="center" vertical="center"/>
    </xf>
    <xf numFmtId="3" fontId="11" fillId="10" borderId="0" xfId="0" applyNumberFormat="1" applyFont="1" applyFill="1" applyAlignment="1">
      <alignment horizontal="center" vertical="center"/>
    </xf>
    <xf numFmtId="0" fontId="8" fillId="0" borderId="11" xfId="0" applyFont="1" applyBorder="1" applyAlignment="1">
      <alignment horizontal="left" vertical="top"/>
    </xf>
    <xf numFmtId="0" fontId="8" fillId="0" borderId="12" xfId="0" applyFont="1" applyBorder="1" applyAlignment="1">
      <alignment horizontal="left" vertical="top"/>
    </xf>
    <xf numFmtId="0" fontId="8" fillId="0" borderId="13" xfId="0" applyFont="1" applyBorder="1" applyAlignment="1">
      <alignment horizontal="left" vertical="top"/>
    </xf>
    <xf numFmtId="0" fontId="8" fillId="0" borderId="16" xfId="0" applyFont="1" applyBorder="1" applyAlignment="1">
      <alignment horizontal="left" vertical="top"/>
    </xf>
    <xf numFmtId="0" fontId="8" fillId="0" borderId="0" xfId="0" applyFont="1" applyAlignment="1">
      <alignment horizontal="left" vertical="top"/>
    </xf>
    <xf numFmtId="0" fontId="8" fillId="0" borderId="17" xfId="0" applyFont="1" applyBorder="1" applyAlignment="1">
      <alignment horizontal="left" vertical="top"/>
    </xf>
    <xf numFmtId="0" fontId="8" fillId="0" borderId="14" xfId="0" applyFont="1" applyBorder="1" applyAlignment="1">
      <alignment horizontal="left" vertical="top"/>
    </xf>
    <xf numFmtId="0" fontId="8" fillId="0" borderId="10" xfId="0" applyFont="1" applyBorder="1" applyAlignment="1">
      <alignment horizontal="left" vertical="top"/>
    </xf>
    <xf numFmtId="0" fontId="8" fillId="0" borderId="15" xfId="0" applyFont="1" applyBorder="1" applyAlignment="1">
      <alignment horizontal="left" vertical="top"/>
    </xf>
    <xf numFmtId="0" fontId="8" fillId="0" borderId="11" xfId="0" applyFont="1" applyBorder="1" applyAlignment="1">
      <alignment horizontal="left" vertical="top" wrapText="1"/>
    </xf>
    <xf numFmtId="0" fontId="8" fillId="0" borderId="12" xfId="0" applyFont="1" applyBorder="1" applyAlignment="1">
      <alignment horizontal="left" vertical="top" wrapText="1"/>
    </xf>
    <xf numFmtId="0" fontId="8" fillId="0" borderId="13" xfId="0" applyFont="1" applyBorder="1" applyAlignment="1">
      <alignment horizontal="left" vertical="top" wrapText="1"/>
    </xf>
    <xf numFmtId="0" fontId="8" fillId="0" borderId="16" xfId="0" applyFont="1" applyBorder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8" fillId="0" borderId="17" xfId="0" applyFont="1" applyBorder="1" applyAlignment="1">
      <alignment horizontal="left" vertical="top" wrapText="1"/>
    </xf>
    <xf numFmtId="0" fontId="8" fillId="0" borderId="14" xfId="0" applyFont="1" applyBorder="1" applyAlignment="1">
      <alignment horizontal="left" vertical="top" wrapText="1"/>
    </xf>
    <xf numFmtId="0" fontId="8" fillId="0" borderId="10" xfId="0" applyFont="1" applyBorder="1" applyAlignment="1">
      <alignment horizontal="left" vertical="top" wrapText="1"/>
    </xf>
    <xf numFmtId="0" fontId="8" fillId="0" borderId="15" xfId="0" applyFont="1" applyBorder="1" applyAlignment="1">
      <alignment horizontal="left" vertical="top" wrapText="1"/>
    </xf>
    <xf numFmtId="0" fontId="17" fillId="9" borderId="0" xfId="0" applyFont="1" applyFill="1" applyAlignment="1">
      <alignment horizontal="center" vertical="center"/>
    </xf>
    <xf numFmtId="0" fontId="8" fillId="0" borderId="11" xfId="0" applyFont="1" applyBorder="1" applyAlignment="1">
      <alignment horizontal="center" vertical="top"/>
    </xf>
    <xf numFmtId="0" fontId="8" fillId="0" borderId="12" xfId="0" applyFont="1" applyBorder="1" applyAlignment="1">
      <alignment horizontal="center" vertical="top"/>
    </xf>
    <xf numFmtId="0" fontId="8" fillId="0" borderId="13" xfId="0" applyFont="1" applyBorder="1" applyAlignment="1">
      <alignment horizontal="center" vertical="top"/>
    </xf>
    <xf numFmtId="0" fontId="8" fillId="0" borderId="16" xfId="0" applyFont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0" fontId="8" fillId="0" borderId="17" xfId="0" applyFont="1" applyBorder="1" applyAlignment="1">
      <alignment horizontal="center" vertical="top"/>
    </xf>
    <xf numFmtId="0" fontId="8" fillId="0" borderId="14" xfId="0" applyFont="1" applyBorder="1" applyAlignment="1">
      <alignment horizontal="center" vertical="top"/>
    </xf>
    <xf numFmtId="0" fontId="8" fillId="0" borderId="10" xfId="0" applyFont="1" applyBorder="1" applyAlignment="1">
      <alignment horizontal="center" vertical="top"/>
    </xf>
    <xf numFmtId="0" fontId="8" fillId="0" borderId="15" xfId="0" applyFont="1" applyBorder="1" applyAlignment="1">
      <alignment horizontal="center" vertical="top"/>
    </xf>
  </cellXfs>
  <cellStyles count="13">
    <cellStyle name="Hiperlink" xfId="11" builtinId="8"/>
    <cellStyle name="Moeda" xfId="6" builtinId="4"/>
    <cellStyle name="Moeda 2" xfId="8" xr:uid="{606CEDA3-5CF5-499B-B538-DBA55396E23D}"/>
    <cellStyle name="Normal" xfId="0" builtinId="0"/>
    <cellStyle name="Normal 2" xfId="3" xr:uid="{90E02FAA-DFE0-4267-A6D3-0E006F909CFC}"/>
    <cellStyle name="Normal 3" xfId="10" xr:uid="{75FF89BD-F6D2-40C6-8657-3D552F97BB73}"/>
    <cellStyle name="Porcentagem" xfId="1" builtinId="5"/>
    <cellStyle name="Porcentagem 2 2" xfId="4" xr:uid="{310E9D34-225B-41AB-8DF0-F9F1C8FBEDB2}"/>
    <cellStyle name="Vírgula" xfId="12" builtinId="3"/>
    <cellStyle name="Vírgula 2" xfId="2" xr:uid="{928856F9-E980-4E89-A629-DDA246EE9370}"/>
    <cellStyle name="Vírgula 2 2" xfId="7" xr:uid="{3554E0ED-2F8F-457A-A41B-0E8B2044FFE8}"/>
    <cellStyle name="Vírgula 3" xfId="5" xr:uid="{6806D2DB-D0BF-4154-A4EE-07DC58C40B35}"/>
    <cellStyle name="Vírgula 3 2" xfId="9" xr:uid="{D2BE0A0F-AA7E-499F-8DF3-13ED1B9C7AA2}"/>
  </cellStyles>
  <dxfs count="151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_-[$$-409]* #,##0_ ;_-[$$-409]* \-#,##0\ ;_-[$$-409]* &quot;-&quot;??_ ;_-@_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rgb="FFFFFFFF"/>
        </top>
      </border>
    </dxf>
    <dxf>
      <font>
        <strike val="0"/>
        <outline val="0"/>
        <shadow val="0"/>
        <vertAlign val="baseline"/>
        <sz val="10"/>
        <name val="Calibri"/>
        <family val="2"/>
      </font>
    </dxf>
    <dxf>
      <border outline="0"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strike val="0"/>
        <outline val="0"/>
        <shadow val="0"/>
        <vertAlign val="baseline"/>
        <sz val="10"/>
        <name val="Calibri"/>
        <family val="2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6" formatCode="_-[$$-409]* #,##0_ ;_-[$$-409]* \-#,##0\ ;_-[$$-409]* &quot;-&quot;??_ ;_-@_ 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border outline="0">
        <top style="thin">
          <color indexed="9"/>
        </top>
      </border>
    </dxf>
    <dxf>
      <font>
        <strike val="0"/>
        <outline val="0"/>
        <shadow val="0"/>
        <vertAlign val="baseline"/>
        <sz val="10"/>
        <name val="Calibri"/>
        <family val="2"/>
      </font>
    </dxf>
    <dxf>
      <border outline="0">
        <bottom style="thin">
          <color indexed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rgb="FF000000"/>
        <name val="Calibri"/>
        <family val="2"/>
        <scheme val="none"/>
      </font>
      <alignment horizontal="center" vertical="center" textRotation="0" wrapText="0" indent="0" justifyLastLine="0" shrinkToFit="0" readingOrder="0"/>
    </dxf>
    <dxf>
      <border outline="0">
        <bottom style="thin">
          <color rgb="FFFFFFFF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3" formatCode="#,##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4" formatCode="#,##0.00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4" formatCode="0.00%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2" formatCode="0.00"/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_-;\-* #,##0_-;_-* &quot;-&quot;??_-;_-@_-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4" formatCode="[$-416]mmm\-yy;@"/>
      <alignment horizontal="center"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center" vertical="center" textRotation="0" wrapText="0" indent="0" justifyLastLine="0" shrinkToFit="0" readingOrder="0"/>
    </dxf>
    <dxf>
      <border outline="0">
        <bottom style="thin">
          <color indexed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  <dxf>
      <font>
        <strike val="0"/>
        <outline val="0"/>
        <shadow val="0"/>
        <vertAlign val="baseline"/>
        <sz val="10"/>
        <name val="Calibri"/>
        <family val="2"/>
        <scheme val="minor"/>
      </font>
    </dxf>
    <dxf>
      <font>
        <strike val="0"/>
        <outline val="0"/>
        <shadow val="0"/>
        <vertAlign val="baseline"/>
        <sz val="10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8" formatCode="_-* #,##0.0_-;\-* #,##0.0_-;_-* &quot;-&quot;??_-;_-@_-"/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35" formatCode="_-* #,##0.00_-;\-* #,##0.00_-;_-* &quot;-&quot;??_-;_-@_-"/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3" formatCode="#,##0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_-;\-* #,##0_-;_-* &quot;-&quot;??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_-;\-* #,##0_-;_-* &quot;-&quot;??_-;_-@_-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_-;\-* #,##0_-;_-* &quot;-&quot;??_-;_-@_-"/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numFmt numFmtId="167" formatCode="_-* #,##0_-;\-* #,##0_-;_-* &quot;-&quot;??_-;_-@_-"/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169" formatCode="0.0%"/>
      <alignment horizontal="righ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164" formatCode="[$-416]mmm\-yy;@"/>
      <alignment horizontal="right" vertical="center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  <numFmt numFmtId="164" formatCode="[$-416]mmm\-yy;@"/>
      <alignment horizontal="center" vertical="bottom" textRotation="0" wrapText="0" indent="0" justifyLastLine="0" shrinkToFit="0" readingOrder="0"/>
    </dxf>
    <dxf>
      <font>
        <strike val="0"/>
        <outline val="0"/>
        <shadow val="0"/>
        <vertAlign val="baseline"/>
        <sz val="10"/>
        <name val="Calibri"/>
        <family val="2"/>
        <scheme val="minor"/>
      </font>
    </dxf>
    <dxf>
      <border outline="0">
        <bottom style="thin">
          <color indexed="9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9"/>
        <name val="Calibri"/>
        <family val="2"/>
        <scheme val="none"/>
      </font>
      <fill>
        <patternFill patternType="darkGray">
          <fgColor indexed="64"/>
          <bgColor indexed="1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9"/>
        </left>
        <right style="thin">
          <color indexed="9"/>
        </right>
        <top/>
        <bottom/>
      </border>
    </dxf>
  </dxfs>
  <tableStyles count="0" defaultTableStyle="TableStyleMedium2" defaultPivotStyle="PivotStyleLight16"/>
  <colors>
    <mruColors>
      <color rgb="FF0000FF"/>
      <color rgb="FF075758"/>
      <color rgb="FF262626"/>
      <color rgb="FFE5AA2D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'Housing Market'!$T$2</c:f>
              <c:strCache>
                <c:ptCount val="1"/>
                <c:pt idx="0">
                  <c:v>S&amp;P/Case-Shiller m/m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'Housing Market'!$A$723:$A$758</c:f>
              <c:numCache>
                <c:formatCode>[$-416]mmm\-yy;@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'Housing Market'!$T$723:$T$758</c:f>
              <c:numCache>
                <c:formatCode>0.0%</c:formatCode>
                <c:ptCount val="36"/>
                <c:pt idx="0">
                  <c:v>8.8531066938020153E-3</c:v>
                </c:pt>
                <c:pt idx="1">
                  <c:v>1.1765402442737827E-2</c:v>
                </c:pt>
                <c:pt idx="2">
                  <c:v>2.0882970096723907E-2</c:v>
                </c:pt>
                <c:pt idx="3">
                  <c:v>2.295749158593785E-2</c:v>
                </c:pt>
                <c:pt idx="4">
                  <c:v>2.2510316561333177E-2</c:v>
                </c:pt>
                <c:pt idx="5">
                  <c:v>2.2402286027439988E-2</c:v>
                </c:pt>
                <c:pt idx="6">
                  <c:v>1.6601068961820564E-2</c:v>
                </c:pt>
                <c:pt idx="7">
                  <c:v>1.2337867763366095E-2</c:v>
                </c:pt>
                <c:pt idx="8">
                  <c:v>9.8772321428570731E-3</c:v>
                </c:pt>
                <c:pt idx="9">
                  <c:v>8.1486802600800878E-3</c:v>
                </c:pt>
                <c:pt idx="10">
                  <c:v>8.6528518235666763E-3</c:v>
                </c:pt>
                <c:pt idx="11">
                  <c:v>9.3393953665295015E-3</c:v>
                </c:pt>
                <c:pt idx="12">
                  <c:v>1.2120755312925224E-2</c:v>
                </c:pt>
                <c:pt idx="13">
                  <c:v>1.8560941877371562E-2</c:v>
                </c:pt>
                <c:pt idx="14">
                  <c:v>2.7226137091608038E-2</c:v>
                </c:pt>
                <c:pt idx="15">
                  <c:v>2.2542400455525025E-2</c:v>
                </c:pt>
                <c:pt idx="16">
                  <c:v>1.5833871956777434E-2</c:v>
                </c:pt>
                <c:pt idx="17">
                  <c:v>5.8537158370095543E-3</c:v>
                </c:pt>
                <c:pt idx="18">
                  <c:v>-3.7694718197917032E-3</c:v>
                </c:pt>
                <c:pt idx="19">
                  <c:v>-1.1220954464937094E-2</c:v>
                </c:pt>
                <c:pt idx="20">
                  <c:v>-1.0462428126379097E-2</c:v>
                </c:pt>
                <c:pt idx="21">
                  <c:v>-5.9038674658298262E-3</c:v>
                </c:pt>
                <c:pt idx="22">
                  <c:v>-6.0360152256224708E-3</c:v>
                </c:pt>
                <c:pt idx="23">
                  <c:v>-8.4606472125670074E-3</c:v>
                </c:pt>
                <c:pt idx="24">
                  <c:v>-5.3398190168211235E-3</c:v>
                </c:pt>
                <c:pt idx="25">
                  <c:v>2.100266375247628E-3</c:v>
                </c:pt>
                <c:pt idx="26">
                  <c:v>1.3209058224138204E-2</c:v>
                </c:pt>
                <c:pt idx="27">
                  <c:v>1.405598851034795E-2</c:v>
                </c:pt>
                <c:pt idx="28">
                  <c:v>1.2852830939666271E-2</c:v>
                </c:pt>
                <c:pt idx="29">
                  <c:v>9.5623270512337211E-3</c:v>
                </c:pt>
                <c:pt idx="30">
                  <c:v>6.0366219569552015E-3</c:v>
                </c:pt>
                <c:pt idx="31">
                  <c:v>4.4269473086870903E-3</c:v>
                </c:pt>
                <c:pt idx="32">
                  <c:v>2.8826492124076619E-3</c:v>
                </c:pt>
                <c:pt idx="33">
                  <c:v>1.7156556781479093E-3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8E4-40DC-B177-6876D6A4541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'Housing Market'!$C$2</c:f>
              <c:strCache>
                <c:ptCount val="1"/>
                <c:pt idx="0">
                  <c:v>NAHB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'Labor Market'!$A$447:$A$914</c:f>
              <c:numCache>
                <c:formatCode>[$-416]mmm\-yy;@</c:formatCode>
                <c:ptCount val="468"/>
                <c:pt idx="0">
                  <c:v>31048</c:v>
                </c:pt>
                <c:pt idx="1">
                  <c:v>31079</c:v>
                </c:pt>
                <c:pt idx="2">
                  <c:v>31107</c:v>
                </c:pt>
                <c:pt idx="3">
                  <c:v>31138</c:v>
                </c:pt>
                <c:pt idx="4">
                  <c:v>31168</c:v>
                </c:pt>
                <c:pt idx="5">
                  <c:v>31199</c:v>
                </c:pt>
                <c:pt idx="6">
                  <c:v>31229</c:v>
                </c:pt>
                <c:pt idx="7">
                  <c:v>31260</c:v>
                </c:pt>
                <c:pt idx="8">
                  <c:v>31291</c:v>
                </c:pt>
                <c:pt idx="9">
                  <c:v>31321</c:v>
                </c:pt>
                <c:pt idx="10">
                  <c:v>31352</c:v>
                </c:pt>
                <c:pt idx="11">
                  <c:v>31382</c:v>
                </c:pt>
                <c:pt idx="12">
                  <c:v>31413</c:v>
                </c:pt>
                <c:pt idx="13">
                  <c:v>31444</c:v>
                </c:pt>
                <c:pt idx="14">
                  <c:v>31472</c:v>
                </c:pt>
                <c:pt idx="15">
                  <c:v>31503</c:v>
                </c:pt>
                <c:pt idx="16">
                  <c:v>31533</c:v>
                </c:pt>
                <c:pt idx="17">
                  <c:v>31564</c:v>
                </c:pt>
                <c:pt idx="18">
                  <c:v>31594</c:v>
                </c:pt>
                <c:pt idx="19">
                  <c:v>31625</c:v>
                </c:pt>
                <c:pt idx="20">
                  <c:v>31656</c:v>
                </c:pt>
                <c:pt idx="21">
                  <c:v>31686</c:v>
                </c:pt>
                <c:pt idx="22">
                  <c:v>31717</c:v>
                </c:pt>
                <c:pt idx="23">
                  <c:v>31747</c:v>
                </c:pt>
                <c:pt idx="24">
                  <c:v>31778</c:v>
                </c:pt>
                <c:pt idx="25">
                  <c:v>31809</c:v>
                </c:pt>
                <c:pt idx="26">
                  <c:v>31837</c:v>
                </c:pt>
                <c:pt idx="27">
                  <c:v>31868</c:v>
                </c:pt>
                <c:pt idx="28">
                  <c:v>31898</c:v>
                </c:pt>
                <c:pt idx="29">
                  <c:v>31929</c:v>
                </c:pt>
                <c:pt idx="30">
                  <c:v>31959</c:v>
                </c:pt>
                <c:pt idx="31">
                  <c:v>31990</c:v>
                </c:pt>
                <c:pt idx="32">
                  <c:v>32021</c:v>
                </c:pt>
                <c:pt idx="33">
                  <c:v>32051</c:v>
                </c:pt>
                <c:pt idx="34">
                  <c:v>32082</c:v>
                </c:pt>
                <c:pt idx="35">
                  <c:v>32112</c:v>
                </c:pt>
                <c:pt idx="36">
                  <c:v>32143</c:v>
                </c:pt>
                <c:pt idx="37">
                  <c:v>32174</c:v>
                </c:pt>
                <c:pt idx="38">
                  <c:v>32203</c:v>
                </c:pt>
                <c:pt idx="39">
                  <c:v>32234</c:v>
                </c:pt>
                <c:pt idx="40">
                  <c:v>32264</c:v>
                </c:pt>
                <c:pt idx="41">
                  <c:v>32295</c:v>
                </c:pt>
                <c:pt idx="42">
                  <c:v>32325</c:v>
                </c:pt>
                <c:pt idx="43">
                  <c:v>32356</c:v>
                </c:pt>
                <c:pt idx="44">
                  <c:v>32387</c:v>
                </c:pt>
                <c:pt idx="45">
                  <c:v>32417</c:v>
                </c:pt>
                <c:pt idx="46">
                  <c:v>32448</c:v>
                </c:pt>
                <c:pt idx="47">
                  <c:v>32478</c:v>
                </c:pt>
                <c:pt idx="48">
                  <c:v>32509</c:v>
                </c:pt>
                <c:pt idx="49">
                  <c:v>32540</c:v>
                </c:pt>
                <c:pt idx="50">
                  <c:v>32568</c:v>
                </c:pt>
                <c:pt idx="51">
                  <c:v>32599</c:v>
                </c:pt>
                <c:pt idx="52">
                  <c:v>32629</c:v>
                </c:pt>
                <c:pt idx="53">
                  <c:v>32660</c:v>
                </c:pt>
                <c:pt idx="54">
                  <c:v>32690</c:v>
                </c:pt>
                <c:pt idx="55">
                  <c:v>32721</c:v>
                </c:pt>
                <c:pt idx="56">
                  <c:v>32752</c:v>
                </c:pt>
                <c:pt idx="57">
                  <c:v>32782</c:v>
                </c:pt>
                <c:pt idx="58">
                  <c:v>32813</c:v>
                </c:pt>
                <c:pt idx="59">
                  <c:v>32843</c:v>
                </c:pt>
                <c:pt idx="60">
                  <c:v>32874</c:v>
                </c:pt>
                <c:pt idx="61">
                  <c:v>32905</c:v>
                </c:pt>
                <c:pt idx="62">
                  <c:v>32933</c:v>
                </c:pt>
                <c:pt idx="63">
                  <c:v>32964</c:v>
                </c:pt>
                <c:pt idx="64">
                  <c:v>32994</c:v>
                </c:pt>
                <c:pt idx="65">
                  <c:v>33025</c:v>
                </c:pt>
                <c:pt idx="66">
                  <c:v>33055</c:v>
                </c:pt>
                <c:pt idx="67">
                  <c:v>33086</c:v>
                </c:pt>
                <c:pt idx="68">
                  <c:v>33117</c:v>
                </c:pt>
                <c:pt idx="69">
                  <c:v>33147</c:v>
                </c:pt>
                <c:pt idx="70">
                  <c:v>33178</c:v>
                </c:pt>
                <c:pt idx="71">
                  <c:v>33208</c:v>
                </c:pt>
                <c:pt idx="72">
                  <c:v>33239</c:v>
                </c:pt>
                <c:pt idx="73">
                  <c:v>33270</c:v>
                </c:pt>
                <c:pt idx="74">
                  <c:v>33298</c:v>
                </c:pt>
                <c:pt idx="75">
                  <c:v>33329</c:v>
                </c:pt>
                <c:pt idx="76">
                  <c:v>33359</c:v>
                </c:pt>
                <c:pt idx="77">
                  <c:v>33390</c:v>
                </c:pt>
                <c:pt idx="78">
                  <c:v>33420</c:v>
                </c:pt>
                <c:pt idx="79">
                  <c:v>33451</c:v>
                </c:pt>
                <c:pt idx="80">
                  <c:v>33482</c:v>
                </c:pt>
                <c:pt idx="81">
                  <c:v>33512</c:v>
                </c:pt>
                <c:pt idx="82">
                  <c:v>33543</c:v>
                </c:pt>
                <c:pt idx="83">
                  <c:v>33573</c:v>
                </c:pt>
                <c:pt idx="84">
                  <c:v>33604</c:v>
                </c:pt>
                <c:pt idx="85">
                  <c:v>33635</c:v>
                </c:pt>
                <c:pt idx="86">
                  <c:v>33664</c:v>
                </c:pt>
                <c:pt idx="87">
                  <c:v>33695</c:v>
                </c:pt>
                <c:pt idx="88">
                  <c:v>33725</c:v>
                </c:pt>
                <c:pt idx="89">
                  <c:v>33756</c:v>
                </c:pt>
                <c:pt idx="90">
                  <c:v>33786</c:v>
                </c:pt>
                <c:pt idx="91">
                  <c:v>33817</c:v>
                </c:pt>
                <c:pt idx="92">
                  <c:v>33848</c:v>
                </c:pt>
                <c:pt idx="93">
                  <c:v>33878</c:v>
                </c:pt>
                <c:pt idx="94">
                  <c:v>33909</c:v>
                </c:pt>
                <c:pt idx="95">
                  <c:v>33939</c:v>
                </c:pt>
                <c:pt idx="96">
                  <c:v>33970</c:v>
                </c:pt>
                <c:pt idx="97">
                  <c:v>34001</c:v>
                </c:pt>
                <c:pt idx="98">
                  <c:v>34029</c:v>
                </c:pt>
                <c:pt idx="99">
                  <c:v>34060</c:v>
                </c:pt>
                <c:pt idx="100">
                  <c:v>34090</c:v>
                </c:pt>
                <c:pt idx="101">
                  <c:v>34121</c:v>
                </c:pt>
                <c:pt idx="102">
                  <c:v>34151</c:v>
                </c:pt>
                <c:pt idx="103">
                  <c:v>34182</c:v>
                </c:pt>
                <c:pt idx="104">
                  <c:v>34213</c:v>
                </c:pt>
                <c:pt idx="105">
                  <c:v>34243</c:v>
                </c:pt>
                <c:pt idx="106">
                  <c:v>34274</c:v>
                </c:pt>
                <c:pt idx="107">
                  <c:v>34304</c:v>
                </c:pt>
                <c:pt idx="108">
                  <c:v>34335</c:v>
                </c:pt>
                <c:pt idx="109">
                  <c:v>34366</c:v>
                </c:pt>
                <c:pt idx="110">
                  <c:v>34394</c:v>
                </c:pt>
                <c:pt idx="111">
                  <c:v>34425</c:v>
                </c:pt>
                <c:pt idx="112">
                  <c:v>34455</c:v>
                </c:pt>
                <c:pt idx="113">
                  <c:v>34486</c:v>
                </c:pt>
                <c:pt idx="114">
                  <c:v>34516</c:v>
                </c:pt>
                <c:pt idx="115">
                  <c:v>34547</c:v>
                </c:pt>
                <c:pt idx="116">
                  <c:v>34578</c:v>
                </c:pt>
                <c:pt idx="117">
                  <c:v>34608</c:v>
                </c:pt>
                <c:pt idx="118">
                  <c:v>34639</c:v>
                </c:pt>
                <c:pt idx="119">
                  <c:v>34669</c:v>
                </c:pt>
                <c:pt idx="120">
                  <c:v>34700</c:v>
                </c:pt>
                <c:pt idx="121">
                  <c:v>34731</c:v>
                </c:pt>
                <c:pt idx="122">
                  <c:v>34759</c:v>
                </c:pt>
                <c:pt idx="123">
                  <c:v>34790</c:v>
                </c:pt>
                <c:pt idx="124">
                  <c:v>34820</c:v>
                </c:pt>
                <c:pt idx="125">
                  <c:v>34851</c:v>
                </c:pt>
                <c:pt idx="126">
                  <c:v>34881</c:v>
                </c:pt>
                <c:pt idx="127">
                  <c:v>34912</c:v>
                </c:pt>
                <c:pt idx="128">
                  <c:v>34943</c:v>
                </c:pt>
                <c:pt idx="129">
                  <c:v>34973</c:v>
                </c:pt>
                <c:pt idx="130">
                  <c:v>35004</c:v>
                </c:pt>
                <c:pt idx="131">
                  <c:v>35034</c:v>
                </c:pt>
                <c:pt idx="132">
                  <c:v>35065</c:v>
                </c:pt>
                <c:pt idx="133">
                  <c:v>35096</c:v>
                </c:pt>
                <c:pt idx="134">
                  <c:v>35125</c:v>
                </c:pt>
                <c:pt idx="135">
                  <c:v>35156</c:v>
                </c:pt>
                <c:pt idx="136">
                  <c:v>35186</c:v>
                </c:pt>
                <c:pt idx="137">
                  <c:v>35217</c:v>
                </c:pt>
                <c:pt idx="138">
                  <c:v>35247</c:v>
                </c:pt>
                <c:pt idx="139">
                  <c:v>35278</c:v>
                </c:pt>
                <c:pt idx="140">
                  <c:v>35309</c:v>
                </c:pt>
                <c:pt idx="141">
                  <c:v>35339</c:v>
                </c:pt>
                <c:pt idx="142">
                  <c:v>35370</c:v>
                </c:pt>
                <c:pt idx="143">
                  <c:v>35400</c:v>
                </c:pt>
                <c:pt idx="144">
                  <c:v>35431</c:v>
                </c:pt>
                <c:pt idx="145">
                  <c:v>35462</c:v>
                </c:pt>
                <c:pt idx="146">
                  <c:v>35490</c:v>
                </c:pt>
                <c:pt idx="147">
                  <c:v>35521</c:v>
                </c:pt>
                <c:pt idx="148">
                  <c:v>35551</c:v>
                </c:pt>
                <c:pt idx="149">
                  <c:v>35582</c:v>
                </c:pt>
                <c:pt idx="150">
                  <c:v>35612</c:v>
                </c:pt>
                <c:pt idx="151">
                  <c:v>35643</c:v>
                </c:pt>
                <c:pt idx="152">
                  <c:v>35674</c:v>
                </c:pt>
                <c:pt idx="153">
                  <c:v>35704</c:v>
                </c:pt>
                <c:pt idx="154">
                  <c:v>35735</c:v>
                </c:pt>
                <c:pt idx="155">
                  <c:v>35765</c:v>
                </c:pt>
                <c:pt idx="156">
                  <c:v>35796</c:v>
                </c:pt>
                <c:pt idx="157">
                  <c:v>35827</c:v>
                </c:pt>
                <c:pt idx="158">
                  <c:v>35855</c:v>
                </c:pt>
                <c:pt idx="159">
                  <c:v>35886</c:v>
                </c:pt>
                <c:pt idx="160">
                  <c:v>35916</c:v>
                </c:pt>
                <c:pt idx="161">
                  <c:v>35947</c:v>
                </c:pt>
                <c:pt idx="162">
                  <c:v>35977</c:v>
                </c:pt>
                <c:pt idx="163">
                  <c:v>36008</c:v>
                </c:pt>
                <c:pt idx="164">
                  <c:v>36039</c:v>
                </c:pt>
                <c:pt idx="165">
                  <c:v>36069</c:v>
                </c:pt>
                <c:pt idx="166">
                  <c:v>36100</c:v>
                </c:pt>
                <c:pt idx="167">
                  <c:v>36130</c:v>
                </c:pt>
                <c:pt idx="168">
                  <c:v>36161</c:v>
                </c:pt>
                <c:pt idx="169">
                  <c:v>36192</c:v>
                </c:pt>
                <c:pt idx="170">
                  <c:v>36220</c:v>
                </c:pt>
                <c:pt idx="171">
                  <c:v>36251</c:v>
                </c:pt>
                <c:pt idx="172">
                  <c:v>36281</c:v>
                </c:pt>
                <c:pt idx="173">
                  <c:v>36312</c:v>
                </c:pt>
                <c:pt idx="174">
                  <c:v>36342</c:v>
                </c:pt>
                <c:pt idx="175">
                  <c:v>36373</c:v>
                </c:pt>
                <c:pt idx="176">
                  <c:v>36404</c:v>
                </c:pt>
                <c:pt idx="177">
                  <c:v>36434</c:v>
                </c:pt>
                <c:pt idx="178">
                  <c:v>36465</c:v>
                </c:pt>
                <c:pt idx="179">
                  <c:v>36495</c:v>
                </c:pt>
                <c:pt idx="180">
                  <c:v>36526</c:v>
                </c:pt>
                <c:pt idx="181">
                  <c:v>36557</c:v>
                </c:pt>
                <c:pt idx="182">
                  <c:v>36586</c:v>
                </c:pt>
                <c:pt idx="183">
                  <c:v>36617</c:v>
                </c:pt>
                <c:pt idx="184">
                  <c:v>36647</c:v>
                </c:pt>
                <c:pt idx="185">
                  <c:v>36678</c:v>
                </c:pt>
                <c:pt idx="186">
                  <c:v>36708</c:v>
                </c:pt>
                <c:pt idx="187">
                  <c:v>36739</c:v>
                </c:pt>
                <c:pt idx="188">
                  <c:v>36770</c:v>
                </c:pt>
                <c:pt idx="189">
                  <c:v>36800</c:v>
                </c:pt>
                <c:pt idx="190">
                  <c:v>36831</c:v>
                </c:pt>
                <c:pt idx="191">
                  <c:v>36861</c:v>
                </c:pt>
                <c:pt idx="192">
                  <c:v>36892</c:v>
                </c:pt>
                <c:pt idx="193">
                  <c:v>36923</c:v>
                </c:pt>
                <c:pt idx="194">
                  <c:v>36951</c:v>
                </c:pt>
                <c:pt idx="195">
                  <c:v>36982</c:v>
                </c:pt>
                <c:pt idx="196">
                  <c:v>37012</c:v>
                </c:pt>
                <c:pt idx="197">
                  <c:v>37043</c:v>
                </c:pt>
                <c:pt idx="198">
                  <c:v>37073</c:v>
                </c:pt>
                <c:pt idx="199">
                  <c:v>37104</c:v>
                </c:pt>
                <c:pt idx="200">
                  <c:v>37135</c:v>
                </c:pt>
                <c:pt idx="201">
                  <c:v>37165</c:v>
                </c:pt>
                <c:pt idx="202">
                  <c:v>37196</c:v>
                </c:pt>
                <c:pt idx="203">
                  <c:v>37226</c:v>
                </c:pt>
                <c:pt idx="204">
                  <c:v>37257</c:v>
                </c:pt>
                <c:pt idx="205">
                  <c:v>37288</c:v>
                </c:pt>
                <c:pt idx="206">
                  <c:v>37316</c:v>
                </c:pt>
                <c:pt idx="207">
                  <c:v>37347</c:v>
                </c:pt>
                <c:pt idx="208">
                  <c:v>37377</c:v>
                </c:pt>
                <c:pt idx="209">
                  <c:v>37408</c:v>
                </c:pt>
                <c:pt idx="210">
                  <c:v>37438</c:v>
                </c:pt>
                <c:pt idx="211">
                  <c:v>37469</c:v>
                </c:pt>
                <c:pt idx="212">
                  <c:v>37500</c:v>
                </c:pt>
                <c:pt idx="213">
                  <c:v>37530</c:v>
                </c:pt>
                <c:pt idx="214">
                  <c:v>37561</c:v>
                </c:pt>
                <c:pt idx="215">
                  <c:v>37591</c:v>
                </c:pt>
                <c:pt idx="216">
                  <c:v>37622</c:v>
                </c:pt>
                <c:pt idx="217">
                  <c:v>37653</c:v>
                </c:pt>
                <c:pt idx="218">
                  <c:v>37681</c:v>
                </c:pt>
                <c:pt idx="219">
                  <c:v>37712</c:v>
                </c:pt>
                <c:pt idx="220">
                  <c:v>37742</c:v>
                </c:pt>
                <c:pt idx="221">
                  <c:v>37773</c:v>
                </c:pt>
                <c:pt idx="222">
                  <c:v>37803</c:v>
                </c:pt>
                <c:pt idx="223">
                  <c:v>37834</c:v>
                </c:pt>
                <c:pt idx="224">
                  <c:v>37865</c:v>
                </c:pt>
                <c:pt idx="225">
                  <c:v>37895</c:v>
                </c:pt>
                <c:pt idx="226">
                  <c:v>37926</c:v>
                </c:pt>
                <c:pt idx="227">
                  <c:v>37956</c:v>
                </c:pt>
                <c:pt idx="228">
                  <c:v>37987</c:v>
                </c:pt>
                <c:pt idx="229">
                  <c:v>38018</c:v>
                </c:pt>
                <c:pt idx="230">
                  <c:v>38047</c:v>
                </c:pt>
                <c:pt idx="231">
                  <c:v>38078</c:v>
                </c:pt>
                <c:pt idx="232">
                  <c:v>38108</c:v>
                </c:pt>
                <c:pt idx="233">
                  <c:v>38139</c:v>
                </c:pt>
                <c:pt idx="234">
                  <c:v>38169</c:v>
                </c:pt>
                <c:pt idx="235">
                  <c:v>38200</c:v>
                </c:pt>
                <c:pt idx="236">
                  <c:v>38231</c:v>
                </c:pt>
                <c:pt idx="237">
                  <c:v>38261</c:v>
                </c:pt>
                <c:pt idx="238">
                  <c:v>38292</c:v>
                </c:pt>
                <c:pt idx="239">
                  <c:v>38322</c:v>
                </c:pt>
                <c:pt idx="240">
                  <c:v>38353</c:v>
                </c:pt>
                <c:pt idx="241">
                  <c:v>38384</c:v>
                </c:pt>
                <c:pt idx="242">
                  <c:v>38412</c:v>
                </c:pt>
                <c:pt idx="243">
                  <c:v>38443</c:v>
                </c:pt>
                <c:pt idx="244">
                  <c:v>38473</c:v>
                </c:pt>
                <c:pt idx="245">
                  <c:v>38504</c:v>
                </c:pt>
                <c:pt idx="246">
                  <c:v>38534</c:v>
                </c:pt>
                <c:pt idx="247">
                  <c:v>38565</c:v>
                </c:pt>
                <c:pt idx="248">
                  <c:v>38596</c:v>
                </c:pt>
                <c:pt idx="249">
                  <c:v>38626</c:v>
                </c:pt>
                <c:pt idx="250">
                  <c:v>38657</c:v>
                </c:pt>
                <c:pt idx="251">
                  <c:v>38687</c:v>
                </c:pt>
                <c:pt idx="252">
                  <c:v>38718</c:v>
                </c:pt>
                <c:pt idx="253">
                  <c:v>38749</c:v>
                </c:pt>
                <c:pt idx="254">
                  <c:v>38777</c:v>
                </c:pt>
                <c:pt idx="255">
                  <c:v>38808</c:v>
                </c:pt>
                <c:pt idx="256">
                  <c:v>38838</c:v>
                </c:pt>
                <c:pt idx="257">
                  <c:v>38869</c:v>
                </c:pt>
                <c:pt idx="258">
                  <c:v>38899</c:v>
                </c:pt>
                <c:pt idx="259">
                  <c:v>38930</c:v>
                </c:pt>
                <c:pt idx="260">
                  <c:v>38961</c:v>
                </c:pt>
                <c:pt idx="261">
                  <c:v>38991</c:v>
                </c:pt>
                <c:pt idx="262">
                  <c:v>39022</c:v>
                </c:pt>
                <c:pt idx="263">
                  <c:v>39052</c:v>
                </c:pt>
                <c:pt idx="264">
                  <c:v>39083</c:v>
                </c:pt>
                <c:pt idx="265">
                  <c:v>39114</c:v>
                </c:pt>
                <c:pt idx="266">
                  <c:v>39142</c:v>
                </c:pt>
                <c:pt idx="267">
                  <c:v>39173</c:v>
                </c:pt>
                <c:pt idx="268">
                  <c:v>39203</c:v>
                </c:pt>
                <c:pt idx="269">
                  <c:v>39234</c:v>
                </c:pt>
                <c:pt idx="270">
                  <c:v>39264</c:v>
                </c:pt>
                <c:pt idx="271">
                  <c:v>39295</c:v>
                </c:pt>
                <c:pt idx="272">
                  <c:v>39326</c:v>
                </c:pt>
                <c:pt idx="273">
                  <c:v>39356</c:v>
                </c:pt>
                <c:pt idx="274">
                  <c:v>39387</c:v>
                </c:pt>
                <c:pt idx="275">
                  <c:v>39417</c:v>
                </c:pt>
                <c:pt idx="276">
                  <c:v>39448</c:v>
                </c:pt>
                <c:pt idx="277">
                  <c:v>39479</c:v>
                </c:pt>
                <c:pt idx="278">
                  <c:v>39508</c:v>
                </c:pt>
                <c:pt idx="279">
                  <c:v>39539</c:v>
                </c:pt>
                <c:pt idx="280">
                  <c:v>39569</c:v>
                </c:pt>
                <c:pt idx="281">
                  <c:v>39600</c:v>
                </c:pt>
                <c:pt idx="282">
                  <c:v>39630</c:v>
                </c:pt>
                <c:pt idx="283">
                  <c:v>39661</c:v>
                </c:pt>
                <c:pt idx="284">
                  <c:v>39692</c:v>
                </c:pt>
                <c:pt idx="285">
                  <c:v>39722</c:v>
                </c:pt>
                <c:pt idx="286">
                  <c:v>39753</c:v>
                </c:pt>
                <c:pt idx="287">
                  <c:v>39783</c:v>
                </c:pt>
                <c:pt idx="288">
                  <c:v>39814</c:v>
                </c:pt>
                <c:pt idx="289">
                  <c:v>39845</c:v>
                </c:pt>
                <c:pt idx="290">
                  <c:v>39873</c:v>
                </c:pt>
                <c:pt idx="291">
                  <c:v>39904</c:v>
                </c:pt>
                <c:pt idx="292">
                  <c:v>39934</c:v>
                </c:pt>
                <c:pt idx="293">
                  <c:v>39965</c:v>
                </c:pt>
                <c:pt idx="294">
                  <c:v>39995</c:v>
                </c:pt>
                <c:pt idx="295">
                  <c:v>40026</c:v>
                </c:pt>
                <c:pt idx="296">
                  <c:v>40057</c:v>
                </c:pt>
                <c:pt idx="297">
                  <c:v>40087</c:v>
                </c:pt>
                <c:pt idx="298">
                  <c:v>40118</c:v>
                </c:pt>
                <c:pt idx="299">
                  <c:v>40148</c:v>
                </c:pt>
                <c:pt idx="300">
                  <c:v>40179</c:v>
                </c:pt>
                <c:pt idx="301">
                  <c:v>40210</c:v>
                </c:pt>
                <c:pt idx="302">
                  <c:v>40238</c:v>
                </c:pt>
                <c:pt idx="303">
                  <c:v>40269</c:v>
                </c:pt>
                <c:pt idx="304">
                  <c:v>40299</c:v>
                </c:pt>
                <c:pt idx="305">
                  <c:v>40330</c:v>
                </c:pt>
                <c:pt idx="306">
                  <c:v>40360</c:v>
                </c:pt>
                <c:pt idx="307">
                  <c:v>40391</c:v>
                </c:pt>
                <c:pt idx="308">
                  <c:v>40422</c:v>
                </c:pt>
                <c:pt idx="309">
                  <c:v>40452</c:v>
                </c:pt>
                <c:pt idx="310">
                  <c:v>40483</c:v>
                </c:pt>
                <c:pt idx="311">
                  <c:v>40513</c:v>
                </c:pt>
                <c:pt idx="312">
                  <c:v>40544</c:v>
                </c:pt>
                <c:pt idx="313">
                  <c:v>40575</c:v>
                </c:pt>
                <c:pt idx="314">
                  <c:v>40603</c:v>
                </c:pt>
                <c:pt idx="315">
                  <c:v>40634</c:v>
                </c:pt>
                <c:pt idx="316">
                  <c:v>40664</c:v>
                </c:pt>
                <c:pt idx="317">
                  <c:v>40695</c:v>
                </c:pt>
                <c:pt idx="318">
                  <c:v>40725</c:v>
                </c:pt>
                <c:pt idx="319">
                  <c:v>40756</c:v>
                </c:pt>
                <c:pt idx="320">
                  <c:v>40787</c:v>
                </c:pt>
                <c:pt idx="321">
                  <c:v>40817</c:v>
                </c:pt>
                <c:pt idx="322">
                  <c:v>40848</c:v>
                </c:pt>
                <c:pt idx="323">
                  <c:v>40878</c:v>
                </c:pt>
                <c:pt idx="324">
                  <c:v>40909</c:v>
                </c:pt>
                <c:pt idx="325">
                  <c:v>40940</c:v>
                </c:pt>
                <c:pt idx="326">
                  <c:v>40969</c:v>
                </c:pt>
                <c:pt idx="327">
                  <c:v>41000</c:v>
                </c:pt>
                <c:pt idx="328">
                  <c:v>41030</c:v>
                </c:pt>
                <c:pt idx="329">
                  <c:v>41061</c:v>
                </c:pt>
                <c:pt idx="330">
                  <c:v>41091</c:v>
                </c:pt>
                <c:pt idx="331">
                  <c:v>41122</c:v>
                </c:pt>
                <c:pt idx="332">
                  <c:v>41153</c:v>
                </c:pt>
                <c:pt idx="333">
                  <c:v>41183</c:v>
                </c:pt>
                <c:pt idx="334">
                  <c:v>41214</c:v>
                </c:pt>
                <c:pt idx="335">
                  <c:v>41244</c:v>
                </c:pt>
                <c:pt idx="336">
                  <c:v>41275</c:v>
                </c:pt>
                <c:pt idx="337">
                  <c:v>41306</c:v>
                </c:pt>
                <c:pt idx="338">
                  <c:v>41334</c:v>
                </c:pt>
                <c:pt idx="339">
                  <c:v>41365</c:v>
                </c:pt>
                <c:pt idx="340">
                  <c:v>41395</c:v>
                </c:pt>
                <c:pt idx="341">
                  <c:v>41426</c:v>
                </c:pt>
                <c:pt idx="342">
                  <c:v>41456</c:v>
                </c:pt>
                <c:pt idx="343">
                  <c:v>41487</c:v>
                </c:pt>
                <c:pt idx="344">
                  <c:v>41518</c:v>
                </c:pt>
                <c:pt idx="345">
                  <c:v>41548</c:v>
                </c:pt>
                <c:pt idx="346">
                  <c:v>41579</c:v>
                </c:pt>
                <c:pt idx="347">
                  <c:v>41609</c:v>
                </c:pt>
                <c:pt idx="348">
                  <c:v>41640</c:v>
                </c:pt>
                <c:pt idx="349">
                  <c:v>41671</c:v>
                </c:pt>
                <c:pt idx="350">
                  <c:v>41699</c:v>
                </c:pt>
                <c:pt idx="351">
                  <c:v>41730</c:v>
                </c:pt>
                <c:pt idx="352">
                  <c:v>41760</c:v>
                </c:pt>
                <c:pt idx="353">
                  <c:v>41791</c:v>
                </c:pt>
                <c:pt idx="354">
                  <c:v>41821</c:v>
                </c:pt>
                <c:pt idx="355">
                  <c:v>41852</c:v>
                </c:pt>
                <c:pt idx="356">
                  <c:v>41883</c:v>
                </c:pt>
                <c:pt idx="357">
                  <c:v>41913</c:v>
                </c:pt>
                <c:pt idx="358">
                  <c:v>41944</c:v>
                </c:pt>
                <c:pt idx="359">
                  <c:v>41974</c:v>
                </c:pt>
                <c:pt idx="360">
                  <c:v>42005</c:v>
                </c:pt>
                <c:pt idx="361">
                  <c:v>42036</c:v>
                </c:pt>
                <c:pt idx="362">
                  <c:v>42064</c:v>
                </c:pt>
                <c:pt idx="363">
                  <c:v>42095</c:v>
                </c:pt>
                <c:pt idx="364">
                  <c:v>42125</c:v>
                </c:pt>
                <c:pt idx="365">
                  <c:v>42156</c:v>
                </c:pt>
                <c:pt idx="366">
                  <c:v>42186</c:v>
                </c:pt>
                <c:pt idx="367">
                  <c:v>42217</c:v>
                </c:pt>
                <c:pt idx="368">
                  <c:v>42248</c:v>
                </c:pt>
                <c:pt idx="369">
                  <c:v>42278</c:v>
                </c:pt>
                <c:pt idx="370">
                  <c:v>42309</c:v>
                </c:pt>
                <c:pt idx="371">
                  <c:v>42339</c:v>
                </c:pt>
                <c:pt idx="372">
                  <c:v>42370</c:v>
                </c:pt>
                <c:pt idx="373">
                  <c:v>42401</c:v>
                </c:pt>
                <c:pt idx="374">
                  <c:v>42430</c:v>
                </c:pt>
                <c:pt idx="375">
                  <c:v>42461</c:v>
                </c:pt>
                <c:pt idx="376">
                  <c:v>42491</c:v>
                </c:pt>
                <c:pt idx="377">
                  <c:v>42522</c:v>
                </c:pt>
                <c:pt idx="378">
                  <c:v>42552</c:v>
                </c:pt>
                <c:pt idx="379">
                  <c:v>42583</c:v>
                </c:pt>
                <c:pt idx="380">
                  <c:v>42614</c:v>
                </c:pt>
                <c:pt idx="381">
                  <c:v>42644</c:v>
                </c:pt>
                <c:pt idx="382">
                  <c:v>42675</c:v>
                </c:pt>
                <c:pt idx="383">
                  <c:v>42705</c:v>
                </c:pt>
                <c:pt idx="384">
                  <c:v>42736</c:v>
                </c:pt>
                <c:pt idx="385">
                  <c:v>42767</c:v>
                </c:pt>
                <c:pt idx="386">
                  <c:v>42795</c:v>
                </c:pt>
                <c:pt idx="387">
                  <c:v>42826</c:v>
                </c:pt>
                <c:pt idx="388">
                  <c:v>42856</c:v>
                </c:pt>
                <c:pt idx="389">
                  <c:v>42887</c:v>
                </c:pt>
                <c:pt idx="390">
                  <c:v>42917</c:v>
                </c:pt>
                <c:pt idx="391">
                  <c:v>42948</c:v>
                </c:pt>
                <c:pt idx="392">
                  <c:v>42979</c:v>
                </c:pt>
                <c:pt idx="393">
                  <c:v>43009</c:v>
                </c:pt>
                <c:pt idx="394">
                  <c:v>43040</c:v>
                </c:pt>
                <c:pt idx="395">
                  <c:v>43070</c:v>
                </c:pt>
                <c:pt idx="396">
                  <c:v>43101</c:v>
                </c:pt>
                <c:pt idx="397">
                  <c:v>43132</c:v>
                </c:pt>
                <c:pt idx="398">
                  <c:v>43160</c:v>
                </c:pt>
                <c:pt idx="399">
                  <c:v>43191</c:v>
                </c:pt>
                <c:pt idx="400">
                  <c:v>43221</c:v>
                </c:pt>
                <c:pt idx="401">
                  <c:v>43252</c:v>
                </c:pt>
                <c:pt idx="402">
                  <c:v>43282</c:v>
                </c:pt>
                <c:pt idx="403">
                  <c:v>43313</c:v>
                </c:pt>
                <c:pt idx="404">
                  <c:v>43344</c:v>
                </c:pt>
                <c:pt idx="405">
                  <c:v>43374</c:v>
                </c:pt>
                <c:pt idx="406">
                  <c:v>43405</c:v>
                </c:pt>
                <c:pt idx="407">
                  <c:v>43435</c:v>
                </c:pt>
                <c:pt idx="408">
                  <c:v>43466</c:v>
                </c:pt>
                <c:pt idx="409">
                  <c:v>43497</c:v>
                </c:pt>
                <c:pt idx="410">
                  <c:v>43525</c:v>
                </c:pt>
                <c:pt idx="411">
                  <c:v>43556</c:v>
                </c:pt>
                <c:pt idx="412">
                  <c:v>43586</c:v>
                </c:pt>
                <c:pt idx="413">
                  <c:v>43617</c:v>
                </c:pt>
                <c:pt idx="414">
                  <c:v>43647</c:v>
                </c:pt>
                <c:pt idx="415">
                  <c:v>43678</c:v>
                </c:pt>
                <c:pt idx="416">
                  <c:v>43709</c:v>
                </c:pt>
                <c:pt idx="417">
                  <c:v>43739</c:v>
                </c:pt>
                <c:pt idx="418">
                  <c:v>43770</c:v>
                </c:pt>
                <c:pt idx="419">
                  <c:v>43800</c:v>
                </c:pt>
                <c:pt idx="420">
                  <c:v>43831</c:v>
                </c:pt>
                <c:pt idx="421">
                  <c:v>43862</c:v>
                </c:pt>
                <c:pt idx="422">
                  <c:v>43891</c:v>
                </c:pt>
                <c:pt idx="423">
                  <c:v>43922</c:v>
                </c:pt>
                <c:pt idx="424">
                  <c:v>43952</c:v>
                </c:pt>
                <c:pt idx="425">
                  <c:v>43983</c:v>
                </c:pt>
                <c:pt idx="426">
                  <c:v>44013</c:v>
                </c:pt>
                <c:pt idx="427">
                  <c:v>44044</c:v>
                </c:pt>
                <c:pt idx="428">
                  <c:v>44075</c:v>
                </c:pt>
                <c:pt idx="429">
                  <c:v>44105</c:v>
                </c:pt>
                <c:pt idx="430">
                  <c:v>44136</c:v>
                </c:pt>
                <c:pt idx="431">
                  <c:v>44166</c:v>
                </c:pt>
                <c:pt idx="432">
                  <c:v>44197</c:v>
                </c:pt>
                <c:pt idx="433">
                  <c:v>44228</c:v>
                </c:pt>
                <c:pt idx="434">
                  <c:v>44256</c:v>
                </c:pt>
                <c:pt idx="435">
                  <c:v>44287</c:v>
                </c:pt>
                <c:pt idx="436">
                  <c:v>44317</c:v>
                </c:pt>
                <c:pt idx="437">
                  <c:v>44348</c:v>
                </c:pt>
                <c:pt idx="438">
                  <c:v>44378</c:v>
                </c:pt>
                <c:pt idx="439">
                  <c:v>44409</c:v>
                </c:pt>
                <c:pt idx="440">
                  <c:v>44440</c:v>
                </c:pt>
                <c:pt idx="441">
                  <c:v>44470</c:v>
                </c:pt>
                <c:pt idx="442">
                  <c:v>44501</c:v>
                </c:pt>
                <c:pt idx="443">
                  <c:v>44531</c:v>
                </c:pt>
                <c:pt idx="444">
                  <c:v>44562</c:v>
                </c:pt>
                <c:pt idx="445">
                  <c:v>44593</c:v>
                </c:pt>
                <c:pt idx="446">
                  <c:v>44621</c:v>
                </c:pt>
                <c:pt idx="447">
                  <c:v>44652</c:v>
                </c:pt>
                <c:pt idx="448">
                  <c:v>44682</c:v>
                </c:pt>
                <c:pt idx="449">
                  <c:v>44713</c:v>
                </c:pt>
                <c:pt idx="450">
                  <c:v>44743</c:v>
                </c:pt>
                <c:pt idx="451">
                  <c:v>44774</c:v>
                </c:pt>
                <c:pt idx="452">
                  <c:v>44805</c:v>
                </c:pt>
                <c:pt idx="453">
                  <c:v>44835</c:v>
                </c:pt>
                <c:pt idx="454">
                  <c:v>44866</c:v>
                </c:pt>
                <c:pt idx="455">
                  <c:v>44896</c:v>
                </c:pt>
                <c:pt idx="456">
                  <c:v>44927</c:v>
                </c:pt>
                <c:pt idx="457">
                  <c:v>44958</c:v>
                </c:pt>
                <c:pt idx="458">
                  <c:v>44986</c:v>
                </c:pt>
                <c:pt idx="459">
                  <c:v>45017</c:v>
                </c:pt>
                <c:pt idx="460">
                  <c:v>45047</c:v>
                </c:pt>
                <c:pt idx="461">
                  <c:v>45078</c:v>
                </c:pt>
                <c:pt idx="462">
                  <c:v>45108</c:v>
                </c:pt>
                <c:pt idx="463">
                  <c:v>45139</c:v>
                </c:pt>
                <c:pt idx="464">
                  <c:v>45170</c:v>
                </c:pt>
                <c:pt idx="465">
                  <c:v>45200</c:v>
                </c:pt>
                <c:pt idx="466">
                  <c:v>45231</c:v>
                </c:pt>
                <c:pt idx="467">
                  <c:v>45261</c:v>
                </c:pt>
              </c:numCache>
            </c:numRef>
          </c:cat>
          <c:val>
            <c:numRef>
              <c:f>'Housing Market'!$C$291:$C$758</c:f>
              <c:numCache>
                <c:formatCode>0</c:formatCode>
                <c:ptCount val="468"/>
                <c:pt idx="0">
                  <c:v>50</c:v>
                </c:pt>
                <c:pt idx="1">
                  <c:v>58</c:v>
                </c:pt>
                <c:pt idx="2">
                  <c:v>54</c:v>
                </c:pt>
                <c:pt idx="3">
                  <c:v>49</c:v>
                </c:pt>
                <c:pt idx="4">
                  <c:v>51</c:v>
                </c:pt>
                <c:pt idx="5">
                  <c:v>54</c:v>
                </c:pt>
                <c:pt idx="6">
                  <c:v>58</c:v>
                </c:pt>
                <c:pt idx="7">
                  <c:v>58</c:v>
                </c:pt>
                <c:pt idx="8">
                  <c:v>56</c:v>
                </c:pt>
                <c:pt idx="9">
                  <c:v>59</c:v>
                </c:pt>
                <c:pt idx="10">
                  <c:v>58</c:v>
                </c:pt>
                <c:pt idx="11">
                  <c:v>57</c:v>
                </c:pt>
                <c:pt idx="12">
                  <c:v>57</c:v>
                </c:pt>
                <c:pt idx="13">
                  <c:v>55</c:v>
                </c:pt>
                <c:pt idx="14">
                  <c:v>57</c:v>
                </c:pt>
                <c:pt idx="15">
                  <c:v>62</c:v>
                </c:pt>
                <c:pt idx="16">
                  <c:v>64</c:v>
                </c:pt>
                <c:pt idx="17">
                  <c:v>65</c:v>
                </c:pt>
                <c:pt idx="18">
                  <c:v>59</c:v>
                </c:pt>
                <c:pt idx="19">
                  <c:v>55</c:v>
                </c:pt>
                <c:pt idx="20">
                  <c:v>57</c:v>
                </c:pt>
                <c:pt idx="21">
                  <c:v>64</c:v>
                </c:pt>
                <c:pt idx="22">
                  <c:v>59</c:v>
                </c:pt>
                <c:pt idx="23">
                  <c:v>64</c:v>
                </c:pt>
                <c:pt idx="24">
                  <c:v>63</c:v>
                </c:pt>
                <c:pt idx="25">
                  <c:v>60</c:v>
                </c:pt>
                <c:pt idx="26">
                  <c:v>60</c:v>
                </c:pt>
                <c:pt idx="27">
                  <c:v>59</c:v>
                </c:pt>
                <c:pt idx="28">
                  <c:v>55</c:v>
                </c:pt>
                <c:pt idx="29">
                  <c:v>56</c:v>
                </c:pt>
                <c:pt idx="30">
                  <c:v>55</c:v>
                </c:pt>
                <c:pt idx="31">
                  <c:v>54</c:v>
                </c:pt>
                <c:pt idx="32">
                  <c:v>52</c:v>
                </c:pt>
                <c:pt idx="33">
                  <c:v>50</c:v>
                </c:pt>
                <c:pt idx="34">
                  <c:v>56</c:v>
                </c:pt>
                <c:pt idx="35">
                  <c:v>51</c:v>
                </c:pt>
                <c:pt idx="36">
                  <c:v>53</c:v>
                </c:pt>
                <c:pt idx="37">
                  <c:v>51</c:v>
                </c:pt>
                <c:pt idx="38">
                  <c:v>51</c:v>
                </c:pt>
                <c:pt idx="39">
                  <c:v>52</c:v>
                </c:pt>
                <c:pt idx="40">
                  <c:v>54</c:v>
                </c:pt>
                <c:pt idx="41">
                  <c:v>49</c:v>
                </c:pt>
                <c:pt idx="42">
                  <c:v>54</c:v>
                </c:pt>
                <c:pt idx="43">
                  <c:v>56</c:v>
                </c:pt>
                <c:pt idx="44">
                  <c:v>53</c:v>
                </c:pt>
                <c:pt idx="45">
                  <c:v>49</c:v>
                </c:pt>
                <c:pt idx="46">
                  <c:v>58</c:v>
                </c:pt>
                <c:pt idx="47">
                  <c:v>60</c:v>
                </c:pt>
                <c:pt idx="48">
                  <c:v>54</c:v>
                </c:pt>
                <c:pt idx="49">
                  <c:v>53</c:v>
                </c:pt>
                <c:pt idx="50">
                  <c:v>48</c:v>
                </c:pt>
                <c:pt idx="51">
                  <c:v>44</c:v>
                </c:pt>
                <c:pt idx="52">
                  <c:v>44</c:v>
                </c:pt>
                <c:pt idx="53">
                  <c:v>45</c:v>
                </c:pt>
                <c:pt idx="54">
                  <c:v>46</c:v>
                </c:pt>
                <c:pt idx="55">
                  <c:v>50</c:v>
                </c:pt>
                <c:pt idx="56">
                  <c:v>51</c:v>
                </c:pt>
                <c:pt idx="57">
                  <c:v>48</c:v>
                </c:pt>
                <c:pt idx="58">
                  <c:v>46</c:v>
                </c:pt>
                <c:pt idx="59">
                  <c:v>43</c:v>
                </c:pt>
                <c:pt idx="60">
                  <c:v>42</c:v>
                </c:pt>
                <c:pt idx="61">
                  <c:v>44</c:v>
                </c:pt>
                <c:pt idx="62">
                  <c:v>40</c:v>
                </c:pt>
                <c:pt idx="63">
                  <c:v>39</c:v>
                </c:pt>
                <c:pt idx="64">
                  <c:v>36</c:v>
                </c:pt>
                <c:pt idx="65">
                  <c:v>36</c:v>
                </c:pt>
                <c:pt idx="66">
                  <c:v>32</c:v>
                </c:pt>
                <c:pt idx="67">
                  <c:v>30</c:v>
                </c:pt>
                <c:pt idx="68">
                  <c:v>31</c:v>
                </c:pt>
                <c:pt idx="69">
                  <c:v>28</c:v>
                </c:pt>
                <c:pt idx="70">
                  <c:v>25</c:v>
                </c:pt>
                <c:pt idx="71">
                  <c:v>22</c:v>
                </c:pt>
                <c:pt idx="72">
                  <c:v>20</c:v>
                </c:pt>
                <c:pt idx="73">
                  <c:v>27</c:v>
                </c:pt>
                <c:pt idx="74">
                  <c:v>36</c:v>
                </c:pt>
                <c:pt idx="75">
                  <c:v>41</c:v>
                </c:pt>
                <c:pt idx="76">
                  <c:v>40</c:v>
                </c:pt>
                <c:pt idx="77">
                  <c:v>42</c:v>
                </c:pt>
                <c:pt idx="78">
                  <c:v>41</c:v>
                </c:pt>
                <c:pt idx="79">
                  <c:v>36</c:v>
                </c:pt>
                <c:pt idx="80">
                  <c:v>37</c:v>
                </c:pt>
                <c:pt idx="81">
                  <c:v>37</c:v>
                </c:pt>
                <c:pt idx="82">
                  <c:v>37</c:v>
                </c:pt>
                <c:pt idx="83">
                  <c:v>35</c:v>
                </c:pt>
                <c:pt idx="84">
                  <c:v>44</c:v>
                </c:pt>
                <c:pt idx="85">
                  <c:v>49</c:v>
                </c:pt>
                <c:pt idx="86">
                  <c:v>46</c:v>
                </c:pt>
                <c:pt idx="87">
                  <c:v>46</c:v>
                </c:pt>
                <c:pt idx="88">
                  <c:v>47</c:v>
                </c:pt>
                <c:pt idx="89">
                  <c:v>45</c:v>
                </c:pt>
                <c:pt idx="90">
                  <c:v>46</c:v>
                </c:pt>
                <c:pt idx="91">
                  <c:v>49</c:v>
                </c:pt>
                <c:pt idx="92">
                  <c:v>48</c:v>
                </c:pt>
                <c:pt idx="93">
                  <c:v>50</c:v>
                </c:pt>
                <c:pt idx="94">
                  <c:v>54</c:v>
                </c:pt>
                <c:pt idx="95">
                  <c:v>56</c:v>
                </c:pt>
                <c:pt idx="96">
                  <c:v>55</c:v>
                </c:pt>
                <c:pt idx="97">
                  <c:v>52</c:v>
                </c:pt>
                <c:pt idx="98">
                  <c:v>53</c:v>
                </c:pt>
                <c:pt idx="99">
                  <c:v>52</c:v>
                </c:pt>
                <c:pt idx="100">
                  <c:v>51</c:v>
                </c:pt>
                <c:pt idx="101">
                  <c:v>53</c:v>
                </c:pt>
                <c:pt idx="102">
                  <c:v>57</c:v>
                </c:pt>
                <c:pt idx="103">
                  <c:v>60</c:v>
                </c:pt>
                <c:pt idx="104">
                  <c:v>62</c:v>
                </c:pt>
                <c:pt idx="105">
                  <c:v>66</c:v>
                </c:pt>
                <c:pt idx="106">
                  <c:v>71</c:v>
                </c:pt>
                <c:pt idx="107">
                  <c:v>71</c:v>
                </c:pt>
                <c:pt idx="108">
                  <c:v>70</c:v>
                </c:pt>
                <c:pt idx="109">
                  <c:v>64</c:v>
                </c:pt>
                <c:pt idx="110">
                  <c:v>61</c:v>
                </c:pt>
                <c:pt idx="111">
                  <c:v>61</c:v>
                </c:pt>
                <c:pt idx="112">
                  <c:v>59</c:v>
                </c:pt>
                <c:pt idx="113">
                  <c:v>57</c:v>
                </c:pt>
                <c:pt idx="114">
                  <c:v>53</c:v>
                </c:pt>
                <c:pt idx="115">
                  <c:v>53</c:v>
                </c:pt>
                <c:pt idx="116">
                  <c:v>50</c:v>
                </c:pt>
                <c:pt idx="117">
                  <c:v>49</c:v>
                </c:pt>
                <c:pt idx="118">
                  <c:v>50</c:v>
                </c:pt>
                <c:pt idx="119">
                  <c:v>43</c:v>
                </c:pt>
                <c:pt idx="120">
                  <c:v>40</c:v>
                </c:pt>
                <c:pt idx="121">
                  <c:v>42</c:v>
                </c:pt>
                <c:pt idx="122">
                  <c:v>40</c:v>
                </c:pt>
                <c:pt idx="123">
                  <c:v>42</c:v>
                </c:pt>
                <c:pt idx="124">
                  <c:v>43</c:v>
                </c:pt>
                <c:pt idx="125">
                  <c:v>45</c:v>
                </c:pt>
                <c:pt idx="126">
                  <c:v>49</c:v>
                </c:pt>
                <c:pt idx="127">
                  <c:v>50</c:v>
                </c:pt>
                <c:pt idx="128">
                  <c:v>51</c:v>
                </c:pt>
                <c:pt idx="129">
                  <c:v>55</c:v>
                </c:pt>
                <c:pt idx="130">
                  <c:v>52</c:v>
                </c:pt>
                <c:pt idx="131">
                  <c:v>53</c:v>
                </c:pt>
                <c:pt idx="132">
                  <c:v>54</c:v>
                </c:pt>
                <c:pt idx="133">
                  <c:v>49</c:v>
                </c:pt>
                <c:pt idx="134">
                  <c:v>59</c:v>
                </c:pt>
                <c:pt idx="135">
                  <c:v>60</c:v>
                </c:pt>
                <c:pt idx="136">
                  <c:v>61</c:v>
                </c:pt>
                <c:pt idx="137">
                  <c:v>59</c:v>
                </c:pt>
                <c:pt idx="138">
                  <c:v>58</c:v>
                </c:pt>
                <c:pt idx="139">
                  <c:v>56</c:v>
                </c:pt>
                <c:pt idx="140">
                  <c:v>55</c:v>
                </c:pt>
                <c:pt idx="141">
                  <c:v>56</c:v>
                </c:pt>
                <c:pt idx="142">
                  <c:v>54</c:v>
                </c:pt>
                <c:pt idx="143">
                  <c:v>55</c:v>
                </c:pt>
                <c:pt idx="144">
                  <c:v>54</c:v>
                </c:pt>
                <c:pt idx="145">
                  <c:v>52</c:v>
                </c:pt>
                <c:pt idx="146">
                  <c:v>57</c:v>
                </c:pt>
                <c:pt idx="147">
                  <c:v>56</c:v>
                </c:pt>
                <c:pt idx="148">
                  <c:v>55</c:v>
                </c:pt>
                <c:pt idx="149">
                  <c:v>56</c:v>
                </c:pt>
                <c:pt idx="150">
                  <c:v>55</c:v>
                </c:pt>
                <c:pt idx="151">
                  <c:v>58</c:v>
                </c:pt>
                <c:pt idx="152">
                  <c:v>59</c:v>
                </c:pt>
                <c:pt idx="153">
                  <c:v>59</c:v>
                </c:pt>
                <c:pt idx="154">
                  <c:v>58</c:v>
                </c:pt>
                <c:pt idx="155">
                  <c:v>60</c:v>
                </c:pt>
                <c:pt idx="156">
                  <c:v>60</c:v>
                </c:pt>
                <c:pt idx="157">
                  <c:v>65</c:v>
                </c:pt>
                <c:pt idx="158">
                  <c:v>66</c:v>
                </c:pt>
                <c:pt idx="159">
                  <c:v>67</c:v>
                </c:pt>
                <c:pt idx="160">
                  <c:v>67</c:v>
                </c:pt>
                <c:pt idx="161">
                  <c:v>70</c:v>
                </c:pt>
                <c:pt idx="162">
                  <c:v>71</c:v>
                </c:pt>
                <c:pt idx="163">
                  <c:v>72</c:v>
                </c:pt>
                <c:pt idx="164">
                  <c:v>71</c:v>
                </c:pt>
                <c:pt idx="165">
                  <c:v>73</c:v>
                </c:pt>
                <c:pt idx="166">
                  <c:v>77</c:v>
                </c:pt>
                <c:pt idx="167">
                  <c:v>78</c:v>
                </c:pt>
                <c:pt idx="168">
                  <c:v>75</c:v>
                </c:pt>
                <c:pt idx="169">
                  <c:v>71</c:v>
                </c:pt>
                <c:pt idx="170">
                  <c:v>71</c:v>
                </c:pt>
                <c:pt idx="171">
                  <c:v>71</c:v>
                </c:pt>
                <c:pt idx="172">
                  <c:v>75</c:v>
                </c:pt>
                <c:pt idx="173">
                  <c:v>77</c:v>
                </c:pt>
                <c:pt idx="174">
                  <c:v>75</c:v>
                </c:pt>
                <c:pt idx="175">
                  <c:v>72</c:v>
                </c:pt>
                <c:pt idx="176">
                  <c:v>72</c:v>
                </c:pt>
                <c:pt idx="177">
                  <c:v>69</c:v>
                </c:pt>
                <c:pt idx="178">
                  <c:v>70</c:v>
                </c:pt>
                <c:pt idx="179">
                  <c:v>70</c:v>
                </c:pt>
                <c:pt idx="180">
                  <c:v>69</c:v>
                </c:pt>
                <c:pt idx="181">
                  <c:v>68</c:v>
                </c:pt>
                <c:pt idx="182">
                  <c:v>64</c:v>
                </c:pt>
                <c:pt idx="183">
                  <c:v>63</c:v>
                </c:pt>
                <c:pt idx="184">
                  <c:v>63</c:v>
                </c:pt>
                <c:pt idx="185">
                  <c:v>58</c:v>
                </c:pt>
                <c:pt idx="186">
                  <c:v>59</c:v>
                </c:pt>
                <c:pt idx="187">
                  <c:v>60</c:v>
                </c:pt>
                <c:pt idx="188">
                  <c:v>60</c:v>
                </c:pt>
                <c:pt idx="189">
                  <c:v>62</c:v>
                </c:pt>
                <c:pt idx="190">
                  <c:v>63</c:v>
                </c:pt>
                <c:pt idx="191">
                  <c:v>57</c:v>
                </c:pt>
                <c:pt idx="192">
                  <c:v>52</c:v>
                </c:pt>
                <c:pt idx="193">
                  <c:v>58</c:v>
                </c:pt>
                <c:pt idx="194">
                  <c:v>60</c:v>
                </c:pt>
                <c:pt idx="195">
                  <c:v>59</c:v>
                </c:pt>
                <c:pt idx="196">
                  <c:v>58</c:v>
                </c:pt>
                <c:pt idx="197">
                  <c:v>59</c:v>
                </c:pt>
                <c:pt idx="198">
                  <c:v>57</c:v>
                </c:pt>
                <c:pt idx="199">
                  <c:v>59</c:v>
                </c:pt>
                <c:pt idx="200">
                  <c:v>55</c:v>
                </c:pt>
                <c:pt idx="201">
                  <c:v>46</c:v>
                </c:pt>
                <c:pt idx="202">
                  <c:v>48</c:v>
                </c:pt>
                <c:pt idx="203">
                  <c:v>55</c:v>
                </c:pt>
                <c:pt idx="204">
                  <c:v>58</c:v>
                </c:pt>
                <c:pt idx="205">
                  <c:v>58</c:v>
                </c:pt>
                <c:pt idx="206">
                  <c:v>62</c:v>
                </c:pt>
                <c:pt idx="207">
                  <c:v>61</c:v>
                </c:pt>
                <c:pt idx="208">
                  <c:v>61</c:v>
                </c:pt>
                <c:pt idx="209">
                  <c:v>61</c:v>
                </c:pt>
                <c:pt idx="210">
                  <c:v>61</c:v>
                </c:pt>
                <c:pt idx="211">
                  <c:v>55</c:v>
                </c:pt>
                <c:pt idx="212">
                  <c:v>63</c:v>
                </c:pt>
                <c:pt idx="213">
                  <c:v>61</c:v>
                </c:pt>
                <c:pt idx="214">
                  <c:v>62</c:v>
                </c:pt>
                <c:pt idx="215">
                  <c:v>63</c:v>
                </c:pt>
                <c:pt idx="216">
                  <c:v>62</c:v>
                </c:pt>
                <c:pt idx="217">
                  <c:v>63</c:v>
                </c:pt>
                <c:pt idx="218">
                  <c:v>56</c:v>
                </c:pt>
                <c:pt idx="219">
                  <c:v>55</c:v>
                </c:pt>
                <c:pt idx="220">
                  <c:v>60</c:v>
                </c:pt>
                <c:pt idx="221">
                  <c:v>63</c:v>
                </c:pt>
                <c:pt idx="222">
                  <c:v>65</c:v>
                </c:pt>
                <c:pt idx="223">
                  <c:v>67</c:v>
                </c:pt>
                <c:pt idx="224">
                  <c:v>67</c:v>
                </c:pt>
                <c:pt idx="225">
                  <c:v>69</c:v>
                </c:pt>
                <c:pt idx="226">
                  <c:v>68</c:v>
                </c:pt>
                <c:pt idx="227">
                  <c:v>69</c:v>
                </c:pt>
                <c:pt idx="228">
                  <c:v>68</c:v>
                </c:pt>
                <c:pt idx="229">
                  <c:v>66</c:v>
                </c:pt>
                <c:pt idx="230">
                  <c:v>66</c:v>
                </c:pt>
                <c:pt idx="231">
                  <c:v>69</c:v>
                </c:pt>
                <c:pt idx="232">
                  <c:v>69</c:v>
                </c:pt>
                <c:pt idx="233">
                  <c:v>68</c:v>
                </c:pt>
                <c:pt idx="234">
                  <c:v>67</c:v>
                </c:pt>
                <c:pt idx="235">
                  <c:v>70</c:v>
                </c:pt>
                <c:pt idx="236">
                  <c:v>67</c:v>
                </c:pt>
                <c:pt idx="237">
                  <c:v>69</c:v>
                </c:pt>
                <c:pt idx="238">
                  <c:v>70</c:v>
                </c:pt>
                <c:pt idx="239">
                  <c:v>71</c:v>
                </c:pt>
                <c:pt idx="240">
                  <c:v>70</c:v>
                </c:pt>
                <c:pt idx="241">
                  <c:v>69</c:v>
                </c:pt>
                <c:pt idx="242">
                  <c:v>70</c:v>
                </c:pt>
                <c:pt idx="243">
                  <c:v>67</c:v>
                </c:pt>
                <c:pt idx="244">
                  <c:v>70</c:v>
                </c:pt>
                <c:pt idx="245">
                  <c:v>72</c:v>
                </c:pt>
                <c:pt idx="246">
                  <c:v>70</c:v>
                </c:pt>
                <c:pt idx="247">
                  <c:v>67</c:v>
                </c:pt>
                <c:pt idx="248">
                  <c:v>65</c:v>
                </c:pt>
                <c:pt idx="249">
                  <c:v>68</c:v>
                </c:pt>
                <c:pt idx="250">
                  <c:v>61</c:v>
                </c:pt>
                <c:pt idx="251">
                  <c:v>57</c:v>
                </c:pt>
                <c:pt idx="252">
                  <c:v>57</c:v>
                </c:pt>
                <c:pt idx="253">
                  <c:v>56</c:v>
                </c:pt>
                <c:pt idx="254">
                  <c:v>54</c:v>
                </c:pt>
                <c:pt idx="255">
                  <c:v>51</c:v>
                </c:pt>
                <c:pt idx="256">
                  <c:v>46</c:v>
                </c:pt>
                <c:pt idx="257">
                  <c:v>42</c:v>
                </c:pt>
                <c:pt idx="258">
                  <c:v>39</c:v>
                </c:pt>
                <c:pt idx="259">
                  <c:v>33</c:v>
                </c:pt>
                <c:pt idx="260">
                  <c:v>30</c:v>
                </c:pt>
                <c:pt idx="261">
                  <c:v>31</c:v>
                </c:pt>
                <c:pt idx="262">
                  <c:v>33</c:v>
                </c:pt>
                <c:pt idx="263">
                  <c:v>33</c:v>
                </c:pt>
                <c:pt idx="264">
                  <c:v>35</c:v>
                </c:pt>
                <c:pt idx="265">
                  <c:v>39</c:v>
                </c:pt>
                <c:pt idx="266">
                  <c:v>36</c:v>
                </c:pt>
                <c:pt idx="267">
                  <c:v>33</c:v>
                </c:pt>
                <c:pt idx="268">
                  <c:v>30</c:v>
                </c:pt>
                <c:pt idx="269">
                  <c:v>28</c:v>
                </c:pt>
                <c:pt idx="270">
                  <c:v>24</c:v>
                </c:pt>
                <c:pt idx="271">
                  <c:v>22</c:v>
                </c:pt>
                <c:pt idx="272">
                  <c:v>20</c:v>
                </c:pt>
                <c:pt idx="273">
                  <c:v>19</c:v>
                </c:pt>
                <c:pt idx="274">
                  <c:v>19</c:v>
                </c:pt>
                <c:pt idx="275">
                  <c:v>18</c:v>
                </c:pt>
                <c:pt idx="276">
                  <c:v>19</c:v>
                </c:pt>
                <c:pt idx="277">
                  <c:v>20</c:v>
                </c:pt>
                <c:pt idx="278">
                  <c:v>20</c:v>
                </c:pt>
                <c:pt idx="279">
                  <c:v>20</c:v>
                </c:pt>
                <c:pt idx="280">
                  <c:v>19</c:v>
                </c:pt>
                <c:pt idx="281">
                  <c:v>18</c:v>
                </c:pt>
                <c:pt idx="282">
                  <c:v>16</c:v>
                </c:pt>
                <c:pt idx="283">
                  <c:v>16</c:v>
                </c:pt>
                <c:pt idx="284">
                  <c:v>17</c:v>
                </c:pt>
                <c:pt idx="285">
                  <c:v>14</c:v>
                </c:pt>
                <c:pt idx="286">
                  <c:v>9</c:v>
                </c:pt>
                <c:pt idx="287">
                  <c:v>9</c:v>
                </c:pt>
                <c:pt idx="288">
                  <c:v>8</c:v>
                </c:pt>
                <c:pt idx="289">
                  <c:v>9</c:v>
                </c:pt>
                <c:pt idx="290">
                  <c:v>9</c:v>
                </c:pt>
                <c:pt idx="291">
                  <c:v>14</c:v>
                </c:pt>
                <c:pt idx="292">
                  <c:v>16</c:v>
                </c:pt>
                <c:pt idx="293">
                  <c:v>15</c:v>
                </c:pt>
                <c:pt idx="294">
                  <c:v>17</c:v>
                </c:pt>
                <c:pt idx="295">
                  <c:v>18</c:v>
                </c:pt>
                <c:pt idx="296">
                  <c:v>19</c:v>
                </c:pt>
                <c:pt idx="297">
                  <c:v>17</c:v>
                </c:pt>
                <c:pt idx="298">
                  <c:v>17</c:v>
                </c:pt>
                <c:pt idx="299">
                  <c:v>16</c:v>
                </c:pt>
                <c:pt idx="300">
                  <c:v>15</c:v>
                </c:pt>
                <c:pt idx="301">
                  <c:v>17</c:v>
                </c:pt>
                <c:pt idx="302">
                  <c:v>15</c:v>
                </c:pt>
                <c:pt idx="303">
                  <c:v>19</c:v>
                </c:pt>
                <c:pt idx="304">
                  <c:v>22</c:v>
                </c:pt>
                <c:pt idx="305">
                  <c:v>16</c:v>
                </c:pt>
                <c:pt idx="306">
                  <c:v>14</c:v>
                </c:pt>
                <c:pt idx="307">
                  <c:v>13</c:v>
                </c:pt>
                <c:pt idx="308">
                  <c:v>13</c:v>
                </c:pt>
                <c:pt idx="309">
                  <c:v>15</c:v>
                </c:pt>
                <c:pt idx="310">
                  <c:v>16</c:v>
                </c:pt>
                <c:pt idx="311">
                  <c:v>16</c:v>
                </c:pt>
                <c:pt idx="312">
                  <c:v>16</c:v>
                </c:pt>
                <c:pt idx="313">
                  <c:v>16</c:v>
                </c:pt>
                <c:pt idx="314">
                  <c:v>17</c:v>
                </c:pt>
                <c:pt idx="315">
                  <c:v>16</c:v>
                </c:pt>
                <c:pt idx="316">
                  <c:v>16</c:v>
                </c:pt>
                <c:pt idx="317">
                  <c:v>13</c:v>
                </c:pt>
                <c:pt idx="318">
                  <c:v>15</c:v>
                </c:pt>
                <c:pt idx="319">
                  <c:v>15</c:v>
                </c:pt>
                <c:pt idx="320">
                  <c:v>14</c:v>
                </c:pt>
                <c:pt idx="321">
                  <c:v>17</c:v>
                </c:pt>
                <c:pt idx="322">
                  <c:v>19</c:v>
                </c:pt>
                <c:pt idx="323">
                  <c:v>21</c:v>
                </c:pt>
                <c:pt idx="324">
                  <c:v>25</c:v>
                </c:pt>
                <c:pt idx="325">
                  <c:v>28</c:v>
                </c:pt>
                <c:pt idx="326">
                  <c:v>28</c:v>
                </c:pt>
                <c:pt idx="327">
                  <c:v>24</c:v>
                </c:pt>
                <c:pt idx="328">
                  <c:v>28</c:v>
                </c:pt>
                <c:pt idx="329">
                  <c:v>29</c:v>
                </c:pt>
                <c:pt idx="330">
                  <c:v>35</c:v>
                </c:pt>
                <c:pt idx="331">
                  <c:v>37</c:v>
                </c:pt>
                <c:pt idx="332">
                  <c:v>40</c:v>
                </c:pt>
                <c:pt idx="333">
                  <c:v>41</c:v>
                </c:pt>
                <c:pt idx="334">
                  <c:v>45</c:v>
                </c:pt>
                <c:pt idx="335">
                  <c:v>47</c:v>
                </c:pt>
                <c:pt idx="336">
                  <c:v>47</c:v>
                </c:pt>
                <c:pt idx="337">
                  <c:v>46</c:v>
                </c:pt>
                <c:pt idx="338">
                  <c:v>44</c:v>
                </c:pt>
                <c:pt idx="339">
                  <c:v>41</c:v>
                </c:pt>
                <c:pt idx="340">
                  <c:v>44</c:v>
                </c:pt>
                <c:pt idx="341">
                  <c:v>51</c:v>
                </c:pt>
                <c:pt idx="342">
                  <c:v>56</c:v>
                </c:pt>
                <c:pt idx="343">
                  <c:v>58</c:v>
                </c:pt>
                <c:pt idx="344">
                  <c:v>57</c:v>
                </c:pt>
                <c:pt idx="345">
                  <c:v>54</c:v>
                </c:pt>
                <c:pt idx="346">
                  <c:v>54</c:v>
                </c:pt>
                <c:pt idx="347">
                  <c:v>57</c:v>
                </c:pt>
                <c:pt idx="348">
                  <c:v>56</c:v>
                </c:pt>
                <c:pt idx="349">
                  <c:v>46</c:v>
                </c:pt>
                <c:pt idx="350">
                  <c:v>46</c:v>
                </c:pt>
                <c:pt idx="351">
                  <c:v>46</c:v>
                </c:pt>
                <c:pt idx="352">
                  <c:v>45</c:v>
                </c:pt>
                <c:pt idx="353">
                  <c:v>49</c:v>
                </c:pt>
                <c:pt idx="354">
                  <c:v>53</c:v>
                </c:pt>
                <c:pt idx="355">
                  <c:v>55</c:v>
                </c:pt>
                <c:pt idx="356">
                  <c:v>59</c:v>
                </c:pt>
                <c:pt idx="357">
                  <c:v>54</c:v>
                </c:pt>
                <c:pt idx="358">
                  <c:v>58</c:v>
                </c:pt>
                <c:pt idx="359">
                  <c:v>58</c:v>
                </c:pt>
                <c:pt idx="360">
                  <c:v>57</c:v>
                </c:pt>
                <c:pt idx="361">
                  <c:v>55</c:v>
                </c:pt>
                <c:pt idx="362">
                  <c:v>52</c:v>
                </c:pt>
                <c:pt idx="363">
                  <c:v>56</c:v>
                </c:pt>
                <c:pt idx="364">
                  <c:v>54</c:v>
                </c:pt>
                <c:pt idx="365">
                  <c:v>60</c:v>
                </c:pt>
                <c:pt idx="366">
                  <c:v>60</c:v>
                </c:pt>
                <c:pt idx="367">
                  <c:v>61</c:v>
                </c:pt>
                <c:pt idx="368">
                  <c:v>61</c:v>
                </c:pt>
                <c:pt idx="369">
                  <c:v>65</c:v>
                </c:pt>
                <c:pt idx="370">
                  <c:v>62</c:v>
                </c:pt>
                <c:pt idx="371">
                  <c:v>60</c:v>
                </c:pt>
                <c:pt idx="372">
                  <c:v>61</c:v>
                </c:pt>
                <c:pt idx="373">
                  <c:v>58</c:v>
                </c:pt>
                <c:pt idx="374">
                  <c:v>58</c:v>
                </c:pt>
                <c:pt idx="375">
                  <c:v>58</c:v>
                </c:pt>
                <c:pt idx="376">
                  <c:v>58</c:v>
                </c:pt>
                <c:pt idx="377">
                  <c:v>60</c:v>
                </c:pt>
                <c:pt idx="378">
                  <c:v>58</c:v>
                </c:pt>
                <c:pt idx="379">
                  <c:v>59</c:v>
                </c:pt>
                <c:pt idx="380">
                  <c:v>65</c:v>
                </c:pt>
                <c:pt idx="381">
                  <c:v>63</c:v>
                </c:pt>
                <c:pt idx="382">
                  <c:v>63</c:v>
                </c:pt>
                <c:pt idx="383">
                  <c:v>69</c:v>
                </c:pt>
                <c:pt idx="384">
                  <c:v>67</c:v>
                </c:pt>
                <c:pt idx="385">
                  <c:v>65</c:v>
                </c:pt>
                <c:pt idx="386">
                  <c:v>71</c:v>
                </c:pt>
                <c:pt idx="387">
                  <c:v>68</c:v>
                </c:pt>
                <c:pt idx="388">
                  <c:v>69</c:v>
                </c:pt>
                <c:pt idx="389">
                  <c:v>66</c:v>
                </c:pt>
                <c:pt idx="390">
                  <c:v>64</c:v>
                </c:pt>
                <c:pt idx="391">
                  <c:v>67</c:v>
                </c:pt>
                <c:pt idx="392">
                  <c:v>64</c:v>
                </c:pt>
                <c:pt idx="393">
                  <c:v>68</c:v>
                </c:pt>
                <c:pt idx="394">
                  <c:v>69</c:v>
                </c:pt>
                <c:pt idx="395">
                  <c:v>74</c:v>
                </c:pt>
                <c:pt idx="396">
                  <c:v>72</c:v>
                </c:pt>
                <c:pt idx="397">
                  <c:v>71</c:v>
                </c:pt>
                <c:pt idx="398">
                  <c:v>70</c:v>
                </c:pt>
                <c:pt idx="399">
                  <c:v>68</c:v>
                </c:pt>
                <c:pt idx="400">
                  <c:v>70</c:v>
                </c:pt>
                <c:pt idx="401">
                  <c:v>68</c:v>
                </c:pt>
                <c:pt idx="402">
                  <c:v>68</c:v>
                </c:pt>
                <c:pt idx="403">
                  <c:v>67</c:v>
                </c:pt>
                <c:pt idx="404">
                  <c:v>67</c:v>
                </c:pt>
                <c:pt idx="405">
                  <c:v>68</c:v>
                </c:pt>
                <c:pt idx="406">
                  <c:v>60</c:v>
                </c:pt>
                <c:pt idx="407">
                  <c:v>56</c:v>
                </c:pt>
                <c:pt idx="408">
                  <c:v>58</c:v>
                </c:pt>
                <c:pt idx="409">
                  <c:v>62</c:v>
                </c:pt>
                <c:pt idx="410">
                  <c:v>62</c:v>
                </c:pt>
                <c:pt idx="411">
                  <c:v>63</c:v>
                </c:pt>
                <c:pt idx="412">
                  <c:v>66</c:v>
                </c:pt>
                <c:pt idx="413">
                  <c:v>64</c:v>
                </c:pt>
                <c:pt idx="414">
                  <c:v>65</c:v>
                </c:pt>
                <c:pt idx="415">
                  <c:v>67</c:v>
                </c:pt>
                <c:pt idx="416">
                  <c:v>68</c:v>
                </c:pt>
                <c:pt idx="417">
                  <c:v>71</c:v>
                </c:pt>
                <c:pt idx="418">
                  <c:v>71</c:v>
                </c:pt>
                <c:pt idx="419">
                  <c:v>76</c:v>
                </c:pt>
                <c:pt idx="420">
                  <c:v>75</c:v>
                </c:pt>
                <c:pt idx="421">
                  <c:v>74</c:v>
                </c:pt>
                <c:pt idx="422">
                  <c:v>72</c:v>
                </c:pt>
                <c:pt idx="423">
                  <c:v>30</c:v>
                </c:pt>
                <c:pt idx="424">
                  <c:v>37</c:v>
                </c:pt>
                <c:pt idx="425">
                  <c:v>58</c:v>
                </c:pt>
                <c:pt idx="426">
                  <c:v>72</c:v>
                </c:pt>
                <c:pt idx="427">
                  <c:v>78</c:v>
                </c:pt>
                <c:pt idx="428">
                  <c:v>83</c:v>
                </c:pt>
                <c:pt idx="429">
                  <c:v>85</c:v>
                </c:pt>
                <c:pt idx="430">
                  <c:v>90</c:v>
                </c:pt>
                <c:pt idx="431">
                  <c:v>86</c:v>
                </c:pt>
                <c:pt idx="432">
                  <c:v>83</c:v>
                </c:pt>
                <c:pt idx="433">
                  <c:v>84</c:v>
                </c:pt>
                <c:pt idx="434">
                  <c:v>82</c:v>
                </c:pt>
                <c:pt idx="435">
                  <c:v>83</c:v>
                </c:pt>
                <c:pt idx="436">
                  <c:v>83</c:v>
                </c:pt>
                <c:pt idx="437">
                  <c:v>81</c:v>
                </c:pt>
                <c:pt idx="438">
                  <c:v>80</c:v>
                </c:pt>
                <c:pt idx="439">
                  <c:v>75</c:v>
                </c:pt>
                <c:pt idx="440">
                  <c:v>76</c:v>
                </c:pt>
                <c:pt idx="441">
                  <c:v>80</c:v>
                </c:pt>
                <c:pt idx="442">
                  <c:v>83</c:v>
                </c:pt>
                <c:pt idx="443">
                  <c:v>84</c:v>
                </c:pt>
                <c:pt idx="444">
                  <c:v>83</c:v>
                </c:pt>
                <c:pt idx="445">
                  <c:v>81</c:v>
                </c:pt>
                <c:pt idx="446">
                  <c:v>79</c:v>
                </c:pt>
                <c:pt idx="447">
                  <c:v>77</c:v>
                </c:pt>
                <c:pt idx="448">
                  <c:v>69</c:v>
                </c:pt>
                <c:pt idx="449">
                  <c:v>67</c:v>
                </c:pt>
                <c:pt idx="450">
                  <c:v>55</c:v>
                </c:pt>
                <c:pt idx="451">
                  <c:v>49</c:v>
                </c:pt>
                <c:pt idx="452">
                  <c:v>46</c:v>
                </c:pt>
                <c:pt idx="453">
                  <c:v>38</c:v>
                </c:pt>
                <c:pt idx="454">
                  <c:v>33</c:v>
                </c:pt>
                <c:pt idx="455">
                  <c:v>31</c:v>
                </c:pt>
                <c:pt idx="456">
                  <c:v>35</c:v>
                </c:pt>
                <c:pt idx="457">
                  <c:v>42</c:v>
                </c:pt>
                <c:pt idx="458">
                  <c:v>44</c:v>
                </c:pt>
                <c:pt idx="459">
                  <c:v>45</c:v>
                </c:pt>
                <c:pt idx="460">
                  <c:v>50</c:v>
                </c:pt>
                <c:pt idx="461">
                  <c:v>55</c:v>
                </c:pt>
                <c:pt idx="462">
                  <c:v>56</c:v>
                </c:pt>
                <c:pt idx="463">
                  <c:v>50</c:v>
                </c:pt>
                <c:pt idx="464">
                  <c:v>44</c:v>
                </c:pt>
                <c:pt idx="465">
                  <c:v>40</c:v>
                </c:pt>
                <c:pt idx="466">
                  <c:v>34</c:v>
                </c:pt>
                <c:pt idx="467">
                  <c:v>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879-426F-AA38-4791E062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1"/>
          <c:order val="1"/>
          <c:tx>
            <c:strRef>
              <c:f>'Labor Market'!$B$2</c:f>
              <c:strCache>
                <c:ptCount val="1"/>
                <c:pt idx="0">
                  <c:v>Unemployment Rate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'Labor Market'!$A$447:$A$914</c:f>
              <c:numCache>
                <c:formatCode>[$-416]mmm\-yy;@</c:formatCode>
                <c:ptCount val="468"/>
                <c:pt idx="0">
                  <c:v>31048</c:v>
                </c:pt>
                <c:pt idx="1">
                  <c:v>31079</c:v>
                </c:pt>
                <c:pt idx="2">
                  <c:v>31107</c:v>
                </c:pt>
                <c:pt idx="3">
                  <c:v>31138</c:v>
                </c:pt>
                <c:pt idx="4">
                  <c:v>31168</c:v>
                </c:pt>
                <c:pt idx="5">
                  <c:v>31199</c:v>
                </c:pt>
                <c:pt idx="6">
                  <c:v>31229</c:v>
                </c:pt>
                <c:pt idx="7">
                  <c:v>31260</c:v>
                </c:pt>
                <c:pt idx="8">
                  <c:v>31291</c:v>
                </c:pt>
                <c:pt idx="9">
                  <c:v>31321</c:v>
                </c:pt>
                <c:pt idx="10">
                  <c:v>31352</c:v>
                </c:pt>
                <c:pt idx="11">
                  <c:v>31382</c:v>
                </c:pt>
                <c:pt idx="12">
                  <c:v>31413</c:v>
                </c:pt>
                <c:pt idx="13">
                  <c:v>31444</c:v>
                </c:pt>
                <c:pt idx="14">
                  <c:v>31472</c:v>
                </c:pt>
                <c:pt idx="15">
                  <c:v>31503</c:v>
                </c:pt>
                <c:pt idx="16">
                  <c:v>31533</c:v>
                </c:pt>
                <c:pt idx="17">
                  <c:v>31564</c:v>
                </c:pt>
                <c:pt idx="18">
                  <c:v>31594</c:v>
                </c:pt>
                <c:pt idx="19">
                  <c:v>31625</c:v>
                </c:pt>
                <c:pt idx="20">
                  <c:v>31656</c:v>
                </c:pt>
                <c:pt idx="21">
                  <c:v>31686</c:v>
                </c:pt>
                <c:pt idx="22">
                  <c:v>31717</c:v>
                </c:pt>
                <c:pt idx="23">
                  <c:v>31747</c:v>
                </c:pt>
                <c:pt idx="24">
                  <c:v>31778</c:v>
                </c:pt>
                <c:pt idx="25">
                  <c:v>31809</c:v>
                </c:pt>
                <c:pt idx="26">
                  <c:v>31837</c:v>
                </c:pt>
                <c:pt idx="27">
                  <c:v>31868</c:v>
                </c:pt>
                <c:pt idx="28">
                  <c:v>31898</c:v>
                </c:pt>
                <c:pt idx="29">
                  <c:v>31929</c:v>
                </c:pt>
                <c:pt idx="30">
                  <c:v>31959</c:v>
                </c:pt>
                <c:pt idx="31">
                  <c:v>31990</c:v>
                </c:pt>
                <c:pt idx="32">
                  <c:v>32021</c:v>
                </c:pt>
                <c:pt idx="33">
                  <c:v>32051</c:v>
                </c:pt>
                <c:pt idx="34">
                  <c:v>32082</c:v>
                </c:pt>
                <c:pt idx="35">
                  <c:v>32112</c:v>
                </c:pt>
                <c:pt idx="36">
                  <c:v>32143</c:v>
                </c:pt>
                <c:pt idx="37">
                  <c:v>32174</c:v>
                </c:pt>
                <c:pt idx="38">
                  <c:v>32203</c:v>
                </c:pt>
                <c:pt idx="39">
                  <c:v>32234</c:v>
                </c:pt>
                <c:pt idx="40">
                  <c:v>32264</c:v>
                </c:pt>
                <c:pt idx="41">
                  <c:v>32295</c:v>
                </c:pt>
                <c:pt idx="42">
                  <c:v>32325</c:v>
                </c:pt>
                <c:pt idx="43">
                  <c:v>32356</c:v>
                </c:pt>
                <c:pt idx="44">
                  <c:v>32387</c:v>
                </c:pt>
                <c:pt idx="45">
                  <c:v>32417</c:v>
                </c:pt>
                <c:pt idx="46">
                  <c:v>32448</c:v>
                </c:pt>
                <c:pt idx="47">
                  <c:v>32478</c:v>
                </c:pt>
                <c:pt idx="48">
                  <c:v>32509</c:v>
                </c:pt>
                <c:pt idx="49">
                  <c:v>32540</c:v>
                </c:pt>
                <c:pt idx="50">
                  <c:v>32568</c:v>
                </c:pt>
                <c:pt idx="51">
                  <c:v>32599</c:v>
                </c:pt>
                <c:pt idx="52">
                  <c:v>32629</c:v>
                </c:pt>
                <c:pt idx="53">
                  <c:v>32660</c:v>
                </c:pt>
                <c:pt idx="54">
                  <c:v>32690</c:v>
                </c:pt>
                <c:pt idx="55">
                  <c:v>32721</c:v>
                </c:pt>
                <c:pt idx="56">
                  <c:v>32752</c:v>
                </c:pt>
                <c:pt idx="57">
                  <c:v>32782</c:v>
                </c:pt>
                <c:pt idx="58">
                  <c:v>32813</c:v>
                </c:pt>
                <c:pt idx="59">
                  <c:v>32843</c:v>
                </c:pt>
                <c:pt idx="60">
                  <c:v>32874</c:v>
                </c:pt>
                <c:pt idx="61">
                  <c:v>32905</c:v>
                </c:pt>
                <c:pt idx="62">
                  <c:v>32933</c:v>
                </c:pt>
                <c:pt idx="63">
                  <c:v>32964</c:v>
                </c:pt>
                <c:pt idx="64">
                  <c:v>32994</c:v>
                </c:pt>
                <c:pt idx="65">
                  <c:v>33025</c:v>
                </c:pt>
                <c:pt idx="66">
                  <c:v>33055</c:v>
                </c:pt>
                <c:pt idx="67">
                  <c:v>33086</c:v>
                </c:pt>
                <c:pt idx="68">
                  <c:v>33117</c:v>
                </c:pt>
                <c:pt idx="69">
                  <c:v>33147</c:v>
                </c:pt>
                <c:pt idx="70">
                  <c:v>33178</c:v>
                </c:pt>
                <c:pt idx="71">
                  <c:v>33208</c:v>
                </c:pt>
                <c:pt idx="72">
                  <c:v>33239</c:v>
                </c:pt>
                <c:pt idx="73">
                  <c:v>33270</c:v>
                </c:pt>
                <c:pt idx="74">
                  <c:v>33298</c:v>
                </c:pt>
                <c:pt idx="75">
                  <c:v>33329</c:v>
                </c:pt>
                <c:pt idx="76">
                  <c:v>33359</c:v>
                </c:pt>
                <c:pt idx="77">
                  <c:v>33390</c:v>
                </c:pt>
                <c:pt idx="78">
                  <c:v>33420</c:v>
                </c:pt>
                <c:pt idx="79">
                  <c:v>33451</c:v>
                </c:pt>
                <c:pt idx="80">
                  <c:v>33482</c:v>
                </c:pt>
                <c:pt idx="81">
                  <c:v>33512</c:v>
                </c:pt>
                <c:pt idx="82">
                  <c:v>33543</c:v>
                </c:pt>
                <c:pt idx="83">
                  <c:v>33573</c:v>
                </c:pt>
                <c:pt idx="84">
                  <c:v>33604</c:v>
                </c:pt>
                <c:pt idx="85">
                  <c:v>33635</c:v>
                </c:pt>
                <c:pt idx="86">
                  <c:v>33664</c:v>
                </c:pt>
                <c:pt idx="87">
                  <c:v>33695</c:v>
                </c:pt>
                <c:pt idx="88">
                  <c:v>33725</c:v>
                </c:pt>
                <c:pt idx="89">
                  <c:v>33756</c:v>
                </c:pt>
                <c:pt idx="90">
                  <c:v>33786</c:v>
                </c:pt>
                <c:pt idx="91">
                  <c:v>33817</c:v>
                </c:pt>
                <c:pt idx="92">
                  <c:v>33848</c:v>
                </c:pt>
                <c:pt idx="93">
                  <c:v>33878</c:v>
                </c:pt>
                <c:pt idx="94">
                  <c:v>33909</c:v>
                </c:pt>
                <c:pt idx="95">
                  <c:v>33939</c:v>
                </c:pt>
                <c:pt idx="96">
                  <c:v>33970</c:v>
                </c:pt>
                <c:pt idx="97">
                  <c:v>34001</c:v>
                </c:pt>
                <c:pt idx="98">
                  <c:v>34029</c:v>
                </c:pt>
                <c:pt idx="99">
                  <c:v>34060</c:v>
                </c:pt>
                <c:pt idx="100">
                  <c:v>34090</c:v>
                </c:pt>
                <c:pt idx="101">
                  <c:v>34121</c:v>
                </c:pt>
                <c:pt idx="102">
                  <c:v>34151</c:v>
                </c:pt>
                <c:pt idx="103">
                  <c:v>34182</c:v>
                </c:pt>
                <c:pt idx="104">
                  <c:v>34213</c:v>
                </c:pt>
                <c:pt idx="105">
                  <c:v>34243</c:v>
                </c:pt>
                <c:pt idx="106">
                  <c:v>34274</c:v>
                </c:pt>
                <c:pt idx="107">
                  <c:v>34304</c:v>
                </c:pt>
                <c:pt idx="108">
                  <c:v>34335</c:v>
                </c:pt>
                <c:pt idx="109">
                  <c:v>34366</c:v>
                </c:pt>
                <c:pt idx="110">
                  <c:v>34394</c:v>
                </c:pt>
                <c:pt idx="111">
                  <c:v>34425</c:v>
                </c:pt>
                <c:pt idx="112">
                  <c:v>34455</c:v>
                </c:pt>
                <c:pt idx="113">
                  <c:v>34486</c:v>
                </c:pt>
                <c:pt idx="114">
                  <c:v>34516</c:v>
                </c:pt>
                <c:pt idx="115">
                  <c:v>34547</c:v>
                </c:pt>
                <c:pt idx="116">
                  <c:v>34578</c:v>
                </c:pt>
                <c:pt idx="117">
                  <c:v>34608</c:v>
                </c:pt>
                <c:pt idx="118">
                  <c:v>34639</c:v>
                </c:pt>
                <c:pt idx="119">
                  <c:v>34669</c:v>
                </c:pt>
                <c:pt idx="120">
                  <c:v>34700</c:v>
                </c:pt>
                <c:pt idx="121">
                  <c:v>34731</c:v>
                </c:pt>
                <c:pt idx="122">
                  <c:v>34759</c:v>
                </c:pt>
                <c:pt idx="123">
                  <c:v>34790</c:v>
                </c:pt>
                <c:pt idx="124">
                  <c:v>34820</c:v>
                </c:pt>
                <c:pt idx="125">
                  <c:v>34851</c:v>
                </c:pt>
                <c:pt idx="126">
                  <c:v>34881</c:v>
                </c:pt>
                <c:pt idx="127">
                  <c:v>34912</c:v>
                </c:pt>
                <c:pt idx="128">
                  <c:v>34943</c:v>
                </c:pt>
                <c:pt idx="129">
                  <c:v>34973</c:v>
                </c:pt>
                <c:pt idx="130">
                  <c:v>35004</c:v>
                </c:pt>
                <c:pt idx="131">
                  <c:v>35034</c:v>
                </c:pt>
                <c:pt idx="132">
                  <c:v>35065</c:v>
                </c:pt>
                <c:pt idx="133">
                  <c:v>35096</c:v>
                </c:pt>
                <c:pt idx="134">
                  <c:v>35125</c:v>
                </c:pt>
                <c:pt idx="135">
                  <c:v>35156</c:v>
                </c:pt>
                <c:pt idx="136">
                  <c:v>35186</c:v>
                </c:pt>
                <c:pt idx="137">
                  <c:v>35217</c:v>
                </c:pt>
                <c:pt idx="138">
                  <c:v>35247</c:v>
                </c:pt>
                <c:pt idx="139">
                  <c:v>35278</c:v>
                </c:pt>
                <c:pt idx="140">
                  <c:v>35309</c:v>
                </c:pt>
                <c:pt idx="141">
                  <c:v>35339</c:v>
                </c:pt>
                <c:pt idx="142">
                  <c:v>35370</c:v>
                </c:pt>
                <c:pt idx="143">
                  <c:v>35400</c:v>
                </c:pt>
                <c:pt idx="144">
                  <c:v>35431</c:v>
                </c:pt>
                <c:pt idx="145">
                  <c:v>35462</c:v>
                </c:pt>
                <c:pt idx="146">
                  <c:v>35490</c:v>
                </c:pt>
                <c:pt idx="147">
                  <c:v>35521</c:v>
                </c:pt>
                <c:pt idx="148">
                  <c:v>35551</c:v>
                </c:pt>
                <c:pt idx="149">
                  <c:v>35582</c:v>
                </c:pt>
                <c:pt idx="150">
                  <c:v>35612</c:v>
                </c:pt>
                <c:pt idx="151">
                  <c:v>35643</c:v>
                </c:pt>
                <c:pt idx="152">
                  <c:v>35674</c:v>
                </c:pt>
                <c:pt idx="153">
                  <c:v>35704</c:v>
                </c:pt>
                <c:pt idx="154">
                  <c:v>35735</c:v>
                </c:pt>
                <c:pt idx="155">
                  <c:v>35765</c:v>
                </c:pt>
                <c:pt idx="156">
                  <c:v>35796</c:v>
                </c:pt>
                <c:pt idx="157">
                  <c:v>35827</c:v>
                </c:pt>
                <c:pt idx="158">
                  <c:v>35855</c:v>
                </c:pt>
                <c:pt idx="159">
                  <c:v>35886</c:v>
                </c:pt>
                <c:pt idx="160">
                  <c:v>35916</c:v>
                </c:pt>
                <c:pt idx="161">
                  <c:v>35947</c:v>
                </c:pt>
                <c:pt idx="162">
                  <c:v>35977</c:v>
                </c:pt>
                <c:pt idx="163">
                  <c:v>36008</c:v>
                </c:pt>
                <c:pt idx="164">
                  <c:v>36039</c:v>
                </c:pt>
                <c:pt idx="165">
                  <c:v>36069</c:v>
                </c:pt>
                <c:pt idx="166">
                  <c:v>36100</c:v>
                </c:pt>
                <c:pt idx="167">
                  <c:v>36130</c:v>
                </c:pt>
                <c:pt idx="168">
                  <c:v>36161</c:v>
                </c:pt>
                <c:pt idx="169">
                  <c:v>36192</c:v>
                </c:pt>
                <c:pt idx="170">
                  <c:v>36220</c:v>
                </c:pt>
                <c:pt idx="171">
                  <c:v>36251</c:v>
                </c:pt>
                <c:pt idx="172">
                  <c:v>36281</c:v>
                </c:pt>
                <c:pt idx="173">
                  <c:v>36312</c:v>
                </c:pt>
                <c:pt idx="174">
                  <c:v>36342</c:v>
                </c:pt>
                <c:pt idx="175">
                  <c:v>36373</c:v>
                </c:pt>
                <c:pt idx="176">
                  <c:v>36404</c:v>
                </c:pt>
                <c:pt idx="177">
                  <c:v>36434</c:v>
                </c:pt>
                <c:pt idx="178">
                  <c:v>36465</c:v>
                </c:pt>
                <c:pt idx="179">
                  <c:v>36495</c:v>
                </c:pt>
                <c:pt idx="180">
                  <c:v>36526</c:v>
                </c:pt>
                <c:pt idx="181">
                  <c:v>36557</c:v>
                </c:pt>
                <c:pt idx="182">
                  <c:v>36586</c:v>
                </c:pt>
                <c:pt idx="183">
                  <c:v>36617</c:v>
                </c:pt>
                <c:pt idx="184">
                  <c:v>36647</c:v>
                </c:pt>
                <c:pt idx="185">
                  <c:v>36678</c:v>
                </c:pt>
                <c:pt idx="186">
                  <c:v>36708</c:v>
                </c:pt>
                <c:pt idx="187">
                  <c:v>36739</c:v>
                </c:pt>
                <c:pt idx="188">
                  <c:v>36770</c:v>
                </c:pt>
                <c:pt idx="189">
                  <c:v>36800</c:v>
                </c:pt>
                <c:pt idx="190">
                  <c:v>36831</c:v>
                </c:pt>
                <c:pt idx="191">
                  <c:v>36861</c:v>
                </c:pt>
                <c:pt idx="192">
                  <c:v>36892</c:v>
                </c:pt>
                <c:pt idx="193">
                  <c:v>36923</c:v>
                </c:pt>
                <c:pt idx="194">
                  <c:v>36951</c:v>
                </c:pt>
                <c:pt idx="195">
                  <c:v>36982</c:v>
                </c:pt>
                <c:pt idx="196">
                  <c:v>37012</c:v>
                </c:pt>
                <c:pt idx="197">
                  <c:v>37043</c:v>
                </c:pt>
                <c:pt idx="198">
                  <c:v>37073</c:v>
                </c:pt>
                <c:pt idx="199">
                  <c:v>37104</c:v>
                </c:pt>
                <c:pt idx="200">
                  <c:v>37135</c:v>
                </c:pt>
                <c:pt idx="201">
                  <c:v>37165</c:v>
                </c:pt>
                <c:pt idx="202">
                  <c:v>37196</c:v>
                </c:pt>
                <c:pt idx="203">
                  <c:v>37226</c:v>
                </c:pt>
                <c:pt idx="204">
                  <c:v>37257</c:v>
                </c:pt>
                <c:pt idx="205">
                  <c:v>37288</c:v>
                </c:pt>
                <c:pt idx="206">
                  <c:v>37316</c:v>
                </c:pt>
                <c:pt idx="207">
                  <c:v>37347</c:v>
                </c:pt>
                <c:pt idx="208">
                  <c:v>37377</c:v>
                </c:pt>
                <c:pt idx="209">
                  <c:v>37408</c:v>
                </c:pt>
                <c:pt idx="210">
                  <c:v>37438</c:v>
                </c:pt>
                <c:pt idx="211">
                  <c:v>37469</c:v>
                </c:pt>
                <c:pt idx="212">
                  <c:v>37500</c:v>
                </c:pt>
                <c:pt idx="213">
                  <c:v>37530</c:v>
                </c:pt>
                <c:pt idx="214">
                  <c:v>37561</c:v>
                </c:pt>
                <c:pt idx="215">
                  <c:v>37591</c:v>
                </c:pt>
                <c:pt idx="216">
                  <c:v>37622</c:v>
                </c:pt>
                <c:pt idx="217">
                  <c:v>37653</c:v>
                </c:pt>
                <c:pt idx="218">
                  <c:v>37681</c:v>
                </c:pt>
                <c:pt idx="219">
                  <c:v>37712</c:v>
                </c:pt>
                <c:pt idx="220">
                  <c:v>37742</c:v>
                </c:pt>
                <c:pt idx="221">
                  <c:v>37773</c:v>
                </c:pt>
                <c:pt idx="222">
                  <c:v>37803</c:v>
                </c:pt>
                <c:pt idx="223">
                  <c:v>37834</c:v>
                </c:pt>
                <c:pt idx="224">
                  <c:v>37865</c:v>
                </c:pt>
                <c:pt idx="225">
                  <c:v>37895</c:v>
                </c:pt>
                <c:pt idx="226">
                  <c:v>37926</c:v>
                </c:pt>
                <c:pt idx="227">
                  <c:v>37956</c:v>
                </c:pt>
                <c:pt idx="228">
                  <c:v>37987</c:v>
                </c:pt>
                <c:pt idx="229">
                  <c:v>38018</c:v>
                </c:pt>
                <c:pt idx="230">
                  <c:v>38047</c:v>
                </c:pt>
                <c:pt idx="231">
                  <c:v>38078</c:v>
                </c:pt>
                <c:pt idx="232">
                  <c:v>38108</c:v>
                </c:pt>
                <c:pt idx="233">
                  <c:v>38139</c:v>
                </c:pt>
                <c:pt idx="234">
                  <c:v>38169</c:v>
                </c:pt>
                <c:pt idx="235">
                  <c:v>38200</c:v>
                </c:pt>
                <c:pt idx="236">
                  <c:v>38231</c:v>
                </c:pt>
                <c:pt idx="237">
                  <c:v>38261</c:v>
                </c:pt>
                <c:pt idx="238">
                  <c:v>38292</c:v>
                </c:pt>
                <c:pt idx="239">
                  <c:v>38322</c:v>
                </c:pt>
                <c:pt idx="240">
                  <c:v>38353</c:v>
                </c:pt>
                <c:pt idx="241">
                  <c:v>38384</c:v>
                </c:pt>
                <c:pt idx="242">
                  <c:v>38412</c:v>
                </c:pt>
                <c:pt idx="243">
                  <c:v>38443</c:v>
                </c:pt>
                <c:pt idx="244">
                  <c:v>38473</c:v>
                </c:pt>
                <c:pt idx="245">
                  <c:v>38504</c:v>
                </c:pt>
                <c:pt idx="246">
                  <c:v>38534</c:v>
                </c:pt>
                <c:pt idx="247">
                  <c:v>38565</c:v>
                </c:pt>
                <c:pt idx="248">
                  <c:v>38596</c:v>
                </c:pt>
                <c:pt idx="249">
                  <c:v>38626</c:v>
                </c:pt>
                <c:pt idx="250">
                  <c:v>38657</c:v>
                </c:pt>
                <c:pt idx="251">
                  <c:v>38687</c:v>
                </c:pt>
                <c:pt idx="252">
                  <c:v>38718</c:v>
                </c:pt>
                <c:pt idx="253">
                  <c:v>38749</c:v>
                </c:pt>
                <c:pt idx="254">
                  <c:v>38777</c:v>
                </c:pt>
                <c:pt idx="255">
                  <c:v>38808</c:v>
                </c:pt>
                <c:pt idx="256">
                  <c:v>38838</c:v>
                </c:pt>
                <c:pt idx="257">
                  <c:v>38869</c:v>
                </c:pt>
                <c:pt idx="258">
                  <c:v>38899</c:v>
                </c:pt>
                <c:pt idx="259">
                  <c:v>38930</c:v>
                </c:pt>
                <c:pt idx="260">
                  <c:v>38961</c:v>
                </c:pt>
                <c:pt idx="261">
                  <c:v>38991</c:v>
                </c:pt>
                <c:pt idx="262">
                  <c:v>39022</c:v>
                </c:pt>
                <c:pt idx="263">
                  <c:v>39052</c:v>
                </c:pt>
                <c:pt idx="264">
                  <c:v>39083</c:v>
                </c:pt>
                <c:pt idx="265">
                  <c:v>39114</c:v>
                </c:pt>
                <c:pt idx="266">
                  <c:v>39142</c:v>
                </c:pt>
                <c:pt idx="267">
                  <c:v>39173</c:v>
                </c:pt>
                <c:pt idx="268">
                  <c:v>39203</c:v>
                </c:pt>
                <c:pt idx="269">
                  <c:v>39234</c:v>
                </c:pt>
                <c:pt idx="270">
                  <c:v>39264</c:v>
                </c:pt>
                <c:pt idx="271">
                  <c:v>39295</c:v>
                </c:pt>
                <c:pt idx="272">
                  <c:v>39326</c:v>
                </c:pt>
                <c:pt idx="273">
                  <c:v>39356</c:v>
                </c:pt>
                <c:pt idx="274">
                  <c:v>39387</c:v>
                </c:pt>
                <c:pt idx="275">
                  <c:v>39417</c:v>
                </c:pt>
                <c:pt idx="276">
                  <c:v>39448</c:v>
                </c:pt>
                <c:pt idx="277">
                  <c:v>39479</c:v>
                </c:pt>
                <c:pt idx="278">
                  <c:v>39508</c:v>
                </c:pt>
                <c:pt idx="279">
                  <c:v>39539</c:v>
                </c:pt>
                <c:pt idx="280">
                  <c:v>39569</c:v>
                </c:pt>
                <c:pt idx="281">
                  <c:v>39600</c:v>
                </c:pt>
                <c:pt idx="282">
                  <c:v>39630</c:v>
                </c:pt>
                <c:pt idx="283">
                  <c:v>39661</c:v>
                </c:pt>
                <c:pt idx="284">
                  <c:v>39692</c:v>
                </c:pt>
                <c:pt idx="285">
                  <c:v>39722</c:v>
                </c:pt>
                <c:pt idx="286">
                  <c:v>39753</c:v>
                </c:pt>
                <c:pt idx="287">
                  <c:v>39783</c:v>
                </c:pt>
                <c:pt idx="288">
                  <c:v>39814</c:v>
                </c:pt>
                <c:pt idx="289">
                  <c:v>39845</c:v>
                </c:pt>
                <c:pt idx="290">
                  <c:v>39873</c:v>
                </c:pt>
                <c:pt idx="291">
                  <c:v>39904</c:v>
                </c:pt>
                <c:pt idx="292">
                  <c:v>39934</c:v>
                </c:pt>
                <c:pt idx="293">
                  <c:v>39965</c:v>
                </c:pt>
                <c:pt idx="294">
                  <c:v>39995</c:v>
                </c:pt>
                <c:pt idx="295">
                  <c:v>40026</c:v>
                </c:pt>
                <c:pt idx="296">
                  <c:v>40057</c:v>
                </c:pt>
                <c:pt idx="297">
                  <c:v>40087</c:v>
                </c:pt>
                <c:pt idx="298">
                  <c:v>40118</c:v>
                </c:pt>
                <c:pt idx="299">
                  <c:v>40148</c:v>
                </c:pt>
                <c:pt idx="300">
                  <c:v>40179</c:v>
                </c:pt>
                <c:pt idx="301">
                  <c:v>40210</c:v>
                </c:pt>
                <c:pt idx="302">
                  <c:v>40238</c:v>
                </c:pt>
                <c:pt idx="303">
                  <c:v>40269</c:v>
                </c:pt>
                <c:pt idx="304">
                  <c:v>40299</c:v>
                </c:pt>
                <c:pt idx="305">
                  <c:v>40330</c:v>
                </c:pt>
                <c:pt idx="306">
                  <c:v>40360</c:v>
                </c:pt>
                <c:pt idx="307">
                  <c:v>40391</c:v>
                </c:pt>
                <c:pt idx="308">
                  <c:v>40422</c:v>
                </c:pt>
                <c:pt idx="309">
                  <c:v>40452</c:v>
                </c:pt>
                <c:pt idx="310">
                  <c:v>40483</c:v>
                </c:pt>
                <c:pt idx="311">
                  <c:v>40513</c:v>
                </c:pt>
                <c:pt idx="312">
                  <c:v>40544</c:v>
                </c:pt>
                <c:pt idx="313">
                  <c:v>40575</c:v>
                </c:pt>
                <c:pt idx="314">
                  <c:v>40603</c:v>
                </c:pt>
                <c:pt idx="315">
                  <c:v>40634</c:v>
                </c:pt>
                <c:pt idx="316">
                  <c:v>40664</c:v>
                </c:pt>
                <c:pt idx="317">
                  <c:v>40695</c:v>
                </c:pt>
                <c:pt idx="318">
                  <c:v>40725</c:v>
                </c:pt>
                <c:pt idx="319">
                  <c:v>40756</c:v>
                </c:pt>
                <c:pt idx="320">
                  <c:v>40787</c:v>
                </c:pt>
                <c:pt idx="321">
                  <c:v>40817</c:v>
                </c:pt>
                <c:pt idx="322">
                  <c:v>40848</c:v>
                </c:pt>
                <c:pt idx="323">
                  <c:v>40878</c:v>
                </c:pt>
                <c:pt idx="324">
                  <c:v>40909</c:v>
                </c:pt>
                <c:pt idx="325">
                  <c:v>40940</c:v>
                </c:pt>
                <c:pt idx="326">
                  <c:v>40969</c:v>
                </c:pt>
                <c:pt idx="327">
                  <c:v>41000</c:v>
                </c:pt>
                <c:pt idx="328">
                  <c:v>41030</c:v>
                </c:pt>
                <c:pt idx="329">
                  <c:v>41061</c:v>
                </c:pt>
                <c:pt idx="330">
                  <c:v>41091</c:v>
                </c:pt>
                <c:pt idx="331">
                  <c:v>41122</c:v>
                </c:pt>
                <c:pt idx="332">
                  <c:v>41153</c:v>
                </c:pt>
                <c:pt idx="333">
                  <c:v>41183</c:v>
                </c:pt>
                <c:pt idx="334">
                  <c:v>41214</c:v>
                </c:pt>
                <c:pt idx="335">
                  <c:v>41244</c:v>
                </c:pt>
                <c:pt idx="336">
                  <c:v>41275</c:v>
                </c:pt>
                <c:pt idx="337">
                  <c:v>41306</c:v>
                </c:pt>
                <c:pt idx="338">
                  <c:v>41334</c:v>
                </c:pt>
                <c:pt idx="339">
                  <c:v>41365</c:v>
                </c:pt>
                <c:pt idx="340">
                  <c:v>41395</c:v>
                </c:pt>
                <c:pt idx="341">
                  <c:v>41426</c:v>
                </c:pt>
                <c:pt idx="342">
                  <c:v>41456</c:v>
                </c:pt>
                <c:pt idx="343">
                  <c:v>41487</c:v>
                </c:pt>
                <c:pt idx="344">
                  <c:v>41518</c:v>
                </c:pt>
                <c:pt idx="345">
                  <c:v>41548</c:v>
                </c:pt>
                <c:pt idx="346">
                  <c:v>41579</c:v>
                </c:pt>
                <c:pt idx="347">
                  <c:v>41609</c:v>
                </c:pt>
                <c:pt idx="348">
                  <c:v>41640</c:v>
                </c:pt>
                <c:pt idx="349">
                  <c:v>41671</c:v>
                </c:pt>
                <c:pt idx="350">
                  <c:v>41699</c:v>
                </c:pt>
                <c:pt idx="351">
                  <c:v>41730</c:v>
                </c:pt>
                <c:pt idx="352">
                  <c:v>41760</c:v>
                </c:pt>
                <c:pt idx="353">
                  <c:v>41791</c:v>
                </c:pt>
                <c:pt idx="354">
                  <c:v>41821</c:v>
                </c:pt>
                <c:pt idx="355">
                  <c:v>41852</c:v>
                </c:pt>
                <c:pt idx="356">
                  <c:v>41883</c:v>
                </c:pt>
                <c:pt idx="357">
                  <c:v>41913</c:v>
                </c:pt>
                <c:pt idx="358">
                  <c:v>41944</c:v>
                </c:pt>
                <c:pt idx="359">
                  <c:v>41974</c:v>
                </c:pt>
                <c:pt idx="360">
                  <c:v>42005</c:v>
                </c:pt>
                <c:pt idx="361">
                  <c:v>42036</c:v>
                </c:pt>
                <c:pt idx="362">
                  <c:v>42064</c:v>
                </c:pt>
                <c:pt idx="363">
                  <c:v>42095</c:v>
                </c:pt>
                <c:pt idx="364">
                  <c:v>42125</c:v>
                </c:pt>
                <c:pt idx="365">
                  <c:v>42156</c:v>
                </c:pt>
                <c:pt idx="366">
                  <c:v>42186</c:v>
                </c:pt>
                <c:pt idx="367">
                  <c:v>42217</c:v>
                </c:pt>
                <c:pt idx="368">
                  <c:v>42248</c:v>
                </c:pt>
                <c:pt idx="369">
                  <c:v>42278</c:v>
                </c:pt>
                <c:pt idx="370">
                  <c:v>42309</c:v>
                </c:pt>
                <c:pt idx="371">
                  <c:v>42339</c:v>
                </c:pt>
                <c:pt idx="372">
                  <c:v>42370</c:v>
                </c:pt>
                <c:pt idx="373">
                  <c:v>42401</c:v>
                </c:pt>
                <c:pt idx="374">
                  <c:v>42430</c:v>
                </c:pt>
                <c:pt idx="375">
                  <c:v>42461</c:v>
                </c:pt>
                <c:pt idx="376">
                  <c:v>42491</c:v>
                </c:pt>
                <c:pt idx="377">
                  <c:v>42522</c:v>
                </c:pt>
                <c:pt idx="378">
                  <c:v>42552</c:v>
                </c:pt>
                <c:pt idx="379">
                  <c:v>42583</c:v>
                </c:pt>
                <c:pt idx="380">
                  <c:v>42614</c:v>
                </c:pt>
                <c:pt idx="381">
                  <c:v>42644</c:v>
                </c:pt>
                <c:pt idx="382">
                  <c:v>42675</c:v>
                </c:pt>
                <c:pt idx="383">
                  <c:v>42705</c:v>
                </c:pt>
                <c:pt idx="384">
                  <c:v>42736</c:v>
                </c:pt>
                <c:pt idx="385">
                  <c:v>42767</c:v>
                </c:pt>
                <c:pt idx="386">
                  <c:v>42795</c:v>
                </c:pt>
                <c:pt idx="387">
                  <c:v>42826</c:v>
                </c:pt>
                <c:pt idx="388">
                  <c:v>42856</c:v>
                </c:pt>
                <c:pt idx="389">
                  <c:v>42887</c:v>
                </c:pt>
                <c:pt idx="390">
                  <c:v>42917</c:v>
                </c:pt>
                <c:pt idx="391">
                  <c:v>42948</c:v>
                </c:pt>
                <c:pt idx="392">
                  <c:v>42979</c:v>
                </c:pt>
                <c:pt idx="393">
                  <c:v>43009</c:v>
                </c:pt>
                <c:pt idx="394">
                  <c:v>43040</c:v>
                </c:pt>
                <c:pt idx="395">
                  <c:v>43070</c:v>
                </c:pt>
                <c:pt idx="396">
                  <c:v>43101</c:v>
                </c:pt>
                <c:pt idx="397">
                  <c:v>43132</c:v>
                </c:pt>
                <c:pt idx="398">
                  <c:v>43160</c:v>
                </c:pt>
                <c:pt idx="399">
                  <c:v>43191</c:v>
                </c:pt>
                <c:pt idx="400">
                  <c:v>43221</c:v>
                </c:pt>
                <c:pt idx="401">
                  <c:v>43252</c:v>
                </c:pt>
                <c:pt idx="402">
                  <c:v>43282</c:v>
                </c:pt>
                <c:pt idx="403">
                  <c:v>43313</c:v>
                </c:pt>
                <c:pt idx="404">
                  <c:v>43344</c:v>
                </c:pt>
                <c:pt idx="405">
                  <c:v>43374</c:v>
                </c:pt>
                <c:pt idx="406">
                  <c:v>43405</c:v>
                </c:pt>
                <c:pt idx="407">
                  <c:v>43435</c:v>
                </c:pt>
                <c:pt idx="408">
                  <c:v>43466</c:v>
                </c:pt>
                <c:pt idx="409">
                  <c:v>43497</c:v>
                </c:pt>
                <c:pt idx="410">
                  <c:v>43525</c:v>
                </c:pt>
                <c:pt idx="411">
                  <c:v>43556</c:v>
                </c:pt>
                <c:pt idx="412">
                  <c:v>43586</c:v>
                </c:pt>
                <c:pt idx="413">
                  <c:v>43617</c:v>
                </c:pt>
                <c:pt idx="414">
                  <c:v>43647</c:v>
                </c:pt>
                <c:pt idx="415">
                  <c:v>43678</c:v>
                </c:pt>
                <c:pt idx="416">
                  <c:v>43709</c:v>
                </c:pt>
                <c:pt idx="417">
                  <c:v>43739</c:v>
                </c:pt>
                <c:pt idx="418">
                  <c:v>43770</c:v>
                </c:pt>
                <c:pt idx="419">
                  <c:v>43800</c:v>
                </c:pt>
                <c:pt idx="420">
                  <c:v>43831</c:v>
                </c:pt>
                <c:pt idx="421">
                  <c:v>43862</c:v>
                </c:pt>
                <c:pt idx="422">
                  <c:v>43891</c:v>
                </c:pt>
                <c:pt idx="423">
                  <c:v>43922</c:v>
                </c:pt>
                <c:pt idx="424">
                  <c:v>43952</c:v>
                </c:pt>
                <c:pt idx="425">
                  <c:v>43983</c:v>
                </c:pt>
                <c:pt idx="426">
                  <c:v>44013</c:v>
                </c:pt>
                <c:pt idx="427">
                  <c:v>44044</c:v>
                </c:pt>
                <c:pt idx="428">
                  <c:v>44075</c:v>
                </c:pt>
                <c:pt idx="429">
                  <c:v>44105</c:v>
                </c:pt>
                <c:pt idx="430">
                  <c:v>44136</c:v>
                </c:pt>
                <c:pt idx="431">
                  <c:v>44166</c:v>
                </c:pt>
                <c:pt idx="432">
                  <c:v>44197</c:v>
                </c:pt>
                <c:pt idx="433">
                  <c:v>44228</c:v>
                </c:pt>
                <c:pt idx="434">
                  <c:v>44256</c:v>
                </c:pt>
                <c:pt idx="435">
                  <c:v>44287</c:v>
                </c:pt>
                <c:pt idx="436">
                  <c:v>44317</c:v>
                </c:pt>
                <c:pt idx="437">
                  <c:v>44348</c:v>
                </c:pt>
                <c:pt idx="438">
                  <c:v>44378</c:v>
                </c:pt>
                <c:pt idx="439">
                  <c:v>44409</c:v>
                </c:pt>
                <c:pt idx="440">
                  <c:v>44440</c:v>
                </c:pt>
                <c:pt idx="441">
                  <c:v>44470</c:v>
                </c:pt>
                <c:pt idx="442">
                  <c:v>44501</c:v>
                </c:pt>
                <c:pt idx="443">
                  <c:v>44531</c:v>
                </c:pt>
                <c:pt idx="444">
                  <c:v>44562</c:v>
                </c:pt>
                <c:pt idx="445">
                  <c:v>44593</c:v>
                </c:pt>
                <c:pt idx="446">
                  <c:v>44621</c:v>
                </c:pt>
                <c:pt idx="447">
                  <c:v>44652</c:v>
                </c:pt>
                <c:pt idx="448">
                  <c:v>44682</c:v>
                </c:pt>
                <c:pt idx="449">
                  <c:v>44713</c:v>
                </c:pt>
                <c:pt idx="450">
                  <c:v>44743</c:v>
                </c:pt>
                <c:pt idx="451">
                  <c:v>44774</c:v>
                </c:pt>
                <c:pt idx="452">
                  <c:v>44805</c:v>
                </c:pt>
                <c:pt idx="453">
                  <c:v>44835</c:v>
                </c:pt>
                <c:pt idx="454">
                  <c:v>44866</c:v>
                </c:pt>
                <c:pt idx="455">
                  <c:v>44896</c:v>
                </c:pt>
                <c:pt idx="456">
                  <c:v>44927</c:v>
                </c:pt>
                <c:pt idx="457">
                  <c:v>44958</c:v>
                </c:pt>
                <c:pt idx="458">
                  <c:v>44986</c:v>
                </c:pt>
                <c:pt idx="459">
                  <c:v>45017</c:v>
                </c:pt>
                <c:pt idx="460">
                  <c:v>45047</c:v>
                </c:pt>
                <c:pt idx="461">
                  <c:v>45078</c:v>
                </c:pt>
                <c:pt idx="462">
                  <c:v>45108</c:v>
                </c:pt>
                <c:pt idx="463">
                  <c:v>45139</c:v>
                </c:pt>
                <c:pt idx="464">
                  <c:v>45170</c:v>
                </c:pt>
                <c:pt idx="465">
                  <c:v>45200</c:v>
                </c:pt>
                <c:pt idx="466">
                  <c:v>45231</c:v>
                </c:pt>
                <c:pt idx="467">
                  <c:v>45261</c:v>
                </c:pt>
              </c:numCache>
            </c:numRef>
          </c:cat>
          <c:val>
            <c:numRef>
              <c:f>'Labor Market'!$B$447:$B$914</c:f>
              <c:numCache>
                <c:formatCode>#,##0.00</c:formatCode>
                <c:ptCount val="468"/>
                <c:pt idx="0">
                  <c:v>7.3</c:v>
                </c:pt>
                <c:pt idx="1">
                  <c:v>7.2</c:v>
                </c:pt>
                <c:pt idx="2">
                  <c:v>7.2</c:v>
                </c:pt>
                <c:pt idx="3">
                  <c:v>7.3</c:v>
                </c:pt>
                <c:pt idx="4">
                  <c:v>7.2</c:v>
                </c:pt>
                <c:pt idx="5">
                  <c:v>7.4</c:v>
                </c:pt>
                <c:pt idx="6">
                  <c:v>7.4</c:v>
                </c:pt>
                <c:pt idx="7">
                  <c:v>7.1</c:v>
                </c:pt>
                <c:pt idx="8">
                  <c:v>7.1</c:v>
                </c:pt>
                <c:pt idx="9">
                  <c:v>7.1</c:v>
                </c:pt>
                <c:pt idx="10">
                  <c:v>7</c:v>
                </c:pt>
                <c:pt idx="11">
                  <c:v>7</c:v>
                </c:pt>
                <c:pt idx="12">
                  <c:v>6.7</c:v>
                </c:pt>
                <c:pt idx="13">
                  <c:v>7.2</c:v>
                </c:pt>
                <c:pt idx="14">
                  <c:v>7.2</c:v>
                </c:pt>
                <c:pt idx="15">
                  <c:v>7.1</c:v>
                </c:pt>
                <c:pt idx="16">
                  <c:v>7.2</c:v>
                </c:pt>
                <c:pt idx="17">
                  <c:v>7.2</c:v>
                </c:pt>
                <c:pt idx="18">
                  <c:v>7</c:v>
                </c:pt>
                <c:pt idx="19">
                  <c:v>6.9</c:v>
                </c:pt>
                <c:pt idx="20">
                  <c:v>7</c:v>
                </c:pt>
                <c:pt idx="21">
                  <c:v>7</c:v>
                </c:pt>
                <c:pt idx="22">
                  <c:v>6.9</c:v>
                </c:pt>
                <c:pt idx="23">
                  <c:v>6.6</c:v>
                </c:pt>
                <c:pt idx="24">
                  <c:v>6.6</c:v>
                </c:pt>
                <c:pt idx="25">
                  <c:v>6.6</c:v>
                </c:pt>
                <c:pt idx="26">
                  <c:v>6.6</c:v>
                </c:pt>
                <c:pt idx="27">
                  <c:v>6.3</c:v>
                </c:pt>
                <c:pt idx="28">
                  <c:v>6.3</c:v>
                </c:pt>
                <c:pt idx="29">
                  <c:v>6.2</c:v>
                </c:pt>
                <c:pt idx="30">
                  <c:v>6.1</c:v>
                </c:pt>
                <c:pt idx="31">
                  <c:v>6</c:v>
                </c:pt>
                <c:pt idx="32">
                  <c:v>5.9</c:v>
                </c:pt>
                <c:pt idx="33">
                  <c:v>6</c:v>
                </c:pt>
                <c:pt idx="34">
                  <c:v>5.8</c:v>
                </c:pt>
                <c:pt idx="35">
                  <c:v>5.7</c:v>
                </c:pt>
                <c:pt idx="36">
                  <c:v>5.7</c:v>
                </c:pt>
                <c:pt idx="37">
                  <c:v>5.7</c:v>
                </c:pt>
                <c:pt idx="38">
                  <c:v>5.7</c:v>
                </c:pt>
                <c:pt idx="39">
                  <c:v>5.4</c:v>
                </c:pt>
                <c:pt idx="40">
                  <c:v>5.6</c:v>
                </c:pt>
                <c:pt idx="41">
                  <c:v>5.4</c:v>
                </c:pt>
                <c:pt idx="42">
                  <c:v>5.4</c:v>
                </c:pt>
                <c:pt idx="43">
                  <c:v>5.6</c:v>
                </c:pt>
                <c:pt idx="44">
                  <c:v>5.4</c:v>
                </c:pt>
                <c:pt idx="45">
                  <c:v>5.4</c:v>
                </c:pt>
                <c:pt idx="46">
                  <c:v>5.3</c:v>
                </c:pt>
                <c:pt idx="47">
                  <c:v>5.3</c:v>
                </c:pt>
                <c:pt idx="48">
                  <c:v>5.4</c:v>
                </c:pt>
                <c:pt idx="49">
                  <c:v>5.2</c:v>
                </c:pt>
                <c:pt idx="50">
                  <c:v>5</c:v>
                </c:pt>
                <c:pt idx="51">
                  <c:v>5.2</c:v>
                </c:pt>
                <c:pt idx="52">
                  <c:v>5.2</c:v>
                </c:pt>
                <c:pt idx="53">
                  <c:v>5.3</c:v>
                </c:pt>
                <c:pt idx="54">
                  <c:v>5.2</c:v>
                </c:pt>
                <c:pt idx="55">
                  <c:v>5.2</c:v>
                </c:pt>
                <c:pt idx="56">
                  <c:v>5.3</c:v>
                </c:pt>
                <c:pt idx="57">
                  <c:v>5.3</c:v>
                </c:pt>
                <c:pt idx="58">
                  <c:v>5.4</c:v>
                </c:pt>
                <c:pt idx="59">
                  <c:v>5.4</c:v>
                </c:pt>
                <c:pt idx="60">
                  <c:v>5.4</c:v>
                </c:pt>
                <c:pt idx="61">
                  <c:v>5.3</c:v>
                </c:pt>
                <c:pt idx="62">
                  <c:v>5.2</c:v>
                </c:pt>
                <c:pt idx="63">
                  <c:v>5.4</c:v>
                </c:pt>
                <c:pt idx="64">
                  <c:v>5.4</c:v>
                </c:pt>
                <c:pt idx="65">
                  <c:v>5.2</c:v>
                </c:pt>
                <c:pt idx="66">
                  <c:v>5.5</c:v>
                </c:pt>
                <c:pt idx="67">
                  <c:v>5.7</c:v>
                </c:pt>
                <c:pt idx="68">
                  <c:v>5.9</c:v>
                </c:pt>
                <c:pt idx="69">
                  <c:v>5.9</c:v>
                </c:pt>
                <c:pt idx="70">
                  <c:v>6.2</c:v>
                </c:pt>
                <c:pt idx="71">
                  <c:v>6.3</c:v>
                </c:pt>
                <c:pt idx="72">
                  <c:v>6.4</c:v>
                </c:pt>
                <c:pt idx="73">
                  <c:v>6.6</c:v>
                </c:pt>
                <c:pt idx="74">
                  <c:v>6.8</c:v>
                </c:pt>
                <c:pt idx="75">
                  <c:v>6.7</c:v>
                </c:pt>
                <c:pt idx="76">
                  <c:v>6.9</c:v>
                </c:pt>
                <c:pt idx="77">
                  <c:v>6.9</c:v>
                </c:pt>
                <c:pt idx="78">
                  <c:v>6.8</c:v>
                </c:pt>
                <c:pt idx="79">
                  <c:v>6.9</c:v>
                </c:pt>
                <c:pt idx="80">
                  <c:v>6.9</c:v>
                </c:pt>
                <c:pt idx="81">
                  <c:v>7</c:v>
                </c:pt>
                <c:pt idx="82">
                  <c:v>7</c:v>
                </c:pt>
                <c:pt idx="83">
                  <c:v>7.3</c:v>
                </c:pt>
                <c:pt idx="84">
                  <c:v>7.3</c:v>
                </c:pt>
                <c:pt idx="85">
                  <c:v>7.4</c:v>
                </c:pt>
                <c:pt idx="86">
                  <c:v>7.4</c:v>
                </c:pt>
                <c:pt idx="87">
                  <c:v>7.4</c:v>
                </c:pt>
                <c:pt idx="88">
                  <c:v>7.6</c:v>
                </c:pt>
                <c:pt idx="89">
                  <c:v>7.8</c:v>
                </c:pt>
                <c:pt idx="90">
                  <c:v>7.7</c:v>
                </c:pt>
                <c:pt idx="91">
                  <c:v>7.6</c:v>
                </c:pt>
                <c:pt idx="92">
                  <c:v>7.6</c:v>
                </c:pt>
                <c:pt idx="93">
                  <c:v>7.3</c:v>
                </c:pt>
                <c:pt idx="94">
                  <c:v>7.4</c:v>
                </c:pt>
                <c:pt idx="95">
                  <c:v>7.4</c:v>
                </c:pt>
                <c:pt idx="96">
                  <c:v>7.3</c:v>
                </c:pt>
                <c:pt idx="97">
                  <c:v>7.1</c:v>
                </c:pt>
                <c:pt idx="98">
                  <c:v>7</c:v>
                </c:pt>
                <c:pt idx="99">
                  <c:v>7.1</c:v>
                </c:pt>
                <c:pt idx="100">
                  <c:v>7.1</c:v>
                </c:pt>
                <c:pt idx="101">
                  <c:v>7</c:v>
                </c:pt>
                <c:pt idx="102">
                  <c:v>6.9</c:v>
                </c:pt>
                <c:pt idx="103">
                  <c:v>6.8</c:v>
                </c:pt>
                <c:pt idx="104">
                  <c:v>6.7</c:v>
                </c:pt>
                <c:pt idx="105">
                  <c:v>6.8</c:v>
                </c:pt>
                <c:pt idx="106">
                  <c:v>6.6</c:v>
                </c:pt>
                <c:pt idx="107">
                  <c:v>6.5</c:v>
                </c:pt>
                <c:pt idx="108">
                  <c:v>6.6</c:v>
                </c:pt>
                <c:pt idx="109">
                  <c:v>6.6</c:v>
                </c:pt>
                <c:pt idx="110">
                  <c:v>6.5</c:v>
                </c:pt>
                <c:pt idx="111">
                  <c:v>6.4</c:v>
                </c:pt>
                <c:pt idx="112">
                  <c:v>6.1</c:v>
                </c:pt>
                <c:pt idx="113">
                  <c:v>6.1</c:v>
                </c:pt>
                <c:pt idx="114">
                  <c:v>6.1</c:v>
                </c:pt>
                <c:pt idx="115">
                  <c:v>6</c:v>
                </c:pt>
                <c:pt idx="116">
                  <c:v>5.9</c:v>
                </c:pt>
                <c:pt idx="117">
                  <c:v>5.8</c:v>
                </c:pt>
                <c:pt idx="118">
                  <c:v>5.6</c:v>
                </c:pt>
                <c:pt idx="119">
                  <c:v>5.5</c:v>
                </c:pt>
                <c:pt idx="120">
                  <c:v>5.6</c:v>
                </c:pt>
                <c:pt idx="121">
                  <c:v>5.4</c:v>
                </c:pt>
                <c:pt idx="122">
                  <c:v>5.4</c:v>
                </c:pt>
                <c:pt idx="123">
                  <c:v>5.8</c:v>
                </c:pt>
                <c:pt idx="124">
                  <c:v>5.6</c:v>
                </c:pt>
                <c:pt idx="125">
                  <c:v>5.6</c:v>
                </c:pt>
                <c:pt idx="126">
                  <c:v>5.7</c:v>
                </c:pt>
                <c:pt idx="127">
                  <c:v>5.7</c:v>
                </c:pt>
                <c:pt idx="128">
                  <c:v>5.6</c:v>
                </c:pt>
                <c:pt idx="129">
                  <c:v>5.5</c:v>
                </c:pt>
                <c:pt idx="130">
                  <c:v>5.6</c:v>
                </c:pt>
                <c:pt idx="131">
                  <c:v>5.6</c:v>
                </c:pt>
                <c:pt idx="132">
                  <c:v>5.6</c:v>
                </c:pt>
                <c:pt idx="133">
                  <c:v>5.5</c:v>
                </c:pt>
                <c:pt idx="134">
                  <c:v>5.5</c:v>
                </c:pt>
                <c:pt idx="135">
                  <c:v>5.6</c:v>
                </c:pt>
                <c:pt idx="136">
                  <c:v>5.6</c:v>
                </c:pt>
                <c:pt idx="137">
                  <c:v>5.3</c:v>
                </c:pt>
                <c:pt idx="138">
                  <c:v>5.5</c:v>
                </c:pt>
                <c:pt idx="139">
                  <c:v>5.0999999999999996</c:v>
                </c:pt>
                <c:pt idx="140">
                  <c:v>5.2</c:v>
                </c:pt>
                <c:pt idx="141">
                  <c:v>5.2</c:v>
                </c:pt>
                <c:pt idx="142">
                  <c:v>5.4</c:v>
                </c:pt>
                <c:pt idx="143">
                  <c:v>5.4</c:v>
                </c:pt>
                <c:pt idx="144">
                  <c:v>5.3</c:v>
                </c:pt>
                <c:pt idx="145">
                  <c:v>5.2</c:v>
                </c:pt>
                <c:pt idx="146">
                  <c:v>5.2</c:v>
                </c:pt>
                <c:pt idx="147">
                  <c:v>5.0999999999999996</c:v>
                </c:pt>
                <c:pt idx="148">
                  <c:v>4.9000000000000004</c:v>
                </c:pt>
                <c:pt idx="149">
                  <c:v>5</c:v>
                </c:pt>
                <c:pt idx="150">
                  <c:v>4.9000000000000004</c:v>
                </c:pt>
                <c:pt idx="151">
                  <c:v>4.8</c:v>
                </c:pt>
                <c:pt idx="152">
                  <c:v>4.9000000000000004</c:v>
                </c:pt>
                <c:pt idx="153">
                  <c:v>4.7</c:v>
                </c:pt>
                <c:pt idx="154">
                  <c:v>4.5999999999999996</c:v>
                </c:pt>
                <c:pt idx="155">
                  <c:v>4.7</c:v>
                </c:pt>
                <c:pt idx="156">
                  <c:v>4.5999999999999996</c:v>
                </c:pt>
                <c:pt idx="157">
                  <c:v>4.5999999999999996</c:v>
                </c:pt>
                <c:pt idx="158">
                  <c:v>4.7</c:v>
                </c:pt>
                <c:pt idx="159">
                  <c:v>4.3</c:v>
                </c:pt>
                <c:pt idx="160">
                  <c:v>4.4000000000000004</c:v>
                </c:pt>
                <c:pt idx="161">
                  <c:v>4.5</c:v>
                </c:pt>
                <c:pt idx="162">
                  <c:v>4.5</c:v>
                </c:pt>
                <c:pt idx="163">
                  <c:v>4.5</c:v>
                </c:pt>
                <c:pt idx="164">
                  <c:v>4.5999999999999996</c:v>
                </c:pt>
                <c:pt idx="165">
                  <c:v>4.5</c:v>
                </c:pt>
                <c:pt idx="166">
                  <c:v>4.4000000000000004</c:v>
                </c:pt>
                <c:pt idx="167">
                  <c:v>4.4000000000000004</c:v>
                </c:pt>
                <c:pt idx="168">
                  <c:v>4.3</c:v>
                </c:pt>
                <c:pt idx="169">
                  <c:v>4.4000000000000004</c:v>
                </c:pt>
                <c:pt idx="170">
                  <c:v>4.2</c:v>
                </c:pt>
                <c:pt idx="171">
                  <c:v>4.3</c:v>
                </c:pt>
                <c:pt idx="172">
                  <c:v>4.2</c:v>
                </c:pt>
                <c:pt idx="173">
                  <c:v>4.3</c:v>
                </c:pt>
                <c:pt idx="174">
                  <c:v>4.3</c:v>
                </c:pt>
                <c:pt idx="175">
                  <c:v>4.2</c:v>
                </c:pt>
                <c:pt idx="176">
                  <c:v>4.2</c:v>
                </c:pt>
                <c:pt idx="177">
                  <c:v>4.0999999999999996</c:v>
                </c:pt>
                <c:pt idx="178">
                  <c:v>4.0999999999999996</c:v>
                </c:pt>
                <c:pt idx="179">
                  <c:v>4</c:v>
                </c:pt>
                <c:pt idx="180">
                  <c:v>4</c:v>
                </c:pt>
                <c:pt idx="181">
                  <c:v>4.0999999999999996</c:v>
                </c:pt>
                <c:pt idx="182">
                  <c:v>4</c:v>
                </c:pt>
                <c:pt idx="183">
                  <c:v>3.8</c:v>
                </c:pt>
                <c:pt idx="184">
                  <c:v>4</c:v>
                </c:pt>
                <c:pt idx="185">
                  <c:v>4</c:v>
                </c:pt>
                <c:pt idx="186">
                  <c:v>4</c:v>
                </c:pt>
                <c:pt idx="187">
                  <c:v>4.0999999999999996</c:v>
                </c:pt>
                <c:pt idx="188">
                  <c:v>3.9</c:v>
                </c:pt>
                <c:pt idx="189">
                  <c:v>3.9</c:v>
                </c:pt>
                <c:pt idx="190">
                  <c:v>3.9</c:v>
                </c:pt>
                <c:pt idx="191">
                  <c:v>3.9</c:v>
                </c:pt>
                <c:pt idx="192">
                  <c:v>4.2</c:v>
                </c:pt>
                <c:pt idx="193">
                  <c:v>4.2</c:v>
                </c:pt>
                <c:pt idx="194">
                  <c:v>4.3</c:v>
                </c:pt>
                <c:pt idx="195">
                  <c:v>4.4000000000000004</c:v>
                </c:pt>
                <c:pt idx="196">
                  <c:v>4.3</c:v>
                </c:pt>
                <c:pt idx="197">
                  <c:v>4.5</c:v>
                </c:pt>
                <c:pt idx="198">
                  <c:v>4.5999999999999996</c:v>
                </c:pt>
                <c:pt idx="199">
                  <c:v>4.9000000000000004</c:v>
                </c:pt>
                <c:pt idx="200">
                  <c:v>5</c:v>
                </c:pt>
                <c:pt idx="201">
                  <c:v>5.3</c:v>
                </c:pt>
                <c:pt idx="202">
                  <c:v>5.5</c:v>
                </c:pt>
                <c:pt idx="203">
                  <c:v>5.7</c:v>
                </c:pt>
                <c:pt idx="204">
                  <c:v>5.7</c:v>
                </c:pt>
                <c:pt idx="205">
                  <c:v>5.7</c:v>
                </c:pt>
                <c:pt idx="206">
                  <c:v>5.7</c:v>
                </c:pt>
                <c:pt idx="207">
                  <c:v>5.9</c:v>
                </c:pt>
                <c:pt idx="208">
                  <c:v>5.8</c:v>
                </c:pt>
                <c:pt idx="209">
                  <c:v>5.8</c:v>
                </c:pt>
                <c:pt idx="210">
                  <c:v>5.8</c:v>
                </c:pt>
                <c:pt idx="211">
                  <c:v>5.7</c:v>
                </c:pt>
                <c:pt idx="212">
                  <c:v>5.7</c:v>
                </c:pt>
                <c:pt idx="213">
                  <c:v>5.7</c:v>
                </c:pt>
                <c:pt idx="214">
                  <c:v>5.9</c:v>
                </c:pt>
                <c:pt idx="215">
                  <c:v>6</c:v>
                </c:pt>
                <c:pt idx="216">
                  <c:v>5.8</c:v>
                </c:pt>
                <c:pt idx="217">
                  <c:v>5.9</c:v>
                </c:pt>
                <c:pt idx="218">
                  <c:v>5.9</c:v>
                </c:pt>
                <c:pt idx="219">
                  <c:v>6</c:v>
                </c:pt>
                <c:pt idx="220">
                  <c:v>6.1</c:v>
                </c:pt>
                <c:pt idx="221">
                  <c:v>6.3</c:v>
                </c:pt>
                <c:pt idx="222">
                  <c:v>6.2</c:v>
                </c:pt>
                <c:pt idx="223">
                  <c:v>6.1</c:v>
                </c:pt>
                <c:pt idx="224">
                  <c:v>6.1</c:v>
                </c:pt>
                <c:pt idx="225">
                  <c:v>6</c:v>
                </c:pt>
                <c:pt idx="226">
                  <c:v>5.8</c:v>
                </c:pt>
                <c:pt idx="227">
                  <c:v>5.7</c:v>
                </c:pt>
                <c:pt idx="228">
                  <c:v>5.7</c:v>
                </c:pt>
                <c:pt idx="229">
                  <c:v>5.6</c:v>
                </c:pt>
                <c:pt idx="230">
                  <c:v>5.8</c:v>
                </c:pt>
                <c:pt idx="231">
                  <c:v>5.6</c:v>
                </c:pt>
                <c:pt idx="232">
                  <c:v>5.6</c:v>
                </c:pt>
                <c:pt idx="233">
                  <c:v>5.6</c:v>
                </c:pt>
                <c:pt idx="234">
                  <c:v>5.5</c:v>
                </c:pt>
                <c:pt idx="235">
                  <c:v>5.4</c:v>
                </c:pt>
                <c:pt idx="236">
                  <c:v>5.4</c:v>
                </c:pt>
                <c:pt idx="237">
                  <c:v>5.5</c:v>
                </c:pt>
                <c:pt idx="238">
                  <c:v>5.4</c:v>
                </c:pt>
                <c:pt idx="239">
                  <c:v>5.4</c:v>
                </c:pt>
                <c:pt idx="240">
                  <c:v>5.3</c:v>
                </c:pt>
                <c:pt idx="241">
                  <c:v>5.4</c:v>
                </c:pt>
                <c:pt idx="242">
                  <c:v>5.2</c:v>
                </c:pt>
                <c:pt idx="243">
                  <c:v>5.2</c:v>
                </c:pt>
                <c:pt idx="244">
                  <c:v>5.0999999999999996</c:v>
                </c:pt>
                <c:pt idx="245">
                  <c:v>5</c:v>
                </c:pt>
                <c:pt idx="246">
                  <c:v>5</c:v>
                </c:pt>
                <c:pt idx="247">
                  <c:v>4.9000000000000004</c:v>
                </c:pt>
                <c:pt idx="248">
                  <c:v>5</c:v>
                </c:pt>
                <c:pt idx="249">
                  <c:v>5</c:v>
                </c:pt>
                <c:pt idx="250">
                  <c:v>5</c:v>
                </c:pt>
                <c:pt idx="251">
                  <c:v>4.9000000000000004</c:v>
                </c:pt>
                <c:pt idx="252">
                  <c:v>4.7</c:v>
                </c:pt>
                <c:pt idx="253">
                  <c:v>4.8</c:v>
                </c:pt>
                <c:pt idx="254">
                  <c:v>4.7</c:v>
                </c:pt>
                <c:pt idx="255">
                  <c:v>4.7</c:v>
                </c:pt>
                <c:pt idx="256">
                  <c:v>4.5999999999999996</c:v>
                </c:pt>
                <c:pt idx="257">
                  <c:v>4.5999999999999996</c:v>
                </c:pt>
                <c:pt idx="258">
                  <c:v>4.7</c:v>
                </c:pt>
                <c:pt idx="259">
                  <c:v>4.7</c:v>
                </c:pt>
                <c:pt idx="260">
                  <c:v>4.5</c:v>
                </c:pt>
                <c:pt idx="261">
                  <c:v>4.4000000000000004</c:v>
                </c:pt>
                <c:pt idx="262">
                  <c:v>4.5</c:v>
                </c:pt>
                <c:pt idx="263">
                  <c:v>4.4000000000000004</c:v>
                </c:pt>
                <c:pt idx="264">
                  <c:v>4.5999999999999996</c:v>
                </c:pt>
                <c:pt idx="265">
                  <c:v>4.5</c:v>
                </c:pt>
                <c:pt idx="266">
                  <c:v>4.4000000000000004</c:v>
                </c:pt>
                <c:pt idx="267">
                  <c:v>4.5</c:v>
                </c:pt>
                <c:pt idx="268">
                  <c:v>4.4000000000000004</c:v>
                </c:pt>
                <c:pt idx="269">
                  <c:v>4.5999999999999996</c:v>
                </c:pt>
                <c:pt idx="270">
                  <c:v>4.7</c:v>
                </c:pt>
                <c:pt idx="271">
                  <c:v>4.5999999999999996</c:v>
                </c:pt>
                <c:pt idx="272">
                  <c:v>4.7</c:v>
                </c:pt>
                <c:pt idx="273">
                  <c:v>4.7</c:v>
                </c:pt>
                <c:pt idx="274">
                  <c:v>4.7</c:v>
                </c:pt>
                <c:pt idx="275">
                  <c:v>5</c:v>
                </c:pt>
                <c:pt idx="276">
                  <c:v>5</c:v>
                </c:pt>
                <c:pt idx="277">
                  <c:v>4.9000000000000004</c:v>
                </c:pt>
                <c:pt idx="278">
                  <c:v>5.0999999999999996</c:v>
                </c:pt>
                <c:pt idx="279">
                  <c:v>5</c:v>
                </c:pt>
                <c:pt idx="280">
                  <c:v>5.4</c:v>
                </c:pt>
                <c:pt idx="281">
                  <c:v>5.6</c:v>
                </c:pt>
                <c:pt idx="282">
                  <c:v>5.8</c:v>
                </c:pt>
                <c:pt idx="283">
                  <c:v>6.1</c:v>
                </c:pt>
                <c:pt idx="284">
                  <c:v>6.1</c:v>
                </c:pt>
                <c:pt idx="285">
                  <c:v>6.5</c:v>
                </c:pt>
                <c:pt idx="286">
                  <c:v>6.8</c:v>
                </c:pt>
                <c:pt idx="287">
                  <c:v>7.3</c:v>
                </c:pt>
                <c:pt idx="288">
                  <c:v>7.8</c:v>
                </c:pt>
                <c:pt idx="289">
                  <c:v>8.3000000000000007</c:v>
                </c:pt>
                <c:pt idx="290">
                  <c:v>8.6999999999999993</c:v>
                </c:pt>
                <c:pt idx="291">
                  <c:v>9</c:v>
                </c:pt>
                <c:pt idx="292">
                  <c:v>9.4</c:v>
                </c:pt>
                <c:pt idx="293">
                  <c:v>9.5</c:v>
                </c:pt>
                <c:pt idx="294">
                  <c:v>9.5</c:v>
                </c:pt>
                <c:pt idx="295">
                  <c:v>9.6</c:v>
                </c:pt>
                <c:pt idx="296">
                  <c:v>9.8000000000000007</c:v>
                </c:pt>
                <c:pt idx="297">
                  <c:v>10</c:v>
                </c:pt>
                <c:pt idx="298">
                  <c:v>9.9</c:v>
                </c:pt>
                <c:pt idx="299">
                  <c:v>9.9</c:v>
                </c:pt>
                <c:pt idx="300">
                  <c:v>9.8000000000000007</c:v>
                </c:pt>
                <c:pt idx="301">
                  <c:v>9.8000000000000007</c:v>
                </c:pt>
                <c:pt idx="302">
                  <c:v>9.9</c:v>
                </c:pt>
                <c:pt idx="303">
                  <c:v>9.9</c:v>
                </c:pt>
                <c:pt idx="304">
                  <c:v>9.6</c:v>
                </c:pt>
                <c:pt idx="305">
                  <c:v>9.4</c:v>
                </c:pt>
                <c:pt idx="306">
                  <c:v>9.4</c:v>
                </c:pt>
                <c:pt idx="307">
                  <c:v>9.5</c:v>
                </c:pt>
                <c:pt idx="308">
                  <c:v>9.5</c:v>
                </c:pt>
                <c:pt idx="309">
                  <c:v>9.4</c:v>
                </c:pt>
                <c:pt idx="310">
                  <c:v>9.8000000000000007</c:v>
                </c:pt>
                <c:pt idx="311">
                  <c:v>9.3000000000000007</c:v>
                </c:pt>
                <c:pt idx="312">
                  <c:v>9.1</c:v>
                </c:pt>
                <c:pt idx="313">
                  <c:v>9</c:v>
                </c:pt>
                <c:pt idx="314">
                  <c:v>9</c:v>
                </c:pt>
                <c:pt idx="315">
                  <c:v>9.1</c:v>
                </c:pt>
                <c:pt idx="316">
                  <c:v>9</c:v>
                </c:pt>
                <c:pt idx="317">
                  <c:v>9.1</c:v>
                </c:pt>
                <c:pt idx="318">
                  <c:v>9</c:v>
                </c:pt>
                <c:pt idx="319">
                  <c:v>9</c:v>
                </c:pt>
                <c:pt idx="320">
                  <c:v>9</c:v>
                </c:pt>
                <c:pt idx="321">
                  <c:v>8.8000000000000007</c:v>
                </c:pt>
                <c:pt idx="322">
                  <c:v>8.6</c:v>
                </c:pt>
                <c:pt idx="323">
                  <c:v>8.5</c:v>
                </c:pt>
                <c:pt idx="324">
                  <c:v>8.3000000000000007</c:v>
                </c:pt>
                <c:pt idx="325">
                  <c:v>8.3000000000000007</c:v>
                </c:pt>
                <c:pt idx="326">
                  <c:v>8.1999999999999993</c:v>
                </c:pt>
                <c:pt idx="327">
                  <c:v>8.1999999999999993</c:v>
                </c:pt>
                <c:pt idx="328">
                  <c:v>8.1999999999999993</c:v>
                </c:pt>
                <c:pt idx="329">
                  <c:v>8.1999999999999993</c:v>
                </c:pt>
                <c:pt idx="330">
                  <c:v>8.1999999999999993</c:v>
                </c:pt>
                <c:pt idx="331">
                  <c:v>8.1</c:v>
                </c:pt>
                <c:pt idx="332">
                  <c:v>7.8</c:v>
                </c:pt>
                <c:pt idx="333">
                  <c:v>7.8</c:v>
                </c:pt>
                <c:pt idx="334">
                  <c:v>7.7</c:v>
                </c:pt>
                <c:pt idx="335">
                  <c:v>7.9</c:v>
                </c:pt>
                <c:pt idx="336">
                  <c:v>8</c:v>
                </c:pt>
                <c:pt idx="337">
                  <c:v>7.7</c:v>
                </c:pt>
                <c:pt idx="338">
                  <c:v>7.5</c:v>
                </c:pt>
                <c:pt idx="339">
                  <c:v>7.6</c:v>
                </c:pt>
                <c:pt idx="340">
                  <c:v>7.5</c:v>
                </c:pt>
                <c:pt idx="341">
                  <c:v>7.5</c:v>
                </c:pt>
                <c:pt idx="342">
                  <c:v>7.3</c:v>
                </c:pt>
                <c:pt idx="343">
                  <c:v>7.2</c:v>
                </c:pt>
                <c:pt idx="344">
                  <c:v>7.2</c:v>
                </c:pt>
                <c:pt idx="345">
                  <c:v>7.2</c:v>
                </c:pt>
                <c:pt idx="346">
                  <c:v>6.9</c:v>
                </c:pt>
                <c:pt idx="347">
                  <c:v>6.7</c:v>
                </c:pt>
                <c:pt idx="348">
                  <c:v>6.6</c:v>
                </c:pt>
                <c:pt idx="349">
                  <c:v>6.7</c:v>
                </c:pt>
                <c:pt idx="350">
                  <c:v>6.7</c:v>
                </c:pt>
                <c:pt idx="351">
                  <c:v>6.2</c:v>
                </c:pt>
                <c:pt idx="352">
                  <c:v>6.3</c:v>
                </c:pt>
                <c:pt idx="353">
                  <c:v>6.1</c:v>
                </c:pt>
                <c:pt idx="354">
                  <c:v>6.2</c:v>
                </c:pt>
                <c:pt idx="355">
                  <c:v>6.1</c:v>
                </c:pt>
                <c:pt idx="356">
                  <c:v>5.9</c:v>
                </c:pt>
                <c:pt idx="357">
                  <c:v>5.7</c:v>
                </c:pt>
                <c:pt idx="358">
                  <c:v>5.8</c:v>
                </c:pt>
                <c:pt idx="359">
                  <c:v>5.6</c:v>
                </c:pt>
                <c:pt idx="360">
                  <c:v>5.7</c:v>
                </c:pt>
                <c:pt idx="361">
                  <c:v>5.5</c:v>
                </c:pt>
                <c:pt idx="362">
                  <c:v>5.4</c:v>
                </c:pt>
                <c:pt idx="363">
                  <c:v>5.4</c:v>
                </c:pt>
                <c:pt idx="364">
                  <c:v>5.6</c:v>
                </c:pt>
                <c:pt idx="365">
                  <c:v>5.3</c:v>
                </c:pt>
                <c:pt idx="366">
                  <c:v>5.2</c:v>
                </c:pt>
                <c:pt idx="367">
                  <c:v>5.0999999999999996</c:v>
                </c:pt>
                <c:pt idx="368">
                  <c:v>5</c:v>
                </c:pt>
                <c:pt idx="369">
                  <c:v>5</c:v>
                </c:pt>
                <c:pt idx="370">
                  <c:v>5.0999999999999996</c:v>
                </c:pt>
                <c:pt idx="371">
                  <c:v>5</c:v>
                </c:pt>
                <c:pt idx="372">
                  <c:v>4.8</c:v>
                </c:pt>
                <c:pt idx="373">
                  <c:v>4.9000000000000004</c:v>
                </c:pt>
                <c:pt idx="374">
                  <c:v>5</c:v>
                </c:pt>
                <c:pt idx="375">
                  <c:v>5.0999999999999996</c:v>
                </c:pt>
                <c:pt idx="376">
                  <c:v>4.8</c:v>
                </c:pt>
                <c:pt idx="377">
                  <c:v>4.9000000000000004</c:v>
                </c:pt>
                <c:pt idx="378">
                  <c:v>4.8</c:v>
                </c:pt>
                <c:pt idx="379">
                  <c:v>4.9000000000000004</c:v>
                </c:pt>
                <c:pt idx="380">
                  <c:v>5</c:v>
                </c:pt>
                <c:pt idx="381">
                  <c:v>4.9000000000000004</c:v>
                </c:pt>
                <c:pt idx="382">
                  <c:v>4.7</c:v>
                </c:pt>
                <c:pt idx="383">
                  <c:v>4.7</c:v>
                </c:pt>
                <c:pt idx="384">
                  <c:v>4.7</c:v>
                </c:pt>
                <c:pt idx="385">
                  <c:v>4.5999999999999996</c:v>
                </c:pt>
                <c:pt idx="386">
                  <c:v>4.4000000000000004</c:v>
                </c:pt>
                <c:pt idx="387">
                  <c:v>4.4000000000000004</c:v>
                </c:pt>
                <c:pt idx="388">
                  <c:v>4.4000000000000004</c:v>
                </c:pt>
                <c:pt idx="389">
                  <c:v>4.3</c:v>
                </c:pt>
                <c:pt idx="390">
                  <c:v>4.3</c:v>
                </c:pt>
                <c:pt idx="391">
                  <c:v>4.4000000000000004</c:v>
                </c:pt>
                <c:pt idx="392">
                  <c:v>4.3</c:v>
                </c:pt>
                <c:pt idx="393">
                  <c:v>4.2</c:v>
                </c:pt>
                <c:pt idx="394">
                  <c:v>4.2</c:v>
                </c:pt>
                <c:pt idx="395">
                  <c:v>4.0999999999999996</c:v>
                </c:pt>
                <c:pt idx="396">
                  <c:v>4</c:v>
                </c:pt>
                <c:pt idx="397">
                  <c:v>4.0999999999999996</c:v>
                </c:pt>
                <c:pt idx="398">
                  <c:v>4</c:v>
                </c:pt>
                <c:pt idx="399">
                  <c:v>4</c:v>
                </c:pt>
                <c:pt idx="400">
                  <c:v>3.8</c:v>
                </c:pt>
                <c:pt idx="401">
                  <c:v>4</c:v>
                </c:pt>
                <c:pt idx="402">
                  <c:v>3.8</c:v>
                </c:pt>
                <c:pt idx="403">
                  <c:v>3.8</c:v>
                </c:pt>
                <c:pt idx="404">
                  <c:v>3.7</c:v>
                </c:pt>
                <c:pt idx="405">
                  <c:v>3.8</c:v>
                </c:pt>
                <c:pt idx="406">
                  <c:v>3.8</c:v>
                </c:pt>
                <c:pt idx="407">
                  <c:v>3.9</c:v>
                </c:pt>
                <c:pt idx="408">
                  <c:v>4</c:v>
                </c:pt>
                <c:pt idx="409">
                  <c:v>3.8</c:v>
                </c:pt>
                <c:pt idx="410">
                  <c:v>3.8</c:v>
                </c:pt>
                <c:pt idx="411">
                  <c:v>3.6</c:v>
                </c:pt>
                <c:pt idx="412">
                  <c:v>3.7</c:v>
                </c:pt>
                <c:pt idx="413">
                  <c:v>3.6</c:v>
                </c:pt>
                <c:pt idx="414">
                  <c:v>3.7</c:v>
                </c:pt>
                <c:pt idx="415">
                  <c:v>3.7</c:v>
                </c:pt>
                <c:pt idx="416">
                  <c:v>3.5</c:v>
                </c:pt>
                <c:pt idx="417">
                  <c:v>3.6</c:v>
                </c:pt>
                <c:pt idx="418">
                  <c:v>3.6</c:v>
                </c:pt>
                <c:pt idx="419">
                  <c:v>3.6</c:v>
                </c:pt>
                <c:pt idx="420">
                  <c:v>3.5</c:v>
                </c:pt>
                <c:pt idx="421">
                  <c:v>3.5</c:v>
                </c:pt>
                <c:pt idx="422">
                  <c:v>4.4000000000000004</c:v>
                </c:pt>
                <c:pt idx="423">
                  <c:v>14.7</c:v>
                </c:pt>
                <c:pt idx="424">
                  <c:v>13.2</c:v>
                </c:pt>
                <c:pt idx="425">
                  <c:v>11</c:v>
                </c:pt>
                <c:pt idx="426">
                  <c:v>10.199999999999999</c:v>
                </c:pt>
                <c:pt idx="427">
                  <c:v>8.4</c:v>
                </c:pt>
                <c:pt idx="428">
                  <c:v>7.9</c:v>
                </c:pt>
                <c:pt idx="429">
                  <c:v>6.9</c:v>
                </c:pt>
                <c:pt idx="430">
                  <c:v>6.7</c:v>
                </c:pt>
                <c:pt idx="431">
                  <c:v>6.7</c:v>
                </c:pt>
                <c:pt idx="432">
                  <c:v>6.3</c:v>
                </c:pt>
                <c:pt idx="433">
                  <c:v>6.2</c:v>
                </c:pt>
                <c:pt idx="434">
                  <c:v>6.1</c:v>
                </c:pt>
                <c:pt idx="435">
                  <c:v>6.1</c:v>
                </c:pt>
                <c:pt idx="436">
                  <c:v>5.8</c:v>
                </c:pt>
                <c:pt idx="437">
                  <c:v>5.9</c:v>
                </c:pt>
                <c:pt idx="438">
                  <c:v>5.4</c:v>
                </c:pt>
                <c:pt idx="439">
                  <c:v>5.2</c:v>
                </c:pt>
                <c:pt idx="440">
                  <c:v>4.8</c:v>
                </c:pt>
                <c:pt idx="441">
                  <c:v>4.5</c:v>
                </c:pt>
                <c:pt idx="442">
                  <c:v>4.2</c:v>
                </c:pt>
                <c:pt idx="443">
                  <c:v>3.9</c:v>
                </c:pt>
                <c:pt idx="444">
                  <c:v>4</c:v>
                </c:pt>
                <c:pt idx="445">
                  <c:v>3.8</c:v>
                </c:pt>
                <c:pt idx="446">
                  <c:v>3.6</c:v>
                </c:pt>
                <c:pt idx="447">
                  <c:v>3.6</c:v>
                </c:pt>
                <c:pt idx="448">
                  <c:v>3.6</c:v>
                </c:pt>
                <c:pt idx="449">
                  <c:v>3.6</c:v>
                </c:pt>
                <c:pt idx="450">
                  <c:v>3.5</c:v>
                </c:pt>
                <c:pt idx="451">
                  <c:v>3.7</c:v>
                </c:pt>
                <c:pt idx="452">
                  <c:v>3.5</c:v>
                </c:pt>
                <c:pt idx="453">
                  <c:v>3.7</c:v>
                </c:pt>
                <c:pt idx="454">
                  <c:v>3.6</c:v>
                </c:pt>
                <c:pt idx="455">
                  <c:v>3.5</c:v>
                </c:pt>
                <c:pt idx="456">
                  <c:v>3.4</c:v>
                </c:pt>
                <c:pt idx="457">
                  <c:v>3.6</c:v>
                </c:pt>
                <c:pt idx="458">
                  <c:v>3.5</c:v>
                </c:pt>
                <c:pt idx="459">
                  <c:v>3.4</c:v>
                </c:pt>
                <c:pt idx="460">
                  <c:v>3.7</c:v>
                </c:pt>
                <c:pt idx="461">
                  <c:v>3.6</c:v>
                </c:pt>
                <c:pt idx="462">
                  <c:v>3.5</c:v>
                </c:pt>
                <c:pt idx="463">
                  <c:v>3.8</c:v>
                </c:pt>
                <c:pt idx="464">
                  <c:v>3.8</c:v>
                </c:pt>
                <c:pt idx="465">
                  <c:v>3.9</c:v>
                </c:pt>
                <c:pt idx="466">
                  <c:v>3.7</c:v>
                </c:pt>
                <c:pt idx="467">
                  <c:v>3.7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79-426F-AA38-4791E062E3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12707952"/>
        <c:axId val="1515044576"/>
      </c:lineChart>
      <c:dateAx>
        <c:axId val="1228998512"/>
        <c:scaling>
          <c:orientation val="minMax"/>
        </c:scaling>
        <c:delete val="0"/>
        <c:axPos val="t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axMin"/>
          <c:max val="9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515044576"/>
        <c:scaling>
          <c:orientation val="minMax"/>
          <c:max val="11"/>
          <c:min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12707952"/>
        <c:crosses val="max"/>
        <c:crossBetween val="between"/>
      </c:valAx>
      <c:dateAx>
        <c:axId val="151270795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515044576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'Economic Activity'!$G$2</c:f>
              <c:strCache>
                <c:ptCount val="1"/>
                <c:pt idx="0">
                  <c:v>Industrial Production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Activity'!$A$495:$A$554</c:f>
              <c:numCache>
                <c:formatCode>[$-416]mmm\-yy;@</c:formatCode>
                <c:ptCount val="60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</c:numCache>
            </c:numRef>
          </c:cat>
          <c:val>
            <c:numRef>
              <c:f>'Economic Activity'!$G$495:$G$554</c:f>
              <c:numCache>
                <c:formatCode>0.00%</c:formatCode>
                <c:ptCount val="60"/>
                <c:pt idx="0">
                  <c:v>1.9518925694741007E-2</c:v>
                </c:pt>
                <c:pt idx="1">
                  <c:v>1.0451468865706914E-2</c:v>
                </c:pt>
                <c:pt idx="2">
                  <c:v>5.7167112821179256E-3</c:v>
                </c:pt>
                <c:pt idx="3">
                  <c:v>-1.0631195160372697E-2</c:v>
                </c:pt>
                <c:pt idx="4">
                  <c:v>2.7443791501413628E-4</c:v>
                </c:pt>
                <c:pt idx="5">
                  <c:v>-6.8134862644924077E-3</c:v>
                </c:pt>
                <c:pt idx="6">
                  <c:v>-1.2675475693241456E-2</c:v>
                </c:pt>
                <c:pt idx="7">
                  <c:v>-1.2541230026316019E-2</c:v>
                </c:pt>
                <c:pt idx="8">
                  <c:v>-1.5238464781819894E-2</c:v>
                </c:pt>
                <c:pt idx="9">
                  <c:v>-2.2489000834137518E-2</c:v>
                </c:pt>
                <c:pt idx="10">
                  <c:v>-1.78143031729594E-2</c:v>
                </c:pt>
                <c:pt idx="11">
                  <c:v>-2.0295284562852345E-2</c:v>
                </c:pt>
                <c:pt idx="12">
                  <c:v>-1.9310651717566518E-2</c:v>
                </c:pt>
                <c:pt idx="13">
                  <c:v>-1.1632882488631702E-2</c:v>
                </c:pt>
                <c:pt idx="14">
                  <c:v>-5.0194206670128749E-2</c:v>
                </c:pt>
                <c:pt idx="15">
                  <c:v>-0.17262130054250391</c:v>
                </c:pt>
                <c:pt idx="16">
                  <c:v>-0.16057536086983693</c:v>
                </c:pt>
                <c:pt idx="17">
                  <c:v>-0.10661405629660847</c:v>
                </c:pt>
                <c:pt idx="18">
                  <c:v>-6.8701751359489416E-2</c:v>
                </c:pt>
                <c:pt idx="19">
                  <c:v>-6.7013117925106669E-2</c:v>
                </c:pt>
                <c:pt idx="20">
                  <c:v>-6.5219956793765799E-2</c:v>
                </c:pt>
                <c:pt idx="21">
                  <c:v>-5.0914251856751136E-2</c:v>
                </c:pt>
                <c:pt idx="22">
                  <c:v>-5.1803265849551638E-2</c:v>
                </c:pt>
                <c:pt idx="23">
                  <c:v>-3.8363236622040775E-2</c:v>
                </c:pt>
                <c:pt idx="24">
                  <c:v>-2.5579817078463685E-2</c:v>
                </c:pt>
                <c:pt idx="25">
                  <c:v>-6.1580392195448308E-2</c:v>
                </c:pt>
                <c:pt idx="26">
                  <c:v>4.7907588217948049E-3</c:v>
                </c:pt>
                <c:pt idx="27">
                  <c:v>0.1618326223227764</c:v>
                </c:pt>
                <c:pt idx="28">
                  <c:v>0.15327567195358549</c:v>
                </c:pt>
                <c:pt idx="29">
                  <c:v>8.6794266211604132E-2</c:v>
                </c:pt>
                <c:pt idx="30">
                  <c:v>5.3767639431496761E-2</c:v>
                </c:pt>
                <c:pt idx="31">
                  <c:v>4.4191093576783969E-2</c:v>
                </c:pt>
                <c:pt idx="32">
                  <c:v>3.3564819645174993E-2</c:v>
                </c:pt>
                <c:pt idx="33">
                  <c:v>4.0188034329850408E-2</c:v>
                </c:pt>
                <c:pt idx="34">
                  <c:v>4.4815830445897431E-2</c:v>
                </c:pt>
                <c:pt idx="35">
                  <c:v>2.9707457178026253E-2</c:v>
                </c:pt>
                <c:pt idx="36">
                  <c:v>2.2666717957231741E-2</c:v>
                </c:pt>
                <c:pt idx="37">
                  <c:v>6.6078528410139503E-2</c:v>
                </c:pt>
                <c:pt idx="38">
                  <c:v>4.4254298411068094E-2</c:v>
                </c:pt>
                <c:pt idx="39">
                  <c:v>4.5851706098164025E-2</c:v>
                </c:pt>
                <c:pt idx="40">
                  <c:v>3.6571565736231992E-2</c:v>
                </c:pt>
                <c:pt idx="41">
                  <c:v>3.1923553104423963E-2</c:v>
                </c:pt>
                <c:pt idx="42">
                  <c:v>3.005999614474586E-2</c:v>
                </c:pt>
                <c:pt idx="43">
                  <c:v>3.1050032209576806E-2</c:v>
                </c:pt>
                <c:pt idx="44">
                  <c:v>4.5092235724510266E-2</c:v>
                </c:pt>
                <c:pt idx="45">
                  <c:v>3.0974682093026784E-2</c:v>
                </c:pt>
                <c:pt idx="46">
                  <c:v>1.8514364542066897E-2</c:v>
                </c:pt>
                <c:pt idx="47">
                  <c:v>5.9354122474872817E-3</c:v>
                </c:pt>
                <c:pt idx="48">
                  <c:v>1.5096607000208762E-2</c:v>
                </c:pt>
                <c:pt idx="49">
                  <c:v>8.7581606780715582E-3</c:v>
                </c:pt>
                <c:pt idx="50">
                  <c:v>1.7681843907961792E-3</c:v>
                </c:pt>
                <c:pt idx="51">
                  <c:v>3.4622205489940328E-3</c:v>
                </c:pt>
                <c:pt idx="52">
                  <c:v>1.4312554669386746E-3</c:v>
                </c:pt>
                <c:pt idx="53">
                  <c:v>-3.759995247662018E-3</c:v>
                </c:pt>
                <c:pt idx="54">
                  <c:v>8.1254460268698203E-4</c:v>
                </c:pt>
                <c:pt idx="55">
                  <c:v>-1.8017250063928625E-4</c:v>
                </c:pt>
                <c:pt idx="56">
                  <c:v>-1.8439402559493612E-3</c:v>
                </c:pt>
                <c:pt idx="57">
                  <c:v>-9.5975878868287401E-3</c:v>
                </c:pt>
                <c:pt idx="58">
                  <c:v>-3.9351629512558439E-3</c:v>
                </c:pt>
                <c:pt idx="59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BE-4BA7-9950-F4F7A7000D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1"/>
          <c:min val="-0.1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2"/>
          <c:order val="0"/>
          <c:tx>
            <c:strRef>
              <c:f>'Economic Activity'!$E$2</c:f>
              <c:strCache>
                <c:ptCount val="1"/>
                <c:pt idx="0">
                  <c:v>Industrial Production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'Economic Activity'!$A$267:$A$554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'Economic Activity'!$E$267:$E$554</c:f>
              <c:numCache>
                <c:formatCode>0.00</c:formatCode>
                <c:ptCount val="288"/>
                <c:pt idx="0">
                  <c:v>91.4251</c:v>
                </c:pt>
                <c:pt idx="1">
                  <c:v>91.735699999999994</c:v>
                </c:pt>
                <c:pt idx="2">
                  <c:v>92.093299999999999</c:v>
                </c:pt>
                <c:pt idx="3">
                  <c:v>92.683800000000005</c:v>
                </c:pt>
                <c:pt idx="4">
                  <c:v>92.937600000000003</c:v>
                </c:pt>
                <c:pt idx="5">
                  <c:v>93.007599999999996</c:v>
                </c:pt>
                <c:pt idx="6">
                  <c:v>92.845799999999997</c:v>
                </c:pt>
                <c:pt idx="7">
                  <c:v>92.597200000000001</c:v>
                </c:pt>
                <c:pt idx="8">
                  <c:v>92.965299999999999</c:v>
                </c:pt>
                <c:pt idx="9">
                  <c:v>92.641800000000003</c:v>
                </c:pt>
                <c:pt idx="10">
                  <c:v>92.661799999999999</c:v>
                </c:pt>
                <c:pt idx="11">
                  <c:v>92.3459</c:v>
                </c:pt>
                <c:pt idx="12">
                  <c:v>91.890299999999996</c:v>
                </c:pt>
                <c:pt idx="13">
                  <c:v>91.291499999999999</c:v>
                </c:pt>
                <c:pt idx="14">
                  <c:v>91.052599999999998</c:v>
                </c:pt>
                <c:pt idx="15">
                  <c:v>90.729299999999995</c:v>
                </c:pt>
                <c:pt idx="16">
                  <c:v>90.2577</c:v>
                </c:pt>
                <c:pt idx="17">
                  <c:v>89.767700000000005</c:v>
                </c:pt>
                <c:pt idx="18">
                  <c:v>89.225999999999999</c:v>
                </c:pt>
                <c:pt idx="19">
                  <c:v>89.132599999999996</c:v>
                </c:pt>
                <c:pt idx="20">
                  <c:v>88.667900000000003</c:v>
                </c:pt>
                <c:pt idx="21">
                  <c:v>88.392600000000002</c:v>
                </c:pt>
                <c:pt idx="22">
                  <c:v>87.877399999999994</c:v>
                </c:pt>
                <c:pt idx="23">
                  <c:v>87.834400000000002</c:v>
                </c:pt>
                <c:pt idx="24">
                  <c:v>88.466499999999996</c:v>
                </c:pt>
                <c:pt idx="25">
                  <c:v>88.466099999999997</c:v>
                </c:pt>
                <c:pt idx="26">
                  <c:v>89.122799999999998</c:v>
                </c:pt>
                <c:pt idx="27">
                  <c:v>89.553200000000004</c:v>
                </c:pt>
                <c:pt idx="28">
                  <c:v>89.933999999999997</c:v>
                </c:pt>
                <c:pt idx="29">
                  <c:v>90.676900000000003</c:v>
                </c:pt>
                <c:pt idx="30">
                  <c:v>90.645499999999998</c:v>
                </c:pt>
                <c:pt idx="31">
                  <c:v>90.547499999999999</c:v>
                </c:pt>
                <c:pt idx="32">
                  <c:v>90.638099999999994</c:v>
                </c:pt>
                <c:pt idx="33">
                  <c:v>90.4041</c:v>
                </c:pt>
                <c:pt idx="34">
                  <c:v>90.898499999999999</c:v>
                </c:pt>
                <c:pt idx="35">
                  <c:v>90.388999999999996</c:v>
                </c:pt>
                <c:pt idx="36">
                  <c:v>91.135499999999993</c:v>
                </c:pt>
                <c:pt idx="37">
                  <c:v>91.250200000000007</c:v>
                </c:pt>
                <c:pt idx="38">
                  <c:v>91.005899999999997</c:v>
                </c:pt>
                <c:pt idx="39">
                  <c:v>90.428100000000001</c:v>
                </c:pt>
                <c:pt idx="40">
                  <c:v>90.407300000000006</c:v>
                </c:pt>
                <c:pt idx="41">
                  <c:v>90.521799999999999</c:v>
                </c:pt>
                <c:pt idx="42">
                  <c:v>90.989599999999996</c:v>
                </c:pt>
                <c:pt idx="43">
                  <c:v>90.785799999999995</c:v>
                </c:pt>
                <c:pt idx="44">
                  <c:v>91.382900000000006</c:v>
                </c:pt>
                <c:pt idx="45">
                  <c:v>91.500500000000002</c:v>
                </c:pt>
                <c:pt idx="46">
                  <c:v>92.126499999999993</c:v>
                </c:pt>
                <c:pt idx="47">
                  <c:v>92.172200000000004</c:v>
                </c:pt>
                <c:pt idx="48">
                  <c:v>92.326999999999998</c:v>
                </c:pt>
                <c:pt idx="49">
                  <c:v>92.887299999999996</c:v>
                </c:pt>
                <c:pt idx="50">
                  <c:v>92.532499999999999</c:v>
                </c:pt>
                <c:pt idx="51">
                  <c:v>92.909599999999998</c:v>
                </c:pt>
                <c:pt idx="52">
                  <c:v>93.583799999999997</c:v>
                </c:pt>
                <c:pt idx="53">
                  <c:v>92.862099999999998</c:v>
                </c:pt>
                <c:pt idx="54">
                  <c:v>93.551100000000005</c:v>
                </c:pt>
                <c:pt idx="55">
                  <c:v>93.632800000000003</c:v>
                </c:pt>
                <c:pt idx="56">
                  <c:v>93.741799999999998</c:v>
                </c:pt>
                <c:pt idx="57">
                  <c:v>94.567099999999996</c:v>
                </c:pt>
                <c:pt idx="58">
                  <c:v>94.8</c:v>
                </c:pt>
                <c:pt idx="59">
                  <c:v>95.542599999999993</c:v>
                </c:pt>
                <c:pt idx="60">
                  <c:v>95.883099999999999</c:v>
                </c:pt>
                <c:pt idx="61">
                  <c:v>96.561599999999999</c:v>
                </c:pt>
                <c:pt idx="62">
                  <c:v>96.437100000000001</c:v>
                </c:pt>
                <c:pt idx="63">
                  <c:v>96.628</c:v>
                </c:pt>
                <c:pt idx="64">
                  <c:v>96.730599999999995</c:v>
                </c:pt>
                <c:pt idx="65">
                  <c:v>97.148799999999994</c:v>
                </c:pt>
                <c:pt idx="66">
                  <c:v>96.838300000000004</c:v>
                </c:pt>
                <c:pt idx="67">
                  <c:v>97.160300000000007</c:v>
                </c:pt>
                <c:pt idx="68">
                  <c:v>95.272900000000007</c:v>
                </c:pt>
                <c:pt idx="69">
                  <c:v>96.438299999999998</c:v>
                </c:pt>
                <c:pt idx="70">
                  <c:v>97.495099999999994</c:v>
                </c:pt>
                <c:pt idx="71">
                  <c:v>97.978800000000007</c:v>
                </c:pt>
                <c:pt idx="72">
                  <c:v>98.130499999999998</c:v>
                </c:pt>
                <c:pt idx="73">
                  <c:v>98.177899999999994</c:v>
                </c:pt>
                <c:pt idx="74">
                  <c:v>98.389799999999994</c:v>
                </c:pt>
                <c:pt idx="75">
                  <c:v>98.676900000000003</c:v>
                </c:pt>
                <c:pt idx="76">
                  <c:v>98.705200000000005</c:v>
                </c:pt>
                <c:pt idx="77">
                  <c:v>99.042699999999996</c:v>
                </c:pt>
                <c:pt idx="78">
                  <c:v>98.980400000000003</c:v>
                </c:pt>
                <c:pt idx="79">
                  <c:v>99.410600000000002</c:v>
                </c:pt>
                <c:pt idx="80">
                  <c:v>99.220699999999994</c:v>
                </c:pt>
                <c:pt idx="81">
                  <c:v>99.125299999999996</c:v>
                </c:pt>
                <c:pt idx="82">
                  <c:v>99.096900000000005</c:v>
                </c:pt>
                <c:pt idx="83">
                  <c:v>100.1122</c:v>
                </c:pt>
                <c:pt idx="84">
                  <c:v>99.757099999999994</c:v>
                </c:pt>
                <c:pt idx="85">
                  <c:v>100.72750000000001</c:v>
                </c:pt>
                <c:pt idx="86">
                  <c:v>100.9023</c:v>
                </c:pt>
                <c:pt idx="87">
                  <c:v>101.5874</c:v>
                </c:pt>
                <c:pt idx="88">
                  <c:v>101.62990000000001</c:v>
                </c:pt>
                <c:pt idx="89">
                  <c:v>101.6482</c:v>
                </c:pt>
                <c:pt idx="90">
                  <c:v>101.49250000000001</c:v>
                </c:pt>
                <c:pt idx="91">
                  <c:v>101.6874</c:v>
                </c:pt>
                <c:pt idx="92">
                  <c:v>101.93980000000001</c:v>
                </c:pt>
                <c:pt idx="93">
                  <c:v>101.6345</c:v>
                </c:pt>
                <c:pt idx="94">
                  <c:v>102.2068</c:v>
                </c:pt>
                <c:pt idx="95">
                  <c:v>102.2604</c:v>
                </c:pt>
                <c:pt idx="96">
                  <c:v>102.14</c:v>
                </c:pt>
                <c:pt idx="97">
                  <c:v>101.7671</c:v>
                </c:pt>
                <c:pt idx="98">
                  <c:v>101.4355</c:v>
                </c:pt>
                <c:pt idx="99">
                  <c:v>100.7424</c:v>
                </c:pt>
                <c:pt idx="100">
                  <c:v>100.13200000000001</c:v>
                </c:pt>
                <c:pt idx="101">
                  <c:v>99.865099999999998</c:v>
                </c:pt>
                <c:pt idx="102">
                  <c:v>99.421400000000006</c:v>
                </c:pt>
                <c:pt idx="103">
                  <c:v>97.844800000000006</c:v>
                </c:pt>
                <c:pt idx="104">
                  <c:v>93.558999999999997</c:v>
                </c:pt>
                <c:pt idx="105">
                  <c:v>94.495599999999996</c:v>
                </c:pt>
                <c:pt idx="106">
                  <c:v>93.268900000000002</c:v>
                </c:pt>
                <c:pt idx="107">
                  <c:v>90.628</c:v>
                </c:pt>
                <c:pt idx="108">
                  <c:v>88.381100000000004</c:v>
                </c:pt>
                <c:pt idx="109">
                  <c:v>87.841200000000001</c:v>
                </c:pt>
                <c:pt idx="110">
                  <c:v>86.479399999999998</c:v>
                </c:pt>
                <c:pt idx="111">
                  <c:v>85.788300000000007</c:v>
                </c:pt>
                <c:pt idx="112">
                  <c:v>84.951599999999999</c:v>
                </c:pt>
                <c:pt idx="113">
                  <c:v>84.692800000000005</c:v>
                </c:pt>
                <c:pt idx="114">
                  <c:v>85.704400000000007</c:v>
                </c:pt>
                <c:pt idx="115">
                  <c:v>86.661699999999996</c:v>
                </c:pt>
                <c:pt idx="116">
                  <c:v>87.403300000000002</c:v>
                </c:pt>
                <c:pt idx="117">
                  <c:v>87.603499999999997</c:v>
                </c:pt>
                <c:pt idx="118">
                  <c:v>87.9559</c:v>
                </c:pt>
                <c:pt idx="119">
                  <c:v>88.246799999999993</c:v>
                </c:pt>
                <c:pt idx="120">
                  <c:v>89.191100000000006</c:v>
                </c:pt>
                <c:pt idx="121">
                  <c:v>89.497200000000007</c:v>
                </c:pt>
                <c:pt idx="122">
                  <c:v>90.141900000000007</c:v>
                </c:pt>
                <c:pt idx="123">
                  <c:v>90.459100000000007</c:v>
                </c:pt>
                <c:pt idx="124">
                  <c:v>91.701999999999998</c:v>
                </c:pt>
                <c:pt idx="125">
                  <c:v>91.899699999999996</c:v>
                </c:pt>
                <c:pt idx="126">
                  <c:v>92.252200000000002</c:v>
                </c:pt>
                <c:pt idx="127">
                  <c:v>92.5899</c:v>
                </c:pt>
                <c:pt idx="128">
                  <c:v>92.856399999999994</c:v>
                </c:pt>
                <c:pt idx="129">
                  <c:v>92.603700000000003</c:v>
                </c:pt>
                <c:pt idx="130">
                  <c:v>92.677300000000002</c:v>
                </c:pt>
                <c:pt idx="131">
                  <c:v>93.585099999999997</c:v>
                </c:pt>
                <c:pt idx="132">
                  <c:v>93.394400000000005</c:v>
                </c:pt>
                <c:pt idx="133">
                  <c:v>92.992999999999995</c:v>
                </c:pt>
                <c:pt idx="134">
                  <c:v>93.981999999999999</c:v>
                </c:pt>
                <c:pt idx="135">
                  <c:v>93.652500000000003</c:v>
                </c:pt>
                <c:pt idx="136">
                  <c:v>93.777500000000003</c:v>
                </c:pt>
                <c:pt idx="137">
                  <c:v>94.046700000000001</c:v>
                </c:pt>
                <c:pt idx="138">
                  <c:v>94.493099999999998</c:v>
                </c:pt>
                <c:pt idx="139">
                  <c:v>95.096900000000005</c:v>
                </c:pt>
                <c:pt idx="140">
                  <c:v>95.028099999999995</c:v>
                </c:pt>
                <c:pt idx="141">
                  <c:v>95.692400000000006</c:v>
                </c:pt>
                <c:pt idx="142">
                  <c:v>95.691299999999998</c:v>
                </c:pt>
                <c:pt idx="143">
                  <c:v>96.193799999999996</c:v>
                </c:pt>
                <c:pt idx="144">
                  <c:v>96.778999999999996</c:v>
                </c:pt>
                <c:pt idx="145">
                  <c:v>97.0959</c:v>
                </c:pt>
                <c:pt idx="146">
                  <c:v>96.591899999999995</c:v>
                </c:pt>
                <c:pt idx="147">
                  <c:v>97.294200000000004</c:v>
                </c:pt>
                <c:pt idx="148">
                  <c:v>97.485299999999995</c:v>
                </c:pt>
                <c:pt idx="149">
                  <c:v>97.495900000000006</c:v>
                </c:pt>
                <c:pt idx="150">
                  <c:v>97.6922</c:v>
                </c:pt>
                <c:pt idx="151">
                  <c:v>97.306100000000001</c:v>
                </c:pt>
                <c:pt idx="152">
                  <c:v>97.238299999999995</c:v>
                </c:pt>
                <c:pt idx="153">
                  <c:v>97.542500000000004</c:v>
                </c:pt>
                <c:pt idx="154">
                  <c:v>97.933999999999997</c:v>
                </c:pt>
                <c:pt idx="155">
                  <c:v>98.198400000000007</c:v>
                </c:pt>
                <c:pt idx="156">
                  <c:v>98.2029</c:v>
                </c:pt>
                <c:pt idx="157">
                  <c:v>98.673299999999998</c:v>
                </c:pt>
                <c:pt idx="158">
                  <c:v>99.078800000000001</c:v>
                </c:pt>
                <c:pt idx="159">
                  <c:v>98.965800000000002</c:v>
                </c:pt>
                <c:pt idx="160">
                  <c:v>99.056700000000006</c:v>
                </c:pt>
                <c:pt idx="161">
                  <c:v>99.242400000000004</c:v>
                </c:pt>
                <c:pt idx="162">
                  <c:v>98.925799999999995</c:v>
                </c:pt>
                <c:pt idx="163">
                  <c:v>99.505899999999997</c:v>
                </c:pt>
                <c:pt idx="164">
                  <c:v>100.0391</c:v>
                </c:pt>
                <c:pt idx="165">
                  <c:v>99.920299999999997</c:v>
                </c:pt>
                <c:pt idx="166">
                  <c:v>100.1661</c:v>
                </c:pt>
                <c:pt idx="167">
                  <c:v>100.3777</c:v>
                </c:pt>
                <c:pt idx="168">
                  <c:v>99.998999999999995</c:v>
                </c:pt>
                <c:pt idx="169">
                  <c:v>100.75830000000001</c:v>
                </c:pt>
                <c:pt idx="170">
                  <c:v>101.77670000000001</c:v>
                </c:pt>
                <c:pt idx="171">
                  <c:v>101.8425</c:v>
                </c:pt>
                <c:pt idx="172">
                  <c:v>102.2594</c:v>
                </c:pt>
                <c:pt idx="173">
                  <c:v>102.5986</c:v>
                </c:pt>
                <c:pt idx="174">
                  <c:v>102.8163</c:v>
                </c:pt>
                <c:pt idx="175">
                  <c:v>102.6562</c:v>
                </c:pt>
                <c:pt idx="176">
                  <c:v>102.9776</c:v>
                </c:pt>
                <c:pt idx="177">
                  <c:v>102.9892</c:v>
                </c:pt>
                <c:pt idx="178">
                  <c:v>103.64019999999999</c:v>
                </c:pt>
                <c:pt idx="179">
                  <c:v>103.6345</c:v>
                </c:pt>
                <c:pt idx="180">
                  <c:v>102.82389999999999</c:v>
                </c:pt>
                <c:pt idx="181">
                  <c:v>102.15130000000001</c:v>
                </c:pt>
                <c:pt idx="182">
                  <c:v>101.824</c:v>
                </c:pt>
                <c:pt idx="183">
                  <c:v>101.244</c:v>
                </c:pt>
                <c:pt idx="184">
                  <c:v>100.783</c:v>
                </c:pt>
                <c:pt idx="185">
                  <c:v>100.4781</c:v>
                </c:pt>
                <c:pt idx="186">
                  <c:v>101.1052</c:v>
                </c:pt>
                <c:pt idx="187">
                  <c:v>100.9442</c:v>
                </c:pt>
                <c:pt idx="188">
                  <c:v>100.6507</c:v>
                </c:pt>
                <c:pt idx="189">
                  <c:v>100.1871</c:v>
                </c:pt>
                <c:pt idx="190">
                  <c:v>99.438199999999995</c:v>
                </c:pt>
                <c:pt idx="191">
                  <c:v>98.938999999999993</c:v>
                </c:pt>
                <c:pt idx="192">
                  <c:v>99.455799999999996</c:v>
                </c:pt>
                <c:pt idx="193">
                  <c:v>98.913600000000002</c:v>
                </c:pt>
                <c:pt idx="194">
                  <c:v>98.190700000000007</c:v>
                </c:pt>
                <c:pt idx="195">
                  <c:v>98.466899999999995</c:v>
                </c:pt>
                <c:pt idx="196">
                  <c:v>98.251800000000003</c:v>
                </c:pt>
                <c:pt idx="197">
                  <c:v>98.727500000000006</c:v>
                </c:pt>
                <c:pt idx="198">
                  <c:v>98.835999999999999</c:v>
                </c:pt>
                <c:pt idx="199">
                  <c:v>98.755399999999995</c:v>
                </c:pt>
                <c:pt idx="200">
                  <c:v>98.659599999999998</c:v>
                </c:pt>
                <c:pt idx="201">
                  <c:v>98.732200000000006</c:v>
                </c:pt>
                <c:pt idx="202">
                  <c:v>98.345200000000006</c:v>
                </c:pt>
                <c:pt idx="203">
                  <c:v>99.031400000000005</c:v>
                </c:pt>
                <c:pt idx="204">
                  <c:v>98.798699999999997</c:v>
                </c:pt>
                <c:pt idx="205">
                  <c:v>98.432199999999995</c:v>
                </c:pt>
                <c:pt idx="206">
                  <c:v>99.066299999999998</c:v>
                </c:pt>
                <c:pt idx="207">
                  <c:v>100.0082</c:v>
                </c:pt>
                <c:pt idx="208">
                  <c:v>100.12860000000001</c:v>
                </c:pt>
                <c:pt idx="209">
                  <c:v>100.3233</c:v>
                </c:pt>
                <c:pt idx="210">
                  <c:v>100.0947</c:v>
                </c:pt>
                <c:pt idx="211">
                  <c:v>99.664199999999994</c:v>
                </c:pt>
                <c:pt idx="212">
                  <c:v>99.768600000000006</c:v>
                </c:pt>
                <c:pt idx="213">
                  <c:v>100.99809999999999</c:v>
                </c:pt>
                <c:pt idx="214">
                  <c:v>101.2597</c:v>
                </c:pt>
                <c:pt idx="215">
                  <c:v>101.4573</c:v>
                </c:pt>
                <c:pt idx="216">
                  <c:v>101.3939</c:v>
                </c:pt>
                <c:pt idx="217">
                  <c:v>101.76560000000001</c:v>
                </c:pt>
                <c:pt idx="218">
                  <c:v>102.2441</c:v>
                </c:pt>
                <c:pt idx="219">
                  <c:v>103.3468</c:v>
                </c:pt>
                <c:pt idx="220">
                  <c:v>102.39109999999999</c:v>
                </c:pt>
                <c:pt idx="221">
                  <c:v>103.19240000000001</c:v>
                </c:pt>
                <c:pt idx="222">
                  <c:v>103.3334</c:v>
                </c:pt>
                <c:pt idx="223">
                  <c:v>104.08069999999999</c:v>
                </c:pt>
                <c:pt idx="224">
                  <c:v>104.1181</c:v>
                </c:pt>
                <c:pt idx="225">
                  <c:v>103.9397</c:v>
                </c:pt>
                <c:pt idx="226">
                  <c:v>104.00069999999999</c:v>
                </c:pt>
                <c:pt idx="227">
                  <c:v>103.99460000000001</c:v>
                </c:pt>
                <c:pt idx="228">
                  <c:v>103.373</c:v>
                </c:pt>
                <c:pt idx="229">
                  <c:v>102.8292</c:v>
                </c:pt>
                <c:pt idx="230">
                  <c:v>102.82859999999999</c:v>
                </c:pt>
                <c:pt idx="231">
                  <c:v>102.24809999999999</c:v>
                </c:pt>
                <c:pt idx="232">
                  <c:v>102.4192</c:v>
                </c:pt>
                <c:pt idx="233">
                  <c:v>102.4893</c:v>
                </c:pt>
                <c:pt idx="234">
                  <c:v>102.0236</c:v>
                </c:pt>
                <c:pt idx="235">
                  <c:v>102.7754</c:v>
                </c:pt>
                <c:pt idx="236">
                  <c:v>102.53149999999999</c:v>
                </c:pt>
                <c:pt idx="237">
                  <c:v>101.6022</c:v>
                </c:pt>
                <c:pt idx="238">
                  <c:v>102.148</c:v>
                </c:pt>
                <c:pt idx="239">
                  <c:v>101.884</c:v>
                </c:pt>
                <c:pt idx="240">
                  <c:v>101.3768</c:v>
                </c:pt>
                <c:pt idx="241">
                  <c:v>101.633</c:v>
                </c:pt>
                <c:pt idx="242">
                  <c:v>97.667199999999994</c:v>
                </c:pt>
                <c:pt idx="243">
                  <c:v>84.597899999999996</c:v>
                </c:pt>
                <c:pt idx="244">
                  <c:v>85.973200000000006</c:v>
                </c:pt>
                <c:pt idx="245">
                  <c:v>91.5625</c:v>
                </c:pt>
                <c:pt idx="246">
                  <c:v>95.014399999999995</c:v>
                </c:pt>
                <c:pt idx="247">
                  <c:v>95.888099999999994</c:v>
                </c:pt>
                <c:pt idx="248">
                  <c:v>95.844399999999993</c:v>
                </c:pt>
                <c:pt idx="249">
                  <c:v>96.429199999999994</c:v>
                </c:pt>
                <c:pt idx="250">
                  <c:v>96.856399999999994</c:v>
                </c:pt>
                <c:pt idx="251">
                  <c:v>97.975399999999993</c:v>
                </c:pt>
                <c:pt idx="252">
                  <c:v>98.783600000000007</c:v>
                </c:pt>
                <c:pt idx="253">
                  <c:v>95.374399999999994</c:v>
                </c:pt>
                <c:pt idx="254">
                  <c:v>98.135099999999994</c:v>
                </c:pt>
                <c:pt idx="255">
                  <c:v>98.288600000000002</c:v>
                </c:pt>
                <c:pt idx="256">
                  <c:v>99.150800000000004</c:v>
                </c:pt>
                <c:pt idx="257">
                  <c:v>99.509600000000006</c:v>
                </c:pt>
                <c:pt idx="258">
                  <c:v>100.12309999999999</c:v>
                </c:pt>
                <c:pt idx="259">
                  <c:v>100.1255</c:v>
                </c:pt>
                <c:pt idx="260">
                  <c:v>99.061400000000006</c:v>
                </c:pt>
                <c:pt idx="261">
                  <c:v>100.3045</c:v>
                </c:pt>
                <c:pt idx="262">
                  <c:v>101.19710000000001</c:v>
                </c:pt>
                <c:pt idx="263">
                  <c:v>100.886</c:v>
                </c:pt>
                <c:pt idx="264">
                  <c:v>101.0227</c:v>
                </c:pt>
                <c:pt idx="265">
                  <c:v>101.67659999999999</c:v>
                </c:pt>
                <c:pt idx="266">
                  <c:v>102.47799999999999</c:v>
                </c:pt>
                <c:pt idx="267">
                  <c:v>102.7953</c:v>
                </c:pt>
                <c:pt idx="268">
                  <c:v>102.7769</c:v>
                </c:pt>
                <c:pt idx="269">
                  <c:v>102.6863</c:v>
                </c:pt>
                <c:pt idx="270">
                  <c:v>103.1328</c:v>
                </c:pt>
                <c:pt idx="271">
                  <c:v>103.23439999999999</c:v>
                </c:pt>
                <c:pt idx="272">
                  <c:v>103.5283</c:v>
                </c:pt>
                <c:pt idx="273">
                  <c:v>103.4114</c:v>
                </c:pt>
                <c:pt idx="274">
                  <c:v>103.0707</c:v>
                </c:pt>
                <c:pt idx="275">
                  <c:v>101.48480000000001</c:v>
                </c:pt>
                <c:pt idx="276">
                  <c:v>102.5478</c:v>
                </c:pt>
                <c:pt idx="277">
                  <c:v>102.5671</c:v>
                </c:pt>
                <c:pt idx="278">
                  <c:v>102.6592</c:v>
                </c:pt>
                <c:pt idx="279">
                  <c:v>103.1512</c:v>
                </c:pt>
                <c:pt idx="280">
                  <c:v>102.92400000000001</c:v>
                </c:pt>
                <c:pt idx="281">
                  <c:v>102.3002</c:v>
                </c:pt>
                <c:pt idx="282">
                  <c:v>103.2166</c:v>
                </c:pt>
                <c:pt idx="283">
                  <c:v>103.2158</c:v>
                </c:pt>
                <c:pt idx="284">
                  <c:v>103.3374</c:v>
                </c:pt>
                <c:pt idx="285">
                  <c:v>102.41889999999999</c:v>
                </c:pt>
                <c:pt idx="286">
                  <c:v>102.6651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0F8-4107-9419-453771A4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'Economic Activity'!$A$267:$A$554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F8-4107-9419-453771A481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915248"/>
        <c:axId val="1543622048"/>
      </c:area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8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midCat"/>
        <c:majorUnit val="2.5"/>
      </c:valAx>
      <c:valAx>
        <c:axId val="1543622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73915248"/>
        <c:crosses val="max"/>
        <c:crossBetween val="midCat"/>
      </c:valAx>
      <c:dateAx>
        <c:axId val="373915248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5436220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cat>
            <c:numRef>
              <c:f>Recession!$A$386:$A$913</c:f>
              <c:numCache>
                <c:formatCode>[$-416]mmm\-yy;@</c:formatCode>
                <c:ptCount val="528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  <c:pt idx="510">
                  <c:v>44743</c:v>
                </c:pt>
                <c:pt idx="511">
                  <c:v>44774</c:v>
                </c:pt>
                <c:pt idx="512">
                  <c:v>44805</c:v>
                </c:pt>
                <c:pt idx="513">
                  <c:v>44835</c:v>
                </c:pt>
                <c:pt idx="514">
                  <c:v>44866</c:v>
                </c:pt>
                <c:pt idx="515">
                  <c:v>44896</c:v>
                </c:pt>
                <c:pt idx="516">
                  <c:v>44927</c:v>
                </c:pt>
                <c:pt idx="517">
                  <c:v>44958</c:v>
                </c:pt>
                <c:pt idx="518">
                  <c:v>44986</c:v>
                </c:pt>
                <c:pt idx="519">
                  <c:v>45017</c:v>
                </c:pt>
                <c:pt idx="520">
                  <c:v>45047</c:v>
                </c:pt>
                <c:pt idx="521">
                  <c:v>45078</c:v>
                </c:pt>
                <c:pt idx="522">
                  <c:v>45108</c:v>
                </c:pt>
                <c:pt idx="523">
                  <c:v>45139</c:v>
                </c:pt>
                <c:pt idx="524">
                  <c:v>45170</c:v>
                </c:pt>
                <c:pt idx="525">
                  <c:v>45200</c:v>
                </c:pt>
                <c:pt idx="526">
                  <c:v>45231</c:v>
                </c:pt>
                <c:pt idx="527">
                  <c:v>45261</c:v>
                </c:pt>
              </c:numCache>
            </c:numRef>
          </c:cat>
          <c:val>
            <c:numRef>
              <c:f>Recession!$B$722:$B$925</c:f>
              <c:numCache>
                <c:formatCode>General</c:formatCode>
                <c:ptCount val="20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1</c:v>
                </c:pt>
                <c:pt idx="146">
                  <c:v>1</c:v>
                </c:pt>
                <c:pt idx="147">
                  <c:v>1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95-4D11-B639-92B3D7D67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8890512"/>
        <c:axId val="1888890032"/>
      </c:areaChart>
      <c:lineChart>
        <c:grouping val="standard"/>
        <c:varyColors val="0"/>
        <c:ser>
          <c:idx val="0"/>
          <c:order val="0"/>
          <c:tx>
            <c:strRef>
              <c:f>'Economic Activity'!$D$2</c:f>
              <c:strCache>
                <c:ptCount val="1"/>
                <c:pt idx="0">
                  <c:v>Real PCE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Activity'!$A$363:$A$566</c:f>
              <c:numCache>
                <c:formatCode>[$-416]mmm\-yy;@</c:formatCode>
                <c:ptCount val="204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  <c:pt idx="192">
                  <c:v>45292</c:v>
                </c:pt>
                <c:pt idx="193">
                  <c:v>45323</c:v>
                </c:pt>
                <c:pt idx="194">
                  <c:v>45352</c:v>
                </c:pt>
                <c:pt idx="195">
                  <c:v>45383</c:v>
                </c:pt>
                <c:pt idx="196">
                  <c:v>45413</c:v>
                </c:pt>
                <c:pt idx="197">
                  <c:v>45444</c:v>
                </c:pt>
                <c:pt idx="198">
                  <c:v>45474</c:v>
                </c:pt>
                <c:pt idx="199">
                  <c:v>45505</c:v>
                </c:pt>
                <c:pt idx="200">
                  <c:v>45536</c:v>
                </c:pt>
                <c:pt idx="201">
                  <c:v>45566</c:v>
                </c:pt>
                <c:pt idx="202">
                  <c:v>45597</c:v>
                </c:pt>
                <c:pt idx="203">
                  <c:v>45627</c:v>
                </c:pt>
              </c:numCache>
            </c:numRef>
          </c:cat>
          <c:val>
            <c:numRef>
              <c:f>'Economic Activity'!$D$363:$D$566</c:f>
              <c:numCache>
                <c:formatCode>0.00%</c:formatCode>
                <c:ptCount val="204"/>
                <c:pt idx="0">
                  <c:v>1.3612378141490078E-2</c:v>
                </c:pt>
                <c:pt idx="1">
                  <c:v>1.0350503658907328E-2</c:v>
                </c:pt>
                <c:pt idx="2">
                  <c:v>1.1741892821717892E-2</c:v>
                </c:pt>
                <c:pt idx="3">
                  <c:v>1.2409052359058981E-2</c:v>
                </c:pt>
                <c:pt idx="4">
                  <c:v>1.280085576751655E-2</c:v>
                </c:pt>
                <c:pt idx="5">
                  <c:v>1.0892721843383857E-2</c:v>
                </c:pt>
                <c:pt idx="6">
                  <c:v>2.9682029042177316E-3</c:v>
                </c:pt>
                <c:pt idx="7">
                  <c:v>-1.3628197980548595E-3</c:v>
                </c:pt>
                <c:pt idx="8">
                  <c:v>-8.8332036499964017E-3</c:v>
                </c:pt>
                <c:pt idx="9">
                  <c:v>-1.1140953828212008E-2</c:v>
                </c:pt>
                <c:pt idx="10">
                  <c:v>-1.6222602317010781E-2</c:v>
                </c:pt>
                <c:pt idx="11">
                  <c:v>-1.8464768727227909E-2</c:v>
                </c:pt>
                <c:pt idx="12">
                  <c:v>-1.3844280520947438E-2</c:v>
                </c:pt>
                <c:pt idx="13">
                  <c:v>-1.446798714350217E-2</c:v>
                </c:pt>
                <c:pt idx="14">
                  <c:v>-2.097667393858027E-2</c:v>
                </c:pt>
                <c:pt idx="15">
                  <c:v>-2.4028922886997983E-2</c:v>
                </c:pt>
                <c:pt idx="16">
                  <c:v>-2.4952471482889704E-2</c:v>
                </c:pt>
                <c:pt idx="17">
                  <c:v>-2.2891003200860682E-2</c:v>
                </c:pt>
                <c:pt idx="18">
                  <c:v>-1.4876838561049044E-2</c:v>
                </c:pt>
                <c:pt idx="19">
                  <c:v>-5.9106577932953597E-3</c:v>
                </c:pt>
                <c:pt idx="20">
                  <c:v>-8.4837239176784873E-3</c:v>
                </c:pt>
                <c:pt idx="21">
                  <c:v>-5.8431985704712197E-3</c:v>
                </c:pt>
                <c:pt idx="22">
                  <c:v>-4.3734652542525287E-3</c:v>
                </c:pt>
                <c:pt idx="23">
                  <c:v>4.6288806198206967E-3</c:v>
                </c:pt>
                <c:pt idx="24">
                  <c:v>-1.7447634727056904E-3</c:v>
                </c:pt>
                <c:pt idx="25">
                  <c:v>6.118323525448055E-3</c:v>
                </c:pt>
                <c:pt idx="26">
                  <c:v>1.5111054977175575E-2</c:v>
                </c:pt>
                <c:pt idx="27">
                  <c:v>1.8711601011926371E-2</c:v>
                </c:pt>
                <c:pt idx="28">
                  <c:v>2.0319368844837982E-2</c:v>
                </c:pt>
                <c:pt idx="29">
                  <c:v>2.2515815216900936E-2</c:v>
                </c:pt>
                <c:pt idx="30">
                  <c:v>2.1910218472580789E-2</c:v>
                </c:pt>
                <c:pt idx="31">
                  <c:v>1.5261187377429097E-2</c:v>
                </c:pt>
                <c:pt idx="32">
                  <c:v>2.5668939952854686E-2</c:v>
                </c:pt>
                <c:pt idx="33">
                  <c:v>2.7122970046103534E-2</c:v>
                </c:pt>
                <c:pt idx="34">
                  <c:v>3.1378832340180463E-2</c:v>
                </c:pt>
                <c:pt idx="35">
                  <c:v>2.6473298560475422E-2</c:v>
                </c:pt>
                <c:pt idx="36">
                  <c:v>2.9506668578804129E-2</c:v>
                </c:pt>
                <c:pt idx="37">
                  <c:v>2.5378172271533828E-2</c:v>
                </c:pt>
                <c:pt idx="38">
                  <c:v>2.4039956985807187E-2</c:v>
                </c:pt>
                <c:pt idx="39">
                  <c:v>2.0735957995937859E-2</c:v>
                </c:pt>
                <c:pt idx="40">
                  <c:v>1.70217283601104E-2</c:v>
                </c:pt>
                <c:pt idx="41">
                  <c:v>1.691878629551824E-2</c:v>
                </c:pt>
                <c:pt idx="42">
                  <c:v>1.5895508594664376E-2</c:v>
                </c:pt>
                <c:pt idx="43">
                  <c:v>1.2827942261089298E-2</c:v>
                </c:pt>
                <c:pt idx="44">
                  <c:v>1.3543978455951233E-2</c:v>
                </c:pt>
                <c:pt idx="45">
                  <c:v>1.2792132226198571E-2</c:v>
                </c:pt>
                <c:pt idx="46">
                  <c:v>8.5267935067203648E-3</c:v>
                </c:pt>
                <c:pt idx="47">
                  <c:v>7.6439005682806815E-3</c:v>
                </c:pt>
                <c:pt idx="48">
                  <c:v>1.0403970050496314E-2</c:v>
                </c:pt>
                <c:pt idx="49">
                  <c:v>1.6807747239349302E-2</c:v>
                </c:pt>
                <c:pt idx="50">
                  <c:v>1.1967785048513369E-2</c:v>
                </c:pt>
                <c:pt idx="51">
                  <c:v>1.4119507511578089E-2</c:v>
                </c:pt>
                <c:pt idx="52">
                  <c:v>1.534500156581653E-2</c:v>
                </c:pt>
                <c:pt idx="53">
                  <c:v>1.194206017895727E-2</c:v>
                </c:pt>
                <c:pt idx="54">
                  <c:v>1.2311237794893515E-2</c:v>
                </c:pt>
                <c:pt idx="55">
                  <c:v>1.3124929564034105E-2</c:v>
                </c:pt>
                <c:pt idx="56">
                  <c:v>1.2886977142708922E-2</c:v>
                </c:pt>
                <c:pt idx="57">
                  <c:v>1.0989105925650611E-2</c:v>
                </c:pt>
                <c:pt idx="58">
                  <c:v>1.7108439990653812E-2</c:v>
                </c:pt>
                <c:pt idx="59">
                  <c:v>1.7074795214905292E-2</c:v>
                </c:pt>
                <c:pt idx="60">
                  <c:v>1.7672655206583121E-2</c:v>
                </c:pt>
                <c:pt idx="61">
                  <c:v>1.137395296253807E-2</c:v>
                </c:pt>
                <c:pt idx="62">
                  <c:v>1.4004545259637124E-2</c:v>
                </c:pt>
                <c:pt idx="63">
                  <c:v>1.328032626762865E-2</c:v>
                </c:pt>
                <c:pt idx="64">
                  <c:v>1.6115490061686222E-2</c:v>
                </c:pt>
                <c:pt idx="65">
                  <c:v>1.6964124906731604E-2</c:v>
                </c:pt>
                <c:pt idx="66">
                  <c:v>1.6081270754167987E-2</c:v>
                </c:pt>
                <c:pt idx="67">
                  <c:v>1.7421513344228812E-2</c:v>
                </c:pt>
                <c:pt idx="68">
                  <c:v>1.9046072868958985E-2</c:v>
                </c:pt>
                <c:pt idx="69">
                  <c:v>2.2414397169787215E-2</c:v>
                </c:pt>
                <c:pt idx="70">
                  <c:v>2.2146783058519359E-2</c:v>
                </c:pt>
                <c:pt idx="71">
                  <c:v>2.2656336375156405E-2</c:v>
                </c:pt>
                <c:pt idx="72">
                  <c:v>1.4766396288080186E-2</c:v>
                </c:pt>
                <c:pt idx="73">
                  <c:v>1.9545077316531989E-2</c:v>
                </c:pt>
                <c:pt idx="74">
                  <c:v>2.4061638390365125E-2</c:v>
                </c:pt>
                <c:pt idx="75">
                  <c:v>2.5510721775011902E-2</c:v>
                </c:pt>
                <c:pt idx="76">
                  <c:v>2.4822724934865592E-2</c:v>
                </c:pt>
                <c:pt idx="77">
                  <c:v>2.8622751461075957E-2</c:v>
                </c:pt>
                <c:pt idx="78">
                  <c:v>2.9589885700327834E-2</c:v>
                </c:pt>
                <c:pt idx="79">
                  <c:v>3.5003322035608964E-2</c:v>
                </c:pt>
                <c:pt idx="80">
                  <c:v>3.2206672759745425E-2</c:v>
                </c:pt>
                <c:pt idx="81">
                  <c:v>3.5479665011784789E-2</c:v>
                </c:pt>
                <c:pt idx="82">
                  <c:v>3.3869665465260379E-2</c:v>
                </c:pt>
                <c:pt idx="83">
                  <c:v>3.5792992756576103E-2</c:v>
                </c:pt>
                <c:pt idx="84">
                  <c:v>4.169378389653744E-2</c:v>
                </c:pt>
                <c:pt idx="85">
                  <c:v>3.9428875193115998E-2</c:v>
                </c:pt>
                <c:pt idx="86">
                  <c:v>3.6627767729573879E-2</c:v>
                </c:pt>
                <c:pt idx="87">
                  <c:v>3.6831820318104169E-2</c:v>
                </c:pt>
                <c:pt idx="88">
                  <c:v>3.7697971944547382E-2</c:v>
                </c:pt>
                <c:pt idx="89">
                  <c:v>3.480335489583597E-2</c:v>
                </c:pt>
                <c:pt idx="90">
                  <c:v>3.6388625282240961E-2</c:v>
                </c:pt>
                <c:pt idx="91">
                  <c:v>3.1950595213911415E-2</c:v>
                </c:pt>
                <c:pt idx="92">
                  <c:v>3.2249679127877684E-2</c:v>
                </c:pt>
                <c:pt idx="93">
                  <c:v>2.6378025845299469E-2</c:v>
                </c:pt>
                <c:pt idx="94">
                  <c:v>2.5473809638825839E-2</c:v>
                </c:pt>
                <c:pt idx="95">
                  <c:v>2.5868921164823977E-2</c:v>
                </c:pt>
                <c:pt idx="96">
                  <c:v>2.5150784560301842E-2</c:v>
                </c:pt>
                <c:pt idx="97">
                  <c:v>2.9558657833963276E-2</c:v>
                </c:pt>
                <c:pt idx="98">
                  <c:v>2.2650137828837291E-2</c:v>
                </c:pt>
                <c:pt idx="99">
                  <c:v>2.3491427299042744E-2</c:v>
                </c:pt>
                <c:pt idx="100">
                  <c:v>2.2080918439350894E-2</c:v>
                </c:pt>
                <c:pt idx="101">
                  <c:v>2.5907967294162448E-2</c:v>
                </c:pt>
                <c:pt idx="102">
                  <c:v>2.398092892551551E-2</c:v>
                </c:pt>
                <c:pt idx="103">
                  <c:v>2.2551713820011532E-2</c:v>
                </c:pt>
                <c:pt idx="104">
                  <c:v>2.4686791740115677E-2</c:v>
                </c:pt>
                <c:pt idx="105">
                  <c:v>2.3513868463891585E-2</c:v>
                </c:pt>
                <c:pt idx="106">
                  <c:v>2.3537724738949439E-2</c:v>
                </c:pt>
                <c:pt idx="107">
                  <c:v>2.7486245137861687E-2</c:v>
                </c:pt>
                <c:pt idx="108">
                  <c:v>2.637767898302168E-2</c:v>
                </c:pt>
                <c:pt idx="109">
                  <c:v>2.0133498913381009E-2</c:v>
                </c:pt>
                <c:pt idx="110">
                  <c:v>2.8482171376041032E-2</c:v>
                </c:pt>
                <c:pt idx="111">
                  <c:v>2.6099050519805322E-2</c:v>
                </c:pt>
                <c:pt idx="112">
                  <c:v>2.5079123743328768E-2</c:v>
                </c:pt>
                <c:pt idx="113">
                  <c:v>2.379407812427603E-2</c:v>
                </c:pt>
                <c:pt idx="114">
                  <c:v>2.4506251830838321E-2</c:v>
                </c:pt>
                <c:pt idx="115">
                  <c:v>2.353285435966157E-2</c:v>
                </c:pt>
                <c:pt idx="116">
                  <c:v>2.6380664930995446E-2</c:v>
                </c:pt>
                <c:pt idx="117">
                  <c:v>2.7821957909780259E-2</c:v>
                </c:pt>
                <c:pt idx="118">
                  <c:v>3.1717906234658866E-2</c:v>
                </c:pt>
                <c:pt idx="119">
                  <c:v>3.2517043074227869E-2</c:v>
                </c:pt>
                <c:pt idx="120">
                  <c:v>3.0830599179373142E-2</c:v>
                </c:pt>
                <c:pt idx="121">
                  <c:v>3.0730252446094619E-2</c:v>
                </c:pt>
                <c:pt idx="122">
                  <c:v>2.9147761273169204E-2</c:v>
                </c:pt>
                <c:pt idx="123">
                  <c:v>2.9728685986021741E-2</c:v>
                </c:pt>
                <c:pt idx="124">
                  <c:v>3.2237315070566375E-2</c:v>
                </c:pt>
                <c:pt idx="125">
                  <c:v>2.9947121078398142E-2</c:v>
                </c:pt>
                <c:pt idx="126">
                  <c:v>2.9540785998600549E-2</c:v>
                </c:pt>
                <c:pt idx="127">
                  <c:v>3.1583619852990852E-2</c:v>
                </c:pt>
                <c:pt idx="128">
                  <c:v>2.4146239262518465E-2</c:v>
                </c:pt>
                <c:pt idx="129">
                  <c:v>2.6171787396277235E-2</c:v>
                </c:pt>
                <c:pt idx="130">
                  <c:v>2.6021724422503612E-2</c:v>
                </c:pt>
                <c:pt idx="131">
                  <c:v>9.3615828378357246E-3</c:v>
                </c:pt>
                <c:pt idx="132">
                  <c:v>1.2938196480396957E-2</c:v>
                </c:pt>
                <c:pt idx="133">
                  <c:v>1.2976755515859306E-2</c:v>
                </c:pt>
                <c:pt idx="134">
                  <c:v>1.7053693004084991E-2</c:v>
                </c:pt>
                <c:pt idx="135">
                  <c:v>1.5766212946825675E-2</c:v>
                </c:pt>
                <c:pt idx="136">
                  <c:v>1.6538983175103494E-2</c:v>
                </c:pt>
                <c:pt idx="137">
                  <c:v>1.8705552341123699E-2</c:v>
                </c:pt>
                <c:pt idx="138">
                  <c:v>2.0880381795990388E-2</c:v>
                </c:pt>
                <c:pt idx="139">
                  <c:v>2.200342777960107E-2</c:v>
                </c:pt>
                <c:pt idx="140">
                  <c:v>2.5030868482001312E-2</c:v>
                </c:pt>
                <c:pt idx="141">
                  <c:v>2.2000276824675202E-2</c:v>
                </c:pt>
                <c:pt idx="142">
                  <c:v>2.2832836967312309E-2</c:v>
                </c:pt>
                <c:pt idx="143">
                  <c:v>3.3240025434320364E-2</c:v>
                </c:pt>
                <c:pt idx="144">
                  <c:v>3.4141362592498004E-2</c:v>
                </c:pt>
                <c:pt idx="145">
                  <c:v>3.2405214565222051E-2</c:v>
                </c:pt>
                <c:pt idx="146">
                  <c:v>-4.2255865452808683E-2</c:v>
                </c:pt>
                <c:pt idx="147">
                  <c:v>-0.14694746291563809</c:v>
                </c:pt>
                <c:pt idx="148">
                  <c:v>-7.9914323421870659E-2</c:v>
                </c:pt>
                <c:pt idx="149">
                  <c:v>-3.1943116377048164E-2</c:v>
                </c:pt>
                <c:pt idx="150">
                  <c:v>-2.1555797371209273E-2</c:v>
                </c:pt>
                <c:pt idx="151">
                  <c:v>-1.7990180686781043E-2</c:v>
                </c:pt>
                <c:pt idx="152">
                  <c:v>-5.4384626898651423E-3</c:v>
                </c:pt>
                <c:pt idx="153">
                  <c:v>-2.8868566051991618E-3</c:v>
                </c:pt>
                <c:pt idx="154">
                  <c:v>-1.144140442353736E-2</c:v>
                </c:pt>
                <c:pt idx="155">
                  <c:v>-9.2522511689102638E-3</c:v>
                </c:pt>
                <c:pt idx="156">
                  <c:v>-2.8904179121302942E-4</c:v>
                </c:pt>
                <c:pt idx="157">
                  <c:v>-9.1757365293129167E-3</c:v>
                </c:pt>
                <c:pt idx="158">
                  <c:v>0.10540791730578869</c:v>
                </c:pt>
                <c:pt idx="159">
                  <c:v>0.25013366374445201</c:v>
                </c:pt>
                <c:pt idx="160">
                  <c:v>0.15140304122903281</c:v>
                </c:pt>
                <c:pt idx="161">
                  <c:v>0.10038025072782375</c:v>
                </c:pt>
                <c:pt idx="162">
                  <c:v>8.1705969723354421E-2</c:v>
                </c:pt>
                <c:pt idx="163">
                  <c:v>8.0073540632652929E-2</c:v>
                </c:pt>
                <c:pt idx="164">
                  <c:v>6.7797096048274996E-2</c:v>
                </c:pt>
                <c:pt idx="165">
                  <c:v>7.210871709820843E-2</c:v>
                </c:pt>
                <c:pt idx="166">
                  <c:v>7.634424784468874E-2</c:v>
                </c:pt>
                <c:pt idx="167">
                  <c:v>6.883331072445964E-2</c:v>
                </c:pt>
                <c:pt idx="168">
                  <c:v>5.5737728038813383E-2</c:v>
                </c:pt>
                <c:pt idx="169">
                  <c:v>6.7161521036059879E-2</c:v>
                </c:pt>
                <c:pt idx="170">
                  <c:v>2.7663661282494756E-2</c:v>
                </c:pt>
                <c:pt idx="171">
                  <c:v>2.3827788224592084E-2</c:v>
                </c:pt>
                <c:pt idx="172">
                  <c:v>2.5215118178847584E-2</c:v>
                </c:pt>
                <c:pt idx="173">
                  <c:v>1.6832698901217524E-2</c:v>
                </c:pt>
                <c:pt idx="174">
                  <c:v>1.9284361471861411E-2</c:v>
                </c:pt>
                <c:pt idx="175">
                  <c:v>1.8387943214694058E-2</c:v>
                </c:pt>
                <c:pt idx="176">
                  <c:v>1.8611487710914698E-2</c:v>
                </c:pt>
                <c:pt idx="177">
                  <c:v>1.3695798577077367E-2</c:v>
                </c:pt>
                <c:pt idx="178">
                  <c:v>8.6955363801000107E-3</c:v>
                </c:pt>
                <c:pt idx="179">
                  <c:v>1.2778549671351502E-2</c:v>
                </c:pt>
                <c:pt idx="180">
                  <c:v>2.3144591913753843E-2</c:v>
                </c:pt>
                <c:pt idx="181">
                  <c:v>2.3023109888789417E-2</c:v>
                </c:pt>
                <c:pt idx="182">
                  <c:v>1.7387255554077496E-2</c:v>
                </c:pt>
                <c:pt idx="183">
                  <c:v>1.5595058912456716E-2</c:v>
                </c:pt>
                <c:pt idx="184">
                  <c:v>1.8419654714475486E-2</c:v>
                </c:pt>
                <c:pt idx="185">
                  <c:v>2.0609592587184311E-2</c:v>
                </c:pt>
                <c:pt idx="186">
                  <c:v>2.5164077483061265E-2</c:v>
                </c:pt>
                <c:pt idx="187">
                  <c:v>2.0051135350118487E-2</c:v>
                </c:pt>
                <c:pt idx="188">
                  <c:v>2.1038829258007263E-2</c:v>
                </c:pt>
                <c:pt idx="189">
                  <c:v>2.0068803567787175E-2</c:v>
                </c:pt>
                <c:pt idx="190">
                  <c:v>2.691124635308717E-2</c:v>
                </c:pt>
                <c:pt idx="191">
                  <c:v>#N/A</c:v>
                </c:pt>
                <c:pt idx="192">
                  <c:v>#N/A</c:v>
                </c:pt>
                <c:pt idx="193">
                  <c:v>#N/A</c:v>
                </c:pt>
                <c:pt idx="194">
                  <c:v>#N/A</c:v>
                </c:pt>
                <c:pt idx="195">
                  <c:v>#N/A</c:v>
                </c:pt>
                <c:pt idx="196">
                  <c:v>#N/A</c:v>
                </c:pt>
                <c:pt idx="197">
                  <c:v>#N/A</c:v>
                </c:pt>
                <c:pt idx="198">
                  <c:v>#N/A</c:v>
                </c:pt>
                <c:pt idx="199">
                  <c:v>#N/A</c:v>
                </c:pt>
                <c:pt idx="200">
                  <c:v>#N/A</c:v>
                </c:pt>
                <c:pt idx="201">
                  <c:v>#N/A</c:v>
                </c:pt>
                <c:pt idx="202">
                  <c:v>#N/A</c:v>
                </c:pt>
                <c:pt idx="203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95-4D11-B639-92B3D7D678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8.0000000000000016E-2"/>
          <c:min val="-4.0000000000000008E-2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888890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888890512"/>
        <c:crosses val="max"/>
        <c:crossBetween val="between"/>
      </c:valAx>
      <c:dateAx>
        <c:axId val="188889051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88889003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'GDP + ECI (Quarter)'!$B$2</c:f>
              <c:strCache>
                <c:ptCount val="1"/>
                <c:pt idx="0">
                  <c:v>Real GDP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dLbls>
            <c:delete val="1"/>
          </c:dLbls>
          <c:cat>
            <c:strRef>
              <c:f>'GDP + ECI (Quarter)'!$A$3:$A$313</c:f>
              <c:strCache>
                <c:ptCount val="311"/>
                <c:pt idx="0">
                  <c:v>1T47</c:v>
                </c:pt>
                <c:pt idx="1">
                  <c:v>2T47</c:v>
                </c:pt>
                <c:pt idx="2">
                  <c:v>3T47</c:v>
                </c:pt>
                <c:pt idx="3">
                  <c:v>4T47</c:v>
                </c:pt>
                <c:pt idx="4">
                  <c:v>1T48</c:v>
                </c:pt>
                <c:pt idx="5">
                  <c:v>2T48</c:v>
                </c:pt>
                <c:pt idx="6">
                  <c:v>3T48</c:v>
                </c:pt>
                <c:pt idx="7">
                  <c:v>4T48</c:v>
                </c:pt>
                <c:pt idx="8">
                  <c:v>1T49</c:v>
                </c:pt>
                <c:pt idx="9">
                  <c:v>2T49</c:v>
                </c:pt>
                <c:pt idx="10">
                  <c:v>3T49</c:v>
                </c:pt>
                <c:pt idx="11">
                  <c:v>4T49</c:v>
                </c:pt>
                <c:pt idx="12">
                  <c:v>1T50</c:v>
                </c:pt>
                <c:pt idx="13">
                  <c:v>2T50</c:v>
                </c:pt>
                <c:pt idx="14">
                  <c:v>3T50</c:v>
                </c:pt>
                <c:pt idx="15">
                  <c:v>4T50</c:v>
                </c:pt>
                <c:pt idx="16">
                  <c:v>1T51</c:v>
                </c:pt>
                <c:pt idx="17">
                  <c:v>2T51</c:v>
                </c:pt>
                <c:pt idx="18">
                  <c:v>3T51</c:v>
                </c:pt>
                <c:pt idx="19">
                  <c:v>4T51</c:v>
                </c:pt>
                <c:pt idx="20">
                  <c:v>1T52</c:v>
                </c:pt>
                <c:pt idx="21">
                  <c:v>2T52</c:v>
                </c:pt>
                <c:pt idx="22">
                  <c:v>3T52</c:v>
                </c:pt>
                <c:pt idx="23">
                  <c:v>4T52</c:v>
                </c:pt>
                <c:pt idx="24">
                  <c:v>1T53</c:v>
                </c:pt>
                <c:pt idx="25">
                  <c:v>2T53</c:v>
                </c:pt>
                <c:pt idx="26">
                  <c:v>3T53</c:v>
                </c:pt>
                <c:pt idx="27">
                  <c:v>4T53</c:v>
                </c:pt>
                <c:pt idx="28">
                  <c:v>1T54</c:v>
                </c:pt>
                <c:pt idx="29">
                  <c:v>2T54</c:v>
                </c:pt>
                <c:pt idx="30">
                  <c:v>3T54</c:v>
                </c:pt>
                <c:pt idx="31">
                  <c:v>4T54</c:v>
                </c:pt>
                <c:pt idx="32">
                  <c:v>1T55</c:v>
                </c:pt>
                <c:pt idx="33">
                  <c:v>2T55</c:v>
                </c:pt>
                <c:pt idx="34">
                  <c:v>3T55</c:v>
                </c:pt>
                <c:pt idx="35">
                  <c:v>4T55</c:v>
                </c:pt>
                <c:pt idx="36">
                  <c:v>1T56</c:v>
                </c:pt>
                <c:pt idx="37">
                  <c:v>2T56</c:v>
                </c:pt>
                <c:pt idx="38">
                  <c:v>3T56</c:v>
                </c:pt>
                <c:pt idx="39">
                  <c:v>4T56</c:v>
                </c:pt>
                <c:pt idx="40">
                  <c:v>1T57</c:v>
                </c:pt>
                <c:pt idx="41">
                  <c:v>2T57</c:v>
                </c:pt>
                <c:pt idx="42">
                  <c:v>3T57</c:v>
                </c:pt>
                <c:pt idx="43">
                  <c:v>4T57</c:v>
                </c:pt>
                <c:pt idx="44">
                  <c:v>1T58</c:v>
                </c:pt>
                <c:pt idx="45">
                  <c:v>2T58</c:v>
                </c:pt>
                <c:pt idx="46">
                  <c:v>3T58</c:v>
                </c:pt>
                <c:pt idx="47">
                  <c:v>4T58</c:v>
                </c:pt>
                <c:pt idx="48">
                  <c:v>1T59</c:v>
                </c:pt>
                <c:pt idx="49">
                  <c:v>2T59</c:v>
                </c:pt>
                <c:pt idx="50">
                  <c:v>3T59</c:v>
                </c:pt>
                <c:pt idx="51">
                  <c:v>4T59</c:v>
                </c:pt>
                <c:pt idx="52">
                  <c:v>1T60</c:v>
                </c:pt>
                <c:pt idx="53">
                  <c:v>2T60</c:v>
                </c:pt>
                <c:pt idx="54">
                  <c:v>3T60</c:v>
                </c:pt>
                <c:pt idx="55">
                  <c:v>4T60</c:v>
                </c:pt>
                <c:pt idx="56">
                  <c:v>1T61</c:v>
                </c:pt>
                <c:pt idx="57">
                  <c:v>2T61</c:v>
                </c:pt>
                <c:pt idx="58">
                  <c:v>3T61</c:v>
                </c:pt>
                <c:pt idx="59">
                  <c:v>4T61</c:v>
                </c:pt>
                <c:pt idx="60">
                  <c:v>1T62</c:v>
                </c:pt>
                <c:pt idx="61">
                  <c:v>2T62</c:v>
                </c:pt>
                <c:pt idx="62">
                  <c:v>3T62</c:v>
                </c:pt>
                <c:pt idx="63">
                  <c:v>4T62</c:v>
                </c:pt>
                <c:pt idx="64">
                  <c:v>1T63</c:v>
                </c:pt>
                <c:pt idx="65">
                  <c:v>2T63</c:v>
                </c:pt>
                <c:pt idx="66">
                  <c:v>3T63</c:v>
                </c:pt>
                <c:pt idx="67">
                  <c:v>4T63</c:v>
                </c:pt>
                <c:pt idx="68">
                  <c:v>1T64</c:v>
                </c:pt>
                <c:pt idx="69">
                  <c:v>2T64</c:v>
                </c:pt>
                <c:pt idx="70">
                  <c:v>3T64</c:v>
                </c:pt>
                <c:pt idx="71">
                  <c:v>4T64</c:v>
                </c:pt>
                <c:pt idx="72">
                  <c:v>1T65</c:v>
                </c:pt>
                <c:pt idx="73">
                  <c:v>2T65</c:v>
                </c:pt>
                <c:pt idx="74">
                  <c:v>3T65</c:v>
                </c:pt>
                <c:pt idx="75">
                  <c:v>4T65</c:v>
                </c:pt>
                <c:pt idx="76">
                  <c:v>1T66</c:v>
                </c:pt>
                <c:pt idx="77">
                  <c:v>2T66</c:v>
                </c:pt>
                <c:pt idx="78">
                  <c:v>3T66</c:v>
                </c:pt>
                <c:pt idx="79">
                  <c:v>4T66</c:v>
                </c:pt>
                <c:pt idx="80">
                  <c:v>1T67</c:v>
                </c:pt>
                <c:pt idx="81">
                  <c:v>2T67</c:v>
                </c:pt>
                <c:pt idx="82">
                  <c:v>3T67</c:v>
                </c:pt>
                <c:pt idx="83">
                  <c:v>4T67</c:v>
                </c:pt>
                <c:pt idx="84">
                  <c:v>1T68</c:v>
                </c:pt>
                <c:pt idx="85">
                  <c:v>2T68</c:v>
                </c:pt>
                <c:pt idx="86">
                  <c:v>3T68</c:v>
                </c:pt>
                <c:pt idx="87">
                  <c:v>4T68</c:v>
                </c:pt>
                <c:pt idx="88">
                  <c:v>1T69</c:v>
                </c:pt>
                <c:pt idx="89">
                  <c:v>2T69</c:v>
                </c:pt>
                <c:pt idx="90">
                  <c:v>3T69</c:v>
                </c:pt>
                <c:pt idx="91">
                  <c:v>4T69</c:v>
                </c:pt>
                <c:pt idx="92">
                  <c:v>1T70</c:v>
                </c:pt>
                <c:pt idx="93">
                  <c:v>2T70</c:v>
                </c:pt>
                <c:pt idx="94">
                  <c:v>3T70</c:v>
                </c:pt>
                <c:pt idx="95">
                  <c:v>4T70</c:v>
                </c:pt>
                <c:pt idx="96">
                  <c:v>1T71</c:v>
                </c:pt>
                <c:pt idx="97">
                  <c:v>2T71</c:v>
                </c:pt>
                <c:pt idx="98">
                  <c:v>3T71</c:v>
                </c:pt>
                <c:pt idx="99">
                  <c:v>4T71</c:v>
                </c:pt>
                <c:pt idx="100">
                  <c:v>1T72</c:v>
                </c:pt>
                <c:pt idx="101">
                  <c:v>2T72</c:v>
                </c:pt>
                <c:pt idx="102">
                  <c:v>3T72</c:v>
                </c:pt>
                <c:pt idx="103">
                  <c:v>4T72</c:v>
                </c:pt>
                <c:pt idx="104">
                  <c:v>1T73</c:v>
                </c:pt>
                <c:pt idx="105">
                  <c:v>2T73</c:v>
                </c:pt>
                <c:pt idx="106">
                  <c:v>3T73</c:v>
                </c:pt>
                <c:pt idx="107">
                  <c:v>4T73</c:v>
                </c:pt>
                <c:pt idx="108">
                  <c:v>1T74</c:v>
                </c:pt>
                <c:pt idx="109">
                  <c:v>2T74</c:v>
                </c:pt>
                <c:pt idx="110">
                  <c:v>3T74</c:v>
                </c:pt>
                <c:pt idx="111">
                  <c:v>4T74</c:v>
                </c:pt>
                <c:pt idx="112">
                  <c:v>1T75</c:v>
                </c:pt>
                <c:pt idx="113">
                  <c:v>2T75</c:v>
                </c:pt>
                <c:pt idx="114">
                  <c:v>3T75</c:v>
                </c:pt>
                <c:pt idx="115">
                  <c:v>4T75</c:v>
                </c:pt>
                <c:pt idx="116">
                  <c:v>1T76</c:v>
                </c:pt>
                <c:pt idx="117">
                  <c:v>2T76</c:v>
                </c:pt>
                <c:pt idx="118">
                  <c:v>3T76</c:v>
                </c:pt>
                <c:pt idx="119">
                  <c:v>4T76</c:v>
                </c:pt>
                <c:pt idx="120">
                  <c:v>1T77</c:v>
                </c:pt>
                <c:pt idx="121">
                  <c:v>2T77</c:v>
                </c:pt>
                <c:pt idx="122">
                  <c:v>3T77</c:v>
                </c:pt>
                <c:pt idx="123">
                  <c:v>4T77</c:v>
                </c:pt>
                <c:pt idx="124">
                  <c:v>1T78</c:v>
                </c:pt>
                <c:pt idx="125">
                  <c:v>2T78</c:v>
                </c:pt>
                <c:pt idx="126">
                  <c:v>3T78</c:v>
                </c:pt>
                <c:pt idx="127">
                  <c:v>4T78</c:v>
                </c:pt>
                <c:pt idx="128">
                  <c:v>1T79</c:v>
                </c:pt>
                <c:pt idx="129">
                  <c:v>2T79</c:v>
                </c:pt>
                <c:pt idx="130">
                  <c:v>3T79</c:v>
                </c:pt>
                <c:pt idx="131">
                  <c:v>4T79</c:v>
                </c:pt>
                <c:pt idx="132">
                  <c:v>1T80</c:v>
                </c:pt>
                <c:pt idx="133">
                  <c:v>2T80</c:v>
                </c:pt>
                <c:pt idx="134">
                  <c:v>3T80</c:v>
                </c:pt>
                <c:pt idx="135">
                  <c:v>4T80</c:v>
                </c:pt>
                <c:pt idx="136">
                  <c:v>1T81</c:v>
                </c:pt>
                <c:pt idx="137">
                  <c:v>2T81</c:v>
                </c:pt>
                <c:pt idx="138">
                  <c:v>3T81</c:v>
                </c:pt>
                <c:pt idx="139">
                  <c:v>4T81</c:v>
                </c:pt>
                <c:pt idx="140">
                  <c:v>1T82</c:v>
                </c:pt>
                <c:pt idx="141">
                  <c:v>2T82</c:v>
                </c:pt>
                <c:pt idx="142">
                  <c:v>3T82</c:v>
                </c:pt>
                <c:pt idx="143">
                  <c:v>4T82</c:v>
                </c:pt>
                <c:pt idx="144">
                  <c:v>1T83</c:v>
                </c:pt>
                <c:pt idx="145">
                  <c:v>2T83</c:v>
                </c:pt>
                <c:pt idx="146">
                  <c:v>3T83</c:v>
                </c:pt>
                <c:pt idx="147">
                  <c:v>4T83</c:v>
                </c:pt>
                <c:pt idx="148">
                  <c:v>1T84</c:v>
                </c:pt>
                <c:pt idx="149">
                  <c:v>2T84</c:v>
                </c:pt>
                <c:pt idx="150">
                  <c:v>3T84</c:v>
                </c:pt>
                <c:pt idx="151">
                  <c:v>4T84</c:v>
                </c:pt>
                <c:pt idx="152">
                  <c:v>1T85</c:v>
                </c:pt>
                <c:pt idx="153">
                  <c:v>2T85</c:v>
                </c:pt>
                <c:pt idx="154">
                  <c:v>3T85</c:v>
                </c:pt>
                <c:pt idx="155">
                  <c:v>4T85</c:v>
                </c:pt>
                <c:pt idx="156">
                  <c:v>1T86</c:v>
                </c:pt>
                <c:pt idx="157">
                  <c:v>2T86</c:v>
                </c:pt>
                <c:pt idx="158">
                  <c:v>3T86</c:v>
                </c:pt>
                <c:pt idx="159">
                  <c:v>4T86</c:v>
                </c:pt>
                <c:pt idx="160">
                  <c:v>1T87</c:v>
                </c:pt>
                <c:pt idx="161">
                  <c:v>2T87</c:v>
                </c:pt>
                <c:pt idx="162">
                  <c:v>3T87</c:v>
                </c:pt>
                <c:pt idx="163">
                  <c:v>4T87</c:v>
                </c:pt>
                <c:pt idx="164">
                  <c:v>1T88</c:v>
                </c:pt>
                <c:pt idx="165">
                  <c:v>2T88</c:v>
                </c:pt>
                <c:pt idx="166">
                  <c:v>3T88</c:v>
                </c:pt>
                <c:pt idx="167">
                  <c:v>4T88</c:v>
                </c:pt>
                <c:pt idx="168">
                  <c:v>1T89</c:v>
                </c:pt>
                <c:pt idx="169">
                  <c:v>2T89</c:v>
                </c:pt>
                <c:pt idx="170">
                  <c:v>3T89</c:v>
                </c:pt>
                <c:pt idx="171">
                  <c:v>4T89</c:v>
                </c:pt>
                <c:pt idx="172">
                  <c:v>1T90</c:v>
                </c:pt>
                <c:pt idx="173">
                  <c:v>2T90</c:v>
                </c:pt>
                <c:pt idx="174">
                  <c:v>3T90</c:v>
                </c:pt>
                <c:pt idx="175">
                  <c:v>4T90</c:v>
                </c:pt>
                <c:pt idx="176">
                  <c:v>1T91</c:v>
                </c:pt>
                <c:pt idx="177">
                  <c:v>2T91</c:v>
                </c:pt>
                <c:pt idx="178">
                  <c:v>3T91</c:v>
                </c:pt>
                <c:pt idx="179">
                  <c:v>4T91</c:v>
                </c:pt>
                <c:pt idx="180">
                  <c:v>1T92</c:v>
                </c:pt>
                <c:pt idx="181">
                  <c:v>2T92</c:v>
                </c:pt>
                <c:pt idx="182">
                  <c:v>3T92</c:v>
                </c:pt>
                <c:pt idx="183">
                  <c:v>4T92</c:v>
                </c:pt>
                <c:pt idx="184">
                  <c:v>1T93</c:v>
                </c:pt>
                <c:pt idx="185">
                  <c:v>2T93</c:v>
                </c:pt>
                <c:pt idx="186">
                  <c:v>3T93</c:v>
                </c:pt>
                <c:pt idx="187">
                  <c:v>4T93</c:v>
                </c:pt>
                <c:pt idx="188">
                  <c:v>1T94</c:v>
                </c:pt>
                <c:pt idx="189">
                  <c:v>2T94</c:v>
                </c:pt>
                <c:pt idx="190">
                  <c:v>3T94</c:v>
                </c:pt>
                <c:pt idx="191">
                  <c:v>4T94</c:v>
                </c:pt>
                <c:pt idx="192">
                  <c:v>1T95</c:v>
                </c:pt>
                <c:pt idx="193">
                  <c:v>2T95</c:v>
                </c:pt>
                <c:pt idx="194">
                  <c:v>3T95</c:v>
                </c:pt>
                <c:pt idx="195">
                  <c:v>4T95</c:v>
                </c:pt>
                <c:pt idx="196">
                  <c:v>1T96</c:v>
                </c:pt>
                <c:pt idx="197">
                  <c:v>2T96</c:v>
                </c:pt>
                <c:pt idx="198">
                  <c:v>3T96</c:v>
                </c:pt>
                <c:pt idx="199">
                  <c:v>4T96</c:v>
                </c:pt>
                <c:pt idx="200">
                  <c:v>1T97</c:v>
                </c:pt>
                <c:pt idx="201">
                  <c:v>2T97</c:v>
                </c:pt>
                <c:pt idx="202">
                  <c:v>3T97</c:v>
                </c:pt>
                <c:pt idx="203">
                  <c:v>4T97</c:v>
                </c:pt>
                <c:pt idx="204">
                  <c:v>1T98</c:v>
                </c:pt>
                <c:pt idx="205">
                  <c:v>2T98</c:v>
                </c:pt>
                <c:pt idx="206">
                  <c:v>3T98</c:v>
                </c:pt>
                <c:pt idx="207">
                  <c:v>4T98</c:v>
                </c:pt>
                <c:pt idx="208">
                  <c:v>1T99</c:v>
                </c:pt>
                <c:pt idx="209">
                  <c:v>2T99</c:v>
                </c:pt>
                <c:pt idx="210">
                  <c:v>3T99</c:v>
                </c:pt>
                <c:pt idx="211">
                  <c:v>4T99</c:v>
                </c:pt>
                <c:pt idx="212">
                  <c:v>1T00</c:v>
                </c:pt>
                <c:pt idx="213">
                  <c:v>2T00</c:v>
                </c:pt>
                <c:pt idx="214">
                  <c:v>3T00</c:v>
                </c:pt>
                <c:pt idx="215">
                  <c:v>4T00</c:v>
                </c:pt>
                <c:pt idx="216">
                  <c:v>1T01</c:v>
                </c:pt>
                <c:pt idx="217">
                  <c:v>2T01</c:v>
                </c:pt>
                <c:pt idx="218">
                  <c:v>3T01</c:v>
                </c:pt>
                <c:pt idx="219">
                  <c:v>4T01</c:v>
                </c:pt>
                <c:pt idx="220">
                  <c:v>1T02</c:v>
                </c:pt>
                <c:pt idx="221">
                  <c:v>2T02</c:v>
                </c:pt>
                <c:pt idx="222">
                  <c:v>3T02</c:v>
                </c:pt>
                <c:pt idx="223">
                  <c:v>4T02</c:v>
                </c:pt>
                <c:pt idx="224">
                  <c:v>1T03</c:v>
                </c:pt>
                <c:pt idx="225">
                  <c:v>2T03</c:v>
                </c:pt>
                <c:pt idx="226">
                  <c:v>3T03</c:v>
                </c:pt>
                <c:pt idx="227">
                  <c:v>4T03</c:v>
                </c:pt>
                <c:pt idx="228">
                  <c:v>1T04</c:v>
                </c:pt>
                <c:pt idx="229">
                  <c:v>2T04</c:v>
                </c:pt>
                <c:pt idx="230">
                  <c:v>3T04</c:v>
                </c:pt>
                <c:pt idx="231">
                  <c:v>4T04</c:v>
                </c:pt>
                <c:pt idx="232">
                  <c:v>1T05</c:v>
                </c:pt>
                <c:pt idx="233">
                  <c:v>2T05</c:v>
                </c:pt>
                <c:pt idx="234">
                  <c:v>3T05</c:v>
                </c:pt>
                <c:pt idx="235">
                  <c:v>4T05</c:v>
                </c:pt>
                <c:pt idx="236">
                  <c:v>1T06</c:v>
                </c:pt>
                <c:pt idx="237">
                  <c:v>2T06</c:v>
                </c:pt>
                <c:pt idx="238">
                  <c:v>3T06</c:v>
                </c:pt>
                <c:pt idx="239">
                  <c:v>4T06</c:v>
                </c:pt>
                <c:pt idx="240">
                  <c:v>1T07</c:v>
                </c:pt>
                <c:pt idx="241">
                  <c:v>2T07</c:v>
                </c:pt>
                <c:pt idx="242">
                  <c:v>3T07</c:v>
                </c:pt>
                <c:pt idx="243">
                  <c:v>4T07</c:v>
                </c:pt>
                <c:pt idx="244">
                  <c:v>1T08</c:v>
                </c:pt>
                <c:pt idx="245">
                  <c:v>2T08</c:v>
                </c:pt>
                <c:pt idx="246">
                  <c:v>3T08</c:v>
                </c:pt>
                <c:pt idx="247">
                  <c:v>4T08</c:v>
                </c:pt>
                <c:pt idx="248">
                  <c:v>1T09</c:v>
                </c:pt>
                <c:pt idx="249">
                  <c:v>2T09</c:v>
                </c:pt>
                <c:pt idx="250">
                  <c:v>3T09</c:v>
                </c:pt>
                <c:pt idx="251">
                  <c:v>4T09</c:v>
                </c:pt>
                <c:pt idx="252">
                  <c:v>1T10</c:v>
                </c:pt>
                <c:pt idx="253">
                  <c:v>2T10</c:v>
                </c:pt>
                <c:pt idx="254">
                  <c:v>3T10</c:v>
                </c:pt>
                <c:pt idx="255">
                  <c:v>4T10</c:v>
                </c:pt>
                <c:pt idx="256">
                  <c:v>1T11</c:v>
                </c:pt>
                <c:pt idx="257">
                  <c:v>2T11</c:v>
                </c:pt>
                <c:pt idx="258">
                  <c:v>3T11</c:v>
                </c:pt>
                <c:pt idx="259">
                  <c:v>4T11</c:v>
                </c:pt>
                <c:pt idx="260">
                  <c:v>1T12</c:v>
                </c:pt>
                <c:pt idx="261">
                  <c:v>2T12</c:v>
                </c:pt>
                <c:pt idx="262">
                  <c:v>3T12</c:v>
                </c:pt>
                <c:pt idx="263">
                  <c:v>4T12</c:v>
                </c:pt>
                <c:pt idx="264">
                  <c:v>1T13</c:v>
                </c:pt>
                <c:pt idx="265">
                  <c:v>2T13</c:v>
                </c:pt>
                <c:pt idx="266">
                  <c:v>3T13</c:v>
                </c:pt>
                <c:pt idx="267">
                  <c:v>4T13</c:v>
                </c:pt>
                <c:pt idx="268">
                  <c:v>1T14</c:v>
                </c:pt>
                <c:pt idx="269">
                  <c:v>2T14</c:v>
                </c:pt>
                <c:pt idx="270">
                  <c:v>3T14</c:v>
                </c:pt>
                <c:pt idx="271">
                  <c:v>4T14</c:v>
                </c:pt>
                <c:pt idx="272">
                  <c:v>1T15</c:v>
                </c:pt>
                <c:pt idx="273">
                  <c:v>2T15</c:v>
                </c:pt>
                <c:pt idx="274">
                  <c:v>3T15</c:v>
                </c:pt>
                <c:pt idx="275">
                  <c:v>4T15</c:v>
                </c:pt>
                <c:pt idx="276">
                  <c:v>1T16</c:v>
                </c:pt>
                <c:pt idx="277">
                  <c:v>2T16</c:v>
                </c:pt>
                <c:pt idx="278">
                  <c:v>3T16</c:v>
                </c:pt>
                <c:pt idx="279">
                  <c:v>4T16</c:v>
                </c:pt>
                <c:pt idx="280">
                  <c:v>1T17</c:v>
                </c:pt>
                <c:pt idx="281">
                  <c:v>2T17</c:v>
                </c:pt>
                <c:pt idx="282">
                  <c:v>3T17</c:v>
                </c:pt>
                <c:pt idx="283">
                  <c:v>4T17</c:v>
                </c:pt>
                <c:pt idx="284">
                  <c:v>1T18</c:v>
                </c:pt>
                <c:pt idx="285">
                  <c:v>2T18</c:v>
                </c:pt>
                <c:pt idx="286">
                  <c:v>3T18</c:v>
                </c:pt>
                <c:pt idx="287">
                  <c:v>4T18</c:v>
                </c:pt>
                <c:pt idx="288">
                  <c:v>1T19</c:v>
                </c:pt>
                <c:pt idx="289">
                  <c:v>2T19</c:v>
                </c:pt>
                <c:pt idx="290">
                  <c:v>3T19</c:v>
                </c:pt>
                <c:pt idx="291">
                  <c:v>4T19</c:v>
                </c:pt>
                <c:pt idx="292">
                  <c:v>1T20</c:v>
                </c:pt>
                <c:pt idx="293">
                  <c:v>2T20</c:v>
                </c:pt>
                <c:pt idx="294">
                  <c:v>3T20</c:v>
                </c:pt>
                <c:pt idx="295">
                  <c:v>4T20</c:v>
                </c:pt>
                <c:pt idx="296">
                  <c:v>1T21</c:v>
                </c:pt>
                <c:pt idx="297">
                  <c:v>2T21</c:v>
                </c:pt>
                <c:pt idx="298">
                  <c:v>3T21</c:v>
                </c:pt>
                <c:pt idx="299">
                  <c:v>4T21</c:v>
                </c:pt>
                <c:pt idx="300">
                  <c:v>1T22</c:v>
                </c:pt>
                <c:pt idx="301">
                  <c:v>2T22</c:v>
                </c:pt>
                <c:pt idx="302">
                  <c:v>3T22</c:v>
                </c:pt>
                <c:pt idx="303">
                  <c:v>4T22</c:v>
                </c:pt>
                <c:pt idx="304">
                  <c:v>1T23</c:v>
                </c:pt>
                <c:pt idx="305">
                  <c:v>2T23</c:v>
                </c:pt>
                <c:pt idx="306">
                  <c:v>3T23</c:v>
                </c:pt>
                <c:pt idx="307">
                  <c:v>4T23</c:v>
                </c:pt>
                <c:pt idx="308">
                  <c:v>1T24</c:v>
                </c:pt>
                <c:pt idx="309">
                  <c:v>2T24</c:v>
                </c:pt>
                <c:pt idx="310">
                  <c:v>3T24</c:v>
                </c:pt>
              </c:strCache>
            </c:strRef>
          </c:cat>
          <c:val>
            <c:numRef>
              <c:f>'GDP + ECI (Quarter)'!$B$3:$B$313</c:f>
              <c:numCache>
                <c:formatCode>_-[$$-409]* #,##0_ ;_-[$$-409]* \-#,##0\ ;_-[$$-409]* "-"??_ ;_-@_ </c:formatCode>
                <c:ptCount val="311"/>
                <c:pt idx="0">
                  <c:v>2182.681</c:v>
                </c:pt>
                <c:pt idx="1">
                  <c:v>2176.8919999999998</c:v>
                </c:pt>
                <c:pt idx="2">
                  <c:v>2172.4319999999998</c:v>
                </c:pt>
                <c:pt idx="3">
                  <c:v>2206.4520000000002</c:v>
                </c:pt>
                <c:pt idx="4">
                  <c:v>2239.6819999999998</c:v>
                </c:pt>
                <c:pt idx="5">
                  <c:v>2276.69</c:v>
                </c:pt>
                <c:pt idx="6">
                  <c:v>2289.77</c:v>
                </c:pt>
                <c:pt idx="7">
                  <c:v>2292.364</c:v>
                </c:pt>
                <c:pt idx="8">
                  <c:v>2260.8069999999998</c:v>
                </c:pt>
                <c:pt idx="9">
                  <c:v>2253.1280000000002</c:v>
                </c:pt>
                <c:pt idx="10">
                  <c:v>2276.424</c:v>
                </c:pt>
                <c:pt idx="11">
                  <c:v>2257.3519999999999</c:v>
                </c:pt>
                <c:pt idx="12">
                  <c:v>2346.1039999999998</c:v>
                </c:pt>
                <c:pt idx="13">
                  <c:v>2417.6819999999998</c:v>
                </c:pt>
                <c:pt idx="14">
                  <c:v>2511.127</c:v>
                </c:pt>
                <c:pt idx="15">
                  <c:v>2559.2139999999999</c:v>
                </c:pt>
                <c:pt idx="16">
                  <c:v>2593.9670000000001</c:v>
                </c:pt>
                <c:pt idx="17">
                  <c:v>2638.8980000000001</c:v>
                </c:pt>
                <c:pt idx="18">
                  <c:v>2693.259</c:v>
                </c:pt>
                <c:pt idx="19">
                  <c:v>2699.1559999999999</c:v>
                </c:pt>
                <c:pt idx="20">
                  <c:v>2727.9540000000002</c:v>
                </c:pt>
                <c:pt idx="21">
                  <c:v>2733.8</c:v>
                </c:pt>
                <c:pt idx="22">
                  <c:v>2753.5169999999998</c:v>
                </c:pt>
                <c:pt idx="23">
                  <c:v>2843.9409999999998</c:v>
                </c:pt>
                <c:pt idx="24">
                  <c:v>2896.8110000000001</c:v>
                </c:pt>
                <c:pt idx="25">
                  <c:v>2919.2060000000001</c:v>
                </c:pt>
                <c:pt idx="26">
                  <c:v>2902.7849999999999</c:v>
                </c:pt>
                <c:pt idx="27">
                  <c:v>2858.8449999999998</c:v>
                </c:pt>
                <c:pt idx="28">
                  <c:v>2845.192</c:v>
                </c:pt>
                <c:pt idx="29">
                  <c:v>2848.3049999999998</c:v>
                </c:pt>
                <c:pt idx="30">
                  <c:v>2880.482</c:v>
                </c:pt>
                <c:pt idx="31">
                  <c:v>2936.8519999999999</c:v>
                </c:pt>
                <c:pt idx="32">
                  <c:v>3020.7460000000001</c:v>
                </c:pt>
                <c:pt idx="33">
                  <c:v>3069.91</c:v>
                </c:pt>
                <c:pt idx="34">
                  <c:v>3111.3789999999999</c:v>
                </c:pt>
                <c:pt idx="35">
                  <c:v>3130.0680000000002</c:v>
                </c:pt>
                <c:pt idx="36">
                  <c:v>3117.922</c:v>
                </c:pt>
                <c:pt idx="37">
                  <c:v>3143.694</c:v>
                </c:pt>
                <c:pt idx="38">
                  <c:v>3140.8739999999998</c:v>
                </c:pt>
                <c:pt idx="39">
                  <c:v>3192.57</c:v>
                </c:pt>
                <c:pt idx="40">
                  <c:v>3213.011</c:v>
                </c:pt>
                <c:pt idx="41">
                  <c:v>3205.97</c:v>
                </c:pt>
                <c:pt idx="42">
                  <c:v>3237.386</c:v>
                </c:pt>
                <c:pt idx="43">
                  <c:v>3203.8939999999998</c:v>
                </c:pt>
                <c:pt idx="44">
                  <c:v>3120.7240000000002</c:v>
                </c:pt>
                <c:pt idx="45">
                  <c:v>3141.2240000000002</c:v>
                </c:pt>
                <c:pt idx="46">
                  <c:v>3213.884</c:v>
                </c:pt>
                <c:pt idx="47">
                  <c:v>3289.0320000000002</c:v>
                </c:pt>
                <c:pt idx="48">
                  <c:v>3352.1289999999999</c:v>
                </c:pt>
                <c:pt idx="49">
                  <c:v>3427.6669999999999</c:v>
                </c:pt>
                <c:pt idx="50">
                  <c:v>3430.0569999999998</c:v>
                </c:pt>
                <c:pt idx="51">
                  <c:v>3439.8319999999999</c:v>
                </c:pt>
                <c:pt idx="52">
                  <c:v>3517.181</c:v>
                </c:pt>
                <c:pt idx="53">
                  <c:v>3498.2460000000001</c:v>
                </c:pt>
                <c:pt idx="54">
                  <c:v>3515.3850000000002</c:v>
                </c:pt>
                <c:pt idx="55">
                  <c:v>3470.2779999999998</c:v>
                </c:pt>
                <c:pt idx="56">
                  <c:v>3493.703</c:v>
                </c:pt>
                <c:pt idx="57">
                  <c:v>3553.0210000000002</c:v>
                </c:pt>
                <c:pt idx="58">
                  <c:v>3621.252</c:v>
                </c:pt>
                <c:pt idx="59">
                  <c:v>3692.2890000000002</c:v>
                </c:pt>
                <c:pt idx="60">
                  <c:v>3758.1469999999999</c:v>
                </c:pt>
                <c:pt idx="61">
                  <c:v>3792.1489999999999</c:v>
                </c:pt>
                <c:pt idx="62">
                  <c:v>3838.7759999999998</c:v>
                </c:pt>
                <c:pt idx="63">
                  <c:v>3851.4209999999998</c:v>
                </c:pt>
                <c:pt idx="64">
                  <c:v>3893.482</c:v>
                </c:pt>
                <c:pt idx="65">
                  <c:v>3937.183</c:v>
                </c:pt>
                <c:pt idx="66">
                  <c:v>4023.7550000000001</c:v>
                </c:pt>
                <c:pt idx="67">
                  <c:v>4050.1469999999999</c:v>
                </c:pt>
                <c:pt idx="68">
                  <c:v>4135.5529999999999</c:v>
                </c:pt>
                <c:pt idx="69">
                  <c:v>4180.5919999999996</c:v>
                </c:pt>
                <c:pt idx="70">
                  <c:v>4245.9179999999997</c:v>
                </c:pt>
                <c:pt idx="71">
                  <c:v>4259.0460000000003</c:v>
                </c:pt>
                <c:pt idx="72">
                  <c:v>4362.1109999999999</c:v>
                </c:pt>
                <c:pt idx="73">
                  <c:v>4417.2250000000004</c:v>
                </c:pt>
                <c:pt idx="74">
                  <c:v>4515.4269999999997</c:v>
                </c:pt>
                <c:pt idx="75">
                  <c:v>4619.4579999999996</c:v>
                </c:pt>
                <c:pt idx="76">
                  <c:v>4731.8879999999999</c:v>
                </c:pt>
                <c:pt idx="77">
                  <c:v>4748.0460000000003</c:v>
                </c:pt>
                <c:pt idx="78">
                  <c:v>4788.2539999999999</c:v>
                </c:pt>
                <c:pt idx="79">
                  <c:v>4827.5370000000003</c:v>
                </c:pt>
                <c:pt idx="80">
                  <c:v>4870.299</c:v>
                </c:pt>
                <c:pt idx="81">
                  <c:v>4873.2870000000003</c:v>
                </c:pt>
                <c:pt idx="82">
                  <c:v>4919.3919999999998</c:v>
                </c:pt>
                <c:pt idx="83">
                  <c:v>4956.4769999999999</c:v>
                </c:pt>
                <c:pt idx="84">
                  <c:v>5057.5529999999999</c:v>
                </c:pt>
                <c:pt idx="85">
                  <c:v>5142.0330000000004</c:v>
                </c:pt>
                <c:pt idx="86">
                  <c:v>5181.8590000000004</c:v>
                </c:pt>
                <c:pt idx="87">
                  <c:v>5202.2120000000004</c:v>
                </c:pt>
                <c:pt idx="88">
                  <c:v>5283.5969999999998</c:v>
                </c:pt>
                <c:pt idx="89">
                  <c:v>5299.625</c:v>
                </c:pt>
                <c:pt idx="90">
                  <c:v>5334.6</c:v>
                </c:pt>
                <c:pt idx="91">
                  <c:v>5308.5559999999996</c:v>
                </c:pt>
                <c:pt idx="92">
                  <c:v>5300.652</c:v>
                </c:pt>
                <c:pt idx="93">
                  <c:v>5308.1639999999998</c:v>
                </c:pt>
                <c:pt idx="94">
                  <c:v>5357.0770000000002</c:v>
                </c:pt>
                <c:pt idx="95">
                  <c:v>5299.6719999999996</c:v>
                </c:pt>
                <c:pt idx="96">
                  <c:v>5443.6189999999997</c:v>
                </c:pt>
                <c:pt idx="97">
                  <c:v>5473.0590000000002</c:v>
                </c:pt>
                <c:pt idx="98">
                  <c:v>5518.0720000000001</c:v>
                </c:pt>
                <c:pt idx="99">
                  <c:v>5531.0320000000002</c:v>
                </c:pt>
                <c:pt idx="100">
                  <c:v>5632.6490000000003</c:v>
                </c:pt>
                <c:pt idx="101">
                  <c:v>5760.47</c:v>
                </c:pt>
                <c:pt idx="102">
                  <c:v>5814.8540000000003</c:v>
                </c:pt>
                <c:pt idx="103">
                  <c:v>5912.22</c:v>
                </c:pt>
                <c:pt idx="104">
                  <c:v>6058.5439999999999</c:v>
                </c:pt>
                <c:pt idx="105">
                  <c:v>6124.5060000000003</c:v>
                </c:pt>
                <c:pt idx="106">
                  <c:v>6092.3010000000004</c:v>
                </c:pt>
                <c:pt idx="107">
                  <c:v>6150.1310000000003</c:v>
                </c:pt>
                <c:pt idx="108">
                  <c:v>6097.2579999999998</c:v>
                </c:pt>
                <c:pt idx="109">
                  <c:v>6111.7510000000002</c:v>
                </c:pt>
                <c:pt idx="110">
                  <c:v>6053.9780000000001</c:v>
                </c:pt>
                <c:pt idx="111">
                  <c:v>6030.4639999999999</c:v>
                </c:pt>
                <c:pt idx="112">
                  <c:v>5957.0349999999999</c:v>
                </c:pt>
                <c:pt idx="113">
                  <c:v>5999.61</c:v>
                </c:pt>
                <c:pt idx="114">
                  <c:v>6102.326</c:v>
                </c:pt>
                <c:pt idx="115">
                  <c:v>6184.53</c:v>
                </c:pt>
                <c:pt idx="116">
                  <c:v>6323.6490000000003</c:v>
                </c:pt>
                <c:pt idx="117">
                  <c:v>6370.0249999999996</c:v>
                </c:pt>
                <c:pt idx="118">
                  <c:v>6404.8950000000004</c:v>
                </c:pt>
                <c:pt idx="119">
                  <c:v>6451.1769999999997</c:v>
                </c:pt>
                <c:pt idx="120">
                  <c:v>6527.7030000000004</c:v>
                </c:pt>
                <c:pt idx="121">
                  <c:v>6654.4660000000003</c:v>
                </c:pt>
                <c:pt idx="122">
                  <c:v>6774.4570000000003</c:v>
                </c:pt>
                <c:pt idx="123">
                  <c:v>6774.5919999999996</c:v>
                </c:pt>
                <c:pt idx="124">
                  <c:v>6796.26</c:v>
                </c:pt>
                <c:pt idx="125">
                  <c:v>7058.92</c:v>
                </c:pt>
                <c:pt idx="126">
                  <c:v>7129.915</c:v>
                </c:pt>
                <c:pt idx="127">
                  <c:v>7225.75</c:v>
                </c:pt>
                <c:pt idx="128">
                  <c:v>7238.7269999999999</c:v>
                </c:pt>
                <c:pt idx="129">
                  <c:v>7246.4539999999997</c:v>
                </c:pt>
                <c:pt idx="130">
                  <c:v>7300.2809999999999</c:v>
                </c:pt>
                <c:pt idx="131">
                  <c:v>7318.5349999999999</c:v>
                </c:pt>
                <c:pt idx="132">
                  <c:v>7341.5569999999998</c:v>
                </c:pt>
                <c:pt idx="133">
                  <c:v>7190.2889999999998</c:v>
                </c:pt>
                <c:pt idx="134">
                  <c:v>7181.7430000000004</c:v>
                </c:pt>
                <c:pt idx="135">
                  <c:v>7315.6769999999997</c:v>
                </c:pt>
                <c:pt idx="136">
                  <c:v>7459.0219999999999</c:v>
                </c:pt>
                <c:pt idx="137">
                  <c:v>7403.7449999999999</c:v>
                </c:pt>
                <c:pt idx="138">
                  <c:v>7492.4049999999997</c:v>
                </c:pt>
                <c:pt idx="139">
                  <c:v>7410.768</c:v>
                </c:pt>
                <c:pt idx="140">
                  <c:v>7295.6310000000003</c:v>
                </c:pt>
                <c:pt idx="141">
                  <c:v>7328.9120000000003</c:v>
                </c:pt>
                <c:pt idx="142">
                  <c:v>7300.8959999999997</c:v>
                </c:pt>
                <c:pt idx="143">
                  <c:v>7303.817</c:v>
                </c:pt>
                <c:pt idx="144">
                  <c:v>7400.0659999999998</c:v>
                </c:pt>
                <c:pt idx="145">
                  <c:v>7568.4560000000001</c:v>
                </c:pt>
                <c:pt idx="146">
                  <c:v>7719.7460000000001</c:v>
                </c:pt>
                <c:pt idx="147">
                  <c:v>7880.7939999999999</c:v>
                </c:pt>
                <c:pt idx="148">
                  <c:v>8034.8469999999998</c:v>
                </c:pt>
                <c:pt idx="149">
                  <c:v>8173.67</c:v>
                </c:pt>
                <c:pt idx="150">
                  <c:v>8252.4650000000001</c:v>
                </c:pt>
                <c:pt idx="151">
                  <c:v>8320.1990000000005</c:v>
                </c:pt>
                <c:pt idx="152">
                  <c:v>8400.82</c:v>
                </c:pt>
                <c:pt idx="153">
                  <c:v>8474.7870000000003</c:v>
                </c:pt>
                <c:pt idx="154">
                  <c:v>8604.2199999999993</c:v>
                </c:pt>
                <c:pt idx="155">
                  <c:v>8668.1880000000001</c:v>
                </c:pt>
                <c:pt idx="156">
                  <c:v>8749.1270000000004</c:v>
                </c:pt>
                <c:pt idx="157">
                  <c:v>8788.5239999999994</c:v>
                </c:pt>
                <c:pt idx="158">
                  <c:v>8872.6010000000006</c:v>
                </c:pt>
                <c:pt idx="159">
                  <c:v>8920.1929999999993</c:v>
                </c:pt>
                <c:pt idx="160">
                  <c:v>8986.3670000000002</c:v>
                </c:pt>
                <c:pt idx="161">
                  <c:v>9083.2559999999994</c:v>
                </c:pt>
                <c:pt idx="162">
                  <c:v>9162.0239999999994</c:v>
                </c:pt>
                <c:pt idx="163">
                  <c:v>9319.3320000000003</c:v>
                </c:pt>
                <c:pt idx="164">
                  <c:v>9367.5020000000004</c:v>
                </c:pt>
                <c:pt idx="165">
                  <c:v>9490.5939999999991</c:v>
                </c:pt>
                <c:pt idx="166">
                  <c:v>9546.2060000000001</c:v>
                </c:pt>
                <c:pt idx="167">
                  <c:v>9673.4050000000007</c:v>
                </c:pt>
                <c:pt idx="168">
                  <c:v>9771.7250000000004</c:v>
                </c:pt>
                <c:pt idx="169">
                  <c:v>9846.2929999999997</c:v>
                </c:pt>
                <c:pt idx="170">
                  <c:v>9919.2279999999992</c:v>
                </c:pt>
                <c:pt idx="171">
                  <c:v>9938.7669999999998</c:v>
                </c:pt>
                <c:pt idx="172">
                  <c:v>10047.386</c:v>
                </c:pt>
                <c:pt idx="173">
                  <c:v>10083.855</c:v>
                </c:pt>
                <c:pt idx="174">
                  <c:v>10090.569</c:v>
                </c:pt>
                <c:pt idx="175">
                  <c:v>9998.7039999999997</c:v>
                </c:pt>
                <c:pt idx="176">
                  <c:v>9951.9159999999993</c:v>
                </c:pt>
                <c:pt idx="177">
                  <c:v>10029.51</c:v>
                </c:pt>
                <c:pt idx="178">
                  <c:v>10080.195</c:v>
                </c:pt>
                <c:pt idx="179">
                  <c:v>10115.329</c:v>
                </c:pt>
                <c:pt idx="180">
                  <c:v>10236.434999999999</c:v>
                </c:pt>
                <c:pt idx="181">
                  <c:v>10347.429</c:v>
                </c:pt>
                <c:pt idx="182">
                  <c:v>10449.673000000001</c:v>
                </c:pt>
                <c:pt idx="183">
                  <c:v>10558.647999999999</c:v>
                </c:pt>
                <c:pt idx="184">
                  <c:v>10576.275</c:v>
                </c:pt>
                <c:pt idx="185">
                  <c:v>10637.847</c:v>
                </c:pt>
                <c:pt idx="186">
                  <c:v>10688.606</c:v>
                </c:pt>
                <c:pt idx="187">
                  <c:v>10833.986999999999</c:v>
                </c:pt>
                <c:pt idx="188">
                  <c:v>10939.116</c:v>
                </c:pt>
                <c:pt idx="189">
                  <c:v>11087.361000000001</c:v>
                </c:pt>
                <c:pt idx="190">
                  <c:v>11152.175999999999</c:v>
                </c:pt>
                <c:pt idx="191">
                  <c:v>11279.932000000001</c:v>
                </c:pt>
                <c:pt idx="192">
                  <c:v>11319.950999999999</c:v>
                </c:pt>
                <c:pt idx="193">
                  <c:v>11353.721</c:v>
                </c:pt>
                <c:pt idx="194">
                  <c:v>11450.31</c:v>
                </c:pt>
                <c:pt idx="195">
                  <c:v>11528.066999999999</c:v>
                </c:pt>
                <c:pt idx="196">
                  <c:v>11614.418</c:v>
                </c:pt>
                <c:pt idx="197">
                  <c:v>11808.14</c:v>
                </c:pt>
                <c:pt idx="198">
                  <c:v>11914.063</c:v>
                </c:pt>
                <c:pt idx="199">
                  <c:v>12037.775</c:v>
                </c:pt>
                <c:pt idx="200">
                  <c:v>12115.472</c:v>
                </c:pt>
                <c:pt idx="201">
                  <c:v>12317.221</c:v>
                </c:pt>
                <c:pt idx="202">
                  <c:v>12471.01</c:v>
                </c:pt>
                <c:pt idx="203">
                  <c:v>12577.495000000001</c:v>
                </c:pt>
                <c:pt idx="204">
                  <c:v>12703.742</c:v>
                </c:pt>
                <c:pt idx="205">
                  <c:v>12821.339</c:v>
                </c:pt>
                <c:pt idx="206">
                  <c:v>12982.752</c:v>
                </c:pt>
                <c:pt idx="207">
                  <c:v>13191.67</c:v>
                </c:pt>
                <c:pt idx="208">
                  <c:v>13315.597</c:v>
                </c:pt>
                <c:pt idx="209">
                  <c:v>13426.748</c:v>
                </c:pt>
                <c:pt idx="210">
                  <c:v>13604.771000000001</c:v>
                </c:pt>
                <c:pt idx="211">
                  <c:v>13827.98</c:v>
                </c:pt>
                <c:pt idx="212">
                  <c:v>13878.147000000001</c:v>
                </c:pt>
                <c:pt idx="213">
                  <c:v>14130.907999999999</c:v>
                </c:pt>
                <c:pt idx="214">
                  <c:v>14145.312</c:v>
                </c:pt>
                <c:pt idx="215">
                  <c:v>14229.764999999999</c:v>
                </c:pt>
                <c:pt idx="216">
                  <c:v>14183.12</c:v>
                </c:pt>
                <c:pt idx="217">
                  <c:v>14271.694</c:v>
                </c:pt>
                <c:pt idx="218">
                  <c:v>14214.516</c:v>
                </c:pt>
                <c:pt idx="219">
                  <c:v>14253.574000000001</c:v>
                </c:pt>
                <c:pt idx="220">
                  <c:v>14372.785</c:v>
                </c:pt>
                <c:pt idx="221">
                  <c:v>14460.848</c:v>
                </c:pt>
                <c:pt idx="222">
                  <c:v>14519.633</c:v>
                </c:pt>
                <c:pt idx="223">
                  <c:v>14537.58</c:v>
                </c:pt>
                <c:pt idx="224">
                  <c:v>14614.141</c:v>
                </c:pt>
                <c:pt idx="225">
                  <c:v>14743.566999999999</c:v>
                </c:pt>
                <c:pt idx="226">
                  <c:v>14988.781999999999</c:v>
                </c:pt>
                <c:pt idx="227">
                  <c:v>15162.76</c:v>
                </c:pt>
                <c:pt idx="228">
                  <c:v>15248.68</c:v>
                </c:pt>
                <c:pt idx="229">
                  <c:v>15366.85</c:v>
                </c:pt>
                <c:pt idx="230">
                  <c:v>15512.619000000001</c:v>
                </c:pt>
                <c:pt idx="231">
                  <c:v>15670.88</c:v>
                </c:pt>
                <c:pt idx="232">
                  <c:v>15844.727000000001</c:v>
                </c:pt>
                <c:pt idx="233">
                  <c:v>15922.781999999999</c:v>
                </c:pt>
                <c:pt idx="234">
                  <c:v>16047.587</c:v>
                </c:pt>
                <c:pt idx="235">
                  <c:v>16136.734</c:v>
                </c:pt>
                <c:pt idx="236">
                  <c:v>16353.834999999999</c:v>
                </c:pt>
                <c:pt idx="237">
                  <c:v>16396.151000000002</c:v>
                </c:pt>
                <c:pt idx="238">
                  <c:v>16420.738000000001</c:v>
                </c:pt>
                <c:pt idx="239">
                  <c:v>16561.866000000002</c:v>
                </c:pt>
                <c:pt idx="240">
                  <c:v>16611.689999999999</c:v>
                </c:pt>
                <c:pt idx="241">
                  <c:v>16713.313999999998</c:v>
                </c:pt>
                <c:pt idx="242">
                  <c:v>16809.587</c:v>
                </c:pt>
                <c:pt idx="243">
                  <c:v>16915.190999999999</c:v>
                </c:pt>
                <c:pt idx="244">
                  <c:v>16843.003000000001</c:v>
                </c:pt>
                <c:pt idx="245">
                  <c:v>16943.291000000001</c:v>
                </c:pt>
                <c:pt idx="246">
                  <c:v>16854.294999999998</c:v>
                </c:pt>
                <c:pt idx="247">
                  <c:v>16485.349999999999</c:v>
                </c:pt>
                <c:pt idx="248">
                  <c:v>16298.262000000001</c:v>
                </c:pt>
                <c:pt idx="249">
                  <c:v>16269.145</c:v>
                </c:pt>
                <c:pt idx="250">
                  <c:v>16326.281000000001</c:v>
                </c:pt>
                <c:pt idx="251">
                  <c:v>16502.754000000001</c:v>
                </c:pt>
                <c:pt idx="252">
                  <c:v>16582.71</c:v>
                </c:pt>
                <c:pt idx="253">
                  <c:v>16743.162</c:v>
                </c:pt>
                <c:pt idx="254">
                  <c:v>16872.266</c:v>
                </c:pt>
                <c:pt idx="255">
                  <c:v>16960.864000000001</c:v>
                </c:pt>
                <c:pt idx="256">
                  <c:v>16920.632000000001</c:v>
                </c:pt>
                <c:pt idx="257">
                  <c:v>17035.114000000001</c:v>
                </c:pt>
                <c:pt idx="258">
                  <c:v>17031.312999999998</c:v>
                </c:pt>
                <c:pt idx="259">
                  <c:v>17222.582999999999</c:v>
                </c:pt>
                <c:pt idx="260">
                  <c:v>17367.009999999998</c:v>
                </c:pt>
                <c:pt idx="261">
                  <c:v>17444.525000000001</c:v>
                </c:pt>
                <c:pt idx="262">
                  <c:v>17469.650000000001</c:v>
                </c:pt>
                <c:pt idx="263">
                  <c:v>17489.851999999999</c:v>
                </c:pt>
                <c:pt idx="264">
                  <c:v>17662.400000000001</c:v>
                </c:pt>
                <c:pt idx="265">
                  <c:v>17709.670999999998</c:v>
                </c:pt>
                <c:pt idx="266">
                  <c:v>17860.45</c:v>
                </c:pt>
                <c:pt idx="267">
                  <c:v>18016.147000000001</c:v>
                </c:pt>
                <c:pt idx="268">
                  <c:v>17953.973999999998</c:v>
                </c:pt>
                <c:pt idx="269">
                  <c:v>18185.911</c:v>
                </c:pt>
                <c:pt idx="270">
                  <c:v>18406.940999999999</c:v>
                </c:pt>
                <c:pt idx="271">
                  <c:v>18500.030999999999</c:v>
                </c:pt>
                <c:pt idx="272">
                  <c:v>18666.620999999999</c:v>
                </c:pt>
                <c:pt idx="273">
                  <c:v>18782.242999999999</c:v>
                </c:pt>
                <c:pt idx="274">
                  <c:v>18857.418000000001</c:v>
                </c:pt>
                <c:pt idx="275">
                  <c:v>18892.205999999998</c:v>
                </c:pt>
                <c:pt idx="276">
                  <c:v>19001.689999999999</c:v>
                </c:pt>
                <c:pt idx="277">
                  <c:v>19062.708999999999</c:v>
                </c:pt>
                <c:pt idx="278">
                  <c:v>19197.937999999998</c:v>
                </c:pt>
                <c:pt idx="279">
                  <c:v>19304.351999999999</c:v>
                </c:pt>
                <c:pt idx="280">
                  <c:v>19398.343000000001</c:v>
                </c:pt>
                <c:pt idx="281">
                  <c:v>19506.949000000001</c:v>
                </c:pt>
                <c:pt idx="282">
                  <c:v>19660.766</c:v>
                </c:pt>
                <c:pt idx="283">
                  <c:v>19882.351999999999</c:v>
                </c:pt>
                <c:pt idx="284">
                  <c:v>20044.077000000001</c:v>
                </c:pt>
                <c:pt idx="285">
                  <c:v>20150.475999999999</c:v>
                </c:pt>
                <c:pt idx="286">
                  <c:v>20276.153999999999</c:v>
                </c:pt>
                <c:pt idx="287">
                  <c:v>20304.874</c:v>
                </c:pt>
                <c:pt idx="288">
                  <c:v>20415.150000000001</c:v>
                </c:pt>
                <c:pt idx="289">
                  <c:v>20584.527999999998</c:v>
                </c:pt>
                <c:pt idx="290">
                  <c:v>20817.580999999998</c:v>
                </c:pt>
                <c:pt idx="291">
                  <c:v>20951.088</c:v>
                </c:pt>
                <c:pt idx="292">
                  <c:v>20665.553</c:v>
                </c:pt>
                <c:pt idx="293">
                  <c:v>19034.830000000002</c:v>
                </c:pt>
                <c:pt idx="294">
                  <c:v>20511.785</c:v>
                </c:pt>
                <c:pt idx="295">
                  <c:v>20724.128000000001</c:v>
                </c:pt>
                <c:pt idx="296">
                  <c:v>20990.541000000001</c:v>
                </c:pt>
                <c:pt idx="297">
                  <c:v>21309.544000000002</c:v>
                </c:pt>
                <c:pt idx="298">
                  <c:v>21483.082999999999</c:v>
                </c:pt>
                <c:pt idx="299">
                  <c:v>21847.601999999999</c:v>
                </c:pt>
                <c:pt idx="300">
                  <c:v>21738.870999999999</c:v>
                </c:pt>
                <c:pt idx="301">
                  <c:v>21708.16</c:v>
                </c:pt>
                <c:pt idx="302">
                  <c:v>21851.133999999998</c:v>
                </c:pt>
                <c:pt idx="303">
                  <c:v>21989.981</c:v>
                </c:pt>
                <c:pt idx="304">
                  <c:v>22112.329000000002</c:v>
                </c:pt>
                <c:pt idx="305">
                  <c:v>22225.35</c:v>
                </c:pt>
                <c:pt idx="306">
                  <c:v>22491.566999999999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258-4269-8D86-9999D232D3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28998512"/>
        <c:axId val="1229000176"/>
      </c:areaChart>
      <c:areaChart>
        <c:grouping val="percentStacked"/>
        <c:varyColors val="0"/>
        <c:ser>
          <c:idx val="0"/>
          <c:order val="1"/>
          <c:tx>
            <c:strRef>
              <c:f>'GDP + ECI (Quarter)'!$K$2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'GDP + ECI (Quarter)'!$K$3:$K$313</c:f>
              <c:numCache>
                <c:formatCode>General</c:formatCode>
                <c:ptCount val="311"/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1</c:v>
                </c:pt>
                <c:pt idx="244">
                  <c:v>1</c:v>
                </c:pt>
                <c:pt idx="245">
                  <c:v>1</c:v>
                </c:pt>
                <c:pt idx="246">
                  <c:v>1</c:v>
                </c:pt>
                <c:pt idx="247">
                  <c:v>1</c:v>
                </c:pt>
                <c:pt idx="248">
                  <c:v>1</c:v>
                </c:pt>
                <c:pt idx="249">
                  <c:v>1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1</c:v>
                </c:pt>
                <c:pt idx="293">
                  <c:v>1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258-4269-8D86-9999D232D3D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28048"/>
        <c:axId val="1543603808"/>
      </c:area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midCat"/>
      </c:valAx>
      <c:valAx>
        <c:axId val="1543603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5128048"/>
        <c:crosses val="max"/>
        <c:crossBetween val="midCat"/>
      </c:valAx>
      <c:catAx>
        <c:axId val="3512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4360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'GDP + ECI (Quarter)'!$C$2</c:f>
              <c:strCache>
                <c:ptCount val="1"/>
                <c:pt idx="0">
                  <c:v>Real GDP a.a.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'GDP + ECI (Quarter)'!$A$291:$A$310</c:f>
              <c:strCache>
                <c:ptCount val="20"/>
                <c:pt idx="0">
                  <c:v>1T19</c:v>
                </c:pt>
                <c:pt idx="1">
                  <c:v>2T19</c:v>
                </c:pt>
                <c:pt idx="2">
                  <c:v>3T19</c:v>
                </c:pt>
                <c:pt idx="3">
                  <c:v>4T19</c:v>
                </c:pt>
                <c:pt idx="4">
                  <c:v>1T20</c:v>
                </c:pt>
                <c:pt idx="5">
                  <c:v>2T20</c:v>
                </c:pt>
                <c:pt idx="6">
                  <c:v>3T20</c:v>
                </c:pt>
                <c:pt idx="7">
                  <c:v>4T20</c:v>
                </c:pt>
                <c:pt idx="8">
                  <c:v>1T21</c:v>
                </c:pt>
                <c:pt idx="9">
                  <c:v>2T21</c:v>
                </c:pt>
                <c:pt idx="10">
                  <c:v>3T21</c:v>
                </c:pt>
                <c:pt idx="11">
                  <c:v>4T21</c:v>
                </c:pt>
                <c:pt idx="12">
                  <c:v>1T22</c:v>
                </c:pt>
                <c:pt idx="13">
                  <c:v>2T22</c:v>
                </c:pt>
                <c:pt idx="14">
                  <c:v>3T22</c:v>
                </c:pt>
                <c:pt idx="15">
                  <c:v>4T22</c:v>
                </c:pt>
                <c:pt idx="16">
                  <c:v>1T23</c:v>
                </c:pt>
                <c:pt idx="17">
                  <c:v>2T23</c:v>
                </c:pt>
                <c:pt idx="18">
                  <c:v>3T23</c:v>
                </c:pt>
                <c:pt idx="19">
                  <c:v>4T23</c:v>
                </c:pt>
              </c:strCache>
            </c:strRef>
          </c:cat>
          <c:val>
            <c:numRef>
              <c:f>'GDP + ECI (Quarter)'!$C$291:$C$310</c:f>
              <c:numCache>
                <c:formatCode>0.00%</c:formatCode>
                <c:ptCount val="20"/>
                <c:pt idx="0">
                  <c:v>2.1724045172602402E-2</c:v>
                </c:pt>
                <c:pt idx="1">
                  <c:v>3.3186726524173871E-2</c:v>
                </c:pt>
                <c:pt idx="2">
                  <c:v>4.5287023341026078E-2</c:v>
                </c:pt>
                <c:pt idx="3">
                  <c:v>2.565274034480769E-2</c:v>
                </c:pt>
                <c:pt idx="4">
                  <c:v>-5.4514591318598704E-2</c:v>
                </c:pt>
                <c:pt idx="5">
                  <c:v>-0.31564081541877886</c:v>
                </c:pt>
                <c:pt idx="6">
                  <c:v>0.31036893946517985</c:v>
                </c:pt>
                <c:pt idx="7">
                  <c:v>4.1408975376838519E-2</c:v>
                </c:pt>
                <c:pt idx="8">
                  <c:v>5.1420836620966526E-2</c:v>
                </c:pt>
                <c:pt idx="9">
                  <c:v>6.0789857679227843E-2</c:v>
                </c:pt>
                <c:pt idx="10">
                  <c:v>3.2574887571502842E-2</c:v>
                </c:pt>
                <c:pt idx="11">
                  <c:v>6.7870891715123172E-2</c:v>
                </c:pt>
                <c:pt idx="12">
                  <c:v>-1.9907173336460193E-2</c:v>
                </c:pt>
                <c:pt idx="13">
                  <c:v>-5.6508914377384478E-3</c:v>
                </c:pt>
                <c:pt idx="14">
                  <c:v>2.6344747781479327E-2</c:v>
                </c:pt>
                <c:pt idx="15">
                  <c:v>2.5416895983521925E-2</c:v>
                </c:pt>
                <c:pt idx="16">
                  <c:v>2.2255226141396633E-2</c:v>
                </c:pt>
                <c:pt idx="17">
                  <c:v>2.0444883937824621E-2</c:v>
                </c:pt>
                <c:pt idx="18">
                  <c:v>4.791231634147497E-2</c:v>
                </c:pt>
                <c:pt idx="19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262-4770-AB1E-573821D815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228998512"/>
        <c:axId val="1229000176"/>
      </c:bar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'Economic Activity'!$B$2</c:f>
              <c:strCache>
                <c:ptCount val="1"/>
                <c:pt idx="0">
                  <c:v>Real PCE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'Economic Activity'!$A$351:$A$566</c:f>
              <c:numCache>
                <c:formatCode>[$-416]mmm\-yy;@</c:formatCode>
                <c:ptCount val="216"/>
                <c:pt idx="0">
                  <c:v>39083</c:v>
                </c:pt>
                <c:pt idx="1">
                  <c:v>39114</c:v>
                </c:pt>
                <c:pt idx="2">
                  <c:v>39142</c:v>
                </c:pt>
                <c:pt idx="3">
                  <c:v>39173</c:v>
                </c:pt>
                <c:pt idx="4">
                  <c:v>39203</c:v>
                </c:pt>
                <c:pt idx="5">
                  <c:v>39234</c:v>
                </c:pt>
                <c:pt idx="6">
                  <c:v>39264</c:v>
                </c:pt>
                <c:pt idx="7">
                  <c:v>39295</c:v>
                </c:pt>
                <c:pt idx="8">
                  <c:v>39326</c:v>
                </c:pt>
                <c:pt idx="9">
                  <c:v>39356</c:v>
                </c:pt>
                <c:pt idx="10">
                  <c:v>39387</c:v>
                </c:pt>
                <c:pt idx="11">
                  <c:v>39417</c:v>
                </c:pt>
                <c:pt idx="12">
                  <c:v>39448</c:v>
                </c:pt>
                <c:pt idx="13">
                  <c:v>39479</c:v>
                </c:pt>
                <c:pt idx="14">
                  <c:v>39508</c:v>
                </c:pt>
                <c:pt idx="15">
                  <c:v>39539</c:v>
                </c:pt>
                <c:pt idx="16">
                  <c:v>39569</c:v>
                </c:pt>
                <c:pt idx="17">
                  <c:v>39600</c:v>
                </c:pt>
                <c:pt idx="18">
                  <c:v>39630</c:v>
                </c:pt>
                <c:pt idx="19">
                  <c:v>39661</c:v>
                </c:pt>
                <c:pt idx="20">
                  <c:v>39692</c:v>
                </c:pt>
                <c:pt idx="21">
                  <c:v>39722</c:v>
                </c:pt>
                <c:pt idx="22">
                  <c:v>39753</c:v>
                </c:pt>
                <c:pt idx="23">
                  <c:v>39783</c:v>
                </c:pt>
                <c:pt idx="24">
                  <c:v>39814</c:v>
                </c:pt>
                <c:pt idx="25">
                  <c:v>39845</c:v>
                </c:pt>
                <c:pt idx="26">
                  <c:v>39873</c:v>
                </c:pt>
                <c:pt idx="27">
                  <c:v>39904</c:v>
                </c:pt>
                <c:pt idx="28">
                  <c:v>39934</c:v>
                </c:pt>
                <c:pt idx="29">
                  <c:v>39965</c:v>
                </c:pt>
                <c:pt idx="30">
                  <c:v>39995</c:v>
                </c:pt>
                <c:pt idx="31">
                  <c:v>40026</c:v>
                </c:pt>
                <c:pt idx="32">
                  <c:v>40057</c:v>
                </c:pt>
                <c:pt idx="33">
                  <c:v>40087</c:v>
                </c:pt>
                <c:pt idx="34">
                  <c:v>40118</c:v>
                </c:pt>
                <c:pt idx="35">
                  <c:v>40148</c:v>
                </c:pt>
                <c:pt idx="36">
                  <c:v>40179</c:v>
                </c:pt>
                <c:pt idx="37">
                  <c:v>40210</c:v>
                </c:pt>
                <c:pt idx="38">
                  <c:v>40238</c:v>
                </c:pt>
                <c:pt idx="39">
                  <c:v>40269</c:v>
                </c:pt>
                <c:pt idx="40">
                  <c:v>40299</c:v>
                </c:pt>
                <c:pt idx="41">
                  <c:v>40330</c:v>
                </c:pt>
                <c:pt idx="42">
                  <c:v>40360</c:v>
                </c:pt>
                <c:pt idx="43">
                  <c:v>40391</c:v>
                </c:pt>
                <c:pt idx="44">
                  <c:v>40422</c:v>
                </c:pt>
                <c:pt idx="45">
                  <c:v>40452</c:v>
                </c:pt>
                <c:pt idx="46">
                  <c:v>40483</c:v>
                </c:pt>
                <c:pt idx="47">
                  <c:v>40513</c:v>
                </c:pt>
                <c:pt idx="48">
                  <c:v>40544</c:v>
                </c:pt>
                <c:pt idx="49">
                  <c:v>40575</c:v>
                </c:pt>
                <c:pt idx="50">
                  <c:v>40603</c:v>
                </c:pt>
                <c:pt idx="51">
                  <c:v>40634</c:v>
                </c:pt>
                <c:pt idx="52">
                  <c:v>40664</c:v>
                </c:pt>
                <c:pt idx="53">
                  <c:v>40695</c:v>
                </c:pt>
                <c:pt idx="54">
                  <c:v>40725</c:v>
                </c:pt>
                <c:pt idx="55">
                  <c:v>40756</c:v>
                </c:pt>
                <c:pt idx="56">
                  <c:v>40787</c:v>
                </c:pt>
                <c:pt idx="57">
                  <c:v>40817</c:v>
                </c:pt>
                <c:pt idx="58">
                  <c:v>40848</c:v>
                </c:pt>
                <c:pt idx="59">
                  <c:v>40878</c:v>
                </c:pt>
                <c:pt idx="60">
                  <c:v>40909</c:v>
                </c:pt>
                <c:pt idx="61">
                  <c:v>40940</c:v>
                </c:pt>
                <c:pt idx="62">
                  <c:v>40969</c:v>
                </c:pt>
                <c:pt idx="63">
                  <c:v>41000</c:v>
                </c:pt>
                <c:pt idx="64">
                  <c:v>41030</c:v>
                </c:pt>
                <c:pt idx="65">
                  <c:v>41061</c:v>
                </c:pt>
                <c:pt idx="66">
                  <c:v>41091</c:v>
                </c:pt>
                <c:pt idx="67">
                  <c:v>41122</c:v>
                </c:pt>
                <c:pt idx="68">
                  <c:v>41153</c:v>
                </c:pt>
                <c:pt idx="69">
                  <c:v>41183</c:v>
                </c:pt>
                <c:pt idx="70">
                  <c:v>41214</c:v>
                </c:pt>
                <c:pt idx="71">
                  <c:v>41244</c:v>
                </c:pt>
                <c:pt idx="72">
                  <c:v>41275</c:v>
                </c:pt>
                <c:pt idx="73">
                  <c:v>41306</c:v>
                </c:pt>
                <c:pt idx="74">
                  <c:v>41334</c:v>
                </c:pt>
                <c:pt idx="75">
                  <c:v>41365</c:v>
                </c:pt>
                <c:pt idx="76">
                  <c:v>41395</c:v>
                </c:pt>
                <c:pt idx="77">
                  <c:v>41426</c:v>
                </c:pt>
                <c:pt idx="78">
                  <c:v>41456</c:v>
                </c:pt>
                <c:pt idx="79">
                  <c:v>41487</c:v>
                </c:pt>
                <c:pt idx="80">
                  <c:v>41518</c:v>
                </c:pt>
                <c:pt idx="81">
                  <c:v>41548</c:v>
                </c:pt>
                <c:pt idx="82">
                  <c:v>41579</c:v>
                </c:pt>
                <c:pt idx="83">
                  <c:v>41609</c:v>
                </c:pt>
                <c:pt idx="84">
                  <c:v>41640</c:v>
                </c:pt>
                <c:pt idx="85">
                  <c:v>41671</c:v>
                </c:pt>
                <c:pt idx="86">
                  <c:v>41699</c:v>
                </c:pt>
                <c:pt idx="87">
                  <c:v>41730</c:v>
                </c:pt>
                <c:pt idx="88">
                  <c:v>41760</c:v>
                </c:pt>
                <c:pt idx="89">
                  <c:v>41791</c:v>
                </c:pt>
                <c:pt idx="90">
                  <c:v>41821</c:v>
                </c:pt>
                <c:pt idx="91">
                  <c:v>41852</c:v>
                </c:pt>
                <c:pt idx="92">
                  <c:v>41883</c:v>
                </c:pt>
                <c:pt idx="93">
                  <c:v>41913</c:v>
                </c:pt>
                <c:pt idx="94">
                  <c:v>41944</c:v>
                </c:pt>
                <c:pt idx="95">
                  <c:v>41974</c:v>
                </c:pt>
                <c:pt idx="96">
                  <c:v>42005</c:v>
                </c:pt>
                <c:pt idx="97">
                  <c:v>42036</c:v>
                </c:pt>
                <c:pt idx="98">
                  <c:v>42064</c:v>
                </c:pt>
                <c:pt idx="99">
                  <c:v>42095</c:v>
                </c:pt>
                <c:pt idx="100">
                  <c:v>42125</c:v>
                </c:pt>
                <c:pt idx="101">
                  <c:v>42156</c:v>
                </c:pt>
                <c:pt idx="102">
                  <c:v>42186</c:v>
                </c:pt>
                <c:pt idx="103">
                  <c:v>42217</c:v>
                </c:pt>
                <c:pt idx="104">
                  <c:v>42248</c:v>
                </c:pt>
                <c:pt idx="105">
                  <c:v>42278</c:v>
                </c:pt>
                <c:pt idx="106">
                  <c:v>42309</c:v>
                </c:pt>
                <c:pt idx="107">
                  <c:v>42339</c:v>
                </c:pt>
                <c:pt idx="108">
                  <c:v>42370</c:v>
                </c:pt>
                <c:pt idx="109">
                  <c:v>42401</c:v>
                </c:pt>
                <c:pt idx="110">
                  <c:v>42430</c:v>
                </c:pt>
                <c:pt idx="111">
                  <c:v>42461</c:v>
                </c:pt>
                <c:pt idx="112">
                  <c:v>42491</c:v>
                </c:pt>
                <c:pt idx="113">
                  <c:v>42522</c:v>
                </c:pt>
                <c:pt idx="114">
                  <c:v>42552</c:v>
                </c:pt>
                <c:pt idx="115">
                  <c:v>42583</c:v>
                </c:pt>
                <c:pt idx="116">
                  <c:v>42614</c:v>
                </c:pt>
                <c:pt idx="117">
                  <c:v>42644</c:v>
                </c:pt>
                <c:pt idx="118">
                  <c:v>42675</c:v>
                </c:pt>
                <c:pt idx="119">
                  <c:v>42705</c:v>
                </c:pt>
                <c:pt idx="120">
                  <c:v>42736</c:v>
                </c:pt>
                <c:pt idx="121">
                  <c:v>42767</c:v>
                </c:pt>
                <c:pt idx="122">
                  <c:v>42795</c:v>
                </c:pt>
                <c:pt idx="123">
                  <c:v>42826</c:v>
                </c:pt>
                <c:pt idx="124">
                  <c:v>42856</c:v>
                </c:pt>
                <c:pt idx="125">
                  <c:v>42887</c:v>
                </c:pt>
                <c:pt idx="126">
                  <c:v>42917</c:v>
                </c:pt>
                <c:pt idx="127">
                  <c:v>42948</c:v>
                </c:pt>
                <c:pt idx="128">
                  <c:v>42979</c:v>
                </c:pt>
                <c:pt idx="129">
                  <c:v>43009</c:v>
                </c:pt>
                <c:pt idx="130">
                  <c:v>43040</c:v>
                </c:pt>
                <c:pt idx="131">
                  <c:v>43070</c:v>
                </c:pt>
                <c:pt idx="132">
                  <c:v>43101</c:v>
                </c:pt>
                <c:pt idx="133">
                  <c:v>43132</c:v>
                </c:pt>
                <c:pt idx="134">
                  <c:v>43160</c:v>
                </c:pt>
                <c:pt idx="135">
                  <c:v>43191</c:v>
                </c:pt>
                <c:pt idx="136">
                  <c:v>43221</c:v>
                </c:pt>
                <c:pt idx="137">
                  <c:v>43252</c:v>
                </c:pt>
                <c:pt idx="138">
                  <c:v>43282</c:v>
                </c:pt>
                <c:pt idx="139">
                  <c:v>43313</c:v>
                </c:pt>
                <c:pt idx="140">
                  <c:v>43344</c:v>
                </c:pt>
                <c:pt idx="141">
                  <c:v>43374</c:v>
                </c:pt>
                <c:pt idx="142">
                  <c:v>43405</c:v>
                </c:pt>
                <c:pt idx="143">
                  <c:v>43435</c:v>
                </c:pt>
                <c:pt idx="144">
                  <c:v>43466</c:v>
                </c:pt>
                <c:pt idx="145">
                  <c:v>43497</c:v>
                </c:pt>
                <c:pt idx="146">
                  <c:v>43525</c:v>
                </c:pt>
                <c:pt idx="147">
                  <c:v>43556</c:v>
                </c:pt>
                <c:pt idx="148">
                  <c:v>43586</c:v>
                </c:pt>
                <c:pt idx="149">
                  <c:v>43617</c:v>
                </c:pt>
                <c:pt idx="150">
                  <c:v>43647</c:v>
                </c:pt>
                <c:pt idx="151">
                  <c:v>43678</c:v>
                </c:pt>
                <c:pt idx="152">
                  <c:v>43709</c:v>
                </c:pt>
                <c:pt idx="153">
                  <c:v>43739</c:v>
                </c:pt>
                <c:pt idx="154">
                  <c:v>43770</c:v>
                </c:pt>
                <c:pt idx="155">
                  <c:v>43800</c:v>
                </c:pt>
                <c:pt idx="156">
                  <c:v>43831</c:v>
                </c:pt>
                <c:pt idx="157">
                  <c:v>43862</c:v>
                </c:pt>
                <c:pt idx="158">
                  <c:v>43891</c:v>
                </c:pt>
                <c:pt idx="159">
                  <c:v>43922</c:v>
                </c:pt>
                <c:pt idx="160">
                  <c:v>43952</c:v>
                </c:pt>
                <c:pt idx="161">
                  <c:v>43983</c:v>
                </c:pt>
                <c:pt idx="162">
                  <c:v>44013</c:v>
                </c:pt>
                <c:pt idx="163">
                  <c:v>44044</c:v>
                </c:pt>
                <c:pt idx="164">
                  <c:v>44075</c:v>
                </c:pt>
                <c:pt idx="165">
                  <c:v>44105</c:v>
                </c:pt>
                <c:pt idx="166">
                  <c:v>44136</c:v>
                </c:pt>
                <c:pt idx="167">
                  <c:v>44166</c:v>
                </c:pt>
                <c:pt idx="168">
                  <c:v>44197</c:v>
                </c:pt>
                <c:pt idx="169">
                  <c:v>44228</c:v>
                </c:pt>
                <c:pt idx="170">
                  <c:v>44256</c:v>
                </c:pt>
                <c:pt idx="171">
                  <c:v>44287</c:v>
                </c:pt>
                <c:pt idx="172">
                  <c:v>44317</c:v>
                </c:pt>
                <c:pt idx="173">
                  <c:v>44348</c:v>
                </c:pt>
                <c:pt idx="174">
                  <c:v>44378</c:v>
                </c:pt>
                <c:pt idx="175">
                  <c:v>44409</c:v>
                </c:pt>
                <c:pt idx="176">
                  <c:v>44440</c:v>
                </c:pt>
                <c:pt idx="177">
                  <c:v>44470</c:v>
                </c:pt>
                <c:pt idx="178">
                  <c:v>44501</c:v>
                </c:pt>
                <c:pt idx="179">
                  <c:v>44531</c:v>
                </c:pt>
                <c:pt idx="180">
                  <c:v>44562</c:v>
                </c:pt>
                <c:pt idx="181">
                  <c:v>44593</c:v>
                </c:pt>
                <c:pt idx="182">
                  <c:v>44621</c:v>
                </c:pt>
                <c:pt idx="183">
                  <c:v>44652</c:v>
                </c:pt>
                <c:pt idx="184">
                  <c:v>44682</c:v>
                </c:pt>
                <c:pt idx="185">
                  <c:v>44713</c:v>
                </c:pt>
                <c:pt idx="186">
                  <c:v>44743</c:v>
                </c:pt>
                <c:pt idx="187">
                  <c:v>44774</c:v>
                </c:pt>
                <c:pt idx="188">
                  <c:v>44805</c:v>
                </c:pt>
                <c:pt idx="189">
                  <c:v>44835</c:v>
                </c:pt>
                <c:pt idx="190">
                  <c:v>44866</c:v>
                </c:pt>
                <c:pt idx="191">
                  <c:v>44896</c:v>
                </c:pt>
                <c:pt idx="192">
                  <c:v>44927</c:v>
                </c:pt>
                <c:pt idx="193">
                  <c:v>44958</c:v>
                </c:pt>
                <c:pt idx="194">
                  <c:v>44986</c:v>
                </c:pt>
                <c:pt idx="195">
                  <c:v>45017</c:v>
                </c:pt>
                <c:pt idx="196">
                  <c:v>45047</c:v>
                </c:pt>
                <c:pt idx="197">
                  <c:v>45078</c:v>
                </c:pt>
                <c:pt idx="198">
                  <c:v>45108</c:v>
                </c:pt>
                <c:pt idx="199">
                  <c:v>45139</c:v>
                </c:pt>
                <c:pt idx="200">
                  <c:v>45170</c:v>
                </c:pt>
                <c:pt idx="201">
                  <c:v>45200</c:v>
                </c:pt>
                <c:pt idx="202">
                  <c:v>45231</c:v>
                </c:pt>
                <c:pt idx="203">
                  <c:v>45261</c:v>
                </c:pt>
                <c:pt idx="204">
                  <c:v>45292</c:v>
                </c:pt>
                <c:pt idx="205">
                  <c:v>45323</c:v>
                </c:pt>
                <c:pt idx="206">
                  <c:v>45352</c:v>
                </c:pt>
                <c:pt idx="207">
                  <c:v>45383</c:v>
                </c:pt>
                <c:pt idx="208">
                  <c:v>45413</c:v>
                </c:pt>
                <c:pt idx="209">
                  <c:v>45444</c:v>
                </c:pt>
                <c:pt idx="210">
                  <c:v>45474</c:v>
                </c:pt>
                <c:pt idx="211">
                  <c:v>45505</c:v>
                </c:pt>
                <c:pt idx="212">
                  <c:v>45536</c:v>
                </c:pt>
                <c:pt idx="213">
                  <c:v>45566</c:v>
                </c:pt>
                <c:pt idx="214">
                  <c:v>45597</c:v>
                </c:pt>
                <c:pt idx="215">
                  <c:v>45627</c:v>
                </c:pt>
              </c:numCache>
            </c:numRef>
          </c:cat>
          <c:val>
            <c:numRef>
              <c:f>'Economic Activity'!$B$351:$B$566</c:f>
              <c:numCache>
                <c:formatCode>_-* #,##0_-;\-* #,##0_-;_-* "-"??_-;_-@_-</c:formatCode>
                <c:ptCount val="216"/>
                <c:pt idx="0">
                  <c:v>11181</c:v>
                </c:pt>
                <c:pt idx="1">
                  <c:v>11178.2</c:v>
                </c:pt>
                <c:pt idx="2">
                  <c:v>11190.7</c:v>
                </c:pt>
                <c:pt idx="3">
                  <c:v>11201.5</c:v>
                </c:pt>
                <c:pt idx="4">
                  <c:v>11218</c:v>
                </c:pt>
                <c:pt idx="5">
                  <c:v>11218.5</c:v>
                </c:pt>
                <c:pt idx="6">
                  <c:v>11252.6</c:v>
                </c:pt>
                <c:pt idx="7">
                  <c:v>11300.1</c:v>
                </c:pt>
                <c:pt idx="8">
                  <c:v>11309.6</c:v>
                </c:pt>
                <c:pt idx="9">
                  <c:v>11318.6</c:v>
                </c:pt>
                <c:pt idx="10">
                  <c:v>11342.2</c:v>
                </c:pt>
                <c:pt idx="11">
                  <c:v>11335.1</c:v>
                </c:pt>
                <c:pt idx="12">
                  <c:v>11333.2</c:v>
                </c:pt>
                <c:pt idx="13">
                  <c:v>11293.9</c:v>
                </c:pt>
                <c:pt idx="14">
                  <c:v>11322.1</c:v>
                </c:pt>
                <c:pt idx="15">
                  <c:v>11340.5</c:v>
                </c:pt>
                <c:pt idx="16">
                  <c:v>11361.6</c:v>
                </c:pt>
                <c:pt idx="17">
                  <c:v>11340.7</c:v>
                </c:pt>
                <c:pt idx="18">
                  <c:v>11286</c:v>
                </c:pt>
                <c:pt idx="19">
                  <c:v>11284.7</c:v>
                </c:pt>
                <c:pt idx="20">
                  <c:v>11209.7</c:v>
                </c:pt>
                <c:pt idx="21">
                  <c:v>11192.5</c:v>
                </c:pt>
                <c:pt idx="22">
                  <c:v>11158.2</c:v>
                </c:pt>
                <c:pt idx="23">
                  <c:v>11125.8</c:v>
                </c:pt>
                <c:pt idx="24">
                  <c:v>11176.3</c:v>
                </c:pt>
                <c:pt idx="25">
                  <c:v>11130.5</c:v>
                </c:pt>
                <c:pt idx="26">
                  <c:v>11084.6</c:v>
                </c:pt>
                <c:pt idx="27">
                  <c:v>11068</c:v>
                </c:pt>
                <c:pt idx="28">
                  <c:v>11078.1</c:v>
                </c:pt>
                <c:pt idx="29">
                  <c:v>11081.1</c:v>
                </c:pt>
                <c:pt idx="30">
                  <c:v>11118.1</c:v>
                </c:pt>
                <c:pt idx="31">
                  <c:v>11218</c:v>
                </c:pt>
                <c:pt idx="32">
                  <c:v>11114.6</c:v>
                </c:pt>
                <c:pt idx="33">
                  <c:v>11127.1</c:v>
                </c:pt>
                <c:pt idx="34">
                  <c:v>11109.4</c:v>
                </c:pt>
                <c:pt idx="35">
                  <c:v>11177.3</c:v>
                </c:pt>
                <c:pt idx="36">
                  <c:v>11156.8</c:v>
                </c:pt>
                <c:pt idx="37">
                  <c:v>11198.6</c:v>
                </c:pt>
                <c:pt idx="38">
                  <c:v>11252.1</c:v>
                </c:pt>
                <c:pt idx="39">
                  <c:v>11275.1</c:v>
                </c:pt>
                <c:pt idx="40">
                  <c:v>11303.2</c:v>
                </c:pt>
                <c:pt idx="41">
                  <c:v>11330.6</c:v>
                </c:pt>
                <c:pt idx="42">
                  <c:v>11361.7</c:v>
                </c:pt>
                <c:pt idx="43">
                  <c:v>11389.2</c:v>
                </c:pt>
                <c:pt idx="44">
                  <c:v>11399.9</c:v>
                </c:pt>
                <c:pt idx="45">
                  <c:v>11428.9</c:v>
                </c:pt>
                <c:pt idx="46">
                  <c:v>11458</c:v>
                </c:pt>
                <c:pt idx="47">
                  <c:v>11473.2</c:v>
                </c:pt>
                <c:pt idx="48">
                  <c:v>11486</c:v>
                </c:pt>
                <c:pt idx="49">
                  <c:v>11482.8</c:v>
                </c:pt>
                <c:pt idx="50">
                  <c:v>11522.6</c:v>
                </c:pt>
                <c:pt idx="51">
                  <c:v>11508.9</c:v>
                </c:pt>
                <c:pt idx="52">
                  <c:v>11495.6</c:v>
                </c:pt>
                <c:pt idx="53">
                  <c:v>11522.3</c:v>
                </c:pt>
                <c:pt idx="54">
                  <c:v>11542.3</c:v>
                </c:pt>
                <c:pt idx="55">
                  <c:v>11535.3</c:v>
                </c:pt>
                <c:pt idx="56">
                  <c:v>11554.3</c:v>
                </c:pt>
                <c:pt idx="57">
                  <c:v>11575.1</c:v>
                </c:pt>
                <c:pt idx="58">
                  <c:v>11555.7</c:v>
                </c:pt>
                <c:pt idx="59">
                  <c:v>11560.9</c:v>
                </c:pt>
                <c:pt idx="60">
                  <c:v>11605.5</c:v>
                </c:pt>
                <c:pt idx="61">
                  <c:v>11675.8</c:v>
                </c:pt>
                <c:pt idx="62">
                  <c:v>11660.5</c:v>
                </c:pt>
                <c:pt idx="63">
                  <c:v>11671.4</c:v>
                </c:pt>
                <c:pt idx="64">
                  <c:v>11672</c:v>
                </c:pt>
                <c:pt idx="65">
                  <c:v>11659.9</c:v>
                </c:pt>
                <c:pt idx="66">
                  <c:v>11684.4</c:v>
                </c:pt>
                <c:pt idx="67">
                  <c:v>11686.7</c:v>
                </c:pt>
                <c:pt idx="68">
                  <c:v>11703.2</c:v>
                </c:pt>
                <c:pt idx="69">
                  <c:v>11702.3</c:v>
                </c:pt>
                <c:pt idx="70">
                  <c:v>11753.4</c:v>
                </c:pt>
                <c:pt idx="71">
                  <c:v>11758.3</c:v>
                </c:pt>
                <c:pt idx="72">
                  <c:v>11810.6</c:v>
                </c:pt>
                <c:pt idx="73">
                  <c:v>11808.6</c:v>
                </c:pt>
                <c:pt idx="74">
                  <c:v>11823.8</c:v>
                </c:pt>
                <c:pt idx="75">
                  <c:v>11826.4</c:v>
                </c:pt>
                <c:pt idx="76">
                  <c:v>11860.1</c:v>
                </c:pt>
                <c:pt idx="77">
                  <c:v>11857.7</c:v>
                </c:pt>
                <c:pt idx="78">
                  <c:v>11872.3</c:v>
                </c:pt>
                <c:pt idx="79">
                  <c:v>11890.3</c:v>
                </c:pt>
                <c:pt idx="80">
                  <c:v>11926.1</c:v>
                </c:pt>
                <c:pt idx="81">
                  <c:v>11964.6</c:v>
                </c:pt>
                <c:pt idx="82">
                  <c:v>12013.7</c:v>
                </c:pt>
                <c:pt idx="83">
                  <c:v>12024.7</c:v>
                </c:pt>
                <c:pt idx="84">
                  <c:v>11985</c:v>
                </c:pt>
                <c:pt idx="85">
                  <c:v>12039.4</c:v>
                </c:pt>
                <c:pt idx="86">
                  <c:v>12108.3</c:v>
                </c:pt>
                <c:pt idx="87">
                  <c:v>12128.1</c:v>
                </c:pt>
                <c:pt idx="88">
                  <c:v>12154.5</c:v>
                </c:pt>
                <c:pt idx="89">
                  <c:v>12197.1</c:v>
                </c:pt>
                <c:pt idx="90">
                  <c:v>12223.6</c:v>
                </c:pt>
                <c:pt idx="91">
                  <c:v>12306.5</c:v>
                </c:pt>
                <c:pt idx="92">
                  <c:v>12310.2</c:v>
                </c:pt>
                <c:pt idx="93">
                  <c:v>12389.1</c:v>
                </c:pt>
                <c:pt idx="94">
                  <c:v>12420.6</c:v>
                </c:pt>
                <c:pt idx="95">
                  <c:v>12455.1</c:v>
                </c:pt>
                <c:pt idx="96">
                  <c:v>12484.7</c:v>
                </c:pt>
                <c:pt idx="97">
                  <c:v>12514.1</c:v>
                </c:pt>
                <c:pt idx="98">
                  <c:v>12551.8</c:v>
                </c:pt>
                <c:pt idx="99">
                  <c:v>12574.8</c:v>
                </c:pt>
                <c:pt idx="100">
                  <c:v>12612.7</c:v>
                </c:pt>
                <c:pt idx="101">
                  <c:v>12621.6</c:v>
                </c:pt>
                <c:pt idx="102">
                  <c:v>12668.4</c:v>
                </c:pt>
                <c:pt idx="103">
                  <c:v>12699.7</c:v>
                </c:pt>
                <c:pt idx="104">
                  <c:v>12707.2</c:v>
                </c:pt>
                <c:pt idx="105">
                  <c:v>12715.9</c:v>
                </c:pt>
                <c:pt idx="106">
                  <c:v>12737</c:v>
                </c:pt>
                <c:pt idx="107">
                  <c:v>12777.3</c:v>
                </c:pt>
                <c:pt idx="108">
                  <c:v>12798.7</c:v>
                </c:pt>
                <c:pt idx="109">
                  <c:v>12884</c:v>
                </c:pt>
                <c:pt idx="110">
                  <c:v>12836.1</c:v>
                </c:pt>
                <c:pt idx="111">
                  <c:v>12870.2</c:v>
                </c:pt>
                <c:pt idx="112">
                  <c:v>12891.2</c:v>
                </c:pt>
                <c:pt idx="113">
                  <c:v>12948.6</c:v>
                </c:pt>
                <c:pt idx="114">
                  <c:v>12972.2</c:v>
                </c:pt>
                <c:pt idx="115">
                  <c:v>12986.1</c:v>
                </c:pt>
                <c:pt idx="116">
                  <c:v>13020.9</c:v>
                </c:pt>
                <c:pt idx="117">
                  <c:v>13014.9</c:v>
                </c:pt>
                <c:pt idx="118">
                  <c:v>13036.8</c:v>
                </c:pt>
                <c:pt idx="119">
                  <c:v>13128.5</c:v>
                </c:pt>
                <c:pt idx="120">
                  <c:v>13136.3</c:v>
                </c:pt>
                <c:pt idx="121">
                  <c:v>13143.4</c:v>
                </c:pt>
                <c:pt idx="122">
                  <c:v>13201.7</c:v>
                </c:pt>
                <c:pt idx="123">
                  <c:v>13206.1</c:v>
                </c:pt>
                <c:pt idx="124">
                  <c:v>13214.5</c:v>
                </c:pt>
                <c:pt idx="125">
                  <c:v>13256.7</c:v>
                </c:pt>
                <c:pt idx="126">
                  <c:v>13290.1</c:v>
                </c:pt>
                <c:pt idx="127">
                  <c:v>13291.7</c:v>
                </c:pt>
                <c:pt idx="128">
                  <c:v>13364.4</c:v>
                </c:pt>
                <c:pt idx="129">
                  <c:v>13377</c:v>
                </c:pt>
                <c:pt idx="130">
                  <c:v>13450.3</c:v>
                </c:pt>
                <c:pt idx="131">
                  <c:v>13555.4</c:v>
                </c:pt>
                <c:pt idx="132">
                  <c:v>13541.3</c:v>
                </c:pt>
                <c:pt idx="133">
                  <c:v>13547.3</c:v>
                </c:pt>
                <c:pt idx="134">
                  <c:v>13586.5</c:v>
                </c:pt>
                <c:pt idx="135">
                  <c:v>13598.7</c:v>
                </c:pt>
                <c:pt idx="136">
                  <c:v>13640.5</c:v>
                </c:pt>
                <c:pt idx="137">
                  <c:v>13653.7</c:v>
                </c:pt>
                <c:pt idx="138">
                  <c:v>13682.7</c:v>
                </c:pt>
                <c:pt idx="139">
                  <c:v>13711.5</c:v>
                </c:pt>
                <c:pt idx="140">
                  <c:v>13687.1</c:v>
                </c:pt>
                <c:pt idx="141">
                  <c:v>13727.1</c:v>
                </c:pt>
                <c:pt idx="142">
                  <c:v>13800.3</c:v>
                </c:pt>
                <c:pt idx="143">
                  <c:v>13682.3</c:v>
                </c:pt>
                <c:pt idx="144">
                  <c:v>13716.5</c:v>
                </c:pt>
                <c:pt idx="145">
                  <c:v>13723.1</c:v>
                </c:pt>
                <c:pt idx="146">
                  <c:v>13818.2</c:v>
                </c:pt>
                <c:pt idx="147">
                  <c:v>13813.1</c:v>
                </c:pt>
                <c:pt idx="148">
                  <c:v>13866.1</c:v>
                </c:pt>
                <c:pt idx="149">
                  <c:v>13909.1</c:v>
                </c:pt>
                <c:pt idx="150">
                  <c:v>13968.4</c:v>
                </c:pt>
                <c:pt idx="151">
                  <c:v>14013.2</c:v>
                </c:pt>
                <c:pt idx="152">
                  <c:v>14029.7</c:v>
                </c:pt>
                <c:pt idx="153">
                  <c:v>14029.1</c:v>
                </c:pt>
                <c:pt idx="154">
                  <c:v>14115.4</c:v>
                </c:pt>
                <c:pt idx="155">
                  <c:v>14137.1</c:v>
                </c:pt>
                <c:pt idx="156">
                  <c:v>14184.8</c:v>
                </c:pt>
                <c:pt idx="157">
                  <c:v>14167.8</c:v>
                </c:pt>
                <c:pt idx="158">
                  <c:v>13234.3</c:v>
                </c:pt>
                <c:pt idx="159">
                  <c:v>11783.3</c:v>
                </c:pt>
                <c:pt idx="160">
                  <c:v>12758</c:v>
                </c:pt>
                <c:pt idx="161">
                  <c:v>13464.8</c:v>
                </c:pt>
                <c:pt idx="162">
                  <c:v>13667.3</c:v>
                </c:pt>
                <c:pt idx="163">
                  <c:v>13761.1</c:v>
                </c:pt>
                <c:pt idx="164">
                  <c:v>13953.4</c:v>
                </c:pt>
                <c:pt idx="165">
                  <c:v>13988.6</c:v>
                </c:pt>
                <c:pt idx="166">
                  <c:v>13953.9</c:v>
                </c:pt>
                <c:pt idx="167">
                  <c:v>14006.3</c:v>
                </c:pt>
                <c:pt idx="168">
                  <c:v>14180.7</c:v>
                </c:pt>
                <c:pt idx="169">
                  <c:v>14037.8</c:v>
                </c:pt>
                <c:pt idx="170">
                  <c:v>14629.3</c:v>
                </c:pt>
                <c:pt idx="171">
                  <c:v>14730.7</c:v>
                </c:pt>
                <c:pt idx="172">
                  <c:v>14689.6</c:v>
                </c:pt>
                <c:pt idx="173">
                  <c:v>14816.4</c:v>
                </c:pt>
                <c:pt idx="174">
                  <c:v>14784</c:v>
                </c:pt>
                <c:pt idx="175">
                  <c:v>14863</c:v>
                </c:pt>
                <c:pt idx="176">
                  <c:v>14899.4</c:v>
                </c:pt>
                <c:pt idx="177">
                  <c:v>14997.3</c:v>
                </c:pt>
                <c:pt idx="178">
                  <c:v>15019.2</c:v>
                </c:pt>
                <c:pt idx="179">
                  <c:v>14970.4</c:v>
                </c:pt>
                <c:pt idx="180">
                  <c:v>14971.1</c:v>
                </c:pt>
                <c:pt idx="181">
                  <c:v>14980.6</c:v>
                </c:pt>
                <c:pt idx="182">
                  <c:v>15034</c:v>
                </c:pt>
                <c:pt idx="183">
                  <c:v>15081.7</c:v>
                </c:pt>
                <c:pt idx="184">
                  <c:v>15060</c:v>
                </c:pt>
                <c:pt idx="185">
                  <c:v>15065.8</c:v>
                </c:pt>
                <c:pt idx="186">
                  <c:v>15069.1</c:v>
                </c:pt>
                <c:pt idx="187">
                  <c:v>15136.3</c:v>
                </c:pt>
                <c:pt idx="188">
                  <c:v>15176.7</c:v>
                </c:pt>
                <c:pt idx="189">
                  <c:v>15202.7</c:v>
                </c:pt>
                <c:pt idx="190">
                  <c:v>15149.8</c:v>
                </c:pt>
                <c:pt idx="191">
                  <c:v>15161.7</c:v>
                </c:pt>
                <c:pt idx="192">
                  <c:v>15317.6</c:v>
                </c:pt>
                <c:pt idx="193">
                  <c:v>15325.5</c:v>
                </c:pt>
                <c:pt idx="194">
                  <c:v>15295.4</c:v>
                </c:pt>
                <c:pt idx="195">
                  <c:v>15316.9</c:v>
                </c:pt>
                <c:pt idx="196">
                  <c:v>15337.4</c:v>
                </c:pt>
                <c:pt idx="197">
                  <c:v>15376.3</c:v>
                </c:pt>
                <c:pt idx="198">
                  <c:v>15448.3</c:v>
                </c:pt>
                <c:pt idx="199">
                  <c:v>15439.8</c:v>
                </c:pt>
                <c:pt idx="200">
                  <c:v>15496</c:v>
                </c:pt>
                <c:pt idx="201">
                  <c:v>15507.8</c:v>
                </c:pt>
                <c:pt idx="202">
                  <c:v>15557.5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41-45A3-AA9F-1D5C18D77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areaChart>
        <c:grouping val="percentStacke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Recession!$B$710:$B$925</c:f>
              <c:numCache>
                <c:formatCode>General</c:formatCode>
                <c:ptCount val="21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1</c:v>
                </c:pt>
                <c:pt idx="158">
                  <c:v>1</c:v>
                </c:pt>
                <c:pt idx="159">
                  <c:v>1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41-45A3-AA9F-1D5C18D777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015072"/>
        <c:axId val="31163632"/>
      </c:area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9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midCat"/>
      </c:valAx>
      <c:valAx>
        <c:axId val="31163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84015072"/>
        <c:crosses val="max"/>
        <c:crossBetween val="midCat"/>
      </c:valAx>
      <c:catAx>
        <c:axId val="5840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116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'Economic Activity'!$F$2</c:f>
              <c:strCache>
                <c:ptCount val="1"/>
                <c:pt idx="0">
                  <c:v>Industrial Production m/m</c:v>
                </c:pt>
              </c:strCache>
            </c:strRef>
          </c:tx>
          <c:spPr>
            <a:solidFill>
              <a:srgbClr val="7030A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'Housing Market'!$A$735:$A$758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'Economic Activity'!$F$531:$F$554</c:f>
              <c:numCache>
                <c:formatCode>0.00%</c:formatCode>
                <c:ptCount val="24"/>
                <c:pt idx="0">
                  <c:v>1.3549947465456569E-3</c:v>
                </c:pt>
                <c:pt idx="1">
                  <c:v>6.4728026473257483E-3</c:v>
                </c:pt>
                <c:pt idx="2">
                  <c:v>7.8818528550326228E-3</c:v>
                </c:pt>
                <c:pt idx="3">
                  <c:v>3.0962743222935352E-3</c:v>
                </c:pt>
                <c:pt idx="4">
                  <c:v>-1.7899651054087418E-4</c:v>
                </c:pt>
                <c:pt idx="5">
                  <c:v>-8.8152104217964489E-4</c:v>
                </c:pt>
                <c:pt idx="6">
                  <c:v>4.3481944524246252E-3</c:v>
                </c:pt>
                <c:pt idx="7">
                  <c:v>9.8513760898555347E-4</c:v>
                </c:pt>
                <c:pt idx="8">
                  <c:v>2.8469192439730673E-3</c:v>
                </c:pt>
                <c:pt idx="9">
                  <c:v>-1.1291598529098446E-3</c:v>
                </c:pt>
                <c:pt idx="10">
                  <c:v>-3.2946077511764038E-3</c:v>
                </c:pt>
                <c:pt idx="11">
                  <c:v>-1.5386525947723162E-2</c:v>
                </c:pt>
                <c:pt idx="12">
                  <c:v>1.04744749952701E-2</c:v>
                </c:pt>
                <c:pt idx="13">
                  <c:v>1.8820491517135274E-4</c:v>
                </c:pt>
                <c:pt idx="14">
                  <c:v>8.9794875744764191E-4</c:v>
                </c:pt>
                <c:pt idx="15">
                  <c:v>4.7925563417599015E-3</c:v>
                </c:pt>
                <c:pt idx="16">
                  <c:v>-2.2025919233125135E-3</c:v>
                </c:pt>
                <c:pt idx="17">
                  <c:v>-6.0607827134584458E-3</c:v>
                </c:pt>
                <c:pt idx="18">
                  <c:v>8.9579492513209846E-3</c:v>
                </c:pt>
                <c:pt idx="19">
                  <c:v>-7.7506912647962167E-6</c:v>
                </c:pt>
                <c:pt idx="20">
                  <c:v>1.1781142034457126E-3</c:v>
                </c:pt>
                <c:pt idx="21">
                  <c:v>-8.8883598774500694E-3</c:v>
                </c:pt>
                <c:pt idx="22">
                  <c:v>2.4038531950645314E-3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2D-4E69-8DF7-1F46ED93E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'Economic Activity'!$I$2</c:f>
              <c:strCache>
                <c:ptCount val="1"/>
                <c:pt idx="0">
                  <c:v>Retail Sales m/m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Activity'!$A$531:$A$566</c:f>
              <c:numCache>
                <c:formatCode>[$-416]mmm\-yy;@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'Economic Activity'!$I$531:$I$566</c:f>
              <c:numCache>
                <c:formatCode>0.00%</c:formatCode>
                <c:ptCount val="36"/>
                <c:pt idx="0">
                  <c:v>1.4399038385898066E-2</c:v>
                </c:pt>
                <c:pt idx="1">
                  <c:v>1.3651803024428144E-2</c:v>
                </c:pt>
                <c:pt idx="2">
                  <c:v>2.0653291551399056E-2</c:v>
                </c:pt>
                <c:pt idx="3">
                  <c:v>1.3265872123529032E-2</c:v>
                </c:pt>
                <c:pt idx="4">
                  <c:v>-1.4558388161545199E-3</c:v>
                </c:pt>
                <c:pt idx="5">
                  <c:v>8.2973411466629177E-3</c:v>
                </c:pt>
                <c:pt idx="6">
                  <c:v>-6.8962476947606044E-3</c:v>
                </c:pt>
                <c:pt idx="7">
                  <c:v>6.5549804534330569E-3</c:v>
                </c:pt>
                <c:pt idx="8">
                  <c:v>-3.0135890816932465E-3</c:v>
                </c:pt>
                <c:pt idx="9">
                  <c:v>1.496604256548939E-2</c:v>
                </c:pt>
                <c:pt idx="10">
                  <c:v>-1.5102738133978E-2</c:v>
                </c:pt>
                <c:pt idx="11">
                  <c:v>-6.3971703178377082E-3</c:v>
                </c:pt>
                <c:pt idx="12">
                  <c:v>2.8030682032424759E-2</c:v>
                </c:pt>
                <c:pt idx="13">
                  <c:v>-6.5833839951133788E-3</c:v>
                </c:pt>
                <c:pt idx="14">
                  <c:v>-9.1126868253428306E-3</c:v>
                </c:pt>
                <c:pt idx="15">
                  <c:v>4.3466588818978913E-3</c:v>
                </c:pt>
                <c:pt idx="16">
                  <c:v>6.6049696481049747E-3</c:v>
                </c:pt>
                <c:pt idx="17">
                  <c:v>1.9734226403813615E-3</c:v>
                </c:pt>
                <c:pt idx="18">
                  <c:v>5.6435893054200825E-3</c:v>
                </c:pt>
                <c:pt idx="19">
                  <c:v>7.3803129252680844E-3</c:v>
                </c:pt>
                <c:pt idx="20">
                  <c:v>8.2397003745318109E-3</c:v>
                </c:pt>
                <c:pt idx="21">
                  <c:v>-2.5180631330603553E-3</c:v>
                </c:pt>
                <c:pt idx="22">
                  <c:v>3.4867126823665551E-3</c:v>
                </c:pt>
                <c:pt idx="23">
                  <c:v>5.536976207574984E-3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B41-4FC2-8A4F-D38FC70E3771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At val="0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'Economic Activity'!$J$2</c:f>
              <c:strCache>
                <c:ptCount val="1"/>
                <c:pt idx="0">
                  <c:v>Retail Sales a/a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Activity'!$A$495:$A$566</c:f>
              <c:numCache>
                <c:formatCode>[$-416]mmm\-yy;@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'Economic Activity'!$J$495:$J$566</c:f>
              <c:numCache>
                <c:formatCode>0.00%</c:formatCode>
                <c:ptCount val="72"/>
                <c:pt idx="0">
                  <c:v>1.8742086300864269E-2</c:v>
                </c:pt>
                <c:pt idx="1">
                  <c:v>1.4486585519089212E-2</c:v>
                </c:pt>
                <c:pt idx="2">
                  <c:v>3.0984156082762393E-2</c:v>
                </c:pt>
                <c:pt idx="3">
                  <c:v>2.909956039109618E-2</c:v>
                </c:pt>
                <c:pt idx="4">
                  <c:v>2.3470539468821494E-2</c:v>
                </c:pt>
                <c:pt idx="5">
                  <c:v>2.8403431738976304E-2</c:v>
                </c:pt>
                <c:pt idx="6">
                  <c:v>3.0065221588206459E-2</c:v>
                </c:pt>
                <c:pt idx="7">
                  <c:v>3.7713413905464455E-2</c:v>
                </c:pt>
                <c:pt idx="8">
                  <c:v>3.6252362523625292E-2</c:v>
                </c:pt>
                <c:pt idx="9">
                  <c:v>2.8084173365153564E-2</c:v>
                </c:pt>
                <c:pt idx="10">
                  <c:v>3.2026946810419732E-2</c:v>
                </c:pt>
                <c:pt idx="11">
                  <c:v>5.7827628487385319E-2</c:v>
                </c:pt>
                <c:pt idx="12">
                  <c:v>5.0740634738281054E-2</c:v>
                </c:pt>
                <c:pt idx="13">
                  <c:v>4.9521545438200532E-2</c:v>
                </c:pt>
                <c:pt idx="14">
                  <c:v>-5.96044075357689E-2</c:v>
                </c:pt>
                <c:pt idx="15">
                  <c:v>-0.1975674628995826</c:v>
                </c:pt>
                <c:pt idx="16">
                  <c:v>-5.1808000249837005E-2</c:v>
                </c:pt>
                <c:pt idx="17">
                  <c:v>2.7860597628039496E-2</c:v>
                </c:pt>
                <c:pt idx="18">
                  <c:v>3.5353310907028757E-2</c:v>
                </c:pt>
                <c:pt idx="19">
                  <c:v>3.8736226298485166E-2</c:v>
                </c:pt>
                <c:pt idx="20">
                  <c:v>6.5330299293022254E-2</c:v>
                </c:pt>
                <c:pt idx="21">
                  <c:v>5.8196831751775591E-2</c:v>
                </c:pt>
                <c:pt idx="22">
                  <c:v>4.1134082279630002E-2</c:v>
                </c:pt>
                <c:pt idx="23">
                  <c:v>4.718835945603872E-2</c:v>
                </c:pt>
                <c:pt idx="24">
                  <c:v>8.4416685238413613E-2</c:v>
                </c:pt>
                <c:pt idx="25">
                  <c:v>5.628532108520079E-2</c:v>
                </c:pt>
                <c:pt idx="26">
                  <c:v>0.28754295658430573</c:v>
                </c:pt>
                <c:pt idx="27">
                  <c:v>0.52027379607875801</c:v>
                </c:pt>
                <c:pt idx="28">
                  <c:v>0.26675463316529124</c:v>
                </c:pt>
                <c:pt idx="29">
                  <c:v>0.17850297369084611</c:v>
                </c:pt>
                <c:pt idx="30">
                  <c:v>0.14285874246982333</c:v>
                </c:pt>
                <c:pt idx="31">
                  <c:v>0.14128970626005888</c:v>
                </c:pt>
                <c:pt idx="32">
                  <c:v>0.12706125332898521</c:v>
                </c:pt>
                <c:pt idx="33">
                  <c:v>0.14970032650314224</c:v>
                </c:pt>
                <c:pt idx="34">
                  <c:v>0.17324200360106379</c:v>
                </c:pt>
                <c:pt idx="35">
                  <c:v>0.15521684920701273</c:v>
                </c:pt>
                <c:pt idx="36">
                  <c:v>0.13251327486479214</c:v>
                </c:pt>
                <c:pt idx="37">
                  <c:v>0.1777218346851579</c:v>
                </c:pt>
                <c:pt idx="38">
                  <c:v>8.3624525442149045E-2</c:v>
                </c:pt>
                <c:pt idx="39">
                  <c:v>8.9182926279014252E-2</c:v>
                </c:pt>
                <c:pt idx="40">
                  <c:v>9.6748665048149274E-2</c:v>
                </c:pt>
                <c:pt idx="41">
                  <c:v>9.4758466696267085E-2</c:v>
                </c:pt>
                <c:pt idx="42">
                  <c:v>0.10357384298343875</c:v>
                </c:pt>
                <c:pt idx="43">
                  <c:v>0.10134087148551463</c:v>
                </c:pt>
                <c:pt idx="44">
                  <c:v>9.0174633180304165E-2</c:v>
                </c:pt>
                <c:pt idx="45">
                  <c:v>8.9052549975081607E-2</c:v>
                </c:pt>
                <c:pt idx="46">
                  <c:v>6.0585581357512464E-2</c:v>
                </c:pt>
                <c:pt idx="47">
                  <c:v>5.9819256825855316E-2</c:v>
                </c:pt>
                <c:pt idx="48">
                  <c:v>7.4061264055835574E-2</c:v>
                </c:pt>
                <c:pt idx="49">
                  <c:v>5.262014346218824E-2</c:v>
                </c:pt>
                <c:pt idx="50">
                  <c:v>2.1921894910426509E-2</c:v>
                </c:pt>
                <c:pt idx="51">
                  <c:v>1.292648753733916E-2</c:v>
                </c:pt>
                <c:pt idx="52">
                  <c:v>2.1103398205700064E-2</c:v>
                </c:pt>
                <c:pt idx="53">
                  <c:v>1.469916166432772E-2</c:v>
                </c:pt>
                <c:pt idx="54">
                  <c:v>2.7511682070130883E-2</c:v>
                </c:pt>
                <c:pt idx="55">
                  <c:v>2.835419815009721E-2</c:v>
                </c:pt>
                <c:pt idx="56">
                  <c:v>3.9961545380284846E-2</c:v>
                </c:pt>
                <c:pt idx="57">
                  <c:v>2.2046859746176484E-2</c:v>
                </c:pt>
                <c:pt idx="58">
                  <c:v>4.1337490928614828E-2</c:v>
                </c:pt>
                <c:pt idx="59">
                  <c:v>5.3844977650570947E-2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AB-4669-B677-4A0222140932}"/>
            </c:ext>
          </c:extLst>
        </c:ser>
        <c:ser>
          <c:idx val="0"/>
          <c:order val="1"/>
          <c:tx>
            <c:strRef>
              <c:f>'Economic Activity'!$M$2</c:f>
              <c:strCache>
                <c:ptCount val="1"/>
                <c:pt idx="0">
                  <c:v>Core-Retail Sales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Activity'!$A$495:$A$566</c:f>
              <c:numCache>
                <c:formatCode>[$-416]mmm\-yy;@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'Economic Activity'!$M$495:$M$566</c:f>
              <c:numCache>
                <c:formatCode>0.00%</c:formatCode>
                <c:ptCount val="72"/>
                <c:pt idx="0">
                  <c:v>2.5268187999211156E-2</c:v>
                </c:pt>
                <c:pt idx="1">
                  <c:v>1.5730611062991118E-2</c:v>
                </c:pt>
                <c:pt idx="2">
                  <c:v>3.0018566087642196E-2</c:v>
                </c:pt>
                <c:pt idx="3">
                  <c:v>3.3307804281779818E-2</c:v>
                </c:pt>
                <c:pt idx="4">
                  <c:v>2.3673316240385267E-2</c:v>
                </c:pt>
                <c:pt idx="5">
                  <c:v>2.9375166205889647E-2</c:v>
                </c:pt>
                <c:pt idx="6">
                  <c:v>3.182617532917198E-2</c:v>
                </c:pt>
                <c:pt idx="7">
                  <c:v>3.2953962985264873E-2</c:v>
                </c:pt>
                <c:pt idx="8">
                  <c:v>3.5676563783593407E-2</c:v>
                </c:pt>
                <c:pt idx="9">
                  <c:v>2.72895775384836E-2</c:v>
                </c:pt>
                <c:pt idx="10">
                  <c:v>2.8050556550838657E-2</c:v>
                </c:pt>
                <c:pt idx="11">
                  <c:v>6.7659448204852479E-2</c:v>
                </c:pt>
                <c:pt idx="12">
                  <c:v>5.5857507530759909E-2</c:v>
                </c:pt>
                <c:pt idx="13">
                  <c:v>5.615878604795399E-2</c:v>
                </c:pt>
                <c:pt idx="14">
                  <c:v>-7.192716911156527E-3</c:v>
                </c:pt>
                <c:pt idx="15">
                  <c:v>-0.15816677138144974</c:v>
                </c:pt>
                <c:pt idx="16">
                  <c:v>-5.4122407688416807E-2</c:v>
                </c:pt>
                <c:pt idx="17">
                  <c:v>2.4522861926684847E-2</c:v>
                </c:pt>
                <c:pt idx="18">
                  <c:v>3.7092113490038381E-2</c:v>
                </c:pt>
                <c:pt idx="19">
                  <c:v>4.4770654577513946E-2</c:v>
                </c:pt>
                <c:pt idx="20">
                  <c:v>6.2805135314327076E-2</c:v>
                </c:pt>
                <c:pt idx="21">
                  <c:v>5.5332388342983485E-2</c:v>
                </c:pt>
                <c:pt idx="22">
                  <c:v>4.3433864031870772E-2</c:v>
                </c:pt>
                <c:pt idx="23">
                  <c:v>4.0012636819702019E-2</c:v>
                </c:pt>
                <c:pt idx="24">
                  <c:v>7.6662858008000656E-2</c:v>
                </c:pt>
                <c:pt idx="25">
                  <c:v>5.1328192148051066E-2</c:v>
                </c:pt>
                <c:pt idx="26">
                  <c:v>0.20592668125746116</c:v>
                </c:pt>
                <c:pt idx="27">
                  <c:v>0.4200285705956095</c:v>
                </c:pt>
                <c:pt idx="28">
                  <c:v>0.25096747526415042</c:v>
                </c:pt>
                <c:pt idx="29">
                  <c:v>0.17577722641558813</c:v>
                </c:pt>
                <c:pt idx="30">
                  <c:v>0.14116954218303368</c:v>
                </c:pt>
                <c:pt idx="31">
                  <c:v>0.14798120463705033</c:v>
                </c:pt>
                <c:pt idx="32">
                  <c:v>0.13648499971644079</c:v>
                </c:pt>
                <c:pt idx="33">
                  <c:v>0.15917415841606708</c:v>
                </c:pt>
                <c:pt idx="34">
                  <c:v>0.18077628151231551</c:v>
                </c:pt>
                <c:pt idx="35">
                  <c:v>0.17036020254112838</c:v>
                </c:pt>
                <c:pt idx="36">
                  <c:v>0.13410513086428444</c:v>
                </c:pt>
                <c:pt idx="37">
                  <c:v>0.17806670435274174</c:v>
                </c:pt>
                <c:pt idx="38">
                  <c:v>0.11014294287853255</c:v>
                </c:pt>
                <c:pt idx="39">
                  <c:v>0.11899795517816236</c:v>
                </c:pt>
                <c:pt idx="40">
                  <c:v>0.13300305428953174</c:v>
                </c:pt>
                <c:pt idx="41">
                  <c:v>0.12144902026240989</c:v>
                </c:pt>
                <c:pt idx="42">
                  <c:v>0.12499107599984494</c:v>
                </c:pt>
                <c:pt idx="43">
                  <c:v>0.10929751941627663</c:v>
                </c:pt>
                <c:pt idx="44">
                  <c:v>0.10019940477972655</c:v>
                </c:pt>
                <c:pt idx="45">
                  <c:v>9.7077654267645919E-2</c:v>
                </c:pt>
                <c:pt idx="46">
                  <c:v>7.2233603567322113E-2</c:v>
                </c:pt>
                <c:pt idx="47">
                  <c:v>7.1813155825122488E-2</c:v>
                </c:pt>
                <c:pt idx="48">
                  <c:v>8.4310576310196561E-2</c:v>
                </c:pt>
                <c:pt idx="49">
                  <c:v>6.4083397695207545E-2</c:v>
                </c:pt>
                <c:pt idx="50">
                  <c:v>2.5499503051357619E-2</c:v>
                </c:pt>
                <c:pt idx="51">
                  <c:v>1.6187624530773492E-2</c:v>
                </c:pt>
                <c:pt idx="52">
                  <c:v>1.3743023683932432E-2</c:v>
                </c:pt>
                <c:pt idx="53">
                  <c:v>4.5878262940357573E-3</c:v>
                </c:pt>
                <c:pt idx="54">
                  <c:v>1.7322783249445139E-2</c:v>
                </c:pt>
                <c:pt idx="55">
                  <c:v>2.4309874404112142E-2</c:v>
                </c:pt>
                <c:pt idx="56">
                  <c:v>3.4205990674722075E-2</c:v>
                </c:pt>
                <c:pt idx="57">
                  <c:v>1.9652351372155819E-2</c:v>
                </c:pt>
                <c:pt idx="58">
                  <c:v>3.6013477837231633E-2</c:v>
                </c:pt>
                <c:pt idx="59">
                  <c:v>4.3983715264754419E-2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6AB-4669-B677-4A0222140932}"/>
            </c:ext>
          </c:extLst>
        </c:ser>
        <c:ser>
          <c:idx val="2"/>
          <c:order val="2"/>
          <c:tx>
            <c:strRef>
              <c:f>'Economic Activity'!$P$2</c:f>
              <c:strCache>
                <c:ptCount val="1"/>
                <c:pt idx="0">
                  <c:v>Real Retail Sales a/a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Activity'!$A$495:$A$566</c:f>
              <c:numCache>
                <c:formatCode>[$-416]mmm\-yy;@</c:formatCode>
                <c:ptCount val="72"/>
                <c:pt idx="0">
                  <c:v>43466</c:v>
                </c:pt>
                <c:pt idx="1">
                  <c:v>43497</c:v>
                </c:pt>
                <c:pt idx="2">
                  <c:v>43525</c:v>
                </c:pt>
                <c:pt idx="3">
                  <c:v>43556</c:v>
                </c:pt>
                <c:pt idx="4">
                  <c:v>43586</c:v>
                </c:pt>
                <c:pt idx="5">
                  <c:v>43617</c:v>
                </c:pt>
                <c:pt idx="6">
                  <c:v>43647</c:v>
                </c:pt>
                <c:pt idx="7">
                  <c:v>43678</c:v>
                </c:pt>
                <c:pt idx="8">
                  <c:v>43709</c:v>
                </c:pt>
                <c:pt idx="9">
                  <c:v>43739</c:v>
                </c:pt>
                <c:pt idx="10">
                  <c:v>43770</c:v>
                </c:pt>
                <c:pt idx="11">
                  <c:v>43800</c:v>
                </c:pt>
                <c:pt idx="12">
                  <c:v>43831</c:v>
                </c:pt>
                <c:pt idx="13">
                  <c:v>43862</c:v>
                </c:pt>
                <c:pt idx="14">
                  <c:v>43891</c:v>
                </c:pt>
                <c:pt idx="15">
                  <c:v>43922</c:v>
                </c:pt>
                <c:pt idx="16">
                  <c:v>43952</c:v>
                </c:pt>
                <c:pt idx="17">
                  <c:v>43983</c:v>
                </c:pt>
                <c:pt idx="18">
                  <c:v>44013</c:v>
                </c:pt>
                <c:pt idx="19">
                  <c:v>44044</c:v>
                </c:pt>
                <c:pt idx="20">
                  <c:v>44075</c:v>
                </c:pt>
                <c:pt idx="21">
                  <c:v>44105</c:v>
                </c:pt>
                <c:pt idx="22">
                  <c:v>44136</c:v>
                </c:pt>
                <c:pt idx="23">
                  <c:v>44166</c:v>
                </c:pt>
                <c:pt idx="24">
                  <c:v>44197</c:v>
                </c:pt>
                <c:pt idx="25">
                  <c:v>44228</c:v>
                </c:pt>
                <c:pt idx="26">
                  <c:v>44256</c:v>
                </c:pt>
                <c:pt idx="27">
                  <c:v>44287</c:v>
                </c:pt>
                <c:pt idx="28">
                  <c:v>44317</c:v>
                </c:pt>
                <c:pt idx="29">
                  <c:v>44348</c:v>
                </c:pt>
                <c:pt idx="30">
                  <c:v>44378</c:v>
                </c:pt>
                <c:pt idx="31">
                  <c:v>44409</c:v>
                </c:pt>
                <c:pt idx="32">
                  <c:v>44440</c:v>
                </c:pt>
                <c:pt idx="33">
                  <c:v>44470</c:v>
                </c:pt>
                <c:pt idx="34">
                  <c:v>44501</c:v>
                </c:pt>
                <c:pt idx="35">
                  <c:v>44531</c:v>
                </c:pt>
                <c:pt idx="36">
                  <c:v>44562</c:v>
                </c:pt>
                <c:pt idx="37">
                  <c:v>44593</c:v>
                </c:pt>
                <c:pt idx="38">
                  <c:v>44621</c:v>
                </c:pt>
                <c:pt idx="39">
                  <c:v>44652</c:v>
                </c:pt>
                <c:pt idx="40">
                  <c:v>44682</c:v>
                </c:pt>
                <c:pt idx="41">
                  <c:v>44713</c:v>
                </c:pt>
                <c:pt idx="42">
                  <c:v>44743</c:v>
                </c:pt>
                <c:pt idx="43">
                  <c:v>44774</c:v>
                </c:pt>
                <c:pt idx="44">
                  <c:v>44805</c:v>
                </c:pt>
                <c:pt idx="45">
                  <c:v>44835</c:v>
                </c:pt>
                <c:pt idx="46">
                  <c:v>44866</c:v>
                </c:pt>
                <c:pt idx="47">
                  <c:v>44896</c:v>
                </c:pt>
                <c:pt idx="48">
                  <c:v>44927</c:v>
                </c:pt>
                <c:pt idx="49">
                  <c:v>44958</c:v>
                </c:pt>
                <c:pt idx="50">
                  <c:v>44986</c:v>
                </c:pt>
                <c:pt idx="51">
                  <c:v>45017</c:v>
                </c:pt>
                <c:pt idx="52">
                  <c:v>45047</c:v>
                </c:pt>
                <c:pt idx="53">
                  <c:v>45078</c:v>
                </c:pt>
                <c:pt idx="54">
                  <c:v>45108</c:v>
                </c:pt>
                <c:pt idx="55">
                  <c:v>45139</c:v>
                </c:pt>
                <c:pt idx="56">
                  <c:v>45170</c:v>
                </c:pt>
                <c:pt idx="57">
                  <c:v>45200</c:v>
                </c:pt>
                <c:pt idx="58">
                  <c:v>45231</c:v>
                </c:pt>
                <c:pt idx="59">
                  <c:v>45261</c:v>
                </c:pt>
                <c:pt idx="60">
                  <c:v>45292</c:v>
                </c:pt>
                <c:pt idx="61">
                  <c:v>45323</c:v>
                </c:pt>
                <c:pt idx="62">
                  <c:v>45352</c:v>
                </c:pt>
                <c:pt idx="63">
                  <c:v>45383</c:v>
                </c:pt>
                <c:pt idx="64">
                  <c:v>45413</c:v>
                </c:pt>
                <c:pt idx="65">
                  <c:v>45444</c:v>
                </c:pt>
                <c:pt idx="66">
                  <c:v>45474</c:v>
                </c:pt>
                <c:pt idx="67">
                  <c:v>45505</c:v>
                </c:pt>
                <c:pt idx="68">
                  <c:v>45536</c:v>
                </c:pt>
                <c:pt idx="69">
                  <c:v>45566</c:v>
                </c:pt>
                <c:pt idx="70">
                  <c:v>45597</c:v>
                </c:pt>
                <c:pt idx="71">
                  <c:v>45627</c:v>
                </c:pt>
              </c:numCache>
            </c:numRef>
          </c:cat>
          <c:val>
            <c:numRef>
              <c:f>'Economic Activity'!$P$495:$P$566</c:f>
              <c:numCache>
                <c:formatCode>0.00%</c:formatCode>
                <c:ptCount val="72"/>
                <c:pt idx="0">
                  <c:v>3.1865555769796661E-3</c:v>
                </c:pt>
                <c:pt idx="1">
                  <c:v>-7.0293970395618466E-4</c:v>
                </c:pt>
                <c:pt idx="2">
                  <c:v>1.222264960725572E-2</c:v>
                </c:pt>
                <c:pt idx="3">
                  <c:v>9.0006175901833352E-3</c:v>
                </c:pt>
                <c:pt idx="4">
                  <c:v>5.4358172763799839E-3</c:v>
                </c:pt>
                <c:pt idx="5">
                  <c:v>1.1716116829152856E-2</c:v>
                </c:pt>
                <c:pt idx="6">
                  <c:v>1.2054698632534278E-2</c:v>
                </c:pt>
                <c:pt idx="7">
                  <c:v>1.9899450133581853E-2</c:v>
                </c:pt>
                <c:pt idx="8">
                  <c:v>1.8762483103677896E-2</c:v>
                </c:pt>
                <c:pt idx="9">
                  <c:v>1.0209134699553424E-2</c:v>
                </c:pt>
                <c:pt idx="10">
                  <c:v>1.1173323503332666E-2</c:v>
                </c:pt>
                <c:pt idx="11">
                  <c:v>3.3903652963388931E-2</c:v>
                </c:pt>
                <c:pt idx="12">
                  <c:v>2.5107988629581302E-2</c:v>
                </c:pt>
                <c:pt idx="13">
                  <c:v>2.5531118106091988E-2</c:v>
                </c:pt>
                <c:pt idx="14">
                  <c:v>-7.3890369451847238E-2</c:v>
                </c:pt>
                <c:pt idx="15">
                  <c:v>-0.20032610876981738</c:v>
                </c:pt>
                <c:pt idx="16">
                  <c:v>-5.3949682839446456E-2</c:v>
                </c:pt>
                <c:pt idx="17">
                  <c:v>2.0550431345250253E-2</c:v>
                </c:pt>
                <c:pt idx="18">
                  <c:v>2.4958501304244818E-2</c:v>
                </c:pt>
                <c:pt idx="19">
                  <c:v>2.5315398111788845E-2</c:v>
                </c:pt>
                <c:pt idx="20">
                  <c:v>5.0913915678159061E-2</c:v>
                </c:pt>
                <c:pt idx="21">
                  <c:v>4.583085759556349E-2</c:v>
                </c:pt>
                <c:pt idx="22">
                  <c:v>2.9119804521427373E-2</c:v>
                </c:pt>
                <c:pt idx="23">
                  <c:v>3.3525300255955903E-2</c:v>
                </c:pt>
                <c:pt idx="24">
                  <c:v>6.9502146346277272E-2</c:v>
                </c:pt>
                <c:pt idx="25">
                  <c:v>3.8697834164828526E-2</c:v>
                </c:pt>
                <c:pt idx="26">
                  <c:v>0.25453917212411126</c:v>
                </c:pt>
                <c:pt idx="27">
                  <c:v>0.45996950894341593</c:v>
                </c:pt>
                <c:pt idx="28">
                  <c:v>0.20741072369114089</c:v>
                </c:pt>
                <c:pt idx="29">
                  <c:v>0.11938240567508585</c:v>
                </c:pt>
                <c:pt idx="30">
                  <c:v>8.6143405248038318E-2</c:v>
                </c:pt>
                <c:pt idx="31">
                  <c:v>8.4995014955134618E-2</c:v>
                </c:pt>
                <c:pt idx="32">
                  <c:v>6.9486319439210131E-2</c:v>
                </c:pt>
                <c:pt idx="33">
                  <c:v>8.2195477615332191E-2</c:v>
                </c:pt>
                <c:pt idx="34">
                  <c:v>9.7903303015796972E-2</c:v>
                </c:pt>
                <c:pt idx="35">
                  <c:v>7.7682156107272027E-2</c:v>
                </c:pt>
                <c:pt idx="36">
                  <c:v>5.2566018933732028E-2</c:v>
                </c:pt>
                <c:pt idx="37">
                  <c:v>9.0940619224757491E-2</c:v>
                </c:pt>
                <c:pt idx="38">
                  <c:v>-1.4072566242194773E-3</c:v>
                </c:pt>
                <c:pt idx="39">
                  <c:v>6.3771454109478043E-3</c:v>
                </c:pt>
                <c:pt idx="40">
                  <c:v>1.0805316721849145E-2</c:v>
                </c:pt>
                <c:pt idx="41">
                  <c:v>4.9836562191241107E-3</c:v>
                </c:pt>
                <c:pt idx="42">
                  <c:v>1.793290139344994E-2</c:v>
                </c:pt>
                <c:pt idx="43">
                  <c:v>1.7618265033840563E-2</c:v>
                </c:pt>
                <c:pt idx="44">
                  <c:v>7.4177832985349301E-3</c:v>
                </c:pt>
                <c:pt idx="45">
                  <c:v>1.0604741509425697E-2</c:v>
                </c:pt>
                <c:pt idx="46">
                  <c:v>-1.0054414175590387E-2</c:v>
                </c:pt>
                <c:pt idx="47">
                  <c:v>-4.348556226301703E-3</c:v>
                </c:pt>
                <c:pt idx="48">
                  <c:v>9.9583607275914865E-3</c:v>
                </c:pt>
                <c:pt idx="49">
                  <c:v>-6.8370559724079127E-3</c:v>
                </c:pt>
                <c:pt idx="50">
                  <c:v>-2.6620410274090678E-2</c:v>
                </c:pt>
                <c:pt idx="51">
                  <c:v>-3.4911823732866498E-2</c:v>
                </c:pt>
                <c:pt idx="52">
                  <c:v>-1.9385799858447461E-2</c:v>
                </c:pt>
                <c:pt idx="53">
                  <c:v>-1.5734356593444687E-2</c:v>
                </c:pt>
                <c:pt idx="54">
                  <c:v>-5.3012237282076269E-3</c:v>
                </c:pt>
                <c:pt idx="55">
                  <c:v>-8.4091619490848091E-3</c:v>
                </c:pt>
                <c:pt idx="56">
                  <c:v>2.9513873706854543E-3</c:v>
                </c:pt>
                <c:pt idx="57">
                  <c:v>-9.9566668542560022E-3</c:v>
                </c:pt>
                <c:pt idx="58">
                  <c:v>9.8217982259101166E-3</c:v>
                </c:pt>
                <c:pt idx="59">
                  <c:v>2.019991300411017E-2</c:v>
                </c:pt>
                <c:pt idx="60">
                  <c:v>#N/A</c:v>
                </c:pt>
                <c:pt idx="61">
                  <c:v>#N/A</c:v>
                </c:pt>
                <c:pt idx="62">
                  <c:v>#N/A</c:v>
                </c:pt>
                <c:pt idx="63">
                  <c:v>#N/A</c:v>
                </c:pt>
                <c:pt idx="64">
                  <c:v>#N/A</c:v>
                </c:pt>
                <c:pt idx="65">
                  <c:v>#N/A</c:v>
                </c:pt>
                <c:pt idx="66">
                  <c:v>#N/A</c:v>
                </c:pt>
                <c:pt idx="67">
                  <c:v>#N/A</c:v>
                </c:pt>
                <c:pt idx="68">
                  <c:v>#N/A</c:v>
                </c:pt>
                <c:pt idx="69">
                  <c:v>#N/A</c:v>
                </c:pt>
                <c:pt idx="70">
                  <c:v>#N/A</c:v>
                </c:pt>
                <c:pt idx="71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72-4BBC-BC3A-F5CC0496C2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30000000000000004"/>
          <c:min val="-0.1"/>
        </c:scaling>
        <c:delete val="0"/>
        <c:axPos val="l"/>
        <c:numFmt formatCode="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'Housing Market'!$O$2</c:f>
              <c:strCache>
                <c:ptCount val="1"/>
                <c:pt idx="0">
                  <c:v>New House Sales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Market'!$A$483:$A$758</c:f>
              <c:numCache>
                <c:formatCode>[$-416]mmm\-yy;@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'Housing Market'!$O$483:$O$758</c:f>
              <c:numCache>
                <c:formatCode>_-* #,##0_-;\-* #,##0_-;_-* "-"??_-;_-@_-</c:formatCode>
                <c:ptCount val="276"/>
                <c:pt idx="0">
                  <c:v>936</c:v>
                </c:pt>
                <c:pt idx="1">
                  <c:v>963</c:v>
                </c:pt>
                <c:pt idx="2">
                  <c:v>939</c:v>
                </c:pt>
                <c:pt idx="3">
                  <c:v>909</c:v>
                </c:pt>
                <c:pt idx="4">
                  <c:v>885</c:v>
                </c:pt>
                <c:pt idx="5">
                  <c:v>882</c:v>
                </c:pt>
                <c:pt idx="6">
                  <c:v>880</c:v>
                </c:pt>
                <c:pt idx="7">
                  <c:v>866</c:v>
                </c:pt>
                <c:pt idx="8">
                  <c:v>853</c:v>
                </c:pt>
                <c:pt idx="9">
                  <c:v>871</c:v>
                </c:pt>
                <c:pt idx="10">
                  <c:v>924</c:v>
                </c:pt>
                <c:pt idx="11">
                  <c:v>979</c:v>
                </c:pt>
                <c:pt idx="12">
                  <c:v>880</c:v>
                </c:pt>
                <c:pt idx="13">
                  <c:v>948</c:v>
                </c:pt>
                <c:pt idx="14">
                  <c:v>923</c:v>
                </c:pt>
                <c:pt idx="15">
                  <c:v>936</c:v>
                </c:pt>
                <c:pt idx="16">
                  <c:v>978</c:v>
                </c:pt>
                <c:pt idx="17">
                  <c:v>957</c:v>
                </c:pt>
                <c:pt idx="18">
                  <c:v>956</c:v>
                </c:pt>
                <c:pt idx="19">
                  <c:v>1014</c:v>
                </c:pt>
                <c:pt idx="20">
                  <c:v>1044</c:v>
                </c:pt>
                <c:pt idx="21">
                  <c:v>1006</c:v>
                </c:pt>
                <c:pt idx="22">
                  <c:v>1024</c:v>
                </c:pt>
                <c:pt idx="23">
                  <c:v>1048</c:v>
                </c:pt>
                <c:pt idx="24">
                  <c:v>999</c:v>
                </c:pt>
                <c:pt idx="25">
                  <c:v>936</c:v>
                </c:pt>
                <c:pt idx="26">
                  <c:v>999</c:v>
                </c:pt>
                <c:pt idx="27">
                  <c:v>1012</c:v>
                </c:pt>
                <c:pt idx="28">
                  <c:v>1078</c:v>
                </c:pt>
                <c:pt idx="29">
                  <c:v>1193</c:v>
                </c:pt>
                <c:pt idx="30">
                  <c:v>1168</c:v>
                </c:pt>
                <c:pt idx="31">
                  <c:v>1206</c:v>
                </c:pt>
                <c:pt idx="32">
                  <c:v>1131</c:v>
                </c:pt>
                <c:pt idx="33">
                  <c:v>1144</c:v>
                </c:pt>
                <c:pt idx="34">
                  <c:v>1093</c:v>
                </c:pt>
                <c:pt idx="35">
                  <c:v>1129</c:v>
                </c:pt>
                <c:pt idx="36">
                  <c:v>1165</c:v>
                </c:pt>
                <c:pt idx="37">
                  <c:v>1159</c:v>
                </c:pt>
                <c:pt idx="38">
                  <c:v>1276</c:v>
                </c:pt>
                <c:pt idx="39">
                  <c:v>1186</c:v>
                </c:pt>
                <c:pt idx="40">
                  <c:v>1241</c:v>
                </c:pt>
                <c:pt idx="41">
                  <c:v>1180</c:v>
                </c:pt>
                <c:pt idx="42">
                  <c:v>1088</c:v>
                </c:pt>
                <c:pt idx="43">
                  <c:v>1175</c:v>
                </c:pt>
                <c:pt idx="44">
                  <c:v>1214</c:v>
                </c:pt>
                <c:pt idx="45">
                  <c:v>1305</c:v>
                </c:pt>
                <c:pt idx="46">
                  <c:v>1179</c:v>
                </c:pt>
                <c:pt idx="47">
                  <c:v>1242</c:v>
                </c:pt>
                <c:pt idx="48">
                  <c:v>1203</c:v>
                </c:pt>
                <c:pt idx="49">
                  <c:v>1319</c:v>
                </c:pt>
                <c:pt idx="50">
                  <c:v>1328</c:v>
                </c:pt>
                <c:pt idx="51">
                  <c:v>1260</c:v>
                </c:pt>
                <c:pt idx="52">
                  <c:v>1286</c:v>
                </c:pt>
                <c:pt idx="53">
                  <c:v>1274</c:v>
                </c:pt>
                <c:pt idx="54">
                  <c:v>1389</c:v>
                </c:pt>
                <c:pt idx="55">
                  <c:v>1255</c:v>
                </c:pt>
                <c:pt idx="56">
                  <c:v>1244</c:v>
                </c:pt>
                <c:pt idx="57">
                  <c:v>1336</c:v>
                </c:pt>
                <c:pt idx="58">
                  <c:v>1214</c:v>
                </c:pt>
                <c:pt idx="59">
                  <c:v>1239</c:v>
                </c:pt>
                <c:pt idx="60">
                  <c:v>1174</c:v>
                </c:pt>
                <c:pt idx="61">
                  <c:v>1061</c:v>
                </c:pt>
                <c:pt idx="62">
                  <c:v>1116</c:v>
                </c:pt>
                <c:pt idx="63">
                  <c:v>1123</c:v>
                </c:pt>
                <c:pt idx="64">
                  <c:v>1086</c:v>
                </c:pt>
                <c:pt idx="65">
                  <c:v>1074</c:v>
                </c:pt>
                <c:pt idx="66">
                  <c:v>965</c:v>
                </c:pt>
                <c:pt idx="67">
                  <c:v>1035</c:v>
                </c:pt>
                <c:pt idx="68">
                  <c:v>1016</c:v>
                </c:pt>
                <c:pt idx="69">
                  <c:v>941</c:v>
                </c:pt>
                <c:pt idx="70">
                  <c:v>1003</c:v>
                </c:pt>
                <c:pt idx="71">
                  <c:v>998</c:v>
                </c:pt>
                <c:pt idx="72">
                  <c:v>891</c:v>
                </c:pt>
                <c:pt idx="73">
                  <c:v>828</c:v>
                </c:pt>
                <c:pt idx="74">
                  <c:v>833</c:v>
                </c:pt>
                <c:pt idx="75">
                  <c:v>887</c:v>
                </c:pt>
                <c:pt idx="76">
                  <c:v>842</c:v>
                </c:pt>
                <c:pt idx="77">
                  <c:v>793</c:v>
                </c:pt>
                <c:pt idx="78">
                  <c:v>778</c:v>
                </c:pt>
                <c:pt idx="79">
                  <c:v>699</c:v>
                </c:pt>
                <c:pt idx="80">
                  <c:v>686</c:v>
                </c:pt>
                <c:pt idx="81">
                  <c:v>727</c:v>
                </c:pt>
                <c:pt idx="82">
                  <c:v>641</c:v>
                </c:pt>
                <c:pt idx="83">
                  <c:v>619</c:v>
                </c:pt>
                <c:pt idx="84">
                  <c:v>627</c:v>
                </c:pt>
                <c:pt idx="85">
                  <c:v>593</c:v>
                </c:pt>
                <c:pt idx="86">
                  <c:v>535</c:v>
                </c:pt>
                <c:pt idx="87">
                  <c:v>536</c:v>
                </c:pt>
                <c:pt idx="88">
                  <c:v>504</c:v>
                </c:pt>
                <c:pt idx="89">
                  <c:v>487</c:v>
                </c:pt>
                <c:pt idx="90">
                  <c:v>477</c:v>
                </c:pt>
                <c:pt idx="91">
                  <c:v>435</c:v>
                </c:pt>
                <c:pt idx="92">
                  <c:v>433</c:v>
                </c:pt>
                <c:pt idx="93">
                  <c:v>393</c:v>
                </c:pt>
                <c:pt idx="94">
                  <c:v>389</c:v>
                </c:pt>
                <c:pt idx="95">
                  <c:v>377</c:v>
                </c:pt>
                <c:pt idx="96">
                  <c:v>336</c:v>
                </c:pt>
                <c:pt idx="97">
                  <c:v>372</c:v>
                </c:pt>
                <c:pt idx="98">
                  <c:v>339</c:v>
                </c:pt>
                <c:pt idx="99">
                  <c:v>337</c:v>
                </c:pt>
                <c:pt idx="100">
                  <c:v>376</c:v>
                </c:pt>
                <c:pt idx="101">
                  <c:v>393</c:v>
                </c:pt>
                <c:pt idx="102">
                  <c:v>411</c:v>
                </c:pt>
                <c:pt idx="103">
                  <c:v>418</c:v>
                </c:pt>
                <c:pt idx="104">
                  <c:v>386</c:v>
                </c:pt>
                <c:pt idx="105">
                  <c:v>396</c:v>
                </c:pt>
                <c:pt idx="106">
                  <c:v>375</c:v>
                </c:pt>
                <c:pt idx="107">
                  <c:v>352</c:v>
                </c:pt>
                <c:pt idx="108">
                  <c:v>345</c:v>
                </c:pt>
                <c:pt idx="109">
                  <c:v>336</c:v>
                </c:pt>
                <c:pt idx="110">
                  <c:v>381</c:v>
                </c:pt>
                <c:pt idx="111">
                  <c:v>422</c:v>
                </c:pt>
                <c:pt idx="112">
                  <c:v>280</c:v>
                </c:pt>
                <c:pt idx="113">
                  <c:v>305</c:v>
                </c:pt>
                <c:pt idx="114">
                  <c:v>283</c:v>
                </c:pt>
                <c:pt idx="115">
                  <c:v>282</c:v>
                </c:pt>
                <c:pt idx="116">
                  <c:v>317</c:v>
                </c:pt>
                <c:pt idx="117">
                  <c:v>291</c:v>
                </c:pt>
                <c:pt idx="118">
                  <c:v>287</c:v>
                </c:pt>
                <c:pt idx="119">
                  <c:v>326</c:v>
                </c:pt>
                <c:pt idx="120">
                  <c:v>307</c:v>
                </c:pt>
                <c:pt idx="121">
                  <c:v>270</c:v>
                </c:pt>
                <c:pt idx="122">
                  <c:v>300</c:v>
                </c:pt>
                <c:pt idx="123">
                  <c:v>310</c:v>
                </c:pt>
                <c:pt idx="124">
                  <c:v>305</c:v>
                </c:pt>
                <c:pt idx="125">
                  <c:v>301</c:v>
                </c:pt>
                <c:pt idx="126">
                  <c:v>296</c:v>
                </c:pt>
                <c:pt idx="127">
                  <c:v>299</c:v>
                </c:pt>
                <c:pt idx="128">
                  <c:v>304</c:v>
                </c:pt>
                <c:pt idx="129">
                  <c:v>316</c:v>
                </c:pt>
                <c:pt idx="130">
                  <c:v>328</c:v>
                </c:pt>
                <c:pt idx="131">
                  <c:v>341</c:v>
                </c:pt>
                <c:pt idx="132">
                  <c:v>335</c:v>
                </c:pt>
                <c:pt idx="133">
                  <c:v>366</c:v>
                </c:pt>
                <c:pt idx="134">
                  <c:v>354</c:v>
                </c:pt>
                <c:pt idx="135">
                  <c:v>354</c:v>
                </c:pt>
                <c:pt idx="136">
                  <c:v>370</c:v>
                </c:pt>
                <c:pt idx="137">
                  <c:v>360</c:v>
                </c:pt>
                <c:pt idx="138">
                  <c:v>369</c:v>
                </c:pt>
                <c:pt idx="139">
                  <c:v>375</c:v>
                </c:pt>
                <c:pt idx="140">
                  <c:v>385</c:v>
                </c:pt>
                <c:pt idx="141">
                  <c:v>358</c:v>
                </c:pt>
                <c:pt idx="142">
                  <c:v>392</c:v>
                </c:pt>
                <c:pt idx="143">
                  <c:v>399</c:v>
                </c:pt>
                <c:pt idx="144">
                  <c:v>446</c:v>
                </c:pt>
                <c:pt idx="145">
                  <c:v>447</c:v>
                </c:pt>
                <c:pt idx="146">
                  <c:v>444</c:v>
                </c:pt>
                <c:pt idx="147">
                  <c:v>441</c:v>
                </c:pt>
                <c:pt idx="148">
                  <c:v>428</c:v>
                </c:pt>
                <c:pt idx="149">
                  <c:v>470</c:v>
                </c:pt>
                <c:pt idx="150">
                  <c:v>375</c:v>
                </c:pt>
                <c:pt idx="151">
                  <c:v>381</c:v>
                </c:pt>
                <c:pt idx="152">
                  <c:v>403</c:v>
                </c:pt>
                <c:pt idx="153">
                  <c:v>444</c:v>
                </c:pt>
                <c:pt idx="154">
                  <c:v>446</c:v>
                </c:pt>
                <c:pt idx="155">
                  <c:v>433</c:v>
                </c:pt>
                <c:pt idx="156">
                  <c:v>443</c:v>
                </c:pt>
                <c:pt idx="157">
                  <c:v>420</c:v>
                </c:pt>
                <c:pt idx="158">
                  <c:v>405</c:v>
                </c:pt>
                <c:pt idx="159">
                  <c:v>403</c:v>
                </c:pt>
                <c:pt idx="160">
                  <c:v>451</c:v>
                </c:pt>
                <c:pt idx="161">
                  <c:v>418</c:v>
                </c:pt>
                <c:pt idx="162">
                  <c:v>402</c:v>
                </c:pt>
                <c:pt idx="163">
                  <c:v>456</c:v>
                </c:pt>
                <c:pt idx="164">
                  <c:v>470</c:v>
                </c:pt>
                <c:pt idx="165">
                  <c:v>476</c:v>
                </c:pt>
                <c:pt idx="166">
                  <c:v>442</c:v>
                </c:pt>
                <c:pt idx="167">
                  <c:v>497</c:v>
                </c:pt>
                <c:pt idx="168">
                  <c:v>515</c:v>
                </c:pt>
                <c:pt idx="169">
                  <c:v>540</c:v>
                </c:pt>
                <c:pt idx="170">
                  <c:v>480</c:v>
                </c:pt>
                <c:pt idx="171">
                  <c:v>502</c:v>
                </c:pt>
                <c:pt idx="172">
                  <c:v>502</c:v>
                </c:pt>
                <c:pt idx="173">
                  <c:v>480</c:v>
                </c:pt>
                <c:pt idx="174">
                  <c:v>506</c:v>
                </c:pt>
                <c:pt idx="175">
                  <c:v>518</c:v>
                </c:pt>
                <c:pt idx="176">
                  <c:v>456</c:v>
                </c:pt>
                <c:pt idx="177">
                  <c:v>482</c:v>
                </c:pt>
                <c:pt idx="178">
                  <c:v>504</c:v>
                </c:pt>
                <c:pt idx="179">
                  <c:v>546</c:v>
                </c:pt>
                <c:pt idx="180">
                  <c:v>505</c:v>
                </c:pt>
                <c:pt idx="181">
                  <c:v>517</c:v>
                </c:pt>
                <c:pt idx="182">
                  <c:v>532</c:v>
                </c:pt>
                <c:pt idx="183">
                  <c:v>576</c:v>
                </c:pt>
                <c:pt idx="184">
                  <c:v>571</c:v>
                </c:pt>
                <c:pt idx="185">
                  <c:v>557</c:v>
                </c:pt>
                <c:pt idx="186">
                  <c:v>628</c:v>
                </c:pt>
                <c:pt idx="187">
                  <c:v>575</c:v>
                </c:pt>
                <c:pt idx="188">
                  <c:v>558</c:v>
                </c:pt>
                <c:pt idx="189">
                  <c:v>575</c:v>
                </c:pt>
                <c:pt idx="190">
                  <c:v>571</c:v>
                </c:pt>
                <c:pt idx="191">
                  <c:v>561</c:v>
                </c:pt>
                <c:pt idx="192">
                  <c:v>573</c:v>
                </c:pt>
                <c:pt idx="193">
                  <c:v>587</c:v>
                </c:pt>
                <c:pt idx="194">
                  <c:v>632</c:v>
                </c:pt>
                <c:pt idx="195">
                  <c:v>598</c:v>
                </c:pt>
                <c:pt idx="196">
                  <c:v>635</c:v>
                </c:pt>
                <c:pt idx="197">
                  <c:v>619</c:v>
                </c:pt>
                <c:pt idx="198">
                  <c:v>572</c:v>
                </c:pt>
                <c:pt idx="199">
                  <c:v>556</c:v>
                </c:pt>
                <c:pt idx="200">
                  <c:v>637</c:v>
                </c:pt>
                <c:pt idx="201">
                  <c:v>626</c:v>
                </c:pt>
                <c:pt idx="202">
                  <c:v>711</c:v>
                </c:pt>
                <c:pt idx="203">
                  <c:v>630</c:v>
                </c:pt>
                <c:pt idx="204">
                  <c:v>590</c:v>
                </c:pt>
                <c:pt idx="205">
                  <c:v>618</c:v>
                </c:pt>
                <c:pt idx="206">
                  <c:v>679</c:v>
                </c:pt>
                <c:pt idx="207">
                  <c:v>642</c:v>
                </c:pt>
                <c:pt idx="208">
                  <c:v>662</c:v>
                </c:pt>
                <c:pt idx="209">
                  <c:v>636</c:v>
                </c:pt>
                <c:pt idx="210">
                  <c:v>628</c:v>
                </c:pt>
                <c:pt idx="211">
                  <c:v>593</c:v>
                </c:pt>
                <c:pt idx="212">
                  <c:v>595</c:v>
                </c:pt>
                <c:pt idx="213">
                  <c:v>554</c:v>
                </c:pt>
                <c:pt idx="214">
                  <c:v>625</c:v>
                </c:pt>
                <c:pt idx="215">
                  <c:v>546</c:v>
                </c:pt>
                <c:pt idx="216">
                  <c:v>591</c:v>
                </c:pt>
                <c:pt idx="217">
                  <c:v>638</c:v>
                </c:pt>
                <c:pt idx="218">
                  <c:v>705</c:v>
                </c:pt>
                <c:pt idx="219">
                  <c:v>695</c:v>
                </c:pt>
                <c:pt idx="220">
                  <c:v>602</c:v>
                </c:pt>
                <c:pt idx="221">
                  <c:v>763</c:v>
                </c:pt>
                <c:pt idx="222">
                  <c:v>669</c:v>
                </c:pt>
                <c:pt idx="223">
                  <c:v>720</c:v>
                </c:pt>
                <c:pt idx="224">
                  <c:v>715</c:v>
                </c:pt>
                <c:pt idx="225">
                  <c:v>721</c:v>
                </c:pt>
                <c:pt idx="226">
                  <c:v>710</c:v>
                </c:pt>
                <c:pt idx="227">
                  <c:v>693</c:v>
                </c:pt>
                <c:pt idx="228">
                  <c:v>685</c:v>
                </c:pt>
                <c:pt idx="229">
                  <c:v>699</c:v>
                </c:pt>
                <c:pt idx="230">
                  <c:v>609</c:v>
                </c:pt>
                <c:pt idx="231">
                  <c:v>569</c:v>
                </c:pt>
                <c:pt idx="232">
                  <c:v>696</c:v>
                </c:pt>
                <c:pt idx="233">
                  <c:v>936</c:v>
                </c:pt>
                <c:pt idx="234">
                  <c:v>1019</c:v>
                </c:pt>
                <c:pt idx="235">
                  <c:v>1029</c:v>
                </c:pt>
                <c:pt idx="236">
                  <c:v>988</c:v>
                </c:pt>
                <c:pt idx="237">
                  <c:v>1027</c:v>
                </c:pt>
                <c:pt idx="238">
                  <c:v>863</c:v>
                </c:pt>
                <c:pt idx="239">
                  <c:v>873</c:v>
                </c:pt>
                <c:pt idx="240">
                  <c:v>901</c:v>
                </c:pt>
                <c:pt idx="241">
                  <c:v>765</c:v>
                </c:pt>
                <c:pt idx="242">
                  <c:v>850</c:v>
                </c:pt>
                <c:pt idx="243">
                  <c:v>810</c:v>
                </c:pt>
                <c:pt idx="244">
                  <c:v>715</c:v>
                </c:pt>
                <c:pt idx="245">
                  <c:v>716</c:v>
                </c:pt>
                <c:pt idx="246">
                  <c:v>760</c:v>
                </c:pt>
                <c:pt idx="247">
                  <c:v>690</c:v>
                </c:pt>
                <c:pt idx="248">
                  <c:v>742</c:v>
                </c:pt>
                <c:pt idx="249">
                  <c:v>680</c:v>
                </c:pt>
                <c:pt idx="250">
                  <c:v>772</c:v>
                </c:pt>
                <c:pt idx="251">
                  <c:v>830</c:v>
                </c:pt>
                <c:pt idx="252">
                  <c:v>810</c:v>
                </c:pt>
                <c:pt idx="253">
                  <c:v>773</c:v>
                </c:pt>
                <c:pt idx="254">
                  <c:v>707</c:v>
                </c:pt>
                <c:pt idx="255">
                  <c:v>611</c:v>
                </c:pt>
                <c:pt idx="256">
                  <c:v>636</c:v>
                </c:pt>
                <c:pt idx="257">
                  <c:v>563</c:v>
                </c:pt>
                <c:pt idx="258">
                  <c:v>543</c:v>
                </c:pt>
                <c:pt idx="259">
                  <c:v>638</c:v>
                </c:pt>
                <c:pt idx="260">
                  <c:v>567</c:v>
                </c:pt>
                <c:pt idx="261">
                  <c:v>577</c:v>
                </c:pt>
                <c:pt idx="262">
                  <c:v>582</c:v>
                </c:pt>
                <c:pt idx="263">
                  <c:v>636</c:v>
                </c:pt>
                <c:pt idx="264">
                  <c:v>649</c:v>
                </c:pt>
                <c:pt idx="265">
                  <c:v>625</c:v>
                </c:pt>
                <c:pt idx="266">
                  <c:v>640</c:v>
                </c:pt>
                <c:pt idx="267">
                  <c:v>679</c:v>
                </c:pt>
                <c:pt idx="268">
                  <c:v>710</c:v>
                </c:pt>
                <c:pt idx="269">
                  <c:v>683</c:v>
                </c:pt>
                <c:pt idx="270">
                  <c:v>728</c:v>
                </c:pt>
                <c:pt idx="271">
                  <c:v>662</c:v>
                </c:pt>
                <c:pt idx="272">
                  <c:v>719</c:v>
                </c:pt>
                <c:pt idx="273">
                  <c:v>679</c:v>
                </c:pt>
                <c:pt idx="27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45-4B54-AD23-D4DB5F857A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500"/>
          <c:min val="2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2"/>
          <c:order val="0"/>
          <c:tx>
            <c:strRef>
              <c:f>'Economic Activity'!$H$2</c:f>
              <c:strCache>
                <c:ptCount val="1"/>
                <c:pt idx="0">
                  <c:v>Retail Sales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'Economic Activity'!$A$267:$A$554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'Economic Activity'!$H$267:$H$554</c:f>
              <c:numCache>
                <c:formatCode>_-[$$-409]* #,##0_ ;_-[$$-409]* \-#,##0\ ;_-[$$-409]* "-"??_ ;_-@_ </c:formatCode>
                <c:ptCount val="288"/>
                <c:pt idx="0">
                  <c:v>268044</c:v>
                </c:pt>
                <c:pt idx="1">
                  <c:v>272020</c:v>
                </c:pt>
                <c:pt idx="2">
                  <c:v>275192</c:v>
                </c:pt>
                <c:pt idx="3">
                  <c:v>271046</c:v>
                </c:pt>
                <c:pt idx="4">
                  <c:v>271394</c:v>
                </c:pt>
                <c:pt idx="5">
                  <c:v>273422</c:v>
                </c:pt>
                <c:pt idx="6">
                  <c:v>272630</c:v>
                </c:pt>
                <c:pt idx="7">
                  <c:v>272918</c:v>
                </c:pt>
                <c:pt idx="8">
                  <c:v>277548</c:v>
                </c:pt>
                <c:pt idx="9">
                  <c:v>276927</c:v>
                </c:pt>
                <c:pt idx="10">
                  <c:v>276029</c:v>
                </c:pt>
                <c:pt idx="11">
                  <c:v>275791</c:v>
                </c:pt>
                <c:pt idx="12">
                  <c:v>278834</c:v>
                </c:pt>
                <c:pt idx="13">
                  <c:v>278773</c:v>
                </c:pt>
                <c:pt idx="14">
                  <c:v>276450</c:v>
                </c:pt>
                <c:pt idx="15">
                  <c:v>280808</c:v>
                </c:pt>
                <c:pt idx="16">
                  <c:v>281496</c:v>
                </c:pt>
                <c:pt idx="17">
                  <c:v>280401</c:v>
                </c:pt>
                <c:pt idx="18">
                  <c:v>279504</c:v>
                </c:pt>
                <c:pt idx="19">
                  <c:v>281413</c:v>
                </c:pt>
                <c:pt idx="20">
                  <c:v>276084</c:v>
                </c:pt>
                <c:pt idx="21">
                  <c:v>294540</c:v>
                </c:pt>
                <c:pt idx="22">
                  <c:v>287111</c:v>
                </c:pt>
                <c:pt idx="23">
                  <c:v>283705</c:v>
                </c:pt>
                <c:pt idx="24">
                  <c:v>283508</c:v>
                </c:pt>
                <c:pt idx="25">
                  <c:v>285054</c:v>
                </c:pt>
                <c:pt idx="26">
                  <c:v>284262</c:v>
                </c:pt>
                <c:pt idx="27">
                  <c:v>288833</c:v>
                </c:pt>
                <c:pt idx="28">
                  <c:v>284951</c:v>
                </c:pt>
                <c:pt idx="29">
                  <c:v>287372</c:v>
                </c:pt>
                <c:pt idx="30">
                  <c:v>290385</c:v>
                </c:pt>
                <c:pt idx="31">
                  <c:v>292650</c:v>
                </c:pt>
                <c:pt idx="32">
                  <c:v>288410</c:v>
                </c:pt>
                <c:pt idx="33">
                  <c:v>289576</c:v>
                </c:pt>
                <c:pt idx="34">
                  <c:v>291484</c:v>
                </c:pt>
                <c:pt idx="35">
                  <c:v>293947</c:v>
                </c:pt>
                <c:pt idx="36">
                  <c:v>295248</c:v>
                </c:pt>
                <c:pt idx="37">
                  <c:v>291167</c:v>
                </c:pt>
                <c:pt idx="38">
                  <c:v>296325</c:v>
                </c:pt>
                <c:pt idx="39">
                  <c:v>295600</c:v>
                </c:pt>
                <c:pt idx="40">
                  <c:v>296410</c:v>
                </c:pt>
                <c:pt idx="41">
                  <c:v>299626</c:v>
                </c:pt>
                <c:pt idx="42">
                  <c:v>302747</c:v>
                </c:pt>
                <c:pt idx="43">
                  <c:v>307809</c:v>
                </c:pt>
                <c:pt idx="44">
                  <c:v>305933</c:v>
                </c:pt>
                <c:pt idx="45">
                  <c:v>304809</c:v>
                </c:pt>
                <c:pt idx="46">
                  <c:v>308527</c:v>
                </c:pt>
                <c:pt idx="47">
                  <c:v>307407</c:v>
                </c:pt>
                <c:pt idx="48">
                  <c:v>309254</c:v>
                </c:pt>
                <c:pt idx="49">
                  <c:v>311393</c:v>
                </c:pt>
                <c:pt idx="50">
                  <c:v>316912</c:v>
                </c:pt>
                <c:pt idx="51">
                  <c:v>313512</c:v>
                </c:pt>
                <c:pt idx="52">
                  <c:v>318964</c:v>
                </c:pt>
                <c:pt idx="53">
                  <c:v>314958</c:v>
                </c:pt>
                <c:pt idx="54">
                  <c:v>318549</c:v>
                </c:pt>
                <c:pt idx="55">
                  <c:v>318977</c:v>
                </c:pt>
                <c:pt idx="56">
                  <c:v>324569</c:v>
                </c:pt>
                <c:pt idx="57">
                  <c:v>326740</c:v>
                </c:pt>
                <c:pt idx="58">
                  <c:v>327836</c:v>
                </c:pt>
                <c:pt idx="59">
                  <c:v>331874</c:v>
                </c:pt>
                <c:pt idx="60">
                  <c:v>328696</c:v>
                </c:pt>
                <c:pt idx="61">
                  <c:v>333026</c:v>
                </c:pt>
                <c:pt idx="62">
                  <c:v>333581</c:v>
                </c:pt>
                <c:pt idx="63">
                  <c:v>336583</c:v>
                </c:pt>
                <c:pt idx="64">
                  <c:v>334522</c:v>
                </c:pt>
                <c:pt idx="65">
                  <c:v>343998</c:v>
                </c:pt>
                <c:pt idx="66">
                  <c:v>346576</c:v>
                </c:pt>
                <c:pt idx="67">
                  <c:v>343307</c:v>
                </c:pt>
                <c:pt idx="68">
                  <c:v>343956</c:v>
                </c:pt>
                <c:pt idx="69">
                  <c:v>344097</c:v>
                </c:pt>
                <c:pt idx="70">
                  <c:v>347325</c:v>
                </c:pt>
                <c:pt idx="71">
                  <c:v>347405</c:v>
                </c:pt>
                <c:pt idx="72">
                  <c:v>357331</c:v>
                </c:pt>
                <c:pt idx="73">
                  <c:v>354706</c:v>
                </c:pt>
                <c:pt idx="74">
                  <c:v>355665</c:v>
                </c:pt>
                <c:pt idx="75">
                  <c:v>357423</c:v>
                </c:pt>
                <c:pt idx="76">
                  <c:v>356704</c:v>
                </c:pt>
                <c:pt idx="77">
                  <c:v>357879</c:v>
                </c:pt>
                <c:pt idx="78">
                  <c:v>359006</c:v>
                </c:pt>
                <c:pt idx="79">
                  <c:v>360691</c:v>
                </c:pt>
                <c:pt idx="80">
                  <c:v>358961</c:v>
                </c:pt>
                <c:pt idx="81">
                  <c:v>358462</c:v>
                </c:pt>
                <c:pt idx="82">
                  <c:v>359266</c:v>
                </c:pt>
                <c:pt idx="83">
                  <c:v>363730</c:v>
                </c:pt>
                <c:pt idx="84">
                  <c:v>363616</c:v>
                </c:pt>
                <c:pt idx="85">
                  <c:v>364006</c:v>
                </c:pt>
                <c:pt idx="86">
                  <c:v>367158</c:v>
                </c:pt>
                <c:pt idx="87">
                  <c:v>366187</c:v>
                </c:pt>
                <c:pt idx="88">
                  <c:v>370934</c:v>
                </c:pt>
                <c:pt idx="89">
                  <c:v>368154</c:v>
                </c:pt>
                <c:pt idx="90">
                  <c:v>369614</c:v>
                </c:pt>
                <c:pt idx="91">
                  <c:v>371358</c:v>
                </c:pt>
                <c:pt idx="92">
                  <c:v>372869</c:v>
                </c:pt>
                <c:pt idx="93">
                  <c:v>375289</c:v>
                </c:pt>
                <c:pt idx="94">
                  <c:v>378860</c:v>
                </c:pt>
                <c:pt idx="95">
                  <c:v>374298</c:v>
                </c:pt>
                <c:pt idx="96">
                  <c:v>375236</c:v>
                </c:pt>
                <c:pt idx="97">
                  <c:v>371833</c:v>
                </c:pt>
                <c:pt idx="98">
                  <c:v>372745</c:v>
                </c:pt>
                <c:pt idx="99">
                  <c:v>372572</c:v>
                </c:pt>
                <c:pt idx="100">
                  <c:v>376036</c:v>
                </c:pt>
                <c:pt idx="101">
                  <c:v>376455</c:v>
                </c:pt>
                <c:pt idx="102">
                  <c:v>375038</c:v>
                </c:pt>
                <c:pt idx="103">
                  <c:v>372284</c:v>
                </c:pt>
                <c:pt idx="104">
                  <c:v>366729</c:v>
                </c:pt>
                <c:pt idx="105">
                  <c:v>352950</c:v>
                </c:pt>
                <c:pt idx="106">
                  <c:v>339350</c:v>
                </c:pt>
                <c:pt idx="107">
                  <c:v>332091</c:v>
                </c:pt>
                <c:pt idx="108">
                  <c:v>336929</c:v>
                </c:pt>
                <c:pt idx="109">
                  <c:v>335576</c:v>
                </c:pt>
                <c:pt idx="110">
                  <c:v>329747</c:v>
                </c:pt>
                <c:pt idx="111">
                  <c:v>331352</c:v>
                </c:pt>
                <c:pt idx="112">
                  <c:v>334256</c:v>
                </c:pt>
                <c:pt idx="113">
                  <c:v>339883</c:v>
                </c:pt>
                <c:pt idx="114">
                  <c:v>340517</c:v>
                </c:pt>
                <c:pt idx="115">
                  <c:v>346668</c:v>
                </c:pt>
                <c:pt idx="116">
                  <c:v>338507</c:v>
                </c:pt>
                <c:pt idx="117">
                  <c:v>341654</c:v>
                </c:pt>
                <c:pt idx="118">
                  <c:v>344375</c:v>
                </c:pt>
                <c:pt idx="119">
                  <c:v>346072</c:v>
                </c:pt>
                <c:pt idx="120">
                  <c:v>346046</c:v>
                </c:pt>
                <c:pt idx="121">
                  <c:v>346702</c:v>
                </c:pt>
                <c:pt idx="122">
                  <c:v>354147</c:v>
                </c:pt>
                <c:pt idx="123">
                  <c:v>357304</c:v>
                </c:pt>
                <c:pt idx="124">
                  <c:v>354015</c:v>
                </c:pt>
                <c:pt idx="125">
                  <c:v>353683</c:v>
                </c:pt>
                <c:pt idx="126">
                  <c:v>354622</c:v>
                </c:pt>
                <c:pt idx="127">
                  <c:v>356573</c:v>
                </c:pt>
                <c:pt idx="128">
                  <c:v>359257</c:v>
                </c:pt>
                <c:pt idx="129">
                  <c:v>363557</c:v>
                </c:pt>
                <c:pt idx="130">
                  <c:v>367050</c:v>
                </c:pt>
                <c:pt idx="131">
                  <c:v>369192</c:v>
                </c:pt>
                <c:pt idx="132">
                  <c:v>371782</c:v>
                </c:pt>
                <c:pt idx="133">
                  <c:v>375001</c:v>
                </c:pt>
                <c:pt idx="134">
                  <c:v>378434</c:v>
                </c:pt>
                <c:pt idx="135">
                  <c:v>380295</c:v>
                </c:pt>
                <c:pt idx="136">
                  <c:v>380140</c:v>
                </c:pt>
                <c:pt idx="137">
                  <c:v>383141</c:v>
                </c:pt>
                <c:pt idx="138">
                  <c:v>382882</c:v>
                </c:pt>
                <c:pt idx="139">
                  <c:v>383682</c:v>
                </c:pt>
                <c:pt idx="140">
                  <c:v>387558</c:v>
                </c:pt>
                <c:pt idx="141">
                  <c:v>389844</c:v>
                </c:pt>
                <c:pt idx="142">
                  <c:v>391167</c:v>
                </c:pt>
                <c:pt idx="143">
                  <c:v>391535</c:v>
                </c:pt>
                <c:pt idx="144">
                  <c:v>395459</c:v>
                </c:pt>
                <c:pt idx="145">
                  <c:v>400155</c:v>
                </c:pt>
                <c:pt idx="146">
                  <c:v>401556</c:v>
                </c:pt>
                <c:pt idx="147">
                  <c:v>399953</c:v>
                </c:pt>
                <c:pt idx="148">
                  <c:v>399106</c:v>
                </c:pt>
                <c:pt idx="149">
                  <c:v>395630</c:v>
                </c:pt>
                <c:pt idx="150">
                  <c:v>397399</c:v>
                </c:pt>
                <c:pt idx="151">
                  <c:v>402164</c:v>
                </c:pt>
                <c:pt idx="152">
                  <c:v>405251</c:v>
                </c:pt>
                <c:pt idx="153">
                  <c:v>405422</c:v>
                </c:pt>
                <c:pt idx="154">
                  <c:v>407266</c:v>
                </c:pt>
                <c:pt idx="155">
                  <c:v>408758</c:v>
                </c:pt>
                <c:pt idx="156">
                  <c:v>412017</c:v>
                </c:pt>
                <c:pt idx="157">
                  <c:v>417067</c:v>
                </c:pt>
                <c:pt idx="158">
                  <c:v>414115</c:v>
                </c:pt>
                <c:pt idx="159">
                  <c:v>411862</c:v>
                </c:pt>
                <c:pt idx="160">
                  <c:v>414350</c:v>
                </c:pt>
                <c:pt idx="161">
                  <c:v>415454</c:v>
                </c:pt>
                <c:pt idx="162">
                  <c:v>418215</c:v>
                </c:pt>
                <c:pt idx="163">
                  <c:v>417389</c:v>
                </c:pt>
                <c:pt idx="164">
                  <c:v>417699</c:v>
                </c:pt>
                <c:pt idx="165">
                  <c:v>419288</c:v>
                </c:pt>
                <c:pt idx="166">
                  <c:v>420468</c:v>
                </c:pt>
                <c:pt idx="167">
                  <c:v>422930</c:v>
                </c:pt>
                <c:pt idx="168">
                  <c:v>419051</c:v>
                </c:pt>
                <c:pt idx="169">
                  <c:v>424784</c:v>
                </c:pt>
                <c:pt idx="170">
                  <c:v>429251</c:v>
                </c:pt>
                <c:pt idx="171">
                  <c:v>433581</c:v>
                </c:pt>
                <c:pt idx="172">
                  <c:v>434292</c:v>
                </c:pt>
                <c:pt idx="173">
                  <c:v>435487</c:v>
                </c:pt>
                <c:pt idx="174">
                  <c:v>436102</c:v>
                </c:pt>
                <c:pt idx="175">
                  <c:v>439643</c:v>
                </c:pt>
                <c:pt idx="176">
                  <c:v>438535</c:v>
                </c:pt>
                <c:pt idx="177">
                  <c:v>440128</c:v>
                </c:pt>
                <c:pt idx="178">
                  <c:v>441139</c:v>
                </c:pt>
                <c:pt idx="179">
                  <c:v>438604</c:v>
                </c:pt>
                <c:pt idx="180">
                  <c:v>436142</c:v>
                </c:pt>
                <c:pt idx="181">
                  <c:v>435398</c:v>
                </c:pt>
                <c:pt idx="182">
                  <c:v>442001</c:v>
                </c:pt>
                <c:pt idx="183">
                  <c:v>442898</c:v>
                </c:pt>
                <c:pt idx="184">
                  <c:v>446305</c:v>
                </c:pt>
                <c:pt idx="185">
                  <c:v>446649</c:v>
                </c:pt>
                <c:pt idx="186">
                  <c:v>450262</c:v>
                </c:pt>
                <c:pt idx="187">
                  <c:v>450270</c:v>
                </c:pt>
                <c:pt idx="188">
                  <c:v>448091</c:v>
                </c:pt>
                <c:pt idx="189">
                  <c:v>447083</c:v>
                </c:pt>
                <c:pt idx="190">
                  <c:v>448892</c:v>
                </c:pt>
                <c:pt idx="191">
                  <c:v>450611</c:v>
                </c:pt>
                <c:pt idx="192">
                  <c:v>447561</c:v>
                </c:pt>
                <c:pt idx="193">
                  <c:v>451821</c:v>
                </c:pt>
                <c:pt idx="194">
                  <c:v>450561</c:v>
                </c:pt>
                <c:pt idx="195">
                  <c:v>452443</c:v>
                </c:pt>
                <c:pt idx="196">
                  <c:v>454003</c:v>
                </c:pt>
                <c:pt idx="197">
                  <c:v>458757</c:v>
                </c:pt>
                <c:pt idx="198">
                  <c:v>458192</c:v>
                </c:pt>
                <c:pt idx="199">
                  <c:v>458505</c:v>
                </c:pt>
                <c:pt idx="200">
                  <c:v>461454</c:v>
                </c:pt>
                <c:pt idx="201">
                  <c:v>462455</c:v>
                </c:pt>
                <c:pt idx="202">
                  <c:v>462288</c:v>
                </c:pt>
                <c:pt idx="203">
                  <c:v>467979</c:v>
                </c:pt>
                <c:pt idx="204">
                  <c:v>473101</c:v>
                </c:pt>
                <c:pt idx="205">
                  <c:v>472927</c:v>
                </c:pt>
                <c:pt idx="206">
                  <c:v>472170</c:v>
                </c:pt>
                <c:pt idx="207">
                  <c:v>473916</c:v>
                </c:pt>
                <c:pt idx="208">
                  <c:v>471486</c:v>
                </c:pt>
                <c:pt idx="209">
                  <c:v>473538</c:v>
                </c:pt>
                <c:pt idx="210">
                  <c:v>473583</c:v>
                </c:pt>
                <c:pt idx="211">
                  <c:v>474421</c:v>
                </c:pt>
                <c:pt idx="212">
                  <c:v>484107</c:v>
                </c:pt>
                <c:pt idx="213">
                  <c:v>485016</c:v>
                </c:pt>
                <c:pt idx="214">
                  <c:v>489917</c:v>
                </c:pt>
                <c:pt idx="215">
                  <c:v>492859</c:v>
                </c:pt>
                <c:pt idx="216">
                  <c:v>490447</c:v>
                </c:pt>
                <c:pt idx="217">
                  <c:v>493422</c:v>
                </c:pt>
                <c:pt idx="218">
                  <c:v>493123</c:v>
                </c:pt>
                <c:pt idx="219">
                  <c:v>494303</c:v>
                </c:pt>
                <c:pt idx="220">
                  <c:v>500585</c:v>
                </c:pt>
                <c:pt idx="221">
                  <c:v>498989</c:v>
                </c:pt>
                <c:pt idx="222">
                  <c:v>502441</c:v>
                </c:pt>
                <c:pt idx="223">
                  <c:v>502076</c:v>
                </c:pt>
                <c:pt idx="224">
                  <c:v>499995</c:v>
                </c:pt>
                <c:pt idx="225">
                  <c:v>505338</c:v>
                </c:pt>
                <c:pt idx="226">
                  <c:v>507073</c:v>
                </c:pt>
                <c:pt idx="227">
                  <c:v>496683</c:v>
                </c:pt>
                <c:pt idx="228">
                  <c:v>499639</c:v>
                </c:pt>
                <c:pt idx="229">
                  <c:v>500570</c:v>
                </c:pt>
                <c:pt idx="230">
                  <c:v>508402</c:v>
                </c:pt>
                <c:pt idx="231">
                  <c:v>508687</c:v>
                </c:pt>
                <c:pt idx="232">
                  <c:v>512334</c:v>
                </c:pt>
                <c:pt idx="233">
                  <c:v>513162</c:v>
                </c:pt>
                <c:pt idx="234">
                  <c:v>517547</c:v>
                </c:pt>
                <c:pt idx="235">
                  <c:v>521011</c:v>
                </c:pt>
                <c:pt idx="236">
                  <c:v>518121</c:v>
                </c:pt>
                <c:pt idx="237">
                  <c:v>519530</c:v>
                </c:pt>
                <c:pt idx="238">
                  <c:v>523313</c:v>
                </c:pt>
                <c:pt idx="239">
                  <c:v>525405</c:v>
                </c:pt>
                <c:pt idx="240">
                  <c:v>524991</c:v>
                </c:pt>
                <c:pt idx="241">
                  <c:v>525359</c:v>
                </c:pt>
                <c:pt idx="242">
                  <c:v>478099</c:v>
                </c:pt>
                <c:pt idx="243">
                  <c:v>408187</c:v>
                </c:pt>
                <c:pt idx="244">
                  <c:v>485791</c:v>
                </c:pt>
                <c:pt idx="245">
                  <c:v>527459</c:v>
                </c:pt>
                <c:pt idx="246">
                  <c:v>535844</c:v>
                </c:pt>
                <c:pt idx="247">
                  <c:v>541193</c:v>
                </c:pt>
                <c:pt idx="248">
                  <c:v>551970</c:v>
                </c:pt>
                <c:pt idx="249">
                  <c:v>549765</c:v>
                </c:pt>
                <c:pt idx="250">
                  <c:v>544839</c:v>
                </c:pt>
                <c:pt idx="251">
                  <c:v>550198</c:v>
                </c:pt>
                <c:pt idx="252">
                  <c:v>569309</c:v>
                </c:pt>
                <c:pt idx="253">
                  <c:v>554929</c:v>
                </c:pt>
                <c:pt idx="254">
                  <c:v>615573</c:v>
                </c:pt>
                <c:pt idx="255">
                  <c:v>620556</c:v>
                </c:pt>
                <c:pt idx="256">
                  <c:v>615378</c:v>
                </c:pt>
                <c:pt idx="257">
                  <c:v>621612</c:v>
                </c:pt>
                <c:pt idx="258">
                  <c:v>612394</c:v>
                </c:pt>
                <c:pt idx="259">
                  <c:v>617658</c:v>
                </c:pt>
                <c:pt idx="260">
                  <c:v>622104</c:v>
                </c:pt>
                <c:pt idx="261">
                  <c:v>632065</c:v>
                </c:pt>
                <c:pt idx="262">
                  <c:v>639228</c:v>
                </c:pt>
                <c:pt idx="263">
                  <c:v>635598</c:v>
                </c:pt>
                <c:pt idx="264">
                  <c:v>644750</c:v>
                </c:pt>
                <c:pt idx="265">
                  <c:v>653552</c:v>
                </c:pt>
                <c:pt idx="266">
                  <c:v>667050</c:v>
                </c:pt>
                <c:pt idx="267">
                  <c:v>675899</c:v>
                </c:pt>
                <c:pt idx="268">
                  <c:v>674915</c:v>
                </c:pt>
                <c:pt idx="269">
                  <c:v>680515</c:v>
                </c:pt>
                <c:pt idx="270">
                  <c:v>675822</c:v>
                </c:pt>
                <c:pt idx="271">
                  <c:v>680252</c:v>
                </c:pt>
                <c:pt idx="272">
                  <c:v>678202</c:v>
                </c:pt>
                <c:pt idx="273">
                  <c:v>688352</c:v>
                </c:pt>
                <c:pt idx="274">
                  <c:v>677956</c:v>
                </c:pt>
                <c:pt idx="275">
                  <c:v>673619</c:v>
                </c:pt>
                <c:pt idx="276">
                  <c:v>692501</c:v>
                </c:pt>
                <c:pt idx="277">
                  <c:v>687942</c:v>
                </c:pt>
                <c:pt idx="278">
                  <c:v>681673</c:v>
                </c:pt>
                <c:pt idx="279">
                  <c:v>684636</c:v>
                </c:pt>
                <c:pt idx="280">
                  <c:v>689158</c:v>
                </c:pt>
                <c:pt idx="281">
                  <c:v>690518</c:v>
                </c:pt>
                <c:pt idx="282">
                  <c:v>694415</c:v>
                </c:pt>
                <c:pt idx="283">
                  <c:v>699540</c:v>
                </c:pt>
                <c:pt idx="284">
                  <c:v>705304</c:v>
                </c:pt>
                <c:pt idx="285">
                  <c:v>703528</c:v>
                </c:pt>
                <c:pt idx="286">
                  <c:v>705981</c:v>
                </c:pt>
                <c:pt idx="287">
                  <c:v>709890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B1-4F55-9873-E6870C3B3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'Economic Activity'!$A$267:$A$554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B1-4F55-9873-E6870C3B3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73915248"/>
        <c:axId val="1543622048"/>
      </c:area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25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midCat"/>
      </c:valAx>
      <c:valAx>
        <c:axId val="154362204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73915248"/>
        <c:crosses val="max"/>
        <c:crossBetween val="midCat"/>
      </c:valAx>
      <c:dateAx>
        <c:axId val="373915248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543622048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'Economic Activity'!$A$267:$A$554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Recession!$B$362:$B$913</c:f>
              <c:numCache>
                <c:formatCode>General</c:formatCode>
                <c:ptCount val="55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1</c:v>
                </c:pt>
                <c:pt idx="43">
                  <c:v>1</c:v>
                </c:pt>
                <c:pt idx="44">
                  <c:v>1</c:v>
                </c:pt>
                <c:pt idx="45">
                  <c:v>1</c:v>
                </c:pt>
                <c:pt idx="46">
                  <c:v>1</c:v>
                </c:pt>
                <c:pt idx="47">
                  <c:v>1</c:v>
                </c:pt>
                <c:pt idx="48">
                  <c:v>1</c:v>
                </c:pt>
                <c:pt idx="49">
                  <c:v>1</c:v>
                </c:pt>
                <c:pt idx="50">
                  <c:v>1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1</c:v>
                </c:pt>
                <c:pt idx="55">
                  <c:v>1</c:v>
                </c:pt>
                <c:pt idx="56">
                  <c:v>1</c:v>
                </c:pt>
                <c:pt idx="57">
                  <c:v>1</c:v>
                </c:pt>
                <c:pt idx="58">
                  <c:v>1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1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1</c:v>
                </c:pt>
                <c:pt idx="280">
                  <c:v>1</c:v>
                </c:pt>
                <c:pt idx="281">
                  <c:v>1</c:v>
                </c:pt>
                <c:pt idx="282">
                  <c:v>1</c:v>
                </c:pt>
                <c:pt idx="283">
                  <c:v>1</c:v>
                </c:pt>
                <c:pt idx="284">
                  <c:v>1</c:v>
                </c:pt>
                <c:pt idx="285">
                  <c:v>1</c:v>
                </c:pt>
                <c:pt idx="286">
                  <c:v>1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1</c:v>
                </c:pt>
                <c:pt idx="360">
                  <c:v>1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1</c:v>
                </c:pt>
                <c:pt idx="365">
                  <c:v>1</c:v>
                </c:pt>
                <c:pt idx="366">
                  <c:v>1</c:v>
                </c:pt>
                <c:pt idx="367">
                  <c:v>1</c:v>
                </c:pt>
                <c:pt idx="368">
                  <c:v>1</c:v>
                </c:pt>
                <c:pt idx="369">
                  <c:v>1</c:v>
                </c:pt>
                <c:pt idx="370">
                  <c:v>1</c:v>
                </c:pt>
                <c:pt idx="371">
                  <c:v>1</c:v>
                </c:pt>
                <c:pt idx="372">
                  <c:v>1</c:v>
                </c:pt>
                <c:pt idx="373">
                  <c:v>1</c:v>
                </c:pt>
                <c:pt idx="374">
                  <c:v>1</c:v>
                </c:pt>
                <c:pt idx="375">
                  <c:v>1</c:v>
                </c:pt>
                <c:pt idx="376">
                  <c:v>1</c:v>
                </c:pt>
                <c:pt idx="377">
                  <c:v>1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1</c:v>
                </c:pt>
                <c:pt idx="506">
                  <c:v>1</c:v>
                </c:pt>
                <c:pt idx="507">
                  <c:v>1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5BE-4584-B97D-3026C6792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64666240"/>
        <c:axId val="892053344"/>
      </c:areaChart>
      <c:lineChart>
        <c:grouping val="standard"/>
        <c:varyColors val="0"/>
        <c:ser>
          <c:idx val="2"/>
          <c:order val="0"/>
          <c:tx>
            <c:strRef>
              <c:f>'Economic Activity'!$T$2</c:f>
              <c:strCache>
                <c:ptCount val="1"/>
                <c:pt idx="0">
                  <c:v>Consumer Sentiment (U. Mich.)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Activity'!$A$3:$A$566</c:f>
              <c:numCache>
                <c:formatCode>[$-416]mmm\-yy;@</c:formatCode>
                <c:ptCount val="564"/>
                <c:pt idx="0">
                  <c:v>28491</c:v>
                </c:pt>
                <c:pt idx="1">
                  <c:v>28522</c:v>
                </c:pt>
                <c:pt idx="2">
                  <c:v>28550</c:v>
                </c:pt>
                <c:pt idx="3">
                  <c:v>28581</c:v>
                </c:pt>
                <c:pt idx="4">
                  <c:v>28611</c:v>
                </c:pt>
                <c:pt idx="5">
                  <c:v>28642</c:v>
                </c:pt>
                <c:pt idx="6">
                  <c:v>28672</c:v>
                </c:pt>
                <c:pt idx="7">
                  <c:v>28703</c:v>
                </c:pt>
                <c:pt idx="8">
                  <c:v>28734</c:v>
                </c:pt>
                <c:pt idx="9">
                  <c:v>28764</c:v>
                </c:pt>
                <c:pt idx="10">
                  <c:v>28795</c:v>
                </c:pt>
                <c:pt idx="11">
                  <c:v>28825</c:v>
                </c:pt>
                <c:pt idx="12">
                  <c:v>28856</c:v>
                </c:pt>
                <c:pt idx="13">
                  <c:v>28887</c:v>
                </c:pt>
                <c:pt idx="14">
                  <c:v>28915</c:v>
                </c:pt>
                <c:pt idx="15">
                  <c:v>28946</c:v>
                </c:pt>
                <c:pt idx="16">
                  <c:v>28976</c:v>
                </c:pt>
                <c:pt idx="17">
                  <c:v>29007</c:v>
                </c:pt>
                <c:pt idx="18">
                  <c:v>29037</c:v>
                </c:pt>
                <c:pt idx="19">
                  <c:v>29068</c:v>
                </c:pt>
                <c:pt idx="20">
                  <c:v>29099</c:v>
                </c:pt>
                <c:pt idx="21">
                  <c:v>29129</c:v>
                </c:pt>
                <c:pt idx="22">
                  <c:v>29160</c:v>
                </c:pt>
                <c:pt idx="23">
                  <c:v>29190</c:v>
                </c:pt>
                <c:pt idx="24">
                  <c:v>29221</c:v>
                </c:pt>
                <c:pt idx="25">
                  <c:v>29252</c:v>
                </c:pt>
                <c:pt idx="26">
                  <c:v>29281</c:v>
                </c:pt>
                <c:pt idx="27">
                  <c:v>29312</c:v>
                </c:pt>
                <c:pt idx="28">
                  <c:v>29342</c:v>
                </c:pt>
                <c:pt idx="29">
                  <c:v>29373</c:v>
                </c:pt>
                <c:pt idx="30">
                  <c:v>29403</c:v>
                </c:pt>
                <c:pt idx="31">
                  <c:v>29434</c:v>
                </c:pt>
                <c:pt idx="32">
                  <c:v>29465</c:v>
                </c:pt>
                <c:pt idx="33">
                  <c:v>29495</c:v>
                </c:pt>
                <c:pt idx="34">
                  <c:v>29526</c:v>
                </c:pt>
                <c:pt idx="35">
                  <c:v>29556</c:v>
                </c:pt>
                <c:pt idx="36">
                  <c:v>29587</c:v>
                </c:pt>
                <c:pt idx="37">
                  <c:v>29618</c:v>
                </c:pt>
                <c:pt idx="38">
                  <c:v>29646</c:v>
                </c:pt>
                <c:pt idx="39">
                  <c:v>29677</c:v>
                </c:pt>
                <c:pt idx="40">
                  <c:v>29707</c:v>
                </c:pt>
                <c:pt idx="41">
                  <c:v>29738</c:v>
                </c:pt>
                <c:pt idx="42">
                  <c:v>29768</c:v>
                </c:pt>
                <c:pt idx="43">
                  <c:v>29799</c:v>
                </c:pt>
                <c:pt idx="44">
                  <c:v>29830</c:v>
                </c:pt>
                <c:pt idx="45">
                  <c:v>29860</c:v>
                </c:pt>
                <c:pt idx="46">
                  <c:v>29891</c:v>
                </c:pt>
                <c:pt idx="47">
                  <c:v>29921</c:v>
                </c:pt>
                <c:pt idx="48">
                  <c:v>29952</c:v>
                </c:pt>
                <c:pt idx="49">
                  <c:v>29983</c:v>
                </c:pt>
                <c:pt idx="50">
                  <c:v>30011</c:v>
                </c:pt>
                <c:pt idx="51">
                  <c:v>30042</c:v>
                </c:pt>
                <c:pt idx="52">
                  <c:v>30072</c:v>
                </c:pt>
                <c:pt idx="53">
                  <c:v>30103</c:v>
                </c:pt>
                <c:pt idx="54">
                  <c:v>30133</c:v>
                </c:pt>
                <c:pt idx="55">
                  <c:v>30164</c:v>
                </c:pt>
                <c:pt idx="56">
                  <c:v>30195</c:v>
                </c:pt>
                <c:pt idx="57">
                  <c:v>30225</c:v>
                </c:pt>
                <c:pt idx="58">
                  <c:v>30256</c:v>
                </c:pt>
                <c:pt idx="59">
                  <c:v>30286</c:v>
                </c:pt>
                <c:pt idx="60">
                  <c:v>30317</c:v>
                </c:pt>
                <c:pt idx="61">
                  <c:v>30348</c:v>
                </c:pt>
                <c:pt idx="62">
                  <c:v>30376</c:v>
                </c:pt>
                <c:pt idx="63">
                  <c:v>30407</c:v>
                </c:pt>
                <c:pt idx="64">
                  <c:v>30437</c:v>
                </c:pt>
                <c:pt idx="65">
                  <c:v>30468</c:v>
                </c:pt>
                <c:pt idx="66">
                  <c:v>30498</c:v>
                </c:pt>
                <c:pt idx="67">
                  <c:v>30529</c:v>
                </c:pt>
                <c:pt idx="68">
                  <c:v>30560</c:v>
                </c:pt>
                <c:pt idx="69">
                  <c:v>30590</c:v>
                </c:pt>
                <c:pt idx="70">
                  <c:v>30621</c:v>
                </c:pt>
                <c:pt idx="71">
                  <c:v>30651</c:v>
                </c:pt>
                <c:pt idx="72">
                  <c:v>30682</c:v>
                </c:pt>
                <c:pt idx="73">
                  <c:v>30713</c:v>
                </c:pt>
                <c:pt idx="74">
                  <c:v>30742</c:v>
                </c:pt>
                <c:pt idx="75">
                  <c:v>30773</c:v>
                </c:pt>
                <c:pt idx="76">
                  <c:v>30803</c:v>
                </c:pt>
                <c:pt idx="77">
                  <c:v>30834</c:v>
                </c:pt>
                <c:pt idx="78">
                  <c:v>30864</c:v>
                </c:pt>
                <c:pt idx="79">
                  <c:v>30895</c:v>
                </c:pt>
                <c:pt idx="80">
                  <c:v>30926</c:v>
                </c:pt>
                <c:pt idx="81">
                  <c:v>30956</c:v>
                </c:pt>
                <c:pt idx="82">
                  <c:v>30987</c:v>
                </c:pt>
                <c:pt idx="83">
                  <c:v>31017</c:v>
                </c:pt>
                <c:pt idx="84">
                  <c:v>31048</c:v>
                </c:pt>
                <c:pt idx="85">
                  <c:v>31079</c:v>
                </c:pt>
                <c:pt idx="86">
                  <c:v>31107</c:v>
                </c:pt>
                <c:pt idx="87">
                  <c:v>31138</c:v>
                </c:pt>
                <c:pt idx="88">
                  <c:v>31168</c:v>
                </c:pt>
                <c:pt idx="89">
                  <c:v>31199</c:v>
                </c:pt>
                <c:pt idx="90">
                  <c:v>31229</c:v>
                </c:pt>
                <c:pt idx="91">
                  <c:v>31260</c:v>
                </c:pt>
                <c:pt idx="92">
                  <c:v>31291</c:v>
                </c:pt>
                <c:pt idx="93">
                  <c:v>31321</c:v>
                </c:pt>
                <c:pt idx="94">
                  <c:v>31352</c:v>
                </c:pt>
                <c:pt idx="95">
                  <c:v>31382</c:v>
                </c:pt>
                <c:pt idx="96">
                  <c:v>31413</c:v>
                </c:pt>
                <c:pt idx="97">
                  <c:v>31444</c:v>
                </c:pt>
                <c:pt idx="98">
                  <c:v>31472</c:v>
                </c:pt>
                <c:pt idx="99">
                  <c:v>31503</c:v>
                </c:pt>
                <c:pt idx="100">
                  <c:v>31533</c:v>
                </c:pt>
                <c:pt idx="101">
                  <c:v>31564</c:v>
                </c:pt>
                <c:pt idx="102">
                  <c:v>31594</c:v>
                </c:pt>
                <c:pt idx="103">
                  <c:v>31625</c:v>
                </c:pt>
                <c:pt idx="104">
                  <c:v>31656</c:v>
                </c:pt>
                <c:pt idx="105">
                  <c:v>31686</c:v>
                </c:pt>
                <c:pt idx="106">
                  <c:v>31717</c:v>
                </c:pt>
                <c:pt idx="107">
                  <c:v>31747</c:v>
                </c:pt>
                <c:pt idx="108">
                  <c:v>31778</c:v>
                </c:pt>
                <c:pt idx="109">
                  <c:v>31809</c:v>
                </c:pt>
                <c:pt idx="110">
                  <c:v>31837</c:v>
                </c:pt>
                <c:pt idx="111">
                  <c:v>31868</c:v>
                </c:pt>
                <c:pt idx="112">
                  <c:v>31898</c:v>
                </c:pt>
                <c:pt idx="113">
                  <c:v>31929</c:v>
                </c:pt>
                <c:pt idx="114">
                  <c:v>31959</c:v>
                </c:pt>
                <c:pt idx="115">
                  <c:v>31990</c:v>
                </c:pt>
                <c:pt idx="116">
                  <c:v>32021</c:v>
                </c:pt>
                <c:pt idx="117">
                  <c:v>32051</c:v>
                </c:pt>
                <c:pt idx="118">
                  <c:v>32082</c:v>
                </c:pt>
                <c:pt idx="119">
                  <c:v>32112</c:v>
                </c:pt>
                <c:pt idx="120">
                  <c:v>32143</c:v>
                </c:pt>
                <c:pt idx="121">
                  <c:v>32174</c:v>
                </c:pt>
                <c:pt idx="122">
                  <c:v>32203</c:v>
                </c:pt>
                <c:pt idx="123">
                  <c:v>32234</c:v>
                </c:pt>
                <c:pt idx="124">
                  <c:v>32264</c:v>
                </c:pt>
                <c:pt idx="125">
                  <c:v>32295</c:v>
                </c:pt>
                <c:pt idx="126">
                  <c:v>32325</c:v>
                </c:pt>
                <c:pt idx="127">
                  <c:v>32356</c:v>
                </c:pt>
                <c:pt idx="128">
                  <c:v>32387</c:v>
                </c:pt>
                <c:pt idx="129">
                  <c:v>32417</c:v>
                </c:pt>
                <c:pt idx="130">
                  <c:v>32448</c:v>
                </c:pt>
                <c:pt idx="131">
                  <c:v>32478</c:v>
                </c:pt>
                <c:pt idx="132">
                  <c:v>32509</c:v>
                </c:pt>
                <c:pt idx="133">
                  <c:v>32540</c:v>
                </c:pt>
                <c:pt idx="134">
                  <c:v>32568</c:v>
                </c:pt>
                <c:pt idx="135">
                  <c:v>32599</c:v>
                </c:pt>
                <c:pt idx="136">
                  <c:v>32629</c:v>
                </c:pt>
                <c:pt idx="137">
                  <c:v>32660</c:v>
                </c:pt>
                <c:pt idx="138">
                  <c:v>32690</c:v>
                </c:pt>
                <c:pt idx="139">
                  <c:v>32721</c:v>
                </c:pt>
                <c:pt idx="140">
                  <c:v>32752</c:v>
                </c:pt>
                <c:pt idx="141">
                  <c:v>32782</c:v>
                </c:pt>
                <c:pt idx="142">
                  <c:v>32813</c:v>
                </c:pt>
                <c:pt idx="143">
                  <c:v>32843</c:v>
                </c:pt>
                <c:pt idx="144">
                  <c:v>32874</c:v>
                </c:pt>
                <c:pt idx="145">
                  <c:v>32905</c:v>
                </c:pt>
                <c:pt idx="146">
                  <c:v>32933</c:v>
                </c:pt>
                <c:pt idx="147">
                  <c:v>32964</c:v>
                </c:pt>
                <c:pt idx="148">
                  <c:v>32994</c:v>
                </c:pt>
                <c:pt idx="149">
                  <c:v>33025</c:v>
                </c:pt>
                <c:pt idx="150">
                  <c:v>33055</c:v>
                </c:pt>
                <c:pt idx="151">
                  <c:v>33086</c:v>
                </c:pt>
                <c:pt idx="152">
                  <c:v>33117</c:v>
                </c:pt>
                <c:pt idx="153">
                  <c:v>33147</c:v>
                </c:pt>
                <c:pt idx="154">
                  <c:v>33178</c:v>
                </c:pt>
                <c:pt idx="155">
                  <c:v>33208</c:v>
                </c:pt>
                <c:pt idx="156">
                  <c:v>33239</c:v>
                </c:pt>
                <c:pt idx="157">
                  <c:v>33270</c:v>
                </c:pt>
                <c:pt idx="158">
                  <c:v>33298</c:v>
                </c:pt>
                <c:pt idx="159">
                  <c:v>33329</c:v>
                </c:pt>
                <c:pt idx="160">
                  <c:v>33359</c:v>
                </c:pt>
                <c:pt idx="161">
                  <c:v>33390</c:v>
                </c:pt>
                <c:pt idx="162">
                  <c:v>33420</c:v>
                </c:pt>
                <c:pt idx="163">
                  <c:v>33451</c:v>
                </c:pt>
                <c:pt idx="164">
                  <c:v>33482</c:v>
                </c:pt>
                <c:pt idx="165">
                  <c:v>33512</c:v>
                </c:pt>
                <c:pt idx="166">
                  <c:v>33543</c:v>
                </c:pt>
                <c:pt idx="167">
                  <c:v>33573</c:v>
                </c:pt>
                <c:pt idx="168">
                  <c:v>33604</c:v>
                </c:pt>
                <c:pt idx="169">
                  <c:v>33635</c:v>
                </c:pt>
                <c:pt idx="170">
                  <c:v>33664</c:v>
                </c:pt>
                <c:pt idx="171">
                  <c:v>33695</c:v>
                </c:pt>
                <c:pt idx="172">
                  <c:v>33725</c:v>
                </c:pt>
                <c:pt idx="173">
                  <c:v>33756</c:v>
                </c:pt>
                <c:pt idx="174">
                  <c:v>33786</c:v>
                </c:pt>
                <c:pt idx="175">
                  <c:v>33817</c:v>
                </c:pt>
                <c:pt idx="176">
                  <c:v>33848</c:v>
                </c:pt>
                <c:pt idx="177">
                  <c:v>33878</c:v>
                </c:pt>
                <c:pt idx="178">
                  <c:v>33909</c:v>
                </c:pt>
                <c:pt idx="179">
                  <c:v>33939</c:v>
                </c:pt>
                <c:pt idx="180">
                  <c:v>33970</c:v>
                </c:pt>
                <c:pt idx="181">
                  <c:v>34001</c:v>
                </c:pt>
                <c:pt idx="182">
                  <c:v>34029</c:v>
                </c:pt>
                <c:pt idx="183">
                  <c:v>34060</c:v>
                </c:pt>
                <c:pt idx="184">
                  <c:v>34090</c:v>
                </c:pt>
                <c:pt idx="185">
                  <c:v>34121</c:v>
                </c:pt>
                <c:pt idx="186">
                  <c:v>34151</c:v>
                </c:pt>
                <c:pt idx="187">
                  <c:v>34182</c:v>
                </c:pt>
                <c:pt idx="188">
                  <c:v>34213</c:v>
                </c:pt>
                <c:pt idx="189">
                  <c:v>34243</c:v>
                </c:pt>
                <c:pt idx="190">
                  <c:v>34274</c:v>
                </c:pt>
                <c:pt idx="191">
                  <c:v>34304</c:v>
                </c:pt>
                <c:pt idx="192">
                  <c:v>34335</c:v>
                </c:pt>
                <c:pt idx="193">
                  <c:v>34366</c:v>
                </c:pt>
                <c:pt idx="194">
                  <c:v>34394</c:v>
                </c:pt>
                <c:pt idx="195">
                  <c:v>34425</c:v>
                </c:pt>
                <c:pt idx="196">
                  <c:v>34455</c:v>
                </c:pt>
                <c:pt idx="197">
                  <c:v>34486</c:v>
                </c:pt>
                <c:pt idx="198">
                  <c:v>34516</c:v>
                </c:pt>
                <c:pt idx="199">
                  <c:v>34547</c:v>
                </c:pt>
                <c:pt idx="200">
                  <c:v>34578</c:v>
                </c:pt>
                <c:pt idx="201">
                  <c:v>34608</c:v>
                </c:pt>
                <c:pt idx="202">
                  <c:v>34639</c:v>
                </c:pt>
                <c:pt idx="203">
                  <c:v>34669</c:v>
                </c:pt>
                <c:pt idx="204">
                  <c:v>34700</c:v>
                </c:pt>
                <c:pt idx="205">
                  <c:v>34731</c:v>
                </c:pt>
                <c:pt idx="206">
                  <c:v>34759</c:v>
                </c:pt>
                <c:pt idx="207">
                  <c:v>34790</c:v>
                </c:pt>
                <c:pt idx="208">
                  <c:v>34820</c:v>
                </c:pt>
                <c:pt idx="209">
                  <c:v>34851</c:v>
                </c:pt>
                <c:pt idx="210">
                  <c:v>34881</c:v>
                </c:pt>
                <c:pt idx="211">
                  <c:v>34912</c:v>
                </c:pt>
                <c:pt idx="212">
                  <c:v>34943</c:v>
                </c:pt>
                <c:pt idx="213">
                  <c:v>34973</c:v>
                </c:pt>
                <c:pt idx="214">
                  <c:v>35004</c:v>
                </c:pt>
                <c:pt idx="215">
                  <c:v>35034</c:v>
                </c:pt>
                <c:pt idx="216">
                  <c:v>35065</c:v>
                </c:pt>
                <c:pt idx="217">
                  <c:v>35096</c:v>
                </c:pt>
                <c:pt idx="218">
                  <c:v>35125</c:v>
                </c:pt>
                <c:pt idx="219">
                  <c:v>35156</c:v>
                </c:pt>
                <c:pt idx="220">
                  <c:v>35186</c:v>
                </c:pt>
                <c:pt idx="221">
                  <c:v>35217</c:v>
                </c:pt>
                <c:pt idx="222">
                  <c:v>35247</c:v>
                </c:pt>
                <c:pt idx="223">
                  <c:v>35278</c:v>
                </c:pt>
                <c:pt idx="224">
                  <c:v>35309</c:v>
                </c:pt>
                <c:pt idx="225">
                  <c:v>35339</c:v>
                </c:pt>
                <c:pt idx="226">
                  <c:v>35370</c:v>
                </c:pt>
                <c:pt idx="227">
                  <c:v>35400</c:v>
                </c:pt>
                <c:pt idx="228">
                  <c:v>35431</c:v>
                </c:pt>
                <c:pt idx="229">
                  <c:v>35462</c:v>
                </c:pt>
                <c:pt idx="230">
                  <c:v>35490</c:v>
                </c:pt>
                <c:pt idx="231">
                  <c:v>35521</c:v>
                </c:pt>
                <c:pt idx="232">
                  <c:v>35551</c:v>
                </c:pt>
                <c:pt idx="233">
                  <c:v>35582</c:v>
                </c:pt>
                <c:pt idx="234">
                  <c:v>35612</c:v>
                </c:pt>
                <c:pt idx="235">
                  <c:v>35643</c:v>
                </c:pt>
                <c:pt idx="236">
                  <c:v>35674</c:v>
                </c:pt>
                <c:pt idx="237">
                  <c:v>35704</c:v>
                </c:pt>
                <c:pt idx="238">
                  <c:v>35735</c:v>
                </c:pt>
                <c:pt idx="239">
                  <c:v>35765</c:v>
                </c:pt>
                <c:pt idx="240">
                  <c:v>35796</c:v>
                </c:pt>
                <c:pt idx="241">
                  <c:v>35827</c:v>
                </c:pt>
                <c:pt idx="242">
                  <c:v>35855</c:v>
                </c:pt>
                <c:pt idx="243">
                  <c:v>35886</c:v>
                </c:pt>
                <c:pt idx="244">
                  <c:v>35916</c:v>
                </c:pt>
                <c:pt idx="245">
                  <c:v>35947</c:v>
                </c:pt>
                <c:pt idx="246">
                  <c:v>35977</c:v>
                </c:pt>
                <c:pt idx="247">
                  <c:v>36008</c:v>
                </c:pt>
                <c:pt idx="248">
                  <c:v>36039</c:v>
                </c:pt>
                <c:pt idx="249">
                  <c:v>36069</c:v>
                </c:pt>
                <c:pt idx="250">
                  <c:v>36100</c:v>
                </c:pt>
                <c:pt idx="251">
                  <c:v>36130</c:v>
                </c:pt>
                <c:pt idx="252">
                  <c:v>36161</c:v>
                </c:pt>
                <c:pt idx="253">
                  <c:v>36192</c:v>
                </c:pt>
                <c:pt idx="254">
                  <c:v>36220</c:v>
                </c:pt>
                <c:pt idx="255">
                  <c:v>36251</c:v>
                </c:pt>
                <c:pt idx="256">
                  <c:v>36281</c:v>
                </c:pt>
                <c:pt idx="257">
                  <c:v>36312</c:v>
                </c:pt>
                <c:pt idx="258">
                  <c:v>36342</c:v>
                </c:pt>
                <c:pt idx="259">
                  <c:v>36373</c:v>
                </c:pt>
                <c:pt idx="260">
                  <c:v>36404</c:v>
                </c:pt>
                <c:pt idx="261">
                  <c:v>36434</c:v>
                </c:pt>
                <c:pt idx="262">
                  <c:v>36465</c:v>
                </c:pt>
                <c:pt idx="263">
                  <c:v>36495</c:v>
                </c:pt>
                <c:pt idx="264">
                  <c:v>36526</c:v>
                </c:pt>
                <c:pt idx="265">
                  <c:v>36557</c:v>
                </c:pt>
                <c:pt idx="266">
                  <c:v>36586</c:v>
                </c:pt>
                <c:pt idx="267">
                  <c:v>36617</c:v>
                </c:pt>
                <c:pt idx="268">
                  <c:v>36647</c:v>
                </c:pt>
                <c:pt idx="269">
                  <c:v>36678</c:v>
                </c:pt>
                <c:pt idx="270">
                  <c:v>36708</c:v>
                </c:pt>
                <c:pt idx="271">
                  <c:v>36739</c:v>
                </c:pt>
                <c:pt idx="272">
                  <c:v>36770</c:v>
                </c:pt>
                <c:pt idx="273">
                  <c:v>36800</c:v>
                </c:pt>
                <c:pt idx="274">
                  <c:v>36831</c:v>
                </c:pt>
                <c:pt idx="275">
                  <c:v>36861</c:v>
                </c:pt>
                <c:pt idx="276">
                  <c:v>36892</c:v>
                </c:pt>
                <c:pt idx="277">
                  <c:v>36923</c:v>
                </c:pt>
                <c:pt idx="278">
                  <c:v>36951</c:v>
                </c:pt>
                <c:pt idx="279">
                  <c:v>36982</c:v>
                </c:pt>
                <c:pt idx="280">
                  <c:v>37012</c:v>
                </c:pt>
                <c:pt idx="281">
                  <c:v>37043</c:v>
                </c:pt>
                <c:pt idx="282">
                  <c:v>37073</c:v>
                </c:pt>
                <c:pt idx="283">
                  <c:v>37104</c:v>
                </c:pt>
                <c:pt idx="284">
                  <c:v>37135</c:v>
                </c:pt>
                <c:pt idx="285">
                  <c:v>37165</c:v>
                </c:pt>
                <c:pt idx="286">
                  <c:v>37196</c:v>
                </c:pt>
                <c:pt idx="287">
                  <c:v>37226</c:v>
                </c:pt>
                <c:pt idx="288">
                  <c:v>37257</c:v>
                </c:pt>
                <c:pt idx="289">
                  <c:v>37288</c:v>
                </c:pt>
                <c:pt idx="290">
                  <c:v>37316</c:v>
                </c:pt>
                <c:pt idx="291">
                  <c:v>37347</c:v>
                </c:pt>
                <c:pt idx="292">
                  <c:v>37377</c:v>
                </c:pt>
                <c:pt idx="293">
                  <c:v>37408</c:v>
                </c:pt>
                <c:pt idx="294">
                  <c:v>37438</c:v>
                </c:pt>
                <c:pt idx="295">
                  <c:v>37469</c:v>
                </c:pt>
                <c:pt idx="296">
                  <c:v>37500</c:v>
                </c:pt>
                <c:pt idx="297">
                  <c:v>37530</c:v>
                </c:pt>
                <c:pt idx="298">
                  <c:v>37561</c:v>
                </c:pt>
                <c:pt idx="299">
                  <c:v>37591</c:v>
                </c:pt>
                <c:pt idx="300">
                  <c:v>37622</c:v>
                </c:pt>
                <c:pt idx="301">
                  <c:v>37653</c:v>
                </c:pt>
                <c:pt idx="302">
                  <c:v>37681</c:v>
                </c:pt>
                <c:pt idx="303">
                  <c:v>37712</c:v>
                </c:pt>
                <c:pt idx="304">
                  <c:v>37742</c:v>
                </c:pt>
                <c:pt idx="305">
                  <c:v>37773</c:v>
                </c:pt>
                <c:pt idx="306">
                  <c:v>37803</c:v>
                </c:pt>
                <c:pt idx="307">
                  <c:v>37834</c:v>
                </c:pt>
                <c:pt idx="308">
                  <c:v>37865</c:v>
                </c:pt>
                <c:pt idx="309">
                  <c:v>37895</c:v>
                </c:pt>
                <c:pt idx="310">
                  <c:v>37926</c:v>
                </c:pt>
                <c:pt idx="311">
                  <c:v>37956</c:v>
                </c:pt>
                <c:pt idx="312">
                  <c:v>37987</c:v>
                </c:pt>
                <c:pt idx="313">
                  <c:v>38018</c:v>
                </c:pt>
                <c:pt idx="314">
                  <c:v>38047</c:v>
                </c:pt>
                <c:pt idx="315">
                  <c:v>38078</c:v>
                </c:pt>
                <c:pt idx="316">
                  <c:v>38108</c:v>
                </c:pt>
                <c:pt idx="317">
                  <c:v>38139</c:v>
                </c:pt>
                <c:pt idx="318">
                  <c:v>38169</c:v>
                </c:pt>
                <c:pt idx="319">
                  <c:v>38200</c:v>
                </c:pt>
                <c:pt idx="320">
                  <c:v>38231</c:v>
                </c:pt>
                <c:pt idx="321">
                  <c:v>38261</c:v>
                </c:pt>
                <c:pt idx="322">
                  <c:v>38292</c:v>
                </c:pt>
                <c:pt idx="323">
                  <c:v>38322</c:v>
                </c:pt>
                <c:pt idx="324">
                  <c:v>38353</c:v>
                </c:pt>
                <c:pt idx="325">
                  <c:v>38384</c:v>
                </c:pt>
                <c:pt idx="326">
                  <c:v>38412</c:v>
                </c:pt>
                <c:pt idx="327">
                  <c:v>38443</c:v>
                </c:pt>
                <c:pt idx="328">
                  <c:v>38473</c:v>
                </c:pt>
                <c:pt idx="329">
                  <c:v>38504</c:v>
                </c:pt>
                <c:pt idx="330">
                  <c:v>38534</c:v>
                </c:pt>
                <c:pt idx="331">
                  <c:v>38565</c:v>
                </c:pt>
                <c:pt idx="332">
                  <c:v>38596</c:v>
                </c:pt>
                <c:pt idx="333">
                  <c:v>38626</c:v>
                </c:pt>
                <c:pt idx="334">
                  <c:v>38657</c:v>
                </c:pt>
                <c:pt idx="335">
                  <c:v>38687</c:v>
                </c:pt>
                <c:pt idx="336">
                  <c:v>38718</c:v>
                </c:pt>
                <c:pt idx="337">
                  <c:v>38749</c:v>
                </c:pt>
                <c:pt idx="338">
                  <c:v>38777</c:v>
                </c:pt>
                <c:pt idx="339">
                  <c:v>38808</c:v>
                </c:pt>
                <c:pt idx="340">
                  <c:v>38838</c:v>
                </c:pt>
                <c:pt idx="341">
                  <c:v>38869</c:v>
                </c:pt>
                <c:pt idx="342">
                  <c:v>38899</c:v>
                </c:pt>
                <c:pt idx="343">
                  <c:v>38930</c:v>
                </c:pt>
                <c:pt idx="344">
                  <c:v>38961</c:v>
                </c:pt>
                <c:pt idx="345">
                  <c:v>38991</c:v>
                </c:pt>
                <c:pt idx="346">
                  <c:v>39022</c:v>
                </c:pt>
                <c:pt idx="347">
                  <c:v>39052</c:v>
                </c:pt>
                <c:pt idx="348">
                  <c:v>39083</c:v>
                </c:pt>
                <c:pt idx="349">
                  <c:v>39114</c:v>
                </c:pt>
                <c:pt idx="350">
                  <c:v>39142</c:v>
                </c:pt>
                <c:pt idx="351">
                  <c:v>39173</c:v>
                </c:pt>
                <c:pt idx="352">
                  <c:v>39203</c:v>
                </c:pt>
                <c:pt idx="353">
                  <c:v>39234</c:v>
                </c:pt>
                <c:pt idx="354">
                  <c:v>39264</c:v>
                </c:pt>
                <c:pt idx="355">
                  <c:v>39295</c:v>
                </c:pt>
                <c:pt idx="356">
                  <c:v>39326</c:v>
                </c:pt>
                <c:pt idx="357">
                  <c:v>39356</c:v>
                </c:pt>
                <c:pt idx="358">
                  <c:v>39387</c:v>
                </c:pt>
                <c:pt idx="359">
                  <c:v>39417</c:v>
                </c:pt>
                <c:pt idx="360">
                  <c:v>39448</c:v>
                </c:pt>
                <c:pt idx="361">
                  <c:v>39479</c:v>
                </c:pt>
                <c:pt idx="362">
                  <c:v>39508</c:v>
                </c:pt>
                <c:pt idx="363">
                  <c:v>39539</c:v>
                </c:pt>
                <c:pt idx="364">
                  <c:v>39569</c:v>
                </c:pt>
                <c:pt idx="365">
                  <c:v>39600</c:v>
                </c:pt>
                <c:pt idx="366">
                  <c:v>39630</c:v>
                </c:pt>
                <c:pt idx="367">
                  <c:v>39661</c:v>
                </c:pt>
                <c:pt idx="368">
                  <c:v>39692</c:v>
                </c:pt>
                <c:pt idx="369">
                  <c:v>39722</c:v>
                </c:pt>
                <c:pt idx="370">
                  <c:v>39753</c:v>
                </c:pt>
                <c:pt idx="371">
                  <c:v>39783</c:v>
                </c:pt>
                <c:pt idx="372">
                  <c:v>39814</c:v>
                </c:pt>
                <c:pt idx="373">
                  <c:v>39845</c:v>
                </c:pt>
                <c:pt idx="374">
                  <c:v>39873</c:v>
                </c:pt>
                <c:pt idx="375">
                  <c:v>39904</c:v>
                </c:pt>
                <c:pt idx="376">
                  <c:v>39934</c:v>
                </c:pt>
                <c:pt idx="377">
                  <c:v>39965</c:v>
                </c:pt>
                <c:pt idx="378">
                  <c:v>39995</c:v>
                </c:pt>
                <c:pt idx="379">
                  <c:v>40026</c:v>
                </c:pt>
                <c:pt idx="380">
                  <c:v>40057</c:v>
                </c:pt>
                <c:pt idx="381">
                  <c:v>40087</c:v>
                </c:pt>
                <c:pt idx="382">
                  <c:v>40118</c:v>
                </c:pt>
                <c:pt idx="383">
                  <c:v>40148</c:v>
                </c:pt>
                <c:pt idx="384">
                  <c:v>40179</c:v>
                </c:pt>
                <c:pt idx="385">
                  <c:v>40210</c:v>
                </c:pt>
                <c:pt idx="386">
                  <c:v>40238</c:v>
                </c:pt>
                <c:pt idx="387">
                  <c:v>40269</c:v>
                </c:pt>
                <c:pt idx="388">
                  <c:v>40299</c:v>
                </c:pt>
                <c:pt idx="389">
                  <c:v>40330</c:v>
                </c:pt>
                <c:pt idx="390">
                  <c:v>40360</c:v>
                </c:pt>
                <c:pt idx="391">
                  <c:v>40391</c:v>
                </c:pt>
                <c:pt idx="392">
                  <c:v>40422</c:v>
                </c:pt>
                <c:pt idx="393">
                  <c:v>40452</c:v>
                </c:pt>
                <c:pt idx="394">
                  <c:v>40483</c:v>
                </c:pt>
                <c:pt idx="395">
                  <c:v>40513</c:v>
                </c:pt>
                <c:pt idx="396">
                  <c:v>40544</c:v>
                </c:pt>
                <c:pt idx="397">
                  <c:v>40575</c:v>
                </c:pt>
                <c:pt idx="398">
                  <c:v>40603</c:v>
                </c:pt>
                <c:pt idx="399">
                  <c:v>40634</c:v>
                </c:pt>
                <c:pt idx="400">
                  <c:v>40664</c:v>
                </c:pt>
                <c:pt idx="401">
                  <c:v>40695</c:v>
                </c:pt>
                <c:pt idx="402">
                  <c:v>40725</c:v>
                </c:pt>
                <c:pt idx="403">
                  <c:v>40756</c:v>
                </c:pt>
                <c:pt idx="404">
                  <c:v>40787</c:v>
                </c:pt>
                <c:pt idx="405">
                  <c:v>40817</c:v>
                </c:pt>
                <c:pt idx="406">
                  <c:v>40848</c:v>
                </c:pt>
                <c:pt idx="407">
                  <c:v>40878</c:v>
                </c:pt>
                <c:pt idx="408">
                  <c:v>40909</c:v>
                </c:pt>
                <c:pt idx="409">
                  <c:v>40940</c:v>
                </c:pt>
                <c:pt idx="410">
                  <c:v>40969</c:v>
                </c:pt>
                <c:pt idx="411">
                  <c:v>41000</c:v>
                </c:pt>
                <c:pt idx="412">
                  <c:v>41030</c:v>
                </c:pt>
                <c:pt idx="413">
                  <c:v>41061</c:v>
                </c:pt>
                <c:pt idx="414">
                  <c:v>41091</c:v>
                </c:pt>
                <c:pt idx="415">
                  <c:v>41122</c:v>
                </c:pt>
                <c:pt idx="416">
                  <c:v>41153</c:v>
                </c:pt>
                <c:pt idx="417">
                  <c:v>41183</c:v>
                </c:pt>
                <c:pt idx="418">
                  <c:v>41214</c:v>
                </c:pt>
                <c:pt idx="419">
                  <c:v>41244</c:v>
                </c:pt>
                <c:pt idx="420">
                  <c:v>41275</c:v>
                </c:pt>
                <c:pt idx="421">
                  <c:v>41306</c:v>
                </c:pt>
                <c:pt idx="422">
                  <c:v>41334</c:v>
                </c:pt>
                <c:pt idx="423">
                  <c:v>41365</c:v>
                </c:pt>
                <c:pt idx="424">
                  <c:v>41395</c:v>
                </c:pt>
                <c:pt idx="425">
                  <c:v>41426</c:v>
                </c:pt>
                <c:pt idx="426">
                  <c:v>41456</c:v>
                </c:pt>
                <c:pt idx="427">
                  <c:v>41487</c:v>
                </c:pt>
                <c:pt idx="428">
                  <c:v>41518</c:v>
                </c:pt>
                <c:pt idx="429">
                  <c:v>41548</c:v>
                </c:pt>
                <c:pt idx="430">
                  <c:v>41579</c:v>
                </c:pt>
                <c:pt idx="431">
                  <c:v>41609</c:v>
                </c:pt>
                <c:pt idx="432">
                  <c:v>41640</c:v>
                </c:pt>
                <c:pt idx="433">
                  <c:v>41671</c:v>
                </c:pt>
                <c:pt idx="434">
                  <c:v>41699</c:v>
                </c:pt>
                <c:pt idx="435">
                  <c:v>41730</c:v>
                </c:pt>
                <c:pt idx="436">
                  <c:v>41760</c:v>
                </c:pt>
                <c:pt idx="437">
                  <c:v>41791</c:v>
                </c:pt>
                <c:pt idx="438">
                  <c:v>41821</c:v>
                </c:pt>
                <c:pt idx="439">
                  <c:v>41852</c:v>
                </c:pt>
                <c:pt idx="440">
                  <c:v>41883</c:v>
                </c:pt>
                <c:pt idx="441">
                  <c:v>41913</c:v>
                </c:pt>
                <c:pt idx="442">
                  <c:v>41944</c:v>
                </c:pt>
                <c:pt idx="443">
                  <c:v>41974</c:v>
                </c:pt>
                <c:pt idx="444">
                  <c:v>42005</c:v>
                </c:pt>
                <c:pt idx="445">
                  <c:v>42036</c:v>
                </c:pt>
                <c:pt idx="446">
                  <c:v>42064</c:v>
                </c:pt>
                <c:pt idx="447">
                  <c:v>42095</c:v>
                </c:pt>
                <c:pt idx="448">
                  <c:v>42125</c:v>
                </c:pt>
                <c:pt idx="449">
                  <c:v>42156</c:v>
                </c:pt>
                <c:pt idx="450">
                  <c:v>42186</c:v>
                </c:pt>
                <c:pt idx="451">
                  <c:v>42217</c:v>
                </c:pt>
                <c:pt idx="452">
                  <c:v>42248</c:v>
                </c:pt>
                <c:pt idx="453">
                  <c:v>42278</c:v>
                </c:pt>
                <c:pt idx="454">
                  <c:v>42309</c:v>
                </c:pt>
                <c:pt idx="455">
                  <c:v>42339</c:v>
                </c:pt>
                <c:pt idx="456">
                  <c:v>42370</c:v>
                </c:pt>
                <c:pt idx="457">
                  <c:v>42401</c:v>
                </c:pt>
                <c:pt idx="458">
                  <c:v>42430</c:v>
                </c:pt>
                <c:pt idx="459">
                  <c:v>42461</c:v>
                </c:pt>
                <c:pt idx="460">
                  <c:v>42491</c:v>
                </c:pt>
                <c:pt idx="461">
                  <c:v>42522</c:v>
                </c:pt>
                <c:pt idx="462">
                  <c:v>42552</c:v>
                </c:pt>
                <c:pt idx="463">
                  <c:v>42583</c:v>
                </c:pt>
                <c:pt idx="464">
                  <c:v>42614</c:v>
                </c:pt>
                <c:pt idx="465">
                  <c:v>42644</c:v>
                </c:pt>
                <c:pt idx="466">
                  <c:v>42675</c:v>
                </c:pt>
                <c:pt idx="467">
                  <c:v>42705</c:v>
                </c:pt>
                <c:pt idx="468">
                  <c:v>42736</c:v>
                </c:pt>
                <c:pt idx="469">
                  <c:v>42767</c:v>
                </c:pt>
                <c:pt idx="470">
                  <c:v>42795</c:v>
                </c:pt>
                <c:pt idx="471">
                  <c:v>42826</c:v>
                </c:pt>
                <c:pt idx="472">
                  <c:v>42856</c:v>
                </c:pt>
                <c:pt idx="473">
                  <c:v>42887</c:v>
                </c:pt>
                <c:pt idx="474">
                  <c:v>42917</c:v>
                </c:pt>
                <c:pt idx="475">
                  <c:v>42948</c:v>
                </c:pt>
                <c:pt idx="476">
                  <c:v>42979</c:v>
                </c:pt>
                <c:pt idx="477">
                  <c:v>43009</c:v>
                </c:pt>
                <c:pt idx="478">
                  <c:v>43040</c:v>
                </c:pt>
                <c:pt idx="479">
                  <c:v>43070</c:v>
                </c:pt>
                <c:pt idx="480">
                  <c:v>43101</c:v>
                </c:pt>
                <c:pt idx="481">
                  <c:v>43132</c:v>
                </c:pt>
                <c:pt idx="482">
                  <c:v>43160</c:v>
                </c:pt>
                <c:pt idx="483">
                  <c:v>43191</c:v>
                </c:pt>
                <c:pt idx="484">
                  <c:v>43221</c:v>
                </c:pt>
                <c:pt idx="485">
                  <c:v>43252</c:v>
                </c:pt>
                <c:pt idx="486">
                  <c:v>43282</c:v>
                </c:pt>
                <c:pt idx="487">
                  <c:v>43313</c:v>
                </c:pt>
                <c:pt idx="488">
                  <c:v>43344</c:v>
                </c:pt>
                <c:pt idx="489">
                  <c:v>43374</c:v>
                </c:pt>
                <c:pt idx="490">
                  <c:v>43405</c:v>
                </c:pt>
                <c:pt idx="491">
                  <c:v>43435</c:v>
                </c:pt>
                <c:pt idx="492">
                  <c:v>43466</c:v>
                </c:pt>
                <c:pt idx="493">
                  <c:v>43497</c:v>
                </c:pt>
                <c:pt idx="494">
                  <c:v>43525</c:v>
                </c:pt>
                <c:pt idx="495">
                  <c:v>43556</c:v>
                </c:pt>
                <c:pt idx="496">
                  <c:v>43586</c:v>
                </c:pt>
                <c:pt idx="497">
                  <c:v>43617</c:v>
                </c:pt>
                <c:pt idx="498">
                  <c:v>43647</c:v>
                </c:pt>
                <c:pt idx="499">
                  <c:v>43678</c:v>
                </c:pt>
                <c:pt idx="500">
                  <c:v>43709</c:v>
                </c:pt>
                <c:pt idx="501">
                  <c:v>43739</c:v>
                </c:pt>
                <c:pt idx="502">
                  <c:v>43770</c:v>
                </c:pt>
                <c:pt idx="503">
                  <c:v>43800</c:v>
                </c:pt>
                <c:pt idx="504">
                  <c:v>43831</c:v>
                </c:pt>
                <c:pt idx="505">
                  <c:v>43862</c:v>
                </c:pt>
                <c:pt idx="506">
                  <c:v>43891</c:v>
                </c:pt>
                <c:pt idx="507">
                  <c:v>43922</c:v>
                </c:pt>
                <c:pt idx="508">
                  <c:v>43952</c:v>
                </c:pt>
                <c:pt idx="509">
                  <c:v>43983</c:v>
                </c:pt>
                <c:pt idx="510">
                  <c:v>44013</c:v>
                </c:pt>
                <c:pt idx="511">
                  <c:v>44044</c:v>
                </c:pt>
                <c:pt idx="512">
                  <c:v>44075</c:v>
                </c:pt>
                <c:pt idx="513">
                  <c:v>44105</c:v>
                </c:pt>
                <c:pt idx="514">
                  <c:v>44136</c:v>
                </c:pt>
                <c:pt idx="515">
                  <c:v>44166</c:v>
                </c:pt>
                <c:pt idx="516">
                  <c:v>44197</c:v>
                </c:pt>
                <c:pt idx="517">
                  <c:v>44228</c:v>
                </c:pt>
                <c:pt idx="518">
                  <c:v>44256</c:v>
                </c:pt>
                <c:pt idx="519">
                  <c:v>44287</c:v>
                </c:pt>
                <c:pt idx="520">
                  <c:v>44317</c:v>
                </c:pt>
                <c:pt idx="521">
                  <c:v>44348</c:v>
                </c:pt>
                <c:pt idx="522">
                  <c:v>44378</c:v>
                </c:pt>
                <c:pt idx="523">
                  <c:v>44409</c:v>
                </c:pt>
                <c:pt idx="524">
                  <c:v>44440</c:v>
                </c:pt>
                <c:pt idx="525">
                  <c:v>44470</c:v>
                </c:pt>
                <c:pt idx="526">
                  <c:v>44501</c:v>
                </c:pt>
                <c:pt idx="527">
                  <c:v>44531</c:v>
                </c:pt>
                <c:pt idx="528">
                  <c:v>44562</c:v>
                </c:pt>
                <c:pt idx="529">
                  <c:v>44593</c:v>
                </c:pt>
                <c:pt idx="530">
                  <c:v>44621</c:v>
                </c:pt>
                <c:pt idx="531">
                  <c:v>44652</c:v>
                </c:pt>
                <c:pt idx="532">
                  <c:v>44682</c:v>
                </c:pt>
                <c:pt idx="533">
                  <c:v>44713</c:v>
                </c:pt>
                <c:pt idx="534">
                  <c:v>44743</c:v>
                </c:pt>
                <c:pt idx="535">
                  <c:v>44774</c:v>
                </c:pt>
                <c:pt idx="536">
                  <c:v>44805</c:v>
                </c:pt>
                <c:pt idx="537">
                  <c:v>44835</c:v>
                </c:pt>
                <c:pt idx="538">
                  <c:v>44866</c:v>
                </c:pt>
                <c:pt idx="539">
                  <c:v>44896</c:v>
                </c:pt>
                <c:pt idx="540">
                  <c:v>44927</c:v>
                </c:pt>
                <c:pt idx="541">
                  <c:v>44958</c:v>
                </c:pt>
                <c:pt idx="542">
                  <c:v>44986</c:v>
                </c:pt>
                <c:pt idx="543">
                  <c:v>45017</c:v>
                </c:pt>
                <c:pt idx="544">
                  <c:v>45047</c:v>
                </c:pt>
                <c:pt idx="545">
                  <c:v>45078</c:v>
                </c:pt>
                <c:pt idx="546">
                  <c:v>45108</c:v>
                </c:pt>
                <c:pt idx="547">
                  <c:v>45139</c:v>
                </c:pt>
                <c:pt idx="548">
                  <c:v>45170</c:v>
                </c:pt>
                <c:pt idx="549">
                  <c:v>45200</c:v>
                </c:pt>
                <c:pt idx="550">
                  <c:v>45231</c:v>
                </c:pt>
                <c:pt idx="551">
                  <c:v>45261</c:v>
                </c:pt>
                <c:pt idx="552">
                  <c:v>45292</c:v>
                </c:pt>
                <c:pt idx="553">
                  <c:v>45323</c:v>
                </c:pt>
                <c:pt idx="554">
                  <c:v>45352</c:v>
                </c:pt>
                <c:pt idx="555">
                  <c:v>45383</c:v>
                </c:pt>
                <c:pt idx="556">
                  <c:v>45413</c:v>
                </c:pt>
                <c:pt idx="557">
                  <c:v>45444</c:v>
                </c:pt>
                <c:pt idx="558">
                  <c:v>45474</c:v>
                </c:pt>
                <c:pt idx="559">
                  <c:v>45505</c:v>
                </c:pt>
                <c:pt idx="560">
                  <c:v>45536</c:v>
                </c:pt>
                <c:pt idx="561">
                  <c:v>45566</c:v>
                </c:pt>
                <c:pt idx="562">
                  <c:v>45597</c:v>
                </c:pt>
                <c:pt idx="563">
                  <c:v>45627</c:v>
                </c:pt>
              </c:numCache>
            </c:numRef>
          </c:cat>
          <c:val>
            <c:numRef>
              <c:f>'Economic Activity'!$T$3:$T$566</c:f>
              <c:numCache>
                <c:formatCode>General</c:formatCode>
                <c:ptCount val="564"/>
                <c:pt idx="0">
                  <c:v>83.7</c:v>
                </c:pt>
                <c:pt idx="1">
                  <c:v>84.3</c:v>
                </c:pt>
                <c:pt idx="2">
                  <c:v>78.8</c:v>
                </c:pt>
                <c:pt idx="3">
                  <c:v>81.599999999999994</c:v>
                </c:pt>
                <c:pt idx="4">
                  <c:v>82.9</c:v>
                </c:pt>
                <c:pt idx="5">
                  <c:v>80</c:v>
                </c:pt>
                <c:pt idx="6">
                  <c:v>82.4</c:v>
                </c:pt>
                <c:pt idx="7">
                  <c:v>78.400000000000006</c:v>
                </c:pt>
                <c:pt idx="8">
                  <c:v>80.400000000000006</c:v>
                </c:pt>
                <c:pt idx="9">
                  <c:v>79.3</c:v>
                </c:pt>
                <c:pt idx="10">
                  <c:v>75</c:v>
                </c:pt>
                <c:pt idx="11">
                  <c:v>66.099999999999994</c:v>
                </c:pt>
                <c:pt idx="12">
                  <c:v>72.099999999999994</c:v>
                </c:pt>
                <c:pt idx="13">
                  <c:v>73.900000000000006</c:v>
                </c:pt>
                <c:pt idx="14">
                  <c:v>68.400000000000006</c:v>
                </c:pt>
                <c:pt idx="15">
                  <c:v>66</c:v>
                </c:pt>
                <c:pt idx="16">
                  <c:v>68.099999999999994</c:v>
                </c:pt>
                <c:pt idx="17">
                  <c:v>65.8</c:v>
                </c:pt>
                <c:pt idx="18">
                  <c:v>60.4</c:v>
                </c:pt>
                <c:pt idx="19">
                  <c:v>64.5</c:v>
                </c:pt>
                <c:pt idx="20">
                  <c:v>66.7</c:v>
                </c:pt>
                <c:pt idx="21">
                  <c:v>62.1</c:v>
                </c:pt>
                <c:pt idx="22">
                  <c:v>63.3</c:v>
                </c:pt>
                <c:pt idx="23">
                  <c:v>61</c:v>
                </c:pt>
                <c:pt idx="24">
                  <c:v>67</c:v>
                </c:pt>
                <c:pt idx="25">
                  <c:v>66.900000000000006</c:v>
                </c:pt>
                <c:pt idx="26">
                  <c:v>56.5</c:v>
                </c:pt>
                <c:pt idx="27">
                  <c:v>52.7</c:v>
                </c:pt>
                <c:pt idx="28">
                  <c:v>51.7</c:v>
                </c:pt>
                <c:pt idx="29">
                  <c:v>58.7</c:v>
                </c:pt>
                <c:pt idx="30">
                  <c:v>62.3</c:v>
                </c:pt>
                <c:pt idx="31">
                  <c:v>67.3</c:v>
                </c:pt>
                <c:pt idx="32">
                  <c:v>73.7</c:v>
                </c:pt>
                <c:pt idx="33">
                  <c:v>75</c:v>
                </c:pt>
                <c:pt idx="34">
                  <c:v>76.7</c:v>
                </c:pt>
                <c:pt idx="35">
                  <c:v>64.5</c:v>
                </c:pt>
                <c:pt idx="36">
                  <c:v>71.400000000000006</c:v>
                </c:pt>
                <c:pt idx="37">
                  <c:v>66.900000000000006</c:v>
                </c:pt>
                <c:pt idx="38">
                  <c:v>66.5</c:v>
                </c:pt>
                <c:pt idx="39">
                  <c:v>72.400000000000006</c:v>
                </c:pt>
                <c:pt idx="40">
                  <c:v>76.3</c:v>
                </c:pt>
                <c:pt idx="41">
                  <c:v>73.099999999999994</c:v>
                </c:pt>
                <c:pt idx="42">
                  <c:v>74.099999999999994</c:v>
                </c:pt>
                <c:pt idx="43">
                  <c:v>77.2</c:v>
                </c:pt>
                <c:pt idx="44">
                  <c:v>73.099999999999994</c:v>
                </c:pt>
                <c:pt idx="45">
                  <c:v>70.3</c:v>
                </c:pt>
                <c:pt idx="46">
                  <c:v>62.5</c:v>
                </c:pt>
                <c:pt idx="47">
                  <c:v>64.3</c:v>
                </c:pt>
                <c:pt idx="48">
                  <c:v>71</c:v>
                </c:pt>
                <c:pt idx="49">
                  <c:v>66.5</c:v>
                </c:pt>
                <c:pt idx="50">
                  <c:v>62</c:v>
                </c:pt>
                <c:pt idx="51">
                  <c:v>65.5</c:v>
                </c:pt>
                <c:pt idx="52">
                  <c:v>67.5</c:v>
                </c:pt>
                <c:pt idx="53">
                  <c:v>65.7</c:v>
                </c:pt>
                <c:pt idx="54">
                  <c:v>65.400000000000006</c:v>
                </c:pt>
                <c:pt idx="55">
                  <c:v>65.400000000000006</c:v>
                </c:pt>
                <c:pt idx="56">
                  <c:v>69.3</c:v>
                </c:pt>
                <c:pt idx="57">
                  <c:v>73.400000000000006</c:v>
                </c:pt>
                <c:pt idx="58">
                  <c:v>72.099999999999994</c:v>
                </c:pt>
                <c:pt idx="59">
                  <c:v>71.900000000000006</c:v>
                </c:pt>
                <c:pt idx="60">
                  <c:v>70.400000000000006</c:v>
                </c:pt>
                <c:pt idx="61">
                  <c:v>74.599999999999994</c:v>
                </c:pt>
                <c:pt idx="62">
                  <c:v>80.8</c:v>
                </c:pt>
                <c:pt idx="63">
                  <c:v>89.1</c:v>
                </c:pt>
                <c:pt idx="64">
                  <c:v>93.3</c:v>
                </c:pt>
                <c:pt idx="65">
                  <c:v>92.2</c:v>
                </c:pt>
                <c:pt idx="66">
                  <c:v>92.8</c:v>
                </c:pt>
                <c:pt idx="67">
                  <c:v>90.9</c:v>
                </c:pt>
                <c:pt idx="68">
                  <c:v>89.9</c:v>
                </c:pt>
                <c:pt idx="69">
                  <c:v>89.3</c:v>
                </c:pt>
                <c:pt idx="70">
                  <c:v>91.1</c:v>
                </c:pt>
                <c:pt idx="71">
                  <c:v>94.2</c:v>
                </c:pt>
                <c:pt idx="72">
                  <c:v>100.1</c:v>
                </c:pt>
                <c:pt idx="73">
                  <c:v>97.4</c:v>
                </c:pt>
                <c:pt idx="74">
                  <c:v>101</c:v>
                </c:pt>
                <c:pt idx="75">
                  <c:v>96.1</c:v>
                </c:pt>
                <c:pt idx="76">
                  <c:v>98.1</c:v>
                </c:pt>
                <c:pt idx="77">
                  <c:v>95.5</c:v>
                </c:pt>
                <c:pt idx="78">
                  <c:v>96.6</c:v>
                </c:pt>
                <c:pt idx="79">
                  <c:v>99.1</c:v>
                </c:pt>
                <c:pt idx="80">
                  <c:v>100.9</c:v>
                </c:pt>
                <c:pt idx="81">
                  <c:v>96.3</c:v>
                </c:pt>
                <c:pt idx="82">
                  <c:v>95.7</c:v>
                </c:pt>
                <c:pt idx="83">
                  <c:v>92.9</c:v>
                </c:pt>
                <c:pt idx="84">
                  <c:v>96</c:v>
                </c:pt>
                <c:pt idx="85">
                  <c:v>93.7</c:v>
                </c:pt>
                <c:pt idx="86">
                  <c:v>93.7</c:v>
                </c:pt>
                <c:pt idx="87">
                  <c:v>94.6</c:v>
                </c:pt>
                <c:pt idx="88">
                  <c:v>91.8</c:v>
                </c:pt>
                <c:pt idx="89">
                  <c:v>96.5</c:v>
                </c:pt>
                <c:pt idx="90">
                  <c:v>94</c:v>
                </c:pt>
                <c:pt idx="91">
                  <c:v>92.4</c:v>
                </c:pt>
                <c:pt idx="92">
                  <c:v>92.1</c:v>
                </c:pt>
                <c:pt idx="93">
                  <c:v>88.4</c:v>
                </c:pt>
                <c:pt idx="94">
                  <c:v>90.9</c:v>
                </c:pt>
                <c:pt idx="95">
                  <c:v>93.9</c:v>
                </c:pt>
                <c:pt idx="96">
                  <c:v>95.6</c:v>
                </c:pt>
                <c:pt idx="97">
                  <c:v>95.9</c:v>
                </c:pt>
                <c:pt idx="98">
                  <c:v>95.1</c:v>
                </c:pt>
                <c:pt idx="99">
                  <c:v>96.2</c:v>
                </c:pt>
                <c:pt idx="100">
                  <c:v>94.8</c:v>
                </c:pt>
                <c:pt idx="101">
                  <c:v>99.3</c:v>
                </c:pt>
                <c:pt idx="102">
                  <c:v>97.7</c:v>
                </c:pt>
                <c:pt idx="103">
                  <c:v>94.9</c:v>
                </c:pt>
                <c:pt idx="104">
                  <c:v>91.9</c:v>
                </c:pt>
                <c:pt idx="105">
                  <c:v>95.6</c:v>
                </c:pt>
                <c:pt idx="106">
                  <c:v>91.4</c:v>
                </c:pt>
                <c:pt idx="107">
                  <c:v>89.1</c:v>
                </c:pt>
                <c:pt idx="108">
                  <c:v>90.4</c:v>
                </c:pt>
                <c:pt idx="109">
                  <c:v>90.2</c:v>
                </c:pt>
                <c:pt idx="110">
                  <c:v>90.8</c:v>
                </c:pt>
                <c:pt idx="111">
                  <c:v>92.8</c:v>
                </c:pt>
                <c:pt idx="112">
                  <c:v>91.1</c:v>
                </c:pt>
                <c:pt idx="113">
                  <c:v>91.5</c:v>
                </c:pt>
                <c:pt idx="114">
                  <c:v>93.7</c:v>
                </c:pt>
                <c:pt idx="115">
                  <c:v>94.4</c:v>
                </c:pt>
                <c:pt idx="116">
                  <c:v>93.6</c:v>
                </c:pt>
                <c:pt idx="117">
                  <c:v>89.3</c:v>
                </c:pt>
                <c:pt idx="118">
                  <c:v>83.1</c:v>
                </c:pt>
                <c:pt idx="119">
                  <c:v>86.8</c:v>
                </c:pt>
                <c:pt idx="120">
                  <c:v>90.8</c:v>
                </c:pt>
                <c:pt idx="121">
                  <c:v>91.6</c:v>
                </c:pt>
                <c:pt idx="122">
                  <c:v>94.6</c:v>
                </c:pt>
                <c:pt idx="123">
                  <c:v>91.2</c:v>
                </c:pt>
                <c:pt idx="124">
                  <c:v>94.8</c:v>
                </c:pt>
                <c:pt idx="125">
                  <c:v>94.7</c:v>
                </c:pt>
                <c:pt idx="126">
                  <c:v>93.4</c:v>
                </c:pt>
                <c:pt idx="127">
                  <c:v>97.4</c:v>
                </c:pt>
                <c:pt idx="128">
                  <c:v>97.3</c:v>
                </c:pt>
                <c:pt idx="129">
                  <c:v>94.1</c:v>
                </c:pt>
                <c:pt idx="130">
                  <c:v>93</c:v>
                </c:pt>
                <c:pt idx="131">
                  <c:v>91.9</c:v>
                </c:pt>
                <c:pt idx="132">
                  <c:v>97.9</c:v>
                </c:pt>
                <c:pt idx="133">
                  <c:v>95.4</c:v>
                </c:pt>
                <c:pt idx="134">
                  <c:v>94.3</c:v>
                </c:pt>
                <c:pt idx="135">
                  <c:v>91.5</c:v>
                </c:pt>
                <c:pt idx="136">
                  <c:v>90.7</c:v>
                </c:pt>
                <c:pt idx="137">
                  <c:v>90.6</c:v>
                </c:pt>
                <c:pt idx="138">
                  <c:v>92</c:v>
                </c:pt>
                <c:pt idx="139">
                  <c:v>89.6</c:v>
                </c:pt>
                <c:pt idx="140">
                  <c:v>95.8</c:v>
                </c:pt>
                <c:pt idx="141">
                  <c:v>93.9</c:v>
                </c:pt>
                <c:pt idx="142">
                  <c:v>90.9</c:v>
                </c:pt>
                <c:pt idx="143">
                  <c:v>90.5</c:v>
                </c:pt>
                <c:pt idx="144">
                  <c:v>93</c:v>
                </c:pt>
                <c:pt idx="145">
                  <c:v>89.5</c:v>
                </c:pt>
                <c:pt idx="146">
                  <c:v>91.3</c:v>
                </c:pt>
                <c:pt idx="147">
                  <c:v>93.9</c:v>
                </c:pt>
                <c:pt idx="148">
                  <c:v>90.6</c:v>
                </c:pt>
                <c:pt idx="149">
                  <c:v>88.3</c:v>
                </c:pt>
                <c:pt idx="150">
                  <c:v>88.2</c:v>
                </c:pt>
                <c:pt idx="151">
                  <c:v>76.400000000000006</c:v>
                </c:pt>
                <c:pt idx="152">
                  <c:v>72.8</c:v>
                </c:pt>
                <c:pt idx="153">
                  <c:v>63.9</c:v>
                </c:pt>
                <c:pt idx="154">
                  <c:v>66</c:v>
                </c:pt>
                <c:pt idx="155">
                  <c:v>65.5</c:v>
                </c:pt>
                <c:pt idx="156">
                  <c:v>66.8</c:v>
                </c:pt>
                <c:pt idx="157">
                  <c:v>70.400000000000006</c:v>
                </c:pt>
                <c:pt idx="158">
                  <c:v>87.7</c:v>
                </c:pt>
                <c:pt idx="159">
                  <c:v>81.8</c:v>
                </c:pt>
                <c:pt idx="160">
                  <c:v>78.3</c:v>
                </c:pt>
                <c:pt idx="161">
                  <c:v>82.1</c:v>
                </c:pt>
                <c:pt idx="162">
                  <c:v>82.9</c:v>
                </c:pt>
                <c:pt idx="163">
                  <c:v>82</c:v>
                </c:pt>
                <c:pt idx="164">
                  <c:v>83</c:v>
                </c:pt>
                <c:pt idx="165">
                  <c:v>78.3</c:v>
                </c:pt>
                <c:pt idx="166">
                  <c:v>69.099999999999994</c:v>
                </c:pt>
                <c:pt idx="167">
                  <c:v>68.2</c:v>
                </c:pt>
                <c:pt idx="168">
                  <c:v>67.5</c:v>
                </c:pt>
                <c:pt idx="169">
                  <c:v>68.8</c:v>
                </c:pt>
                <c:pt idx="170">
                  <c:v>76</c:v>
                </c:pt>
                <c:pt idx="171">
                  <c:v>77.2</c:v>
                </c:pt>
                <c:pt idx="172">
                  <c:v>79.2</c:v>
                </c:pt>
                <c:pt idx="173">
                  <c:v>80.400000000000006</c:v>
                </c:pt>
                <c:pt idx="174">
                  <c:v>76.599999999999994</c:v>
                </c:pt>
                <c:pt idx="175">
                  <c:v>76.099999999999994</c:v>
                </c:pt>
                <c:pt idx="176">
                  <c:v>75.599999999999994</c:v>
                </c:pt>
                <c:pt idx="177">
                  <c:v>73.3</c:v>
                </c:pt>
                <c:pt idx="178">
                  <c:v>85.3</c:v>
                </c:pt>
                <c:pt idx="179">
                  <c:v>91</c:v>
                </c:pt>
                <c:pt idx="180">
                  <c:v>89.3</c:v>
                </c:pt>
                <c:pt idx="181">
                  <c:v>86.6</c:v>
                </c:pt>
                <c:pt idx="182">
                  <c:v>85.9</c:v>
                </c:pt>
                <c:pt idx="183">
                  <c:v>85.6</c:v>
                </c:pt>
                <c:pt idx="184">
                  <c:v>80.3</c:v>
                </c:pt>
                <c:pt idx="185">
                  <c:v>81.5</c:v>
                </c:pt>
                <c:pt idx="186">
                  <c:v>77</c:v>
                </c:pt>
                <c:pt idx="187">
                  <c:v>77.3</c:v>
                </c:pt>
                <c:pt idx="188">
                  <c:v>77.900000000000006</c:v>
                </c:pt>
                <c:pt idx="189">
                  <c:v>82.7</c:v>
                </c:pt>
                <c:pt idx="190">
                  <c:v>81.2</c:v>
                </c:pt>
                <c:pt idx="191">
                  <c:v>88.2</c:v>
                </c:pt>
                <c:pt idx="192">
                  <c:v>94.3</c:v>
                </c:pt>
                <c:pt idx="193">
                  <c:v>93.2</c:v>
                </c:pt>
                <c:pt idx="194">
                  <c:v>91.5</c:v>
                </c:pt>
                <c:pt idx="195">
                  <c:v>92.6</c:v>
                </c:pt>
                <c:pt idx="196">
                  <c:v>92.8</c:v>
                </c:pt>
                <c:pt idx="197">
                  <c:v>91.2</c:v>
                </c:pt>
                <c:pt idx="198">
                  <c:v>89</c:v>
                </c:pt>
                <c:pt idx="199">
                  <c:v>91.7</c:v>
                </c:pt>
                <c:pt idx="200">
                  <c:v>91.5</c:v>
                </c:pt>
                <c:pt idx="201">
                  <c:v>92.7</c:v>
                </c:pt>
                <c:pt idx="202">
                  <c:v>91.6</c:v>
                </c:pt>
                <c:pt idx="203">
                  <c:v>95.1</c:v>
                </c:pt>
                <c:pt idx="204">
                  <c:v>97.6</c:v>
                </c:pt>
                <c:pt idx="205">
                  <c:v>95.1</c:v>
                </c:pt>
                <c:pt idx="206">
                  <c:v>90.3</c:v>
                </c:pt>
                <c:pt idx="207">
                  <c:v>92.5</c:v>
                </c:pt>
                <c:pt idx="208">
                  <c:v>89.8</c:v>
                </c:pt>
                <c:pt idx="209">
                  <c:v>92.7</c:v>
                </c:pt>
                <c:pt idx="210">
                  <c:v>94.4</c:v>
                </c:pt>
                <c:pt idx="211">
                  <c:v>96.2</c:v>
                </c:pt>
                <c:pt idx="212">
                  <c:v>88.9</c:v>
                </c:pt>
                <c:pt idx="213">
                  <c:v>90.2</c:v>
                </c:pt>
                <c:pt idx="214">
                  <c:v>88.2</c:v>
                </c:pt>
                <c:pt idx="215">
                  <c:v>91</c:v>
                </c:pt>
                <c:pt idx="216">
                  <c:v>89.3</c:v>
                </c:pt>
                <c:pt idx="217">
                  <c:v>88.5</c:v>
                </c:pt>
                <c:pt idx="218">
                  <c:v>93.7</c:v>
                </c:pt>
                <c:pt idx="219">
                  <c:v>92.7</c:v>
                </c:pt>
                <c:pt idx="220">
                  <c:v>89.4</c:v>
                </c:pt>
                <c:pt idx="221">
                  <c:v>92.4</c:v>
                </c:pt>
                <c:pt idx="222">
                  <c:v>94.7</c:v>
                </c:pt>
                <c:pt idx="223">
                  <c:v>95.3</c:v>
                </c:pt>
                <c:pt idx="224">
                  <c:v>94.7</c:v>
                </c:pt>
                <c:pt idx="225">
                  <c:v>96.5</c:v>
                </c:pt>
                <c:pt idx="226">
                  <c:v>99.2</c:v>
                </c:pt>
                <c:pt idx="227">
                  <c:v>96.9</c:v>
                </c:pt>
                <c:pt idx="228">
                  <c:v>97.4</c:v>
                </c:pt>
                <c:pt idx="229">
                  <c:v>99.7</c:v>
                </c:pt>
                <c:pt idx="230">
                  <c:v>100</c:v>
                </c:pt>
                <c:pt idx="231">
                  <c:v>101.4</c:v>
                </c:pt>
                <c:pt idx="232">
                  <c:v>103.2</c:v>
                </c:pt>
                <c:pt idx="233">
                  <c:v>104.5</c:v>
                </c:pt>
                <c:pt idx="234">
                  <c:v>107.1</c:v>
                </c:pt>
                <c:pt idx="235">
                  <c:v>104.4</c:v>
                </c:pt>
                <c:pt idx="236">
                  <c:v>106</c:v>
                </c:pt>
                <c:pt idx="237">
                  <c:v>105.6</c:v>
                </c:pt>
                <c:pt idx="238">
                  <c:v>107.2</c:v>
                </c:pt>
                <c:pt idx="239">
                  <c:v>102.1</c:v>
                </c:pt>
                <c:pt idx="240">
                  <c:v>106.6</c:v>
                </c:pt>
                <c:pt idx="241">
                  <c:v>110.4</c:v>
                </c:pt>
                <c:pt idx="242">
                  <c:v>106.5</c:v>
                </c:pt>
                <c:pt idx="243">
                  <c:v>108.7</c:v>
                </c:pt>
                <c:pt idx="244">
                  <c:v>106.5</c:v>
                </c:pt>
                <c:pt idx="245">
                  <c:v>105.6</c:v>
                </c:pt>
                <c:pt idx="246">
                  <c:v>105.2</c:v>
                </c:pt>
                <c:pt idx="247">
                  <c:v>104.4</c:v>
                </c:pt>
                <c:pt idx="248">
                  <c:v>100.9</c:v>
                </c:pt>
                <c:pt idx="249">
                  <c:v>97.4</c:v>
                </c:pt>
                <c:pt idx="250">
                  <c:v>102.7</c:v>
                </c:pt>
                <c:pt idx="251">
                  <c:v>100.5</c:v>
                </c:pt>
                <c:pt idx="252">
                  <c:v>103.9</c:v>
                </c:pt>
                <c:pt idx="253">
                  <c:v>108.1</c:v>
                </c:pt>
                <c:pt idx="254">
                  <c:v>105.7</c:v>
                </c:pt>
                <c:pt idx="255">
                  <c:v>104.6</c:v>
                </c:pt>
                <c:pt idx="256">
                  <c:v>106.8</c:v>
                </c:pt>
                <c:pt idx="257">
                  <c:v>107.3</c:v>
                </c:pt>
                <c:pt idx="258">
                  <c:v>106</c:v>
                </c:pt>
                <c:pt idx="259">
                  <c:v>104.5</c:v>
                </c:pt>
                <c:pt idx="260">
                  <c:v>107.2</c:v>
                </c:pt>
                <c:pt idx="261">
                  <c:v>103.2</c:v>
                </c:pt>
                <c:pt idx="262">
                  <c:v>107.2</c:v>
                </c:pt>
                <c:pt idx="263">
                  <c:v>105.4</c:v>
                </c:pt>
                <c:pt idx="264">
                  <c:v>112</c:v>
                </c:pt>
                <c:pt idx="265">
                  <c:v>111.3</c:v>
                </c:pt>
                <c:pt idx="266">
                  <c:v>107.1</c:v>
                </c:pt>
                <c:pt idx="267">
                  <c:v>109.2</c:v>
                </c:pt>
                <c:pt idx="268">
                  <c:v>110.7</c:v>
                </c:pt>
                <c:pt idx="269">
                  <c:v>106.4</c:v>
                </c:pt>
                <c:pt idx="270">
                  <c:v>108.3</c:v>
                </c:pt>
                <c:pt idx="271">
                  <c:v>107.3</c:v>
                </c:pt>
                <c:pt idx="272">
                  <c:v>106.8</c:v>
                </c:pt>
                <c:pt idx="273">
                  <c:v>105.8</c:v>
                </c:pt>
                <c:pt idx="274">
                  <c:v>107.6</c:v>
                </c:pt>
                <c:pt idx="275">
                  <c:v>98.4</c:v>
                </c:pt>
                <c:pt idx="276">
                  <c:v>94.7</c:v>
                </c:pt>
                <c:pt idx="277">
                  <c:v>90.6</c:v>
                </c:pt>
                <c:pt idx="278">
                  <c:v>91.5</c:v>
                </c:pt>
                <c:pt idx="279">
                  <c:v>88.4</c:v>
                </c:pt>
                <c:pt idx="280">
                  <c:v>92</c:v>
                </c:pt>
                <c:pt idx="281">
                  <c:v>92.6</c:v>
                </c:pt>
                <c:pt idx="282">
                  <c:v>92.4</c:v>
                </c:pt>
                <c:pt idx="283">
                  <c:v>91.5</c:v>
                </c:pt>
                <c:pt idx="284">
                  <c:v>81.8</c:v>
                </c:pt>
                <c:pt idx="285">
                  <c:v>82.7</c:v>
                </c:pt>
                <c:pt idx="286">
                  <c:v>83.9</c:v>
                </c:pt>
                <c:pt idx="287">
                  <c:v>88.8</c:v>
                </c:pt>
                <c:pt idx="288">
                  <c:v>93</c:v>
                </c:pt>
                <c:pt idx="289">
                  <c:v>90.7</c:v>
                </c:pt>
                <c:pt idx="290">
                  <c:v>95.7</c:v>
                </c:pt>
                <c:pt idx="291">
                  <c:v>93</c:v>
                </c:pt>
                <c:pt idx="292">
                  <c:v>96.9</c:v>
                </c:pt>
                <c:pt idx="293">
                  <c:v>92.4</c:v>
                </c:pt>
                <c:pt idx="294">
                  <c:v>88.1</c:v>
                </c:pt>
                <c:pt idx="295">
                  <c:v>87.6</c:v>
                </c:pt>
                <c:pt idx="296">
                  <c:v>86.1</c:v>
                </c:pt>
                <c:pt idx="297">
                  <c:v>80.599999999999994</c:v>
                </c:pt>
                <c:pt idx="298">
                  <c:v>84.2</c:v>
                </c:pt>
                <c:pt idx="299">
                  <c:v>86.7</c:v>
                </c:pt>
                <c:pt idx="300">
                  <c:v>82.4</c:v>
                </c:pt>
                <c:pt idx="301">
                  <c:v>79.900000000000006</c:v>
                </c:pt>
                <c:pt idx="302">
                  <c:v>77.599999999999994</c:v>
                </c:pt>
                <c:pt idx="303">
                  <c:v>86</c:v>
                </c:pt>
                <c:pt idx="304">
                  <c:v>92.1</c:v>
                </c:pt>
                <c:pt idx="305">
                  <c:v>89.7</c:v>
                </c:pt>
                <c:pt idx="306">
                  <c:v>90.9</c:v>
                </c:pt>
                <c:pt idx="307">
                  <c:v>89.3</c:v>
                </c:pt>
                <c:pt idx="308">
                  <c:v>87.7</c:v>
                </c:pt>
                <c:pt idx="309">
                  <c:v>89.6</c:v>
                </c:pt>
                <c:pt idx="310">
                  <c:v>93.7</c:v>
                </c:pt>
                <c:pt idx="311">
                  <c:v>92.6</c:v>
                </c:pt>
                <c:pt idx="312">
                  <c:v>103.8</c:v>
                </c:pt>
                <c:pt idx="313">
                  <c:v>94.4</c:v>
                </c:pt>
                <c:pt idx="314">
                  <c:v>95.8</c:v>
                </c:pt>
                <c:pt idx="315">
                  <c:v>94.2</c:v>
                </c:pt>
                <c:pt idx="316">
                  <c:v>90.2</c:v>
                </c:pt>
                <c:pt idx="317">
                  <c:v>95.6</c:v>
                </c:pt>
                <c:pt idx="318">
                  <c:v>96.7</c:v>
                </c:pt>
                <c:pt idx="319">
                  <c:v>95.9</c:v>
                </c:pt>
                <c:pt idx="320">
                  <c:v>94.2</c:v>
                </c:pt>
                <c:pt idx="321">
                  <c:v>91.7</c:v>
                </c:pt>
                <c:pt idx="322">
                  <c:v>92.8</c:v>
                </c:pt>
                <c:pt idx="323">
                  <c:v>97.1</c:v>
                </c:pt>
                <c:pt idx="324">
                  <c:v>95.5</c:v>
                </c:pt>
                <c:pt idx="325">
                  <c:v>94.1</c:v>
                </c:pt>
                <c:pt idx="326">
                  <c:v>92.6</c:v>
                </c:pt>
                <c:pt idx="327">
                  <c:v>87.7</c:v>
                </c:pt>
                <c:pt idx="328">
                  <c:v>86.9</c:v>
                </c:pt>
                <c:pt idx="329">
                  <c:v>96</c:v>
                </c:pt>
                <c:pt idx="330">
                  <c:v>96.5</c:v>
                </c:pt>
                <c:pt idx="331">
                  <c:v>89.1</c:v>
                </c:pt>
                <c:pt idx="332">
                  <c:v>76.900000000000006</c:v>
                </c:pt>
                <c:pt idx="333">
                  <c:v>74.2</c:v>
                </c:pt>
                <c:pt idx="334">
                  <c:v>81.599999999999994</c:v>
                </c:pt>
                <c:pt idx="335">
                  <c:v>91.5</c:v>
                </c:pt>
                <c:pt idx="336">
                  <c:v>91.2</c:v>
                </c:pt>
                <c:pt idx="337">
                  <c:v>86.7</c:v>
                </c:pt>
                <c:pt idx="338">
                  <c:v>88.9</c:v>
                </c:pt>
                <c:pt idx="339">
                  <c:v>87.4</c:v>
                </c:pt>
                <c:pt idx="340">
                  <c:v>79.099999999999994</c:v>
                </c:pt>
                <c:pt idx="341">
                  <c:v>84.9</c:v>
                </c:pt>
                <c:pt idx="342">
                  <c:v>84.7</c:v>
                </c:pt>
                <c:pt idx="343">
                  <c:v>82</c:v>
                </c:pt>
                <c:pt idx="344">
                  <c:v>85.4</c:v>
                </c:pt>
                <c:pt idx="345">
                  <c:v>93.6</c:v>
                </c:pt>
                <c:pt idx="346">
                  <c:v>92.1</c:v>
                </c:pt>
                <c:pt idx="347">
                  <c:v>91.7</c:v>
                </c:pt>
                <c:pt idx="348">
                  <c:v>96.9</c:v>
                </c:pt>
                <c:pt idx="349">
                  <c:v>91.3</c:v>
                </c:pt>
                <c:pt idx="350">
                  <c:v>88.4</c:v>
                </c:pt>
                <c:pt idx="351">
                  <c:v>87.1</c:v>
                </c:pt>
                <c:pt idx="352">
                  <c:v>88.3</c:v>
                </c:pt>
                <c:pt idx="353">
                  <c:v>85.3</c:v>
                </c:pt>
                <c:pt idx="354">
                  <c:v>90.4</c:v>
                </c:pt>
                <c:pt idx="355">
                  <c:v>83.4</c:v>
                </c:pt>
                <c:pt idx="356">
                  <c:v>83.4</c:v>
                </c:pt>
                <c:pt idx="357">
                  <c:v>80.900000000000006</c:v>
                </c:pt>
                <c:pt idx="358">
                  <c:v>76.099999999999994</c:v>
                </c:pt>
                <c:pt idx="359">
                  <c:v>75.5</c:v>
                </c:pt>
                <c:pt idx="360">
                  <c:v>78.400000000000006</c:v>
                </c:pt>
                <c:pt idx="361">
                  <c:v>70.8</c:v>
                </c:pt>
                <c:pt idx="362">
                  <c:v>69.5</c:v>
                </c:pt>
                <c:pt idx="363">
                  <c:v>62.6</c:v>
                </c:pt>
                <c:pt idx="364">
                  <c:v>59.8</c:v>
                </c:pt>
                <c:pt idx="365">
                  <c:v>56.4</c:v>
                </c:pt>
                <c:pt idx="366">
                  <c:v>61.2</c:v>
                </c:pt>
                <c:pt idx="367">
                  <c:v>63</c:v>
                </c:pt>
                <c:pt idx="368">
                  <c:v>70.3</c:v>
                </c:pt>
                <c:pt idx="369">
                  <c:v>57.6</c:v>
                </c:pt>
                <c:pt idx="370">
                  <c:v>55.3</c:v>
                </c:pt>
                <c:pt idx="371">
                  <c:v>60.1</c:v>
                </c:pt>
                <c:pt idx="372">
                  <c:v>61.2</c:v>
                </c:pt>
                <c:pt idx="373">
                  <c:v>56.3</c:v>
                </c:pt>
                <c:pt idx="374">
                  <c:v>57.3</c:v>
                </c:pt>
                <c:pt idx="375">
                  <c:v>65.099999999999994</c:v>
                </c:pt>
                <c:pt idx="376">
                  <c:v>68.7</c:v>
                </c:pt>
                <c:pt idx="377">
                  <c:v>70.8</c:v>
                </c:pt>
                <c:pt idx="378">
                  <c:v>66</c:v>
                </c:pt>
                <c:pt idx="379">
                  <c:v>65.7</c:v>
                </c:pt>
                <c:pt idx="380">
                  <c:v>73.5</c:v>
                </c:pt>
                <c:pt idx="381">
                  <c:v>70.599999999999994</c:v>
                </c:pt>
                <c:pt idx="382">
                  <c:v>67.400000000000006</c:v>
                </c:pt>
                <c:pt idx="383">
                  <c:v>72.5</c:v>
                </c:pt>
                <c:pt idx="384">
                  <c:v>74.400000000000006</c:v>
                </c:pt>
                <c:pt idx="385">
                  <c:v>73.599999999999994</c:v>
                </c:pt>
                <c:pt idx="386">
                  <c:v>73.599999999999994</c:v>
                </c:pt>
                <c:pt idx="387">
                  <c:v>72.2</c:v>
                </c:pt>
                <c:pt idx="388">
                  <c:v>73.599999999999994</c:v>
                </c:pt>
                <c:pt idx="389">
                  <c:v>76</c:v>
                </c:pt>
                <c:pt idx="390">
                  <c:v>67.8</c:v>
                </c:pt>
                <c:pt idx="391">
                  <c:v>68.900000000000006</c:v>
                </c:pt>
                <c:pt idx="392">
                  <c:v>68.2</c:v>
                </c:pt>
                <c:pt idx="393">
                  <c:v>67.7</c:v>
                </c:pt>
                <c:pt idx="394">
                  <c:v>71.599999999999994</c:v>
                </c:pt>
                <c:pt idx="395">
                  <c:v>74.5</c:v>
                </c:pt>
                <c:pt idx="396">
                  <c:v>74.2</c:v>
                </c:pt>
                <c:pt idx="397">
                  <c:v>77.5</c:v>
                </c:pt>
                <c:pt idx="398">
                  <c:v>67.5</c:v>
                </c:pt>
                <c:pt idx="399">
                  <c:v>69.8</c:v>
                </c:pt>
                <c:pt idx="400">
                  <c:v>74.3</c:v>
                </c:pt>
                <c:pt idx="401">
                  <c:v>71.5</c:v>
                </c:pt>
                <c:pt idx="402">
                  <c:v>63.7</c:v>
                </c:pt>
                <c:pt idx="403">
                  <c:v>55.8</c:v>
                </c:pt>
                <c:pt idx="404">
                  <c:v>59.5</c:v>
                </c:pt>
                <c:pt idx="405">
                  <c:v>60.8</c:v>
                </c:pt>
                <c:pt idx="406">
                  <c:v>63.7</c:v>
                </c:pt>
                <c:pt idx="407">
                  <c:v>69.900000000000006</c:v>
                </c:pt>
                <c:pt idx="408">
                  <c:v>75</c:v>
                </c:pt>
                <c:pt idx="409">
                  <c:v>75.3</c:v>
                </c:pt>
                <c:pt idx="410">
                  <c:v>76.2</c:v>
                </c:pt>
                <c:pt idx="411">
                  <c:v>76.400000000000006</c:v>
                </c:pt>
                <c:pt idx="412">
                  <c:v>79.3</c:v>
                </c:pt>
                <c:pt idx="413">
                  <c:v>73.2</c:v>
                </c:pt>
                <c:pt idx="414">
                  <c:v>72.3</c:v>
                </c:pt>
                <c:pt idx="415">
                  <c:v>74.3</c:v>
                </c:pt>
                <c:pt idx="416">
                  <c:v>78.3</c:v>
                </c:pt>
                <c:pt idx="417">
                  <c:v>82.6</c:v>
                </c:pt>
                <c:pt idx="418">
                  <c:v>82.7</c:v>
                </c:pt>
                <c:pt idx="419">
                  <c:v>72.900000000000006</c:v>
                </c:pt>
                <c:pt idx="420">
                  <c:v>73.8</c:v>
                </c:pt>
                <c:pt idx="421">
                  <c:v>77.599999999999994</c:v>
                </c:pt>
                <c:pt idx="422">
                  <c:v>78.599999999999994</c:v>
                </c:pt>
                <c:pt idx="423">
                  <c:v>76.400000000000006</c:v>
                </c:pt>
                <c:pt idx="424">
                  <c:v>84.5</c:v>
                </c:pt>
                <c:pt idx="425">
                  <c:v>84.1</c:v>
                </c:pt>
                <c:pt idx="426">
                  <c:v>85.1</c:v>
                </c:pt>
                <c:pt idx="427">
                  <c:v>82.1</c:v>
                </c:pt>
                <c:pt idx="428">
                  <c:v>77.5</c:v>
                </c:pt>
                <c:pt idx="429">
                  <c:v>73.2</c:v>
                </c:pt>
                <c:pt idx="430">
                  <c:v>75.099999999999994</c:v>
                </c:pt>
                <c:pt idx="431">
                  <c:v>82.5</c:v>
                </c:pt>
                <c:pt idx="432">
                  <c:v>81.2</c:v>
                </c:pt>
                <c:pt idx="433">
                  <c:v>81.599999999999994</c:v>
                </c:pt>
                <c:pt idx="434">
                  <c:v>80</c:v>
                </c:pt>
                <c:pt idx="435">
                  <c:v>84.1</c:v>
                </c:pt>
                <c:pt idx="436">
                  <c:v>81.900000000000006</c:v>
                </c:pt>
                <c:pt idx="437">
                  <c:v>82.5</c:v>
                </c:pt>
                <c:pt idx="438">
                  <c:v>81.8</c:v>
                </c:pt>
                <c:pt idx="439">
                  <c:v>82.5</c:v>
                </c:pt>
                <c:pt idx="440">
                  <c:v>84.6</c:v>
                </c:pt>
                <c:pt idx="441">
                  <c:v>86.9</c:v>
                </c:pt>
                <c:pt idx="442">
                  <c:v>88.8</c:v>
                </c:pt>
                <c:pt idx="443">
                  <c:v>93.6</c:v>
                </c:pt>
                <c:pt idx="444">
                  <c:v>98.1</c:v>
                </c:pt>
                <c:pt idx="445">
                  <c:v>95.4</c:v>
                </c:pt>
                <c:pt idx="446">
                  <c:v>93</c:v>
                </c:pt>
                <c:pt idx="447">
                  <c:v>95.9</c:v>
                </c:pt>
                <c:pt idx="448">
                  <c:v>90.7</c:v>
                </c:pt>
                <c:pt idx="449">
                  <c:v>96.1</c:v>
                </c:pt>
                <c:pt idx="450">
                  <c:v>93.1</c:v>
                </c:pt>
                <c:pt idx="451">
                  <c:v>91.9</c:v>
                </c:pt>
                <c:pt idx="452">
                  <c:v>87.2</c:v>
                </c:pt>
                <c:pt idx="453">
                  <c:v>90</c:v>
                </c:pt>
                <c:pt idx="454">
                  <c:v>91.3</c:v>
                </c:pt>
                <c:pt idx="455">
                  <c:v>92.6</c:v>
                </c:pt>
                <c:pt idx="456">
                  <c:v>92</c:v>
                </c:pt>
                <c:pt idx="457">
                  <c:v>91.7</c:v>
                </c:pt>
                <c:pt idx="458">
                  <c:v>91</c:v>
                </c:pt>
                <c:pt idx="459">
                  <c:v>89</c:v>
                </c:pt>
                <c:pt idx="460">
                  <c:v>94.7</c:v>
                </c:pt>
                <c:pt idx="461">
                  <c:v>93.5</c:v>
                </c:pt>
                <c:pt idx="462">
                  <c:v>90</c:v>
                </c:pt>
                <c:pt idx="463">
                  <c:v>89.8</c:v>
                </c:pt>
                <c:pt idx="464">
                  <c:v>91.2</c:v>
                </c:pt>
                <c:pt idx="465">
                  <c:v>87.2</c:v>
                </c:pt>
                <c:pt idx="466">
                  <c:v>93.8</c:v>
                </c:pt>
                <c:pt idx="467">
                  <c:v>98.2</c:v>
                </c:pt>
                <c:pt idx="468">
                  <c:v>98.5</c:v>
                </c:pt>
                <c:pt idx="469">
                  <c:v>96.3</c:v>
                </c:pt>
                <c:pt idx="470">
                  <c:v>96.9</c:v>
                </c:pt>
                <c:pt idx="471">
                  <c:v>97</c:v>
                </c:pt>
                <c:pt idx="472">
                  <c:v>97.1</c:v>
                </c:pt>
                <c:pt idx="473">
                  <c:v>95</c:v>
                </c:pt>
                <c:pt idx="474">
                  <c:v>93.4</c:v>
                </c:pt>
                <c:pt idx="475">
                  <c:v>96.8</c:v>
                </c:pt>
                <c:pt idx="476">
                  <c:v>95.1</c:v>
                </c:pt>
                <c:pt idx="477">
                  <c:v>100.7</c:v>
                </c:pt>
                <c:pt idx="478">
                  <c:v>98.5</c:v>
                </c:pt>
                <c:pt idx="479">
                  <c:v>95.9</c:v>
                </c:pt>
                <c:pt idx="480">
                  <c:v>95.7</c:v>
                </c:pt>
                <c:pt idx="481">
                  <c:v>99.7</c:v>
                </c:pt>
                <c:pt idx="482">
                  <c:v>101.4</c:v>
                </c:pt>
                <c:pt idx="483">
                  <c:v>98.8</c:v>
                </c:pt>
                <c:pt idx="484">
                  <c:v>98</c:v>
                </c:pt>
                <c:pt idx="485">
                  <c:v>98.2</c:v>
                </c:pt>
                <c:pt idx="486">
                  <c:v>97.9</c:v>
                </c:pt>
                <c:pt idx="487">
                  <c:v>96.2</c:v>
                </c:pt>
                <c:pt idx="488">
                  <c:v>100.1</c:v>
                </c:pt>
                <c:pt idx="489">
                  <c:v>98.6</c:v>
                </c:pt>
                <c:pt idx="490">
                  <c:v>97.5</c:v>
                </c:pt>
                <c:pt idx="491">
                  <c:v>98.3</c:v>
                </c:pt>
                <c:pt idx="492">
                  <c:v>91.2</c:v>
                </c:pt>
                <c:pt idx="493">
                  <c:v>93.8</c:v>
                </c:pt>
                <c:pt idx="494">
                  <c:v>98.4</c:v>
                </c:pt>
                <c:pt idx="495">
                  <c:v>97.2</c:v>
                </c:pt>
                <c:pt idx="496">
                  <c:v>100</c:v>
                </c:pt>
                <c:pt idx="497">
                  <c:v>98.2</c:v>
                </c:pt>
                <c:pt idx="498">
                  <c:v>98.4</c:v>
                </c:pt>
                <c:pt idx="499">
                  <c:v>89.8</c:v>
                </c:pt>
                <c:pt idx="500">
                  <c:v>93.2</c:v>
                </c:pt>
                <c:pt idx="501">
                  <c:v>95.5</c:v>
                </c:pt>
                <c:pt idx="502">
                  <c:v>96.8</c:v>
                </c:pt>
                <c:pt idx="503">
                  <c:v>99.3</c:v>
                </c:pt>
                <c:pt idx="504">
                  <c:v>99.8</c:v>
                </c:pt>
                <c:pt idx="505">
                  <c:v>101</c:v>
                </c:pt>
                <c:pt idx="506">
                  <c:v>89.1</c:v>
                </c:pt>
                <c:pt idx="507">
                  <c:v>71.8</c:v>
                </c:pt>
                <c:pt idx="508">
                  <c:v>72.3</c:v>
                </c:pt>
                <c:pt idx="509">
                  <c:v>78.099999999999994</c:v>
                </c:pt>
                <c:pt idx="510">
                  <c:v>72.5</c:v>
                </c:pt>
                <c:pt idx="511">
                  <c:v>74.099999999999994</c:v>
                </c:pt>
                <c:pt idx="512">
                  <c:v>80.400000000000006</c:v>
                </c:pt>
                <c:pt idx="513">
                  <c:v>81.8</c:v>
                </c:pt>
                <c:pt idx="514">
                  <c:v>76.900000000000006</c:v>
                </c:pt>
                <c:pt idx="515">
                  <c:v>80.7</c:v>
                </c:pt>
                <c:pt idx="516">
                  <c:v>79</c:v>
                </c:pt>
                <c:pt idx="517">
                  <c:v>76.8</c:v>
                </c:pt>
                <c:pt idx="518">
                  <c:v>84.9</c:v>
                </c:pt>
                <c:pt idx="519">
                  <c:v>88.3</c:v>
                </c:pt>
                <c:pt idx="520">
                  <c:v>82.9</c:v>
                </c:pt>
                <c:pt idx="521">
                  <c:v>85.5</c:v>
                </c:pt>
                <c:pt idx="522">
                  <c:v>81.2</c:v>
                </c:pt>
                <c:pt idx="523">
                  <c:v>70.3</c:v>
                </c:pt>
                <c:pt idx="524">
                  <c:v>72.8</c:v>
                </c:pt>
                <c:pt idx="525">
                  <c:v>71.7</c:v>
                </c:pt>
                <c:pt idx="526">
                  <c:v>67.400000000000006</c:v>
                </c:pt>
                <c:pt idx="527">
                  <c:v>70.599999999999994</c:v>
                </c:pt>
                <c:pt idx="528">
                  <c:v>67.2</c:v>
                </c:pt>
                <c:pt idx="529">
                  <c:v>62.8</c:v>
                </c:pt>
                <c:pt idx="530">
                  <c:v>59.4</c:v>
                </c:pt>
                <c:pt idx="531">
                  <c:v>65.2</c:v>
                </c:pt>
                <c:pt idx="532">
                  <c:v>58.4</c:v>
                </c:pt>
                <c:pt idx="533">
                  <c:v>50</c:v>
                </c:pt>
                <c:pt idx="534">
                  <c:v>51.5</c:v>
                </c:pt>
                <c:pt idx="535">
                  <c:v>58.2</c:v>
                </c:pt>
                <c:pt idx="536">
                  <c:v>58.6</c:v>
                </c:pt>
                <c:pt idx="537">
                  <c:v>59.9</c:v>
                </c:pt>
                <c:pt idx="538">
                  <c:v>56.7</c:v>
                </c:pt>
                <c:pt idx="539">
                  <c:v>59.8</c:v>
                </c:pt>
                <c:pt idx="540">
                  <c:v>64.900000000000006</c:v>
                </c:pt>
                <c:pt idx="541">
                  <c:v>66.900000000000006</c:v>
                </c:pt>
                <c:pt idx="542">
                  <c:v>62</c:v>
                </c:pt>
                <c:pt idx="543">
                  <c:v>63.7</c:v>
                </c:pt>
                <c:pt idx="544">
                  <c:v>59</c:v>
                </c:pt>
                <c:pt idx="545">
                  <c:v>64.2</c:v>
                </c:pt>
                <c:pt idx="546">
                  <c:v>71.5</c:v>
                </c:pt>
                <c:pt idx="547">
                  <c:v>69.400000000000006</c:v>
                </c:pt>
                <c:pt idx="548">
                  <c:v>67.900000000000006</c:v>
                </c:pt>
                <c:pt idx="549">
                  <c:v>63.8</c:v>
                </c:pt>
                <c:pt idx="550">
                  <c:v>61.3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BE-4584-B97D-3026C6792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4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89205334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964666240"/>
        <c:crosses val="max"/>
        <c:crossBetween val="between"/>
      </c:valAx>
      <c:dateAx>
        <c:axId val="964666240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892053344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3721311475409838E-2"/>
          <c:y val="5.1611674174174171E-2"/>
          <c:w val="0.87462625227686708"/>
          <c:h val="0.83085116366366363"/>
        </c:manualLayout>
      </c:layout>
      <c:scatterChart>
        <c:scatterStyle val="lineMarker"/>
        <c:varyColors val="0"/>
        <c:ser>
          <c:idx val="2"/>
          <c:order val="0"/>
          <c:tx>
            <c:strRef>
              <c:f>'US Budget (Annual Data)'!$B$2</c:f>
              <c:strCache>
                <c:ptCount val="1"/>
                <c:pt idx="0">
                  <c:v>Government Deficit as % to GDP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5"/>
            <c:spPr>
              <a:solidFill>
                <a:schemeClr val="tx2"/>
              </a:solidFill>
              <a:ln w="44450">
                <a:solidFill>
                  <a:schemeClr val="tx2"/>
                </a:solidFill>
              </a:ln>
              <a:effectLst/>
            </c:spPr>
          </c:marker>
          <c:dPt>
            <c:idx val="70"/>
            <c:marker>
              <c:symbol val="circle"/>
              <c:size val="5"/>
              <c:spPr>
                <a:solidFill>
                  <a:srgbClr val="FF0000"/>
                </a:solidFill>
                <a:ln w="4445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9-BBFA-4932-9E87-70425C368D0D}"/>
              </c:ext>
            </c:extLst>
          </c:dPt>
          <c:dPt>
            <c:idx val="71"/>
            <c:marker>
              <c:symbol val="circle"/>
              <c:size val="5"/>
              <c:spPr>
                <a:solidFill>
                  <a:srgbClr val="FF0000"/>
                </a:solidFill>
                <a:ln w="4445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A-BBFA-4932-9E87-70425C368D0D}"/>
              </c:ext>
            </c:extLst>
          </c:dPt>
          <c:dPt>
            <c:idx val="72"/>
            <c:marker>
              <c:symbol val="circle"/>
              <c:size val="5"/>
              <c:spPr>
                <a:solidFill>
                  <a:srgbClr val="FF0000"/>
                </a:solidFill>
                <a:ln w="4445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4B-BBFA-4932-9E87-70425C368D0D}"/>
              </c:ext>
            </c:extLst>
          </c:dPt>
          <c:dLbls>
            <c:dLbl>
              <c:idx val="0"/>
              <c:tx>
                <c:rich>
                  <a:bodyPr/>
                  <a:lstStyle/>
                  <a:p>
                    <a:fld id="{61213118-C1C2-4B12-9457-68FCD6383D07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BBFA-4932-9E87-70425C368D0D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DFCEDCCD-5C4A-4BA9-A691-D19B2EE3617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BBFA-4932-9E87-70425C368D0D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CA56039-CD2B-4860-A1F1-80CA5058AD1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BBFA-4932-9E87-70425C368D0D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85BC7E56-1873-45BC-AAB2-583C76DC980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BBFA-4932-9E87-70425C368D0D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F12C24DA-9312-46FA-A5B6-6C701F62BE9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BBFA-4932-9E87-70425C368D0D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EF8ACD5B-7784-4418-942D-FFCDCBAF12B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BBFA-4932-9E87-70425C368D0D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E37E99EC-426C-4DF3-84F6-98EBE613522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BBFA-4932-9E87-70425C368D0D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730D386E-7DAB-4DC6-8FFB-A122B222BBB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BBFA-4932-9E87-70425C368D0D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27F43DF-ECD7-45AE-9E5F-893EE116464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B-BBFA-4932-9E87-70425C368D0D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38572E3-289C-4DDE-9EAA-A75D809836D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C-BBFA-4932-9E87-70425C368D0D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8657EF6B-C61A-4D61-A936-F51ABEC65C2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D-BBFA-4932-9E87-70425C368D0D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E6149FA7-5704-4676-9700-255B9303036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E-BBFA-4932-9E87-70425C368D0D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CB52A307-F727-4D7C-8216-AC942D123D5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F-BBFA-4932-9E87-70425C368D0D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4F6C3B67-FDCA-4406-9BF3-FCFDBB1D212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0-BBFA-4932-9E87-70425C368D0D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48353112-D123-4139-AE45-49B4DDF9F31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1-BBFA-4932-9E87-70425C368D0D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BDED4802-4AEA-4506-A772-80AE4057C60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2-BBFA-4932-9E87-70425C368D0D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F212BDD1-4C76-4BDA-A6C3-8C044ACECDF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3-BBFA-4932-9E87-70425C368D0D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1FA93A7-537F-43BB-96A9-9A26D58D11A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4-BBFA-4932-9E87-70425C368D0D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7BA9CFC6-33A9-4EB5-9935-585D0E043FA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5-BBFA-4932-9E87-70425C368D0D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07C20792-6B34-4D21-B23A-C14460CF6A5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6-BBFA-4932-9E87-70425C368D0D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A8F9C617-FDDE-4F92-A5D8-1C9DD7EA7E4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7-BBFA-4932-9E87-70425C368D0D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F52515EE-BB31-4E2D-AE49-54ECEEA59263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8-BBFA-4932-9E87-70425C368D0D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E9100C6B-89A2-4623-821C-36B79062B31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9-BBFA-4932-9E87-70425C368D0D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F7DF0FA2-99FB-4F3A-A325-9BF7C2DA72AC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A-BBFA-4932-9E87-70425C368D0D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0A5C2BB4-AA87-42BB-9960-9FBCB5FCAD3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B-BBFA-4932-9E87-70425C368D0D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CF2720D9-F956-40E0-B2B6-1E32F32ECCE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C-BBFA-4932-9E87-70425C368D0D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529EC57C-5C15-4F84-8EE8-2AD1F096F98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D-BBFA-4932-9E87-70425C368D0D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5E83D533-7AFB-48A2-BAB5-53220637B35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E-BBFA-4932-9E87-70425C368D0D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A705AF6A-3CD0-4DA9-93BA-2A2BF948BCD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1F-BBFA-4932-9E87-70425C368D0D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4D63EC27-7D3A-445D-B94B-8159F59FDC5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0-BBFA-4932-9E87-70425C368D0D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C13B3F64-AD66-40C4-A778-0B208097A41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1-BBFA-4932-9E87-70425C368D0D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E76424EA-D218-44B0-81B0-EB81B02F800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2-BBFA-4932-9E87-70425C368D0D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6ED1F6A8-FD7A-44BE-915D-30B07C814FF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3-BBFA-4932-9E87-70425C368D0D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979764A7-C29E-4349-A152-158A661E84DF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4-BBFA-4932-9E87-70425C368D0D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DDE98143-2F13-4627-8F02-A2C119B7B24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5-BBFA-4932-9E87-70425C368D0D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D51C74AE-41B5-4EFB-91A8-D0D179C265E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6-BBFA-4932-9E87-70425C368D0D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F822CCA4-B057-4C5F-BB10-35E7AD6B486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7-BBFA-4932-9E87-70425C368D0D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13BE5611-39C5-4731-90F3-6A80B169550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8-BBFA-4932-9E87-70425C368D0D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CC4570E8-2E9A-458C-8FDB-ADAC7E1AFF9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9-BBFA-4932-9E87-70425C368D0D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BB622098-F7CA-4258-87E0-E89F86BF380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A-BBFA-4932-9E87-70425C368D0D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01B4749B-B2F3-49FC-BCC9-957EA44664F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B-BBFA-4932-9E87-70425C368D0D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F0838C74-CCF2-453E-A9EE-E5A3D1F1CDE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C-BBFA-4932-9E87-70425C368D0D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826549B6-B260-4B47-AECA-CC66AF6687C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D-BBFA-4932-9E87-70425C368D0D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0A408839-22C3-46BE-962C-7E71BC38BF79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E-BBFA-4932-9E87-70425C368D0D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3196F635-52BF-4662-BA0B-7A693CFAD08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2F-BBFA-4932-9E87-70425C368D0D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D430AAC6-45C3-4B4A-976B-A82C2C105C2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0-BBFA-4932-9E87-70425C368D0D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CAFA3AE4-6C19-4B66-9E1C-9B3405003AA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1-BBFA-4932-9E87-70425C368D0D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CDB11232-F7E9-4664-8702-071D45BA87A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2-BBFA-4932-9E87-70425C368D0D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FD2BF8DA-532A-4419-8DFA-11D674D930D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3-BBFA-4932-9E87-70425C368D0D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B09384DB-25D6-4D87-9C4C-5C96482CA040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4-BBFA-4932-9E87-70425C368D0D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2DFF6F1C-14F6-43A2-BC21-9857034B5D7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5-BBFA-4932-9E87-70425C368D0D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70A953C1-0A1A-4287-97B3-02FDF4744FD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6-BBFA-4932-9E87-70425C368D0D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BD5AAE7A-3218-463B-914A-EFD7F2F0400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7-BBFA-4932-9E87-70425C368D0D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FBAE6658-676C-44B3-A70D-DCADAB2767C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8-BBFA-4932-9E87-70425C368D0D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87A51F67-DA27-4F5E-9FC2-95ED67E631E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9-BBFA-4932-9E87-70425C368D0D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4B4A2E94-1453-4B60-81B3-3729758E3B45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A-BBFA-4932-9E87-70425C368D0D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0A5CF85C-C5C4-497A-A012-5C088B6F3B2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B-BBFA-4932-9E87-70425C368D0D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295D3A7C-6DF3-41DD-ACE6-B6B81997677E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C-BBFA-4932-9E87-70425C368D0D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B6E98723-7906-4529-B483-0EE9A594779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D-BBFA-4932-9E87-70425C368D0D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F4B0728B-8257-484B-BC52-4FD293AE2AC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E-BBFA-4932-9E87-70425C368D0D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35970592-28CB-4B25-ACBF-599855E9938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3F-BBFA-4932-9E87-70425C368D0D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827F81FF-F7E9-41AE-B5C4-622AB82FE28A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0-BBFA-4932-9E87-70425C368D0D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AC3BC6AD-DA5A-46D5-B837-4AFFBB40BDA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1-BBFA-4932-9E87-70425C368D0D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5C60F00F-D17C-4075-9BE6-33DD898F26E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2-BBFA-4932-9E87-70425C368D0D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6ADA6699-CE83-4841-B4CB-8E589457C332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3-BBFA-4932-9E87-70425C368D0D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7D7BEA51-7E69-4028-A5FE-B390004BEC4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4-BBFA-4932-9E87-70425C368D0D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7C65821E-0783-4ACA-8429-8E4AD3103DD1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5-BBFA-4932-9E87-70425C368D0D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DAA9429F-F54A-4A18-A817-DCB342E1E968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6-BBFA-4932-9E87-70425C368D0D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2D082490-32F7-4409-A50D-1E37B1969307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7-BBFA-4932-9E87-70425C368D0D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467684FC-1D7D-4913-AC13-794673752FAD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8-BBFA-4932-9E87-70425C368D0D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E076BD6F-BF7B-44A7-AF72-03F4906DEF3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9-BBFA-4932-9E87-70425C368D0D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06F2DECD-F97F-4281-9DE7-1EEEF5E71B9B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A-BBFA-4932-9E87-70425C368D0D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BF8B26B1-680E-4BCF-BC98-8B6C8202ED66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4B-BBFA-4932-9E87-70425C368D0D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2328EB75-9D7B-477D-9342-1E8DCA7CC504}" type="CELLRANGE">
                      <a:rPr lang="pt-BR"/>
                      <a:pPr/>
                      <a:t>[INTERVALODACÉLULA]</a:t>
                    </a:fld>
                    <a:endParaRPr lang="pt-BR"/>
                  </a:p>
                </c:rich>
              </c:tx>
              <c:dLblPos val="r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61EC-499D-A69B-699D5A08B1F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r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0"/>
              </c:ext>
            </c:extLst>
          </c:dLbls>
          <c:xVal>
            <c:numRef>
              <c:f>'US Budget (Annual Data)'!$C$3:$C$76</c:f>
              <c:numCache>
                <c:formatCode>0.00</c:formatCode>
                <c:ptCount val="74"/>
                <c:pt idx="0">
                  <c:v>4.3</c:v>
                </c:pt>
                <c:pt idx="1">
                  <c:v>3.1</c:v>
                </c:pt>
                <c:pt idx="2">
                  <c:v>2.7</c:v>
                </c:pt>
                <c:pt idx="3">
                  <c:v>4.5</c:v>
                </c:pt>
                <c:pt idx="4">
                  <c:v>5</c:v>
                </c:pt>
                <c:pt idx="5">
                  <c:v>4.2</c:v>
                </c:pt>
                <c:pt idx="6">
                  <c:v>4.2</c:v>
                </c:pt>
                <c:pt idx="7">
                  <c:v>5.2</c:v>
                </c:pt>
                <c:pt idx="8">
                  <c:v>6.2</c:v>
                </c:pt>
                <c:pt idx="9">
                  <c:v>5.3</c:v>
                </c:pt>
                <c:pt idx="10">
                  <c:v>6.6</c:v>
                </c:pt>
                <c:pt idx="11">
                  <c:v>6</c:v>
                </c:pt>
                <c:pt idx="12">
                  <c:v>5.5</c:v>
                </c:pt>
                <c:pt idx="13">
                  <c:v>5.5</c:v>
                </c:pt>
                <c:pt idx="14">
                  <c:v>5</c:v>
                </c:pt>
                <c:pt idx="15">
                  <c:v>4</c:v>
                </c:pt>
                <c:pt idx="16">
                  <c:v>3.8</c:v>
                </c:pt>
                <c:pt idx="17">
                  <c:v>3.8</c:v>
                </c:pt>
                <c:pt idx="18">
                  <c:v>3.4</c:v>
                </c:pt>
                <c:pt idx="19">
                  <c:v>3.5</c:v>
                </c:pt>
                <c:pt idx="20">
                  <c:v>6.1</c:v>
                </c:pt>
                <c:pt idx="21">
                  <c:v>6</c:v>
                </c:pt>
                <c:pt idx="22">
                  <c:v>5.2</c:v>
                </c:pt>
                <c:pt idx="23">
                  <c:v>4.9000000000000004</c:v>
                </c:pt>
                <c:pt idx="24">
                  <c:v>7.2</c:v>
                </c:pt>
                <c:pt idx="25">
                  <c:v>8.1999999999999993</c:v>
                </c:pt>
                <c:pt idx="26">
                  <c:v>7.8</c:v>
                </c:pt>
                <c:pt idx="27">
                  <c:v>6.4</c:v>
                </c:pt>
                <c:pt idx="28">
                  <c:v>6</c:v>
                </c:pt>
                <c:pt idx="29">
                  <c:v>6</c:v>
                </c:pt>
                <c:pt idx="30">
                  <c:v>7.2</c:v>
                </c:pt>
                <c:pt idx="31">
                  <c:v>8.5</c:v>
                </c:pt>
                <c:pt idx="32">
                  <c:v>10.8</c:v>
                </c:pt>
                <c:pt idx="33">
                  <c:v>8.3000000000000007</c:v>
                </c:pt>
                <c:pt idx="34">
                  <c:v>7.3</c:v>
                </c:pt>
                <c:pt idx="35">
                  <c:v>7</c:v>
                </c:pt>
                <c:pt idx="36">
                  <c:v>6.6</c:v>
                </c:pt>
                <c:pt idx="37">
                  <c:v>5.7</c:v>
                </c:pt>
                <c:pt idx="38">
                  <c:v>5.3</c:v>
                </c:pt>
                <c:pt idx="39">
                  <c:v>5.4</c:v>
                </c:pt>
                <c:pt idx="40">
                  <c:v>6.3</c:v>
                </c:pt>
                <c:pt idx="41">
                  <c:v>7.3</c:v>
                </c:pt>
                <c:pt idx="42">
                  <c:v>7.4</c:v>
                </c:pt>
                <c:pt idx="43">
                  <c:v>6.5</c:v>
                </c:pt>
                <c:pt idx="44">
                  <c:v>5.5</c:v>
                </c:pt>
                <c:pt idx="45">
                  <c:v>5.6</c:v>
                </c:pt>
                <c:pt idx="46">
                  <c:v>5.4</c:v>
                </c:pt>
                <c:pt idx="47">
                  <c:v>4.7</c:v>
                </c:pt>
                <c:pt idx="48">
                  <c:v>4.4000000000000004</c:v>
                </c:pt>
                <c:pt idx="49">
                  <c:v>4</c:v>
                </c:pt>
                <c:pt idx="50">
                  <c:v>3.9</c:v>
                </c:pt>
                <c:pt idx="51">
                  <c:v>5.7</c:v>
                </c:pt>
                <c:pt idx="52">
                  <c:v>6</c:v>
                </c:pt>
                <c:pt idx="53">
                  <c:v>5.7</c:v>
                </c:pt>
                <c:pt idx="54">
                  <c:v>5.4</c:v>
                </c:pt>
                <c:pt idx="55">
                  <c:v>4.9000000000000004</c:v>
                </c:pt>
                <c:pt idx="56">
                  <c:v>4.4000000000000004</c:v>
                </c:pt>
                <c:pt idx="57">
                  <c:v>5</c:v>
                </c:pt>
                <c:pt idx="58">
                  <c:v>7.3</c:v>
                </c:pt>
                <c:pt idx="59">
                  <c:v>9.9</c:v>
                </c:pt>
                <c:pt idx="60">
                  <c:v>9.3000000000000007</c:v>
                </c:pt>
                <c:pt idx="61">
                  <c:v>8.5</c:v>
                </c:pt>
                <c:pt idx="62">
                  <c:v>7.9</c:v>
                </c:pt>
                <c:pt idx="63">
                  <c:v>6.7</c:v>
                </c:pt>
                <c:pt idx="64">
                  <c:v>5.6</c:v>
                </c:pt>
                <c:pt idx="65">
                  <c:v>5</c:v>
                </c:pt>
                <c:pt idx="66">
                  <c:v>4.7</c:v>
                </c:pt>
                <c:pt idx="67">
                  <c:v>4.0999999999999996</c:v>
                </c:pt>
                <c:pt idx="68">
                  <c:v>3.9</c:v>
                </c:pt>
                <c:pt idx="69">
                  <c:v>3.6</c:v>
                </c:pt>
                <c:pt idx="70">
                  <c:v>6.7</c:v>
                </c:pt>
                <c:pt idx="71">
                  <c:v>3.9</c:v>
                </c:pt>
                <c:pt idx="72">
                  <c:v>3.5</c:v>
                </c:pt>
                <c:pt idx="73">
                  <c:v>3.8</c:v>
                </c:pt>
              </c:numCache>
            </c:numRef>
          </c:xVal>
          <c:yVal>
            <c:numRef>
              <c:f>'US Budget (Annual Data)'!$B$3:$B$76</c:f>
              <c:numCache>
                <c:formatCode>0.00</c:formatCode>
                <c:ptCount val="74"/>
                <c:pt idx="0">
                  <c:v>-1.04027</c:v>
                </c:pt>
                <c:pt idx="1">
                  <c:v>1.7589399999999999</c:v>
                </c:pt>
                <c:pt idx="2">
                  <c:v>-0.41350999999999999</c:v>
                </c:pt>
                <c:pt idx="3">
                  <c:v>-1.66822</c:v>
                </c:pt>
                <c:pt idx="4">
                  <c:v>-0.29548000000000002</c:v>
                </c:pt>
                <c:pt idx="5">
                  <c:v>-0.70343999999999995</c:v>
                </c:pt>
                <c:pt idx="6">
                  <c:v>0.87836999999999998</c:v>
                </c:pt>
                <c:pt idx="7">
                  <c:v>0.71977000000000002</c:v>
                </c:pt>
                <c:pt idx="8">
                  <c:v>-0.57540000000000002</c:v>
                </c:pt>
                <c:pt idx="9">
                  <c:v>-2.46313</c:v>
                </c:pt>
                <c:pt idx="10">
                  <c:v>5.5500000000000001E-2</c:v>
                </c:pt>
                <c:pt idx="11">
                  <c:v>-0.59319999999999995</c:v>
                </c:pt>
                <c:pt idx="12">
                  <c:v>-1.18327</c:v>
                </c:pt>
                <c:pt idx="13">
                  <c:v>-0.74609999999999999</c:v>
                </c:pt>
                <c:pt idx="14">
                  <c:v>-0.86417999999999995</c:v>
                </c:pt>
                <c:pt idx="15">
                  <c:v>-0.19009000000000001</c:v>
                </c:pt>
                <c:pt idx="16">
                  <c:v>-0.45462999999999998</c:v>
                </c:pt>
                <c:pt idx="17">
                  <c:v>-1.00505</c:v>
                </c:pt>
                <c:pt idx="18">
                  <c:v>-2.6748500000000002</c:v>
                </c:pt>
                <c:pt idx="19">
                  <c:v>0.31858999999999998</c:v>
                </c:pt>
                <c:pt idx="20">
                  <c:v>-0.26479000000000003</c:v>
                </c:pt>
                <c:pt idx="21">
                  <c:v>-1.9773400000000001</c:v>
                </c:pt>
                <c:pt idx="22">
                  <c:v>-1.8272900000000001</c:v>
                </c:pt>
                <c:pt idx="23">
                  <c:v>-1.0459000000000001</c:v>
                </c:pt>
                <c:pt idx="24">
                  <c:v>-0.39701999999999998</c:v>
                </c:pt>
                <c:pt idx="25">
                  <c:v>-3.1599400000000002</c:v>
                </c:pt>
                <c:pt idx="26">
                  <c:v>-3.9357099999999998</c:v>
                </c:pt>
                <c:pt idx="27">
                  <c:v>-2.5775000000000001</c:v>
                </c:pt>
                <c:pt idx="28">
                  <c:v>-2.5167999999999999</c:v>
                </c:pt>
                <c:pt idx="29">
                  <c:v>-1.55009</c:v>
                </c:pt>
                <c:pt idx="30">
                  <c:v>-2.5838999999999999</c:v>
                </c:pt>
                <c:pt idx="31">
                  <c:v>-2.4623300000000001</c:v>
                </c:pt>
                <c:pt idx="32">
                  <c:v>-3.8273000000000001</c:v>
                </c:pt>
                <c:pt idx="33">
                  <c:v>-5.71821</c:v>
                </c:pt>
                <c:pt idx="34">
                  <c:v>-4.5910000000000002</c:v>
                </c:pt>
                <c:pt idx="35">
                  <c:v>-4.8930400000000001</c:v>
                </c:pt>
                <c:pt idx="36">
                  <c:v>-4.8306699999999996</c:v>
                </c:pt>
                <c:pt idx="37">
                  <c:v>-3.0838999999999999</c:v>
                </c:pt>
                <c:pt idx="38">
                  <c:v>-2.9634299999999998</c:v>
                </c:pt>
                <c:pt idx="39">
                  <c:v>-2.7056100000000001</c:v>
                </c:pt>
                <c:pt idx="40">
                  <c:v>-3.7067000000000001</c:v>
                </c:pt>
                <c:pt idx="41">
                  <c:v>-4.3720699999999999</c:v>
                </c:pt>
                <c:pt idx="42">
                  <c:v>-4.4525499999999996</c:v>
                </c:pt>
                <c:pt idx="43">
                  <c:v>-3.7187299999999999</c:v>
                </c:pt>
                <c:pt idx="44">
                  <c:v>-2.7882500000000001</c:v>
                </c:pt>
                <c:pt idx="45">
                  <c:v>-2.1460400000000002</c:v>
                </c:pt>
                <c:pt idx="46">
                  <c:v>-1.3307199999999999</c:v>
                </c:pt>
                <c:pt idx="47">
                  <c:v>-0.25513000000000002</c:v>
                </c:pt>
                <c:pt idx="48">
                  <c:v>0.76432999999999995</c:v>
                </c:pt>
                <c:pt idx="49">
                  <c:v>1.3042</c:v>
                </c:pt>
                <c:pt idx="50">
                  <c:v>2.3045800000000001</c:v>
                </c:pt>
                <c:pt idx="51">
                  <c:v>1.21184</c:v>
                </c:pt>
                <c:pt idx="52">
                  <c:v>-1.44347</c:v>
                </c:pt>
                <c:pt idx="53">
                  <c:v>-3.29583</c:v>
                </c:pt>
                <c:pt idx="54">
                  <c:v>-3.37825</c:v>
                </c:pt>
                <c:pt idx="55">
                  <c:v>-2.4414500000000001</c:v>
                </c:pt>
                <c:pt idx="56">
                  <c:v>-1.7963800000000001</c:v>
                </c:pt>
                <c:pt idx="57">
                  <c:v>-1.11026</c:v>
                </c:pt>
                <c:pt idx="58">
                  <c:v>-3.1046499999999999</c:v>
                </c:pt>
                <c:pt idx="59">
                  <c:v>-9.7574400000000008</c:v>
                </c:pt>
                <c:pt idx="60">
                  <c:v>-8.60107</c:v>
                </c:pt>
                <c:pt idx="61">
                  <c:v>-8.3309099999999994</c:v>
                </c:pt>
                <c:pt idx="62">
                  <c:v>-6.6234500000000001</c:v>
                </c:pt>
                <c:pt idx="63">
                  <c:v>-4.0358999999999998</c:v>
                </c:pt>
                <c:pt idx="64">
                  <c:v>-2.7622499999999999</c:v>
                </c:pt>
                <c:pt idx="65">
                  <c:v>-2.4275500000000001</c:v>
                </c:pt>
                <c:pt idx="66">
                  <c:v>-3.1272899999999999</c:v>
                </c:pt>
                <c:pt idx="67">
                  <c:v>-3.4165299999999998</c:v>
                </c:pt>
                <c:pt idx="68">
                  <c:v>-3.7945600000000002</c:v>
                </c:pt>
                <c:pt idx="69">
                  <c:v>-4.6003299999999996</c:v>
                </c:pt>
                <c:pt idx="70">
                  <c:v>-14.87363</c:v>
                </c:pt>
                <c:pt idx="71">
                  <c:v>-11.90371</c:v>
                </c:pt>
                <c:pt idx="72">
                  <c:v>-5.4036799999999996</c:v>
                </c:pt>
                <c:pt idx="73">
                  <c:v>-5.8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'US Budget (Annual Data)'!$A$3:$A$76</c15:f>
                <c15:dlblRangeCache>
                  <c:ptCount val="74"/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69">
                    <c:v>2019</c:v>
                  </c:pt>
                  <c:pt idx="70">
                    <c:v>2020</c:v>
                  </c:pt>
                  <c:pt idx="71">
                    <c:v>2021</c:v>
                  </c:pt>
                  <c:pt idx="72">
                    <c:v>2022</c:v>
                  </c:pt>
                  <c:pt idx="73">
                    <c:v>2023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1-BBFA-4932-9E87-70425C36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scatterChart>
      <c:valAx>
        <c:axId val="1228998512"/>
        <c:scaling>
          <c:orientation val="minMax"/>
          <c:max val="11"/>
          <c:min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r>
                  <a:rPr lang="pt-BR"/>
                  <a:t>Unemployment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ova" panose="020B05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.0" sourceLinked="0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crossBetween val="midCat"/>
      </c:valAx>
      <c:valAx>
        <c:axId val="1229000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r>
                  <a:rPr lang="pt-BR"/>
                  <a:t>Deficit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900" b="1" i="0" u="none" strike="noStrike" kern="1200" baseline="0">
                  <a:solidFill>
                    <a:sysClr val="windowText" lastClr="000000"/>
                  </a:solidFill>
                  <a:latin typeface="Arial Nova" panose="020B05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'Economic Activity'!$O$2</c:f>
              <c:strCache>
                <c:ptCount val="1"/>
                <c:pt idx="0">
                  <c:v>Real Retail Sales m/m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Activity'!$A$531:$A$566</c:f>
              <c:numCache>
                <c:formatCode>[$-416]mmm\-yy;@</c:formatCode>
                <c:ptCount val="36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  <c:pt idx="24">
                  <c:v>45292</c:v>
                </c:pt>
                <c:pt idx="25">
                  <c:v>45323</c:v>
                </c:pt>
                <c:pt idx="26">
                  <c:v>45352</c:v>
                </c:pt>
                <c:pt idx="27">
                  <c:v>45383</c:v>
                </c:pt>
                <c:pt idx="28">
                  <c:v>45413</c:v>
                </c:pt>
                <c:pt idx="29">
                  <c:v>45444</c:v>
                </c:pt>
                <c:pt idx="30">
                  <c:v>45474</c:v>
                </c:pt>
                <c:pt idx="31">
                  <c:v>45505</c:v>
                </c:pt>
                <c:pt idx="32">
                  <c:v>45536</c:v>
                </c:pt>
                <c:pt idx="33">
                  <c:v>45566</c:v>
                </c:pt>
                <c:pt idx="34">
                  <c:v>45597</c:v>
                </c:pt>
                <c:pt idx="35">
                  <c:v>45627</c:v>
                </c:pt>
              </c:numCache>
            </c:numRef>
          </c:cat>
          <c:val>
            <c:numRef>
              <c:f>'Economic Activity'!$O$531:$O$566</c:f>
              <c:numCache>
                <c:formatCode>0.00%</c:formatCode>
                <c:ptCount val="36"/>
                <c:pt idx="0">
                  <c:v>8.2551860068409422E-3</c:v>
                </c:pt>
                <c:pt idx="1">
                  <c:v>6.4913434144202586E-3</c:v>
                </c:pt>
                <c:pt idx="2">
                  <c:v>1.0490743845560813E-2</c:v>
                </c:pt>
                <c:pt idx="3">
                  <c:v>9.2656438545077879E-3</c:v>
                </c:pt>
                <c:pt idx="4">
                  <c:v>-1.0564071907425587E-2</c:v>
                </c:pt>
                <c:pt idx="5">
                  <c:v>-3.5388147559943794E-3</c:v>
                </c:pt>
                <c:pt idx="6">
                  <c:v>-6.5613956066800094E-3</c:v>
                </c:pt>
                <c:pt idx="7">
                  <c:v>4.1982553044934701E-3</c:v>
                </c:pt>
                <c:pt idx="8">
                  <c:v>-7.1111033931858803E-3</c:v>
                </c:pt>
                <c:pt idx="9">
                  <c:v>1.0034717060330767E-2</c:v>
                </c:pt>
                <c:pt idx="10">
                  <c:v>-1.7121138003731606E-2</c:v>
                </c:pt>
                <c:pt idx="11">
                  <c:v>-7.6988804030900804E-3</c:v>
                </c:pt>
                <c:pt idx="12">
                  <c:v>2.2743211213592573E-2</c:v>
                </c:pt>
                <c:pt idx="13">
                  <c:v>-1.0246417442778877E-2</c:v>
                </c:pt>
                <c:pt idx="14">
                  <c:v>-9.6377723503799917E-3</c:v>
                </c:pt>
                <c:pt idx="15">
                  <c:v>6.6854686247852513E-4</c:v>
                </c:pt>
                <c:pt idx="16">
                  <c:v>5.3536506588087729E-3</c:v>
                </c:pt>
                <c:pt idx="17">
                  <c:v>1.7163679892973072E-4</c:v>
                </c:pt>
                <c:pt idx="18">
                  <c:v>3.9689698719105326E-3</c:v>
                </c:pt>
                <c:pt idx="19">
                  <c:v>1.0606359432867585E-3</c:v>
                </c:pt>
                <c:pt idx="20">
                  <c:v>4.264317643504878E-3</c:v>
                </c:pt>
                <c:pt idx="21">
                  <c:v>-2.9645001111687774E-3</c:v>
                </c:pt>
                <c:pt idx="22">
                  <c:v>2.5141997630093726E-3</c:v>
                </c:pt>
                <c:pt idx="23">
                  <c:v>2.4991713044539843E-3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  <c:pt idx="35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5E-4D78-8D1C-AE62F00CE0F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5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cat>
            <c:numRef>
              <c:f>Recession!$A$386:$A$913</c:f>
              <c:numCache>
                <c:formatCode>[$-416]mmm\-yy;@</c:formatCode>
                <c:ptCount val="528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  <c:pt idx="510">
                  <c:v>44743</c:v>
                </c:pt>
                <c:pt idx="511">
                  <c:v>44774</c:v>
                </c:pt>
                <c:pt idx="512">
                  <c:v>44805</c:v>
                </c:pt>
                <c:pt idx="513">
                  <c:v>44835</c:v>
                </c:pt>
                <c:pt idx="514">
                  <c:v>44866</c:v>
                </c:pt>
                <c:pt idx="515">
                  <c:v>44896</c:v>
                </c:pt>
                <c:pt idx="516">
                  <c:v>44927</c:v>
                </c:pt>
                <c:pt idx="517">
                  <c:v>44958</c:v>
                </c:pt>
                <c:pt idx="518">
                  <c:v>44986</c:v>
                </c:pt>
                <c:pt idx="519">
                  <c:v>45017</c:v>
                </c:pt>
                <c:pt idx="520">
                  <c:v>45047</c:v>
                </c:pt>
                <c:pt idx="521">
                  <c:v>45078</c:v>
                </c:pt>
                <c:pt idx="522">
                  <c:v>45108</c:v>
                </c:pt>
                <c:pt idx="523">
                  <c:v>45139</c:v>
                </c:pt>
                <c:pt idx="524">
                  <c:v>45170</c:v>
                </c:pt>
                <c:pt idx="525">
                  <c:v>45200</c:v>
                </c:pt>
                <c:pt idx="526">
                  <c:v>45231</c:v>
                </c:pt>
                <c:pt idx="527">
                  <c:v>45261</c:v>
                </c:pt>
              </c:numCache>
            </c:numRef>
          </c:cat>
          <c:val>
            <c:numRef>
              <c:f>Recession!$B$627:$B$913</c:f>
              <c:numCache>
                <c:formatCode>General</c:formatCode>
                <c:ptCount val="2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418-4CE7-9169-F77BD866E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8890512"/>
        <c:axId val="1888890032"/>
      </c:areaChart>
      <c:lineChart>
        <c:grouping val="standard"/>
        <c:varyColors val="0"/>
        <c:ser>
          <c:idx val="0"/>
          <c:order val="0"/>
          <c:tx>
            <c:strRef>
              <c:f>'Economic Activity'!$AA$2</c:f>
              <c:strCache>
                <c:ptCount val="1"/>
                <c:pt idx="0">
                  <c:v>Average New Orders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Activity'!$A$268:$A$554</c:f>
              <c:numCache>
                <c:formatCode>[$-416]mmm\-yy;@</c:formatCode>
                <c:ptCount val="287"/>
                <c:pt idx="0">
                  <c:v>36557</c:v>
                </c:pt>
                <c:pt idx="1">
                  <c:v>36586</c:v>
                </c:pt>
                <c:pt idx="2">
                  <c:v>36617</c:v>
                </c:pt>
                <c:pt idx="3">
                  <c:v>36647</c:v>
                </c:pt>
                <c:pt idx="4">
                  <c:v>36678</c:v>
                </c:pt>
                <c:pt idx="5">
                  <c:v>36708</c:v>
                </c:pt>
                <c:pt idx="6">
                  <c:v>36739</c:v>
                </c:pt>
                <c:pt idx="7">
                  <c:v>36770</c:v>
                </c:pt>
                <c:pt idx="8">
                  <c:v>36800</c:v>
                </c:pt>
                <c:pt idx="9">
                  <c:v>36831</c:v>
                </c:pt>
                <c:pt idx="10">
                  <c:v>36861</c:v>
                </c:pt>
                <c:pt idx="11">
                  <c:v>36892</c:v>
                </c:pt>
                <c:pt idx="12">
                  <c:v>36923</c:v>
                </c:pt>
                <c:pt idx="13">
                  <c:v>36951</c:v>
                </c:pt>
                <c:pt idx="14">
                  <c:v>36982</c:v>
                </c:pt>
                <c:pt idx="15">
                  <c:v>37012</c:v>
                </c:pt>
                <c:pt idx="16">
                  <c:v>37043</c:v>
                </c:pt>
                <c:pt idx="17">
                  <c:v>37073</c:v>
                </c:pt>
                <c:pt idx="18">
                  <c:v>37104</c:v>
                </c:pt>
                <c:pt idx="19">
                  <c:v>37135</c:v>
                </c:pt>
                <c:pt idx="20">
                  <c:v>37165</c:v>
                </c:pt>
                <c:pt idx="21">
                  <c:v>37196</c:v>
                </c:pt>
                <c:pt idx="22">
                  <c:v>37226</c:v>
                </c:pt>
                <c:pt idx="23">
                  <c:v>37257</c:v>
                </c:pt>
                <c:pt idx="24">
                  <c:v>37288</c:v>
                </c:pt>
                <c:pt idx="25">
                  <c:v>37316</c:v>
                </c:pt>
                <c:pt idx="26">
                  <c:v>37347</c:v>
                </c:pt>
                <c:pt idx="27">
                  <c:v>37377</c:v>
                </c:pt>
                <c:pt idx="28">
                  <c:v>37408</c:v>
                </c:pt>
                <c:pt idx="29">
                  <c:v>37438</c:v>
                </c:pt>
                <c:pt idx="30">
                  <c:v>37469</c:v>
                </c:pt>
                <c:pt idx="31">
                  <c:v>37500</c:v>
                </c:pt>
                <c:pt idx="32">
                  <c:v>37530</c:v>
                </c:pt>
                <c:pt idx="33">
                  <c:v>37561</c:v>
                </c:pt>
                <c:pt idx="34">
                  <c:v>37591</c:v>
                </c:pt>
                <c:pt idx="35">
                  <c:v>37622</c:v>
                </c:pt>
                <c:pt idx="36">
                  <c:v>37653</c:v>
                </c:pt>
                <c:pt idx="37">
                  <c:v>37681</c:v>
                </c:pt>
                <c:pt idx="38">
                  <c:v>37712</c:v>
                </c:pt>
                <c:pt idx="39">
                  <c:v>37742</c:v>
                </c:pt>
                <c:pt idx="40">
                  <c:v>37773</c:v>
                </c:pt>
                <c:pt idx="41">
                  <c:v>37803</c:v>
                </c:pt>
                <c:pt idx="42">
                  <c:v>37834</c:v>
                </c:pt>
                <c:pt idx="43">
                  <c:v>37865</c:v>
                </c:pt>
                <c:pt idx="44">
                  <c:v>37895</c:v>
                </c:pt>
                <c:pt idx="45">
                  <c:v>37926</c:v>
                </c:pt>
                <c:pt idx="46">
                  <c:v>37956</c:v>
                </c:pt>
                <c:pt idx="47">
                  <c:v>37987</c:v>
                </c:pt>
                <c:pt idx="48">
                  <c:v>38018</c:v>
                </c:pt>
                <c:pt idx="49">
                  <c:v>38047</c:v>
                </c:pt>
                <c:pt idx="50">
                  <c:v>38078</c:v>
                </c:pt>
                <c:pt idx="51">
                  <c:v>38108</c:v>
                </c:pt>
                <c:pt idx="52">
                  <c:v>38139</c:v>
                </c:pt>
                <c:pt idx="53">
                  <c:v>38169</c:v>
                </c:pt>
                <c:pt idx="54">
                  <c:v>38200</c:v>
                </c:pt>
                <c:pt idx="55">
                  <c:v>38231</c:v>
                </c:pt>
                <c:pt idx="56">
                  <c:v>38261</c:v>
                </c:pt>
                <c:pt idx="57">
                  <c:v>38292</c:v>
                </c:pt>
                <c:pt idx="58">
                  <c:v>38322</c:v>
                </c:pt>
                <c:pt idx="59">
                  <c:v>38353</c:v>
                </c:pt>
                <c:pt idx="60">
                  <c:v>38384</c:v>
                </c:pt>
                <c:pt idx="61">
                  <c:v>38412</c:v>
                </c:pt>
                <c:pt idx="62">
                  <c:v>38443</c:v>
                </c:pt>
                <c:pt idx="63">
                  <c:v>38473</c:v>
                </c:pt>
                <c:pt idx="64">
                  <c:v>38504</c:v>
                </c:pt>
                <c:pt idx="65">
                  <c:v>38534</c:v>
                </c:pt>
                <c:pt idx="66">
                  <c:v>38565</c:v>
                </c:pt>
                <c:pt idx="67">
                  <c:v>38596</c:v>
                </c:pt>
                <c:pt idx="68">
                  <c:v>38626</c:v>
                </c:pt>
                <c:pt idx="69">
                  <c:v>38657</c:v>
                </c:pt>
                <c:pt idx="70">
                  <c:v>38687</c:v>
                </c:pt>
                <c:pt idx="71">
                  <c:v>38718</c:v>
                </c:pt>
                <c:pt idx="72">
                  <c:v>38749</c:v>
                </c:pt>
                <c:pt idx="73">
                  <c:v>38777</c:v>
                </c:pt>
                <c:pt idx="74">
                  <c:v>38808</c:v>
                </c:pt>
                <c:pt idx="75">
                  <c:v>38838</c:v>
                </c:pt>
                <c:pt idx="76">
                  <c:v>38869</c:v>
                </c:pt>
                <c:pt idx="77">
                  <c:v>38899</c:v>
                </c:pt>
                <c:pt idx="78">
                  <c:v>38930</c:v>
                </c:pt>
                <c:pt idx="79">
                  <c:v>38961</c:v>
                </c:pt>
                <c:pt idx="80">
                  <c:v>38991</c:v>
                </c:pt>
                <c:pt idx="81">
                  <c:v>39022</c:v>
                </c:pt>
                <c:pt idx="82">
                  <c:v>39052</c:v>
                </c:pt>
                <c:pt idx="83">
                  <c:v>39083</c:v>
                </c:pt>
                <c:pt idx="84">
                  <c:v>39114</c:v>
                </c:pt>
                <c:pt idx="85">
                  <c:v>39142</c:v>
                </c:pt>
                <c:pt idx="86">
                  <c:v>39173</c:v>
                </c:pt>
                <c:pt idx="87">
                  <c:v>39203</c:v>
                </c:pt>
                <c:pt idx="88">
                  <c:v>39234</c:v>
                </c:pt>
                <c:pt idx="89">
                  <c:v>39264</c:v>
                </c:pt>
                <c:pt idx="90">
                  <c:v>39295</c:v>
                </c:pt>
                <c:pt idx="91">
                  <c:v>39326</c:v>
                </c:pt>
                <c:pt idx="92">
                  <c:v>39356</c:v>
                </c:pt>
                <c:pt idx="93">
                  <c:v>39387</c:v>
                </c:pt>
                <c:pt idx="94">
                  <c:v>39417</c:v>
                </c:pt>
                <c:pt idx="95">
                  <c:v>39448</c:v>
                </c:pt>
                <c:pt idx="96">
                  <c:v>39479</c:v>
                </c:pt>
                <c:pt idx="97">
                  <c:v>39508</c:v>
                </c:pt>
                <c:pt idx="98">
                  <c:v>39539</c:v>
                </c:pt>
                <c:pt idx="99">
                  <c:v>39569</c:v>
                </c:pt>
                <c:pt idx="100">
                  <c:v>39600</c:v>
                </c:pt>
                <c:pt idx="101">
                  <c:v>39630</c:v>
                </c:pt>
                <c:pt idx="102">
                  <c:v>39661</c:v>
                </c:pt>
                <c:pt idx="103">
                  <c:v>39692</c:v>
                </c:pt>
                <c:pt idx="104">
                  <c:v>39722</c:v>
                </c:pt>
                <c:pt idx="105">
                  <c:v>39753</c:v>
                </c:pt>
                <c:pt idx="106">
                  <c:v>39783</c:v>
                </c:pt>
                <c:pt idx="107">
                  <c:v>39814</c:v>
                </c:pt>
                <c:pt idx="108">
                  <c:v>39845</c:v>
                </c:pt>
                <c:pt idx="109">
                  <c:v>39873</c:v>
                </c:pt>
                <c:pt idx="110">
                  <c:v>39904</c:v>
                </c:pt>
                <c:pt idx="111">
                  <c:v>39934</c:v>
                </c:pt>
                <c:pt idx="112">
                  <c:v>39965</c:v>
                </c:pt>
                <c:pt idx="113">
                  <c:v>39995</c:v>
                </c:pt>
                <c:pt idx="114">
                  <c:v>40026</c:v>
                </c:pt>
                <c:pt idx="115">
                  <c:v>40057</c:v>
                </c:pt>
                <c:pt idx="116">
                  <c:v>40087</c:v>
                </c:pt>
                <c:pt idx="117">
                  <c:v>40118</c:v>
                </c:pt>
                <c:pt idx="118">
                  <c:v>40148</c:v>
                </c:pt>
                <c:pt idx="119">
                  <c:v>40179</c:v>
                </c:pt>
                <c:pt idx="120">
                  <c:v>40210</c:v>
                </c:pt>
                <c:pt idx="121">
                  <c:v>40238</c:v>
                </c:pt>
                <c:pt idx="122">
                  <c:v>40269</c:v>
                </c:pt>
                <c:pt idx="123">
                  <c:v>40299</c:v>
                </c:pt>
                <c:pt idx="124">
                  <c:v>40330</c:v>
                </c:pt>
                <c:pt idx="125">
                  <c:v>40360</c:v>
                </c:pt>
                <c:pt idx="126">
                  <c:v>40391</c:v>
                </c:pt>
                <c:pt idx="127">
                  <c:v>40422</c:v>
                </c:pt>
                <c:pt idx="128">
                  <c:v>40452</c:v>
                </c:pt>
                <c:pt idx="129">
                  <c:v>40483</c:v>
                </c:pt>
                <c:pt idx="130">
                  <c:v>40513</c:v>
                </c:pt>
                <c:pt idx="131">
                  <c:v>40544</c:v>
                </c:pt>
                <c:pt idx="132">
                  <c:v>40575</c:v>
                </c:pt>
                <c:pt idx="133">
                  <c:v>40603</c:v>
                </c:pt>
                <c:pt idx="134">
                  <c:v>40634</c:v>
                </c:pt>
                <c:pt idx="135">
                  <c:v>40664</c:v>
                </c:pt>
                <c:pt idx="136">
                  <c:v>40695</c:v>
                </c:pt>
                <c:pt idx="137">
                  <c:v>40725</c:v>
                </c:pt>
                <c:pt idx="138">
                  <c:v>40756</c:v>
                </c:pt>
                <c:pt idx="139">
                  <c:v>40787</c:v>
                </c:pt>
                <c:pt idx="140">
                  <c:v>40817</c:v>
                </c:pt>
                <c:pt idx="141">
                  <c:v>40848</c:v>
                </c:pt>
                <c:pt idx="142">
                  <c:v>40878</c:v>
                </c:pt>
                <c:pt idx="143">
                  <c:v>40909</c:v>
                </c:pt>
                <c:pt idx="144">
                  <c:v>40940</c:v>
                </c:pt>
                <c:pt idx="145">
                  <c:v>40969</c:v>
                </c:pt>
                <c:pt idx="146">
                  <c:v>41000</c:v>
                </c:pt>
                <c:pt idx="147">
                  <c:v>41030</c:v>
                </c:pt>
                <c:pt idx="148">
                  <c:v>41061</c:v>
                </c:pt>
                <c:pt idx="149">
                  <c:v>41091</c:v>
                </c:pt>
                <c:pt idx="150">
                  <c:v>41122</c:v>
                </c:pt>
                <c:pt idx="151">
                  <c:v>41153</c:v>
                </c:pt>
                <c:pt idx="152">
                  <c:v>41183</c:v>
                </c:pt>
                <c:pt idx="153">
                  <c:v>41214</c:v>
                </c:pt>
                <c:pt idx="154">
                  <c:v>41244</c:v>
                </c:pt>
                <c:pt idx="155">
                  <c:v>41275</c:v>
                </c:pt>
                <c:pt idx="156">
                  <c:v>41306</c:v>
                </c:pt>
                <c:pt idx="157">
                  <c:v>41334</c:v>
                </c:pt>
                <c:pt idx="158">
                  <c:v>41365</c:v>
                </c:pt>
                <c:pt idx="159">
                  <c:v>41395</c:v>
                </c:pt>
                <c:pt idx="160">
                  <c:v>41426</c:v>
                </c:pt>
                <c:pt idx="161">
                  <c:v>41456</c:v>
                </c:pt>
                <c:pt idx="162">
                  <c:v>41487</c:v>
                </c:pt>
                <c:pt idx="163">
                  <c:v>41518</c:v>
                </c:pt>
                <c:pt idx="164">
                  <c:v>41548</c:v>
                </c:pt>
                <c:pt idx="165">
                  <c:v>41579</c:v>
                </c:pt>
                <c:pt idx="166">
                  <c:v>41609</c:v>
                </c:pt>
                <c:pt idx="167">
                  <c:v>41640</c:v>
                </c:pt>
                <c:pt idx="168">
                  <c:v>41671</c:v>
                </c:pt>
                <c:pt idx="169">
                  <c:v>41699</c:v>
                </c:pt>
                <c:pt idx="170">
                  <c:v>41730</c:v>
                </c:pt>
                <c:pt idx="171">
                  <c:v>41760</c:v>
                </c:pt>
                <c:pt idx="172">
                  <c:v>41791</c:v>
                </c:pt>
                <c:pt idx="173">
                  <c:v>41821</c:v>
                </c:pt>
                <c:pt idx="174">
                  <c:v>41852</c:v>
                </c:pt>
                <c:pt idx="175">
                  <c:v>41883</c:v>
                </c:pt>
                <c:pt idx="176">
                  <c:v>41913</c:v>
                </c:pt>
                <c:pt idx="177">
                  <c:v>41944</c:v>
                </c:pt>
                <c:pt idx="178">
                  <c:v>41974</c:v>
                </c:pt>
                <c:pt idx="179">
                  <c:v>42005</c:v>
                </c:pt>
                <c:pt idx="180">
                  <c:v>42036</c:v>
                </c:pt>
                <c:pt idx="181">
                  <c:v>42064</c:v>
                </c:pt>
                <c:pt idx="182">
                  <c:v>42095</c:v>
                </c:pt>
                <c:pt idx="183">
                  <c:v>42125</c:v>
                </c:pt>
                <c:pt idx="184">
                  <c:v>42156</c:v>
                </c:pt>
                <c:pt idx="185">
                  <c:v>42186</c:v>
                </c:pt>
                <c:pt idx="186">
                  <c:v>42217</c:v>
                </c:pt>
                <c:pt idx="187">
                  <c:v>42248</c:v>
                </c:pt>
                <c:pt idx="188">
                  <c:v>42278</c:v>
                </c:pt>
                <c:pt idx="189">
                  <c:v>42309</c:v>
                </c:pt>
                <c:pt idx="190">
                  <c:v>42339</c:v>
                </c:pt>
                <c:pt idx="191">
                  <c:v>42370</c:v>
                </c:pt>
                <c:pt idx="192">
                  <c:v>42401</c:v>
                </c:pt>
                <c:pt idx="193">
                  <c:v>42430</c:v>
                </c:pt>
                <c:pt idx="194">
                  <c:v>42461</c:v>
                </c:pt>
                <c:pt idx="195">
                  <c:v>42491</c:v>
                </c:pt>
                <c:pt idx="196">
                  <c:v>42522</c:v>
                </c:pt>
                <c:pt idx="197">
                  <c:v>42552</c:v>
                </c:pt>
                <c:pt idx="198">
                  <c:v>42583</c:v>
                </c:pt>
                <c:pt idx="199">
                  <c:v>42614</c:v>
                </c:pt>
                <c:pt idx="200">
                  <c:v>42644</c:v>
                </c:pt>
                <c:pt idx="201">
                  <c:v>42675</c:v>
                </c:pt>
                <c:pt idx="202">
                  <c:v>42705</c:v>
                </c:pt>
                <c:pt idx="203">
                  <c:v>42736</c:v>
                </c:pt>
                <c:pt idx="204">
                  <c:v>42767</c:v>
                </c:pt>
                <c:pt idx="205">
                  <c:v>42795</c:v>
                </c:pt>
                <c:pt idx="206">
                  <c:v>42826</c:v>
                </c:pt>
                <c:pt idx="207">
                  <c:v>42856</c:v>
                </c:pt>
                <c:pt idx="208">
                  <c:v>42887</c:v>
                </c:pt>
                <c:pt idx="209">
                  <c:v>42917</c:v>
                </c:pt>
                <c:pt idx="210">
                  <c:v>42948</c:v>
                </c:pt>
                <c:pt idx="211">
                  <c:v>42979</c:v>
                </c:pt>
                <c:pt idx="212">
                  <c:v>43009</c:v>
                </c:pt>
                <c:pt idx="213">
                  <c:v>43040</c:v>
                </c:pt>
                <c:pt idx="214">
                  <c:v>43070</c:v>
                </c:pt>
                <c:pt idx="215">
                  <c:v>43101</c:v>
                </c:pt>
                <c:pt idx="216">
                  <c:v>43132</c:v>
                </c:pt>
                <c:pt idx="217">
                  <c:v>43160</c:v>
                </c:pt>
                <c:pt idx="218">
                  <c:v>43191</c:v>
                </c:pt>
                <c:pt idx="219">
                  <c:v>43221</c:v>
                </c:pt>
                <c:pt idx="220">
                  <c:v>43252</c:v>
                </c:pt>
                <c:pt idx="221">
                  <c:v>43282</c:v>
                </c:pt>
                <c:pt idx="222">
                  <c:v>43313</c:v>
                </c:pt>
                <c:pt idx="223">
                  <c:v>43344</c:v>
                </c:pt>
                <c:pt idx="224">
                  <c:v>43374</c:v>
                </c:pt>
                <c:pt idx="225">
                  <c:v>43405</c:v>
                </c:pt>
                <c:pt idx="226">
                  <c:v>43435</c:v>
                </c:pt>
                <c:pt idx="227">
                  <c:v>43466</c:v>
                </c:pt>
                <c:pt idx="228">
                  <c:v>43497</c:v>
                </c:pt>
                <c:pt idx="229">
                  <c:v>43525</c:v>
                </c:pt>
                <c:pt idx="230">
                  <c:v>43556</c:v>
                </c:pt>
                <c:pt idx="231">
                  <c:v>43586</c:v>
                </c:pt>
                <c:pt idx="232">
                  <c:v>43617</c:v>
                </c:pt>
                <c:pt idx="233">
                  <c:v>43647</c:v>
                </c:pt>
                <c:pt idx="234">
                  <c:v>43678</c:v>
                </c:pt>
                <c:pt idx="235">
                  <c:v>43709</c:v>
                </c:pt>
                <c:pt idx="236">
                  <c:v>43739</c:v>
                </c:pt>
                <c:pt idx="237">
                  <c:v>43770</c:v>
                </c:pt>
                <c:pt idx="238">
                  <c:v>43800</c:v>
                </c:pt>
                <c:pt idx="239">
                  <c:v>43831</c:v>
                </c:pt>
                <c:pt idx="240">
                  <c:v>43862</c:v>
                </c:pt>
                <c:pt idx="241">
                  <c:v>43891</c:v>
                </c:pt>
                <c:pt idx="242">
                  <c:v>43922</c:v>
                </c:pt>
                <c:pt idx="243">
                  <c:v>43952</c:v>
                </c:pt>
                <c:pt idx="244">
                  <c:v>43983</c:v>
                </c:pt>
                <c:pt idx="245">
                  <c:v>44013</c:v>
                </c:pt>
                <c:pt idx="246">
                  <c:v>44044</c:v>
                </c:pt>
                <c:pt idx="247">
                  <c:v>44075</c:v>
                </c:pt>
                <c:pt idx="248">
                  <c:v>44105</c:v>
                </c:pt>
                <c:pt idx="249">
                  <c:v>44136</c:v>
                </c:pt>
                <c:pt idx="250">
                  <c:v>44166</c:v>
                </c:pt>
                <c:pt idx="251">
                  <c:v>44197</c:v>
                </c:pt>
                <c:pt idx="252">
                  <c:v>44228</c:v>
                </c:pt>
                <c:pt idx="253">
                  <c:v>44256</c:v>
                </c:pt>
                <c:pt idx="254">
                  <c:v>44287</c:v>
                </c:pt>
                <c:pt idx="255">
                  <c:v>44317</c:v>
                </c:pt>
                <c:pt idx="256">
                  <c:v>44348</c:v>
                </c:pt>
                <c:pt idx="257">
                  <c:v>44378</c:v>
                </c:pt>
                <c:pt idx="258">
                  <c:v>44409</c:v>
                </c:pt>
                <c:pt idx="259">
                  <c:v>44440</c:v>
                </c:pt>
                <c:pt idx="260">
                  <c:v>44470</c:v>
                </c:pt>
                <c:pt idx="261">
                  <c:v>44501</c:v>
                </c:pt>
                <c:pt idx="262">
                  <c:v>44531</c:v>
                </c:pt>
                <c:pt idx="263">
                  <c:v>44562</c:v>
                </c:pt>
                <c:pt idx="264">
                  <c:v>44593</c:v>
                </c:pt>
                <c:pt idx="265">
                  <c:v>44621</c:v>
                </c:pt>
                <c:pt idx="266">
                  <c:v>44652</c:v>
                </c:pt>
                <c:pt idx="267">
                  <c:v>44682</c:v>
                </c:pt>
                <c:pt idx="268">
                  <c:v>44713</c:v>
                </c:pt>
                <c:pt idx="269">
                  <c:v>44743</c:v>
                </c:pt>
                <c:pt idx="270">
                  <c:v>44774</c:v>
                </c:pt>
                <c:pt idx="271">
                  <c:v>44805</c:v>
                </c:pt>
                <c:pt idx="272">
                  <c:v>44835</c:v>
                </c:pt>
                <c:pt idx="273">
                  <c:v>44866</c:v>
                </c:pt>
                <c:pt idx="274">
                  <c:v>44896</c:v>
                </c:pt>
                <c:pt idx="275">
                  <c:v>44927</c:v>
                </c:pt>
                <c:pt idx="276">
                  <c:v>44958</c:v>
                </c:pt>
                <c:pt idx="277">
                  <c:v>44986</c:v>
                </c:pt>
                <c:pt idx="278">
                  <c:v>45017</c:v>
                </c:pt>
                <c:pt idx="279">
                  <c:v>45047</c:v>
                </c:pt>
                <c:pt idx="280">
                  <c:v>45078</c:v>
                </c:pt>
                <c:pt idx="281">
                  <c:v>45108</c:v>
                </c:pt>
                <c:pt idx="282">
                  <c:v>45139</c:v>
                </c:pt>
                <c:pt idx="283">
                  <c:v>45170</c:v>
                </c:pt>
                <c:pt idx="284">
                  <c:v>45200</c:v>
                </c:pt>
                <c:pt idx="285">
                  <c:v>45231</c:v>
                </c:pt>
                <c:pt idx="286">
                  <c:v>45261</c:v>
                </c:pt>
              </c:numCache>
            </c:numRef>
          </c:cat>
          <c:val>
            <c:numRef>
              <c:f>'Economic Activity'!$AA$268:$AA$554</c:f>
              <c:numCache>
                <c:formatCode>0.00</c:formatCode>
                <c:ptCount val="287"/>
                <c:pt idx="0">
                  <c:v>58.8</c:v>
                </c:pt>
                <c:pt idx="1">
                  <c:v>58.95</c:v>
                </c:pt>
                <c:pt idx="2">
                  <c:v>58.45</c:v>
                </c:pt>
                <c:pt idx="3">
                  <c:v>56</c:v>
                </c:pt>
                <c:pt idx="4">
                  <c:v>54.7</c:v>
                </c:pt>
                <c:pt idx="5">
                  <c:v>55.85</c:v>
                </c:pt>
                <c:pt idx="6">
                  <c:v>54.9</c:v>
                </c:pt>
                <c:pt idx="7">
                  <c:v>54.65</c:v>
                </c:pt>
                <c:pt idx="8">
                  <c:v>53.8</c:v>
                </c:pt>
                <c:pt idx="9">
                  <c:v>52.75</c:v>
                </c:pt>
                <c:pt idx="10">
                  <c:v>48.5</c:v>
                </c:pt>
                <c:pt idx="11">
                  <c:v>44.599999999999994</c:v>
                </c:pt>
                <c:pt idx="12">
                  <c:v>45.65</c:v>
                </c:pt>
                <c:pt idx="13">
                  <c:v>47.05</c:v>
                </c:pt>
                <c:pt idx="14">
                  <c:v>46.35</c:v>
                </c:pt>
                <c:pt idx="15">
                  <c:v>47.099999999999994</c:v>
                </c:pt>
                <c:pt idx="16">
                  <c:v>50</c:v>
                </c:pt>
                <c:pt idx="17">
                  <c:v>48.35</c:v>
                </c:pt>
                <c:pt idx="18">
                  <c:v>50.4</c:v>
                </c:pt>
                <c:pt idx="19">
                  <c:v>51.05</c:v>
                </c:pt>
                <c:pt idx="20">
                  <c:v>40.099999999999994</c:v>
                </c:pt>
                <c:pt idx="21">
                  <c:v>47.75</c:v>
                </c:pt>
                <c:pt idx="22">
                  <c:v>50.65</c:v>
                </c:pt>
                <c:pt idx="23">
                  <c:v>51.75</c:v>
                </c:pt>
                <c:pt idx="24">
                  <c:v>58.5</c:v>
                </c:pt>
                <c:pt idx="25">
                  <c:v>60.099999999999994</c:v>
                </c:pt>
                <c:pt idx="26">
                  <c:v>59.15</c:v>
                </c:pt>
                <c:pt idx="27">
                  <c:v>59.55</c:v>
                </c:pt>
                <c:pt idx="28">
                  <c:v>58.8</c:v>
                </c:pt>
                <c:pt idx="29">
                  <c:v>51.3</c:v>
                </c:pt>
                <c:pt idx="30">
                  <c:v>51.1</c:v>
                </c:pt>
                <c:pt idx="31">
                  <c:v>53.849999999999994</c:v>
                </c:pt>
                <c:pt idx="32">
                  <c:v>52.2</c:v>
                </c:pt>
                <c:pt idx="33">
                  <c:v>53.15</c:v>
                </c:pt>
                <c:pt idx="34">
                  <c:v>56.45</c:v>
                </c:pt>
                <c:pt idx="35">
                  <c:v>56.3</c:v>
                </c:pt>
                <c:pt idx="36">
                  <c:v>52.9</c:v>
                </c:pt>
                <c:pt idx="37">
                  <c:v>48.55</c:v>
                </c:pt>
                <c:pt idx="38">
                  <c:v>48.8</c:v>
                </c:pt>
                <c:pt idx="39">
                  <c:v>54.65</c:v>
                </c:pt>
                <c:pt idx="40">
                  <c:v>55.35</c:v>
                </c:pt>
                <c:pt idx="41">
                  <c:v>59.55</c:v>
                </c:pt>
                <c:pt idx="42">
                  <c:v>64</c:v>
                </c:pt>
                <c:pt idx="43">
                  <c:v>61.099999999999994</c:v>
                </c:pt>
                <c:pt idx="44">
                  <c:v>64.300000000000011</c:v>
                </c:pt>
                <c:pt idx="45">
                  <c:v>65.199999999999989</c:v>
                </c:pt>
                <c:pt idx="46">
                  <c:v>66.25</c:v>
                </c:pt>
                <c:pt idx="47">
                  <c:v>68</c:v>
                </c:pt>
                <c:pt idx="48">
                  <c:v>63.85</c:v>
                </c:pt>
                <c:pt idx="49">
                  <c:v>63.349999999999994</c:v>
                </c:pt>
                <c:pt idx="50">
                  <c:v>64.349999999999994</c:v>
                </c:pt>
                <c:pt idx="51">
                  <c:v>62.6</c:v>
                </c:pt>
                <c:pt idx="52">
                  <c:v>61.5</c:v>
                </c:pt>
                <c:pt idx="53">
                  <c:v>63</c:v>
                </c:pt>
                <c:pt idx="54">
                  <c:v>60.55</c:v>
                </c:pt>
                <c:pt idx="55">
                  <c:v>59.150000000000006</c:v>
                </c:pt>
                <c:pt idx="56">
                  <c:v>60.05</c:v>
                </c:pt>
                <c:pt idx="57">
                  <c:v>60.6</c:v>
                </c:pt>
                <c:pt idx="58">
                  <c:v>64.75</c:v>
                </c:pt>
                <c:pt idx="59">
                  <c:v>60.15</c:v>
                </c:pt>
                <c:pt idx="60">
                  <c:v>59.599999999999994</c:v>
                </c:pt>
                <c:pt idx="61">
                  <c:v>59.1</c:v>
                </c:pt>
                <c:pt idx="62">
                  <c:v>55.45</c:v>
                </c:pt>
                <c:pt idx="63">
                  <c:v>55</c:v>
                </c:pt>
                <c:pt idx="64">
                  <c:v>57.45</c:v>
                </c:pt>
                <c:pt idx="65">
                  <c:v>60.800000000000004</c:v>
                </c:pt>
                <c:pt idx="66">
                  <c:v>61.55</c:v>
                </c:pt>
                <c:pt idx="67">
                  <c:v>58.55</c:v>
                </c:pt>
                <c:pt idx="68">
                  <c:v>59.45</c:v>
                </c:pt>
                <c:pt idx="69">
                  <c:v>60.400000000000006</c:v>
                </c:pt>
                <c:pt idx="70">
                  <c:v>61.45</c:v>
                </c:pt>
                <c:pt idx="71">
                  <c:v>58.15</c:v>
                </c:pt>
                <c:pt idx="72">
                  <c:v>59.4</c:v>
                </c:pt>
                <c:pt idx="73">
                  <c:v>57.8</c:v>
                </c:pt>
                <c:pt idx="74">
                  <c:v>58.400000000000006</c:v>
                </c:pt>
                <c:pt idx="75">
                  <c:v>56.75</c:v>
                </c:pt>
                <c:pt idx="76">
                  <c:v>56</c:v>
                </c:pt>
                <c:pt idx="77">
                  <c:v>56.95</c:v>
                </c:pt>
                <c:pt idx="78">
                  <c:v>54.2</c:v>
                </c:pt>
                <c:pt idx="79">
                  <c:v>55.65</c:v>
                </c:pt>
                <c:pt idx="80">
                  <c:v>54.7</c:v>
                </c:pt>
                <c:pt idx="81">
                  <c:v>53.75</c:v>
                </c:pt>
                <c:pt idx="82">
                  <c:v>53.099999999999994</c:v>
                </c:pt>
                <c:pt idx="83">
                  <c:v>55.65</c:v>
                </c:pt>
                <c:pt idx="84">
                  <c:v>57.6</c:v>
                </c:pt>
                <c:pt idx="85">
                  <c:v>54.85</c:v>
                </c:pt>
                <c:pt idx="86">
                  <c:v>55.8</c:v>
                </c:pt>
                <c:pt idx="87">
                  <c:v>56.95</c:v>
                </c:pt>
                <c:pt idx="88">
                  <c:v>57.599999999999994</c:v>
                </c:pt>
                <c:pt idx="89">
                  <c:v>55.95</c:v>
                </c:pt>
                <c:pt idx="90">
                  <c:v>56.2</c:v>
                </c:pt>
                <c:pt idx="91">
                  <c:v>56.099999999999994</c:v>
                </c:pt>
                <c:pt idx="92">
                  <c:v>55.7</c:v>
                </c:pt>
                <c:pt idx="93">
                  <c:v>52.5</c:v>
                </c:pt>
                <c:pt idx="94">
                  <c:v>51.2</c:v>
                </c:pt>
                <c:pt idx="95">
                  <c:v>46.5</c:v>
                </c:pt>
                <c:pt idx="96">
                  <c:v>50.5</c:v>
                </c:pt>
                <c:pt idx="97">
                  <c:v>49.3</c:v>
                </c:pt>
                <c:pt idx="98">
                  <c:v>48.05</c:v>
                </c:pt>
                <c:pt idx="99">
                  <c:v>50.9</c:v>
                </c:pt>
                <c:pt idx="100">
                  <c:v>49.25</c:v>
                </c:pt>
                <c:pt idx="101">
                  <c:v>48.9</c:v>
                </c:pt>
                <c:pt idx="102">
                  <c:v>49.55</c:v>
                </c:pt>
                <c:pt idx="103">
                  <c:v>47.3</c:v>
                </c:pt>
                <c:pt idx="104">
                  <c:v>38.1</c:v>
                </c:pt>
                <c:pt idx="105">
                  <c:v>34.950000000000003</c:v>
                </c:pt>
                <c:pt idx="106">
                  <c:v>32.299999999999997</c:v>
                </c:pt>
                <c:pt idx="107">
                  <c:v>36.549999999999997</c:v>
                </c:pt>
                <c:pt idx="108">
                  <c:v>36.650000000000006</c:v>
                </c:pt>
                <c:pt idx="109">
                  <c:v>39.25</c:v>
                </c:pt>
                <c:pt idx="110">
                  <c:v>46.4</c:v>
                </c:pt>
                <c:pt idx="111">
                  <c:v>48.45</c:v>
                </c:pt>
                <c:pt idx="112">
                  <c:v>49.2</c:v>
                </c:pt>
                <c:pt idx="113">
                  <c:v>53.2</c:v>
                </c:pt>
                <c:pt idx="114">
                  <c:v>57.8</c:v>
                </c:pt>
                <c:pt idx="115">
                  <c:v>58.7</c:v>
                </c:pt>
                <c:pt idx="116">
                  <c:v>56.7</c:v>
                </c:pt>
                <c:pt idx="117">
                  <c:v>59.400000000000006</c:v>
                </c:pt>
                <c:pt idx="118">
                  <c:v>57.65</c:v>
                </c:pt>
                <c:pt idx="119">
                  <c:v>56.4</c:v>
                </c:pt>
                <c:pt idx="120">
                  <c:v>55.55</c:v>
                </c:pt>
                <c:pt idx="121">
                  <c:v>59.1</c:v>
                </c:pt>
                <c:pt idx="122">
                  <c:v>61</c:v>
                </c:pt>
                <c:pt idx="123">
                  <c:v>59.599999999999994</c:v>
                </c:pt>
                <c:pt idx="124">
                  <c:v>57.6</c:v>
                </c:pt>
                <c:pt idx="125">
                  <c:v>56.45</c:v>
                </c:pt>
                <c:pt idx="126">
                  <c:v>54.15</c:v>
                </c:pt>
                <c:pt idx="127">
                  <c:v>53.05</c:v>
                </c:pt>
                <c:pt idx="128">
                  <c:v>58.099999999999994</c:v>
                </c:pt>
                <c:pt idx="129">
                  <c:v>58.349999999999994</c:v>
                </c:pt>
                <c:pt idx="130">
                  <c:v>60.900000000000006</c:v>
                </c:pt>
                <c:pt idx="131">
                  <c:v>63.75</c:v>
                </c:pt>
                <c:pt idx="132">
                  <c:v>63.05</c:v>
                </c:pt>
                <c:pt idx="133">
                  <c:v>60.45</c:v>
                </c:pt>
                <c:pt idx="134">
                  <c:v>58.7</c:v>
                </c:pt>
                <c:pt idx="135">
                  <c:v>55.3</c:v>
                </c:pt>
                <c:pt idx="136">
                  <c:v>55</c:v>
                </c:pt>
                <c:pt idx="137">
                  <c:v>55.3</c:v>
                </c:pt>
                <c:pt idx="138">
                  <c:v>53.4</c:v>
                </c:pt>
                <c:pt idx="139">
                  <c:v>53.2</c:v>
                </c:pt>
                <c:pt idx="140">
                  <c:v>52.7</c:v>
                </c:pt>
                <c:pt idx="141">
                  <c:v>54.15</c:v>
                </c:pt>
                <c:pt idx="142">
                  <c:v>54.8</c:v>
                </c:pt>
                <c:pt idx="143">
                  <c:v>61.4</c:v>
                </c:pt>
                <c:pt idx="144">
                  <c:v>58.9</c:v>
                </c:pt>
                <c:pt idx="145">
                  <c:v>57.6</c:v>
                </c:pt>
                <c:pt idx="146">
                  <c:v>57.900000000000006</c:v>
                </c:pt>
                <c:pt idx="147">
                  <c:v>57.25</c:v>
                </c:pt>
                <c:pt idx="148">
                  <c:v>50.8</c:v>
                </c:pt>
                <c:pt idx="149">
                  <c:v>50.349999999999994</c:v>
                </c:pt>
                <c:pt idx="150">
                  <c:v>48.95</c:v>
                </c:pt>
                <c:pt idx="151">
                  <c:v>52.95</c:v>
                </c:pt>
                <c:pt idx="152">
                  <c:v>54.15</c:v>
                </c:pt>
                <c:pt idx="153">
                  <c:v>52.099999999999994</c:v>
                </c:pt>
                <c:pt idx="154">
                  <c:v>53.599999999999994</c:v>
                </c:pt>
                <c:pt idx="155">
                  <c:v>56.7</c:v>
                </c:pt>
                <c:pt idx="156">
                  <c:v>59.45</c:v>
                </c:pt>
                <c:pt idx="157">
                  <c:v>55.05</c:v>
                </c:pt>
                <c:pt idx="158">
                  <c:v>54.55</c:v>
                </c:pt>
                <c:pt idx="159">
                  <c:v>54.400000000000006</c:v>
                </c:pt>
                <c:pt idx="160">
                  <c:v>52.45</c:v>
                </c:pt>
                <c:pt idx="161">
                  <c:v>55.5</c:v>
                </c:pt>
                <c:pt idx="162">
                  <c:v>56.75</c:v>
                </c:pt>
                <c:pt idx="163">
                  <c:v>58.6</c:v>
                </c:pt>
                <c:pt idx="164">
                  <c:v>56.75</c:v>
                </c:pt>
                <c:pt idx="165">
                  <c:v>56.95</c:v>
                </c:pt>
                <c:pt idx="166">
                  <c:v>57.75</c:v>
                </c:pt>
                <c:pt idx="167">
                  <c:v>54.35</c:v>
                </c:pt>
                <c:pt idx="168">
                  <c:v>56.75</c:v>
                </c:pt>
                <c:pt idx="169">
                  <c:v>57.4</c:v>
                </c:pt>
                <c:pt idx="170">
                  <c:v>58</c:v>
                </c:pt>
                <c:pt idx="171">
                  <c:v>58.349999999999994</c:v>
                </c:pt>
                <c:pt idx="172">
                  <c:v>58.95</c:v>
                </c:pt>
                <c:pt idx="173">
                  <c:v>58.9</c:v>
                </c:pt>
                <c:pt idx="174">
                  <c:v>60.6</c:v>
                </c:pt>
                <c:pt idx="175">
                  <c:v>59.2</c:v>
                </c:pt>
                <c:pt idx="176">
                  <c:v>59.2</c:v>
                </c:pt>
                <c:pt idx="177">
                  <c:v>61.35</c:v>
                </c:pt>
                <c:pt idx="178">
                  <c:v>59.2</c:v>
                </c:pt>
                <c:pt idx="179">
                  <c:v>56.85</c:v>
                </c:pt>
                <c:pt idx="180">
                  <c:v>56.15</c:v>
                </c:pt>
                <c:pt idx="181">
                  <c:v>56.85</c:v>
                </c:pt>
                <c:pt idx="182">
                  <c:v>55.900000000000006</c:v>
                </c:pt>
                <c:pt idx="183">
                  <c:v>55.849999999999994</c:v>
                </c:pt>
                <c:pt idx="184">
                  <c:v>55.75</c:v>
                </c:pt>
                <c:pt idx="185">
                  <c:v>57.7</c:v>
                </c:pt>
                <c:pt idx="186">
                  <c:v>56.85</c:v>
                </c:pt>
                <c:pt idx="187">
                  <c:v>53.400000000000006</c:v>
                </c:pt>
                <c:pt idx="188">
                  <c:v>55.45</c:v>
                </c:pt>
                <c:pt idx="189">
                  <c:v>54.95</c:v>
                </c:pt>
                <c:pt idx="190">
                  <c:v>53.85</c:v>
                </c:pt>
                <c:pt idx="191">
                  <c:v>53.25</c:v>
                </c:pt>
                <c:pt idx="192">
                  <c:v>52.849999999999994</c:v>
                </c:pt>
                <c:pt idx="193">
                  <c:v>56.7</c:v>
                </c:pt>
                <c:pt idx="194">
                  <c:v>55.95</c:v>
                </c:pt>
                <c:pt idx="195">
                  <c:v>56.099999999999994</c:v>
                </c:pt>
                <c:pt idx="196">
                  <c:v>57.7</c:v>
                </c:pt>
                <c:pt idx="197">
                  <c:v>57.9</c:v>
                </c:pt>
                <c:pt idx="198">
                  <c:v>52.15</c:v>
                </c:pt>
                <c:pt idx="199">
                  <c:v>55.9</c:v>
                </c:pt>
                <c:pt idx="200">
                  <c:v>55.95</c:v>
                </c:pt>
                <c:pt idx="201">
                  <c:v>57</c:v>
                </c:pt>
                <c:pt idx="202">
                  <c:v>58.6</c:v>
                </c:pt>
                <c:pt idx="203">
                  <c:v>60.15</c:v>
                </c:pt>
                <c:pt idx="204">
                  <c:v>61.25</c:v>
                </c:pt>
                <c:pt idx="205">
                  <c:v>61.05</c:v>
                </c:pt>
                <c:pt idx="206">
                  <c:v>59.25</c:v>
                </c:pt>
                <c:pt idx="207">
                  <c:v>60.650000000000006</c:v>
                </c:pt>
                <c:pt idx="208">
                  <c:v>59.849999999999994</c:v>
                </c:pt>
                <c:pt idx="209">
                  <c:v>59.45</c:v>
                </c:pt>
                <c:pt idx="210">
                  <c:v>59.55</c:v>
                </c:pt>
                <c:pt idx="211">
                  <c:v>62.45</c:v>
                </c:pt>
                <c:pt idx="212">
                  <c:v>64.400000000000006</c:v>
                </c:pt>
                <c:pt idx="213">
                  <c:v>61.5</c:v>
                </c:pt>
                <c:pt idx="214">
                  <c:v>59.95</c:v>
                </c:pt>
                <c:pt idx="215">
                  <c:v>64.8</c:v>
                </c:pt>
                <c:pt idx="216">
                  <c:v>62.599999999999994</c:v>
                </c:pt>
                <c:pt idx="217">
                  <c:v>59.900000000000006</c:v>
                </c:pt>
                <c:pt idx="218">
                  <c:v>61.900000000000006</c:v>
                </c:pt>
                <c:pt idx="219">
                  <c:v>61.7</c:v>
                </c:pt>
                <c:pt idx="220">
                  <c:v>62.55</c:v>
                </c:pt>
                <c:pt idx="221">
                  <c:v>60.25</c:v>
                </c:pt>
                <c:pt idx="222">
                  <c:v>63.2</c:v>
                </c:pt>
                <c:pt idx="223">
                  <c:v>61.4</c:v>
                </c:pt>
                <c:pt idx="224">
                  <c:v>61.25</c:v>
                </c:pt>
                <c:pt idx="225">
                  <c:v>61.400000000000006</c:v>
                </c:pt>
                <c:pt idx="226">
                  <c:v>57.5</c:v>
                </c:pt>
                <c:pt idx="227">
                  <c:v>57.7</c:v>
                </c:pt>
                <c:pt idx="228">
                  <c:v>58.5</c:v>
                </c:pt>
                <c:pt idx="229">
                  <c:v>58.05</c:v>
                </c:pt>
                <c:pt idx="230">
                  <c:v>55.85</c:v>
                </c:pt>
                <c:pt idx="231">
                  <c:v>55.3</c:v>
                </c:pt>
                <c:pt idx="232">
                  <c:v>53.400000000000006</c:v>
                </c:pt>
                <c:pt idx="233">
                  <c:v>53.1</c:v>
                </c:pt>
                <c:pt idx="234">
                  <c:v>53</c:v>
                </c:pt>
                <c:pt idx="235">
                  <c:v>51.8</c:v>
                </c:pt>
                <c:pt idx="236">
                  <c:v>52.25</c:v>
                </c:pt>
                <c:pt idx="237">
                  <c:v>51.3</c:v>
                </c:pt>
                <c:pt idx="238">
                  <c:v>52.1</c:v>
                </c:pt>
                <c:pt idx="239">
                  <c:v>54.25</c:v>
                </c:pt>
                <c:pt idx="240">
                  <c:v>55.2</c:v>
                </c:pt>
                <c:pt idx="241">
                  <c:v>48.650000000000006</c:v>
                </c:pt>
                <c:pt idx="242">
                  <c:v>30.15</c:v>
                </c:pt>
                <c:pt idx="243">
                  <c:v>36.599999999999994</c:v>
                </c:pt>
                <c:pt idx="244">
                  <c:v>59.650000000000006</c:v>
                </c:pt>
                <c:pt idx="245">
                  <c:v>62.8</c:v>
                </c:pt>
                <c:pt idx="246">
                  <c:v>62.25</c:v>
                </c:pt>
                <c:pt idx="247">
                  <c:v>60.849999999999994</c:v>
                </c:pt>
                <c:pt idx="248">
                  <c:v>61.900000000000006</c:v>
                </c:pt>
                <c:pt idx="249">
                  <c:v>62.1</c:v>
                </c:pt>
                <c:pt idx="250">
                  <c:v>63.25</c:v>
                </c:pt>
                <c:pt idx="251">
                  <c:v>61.1</c:v>
                </c:pt>
                <c:pt idx="252">
                  <c:v>59.4</c:v>
                </c:pt>
                <c:pt idx="253">
                  <c:v>66.5</c:v>
                </c:pt>
                <c:pt idx="254">
                  <c:v>64.349999999999994</c:v>
                </c:pt>
                <c:pt idx="255">
                  <c:v>65.5</c:v>
                </c:pt>
                <c:pt idx="256">
                  <c:v>64.650000000000006</c:v>
                </c:pt>
                <c:pt idx="257">
                  <c:v>64.099999999999994</c:v>
                </c:pt>
                <c:pt idx="258">
                  <c:v>64.7</c:v>
                </c:pt>
                <c:pt idx="259">
                  <c:v>64.849999999999994</c:v>
                </c:pt>
                <c:pt idx="260">
                  <c:v>64.5</c:v>
                </c:pt>
                <c:pt idx="261">
                  <c:v>64.900000000000006</c:v>
                </c:pt>
                <c:pt idx="262">
                  <c:v>61.45</c:v>
                </c:pt>
                <c:pt idx="263">
                  <c:v>60.05</c:v>
                </c:pt>
                <c:pt idx="264">
                  <c:v>59.5</c:v>
                </c:pt>
                <c:pt idx="265">
                  <c:v>56.5</c:v>
                </c:pt>
                <c:pt idx="266">
                  <c:v>54.65</c:v>
                </c:pt>
                <c:pt idx="267">
                  <c:v>56.6</c:v>
                </c:pt>
                <c:pt idx="268">
                  <c:v>52.7</c:v>
                </c:pt>
                <c:pt idx="269">
                  <c:v>53.55</c:v>
                </c:pt>
                <c:pt idx="270">
                  <c:v>55.849999999999994</c:v>
                </c:pt>
                <c:pt idx="271">
                  <c:v>53.150000000000006</c:v>
                </c:pt>
                <c:pt idx="272">
                  <c:v>53</c:v>
                </c:pt>
                <c:pt idx="273">
                  <c:v>51.5</c:v>
                </c:pt>
                <c:pt idx="274">
                  <c:v>45.150000000000006</c:v>
                </c:pt>
                <c:pt idx="275">
                  <c:v>51.45</c:v>
                </c:pt>
                <c:pt idx="276">
                  <c:v>54.8</c:v>
                </c:pt>
                <c:pt idx="277">
                  <c:v>48.25</c:v>
                </c:pt>
                <c:pt idx="278">
                  <c:v>50.900000000000006</c:v>
                </c:pt>
                <c:pt idx="279">
                  <c:v>47.75</c:v>
                </c:pt>
                <c:pt idx="280">
                  <c:v>50.55</c:v>
                </c:pt>
                <c:pt idx="281">
                  <c:v>51.15</c:v>
                </c:pt>
                <c:pt idx="282">
                  <c:v>52.15</c:v>
                </c:pt>
                <c:pt idx="283">
                  <c:v>50.5</c:v>
                </c:pt>
                <c:pt idx="284">
                  <c:v>50.5</c:v>
                </c:pt>
                <c:pt idx="285">
                  <c:v>51.9</c:v>
                </c:pt>
                <c:pt idx="286">
                  <c:v>49.95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18-4CE7-9169-F77BD866E226}"/>
            </c:ext>
          </c:extLst>
        </c:ser>
        <c:ser>
          <c:idx val="3"/>
          <c:order val="2"/>
          <c:tx>
            <c:strRef>
              <c:f>Recession!$C$1</c:f>
              <c:strCache>
                <c:ptCount val="1"/>
                <c:pt idx="0">
                  <c:v>PMI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Recession!$C$627:$C$913</c:f>
              <c:numCache>
                <c:formatCode>General</c:formatCode>
                <c:ptCount val="28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50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18-4CE7-9169-F77BD866E2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3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888890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888890512"/>
        <c:crosses val="max"/>
        <c:crossBetween val="between"/>
      </c:valAx>
      <c:dateAx>
        <c:axId val="188889051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88889003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Recession!$B$627:$B$913</c:f>
              <c:numCache>
                <c:formatCode>General</c:formatCode>
                <c:ptCount val="28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1</c:v>
                </c:pt>
                <c:pt idx="241">
                  <c:v>1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04D-4F42-BCCB-11FEEEB6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015072"/>
        <c:axId val="31163632"/>
      </c:areaChart>
      <c:lineChart>
        <c:grouping val="standard"/>
        <c:varyColors val="0"/>
        <c:ser>
          <c:idx val="0"/>
          <c:order val="0"/>
          <c:tx>
            <c:strRef>
              <c:f>'Economic Activity'!$U$2</c:f>
              <c:strCache>
                <c:ptCount val="1"/>
                <c:pt idx="0">
                  <c:v>PMI ISM Manufacturing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'Economic Activity'!$A$268:$A$554</c:f>
              <c:numCache>
                <c:formatCode>[$-416]mmm\-yy;@</c:formatCode>
                <c:ptCount val="287"/>
                <c:pt idx="0">
                  <c:v>36557</c:v>
                </c:pt>
                <c:pt idx="1">
                  <c:v>36586</c:v>
                </c:pt>
                <c:pt idx="2">
                  <c:v>36617</c:v>
                </c:pt>
                <c:pt idx="3">
                  <c:v>36647</c:v>
                </c:pt>
                <c:pt idx="4">
                  <c:v>36678</c:v>
                </c:pt>
                <c:pt idx="5">
                  <c:v>36708</c:v>
                </c:pt>
                <c:pt idx="6">
                  <c:v>36739</c:v>
                </c:pt>
                <c:pt idx="7">
                  <c:v>36770</c:v>
                </c:pt>
                <c:pt idx="8">
                  <c:v>36800</c:v>
                </c:pt>
                <c:pt idx="9">
                  <c:v>36831</c:v>
                </c:pt>
                <c:pt idx="10">
                  <c:v>36861</c:v>
                </c:pt>
                <c:pt idx="11">
                  <c:v>36892</c:v>
                </c:pt>
                <c:pt idx="12">
                  <c:v>36923</c:v>
                </c:pt>
                <c:pt idx="13">
                  <c:v>36951</c:v>
                </c:pt>
                <c:pt idx="14">
                  <c:v>36982</c:v>
                </c:pt>
                <c:pt idx="15">
                  <c:v>37012</c:v>
                </c:pt>
                <c:pt idx="16">
                  <c:v>37043</c:v>
                </c:pt>
                <c:pt idx="17">
                  <c:v>37073</c:v>
                </c:pt>
                <c:pt idx="18">
                  <c:v>37104</c:v>
                </c:pt>
                <c:pt idx="19">
                  <c:v>37135</c:v>
                </c:pt>
                <c:pt idx="20">
                  <c:v>37165</c:v>
                </c:pt>
                <c:pt idx="21">
                  <c:v>37196</c:v>
                </c:pt>
                <c:pt idx="22">
                  <c:v>37226</c:v>
                </c:pt>
                <c:pt idx="23">
                  <c:v>37257</c:v>
                </c:pt>
                <c:pt idx="24">
                  <c:v>37288</c:v>
                </c:pt>
                <c:pt idx="25">
                  <c:v>37316</c:v>
                </c:pt>
                <c:pt idx="26">
                  <c:v>37347</c:v>
                </c:pt>
                <c:pt idx="27">
                  <c:v>37377</c:v>
                </c:pt>
                <c:pt idx="28">
                  <c:v>37408</c:v>
                </c:pt>
                <c:pt idx="29">
                  <c:v>37438</c:v>
                </c:pt>
                <c:pt idx="30">
                  <c:v>37469</c:v>
                </c:pt>
                <c:pt idx="31">
                  <c:v>37500</c:v>
                </c:pt>
                <c:pt idx="32">
                  <c:v>37530</c:v>
                </c:pt>
                <c:pt idx="33">
                  <c:v>37561</c:v>
                </c:pt>
                <c:pt idx="34">
                  <c:v>37591</c:v>
                </c:pt>
                <c:pt idx="35">
                  <c:v>37622</c:v>
                </c:pt>
                <c:pt idx="36">
                  <c:v>37653</c:v>
                </c:pt>
                <c:pt idx="37">
                  <c:v>37681</c:v>
                </c:pt>
                <c:pt idx="38">
                  <c:v>37712</c:v>
                </c:pt>
                <c:pt idx="39">
                  <c:v>37742</c:v>
                </c:pt>
                <c:pt idx="40">
                  <c:v>37773</c:v>
                </c:pt>
                <c:pt idx="41">
                  <c:v>37803</c:v>
                </c:pt>
                <c:pt idx="42">
                  <c:v>37834</c:v>
                </c:pt>
                <c:pt idx="43">
                  <c:v>37865</c:v>
                </c:pt>
                <c:pt idx="44">
                  <c:v>37895</c:v>
                </c:pt>
                <c:pt idx="45">
                  <c:v>37926</c:v>
                </c:pt>
                <c:pt idx="46">
                  <c:v>37956</c:v>
                </c:pt>
                <c:pt idx="47">
                  <c:v>37987</c:v>
                </c:pt>
                <c:pt idx="48">
                  <c:v>38018</c:v>
                </c:pt>
                <c:pt idx="49">
                  <c:v>38047</c:v>
                </c:pt>
                <c:pt idx="50">
                  <c:v>38078</c:v>
                </c:pt>
                <c:pt idx="51">
                  <c:v>38108</c:v>
                </c:pt>
                <c:pt idx="52">
                  <c:v>38139</c:v>
                </c:pt>
                <c:pt idx="53">
                  <c:v>38169</c:v>
                </c:pt>
                <c:pt idx="54">
                  <c:v>38200</c:v>
                </c:pt>
                <c:pt idx="55">
                  <c:v>38231</c:v>
                </c:pt>
                <c:pt idx="56">
                  <c:v>38261</c:v>
                </c:pt>
                <c:pt idx="57">
                  <c:v>38292</c:v>
                </c:pt>
                <c:pt idx="58">
                  <c:v>38322</c:v>
                </c:pt>
                <c:pt idx="59">
                  <c:v>38353</c:v>
                </c:pt>
                <c:pt idx="60">
                  <c:v>38384</c:v>
                </c:pt>
                <c:pt idx="61">
                  <c:v>38412</c:v>
                </c:pt>
                <c:pt idx="62">
                  <c:v>38443</c:v>
                </c:pt>
                <c:pt idx="63">
                  <c:v>38473</c:v>
                </c:pt>
                <c:pt idx="64">
                  <c:v>38504</c:v>
                </c:pt>
                <c:pt idx="65">
                  <c:v>38534</c:v>
                </c:pt>
                <c:pt idx="66">
                  <c:v>38565</c:v>
                </c:pt>
                <c:pt idx="67">
                  <c:v>38596</c:v>
                </c:pt>
                <c:pt idx="68">
                  <c:v>38626</c:v>
                </c:pt>
                <c:pt idx="69">
                  <c:v>38657</c:v>
                </c:pt>
                <c:pt idx="70">
                  <c:v>38687</c:v>
                </c:pt>
                <c:pt idx="71">
                  <c:v>38718</c:v>
                </c:pt>
                <c:pt idx="72">
                  <c:v>38749</c:v>
                </c:pt>
                <c:pt idx="73">
                  <c:v>38777</c:v>
                </c:pt>
                <c:pt idx="74">
                  <c:v>38808</c:v>
                </c:pt>
                <c:pt idx="75">
                  <c:v>38838</c:v>
                </c:pt>
                <c:pt idx="76">
                  <c:v>38869</c:v>
                </c:pt>
                <c:pt idx="77">
                  <c:v>38899</c:v>
                </c:pt>
                <c:pt idx="78">
                  <c:v>38930</c:v>
                </c:pt>
                <c:pt idx="79">
                  <c:v>38961</c:v>
                </c:pt>
                <c:pt idx="80">
                  <c:v>38991</c:v>
                </c:pt>
                <c:pt idx="81">
                  <c:v>39022</c:v>
                </c:pt>
                <c:pt idx="82">
                  <c:v>39052</c:v>
                </c:pt>
                <c:pt idx="83">
                  <c:v>39083</c:v>
                </c:pt>
                <c:pt idx="84">
                  <c:v>39114</c:v>
                </c:pt>
                <c:pt idx="85">
                  <c:v>39142</c:v>
                </c:pt>
                <c:pt idx="86">
                  <c:v>39173</c:v>
                </c:pt>
                <c:pt idx="87">
                  <c:v>39203</c:v>
                </c:pt>
                <c:pt idx="88">
                  <c:v>39234</c:v>
                </c:pt>
                <c:pt idx="89">
                  <c:v>39264</c:v>
                </c:pt>
                <c:pt idx="90">
                  <c:v>39295</c:v>
                </c:pt>
                <c:pt idx="91">
                  <c:v>39326</c:v>
                </c:pt>
                <c:pt idx="92">
                  <c:v>39356</c:v>
                </c:pt>
                <c:pt idx="93">
                  <c:v>39387</c:v>
                </c:pt>
                <c:pt idx="94">
                  <c:v>39417</c:v>
                </c:pt>
                <c:pt idx="95">
                  <c:v>39448</c:v>
                </c:pt>
                <c:pt idx="96">
                  <c:v>39479</c:v>
                </c:pt>
                <c:pt idx="97">
                  <c:v>39508</c:v>
                </c:pt>
                <c:pt idx="98">
                  <c:v>39539</c:v>
                </c:pt>
                <c:pt idx="99">
                  <c:v>39569</c:v>
                </c:pt>
                <c:pt idx="100">
                  <c:v>39600</c:v>
                </c:pt>
                <c:pt idx="101">
                  <c:v>39630</c:v>
                </c:pt>
                <c:pt idx="102">
                  <c:v>39661</c:v>
                </c:pt>
                <c:pt idx="103">
                  <c:v>39692</c:v>
                </c:pt>
                <c:pt idx="104">
                  <c:v>39722</c:v>
                </c:pt>
                <c:pt idx="105">
                  <c:v>39753</c:v>
                </c:pt>
                <c:pt idx="106">
                  <c:v>39783</c:v>
                </c:pt>
                <c:pt idx="107">
                  <c:v>39814</c:v>
                </c:pt>
                <c:pt idx="108">
                  <c:v>39845</c:v>
                </c:pt>
                <c:pt idx="109">
                  <c:v>39873</c:v>
                </c:pt>
                <c:pt idx="110">
                  <c:v>39904</c:v>
                </c:pt>
                <c:pt idx="111">
                  <c:v>39934</c:v>
                </c:pt>
                <c:pt idx="112">
                  <c:v>39965</c:v>
                </c:pt>
                <c:pt idx="113">
                  <c:v>39995</c:v>
                </c:pt>
                <c:pt idx="114">
                  <c:v>40026</c:v>
                </c:pt>
                <c:pt idx="115">
                  <c:v>40057</c:v>
                </c:pt>
                <c:pt idx="116">
                  <c:v>40087</c:v>
                </c:pt>
                <c:pt idx="117">
                  <c:v>40118</c:v>
                </c:pt>
                <c:pt idx="118">
                  <c:v>40148</c:v>
                </c:pt>
                <c:pt idx="119">
                  <c:v>40179</c:v>
                </c:pt>
                <c:pt idx="120">
                  <c:v>40210</c:v>
                </c:pt>
                <c:pt idx="121">
                  <c:v>40238</c:v>
                </c:pt>
                <c:pt idx="122">
                  <c:v>40269</c:v>
                </c:pt>
                <c:pt idx="123">
                  <c:v>40299</c:v>
                </c:pt>
                <c:pt idx="124">
                  <c:v>40330</c:v>
                </c:pt>
                <c:pt idx="125">
                  <c:v>40360</c:v>
                </c:pt>
                <c:pt idx="126">
                  <c:v>40391</c:v>
                </c:pt>
                <c:pt idx="127">
                  <c:v>40422</c:v>
                </c:pt>
                <c:pt idx="128">
                  <c:v>40452</c:v>
                </c:pt>
                <c:pt idx="129">
                  <c:v>40483</c:v>
                </c:pt>
                <c:pt idx="130">
                  <c:v>40513</c:v>
                </c:pt>
                <c:pt idx="131">
                  <c:v>40544</c:v>
                </c:pt>
                <c:pt idx="132">
                  <c:v>40575</c:v>
                </c:pt>
                <c:pt idx="133">
                  <c:v>40603</c:v>
                </c:pt>
                <c:pt idx="134">
                  <c:v>40634</c:v>
                </c:pt>
                <c:pt idx="135">
                  <c:v>40664</c:v>
                </c:pt>
                <c:pt idx="136">
                  <c:v>40695</c:v>
                </c:pt>
                <c:pt idx="137">
                  <c:v>40725</c:v>
                </c:pt>
                <c:pt idx="138">
                  <c:v>40756</c:v>
                </c:pt>
                <c:pt idx="139">
                  <c:v>40787</c:v>
                </c:pt>
                <c:pt idx="140">
                  <c:v>40817</c:v>
                </c:pt>
                <c:pt idx="141">
                  <c:v>40848</c:v>
                </c:pt>
                <c:pt idx="142">
                  <c:v>40878</c:v>
                </c:pt>
                <c:pt idx="143">
                  <c:v>40909</c:v>
                </c:pt>
                <c:pt idx="144">
                  <c:v>40940</c:v>
                </c:pt>
                <c:pt idx="145">
                  <c:v>40969</c:v>
                </c:pt>
                <c:pt idx="146">
                  <c:v>41000</c:v>
                </c:pt>
                <c:pt idx="147">
                  <c:v>41030</c:v>
                </c:pt>
                <c:pt idx="148">
                  <c:v>41061</c:v>
                </c:pt>
                <c:pt idx="149">
                  <c:v>41091</c:v>
                </c:pt>
                <c:pt idx="150">
                  <c:v>41122</c:v>
                </c:pt>
                <c:pt idx="151">
                  <c:v>41153</c:v>
                </c:pt>
                <c:pt idx="152">
                  <c:v>41183</c:v>
                </c:pt>
                <c:pt idx="153">
                  <c:v>41214</c:v>
                </c:pt>
                <c:pt idx="154">
                  <c:v>41244</c:v>
                </c:pt>
                <c:pt idx="155">
                  <c:v>41275</c:v>
                </c:pt>
                <c:pt idx="156">
                  <c:v>41306</c:v>
                </c:pt>
                <c:pt idx="157">
                  <c:v>41334</c:v>
                </c:pt>
                <c:pt idx="158">
                  <c:v>41365</c:v>
                </c:pt>
                <c:pt idx="159">
                  <c:v>41395</c:v>
                </c:pt>
                <c:pt idx="160">
                  <c:v>41426</c:v>
                </c:pt>
                <c:pt idx="161">
                  <c:v>41456</c:v>
                </c:pt>
                <c:pt idx="162">
                  <c:v>41487</c:v>
                </c:pt>
                <c:pt idx="163">
                  <c:v>41518</c:v>
                </c:pt>
                <c:pt idx="164">
                  <c:v>41548</c:v>
                </c:pt>
                <c:pt idx="165">
                  <c:v>41579</c:v>
                </c:pt>
                <c:pt idx="166">
                  <c:v>41609</c:v>
                </c:pt>
                <c:pt idx="167">
                  <c:v>41640</c:v>
                </c:pt>
                <c:pt idx="168">
                  <c:v>41671</c:v>
                </c:pt>
                <c:pt idx="169">
                  <c:v>41699</c:v>
                </c:pt>
                <c:pt idx="170">
                  <c:v>41730</c:v>
                </c:pt>
                <c:pt idx="171">
                  <c:v>41760</c:v>
                </c:pt>
                <c:pt idx="172">
                  <c:v>41791</c:v>
                </c:pt>
                <c:pt idx="173">
                  <c:v>41821</c:v>
                </c:pt>
                <c:pt idx="174">
                  <c:v>41852</c:v>
                </c:pt>
                <c:pt idx="175">
                  <c:v>41883</c:v>
                </c:pt>
                <c:pt idx="176">
                  <c:v>41913</c:v>
                </c:pt>
                <c:pt idx="177">
                  <c:v>41944</c:v>
                </c:pt>
                <c:pt idx="178">
                  <c:v>41974</c:v>
                </c:pt>
                <c:pt idx="179">
                  <c:v>42005</c:v>
                </c:pt>
                <c:pt idx="180">
                  <c:v>42036</c:v>
                </c:pt>
                <c:pt idx="181">
                  <c:v>42064</c:v>
                </c:pt>
                <c:pt idx="182">
                  <c:v>42095</c:v>
                </c:pt>
                <c:pt idx="183">
                  <c:v>42125</c:v>
                </c:pt>
                <c:pt idx="184">
                  <c:v>42156</c:v>
                </c:pt>
                <c:pt idx="185">
                  <c:v>42186</c:v>
                </c:pt>
                <c:pt idx="186">
                  <c:v>42217</c:v>
                </c:pt>
                <c:pt idx="187">
                  <c:v>42248</c:v>
                </c:pt>
                <c:pt idx="188">
                  <c:v>42278</c:v>
                </c:pt>
                <c:pt idx="189">
                  <c:v>42309</c:v>
                </c:pt>
                <c:pt idx="190">
                  <c:v>42339</c:v>
                </c:pt>
                <c:pt idx="191">
                  <c:v>42370</c:v>
                </c:pt>
                <c:pt idx="192">
                  <c:v>42401</c:v>
                </c:pt>
                <c:pt idx="193">
                  <c:v>42430</c:v>
                </c:pt>
                <c:pt idx="194">
                  <c:v>42461</c:v>
                </c:pt>
                <c:pt idx="195">
                  <c:v>42491</c:v>
                </c:pt>
                <c:pt idx="196">
                  <c:v>42522</c:v>
                </c:pt>
                <c:pt idx="197">
                  <c:v>42552</c:v>
                </c:pt>
                <c:pt idx="198">
                  <c:v>42583</c:v>
                </c:pt>
                <c:pt idx="199">
                  <c:v>42614</c:v>
                </c:pt>
                <c:pt idx="200">
                  <c:v>42644</c:v>
                </c:pt>
                <c:pt idx="201">
                  <c:v>42675</c:v>
                </c:pt>
                <c:pt idx="202">
                  <c:v>42705</c:v>
                </c:pt>
                <c:pt idx="203">
                  <c:v>42736</c:v>
                </c:pt>
                <c:pt idx="204">
                  <c:v>42767</c:v>
                </c:pt>
                <c:pt idx="205">
                  <c:v>42795</c:v>
                </c:pt>
                <c:pt idx="206">
                  <c:v>42826</c:v>
                </c:pt>
                <c:pt idx="207">
                  <c:v>42856</c:v>
                </c:pt>
                <c:pt idx="208">
                  <c:v>42887</c:v>
                </c:pt>
                <c:pt idx="209">
                  <c:v>42917</c:v>
                </c:pt>
                <c:pt idx="210">
                  <c:v>42948</c:v>
                </c:pt>
                <c:pt idx="211">
                  <c:v>42979</c:v>
                </c:pt>
                <c:pt idx="212">
                  <c:v>43009</c:v>
                </c:pt>
                <c:pt idx="213">
                  <c:v>43040</c:v>
                </c:pt>
                <c:pt idx="214">
                  <c:v>43070</c:v>
                </c:pt>
                <c:pt idx="215">
                  <c:v>43101</c:v>
                </c:pt>
                <c:pt idx="216">
                  <c:v>43132</c:v>
                </c:pt>
                <c:pt idx="217">
                  <c:v>43160</c:v>
                </c:pt>
                <c:pt idx="218">
                  <c:v>43191</c:v>
                </c:pt>
                <c:pt idx="219">
                  <c:v>43221</c:v>
                </c:pt>
                <c:pt idx="220">
                  <c:v>43252</c:v>
                </c:pt>
                <c:pt idx="221">
                  <c:v>43282</c:v>
                </c:pt>
                <c:pt idx="222">
                  <c:v>43313</c:v>
                </c:pt>
                <c:pt idx="223">
                  <c:v>43344</c:v>
                </c:pt>
                <c:pt idx="224">
                  <c:v>43374</c:v>
                </c:pt>
                <c:pt idx="225">
                  <c:v>43405</c:v>
                </c:pt>
                <c:pt idx="226">
                  <c:v>43435</c:v>
                </c:pt>
                <c:pt idx="227">
                  <c:v>43466</c:v>
                </c:pt>
                <c:pt idx="228">
                  <c:v>43497</c:v>
                </c:pt>
                <c:pt idx="229">
                  <c:v>43525</c:v>
                </c:pt>
                <c:pt idx="230">
                  <c:v>43556</c:v>
                </c:pt>
                <c:pt idx="231">
                  <c:v>43586</c:v>
                </c:pt>
                <c:pt idx="232">
                  <c:v>43617</c:v>
                </c:pt>
                <c:pt idx="233">
                  <c:v>43647</c:v>
                </c:pt>
                <c:pt idx="234">
                  <c:v>43678</c:v>
                </c:pt>
                <c:pt idx="235">
                  <c:v>43709</c:v>
                </c:pt>
                <c:pt idx="236">
                  <c:v>43739</c:v>
                </c:pt>
                <c:pt idx="237">
                  <c:v>43770</c:v>
                </c:pt>
                <c:pt idx="238">
                  <c:v>43800</c:v>
                </c:pt>
                <c:pt idx="239">
                  <c:v>43831</c:v>
                </c:pt>
                <c:pt idx="240">
                  <c:v>43862</c:v>
                </c:pt>
                <c:pt idx="241">
                  <c:v>43891</c:v>
                </c:pt>
                <c:pt idx="242">
                  <c:v>43922</c:v>
                </c:pt>
                <c:pt idx="243">
                  <c:v>43952</c:v>
                </c:pt>
                <c:pt idx="244">
                  <c:v>43983</c:v>
                </c:pt>
                <c:pt idx="245">
                  <c:v>44013</c:v>
                </c:pt>
                <c:pt idx="246">
                  <c:v>44044</c:v>
                </c:pt>
                <c:pt idx="247">
                  <c:v>44075</c:v>
                </c:pt>
                <c:pt idx="248">
                  <c:v>44105</c:v>
                </c:pt>
                <c:pt idx="249">
                  <c:v>44136</c:v>
                </c:pt>
                <c:pt idx="250">
                  <c:v>44166</c:v>
                </c:pt>
                <c:pt idx="251">
                  <c:v>44197</c:v>
                </c:pt>
                <c:pt idx="252">
                  <c:v>44228</c:v>
                </c:pt>
                <c:pt idx="253">
                  <c:v>44256</c:v>
                </c:pt>
                <c:pt idx="254">
                  <c:v>44287</c:v>
                </c:pt>
                <c:pt idx="255">
                  <c:v>44317</c:v>
                </c:pt>
                <c:pt idx="256">
                  <c:v>44348</c:v>
                </c:pt>
                <c:pt idx="257">
                  <c:v>44378</c:v>
                </c:pt>
                <c:pt idx="258">
                  <c:v>44409</c:v>
                </c:pt>
                <c:pt idx="259">
                  <c:v>44440</c:v>
                </c:pt>
                <c:pt idx="260">
                  <c:v>44470</c:v>
                </c:pt>
                <c:pt idx="261">
                  <c:v>44501</c:v>
                </c:pt>
                <c:pt idx="262">
                  <c:v>44531</c:v>
                </c:pt>
                <c:pt idx="263">
                  <c:v>44562</c:v>
                </c:pt>
                <c:pt idx="264">
                  <c:v>44593</c:v>
                </c:pt>
                <c:pt idx="265">
                  <c:v>44621</c:v>
                </c:pt>
                <c:pt idx="266">
                  <c:v>44652</c:v>
                </c:pt>
                <c:pt idx="267">
                  <c:v>44682</c:v>
                </c:pt>
                <c:pt idx="268">
                  <c:v>44713</c:v>
                </c:pt>
                <c:pt idx="269">
                  <c:v>44743</c:v>
                </c:pt>
                <c:pt idx="270">
                  <c:v>44774</c:v>
                </c:pt>
                <c:pt idx="271">
                  <c:v>44805</c:v>
                </c:pt>
                <c:pt idx="272">
                  <c:v>44835</c:v>
                </c:pt>
                <c:pt idx="273">
                  <c:v>44866</c:v>
                </c:pt>
                <c:pt idx="274">
                  <c:v>44896</c:v>
                </c:pt>
                <c:pt idx="275">
                  <c:v>44927</c:v>
                </c:pt>
                <c:pt idx="276">
                  <c:v>44958</c:v>
                </c:pt>
                <c:pt idx="277">
                  <c:v>44986</c:v>
                </c:pt>
                <c:pt idx="278">
                  <c:v>45017</c:v>
                </c:pt>
                <c:pt idx="279">
                  <c:v>45047</c:v>
                </c:pt>
                <c:pt idx="280">
                  <c:v>45078</c:v>
                </c:pt>
                <c:pt idx="281">
                  <c:v>45108</c:v>
                </c:pt>
                <c:pt idx="282">
                  <c:v>45139</c:v>
                </c:pt>
                <c:pt idx="283">
                  <c:v>45170</c:v>
                </c:pt>
                <c:pt idx="284">
                  <c:v>45200</c:v>
                </c:pt>
                <c:pt idx="285">
                  <c:v>45231</c:v>
                </c:pt>
                <c:pt idx="286">
                  <c:v>45261</c:v>
                </c:pt>
              </c:numCache>
            </c:numRef>
          </c:cat>
          <c:val>
            <c:numRef>
              <c:f>'Economic Activity'!$U$268:$U$554</c:f>
              <c:numCache>
                <c:formatCode>0.00</c:formatCode>
                <c:ptCount val="287"/>
                <c:pt idx="0">
                  <c:v>55.8</c:v>
                </c:pt>
                <c:pt idx="1">
                  <c:v>54.9</c:v>
                </c:pt>
                <c:pt idx="2">
                  <c:v>54.7</c:v>
                </c:pt>
                <c:pt idx="3">
                  <c:v>53.2</c:v>
                </c:pt>
                <c:pt idx="4">
                  <c:v>51.4</c:v>
                </c:pt>
                <c:pt idx="5">
                  <c:v>52.5</c:v>
                </c:pt>
                <c:pt idx="6">
                  <c:v>49.9</c:v>
                </c:pt>
                <c:pt idx="7">
                  <c:v>49.7</c:v>
                </c:pt>
                <c:pt idx="8">
                  <c:v>48.7</c:v>
                </c:pt>
                <c:pt idx="9">
                  <c:v>48.5</c:v>
                </c:pt>
                <c:pt idx="10">
                  <c:v>43.9</c:v>
                </c:pt>
                <c:pt idx="11">
                  <c:v>42.3</c:v>
                </c:pt>
                <c:pt idx="12">
                  <c:v>42.1</c:v>
                </c:pt>
                <c:pt idx="13">
                  <c:v>43.1</c:v>
                </c:pt>
                <c:pt idx="14">
                  <c:v>42.7</c:v>
                </c:pt>
                <c:pt idx="15">
                  <c:v>41.3</c:v>
                </c:pt>
                <c:pt idx="16">
                  <c:v>43.2</c:v>
                </c:pt>
                <c:pt idx="17">
                  <c:v>43.5</c:v>
                </c:pt>
                <c:pt idx="18">
                  <c:v>46.3</c:v>
                </c:pt>
                <c:pt idx="19">
                  <c:v>46.2</c:v>
                </c:pt>
                <c:pt idx="20">
                  <c:v>40.799999999999997</c:v>
                </c:pt>
                <c:pt idx="21">
                  <c:v>44.1</c:v>
                </c:pt>
                <c:pt idx="22">
                  <c:v>45.3</c:v>
                </c:pt>
                <c:pt idx="23">
                  <c:v>47.5</c:v>
                </c:pt>
                <c:pt idx="24">
                  <c:v>50.7</c:v>
                </c:pt>
                <c:pt idx="25">
                  <c:v>52.4</c:v>
                </c:pt>
                <c:pt idx="26">
                  <c:v>52.4</c:v>
                </c:pt>
                <c:pt idx="27">
                  <c:v>53.1</c:v>
                </c:pt>
                <c:pt idx="28">
                  <c:v>53.6</c:v>
                </c:pt>
                <c:pt idx="29">
                  <c:v>50.2</c:v>
                </c:pt>
                <c:pt idx="30">
                  <c:v>50.3</c:v>
                </c:pt>
                <c:pt idx="31">
                  <c:v>50.5</c:v>
                </c:pt>
                <c:pt idx="32">
                  <c:v>49</c:v>
                </c:pt>
                <c:pt idx="33">
                  <c:v>48.5</c:v>
                </c:pt>
                <c:pt idx="34">
                  <c:v>51.6</c:v>
                </c:pt>
                <c:pt idx="35">
                  <c:v>51.3</c:v>
                </c:pt>
                <c:pt idx="36">
                  <c:v>48.8</c:v>
                </c:pt>
                <c:pt idx="37">
                  <c:v>46.3</c:v>
                </c:pt>
                <c:pt idx="38">
                  <c:v>46.1</c:v>
                </c:pt>
                <c:pt idx="39">
                  <c:v>49</c:v>
                </c:pt>
                <c:pt idx="40">
                  <c:v>49</c:v>
                </c:pt>
                <c:pt idx="41">
                  <c:v>51</c:v>
                </c:pt>
                <c:pt idx="42">
                  <c:v>53.2</c:v>
                </c:pt>
                <c:pt idx="43">
                  <c:v>52.4</c:v>
                </c:pt>
                <c:pt idx="44">
                  <c:v>55.2</c:v>
                </c:pt>
                <c:pt idx="45">
                  <c:v>58.4</c:v>
                </c:pt>
                <c:pt idx="46">
                  <c:v>60.1</c:v>
                </c:pt>
                <c:pt idx="47">
                  <c:v>60.8</c:v>
                </c:pt>
                <c:pt idx="48">
                  <c:v>59.9</c:v>
                </c:pt>
                <c:pt idx="49">
                  <c:v>60.6</c:v>
                </c:pt>
                <c:pt idx="50">
                  <c:v>60.6</c:v>
                </c:pt>
                <c:pt idx="51">
                  <c:v>61.4</c:v>
                </c:pt>
                <c:pt idx="52">
                  <c:v>60.5</c:v>
                </c:pt>
                <c:pt idx="53">
                  <c:v>59.9</c:v>
                </c:pt>
                <c:pt idx="54">
                  <c:v>58.5</c:v>
                </c:pt>
                <c:pt idx="55">
                  <c:v>57.4</c:v>
                </c:pt>
                <c:pt idx="56">
                  <c:v>56.3</c:v>
                </c:pt>
                <c:pt idx="57">
                  <c:v>56.2</c:v>
                </c:pt>
                <c:pt idx="58">
                  <c:v>57.2</c:v>
                </c:pt>
                <c:pt idx="59">
                  <c:v>56.8</c:v>
                </c:pt>
                <c:pt idx="60">
                  <c:v>55.5</c:v>
                </c:pt>
                <c:pt idx="61">
                  <c:v>55.2</c:v>
                </c:pt>
                <c:pt idx="62">
                  <c:v>52.2</c:v>
                </c:pt>
                <c:pt idx="63">
                  <c:v>50.8</c:v>
                </c:pt>
                <c:pt idx="64">
                  <c:v>52.4</c:v>
                </c:pt>
                <c:pt idx="65">
                  <c:v>52.8</c:v>
                </c:pt>
                <c:pt idx="66">
                  <c:v>52.4</c:v>
                </c:pt>
                <c:pt idx="67">
                  <c:v>56.8</c:v>
                </c:pt>
                <c:pt idx="68">
                  <c:v>57.2</c:v>
                </c:pt>
                <c:pt idx="69">
                  <c:v>56.7</c:v>
                </c:pt>
                <c:pt idx="70">
                  <c:v>55.1</c:v>
                </c:pt>
                <c:pt idx="71">
                  <c:v>55</c:v>
                </c:pt>
                <c:pt idx="72">
                  <c:v>55.8</c:v>
                </c:pt>
                <c:pt idx="73">
                  <c:v>54.3</c:v>
                </c:pt>
                <c:pt idx="74">
                  <c:v>55.2</c:v>
                </c:pt>
                <c:pt idx="75">
                  <c:v>53.7</c:v>
                </c:pt>
                <c:pt idx="76">
                  <c:v>52</c:v>
                </c:pt>
                <c:pt idx="77">
                  <c:v>53</c:v>
                </c:pt>
                <c:pt idx="78">
                  <c:v>53.7</c:v>
                </c:pt>
                <c:pt idx="79">
                  <c:v>52.2</c:v>
                </c:pt>
                <c:pt idx="80">
                  <c:v>51.4</c:v>
                </c:pt>
                <c:pt idx="81">
                  <c:v>50.3</c:v>
                </c:pt>
                <c:pt idx="82">
                  <c:v>51.4</c:v>
                </c:pt>
                <c:pt idx="83">
                  <c:v>50.4</c:v>
                </c:pt>
                <c:pt idx="84">
                  <c:v>54.1</c:v>
                </c:pt>
                <c:pt idx="85">
                  <c:v>52.8</c:v>
                </c:pt>
                <c:pt idx="86">
                  <c:v>52.7</c:v>
                </c:pt>
                <c:pt idx="87">
                  <c:v>53.1</c:v>
                </c:pt>
                <c:pt idx="88">
                  <c:v>54</c:v>
                </c:pt>
                <c:pt idx="89">
                  <c:v>51.8</c:v>
                </c:pt>
                <c:pt idx="90">
                  <c:v>52.2</c:v>
                </c:pt>
                <c:pt idx="91">
                  <c:v>53.8</c:v>
                </c:pt>
                <c:pt idx="92">
                  <c:v>52.8</c:v>
                </c:pt>
                <c:pt idx="93">
                  <c:v>51.5</c:v>
                </c:pt>
                <c:pt idx="94">
                  <c:v>50.1</c:v>
                </c:pt>
                <c:pt idx="95">
                  <c:v>50.9</c:v>
                </c:pt>
                <c:pt idx="96">
                  <c:v>48.8</c:v>
                </c:pt>
                <c:pt idx="97">
                  <c:v>49.7</c:v>
                </c:pt>
                <c:pt idx="98">
                  <c:v>48.5</c:v>
                </c:pt>
                <c:pt idx="99">
                  <c:v>48.9</c:v>
                </c:pt>
                <c:pt idx="100">
                  <c:v>49.9</c:v>
                </c:pt>
                <c:pt idx="101">
                  <c:v>50.8</c:v>
                </c:pt>
                <c:pt idx="102">
                  <c:v>50.1</c:v>
                </c:pt>
                <c:pt idx="103">
                  <c:v>47.2</c:v>
                </c:pt>
                <c:pt idx="104">
                  <c:v>38.200000000000003</c:v>
                </c:pt>
                <c:pt idx="105">
                  <c:v>39</c:v>
                </c:pt>
                <c:pt idx="106">
                  <c:v>34.5</c:v>
                </c:pt>
                <c:pt idx="107">
                  <c:v>36.4</c:v>
                </c:pt>
                <c:pt idx="108">
                  <c:v>36.6</c:v>
                </c:pt>
                <c:pt idx="109">
                  <c:v>37.200000000000003</c:v>
                </c:pt>
                <c:pt idx="110">
                  <c:v>39.9</c:v>
                </c:pt>
                <c:pt idx="111">
                  <c:v>44.1</c:v>
                </c:pt>
                <c:pt idx="112">
                  <c:v>46.3</c:v>
                </c:pt>
                <c:pt idx="113">
                  <c:v>49.7</c:v>
                </c:pt>
                <c:pt idx="114">
                  <c:v>53.4</c:v>
                </c:pt>
                <c:pt idx="115">
                  <c:v>54.9</c:v>
                </c:pt>
                <c:pt idx="116">
                  <c:v>57.6</c:v>
                </c:pt>
                <c:pt idx="117">
                  <c:v>55.4</c:v>
                </c:pt>
                <c:pt idx="118">
                  <c:v>55.8</c:v>
                </c:pt>
                <c:pt idx="119">
                  <c:v>56.3</c:v>
                </c:pt>
                <c:pt idx="120">
                  <c:v>55.5</c:v>
                </c:pt>
                <c:pt idx="121">
                  <c:v>58.8</c:v>
                </c:pt>
                <c:pt idx="122">
                  <c:v>58.1</c:v>
                </c:pt>
                <c:pt idx="123">
                  <c:v>57.4</c:v>
                </c:pt>
                <c:pt idx="124">
                  <c:v>56.5</c:v>
                </c:pt>
                <c:pt idx="125">
                  <c:v>56.1</c:v>
                </c:pt>
                <c:pt idx="126">
                  <c:v>56.4</c:v>
                </c:pt>
                <c:pt idx="127">
                  <c:v>55.3</c:v>
                </c:pt>
                <c:pt idx="128">
                  <c:v>56.9</c:v>
                </c:pt>
                <c:pt idx="129">
                  <c:v>57.3</c:v>
                </c:pt>
                <c:pt idx="130">
                  <c:v>56.6</c:v>
                </c:pt>
                <c:pt idx="131">
                  <c:v>59.1</c:v>
                </c:pt>
                <c:pt idx="132">
                  <c:v>59.2</c:v>
                </c:pt>
                <c:pt idx="133">
                  <c:v>58.4</c:v>
                </c:pt>
                <c:pt idx="134">
                  <c:v>57.9</c:v>
                </c:pt>
                <c:pt idx="135">
                  <c:v>54.8</c:v>
                </c:pt>
                <c:pt idx="136">
                  <c:v>55.8</c:v>
                </c:pt>
                <c:pt idx="137">
                  <c:v>52.9</c:v>
                </c:pt>
                <c:pt idx="138">
                  <c:v>52.6</c:v>
                </c:pt>
                <c:pt idx="139">
                  <c:v>53.7</c:v>
                </c:pt>
                <c:pt idx="140">
                  <c:v>51.4</c:v>
                </c:pt>
                <c:pt idx="141">
                  <c:v>51.8</c:v>
                </c:pt>
                <c:pt idx="142">
                  <c:v>53</c:v>
                </c:pt>
                <c:pt idx="143">
                  <c:v>54.2</c:v>
                </c:pt>
                <c:pt idx="144">
                  <c:v>53.3</c:v>
                </c:pt>
                <c:pt idx="145">
                  <c:v>53.5</c:v>
                </c:pt>
                <c:pt idx="146">
                  <c:v>55.2</c:v>
                </c:pt>
                <c:pt idx="147">
                  <c:v>53.2</c:v>
                </c:pt>
                <c:pt idx="148">
                  <c:v>49.5</c:v>
                </c:pt>
                <c:pt idx="149">
                  <c:v>49.6</c:v>
                </c:pt>
                <c:pt idx="150">
                  <c:v>49</c:v>
                </c:pt>
                <c:pt idx="151">
                  <c:v>50.8</c:v>
                </c:pt>
                <c:pt idx="152">
                  <c:v>50.5</c:v>
                </c:pt>
                <c:pt idx="153">
                  <c:v>48</c:v>
                </c:pt>
                <c:pt idx="154">
                  <c:v>50.1</c:v>
                </c:pt>
                <c:pt idx="155">
                  <c:v>53.3</c:v>
                </c:pt>
                <c:pt idx="156">
                  <c:v>54.2</c:v>
                </c:pt>
                <c:pt idx="157">
                  <c:v>51.9</c:v>
                </c:pt>
                <c:pt idx="158">
                  <c:v>51</c:v>
                </c:pt>
                <c:pt idx="159">
                  <c:v>50.8</c:v>
                </c:pt>
                <c:pt idx="160">
                  <c:v>51.1</c:v>
                </c:pt>
                <c:pt idx="161">
                  <c:v>53.8</c:v>
                </c:pt>
                <c:pt idx="162">
                  <c:v>54</c:v>
                </c:pt>
                <c:pt idx="163">
                  <c:v>54.6</c:v>
                </c:pt>
                <c:pt idx="164">
                  <c:v>54.6</c:v>
                </c:pt>
                <c:pt idx="165">
                  <c:v>55.5</c:v>
                </c:pt>
                <c:pt idx="166">
                  <c:v>56.5</c:v>
                </c:pt>
                <c:pt idx="167">
                  <c:v>52.5</c:v>
                </c:pt>
                <c:pt idx="168">
                  <c:v>55</c:v>
                </c:pt>
                <c:pt idx="169">
                  <c:v>55.9</c:v>
                </c:pt>
                <c:pt idx="170">
                  <c:v>56.6</c:v>
                </c:pt>
                <c:pt idx="171">
                  <c:v>55.7</c:v>
                </c:pt>
                <c:pt idx="172">
                  <c:v>55</c:v>
                </c:pt>
                <c:pt idx="173">
                  <c:v>55.1</c:v>
                </c:pt>
                <c:pt idx="174">
                  <c:v>56.3</c:v>
                </c:pt>
                <c:pt idx="175">
                  <c:v>55.7</c:v>
                </c:pt>
                <c:pt idx="176">
                  <c:v>56.2</c:v>
                </c:pt>
                <c:pt idx="177">
                  <c:v>56.3</c:v>
                </c:pt>
                <c:pt idx="178">
                  <c:v>55.7</c:v>
                </c:pt>
                <c:pt idx="179">
                  <c:v>54</c:v>
                </c:pt>
                <c:pt idx="180">
                  <c:v>53.1</c:v>
                </c:pt>
                <c:pt idx="181">
                  <c:v>52.3</c:v>
                </c:pt>
                <c:pt idx="182">
                  <c:v>52.1</c:v>
                </c:pt>
                <c:pt idx="183">
                  <c:v>52.7</c:v>
                </c:pt>
                <c:pt idx="184">
                  <c:v>52.6</c:v>
                </c:pt>
                <c:pt idx="185">
                  <c:v>51.9</c:v>
                </c:pt>
                <c:pt idx="186">
                  <c:v>50</c:v>
                </c:pt>
                <c:pt idx="187">
                  <c:v>50</c:v>
                </c:pt>
                <c:pt idx="188">
                  <c:v>49</c:v>
                </c:pt>
                <c:pt idx="189">
                  <c:v>49.1</c:v>
                </c:pt>
                <c:pt idx="190">
                  <c:v>48.8</c:v>
                </c:pt>
                <c:pt idx="191">
                  <c:v>47.5</c:v>
                </c:pt>
                <c:pt idx="192">
                  <c:v>49.2</c:v>
                </c:pt>
                <c:pt idx="193">
                  <c:v>51.4</c:v>
                </c:pt>
                <c:pt idx="194">
                  <c:v>51</c:v>
                </c:pt>
                <c:pt idx="195">
                  <c:v>51.3</c:v>
                </c:pt>
                <c:pt idx="196">
                  <c:v>52.4</c:v>
                </c:pt>
                <c:pt idx="197">
                  <c:v>52.4</c:v>
                </c:pt>
                <c:pt idx="198">
                  <c:v>49.7</c:v>
                </c:pt>
                <c:pt idx="199">
                  <c:v>51</c:v>
                </c:pt>
                <c:pt idx="200">
                  <c:v>51.8</c:v>
                </c:pt>
                <c:pt idx="201">
                  <c:v>53.3</c:v>
                </c:pt>
                <c:pt idx="202">
                  <c:v>54.2</c:v>
                </c:pt>
                <c:pt idx="203">
                  <c:v>55.7</c:v>
                </c:pt>
                <c:pt idx="204">
                  <c:v>57.7</c:v>
                </c:pt>
                <c:pt idx="205">
                  <c:v>56.8</c:v>
                </c:pt>
                <c:pt idx="206">
                  <c:v>55.7</c:v>
                </c:pt>
                <c:pt idx="207">
                  <c:v>56.4</c:v>
                </c:pt>
                <c:pt idx="208">
                  <c:v>56.1</c:v>
                </c:pt>
                <c:pt idx="209">
                  <c:v>56.5</c:v>
                </c:pt>
                <c:pt idx="210">
                  <c:v>58.5</c:v>
                </c:pt>
                <c:pt idx="211">
                  <c:v>59.9</c:v>
                </c:pt>
                <c:pt idx="212">
                  <c:v>58.6</c:v>
                </c:pt>
                <c:pt idx="213">
                  <c:v>57.9</c:v>
                </c:pt>
                <c:pt idx="214">
                  <c:v>59.2</c:v>
                </c:pt>
                <c:pt idx="215">
                  <c:v>59.4</c:v>
                </c:pt>
                <c:pt idx="216">
                  <c:v>60.8</c:v>
                </c:pt>
                <c:pt idx="217">
                  <c:v>59.2</c:v>
                </c:pt>
                <c:pt idx="218">
                  <c:v>58.6</c:v>
                </c:pt>
                <c:pt idx="219">
                  <c:v>58.9</c:v>
                </c:pt>
                <c:pt idx="220">
                  <c:v>59.7</c:v>
                </c:pt>
                <c:pt idx="221">
                  <c:v>58</c:v>
                </c:pt>
                <c:pt idx="222">
                  <c:v>60.4</c:v>
                </c:pt>
                <c:pt idx="223">
                  <c:v>59.5</c:v>
                </c:pt>
                <c:pt idx="224">
                  <c:v>58.3</c:v>
                </c:pt>
                <c:pt idx="225">
                  <c:v>58.7</c:v>
                </c:pt>
                <c:pt idx="226">
                  <c:v>54.8</c:v>
                </c:pt>
                <c:pt idx="227">
                  <c:v>55.7</c:v>
                </c:pt>
                <c:pt idx="228">
                  <c:v>54.2</c:v>
                </c:pt>
                <c:pt idx="229">
                  <c:v>55.3</c:v>
                </c:pt>
                <c:pt idx="230">
                  <c:v>53.6</c:v>
                </c:pt>
                <c:pt idx="231">
                  <c:v>52.2</c:v>
                </c:pt>
                <c:pt idx="232">
                  <c:v>51.3</c:v>
                </c:pt>
                <c:pt idx="233">
                  <c:v>51</c:v>
                </c:pt>
                <c:pt idx="234">
                  <c:v>48.4</c:v>
                </c:pt>
                <c:pt idx="235">
                  <c:v>48.3</c:v>
                </c:pt>
                <c:pt idx="236">
                  <c:v>48.3</c:v>
                </c:pt>
                <c:pt idx="237">
                  <c:v>48.2</c:v>
                </c:pt>
                <c:pt idx="238">
                  <c:v>47.7</c:v>
                </c:pt>
                <c:pt idx="239">
                  <c:v>51.1</c:v>
                </c:pt>
                <c:pt idx="240">
                  <c:v>50.3</c:v>
                </c:pt>
                <c:pt idx="241">
                  <c:v>49.7</c:v>
                </c:pt>
                <c:pt idx="242">
                  <c:v>41.7</c:v>
                </c:pt>
                <c:pt idx="243">
                  <c:v>43.1</c:v>
                </c:pt>
                <c:pt idx="244">
                  <c:v>52.2</c:v>
                </c:pt>
                <c:pt idx="245">
                  <c:v>53.7</c:v>
                </c:pt>
                <c:pt idx="246">
                  <c:v>55.6</c:v>
                </c:pt>
                <c:pt idx="247">
                  <c:v>55.7</c:v>
                </c:pt>
                <c:pt idx="248">
                  <c:v>58.8</c:v>
                </c:pt>
                <c:pt idx="249">
                  <c:v>57.7</c:v>
                </c:pt>
                <c:pt idx="250">
                  <c:v>60.5</c:v>
                </c:pt>
                <c:pt idx="251">
                  <c:v>58.7</c:v>
                </c:pt>
                <c:pt idx="252">
                  <c:v>60.8</c:v>
                </c:pt>
                <c:pt idx="253">
                  <c:v>64.7</c:v>
                </c:pt>
                <c:pt idx="254">
                  <c:v>60.7</c:v>
                </c:pt>
                <c:pt idx="255">
                  <c:v>61.2</c:v>
                </c:pt>
                <c:pt idx="256">
                  <c:v>60.6</c:v>
                </c:pt>
                <c:pt idx="257">
                  <c:v>59.5</c:v>
                </c:pt>
                <c:pt idx="258">
                  <c:v>59.9</c:v>
                </c:pt>
                <c:pt idx="259">
                  <c:v>61.1</c:v>
                </c:pt>
                <c:pt idx="260">
                  <c:v>60.8</c:v>
                </c:pt>
                <c:pt idx="261">
                  <c:v>61.1</c:v>
                </c:pt>
                <c:pt idx="262">
                  <c:v>58.8</c:v>
                </c:pt>
                <c:pt idx="263">
                  <c:v>57.6</c:v>
                </c:pt>
                <c:pt idx="264">
                  <c:v>58.6</c:v>
                </c:pt>
                <c:pt idx="265">
                  <c:v>57.1</c:v>
                </c:pt>
                <c:pt idx="266">
                  <c:v>55.4</c:v>
                </c:pt>
                <c:pt idx="267">
                  <c:v>56.1</c:v>
                </c:pt>
                <c:pt idx="268">
                  <c:v>53</c:v>
                </c:pt>
                <c:pt idx="269">
                  <c:v>52.8</c:v>
                </c:pt>
                <c:pt idx="270">
                  <c:v>52.8</c:v>
                </c:pt>
                <c:pt idx="271">
                  <c:v>50.9</c:v>
                </c:pt>
                <c:pt idx="272">
                  <c:v>50.2</c:v>
                </c:pt>
                <c:pt idx="273">
                  <c:v>49</c:v>
                </c:pt>
                <c:pt idx="274">
                  <c:v>48.4</c:v>
                </c:pt>
                <c:pt idx="275">
                  <c:v>47.4</c:v>
                </c:pt>
                <c:pt idx="276">
                  <c:v>47.7</c:v>
                </c:pt>
                <c:pt idx="277">
                  <c:v>46.3</c:v>
                </c:pt>
                <c:pt idx="278">
                  <c:v>47.1</c:v>
                </c:pt>
                <c:pt idx="279">
                  <c:v>46.9</c:v>
                </c:pt>
                <c:pt idx="280">
                  <c:v>46</c:v>
                </c:pt>
                <c:pt idx="281">
                  <c:v>46.4</c:v>
                </c:pt>
                <c:pt idx="282">
                  <c:v>47.6</c:v>
                </c:pt>
                <c:pt idx="283">
                  <c:v>49</c:v>
                </c:pt>
                <c:pt idx="284">
                  <c:v>46.7</c:v>
                </c:pt>
                <c:pt idx="285">
                  <c:v>46.7</c:v>
                </c:pt>
                <c:pt idx="286">
                  <c:v>47.4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04D-4F42-BCCB-11FEEEB6AE23}"/>
            </c:ext>
          </c:extLst>
        </c:ser>
        <c:ser>
          <c:idx val="2"/>
          <c:order val="2"/>
          <c:tx>
            <c:strRef>
              <c:f>'Economic Activity'!$X$2</c:f>
              <c:strCache>
                <c:ptCount val="1"/>
                <c:pt idx="0">
                  <c:v>PMI ISM Services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'Economic Activity'!$X$268:$X$554</c:f>
              <c:numCache>
                <c:formatCode>0.00</c:formatCode>
                <c:ptCount val="287"/>
                <c:pt idx="0">
                  <c:v>56.2</c:v>
                </c:pt>
                <c:pt idx="1">
                  <c:v>57.4</c:v>
                </c:pt>
                <c:pt idx="2">
                  <c:v>58</c:v>
                </c:pt>
                <c:pt idx="3">
                  <c:v>57.7</c:v>
                </c:pt>
                <c:pt idx="4">
                  <c:v>56.9</c:v>
                </c:pt>
                <c:pt idx="5">
                  <c:v>55.3</c:v>
                </c:pt>
                <c:pt idx="6">
                  <c:v>57.6</c:v>
                </c:pt>
                <c:pt idx="7">
                  <c:v>56.7</c:v>
                </c:pt>
                <c:pt idx="8">
                  <c:v>56.7</c:v>
                </c:pt>
                <c:pt idx="9">
                  <c:v>56.2</c:v>
                </c:pt>
                <c:pt idx="10">
                  <c:v>54</c:v>
                </c:pt>
                <c:pt idx="11">
                  <c:v>51.6</c:v>
                </c:pt>
                <c:pt idx="12">
                  <c:v>51.3</c:v>
                </c:pt>
                <c:pt idx="13">
                  <c:v>50.7</c:v>
                </c:pt>
                <c:pt idx="14">
                  <c:v>48.3</c:v>
                </c:pt>
                <c:pt idx="15">
                  <c:v>49</c:v>
                </c:pt>
                <c:pt idx="16">
                  <c:v>50.1</c:v>
                </c:pt>
                <c:pt idx="17">
                  <c:v>48.1</c:v>
                </c:pt>
                <c:pt idx="18">
                  <c:v>46.9</c:v>
                </c:pt>
                <c:pt idx="19">
                  <c:v>49.5</c:v>
                </c:pt>
                <c:pt idx="20">
                  <c:v>44.8</c:v>
                </c:pt>
                <c:pt idx="21">
                  <c:v>48.2</c:v>
                </c:pt>
                <c:pt idx="22">
                  <c:v>49.7</c:v>
                </c:pt>
                <c:pt idx="23">
                  <c:v>48.9</c:v>
                </c:pt>
                <c:pt idx="24">
                  <c:v>52.7</c:v>
                </c:pt>
                <c:pt idx="25">
                  <c:v>52.8</c:v>
                </c:pt>
                <c:pt idx="26">
                  <c:v>53.5</c:v>
                </c:pt>
                <c:pt idx="27">
                  <c:v>54.8</c:v>
                </c:pt>
                <c:pt idx="28">
                  <c:v>52.5</c:v>
                </c:pt>
                <c:pt idx="29">
                  <c:v>50.4</c:v>
                </c:pt>
                <c:pt idx="30">
                  <c:v>50.9</c:v>
                </c:pt>
                <c:pt idx="31">
                  <c:v>52.3</c:v>
                </c:pt>
                <c:pt idx="32">
                  <c:v>51.4</c:v>
                </c:pt>
                <c:pt idx="33">
                  <c:v>52.9</c:v>
                </c:pt>
                <c:pt idx="34">
                  <c:v>52.3</c:v>
                </c:pt>
                <c:pt idx="35">
                  <c:v>53.3</c:v>
                </c:pt>
                <c:pt idx="36">
                  <c:v>52.6</c:v>
                </c:pt>
                <c:pt idx="37">
                  <c:v>49.1</c:v>
                </c:pt>
                <c:pt idx="38">
                  <c:v>50.1</c:v>
                </c:pt>
                <c:pt idx="39">
                  <c:v>52.8</c:v>
                </c:pt>
                <c:pt idx="40">
                  <c:v>54.3</c:v>
                </c:pt>
                <c:pt idx="41">
                  <c:v>57.3</c:v>
                </c:pt>
                <c:pt idx="42">
                  <c:v>59.1</c:v>
                </c:pt>
                <c:pt idx="43">
                  <c:v>57.6</c:v>
                </c:pt>
                <c:pt idx="44">
                  <c:v>58.7</c:v>
                </c:pt>
                <c:pt idx="45">
                  <c:v>57.5</c:v>
                </c:pt>
                <c:pt idx="46">
                  <c:v>56.8</c:v>
                </c:pt>
                <c:pt idx="47">
                  <c:v>61.2</c:v>
                </c:pt>
                <c:pt idx="48">
                  <c:v>58</c:v>
                </c:pt>
                <c:pt idx="49">
                  <c:v>58.3</c:v>
                </c:pt>
                <c:pt idx="50">
                  <c:v>59.6</c:v>
                </c:pt>
                <c:pt idx="51">
                  <c:v>58.5</c:v>
                </c:pt>
                <c:pt idx="52">
                  <c:v>58.6</c:v>
                </c:pt>
                <c:pt idx="53">
                  <c:v>58.5</c:v>
                </c:pt>
                <c:pt idx="54">
                  <c:v>57.3</c:v>
                </c:pt>
                <c:pt idx="55">
                  <c:v>57.9</c:v>
                </c:pt>
                <c:pt idx="56">
                  <c:v>58.8</c:v>
                </c:pt>
                <c:pt idx="57">
                  <c:v>58.4</c:v>
                </c:pt>
                <c:pt idx="58">
                  <c:v>59.6</c:v>
                </c:pt>
                <c:pt idx="59">
                  <c:v>58</c:v>
                </c:pt>
                <c:pt idx="60">
                  <c:v>59.4</c:v>
                </c:pt>
                <c:pt idx="61">
                  <c:v>58</c:v>
                </c:pt>
                <c:pt idx="62">
                  <c:v>55.6</c:v>
                </c:pt>
                <c:pt idx="63">
                  <c:v>55.3</c:v>
                </c:pt>
                <c:pt idx="64">
                  <c:v>58.1</c:v>
                </c:pt>
                <c:pt idx="65">
                  <c:v>59.5</c:v>
                </c:pt>
                <c:pt idx="66">
                  <c:v>61.3</c:v>
                </c:pt>
                <c:pt idx="67">
                  <c:v>55.7</c:v>
                </c:pt>
                <c:pt idx="68">
                  <c:v>57.4</c:v>
                </c:pt>
                <c:pt idx="69">
                  <c:v>59.1</c:v>
                </c:pt>
                <c:pt idx="70">
                  <c:v>59</c:v>
                </c:pt>
                <c:pt idx="71">
                  <c:v>56.3</c:v>
                </c:pt>
                <c:pt idx="72">
                  <c:v>57.6</c:v>
                </c:pt>
                <c:pt idx="73">
                  <c:v>56.9</c:v>
                </c:pt>
                <c:pt idx="74">
                  <c:v>58.4</c:v>
                </c:pt>
                <c:pt idx="75">
                  <c:v>57</c:v>
                </c:pt>
                <c:pt idx="76">
                  <c:v>55.2</c:v>
                </c:pt>
                <c:pt idx="77">
                  <c:v>55.6</c:v>
                </c:pt>
                <c:pt idx="78">
                  <c:v>53.9</c:v>
                </c:pt>
                <c:pt idx="79">
                  <c:v>54.5</c:v>
                </c:pt>
                <c:pt idx="80">
                  <c:v>54.9</c:v>
                </c:pt>
                <c:pt idx="81">
                  <c:v>54.5</c:v>
                </c:pt>
                <c:pt idx="82">
                  <c:v>53.7</c:v>
                </c:pt>
                <c:pt idx="83">
                  <c:v>55.6</c:v>
                </c:pt>
                <c:pt idx="84">
                  <c:v>54.2</c:v>
                </c:pt>
                <c:pt idx="85">
                  <c:v>52</c:v>
                </c:pt>
                <c:pt idx="86">
                  <c:v>53.3</c:v>
                </c:pt>
                <c:pt idx="87">
                  <c:v>54.2</c:v>
                </c:pt>
                <c:pt idx="88">
                  <c:v>55.3</c:v>
                </c:pt>
                <c:pt idx="89">
                  <c:v>53.6</c:v>
                </c:pt>
                <c:pt idx="90">
                  <c:v>52.8</c:v>
                </c:pt>
                <c:pt idx="91">
                  <c:v>52.5</c:v>
                </c:pt>
                <c:pt idx="92">
                  <c:v>53.5</c:v>
                </c:pt>
                <c:pt idx="93">
                  <c:v>52.7</c:v>
                </c:pt>
                <c:pt idx="94">
                  <c:v>52.5</c:v>
                </c:pt>
                <c:pt idx="95">
                  <c:v>44.8</c:v>
                </c:pt>
                <c:pt idx="96">
                  <c:v>49.9</c:v>
                </c:pt>
                <c:pt idx="97">
                  <c:v>49.4</c:v>
                </c:pt>
                <c:pt idx="98">
                  <c:v>51.9</c:v>
                </c:pt>
                <c:pt idx="99">
                  <c:v>51.5</c:v>
                </c:pt>
                <c:pt idx="100">
                  <c:v>48.1</c:v>
                </c:pt>
                <c:pt idx="101">
                  <c:v>50.1</c:v>
                </c:pt>
                <c:pt idx="102">
                  <c:v>50.6</c:v>
                </c:pt>
                <c:pt idx="103">
                  <c:v>49.4</c:v>
                </c:pt>
                <c:pt idx="104">
                  <c:v>44.7</c:v>
                </c:pt>
                <c:pt idx="105">
                  <c:v>37.799999999999997</c:v>
                </c:pt>
                <c:pt idx="106">
                  <c:v>40</c:v>
                </c:pt>
                <c:pt idx="107">
                  <c:v>43</c:v>
                </c:pt>
                <c:pt idx="108">
                  <c:v>41.6</c:v>
                </c:pt>
                <c:pt idx="109">
                  <c:v>40.1</c:v>
                </c:pt>
                <c:pt idx="110">
                  <c:v>43.7</c:v>
                </c:pt>
                <c:pt idx="111">
                  <c:v>44.4</c:v>
                </c:pt>
                <c:pt idx="112">
                  <c:v>46.4</c:v>
                </c:pt>
                <c:pt idx="113">
                  <c:v>47.1</c:v>
                </c:pt>
                <c:pt idx="114">
                  <c:v>48.9</c:v>
                </c:pt>
                <c:pt idx="115">
                  <c:v>50.1</c:v>
                </c:pt>
                <c:pt idx="116">
                  <c:v>51</c:v>
                </c:pt>
                <c:pt idx="117">
                  <c:v>49.5</c:v>
                </c:pt>
                <c:pt idx="118">
                  <c:v>49.7</c:v>
                </c:pt>
                <c:pt idx="119">
                  <c:v>50</c:v>
                </c:pt>
                <c:pt idx="120">
                  <c:v>51.7</c:v>
                </c:pt>
                <c:pt idx="121">
                  <c:v>53.3</c:v>
                </c:pt>
                <c:pt idx="122">
                  <c:v>55.3</c:v>
                </c:pt>
                <c:pt idx="123">
                  <c:v>55.5</c:v>
                </c:pt>
                <c:pt idx="124">
                  <c:v>54.4</c:v>
                </c:pt>
                <c:pt idx="125">
                  <c:v>54.6</c:v>
                </c:pt>
                <c:pt idx="126">
                  <c:v>52.4</c:v>
                </c:pt>
                <c:pt idx="127">
                  <c:v>53.3</c:v>
                </c:pt>
                <c:pt idx="128">
                  <c:v>55.3</c:v>
                </c:pt>
                <c:pt idx="129">
                  <c:v>56.4</c:v>
                </c:pt>
                <c:pt idx="130">
                  <c:v>56.9</c:v>
                </c:pt>
                <c:pt idx="131">
                  <c:v>57.6</c:v>
                </c:pt>
                <c:pt idx="132">
                  <c:v>58</c:v>
                </c:pt>
                <c:pt idx="133">
                  <c:v>55.8</c:v>
                </c:pt>
                <c:pt idx="134">
                  <c:v>55.2</c:v>
                </c:pt>
                <c:pt idx="135">
                  <c:v>55</c:v>
                </c:pt>
                <c:pt idx="136">
                  <c:v>54.2</c:v>
                </c:pt>
                <c:pt idx="137">
                  <c:v>53.5</c:v>
                </c:pt>
                <c:pt idx="138">
                  <c:v>53.5</c:v>
                </c:pt>
                <c:pt idx="139">
                  <c:v>52.3</c:v>
                </c:pt>
                <c:pt idx="140">
                  <c:v>52.8</c:v>
                </c:pt>
                <c:pt idx="141">
                  <c:v>52.9</c:v>
                </c:pt>
                <c:pt idx="142">
                  <c:v>52.6</c:v>
                </c:pt>
                <c:pt idx="143">
                  <c:v>57.3</c:v>
                </c:pt>
                <c:pt idx="144">
                  <c:v>55.9</c:v>
                </c:pt>
                <c:pt idx="145">
                  <c:v>55.6</c:v>
                </c:pt>
                <c:pt idx="146">
                  <c:v>55.3</c:v>
                </c:pt>
                <c:pt idx="147">
                  <c:v>55.1</c:v>
                </c:pt>
                <c:pt idx="148">
                  <c:v>53.6</c:v>
                </c:pt>
                <c:pt idx="149">
                  <c:v>52.1</c:v>
                </c:pt>
                <c:pt idx="150">
                  <c:v>52.1</c:v>
                </c:pt>
                <c:pt idx="151">
                  <c:v>53.8</c:v>
                </c:pt>
                <c:pt idx="152">
                  <c:v>54.3</c:v>
                </c:pt>
                <c:pt idx="153">
                  <c:v>53.9</c:v>
                </c:pt>
                <c:pt idx="154">
                  <c:v>55.7</c:v>
                </c:pt>
                <c:pt idx="155">
                  <c:v>55.9</c:v>
                </c:pt>
                <c:pt idx="156">
                  <c:v>56.6</c:v>
                </c:pt>
                <c:pt idx="157">
                  <c:v>55.9</c:v>
                </c:pt>
                <c:pt idx="158">
                  <c:v>54.3</c:v>
                </c:pt>
                <c:pt idx="159">
                  <c:v>54.8</c:v>
                </c:pt>
                <c:pt idx="160">
                  <c:v>53.6</c:v>
                </c:pt>
                <c:pt idx="161">
                  <c:v>55.2</c:v>
                </c:pt>
                <c:pt idx="162">
                  <c:v>55.3</c:v>
                </c:pt>
                <c:pt idx="163">
                  <c:v>53.6</c:v>
                </c:pt>
                <c:pt idx="164">
                  <c:v>53.9</c:v>
                </c:pt>
                <c:pt idx="165">
                  <c:v>53.1</c:v>
                </c:pt>
                <c:pt idx="166">
                  <c:v>53.5</c:v>
                </c:pt>
                <c:pt idx="167">
                  <c:v>55.2</c:v>
                </c:pt>
                <c:pt idx="168">
                  <c:v>53.4</c:v>
                </c:pt>
                <c:pt idx="169">
                  <c:v>54.9</c:v>
                </c:pt>
                <c:pt idx="170">
                  <c:v>55.7</c:v>
                </c:pt>
                <c:pt idx="171">
                  <c:v>56</c:v>
                </c:pt>
                <c:pt idx="172">
                  <c:v>56.8</c:v>
                </c:pt>
                <c:pt idx="173">
                  <c:v>56.9</c:v>
                </c:pt>
                <c:pt idx="174">
                  <c:v>58</c:v>
                </c:pt>
                <c:pt idx="175">
                  <c:v>57.3</c:v>
                </c:pt>
                <c:pt idx="176">
                  <c:v>55.8</c:v>
                </c:pt>
                <c:pt idx="177">
                  <c:v>58.2</c:v>
                </c:pt>
                <c:pt idx="178">
                  <c:v>57.2</c:v>
                </c:pt>
                <c:pt idx="179">
                  <c:v>56.2</c:v>
                </c:pt>
                <c:pt idx="180">
                  <c:v>57.6</c:v>
                </c:pt>
                <c:pt idx="181">
                  <c:v>58.4</c:v>
                </c:pt>
                <c:pt idx="182">
                  <c:v>57.5</c:v>
                </c:pt>
                <c:pt idx="183">
                  <c:v>56.7</c:v>
                </c:pt>
                <c:pt idx="184">
                  <c:v>55.7</c:v>
                </c:pt>
                <c:pt idx="185">
                  <c:v>60.1</c:v>
                </c:pt>
                <c:pt idx="186">
                  <c:v>58.6</c:v>
                </c:pt>
                <c:pt idx="187">
                  <c:v>56.1</c:v>
                </c:pt>
                <c:pt idx="188">
                  <c:v>56.9</c:v>
                </c:pt>
                <c:pt idx="189">
                  <c:v>56.1</c:v>
                </c:pt>
                <c:pt idx="190">
                  <c:v>55.3</c:v>
                </c:pt>
                <c:pt idx="191">
                  <c:v>53.8</c:v>
                </c:pt>
                <c:pt idx="192">
                  <c:v>52.8</c:v>
                </c:pt>
                <c:pt idx="193">
                  <c:v>55.4</c:v>
                </c:pt>
                <c:pt idx="194">
                  <c:v>55.2</c:v>
                </c:pt>
                <c:pt idx="195">
                  <c:v>54.1</c:v>
                </c:pt>
                <c:pt idx="196">
                  <c:v>55.8</c:v>
                </c:pt>
                <c:pt idx="197">
                  <c:v>56.2</c:v>
                </c:pt>
                <c:pt idx="198">
                  <c:v>52.6</c:v>
                </c:pt>
                <c:pt idx="199">
                  <c:v>55.4</c:v>
                </c:pt>
                <c:pt idx="200">
                  <c:v>54.3</c:v>
                </c:pt>
                <c:pt idx="201">
                  <c:v>56.4</c:v>
                </c:pt>
                <c:pt idx="202">
                  <c:v>55.8</c:v>
                </c:pt>
                <c:pt idx="203">
                  <c:v>57</c:v>
                </c:pt>
                <c:pt idx="204">
                  <c:v>56.6</c:v>
                </c:pt>
                <c:pt idx="205">
                  <c:v>56.2</c:v>
                </c:pt>
                <c:pt idx="206">
                  <c:v>57.2</c:v>
                </c:pt>
                <c:pt idx="207">
                  <c:v>57.4</c:v>
                </c:pt>
                <c:pt idx="208">
                  <c:v>56.8</c:v>
                </c:pt>
                <c:pt idx="209">
                  <c:v>55.4</c:v>
                </c:pt>
                <c:pt idx="210">
                  <c:v>55.8</c:v>
                </c:pt>
                <c:pt idx="211">
                  <c:v>58.1</c:v>
                </c:pt>
                <c:pt idx="212">
                  <c:v>60.4</c:v>
                </c:pt>
                <c:pt idx="213">
                  <c:v>57.1</c:v>
                </c:pt>
                <c:pt idx="214">
                  <c:v>56.3</c:v>
                </c:pt>
                <c:pt idx="215">
                  <c:v>60</c:v>
                </c:pt>
                <c:pt idx="216">
                  <c:v>58.5</c:v>
                </c:pt>
                <c:pt idx="217">
                  <c:v>58.2</c:v>
                </c:pt>
                <c:pt idx="218">
                  <c:v>57.6</c:v>
                </c:pt>
                <c:pt idx="219">
                  <c:v>58</c:v>
                </c:pt>
                <c:pt idx="220">
                  <c:v>58.5</c:v>
                </c:pt>
                <c:pt idx="221">
                  <c:v>57.5</c:v>
                </c:pt>
                <c:pt idx="222">
                  <c:v>59.5</c:v>
                </c:pt>
                <c:pt idx="223">
                  <c:v>60.4</c:v>
                </c:pt>
                <c:pt idx="224">
                  <c:v>60.8</c:v>
                </c:pt>
                <c:pt idx="225">
                  <c:v>60.1</c:v>
                </c:pt>
                <c:pt idx="226">
                  <c:v>58.1</c:v>
                </c:pt>
                <c:pt idx="227">
                  <c:v>56.5</c:v>
                </c:pt>
                <c:pt idx="228">
                  <c:v>59.1</c:v>
                </c:pt>
                <c:pt idx="229">
                  <c:v>56.5</c:v>
                </c:pt>
                <c:pt idx="230">
                  <c:v>55.3</c:v>
                </c:pt>
                <c:pt idx="231">
                  <c:v>56.1</c:v>
                </c:pt>
                <c:pt idx="232">
                  <c:v>55.2</c:v>
                </c:pt>
                <c:pt idx="233">
                  <c:v>54.4</c:v>
                </c:pt>
                <c:pt idx="234">
                  <c:v>56</c:v>
                </c:pt>
                <c:pt idx="235">
                  <c:v>53.2</c:v>
                </c:pt>
                <c:pt idx="236">
                  <c:v>54.8</c:v>
                </c:pt>
                <c:pt idx="237">
                  <c:v>53.6</c:v>
                </c:pt>
                <c:pt idx="238">
                  <c:v>55.7</c:v>
                </c:pt>
                <c:pt idx="239">
                  <c:v>56</c:v>
                </c:pt>
                <c:pt idx="240">
                  <c:v>57.5</c:v>
                </c:pt>
                <c:pt idx="241">
                  <c:v>52.9</c:v>
                </c:pt>
                <c:pt idx="242">
                  <c:v>41.7</c:v>
                </c:pt>
                <c:pt idx="243">
                  <c:v>45.4</c:v>
                </c:pt>
                <c:pt idx="244">
                  <c:v>57.3</c:v>
                </c:pt>
                <c:pt idx="245">
                  <c:v>56.7</c:v>
                </c:pt>
                <c:pt idx="246">
                  <c:v>57.1</c:v>
                </c:pt>
                <c:pt idx="247">
                  <c:v>57.1</c:v>
                </c:pt>
                <c:pt idx="248">
                  <c:v>56.1</c:v>
                </c:pt>
                <c:pt idx="249">
                  <c:v>56.1</c:v>
                </c:pt>
                <c:pt idx="250">
                  <c:v>57.5</c:v>
                </c:pt>
                <c:pt idx="251">
                  <c:v>58.7</c:v>
                </c:pt>
                <c:pt idx="252">
                  <c:v>56.4</c:v>
                </c:pt>
                <c:pt idx="253">
                  <c:v>62.3</c:v>
                </c:pt>
                <c:pt idx="254">
                  <c:v>63</c:v>
                </c:pt>
                <c:pt idx="255">
                  <c:v>63.9</c:v>
                </c:pt>
                <c:pt idx="256">
                  <c:v>61.2</c:v>
                </c:pt>
                <c:pt idx="257">
                  <c:v>64</c:v>
                </c:pt>
                <c:pt idx="258">
                  <c:v>61.7</c:v>
                </c:pt>
                <c:pt idx="259">
                  <c:v>62.1</c:v>
                </c:pt>
                <c:pt idx="260">
                  <c:v>66.599999999999994</c:v>
                </c:pt>
                <c:pt idx="261">
                  <c:v>67.599999999999994</c:v>
                </c:pt>
                <c:pt idx="262">
                  <c:v>61.7</c:v>
                </c:pt>
                <c:pt idx="263">
                  <c:v>60.4</c:v>
                </c:pt>
                <c:pt idx="264">
                  <c:v>57.2</c:v>
                </c:pt>
                <c:pt idx="265">
                  <c:v>58.4</c:v>
                </c:pt>
                <c:pt idx="266">
                  <c:v>57.5</c:v>
                </c:pt>
                <c:pt idx="267">
                  <c:v>56.4</c:v>
                </c:pt>
                <c:pt idx="268">
                  <c:v>56</c:v>
                </c:pt>
                <c:pt idx="269">
                  <c:v>56.4</c:v>
                </c:pt>
                <c:pt idx="270">
                  <c:v>56.1</c:v>
                </c:pt>
                <c:pt idx="271">
                  <c:v>55.9</c:v>
                </c:pt>
                <c:pt idx="272">
                  <c:v>54.5</c:v>
                </c:pt>
                <c:pt idx="273">
                  <c:v>55.5</c:v>
                </c:pt>
                <c:pt idx="274">
                  <c:v>49.2</c:v>
                </c:pt>
                <c:pt idx="275">
                  <c:v>55.2</c:v>
                </c:pt>
                <c:pt idx="276">
                  <c:v>55.1</c:v>
                </c:pt>
                <c:pt idx="277">
                  <c:v>51.2</c:v>
                </c:pt>
                <c:pt idx="278">
                  <c:v>51.9</c:v>
                </c:pt>
                <c:pt idx="279">
                  <c:v>50.3</c:v>
                </c:pt>
                <c:pt idx="280">
                  <c:v>53.9</c:v>
                </c:pt>
                <c:pt idx="281">
                  <c:v>52.7</c:v>
                </c:pt>
                <c:pt idx="282">
                  <c:v>54.5</c:v>
                </c:pt>
                <c:pt idx="283">
                  <c:v>53.6</c:v>
                </c:pt>
                <c:pt idx="284">
                  <c:v>51.8</c:v>
                </c:pt>
                <c:pt idx="285">
                  <c:v>52.7</c:v>
                </c:pt>
                <c:pt idx="286">
                  <c:v>50.6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04D-4F42-BCCB-11FEEEB6AE23}"/>
            </c:ext>
          </c:extLst>
        </c:ser>
        <c:ser>
          <c:idx val="3"/>
          <c:order val="3"/>
          <c:tx>
            <c:strRef>
              <c:f>Recession!$C$1</c:f>
              <c:strCache>
                <c:ptCount val="1"/>
                <c:pt idx="0">
                  <c:v>PMI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val>
            <c:numRef>
              <c:f>Recession!$C$627:$C$913</c:f>
              <c:numCache>
                <c:formatCode>General</c:formatCode>
                <c:ptCount val="287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  <c:pt idx="12">
                  <c:v>50</c:v>
                </c:pt>
                <c:pt idx="13">
                  <c:v>50</c:v>
                </c:pt>
                <c:pt idx="14">
                  <c:v>50</c:v>
                </c:pt>
                <c:pt idx="15">
                  <c:v>50</c:v>
                </c:pt>
                <c:pt idx="16">
                  <c:v>50</c:v>
                </c:pt>
                <c:pt idx="17">
                  <c:v>50</c:v>
                </c:pt>
                <c:pt idx="18">
                  <c:v>50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50</c:v>
                </c:pt>
                <c:pt idx="24">
                  <c:v>50</c:v>
                </c:pt>
                <c:pt idx="25">
                  <c:v>50</c:v>
                </c:pt>
                <c:pt idx="26">
                  <c:v>50</c:v>
                </c:pt>
                <c:pt idx="27">
                  <c:v>50</c:v>
                </c:pt>
                <c:pt idx="28">
                  <c:v>50</c:v>
                </c:pt>
                <c:pt idx="29">
                  <c:v>50</c:v>
                </c:pt>
                <c:pt idx="30">
                  <c:v>50</c:v>
                </c:pt>
                <c:pt idx="31">
                  <c:v>50</c:v>
                </c:pt>
                <c:pt idx="32">
                  <c:v>50</c:v>
                </c:pt>
                <c:pt idx="33">
                  <c:v>50</c:v>
                </c:pt>
                <c:pt idx="34">
                  <c:v>50</c:v>
                </c:pt>
                <c:pt idx="35">
                  <c:v>50</c:v>
                </c:pt>
                <c:pt idx="36">
                  <c:v>50</c:v>
                </c:pt>
                <c:pt idx="37">
                  <c:v>50</c:v>
                </c:pt>
                <c:pt idx="38">
                  <c:v>50</c:v>
                </c:pt>
                <c:pt idx="39">
                  <c:v>50</c:v>
                </c:pt>
                <c:pt idx="40">
                  <c:v>50</c:v>
                </c:pt>
                <c:pt idx="41">
                  <c:v>50</c:v>
                </c:pt>
                <c:pt idx="42">
                  <c:v>50</c:v>
                </c:pt>
                <c:pt idx="43">
                  <c:v>50</c:v>
                </c:pt>
                <c:pt idx="44">
                  <c:v>50</c:v>
                </c:pt>
                <c:pt idx="45">
                  <c:v>50</c:v>
                </c:pt>
                <c:pt idx="46">
                  <c:v>50</c:v>
                </c:pt>
                <c:pt idx="47">
                  <c:v>50</c:v>
                </c:pt>
                <c:pt idx="48">
                  <c:v>50</c:v>
                </c:pt>
                <c:pt idx="49">
                  <c:v>50</c:v>
                </c:pt>
                <c:pt idx="50">
                  <c:v>50</c:v>
                </c:pt>
                <c:pt idx="51">
                  <c:v>50</c:v>
                </c:pt>
                <c:pt idx="52">
                  <c:v>50</c:v>
                </c:pt>
                <c:pt idx="53">
                  <c:v>50</c:v>
                </c:pt>
                <c:pt idx="54">
                  <c:v>50</c:v>
                </c:pt>
                <c:pt idx="55">
                  <c:v>50</c:v>
                </c:pt>
                <c:pt idx="56">
                  <c:v>50</c:v>
                </c:pt>
                <c:pt idx="57">
                  <c:v>50</c:v>
                </c:pt>
                <c:pt idx="58">
                  <c:v>50</c:v>
                </c:pt>
                <c:pt idx="59">
                  <c:v>50</c:v>
                </c:pt>
                <c:pt idx="60">
                  <c:v>50</c:v>
                </c:pt>
                <c:pt idx="61">
                  <c:v>50</c:v>
                </c:pt>
                <c:pt idx="62">
                  <c:v>50</c:v>
                </c:pt>
                <c:pt idx="63">
                  <c:v>50</c:v>
                </c:pt>
                <c:pt idx="64">
                  <c:v>50</c:v>
                </c:pt>
                <c:pt idx="65">
                  <c:v>50</c:v>
                </c:pt>
                <c:pt idx="66">
                  <c:v>50</c:v>
                </c:pt>
                <c:pt idx="67">
                  <c:v>50</c:v>
                </c:pt>
                <c:pt idx="68">
                  <c:v>50</c:v>
                </c:pt>
                <c:pt idx="69">
                  <c:v>50</c:v>
                </c:pt>
                <c:pt idx="70">
                  <c:v>50</c:v>
                </c:pt>
                <c:pt idx="71">
                  <c:v>50</c:v>
                </c:pt>
                <c:pt idx="72">
                  <c:v>50</c:v>
                </c:pt>
                <c:pt idx="73">
                  <c:v>50</c:v>
                </c:pt>
                <c:pt idx="74">
                  <c:v>50</c:v>
                </c:pt>
                <c:pt idx="75">
                  <c:v>50</c:v>
                </c:pt>
                <c:pt idx="76">
                  <c:v>50</c:v>
                </c:pt>
                <c:pt idx="77">
                  <c:v>50</c:v>
                </c:pt>
                <c:pt idx="78">
                  <c:v>50</c:v>
                </c:pt>
                <c:pt idx="79">
                  <c:v>50</c:v>
                </c:pt>
                <c:pt idx="80">
                  <c:v>50</c:v>
                </c:pt>
                <c:pt idx="81">
                  <c:v>50</c:v>
                </c:pt>
                <c:pt idx="82">
                  <c:v>50</c:v>
                </c:pt>
                <c:pt idx="83">
                  <c:v>50</c:v>
                </c:pt>
                <c:pt idx="84">
                  <c:v>50</c:v>
                </c:pt>
                <c:pt idx="85">
                  <c:v>50</c:v>
                </c:pt>
                <c:pt idx="86">
                  <c:v>50</c:v>
                </c:pt>
                <c:pt idx="87">
                  <c:v>50</c:v>
                </c:pt>
                <c:pt idx="88">
                  <c:v>50</c:v>
                </c:pt>
                <c:pt idx="89">
                  <c:v>50</c:v>
                </c:pt>
                <c:pt idx="90">
                  <c:v>50</c:v>
                </c:pt>
                <c:pt idx="91">
                  <c:v>50</c:v>
                </c:pt>
                <c:pt idx="92">
                  <c:v>50</c:v>
                </c:pt>
                <c:pt idx="93">
                  <c:v>50</c:v>
                </c:pt>
                <c:pt idx="94">
                  <c:v>50</c:v>
                </c:pt>
                <c:pt idx="95">
                  <c:v>50</c:v>
                </c:pt>
                <c:pt idx="96">
                  <c:v>50</c:v>
                </c:pt>
                <c:pt idx="97">
                  <c:v>50</c:v>
                </c:pt>
                <c:pt idx="98">
                  <c:v>50</c:v>
                </c:pt>
                <c:pt idx="99">
                  <c:v>50</c:v>
                </c:pt>
                <c:pt idx="100">
                  <c:v>50</c:v>
                </c:pt>
                <c:pt idx="101">
                  <c:v>50</c:v>
                </c:pt>
                <c:pt idx="102">
                  <c:v>50</c:v>
                </c:pt>
                <c:pt idx="103">
                  <c:v>50</c:v>
                </c:pt>
                <c:pt idx="104">
                  <c:v>50</c:v>
                </c:pt>
                <c:pt idx="105">
                  <c:v>50</c:v>
                </c:pt>
                <c:pt idx="106">
                  <c:v>50</c:v>
                </c:pt>
                <c:pt idx="107">
                  <c:v>50</c:v>
                </c:pt>
                <c:pt idx="108">
                  <c:v>50</c:v>
                </c:pt>
                <c:pt idx="109">
                  <c:v>50</c:v>
                </c:pt>
                <c:pt idx="110">
                  <c:v>50</c:v>
                </c:pt>
                <c:pt idx="111">
                  <c:v>50</c:v>
                </c:pt>
                <c:pt idx="112">
                  <c:v>50</c:v>
                </c:pt>
                <c:pt idx="113">
                  <c:v>50</c:v>
                </c:pt>
                <c:pt idx="114">
                  <c:v>50</c:v>
                </c:pt>
                <c:pt idx="115">
                  <c:v>50</c:v>
                </c:pt>
                <c:pt idx="116">
                  <c:v>50</c:v>
                </c:pt>
                <c:pt idx="117">
                  <c:v>50</c:v>
                </c:pt>
                <c:pt idx="118">
                  <c:v>50</c:v>
                </c:pt>
                <c:pt idx="119">
                  <c:v>50</c:v>
                </c:pt>
                <c:pt idx="120">
                  <c:v>50</c:v>
                </c:pt>
                <c:pt idx="121">
                  <c:v>50</c:v>
                </c:pt>
                <c:pt idx="122">
                  <c:v>50</c:v>
                </c:pt>
                <c:pt idx="123">
                  <c:v>50</c:v>
                </c:pt>
                <c:pt idx="124">
                  <c:v>50</c:v>
                </c:pt>
                <c:pt idx="125">
                  <c:v>50</c:v>
                </c:pt>
                <c:pt idx="126">
                  <c:v>50</c:v>
                </c:pt>
                <c:pt idx="127">
                  <c:v>50</c:v>
                </c:pt>
                <c:pt idx="128">
                  <c:v>50</c:v>
                </c:pt>
                <c:pt idx="129">
                  <c:v>50</c:v>
                </c:pt>
                <c:pt idx="130">
                  <c:v>50</c:v>
                </c:pt>
                <c:pt idx="131">
                  <c:v>50</c:v>
                </c:pt>
                <c:pt idx="132">
                  <c:v>50</c:v>
                </c:pt>
                <c:pt idx="133">
                  <c:v>50</c:v>
                </c:pt>
                <c:pt idx="134">
                  <c:v>50</c:v>
                </c:pt>
                <c:pt idx="135">
                  <c:v>50</c:v>
                </c:pt>
                <c:pt idx="136">
                  <c:v>50</c:v>
                </c:pt>
                <c:pt idx="137">
                  <c:v>50</c:v>
                </c:pt>
                <c:pt idx="138">
                  <c:v>50</c:v>
                </c:pt>
                <c:pt idx="139">
                  <c:v>50</c:v>
                </c:pt>
                <c:pt idx="140">
                  <c:v>50</c:v>
                </c:pt>
                <c:pt idx="141">
                  <c:v>50</c:v>
                </c:pt>
                <c:pt idx="142">
                  <c:v>50</c:v>
                </c:pt>
                <c:pt idx="143">
                  <c:v>50</c:v>
                </c:pt>
                <c:pt idx="144">
                  <c:v>50</c:v>
                </c:pt>
                <c:pt idx="145">
                  <c:v>50</c:v>
                </c:pt>
                <c:pt idx="146">
                  <c:v>50</c:v>
                </c:pt>
                <c:pt idx="147">
                  <c:v>50</c:v>
                </c:pt>
                <c:pt idx="148">
                  <c:v>50</c:v>
                </c:pt>
                <c:pt idx="149">
                  <c:v>50</c:v>
                </c:pt>
                <c:pt idx="150">
                  <c:v>50</c:v>
                </c:pt>
                <c:pt idx="151">
                  <c:v>50</c:v>
                </c:pt>
                <c:pt idx="152">
                  <c:v>50</c:v>
                </c:pt>
                <c:pt idx="153">
                  <c:v>50</c:v>
                </c:pt>
                <c:pt idx="154">
                  <c:v>50</c:v>
                </c:pt>
                <c:pt idx="155">
                  <c:v>50</c:v>
                </c:pt>
                <c:pt idx="156">
                  <c:v>50</c:v>
                </c:pt>
                <c:pt idx="157">
                  <c:v>50</c:v>
                </c:pt>
                <c:pt idx="158">
                  <c:v>50</c:v>
                </c:pt>
                <c:pt idx="159">
                  <c:v>50</c:v>
                </c:pt>
                <c:pt idx="160">
                  <c:v>50</c:v>
                </c:pt>
                <c:pt idx="161">
                  <c:v>50</c:v>
                </c:pt>
                <c:pt idx="162">
                  <c:v>50</c:v>
                </c:pt>
                <c:pt idx="163">
                  <c:v>50</c:v>
                </c:pt>
                <c:pt idx="164">
                  <c:v>50</c:v>
                </c:pt>
                <c:pt idx="165">
                  <c:v>50</c:v>
                </c:pt>
                <c:pt idx="166">
                  <c:v>50</c:v>
                </c:pt>
                <c:pt idx="167">
                  <c:v>50</c:v>
                </c:pt>
                <c:pt idx="168">
                  <c:v>50</c:v>
                </c:pt>
                <c:pt idx="169">
                  <c:v>50</c:v>
                </c:pt>
                <c:pt idx="170">
                  <c:v>50</c:v>
                </c:pt>
                <c:pt idx="171">
                  <c:v>50</c:v>
                </c:pt>
                <c:pt idx="172">
                  <c:v>50</c:v>
                </c:pt>
                <c:pt idx="173">
                  <c:v>50</c:v>
                </c:pt>
                <c:pt idx="174">
                  <c:v>50</c:v>
                </c:pt>
                <c:pt idx="175">
                  <c:v>50</c:v>
                </c:pt>
                <c:pt idx="176">
                  <c:v>50</c:v>
                </c:pt>
                <c:pt idx="177">
                  <c:v>50</c:v>
                </c:pt>
                <c:pt idx="178">
                  <c:v>50</c:v>
                </c:pt>
                <c:pt idx="179">
                  <c:v>50</c:v>
                </c:pt>
                <c:pt idx="180">
                  <c:v>50</c:v>
                </c:pt>
                <c:pt idx="181">
                  <c:v>50</c:v>
                </c:pt>
                <c:pt idx="182">
                  <c:v>50</c:v>
                </c:pt>
                <c:pt idx="183">
                  <c:v>50</c:v>
                </c:pt>
                <c:pt idx="184">
                  <c:v>50</c:v>
                </c:pt>
                <c:pt idx="185">
                  <c:v>50</c:v>
                </c:pt>
                <c:pt idx="186">
                  <c:v>50</c:v>
                </c:pt>
                <c:pt idx="187">
                  <c:v>50</c:v>
                </c:pt>
                <c:pt idx="188">
                  <c:v>50</c:v>
                </c:pt>
                <c:pt idx="189">
                  <c:v>50</c:v>
                </c:pt>
                <c:pt idx="190">
                  <c:v>50</c:v>
                </c:pt>
                <c:pt idx="191">
                  <c:v>50</c:v>
                </c:pt>
                <c:pt idx="192">
                  <c:v>50</c:v>
                </c:pt>
                <c:pt idx="193">
                  <c:v>50</c:v>
                </c:pt>
                <c:pt idx="194">
                  <c:v>50</c:v>
                </c:pt>
                <c:pt idx="195">
                  <c:v>50</c:v>
                </c:pt>
                <c:pt idx="196">
                  <c:v>50</c:v>
                </c:pt>
                <c:pt idx="197">
                  <c:v>50</c:v>
                </c:pt>
                <c:pt idx="198">
                  <c:v>50</c:v>
                </c:pt>
                <c:pt idx="199">
                  <c:v>50</c:v>
                </c:pt>
                <c:pt idx="200">
                  <c:v>50</c:v>
                </c:pt>
                <c:pt idx="201">
                  <c:v>50</c:v>
                </c:pt>
                <c:pt idx="202">
                  <c:v>50</c:v>
                </c:pt>
                <c:pt idx="203">
                  <c:v>50</c:v>
                </c:pt>
                <c:pt idx="204">
                  <c:v>50</c:v>
                </c:pt>
                <c:pt idx="205">
                  <c:v>50</c:v>
                </c:pt>
                <c:pt idx="206">
                  <c:v>50</c:v>
                </c:pt>
                <c:pt idx="207">
                  <c:v>50</c:v>
                </c:pt>
                <c:pt idx="208">
                  <c:v>50</c:v>
                </c:pt>
                <c:pt idx="209">
                  <c:v>50</c:v>
                </c:pt>
                <c:pt idx="210">
                  <c:v>50</c:v>
                </c:pt>
                <c:pt idx="211">
                  <c:v>50</c:v>
                </c:pt>
                <c:pt idx="212">
                  <c:v>50</c:v>
                </c:pt>
                <c:pt idx="213">
                  <c:v>50</c:v>
                </c:pt>
                <c:pt idx="214">
                  <c:v>50</c:v>
                </c:pt>
                <c:pt idx="215">
                  <c:v>50</c:v>
                </c:pt>
                <c:pt idx="216">
                  <c:v>50</c:v>
                </c:pt>
                <c:pt idx="217">
                  <c:v>50</c:v>
                </c:pt>
                <c:pt idx="218">
                  <c:v>50</c:v>
                </c:pt>
                <c:pt idx="219">
                  <c:v>50</c:v>
                </c:pt>
                <c:pt idx="220">
                  <c:v>50</c:v>
                </c:pt>
                <c:pt idx="221">
                  <c:v>50</c:v>
                </c:pt>
                <c:pt idx="222">
                  <c:v>50</c:v>
                </c:pt>
                <c:pt idx="223">
                  <c:v>50</c:v>
                </c:pt>
                <c:pt idx="224">
                  <c:v>50</c:v>
                </c:pt>
                <c:pt idx="225">
                  <c:v>50</c:v>
                </c:pt>
                <c:pt idx="226">
                  <c:v>50</c:v>
                </c:pt>
                <c:pt idx="227">
                  <c:v>50</c:v>
                </c:pt>
                <c:pt idx="228">
                  <c:v>50</c:v>
                </c:pt>
                <c:pt idx="229">
                  <c:v>50</c:v>
                </c:pt>
                <c:pt idx="230">
                  <c:v>50</c:v>
                </c:pt>
                <c:pt idx="231">
                  <c:v>50</c:v>
                </c:pt>
                <c:pt idx="232">
                  <c:v>50</c:v>
                </c:pt>
                <c:pt idx="233">
                  <c:v>50</c:v>
                </c:pt>
                <c:pt idx="234">
                  <c:v>50</c:v>
                </c:pt>
                <c:pt idx="235">
                  <c:v>50</c:v>
                </c:pt>
                <c:pt idx="236">
                  <c:v>50</c:v>
                </c:pt>
                <c:pt idx="237">
                  <c:v>50</c:v>
                </c:pt>
                <c:pt idx="238">
                  <c:v>50</c:v>
                </c:pt>
                <c:pt idx="239">
                  <c:v>50</c:v>
                </c:pt>
                <c:pt idx="240">
                  <c:v>50</c:v>
                </c:pt>
                <c:pt idx="241">
                  <c:v>50</c:v>
                </c:pt>
                <c:pt idx="242">
                  <c:v>50</c:v>
                </c:pt>
                <c:pt idx="243">
                  <c:v>50</c:v>
                </c:pt>
                <c:pt idx="244">
                  <c:v>50</c:v>
                </c:pt>
                <c:pt idx="245">
                  <c:v>50</c:v>
                </c:pt>
                <c:pt idx="246">
                  <c:v>50</c:v>
                </c:pt>
                <c:pt idx="247">
                  <c:v>50</c:v>
                </c:pt>
                <c:pt idx="248">
                  <c:v>50</c:v>
                </c:pt>
                <c:pt idx="249">
                  <c:v>50</c:v>
                </c:pt>
                <c:pt idx="250">
                  <c:v>50</c:v>
                </c:pt>
                <c:pt idx="251">
                  <c:v>50</c:v>
                </c:pt>
                <c:pt idx="252">
                  <c:v>50</c:v>
                </c:pt>
                <c:pt idx="253">
                  <c:v>50</c:v>
                </c:pt>
                <c:pt idx="254">
                  <c:v>50</c:v>
                </c:pt>
                <c:pt idx="255">
                  <c:v>50</c:v>
                </c:pt>
                <c:pt idx="256">
                  <c:v>50</c:v>
                </c:pt>
                <c:pt idx="257">
                  <c:v>50</c:v>
                </c:pt>
                <c:pt idx="258">
                  <c:v>50</c:v>
                </c:pt>
                <c:pt idx="259">
                  <c:v>50</c:v>
                </c:pt>
                <c:pt idx="260">
                  <c:v>50</c:v>
                </c:pt>
                <c:pt idx="261">
                  <c:v>50</c:v>
                </c:pt>
                <c:pt idx="262">
                  <c:v>50</c:v>
                </c:pt>
                <c:pt idx="263">
                  <c:v>50</c:v>
                </c:pt>
                <c:pt idx="264">
                  <c:v>50</c:v>
                </c:pt>
                <c:pt idx="265">
                  <c:v>50</c:v>
                </c:pt>
                <c:pt idx="266">
                  <c:v>50</c:v>
                </c:pt>
                <c:pt idx="267">
                  <c:v>50</c:v>
                </c:pt>
                <c:pt idx="268">
                  <c:v>50</c:v>
                </c:pt>
                <c:pt idx="269">
                  <c:v>50</c:v>
                </c:pt>
                <c:pt idx="270">
                  <c:v>50</c:v>
                </c:pt>
                <c:pt idx="271">
                  <c:v>50</c:v>
                </c:pt>
                <c:pt idx="272">
                  <c:v>50</c:v>
                </c:pt>
                <c:pt idx="273">
                  <c:v>50</c:v>
                </c:pt>
                <c:pt idx="274">
                  <c:v>50</c:v>
                </c:pt>
                <c:pt idx="275">
                  <c:v>50</c:v>
                </c:pt>
                <c:pt idx="276">
                  <c:v>50</c:v>
                </c:pt>
                <c:pt idx="277">
                  <c:v>50</c:v>
                </c:pt>
                <c:pt idx="278">
                  <c:v>50</c:v>
                </c:pt>
                <c:pt idx="279">
                  <c:v>50</c:v>
                </c:pt>
                <c:pt idx="280">
                  <c:v>50</c:v>
                </c:pt>
                <c:pt idx="281">
                  <c:v>50</c:v>
                </c:pt>
                <c:pt idx="282">
                  <c:v>50</c:v>
                </c:pt>
                <c:pt idx="283">
                  <c:v>50</c:v>
                </c:pt>
                <c:pt idx="284">
                  <c:v>50</c:v>
                </c:pt>
                <c:pt idx="285">
                  <c:v>50</c:v>
                </c:pt>
                <c:pt idx="286">
                  <c:v>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04D-4F42-BCCB-11FEEEB6AE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70"/>
          <c:min val="35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31163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84015072"/>
        <c:crosses val="max"/>
        <c:crossBetween val="between"/>
      </c:valAx>
      <c:catAx>
        <c:axId val="5840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116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'Labor Market'!$I$2</c:f>
              <c:strCache>
                <c:ptCount val="1"/>
                <c:pt idx="0">
                  <c:v>RDI m/m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'Labor Market'!$A$891:$A$914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'Labor Market'!$I$891:$I$914</c:f>
              <c:numCache>
                <c:formatCode>0.0%</c:formatCode>
                <c:ptCount val="24"/>
                <c:pt idx="0">
                  <c:v>-2.0568261412431177E-2</c:v>
                </c:pt>
                <c:pt idx="1">
                  <c:v>7.4001293467995666E-4</c:v>
                </c:pt>
                <c:pt idx="2">
                  <c:v>-4.0142424826163925E-3</c:v>
                </c:pt>
                <c:pt idx="3">
                  <c:v>9.046611887872924E-4</c:v>
                </c:pt>
                <c:pt idx="4">
                  <c:v>-1.2092802912245793E-3</c:v>
                </c:pt>
                <c:pt idx="5">
                  <c:v>-3.7320884717161329E-3</c:v>
                </c:pt>
                <c:pt idx="6">
                  <c:v>9.1396569653081627E-3</c:v>
                </c:pt>
                <c:pt idx="7">
                  <c:v>3.2341566672666744E-3</c:v>
                </c:pt>
                <c:pt idx="8">
                  <c:v>1.4540819483459533E-3</c:v>
                </c:pt>
                <c:pt idx="9">
                  <c:v>2.3849390481252009E-3</c:v>
                </c:pt>
                <c:pt idx="10">
                  <c:v>3.7599778099672854E-4</c:v>
                </c:pt>
                <c:pt idx="11">
                  <c:v>2.1873613644205481E-3</c:v>
                </c:pt>
                <c:pt idx="12">
                  <c:v>2.0706912346066142E-2</c:v>
                </c:pt>
                <c:pt idx="13">
                  <c:v>3.2646865720187268E-3</c:v>
                </c:pt>
                <c:pt idx="14">
                  <c:v>4.4488205522301705E-3</c:v>
                </c:pt>
                <c:pt idx="15">
                  <c:v>2.0143214067973592E-3</c:v>
                </c:pt>
                <c:pt idx="16">
                  <c:v>3.2569986697605913E-3</c:v>
                </c:pt>
                <c:pt idx="17">
                  <c:v>-5.3512501114838518E-4</c:v>
                </c:pt>
                <c:pt idx="18">
                  <c:v>-6.5439186174409691E-5</c:v>
                </c:pt>
                <c:pt idx="19">
                  <c:v>3.6886318745366076E-4</c:v>
                </c:pt>
                <c:pt idx="20">
                  <c:v>-6.0066846668960228E-4</c:v>
                </c:pt>
                <c:pt idx="21">
                  <c:v>2.6123954893035872E-3</c:v>
                </c:pt>
                <c:pt idx="22">
                  <c:v>4.2437264072552328E-3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CF-4DB6-B830-B708B46C85D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2"/>
          <c:order val="0"/>
          <c:tx>
            <c:strRef>
              <c:f>'Labor Market'!$H$2</c:f>
              <c:strCache>
                <c:ptCount val="1"/>
                <c:pt idx="0">
                  <c:v>Real Disposable Income (RDI)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cat>
            <c:numRef>
              <c:f>'Labor Market'!$A$627:$A$914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'Labor Market'!$H$627:$H$914</c:f>
              <c:numCache>
                <c:formatCode>#,##0.0</c:formatCode>
                <c:ptCount val="288"/>
                <c:pt idx="0">
                  <c:v>9799.9</c:v>
                </c:pt>
                <c:pt idx="1">
                  <c:v>9837.9</c:v>
                </c:pt>
                <c:pt idx="2">
                  <c:v>9864</c:v>
                </c:pt>
                <c:pt idx="3">
                  <c:v>9913.7000000000007</c:v>
                </c:pt>
                <c:pt idx="4">
                  <c:v>9954.5</c:v>
                </c:pt>
                <c:pt idx="5">
                  <c:v>9982.2999999999993</c:v>
                </c:pt>
                <c:pt idx="6">
                  <c:v>10035.9</c:v>
                </c:pt>
                <c:pt idx="7">
                  <c:v>10098.299999999999</c:v>
                </c:pt>
                <c:pt idx="8">
                  <c:v>10110.299999999999</c:v>
                </c:pt>
                <c:pt idx="9">
                  <c:v>10139.200000000001</c:v>
                </c:pt>
                <c:pt idx="10">
                  <c:v>10143.5</c:v>
                </c:pt>
                <c:pt idx="11">
                  <c:v>10164.299999999999</c:v>
                </c:pt>
                <c:pt idx="12">
                  <c:v>10211.700000000001</c:v>
                </c:pt>
                <c:pt idx="13">
                  <c:v>10223.4</c:v>
                </c:pt>
                <c:pt idx="14">
                  <c:v>10254.4</c:v>
                </c:pt>
                <c:pt idx="15">
                  <c:v>10233.1</c:v>
                </c:pt>
                <c:pt idx="16">
                  <c:v>10214.700000000001</c:v>
                </c:pt>
                <c:pt idx="17">
                  <c:v>10218.1</c:v>
                </c:pt>
                <c:pt idx="18">
                  <c:v>10370.700000000001</c:v>
                </c:pt>
                <c:pt idx="19">
                  <c:v>10543.1</c:v>
                </c:pt>
                <c:pt idx="20">
                  <c:v>10452.799999999999</c:v>
                </c:pt>
                <c:pt idx="21">
                  <c:v>10267.700000000001</c:v>
                </c:pt>
                <c:pt idx="22">
                  <c:v>10279.700000000001</c:v>
                </c:pt>
                <c:pt idx="23">
                  <c:v>10298.9</c:v>
                </c:pt>
                <c:pt idx="24">
                  <c:v>10514.7</c:v>
                </c:pt>
                <c:pt idx="25">
                  <c:v>10531.6</c:v>
                </c:pt>
                <c:pt idx="26">
                  <c:v>10539</c:v>
                </c:pt>
                <c:pt idx="27">
                  <c:v>10574.2</c:v>
                </c:pt>
                <c:pt idx="28">
                  <c:v>10616.5</c:v>
                </c:pt>
                <c:pt idx="29">
                  <c:v>10648.2</c:v>
                </c:pt>
                <c:pt idx="30">
                  <c:v>10621</c:v>
                </c:pt>
                <c:pt idx="31">
                  <c:v>10623</c:v>
                </c:pt>
                <c:pt idx="32">
                  <c:v>10633.6</c:v>
                </c:pt>
                <c:pt idx="33">
                  <c:v>10661.8</c:v>
                </c:pt>
                <c:pt idx="34">
                  <c:v>10690.9</c:v>
                </c:pt>
                <c:pt idx="35">
                  <c:v>10719.9</c:v>
                </c:pt>
                <c:pt idx="36">
                  <c:v>10710.4</c:v>
                </c:pt>
                <c:pt idx="37">
                  <c:v>10674</c:v>
                </c:pt>
                <c:pt idx="38">
                  <c:v>10696.5</c:v>
                </c:pt>
                <c:pt idx="39">
                  <c:v>10752.7</c:v>
                </c:pt>
                <c:pt idx="40">
                  <c:v>10832</c:v>
                </c:pt>
                <c:pt idx="41">
                  <c:v>10860.6</c:v>
                </c:pt>
                <c:pt idx="42">
                  <c:v>10991.1</c:v>
                </c:pt>
                <c:pt idx="43">
                  <c:v>11066.7</c:v>
                </c:pt>
                <c:pt idx="44">
                  <c:v>10940.8</c:v>
                </c:pt>
                <c:pt idx="45">
                  <c:v>10982.3</c:v>
                </c:pt>
                <c:pt idx="46">
                  <c:v>11048.4</c:v>
                </c:pt>
                <c:pt idx="47">
                  <c:v>11057.2</c:v>
                </c:pt>
                <c:pt idx="48">
                  <c:v>11051.2</c:v>
                </c:pt>
                <c:pt idx="49">
                  <c:v>11071</c:v>
                </c:pt>
                <c:pt idx="50">
                  <c:v>11115.6</c:v>
                </c:pt>
                <c:pt idx="51">
                  <c:v>11153.3</c:v>
                </c:pt>
                <c:pt idx="52">
                  <c:v>11208.9</c:v>
                </c:pt>
                <c:pt idx="53">
                  <c:v>11215.8</c:v>
                </c:pt>
                <c:pt idx="54">
                  <c:v>11240.5</c:v>
                </c:pt>
                <c:pt idx="55">
                  <c:v>11274.6</c:v>
                </c:pt>
                <c:pt idx="56">
                  <c:v>11279.6</c:v>
                </c:pt>
                <c:pt idx="57">
                  <c:v>11282.5</c:v>
                </c:pt>
                <c:pt idx="58">
                  <c:v>11246.1</c:v>
                </c:pt>
                <c:pt idx="59">
                  <c:v>11659</c:v>
                </c:pt>
                <c:pt idx="60">
                  <c:v>11226.5</c:v>
                </c:pt>
                <c:pt idx="61">
                  <c:v>11229</c:v>
                </c:pt>
                <c:pt idx="62">
                  <c:v>11268.8</c:v>
                </c:pt>
                <c:pt idx="63">
                  <c:v>11304.2</c:v>
                </c:pt>
                <c:pt idx="64">
                  <c:v>11352.7</c:v>
                </c:pt>
                <c:pt idx="65">
                  <c:v>11375.5</c:v>
                </c:pt>
                <c:pt idx="66">
                  <c:v>11387.1</c:v>
                </c:pt>
                <c:pt idx="67">
                  <c:v>11405.3</c:v>
                </c:pt>
                <c:pt idx="68">
                  <c:v>11365.2</c:v>
                </c:pt>
                <c:pt idx="69">
                  <c:v>11428.7</c:v>
                </c:pt>
                <c:pt idx="70">
                  <c:v>11500.1</c:v>
                </c:pt>
                <c:pt idx="71">
                  <c:v>11535.2</c:v>
                </c:pt>
                <c:pt idx="72">
                  <c:v>11651.8</c:v>
                </c:pt>
                <c:pt idx="73">
                  <c:v>11702.8</c:v>
                </c:pt>
                <c:pt idx="74">
                  <c:v>11747.5</c:v>
                </c:pt>
                <c:pt idx="75">
                  <c:v>11744.4</c:v>
                </c:pt>
                <c:pt idx="76">
                  <c:v>11736.8</c:v>
                </c:pt>
                <c:pt idx="77">
                  <c:v>11751.9</c:v>
                </c:pt>
                <c:pt idx="78">
                  <c:v>11746.9</c:v>
                </c:pt>
                <c:pt idx="79">
                  <c:v>11737</c:v>
                </c:pt>
                <c:pt idx="80">
                  <c:v>11800.1</c:v>
                </c:pt>
                <c:pt idx="81">
                  <c:v>11853.7</c:v>
                </c:pt>
                <c:pt idx="82">
                  <c:v>11901.9</c:v>
                </c:pt>
                <c:pt idx="83">
                  <c:v>11958.6</c:v>
                </c:pt>
                <c:pt idx="84">
                  <c:v>11956.6</c:v>
                </c:pt>
                <c:pt idx="85">
                  <c:v>11996</c:v>
                </c:pt>
                <c:pt idx="86">
                  <c:v>12035.1</c:v>
                </c:pt>
                <c:pt idx="87">
                  <c:v>12052.8</c:v>
                </c:pt>
                <c:pt idx="88">
                  <c:v>12059.9</c:v>
                </c:pt>
                <c:pt idx="89">
                  <c:v>12053.3</c:v>
                </c:pt>
                <c:pt idx="90">
                  <c:v>12066.4</c:v>
                </c:pt>
                <c:pt idx="91">
                  <c:v>12070.9</c:v>
                </c:pt>
                <c:pt idx="92">
                  <c:v>12089.6</c:v>
                </c:pt>
                <c:pt idx="93">
                  <c:v>12080.4</c:v>
                </c:pt>
                <c:pt idx="94">
                  <c:v>12070.1</c:v>
                </c:pt>
                <c:pt idx="95">
                  <c:v>12120.5</c:v>
                </c:pt>
                <c:pt idx="96">
                  <c:v>12137.1</c:v>
                </c:pt>
                <c:pt idx="97">
                  <c:v>12141.8</c:v>
                </c:pt>
                <c:pt idx="98">
                  <c:v>12145.9</c:v>
                </c:pt>
                <c:pt idx="99">
                  <c:v>12100.8</c:v>
                </c:pt>
                <c:pt idx="100">
                  <c:v>12696.2</c:v>
                </c:pt>
                <c:pt idx="101">
                  <c:v>12376.6</c:v>
                </c:pt>
                <c:pt idx="102">
                  <c:v>12188.7</c:v>
                </c:pt>
                <c:pt idx="103">
                  <c:v>12120.6</c:v>
                </c:pt>
                <c:pt idx="104">
                  <c:v>12149</c:v>
                </c:pt>
                <c:pt idx="105">
                  <c:v>12240.5</c:v>
                </c:pt>
                <c:pt idx="106">
                  <c:v>12345.9</c:v>
                </c:pt>
                <c:pt idx="107">
                  <c:v>12288.8</c:v>
                </c:pt>
                <c:pt idx="108">
                  <c:v>12361.5</c:v>
                </c:pt>
                <c:pt idx="109">
                  <c:v>12241.9</c:v>
                </c:pt>
                <c:pt idx="110">
                  <c:v>12242.7</c:v>
                </c:pt>
                <c:pt idx="111">
                  <c:v>12320</c:v>
                </c:pt>
                <c:pt idx="112">
                  <c:v>12500.1</c:v>
                </c:pt>
                <c:pt idx="113">
                  <c:v>12273.2</c:v>
                </c:pt>
                <c:pt idx="114">
                  <c:v>12218.7</c:v>
                </c:pt>
                <c:pt idx="115">
                  <c:v>12194.8</c:v>
                </c:pt>
                <c:pt idx="116">
                  <c:v>12230.6</c:v>
                </c:pt>
                <c:pt idx="117">
                  <c:v>12193.2</c:v>
                </c:pt>
                <c:pt idx="118">
                  <c:v>12224.4</c:v>
                </c:pt>
                <c:pt idx="119">
                  <c:v>12280.2</c:v>
                </c:pt>
                <c:pt idx="120">
                  <c:v>12285.8</c:v>
                </c:pt>
                <c:pt idx="121">
                  <c:v>12292</c:v>
                </c:pt>
                <c:pt idx="122">
                  <c:v>12340.3</c:v>
                </c:pt>
                <c:pt idx="123">
                  <c:v>12447.1</c:v>
                </c:pt>
                <c:pt idx="124">
                  <c:v>12540.3</c:v>
                </c:pt>
                <c:pt idx="125">
                  <c:v>12544.3</c:v>
                </c:pt>
                <c:pt idx="126">
                  <c:v>12554.2</c:v>
                </c:pt>
                <c:pt idx="127">
                  <c:v>12591.4</c:v>
                </c:pt>
                <c:pt idx="128">
                  <c:v>12589.9</c:v>
                </c:pt>
                <c:pt idx="129">
                  <c:v>12592.5</c:v>
                </c:pt>
                <c:pt idx="130">
                  <c:v>12605.1</c:v>
                </c:pt>
                <c:pt idx="131">
                  <c:v>12680.6</c:v>
                </c:pt>
                <c:pt idx="132">
                  <c:v>12740.1</c:v>
                </c:pt>
                <c:pt idx="133">
                  <c:v>12776.6</c:v>
                </c:pt>
                <c:pt idx="134">
                  <c:v>12742.7</c:v>
                </c:pt>
                <c:pt idx="135">
                  <c:v>12721.3</c:v>
                </c:pt>
                <c:pt idx="136">
                  <c:v>12705.3</c:v>
                </c:pt>
                <c:pt idx="137">
                  <c:v>12756.9</c:v>
                </c:pt>
                <c:pt idx="138">
                  <c:v>12805.6</c:v>
                </c:pt>
                <c:pt idx="139">
                  <c:v>12799.7</c:v>
                </c:pt>
                <c:pt idx="140">
                  <c:v>12781.7</c:v>
                </c:pt>
                <c:pt idx="141">
                  <c:v>12791.9</c:v>
                </c:pt>
                <c:pt idx="142">
                  <c:v>12782.7</c:v>
                </c:pt>
                <c:pt idx="143">
                  <c:v>12898.5</c:v>
                </c:pt>
                <c:pt idx="144">
                  <c:v>12967.5</c:v>
                </c:pt>
                <c:pt idx="145">
                  <c:v>13029.6</c:v>
                </c:pt>
                <c:pt idx="146">
                  <c:v>13066.4</c:v>
                </c:pt>
                <c:pt idx="147">
                  <c:v>13116.5</c:v>
                </c:pt>
                <c:pt idx="148">
                  <c:v>13112.5</c:v>
                </c:pt>
                <c:pt idx="149">
                  <c:v>13097.2</c:v>
                </c:pt>
                <c:pt idx="150">
                  <c:v>12999.8</c:v>
                </c:pt>
                <c:pt idx="151">
                  <c:v>12961.6</c:v>
                </c:pt>
                <c:pt idx="152">
                  <c:v>13053.1</c:v>
                </c:pt>
                <c:pt idx="153">
                  <c:v>13142</c:v>
                </c:pt>
                <c:pt idx="154">
                  <c:v>13315.7</c:v>
                </c:pt>
                <c:pt idx="155">
                  <c:v>13642.7</c:v>
                </c:pt>
                <c:pt idx="156">
                  <c:v>12845.5</c:v>
                </c:pt>
                <c:pt idx="157">
                  <c:v>12813.9</c:v>
                </c:pt>
                <c:pt idx="158">
                  <c:v>12852.1</c:v>
                </c:pt>
                <c:pt idx="159">
                  <c:v>12893.4</c:v>
                </c:pt>
                <c:pt idx="160">
                  <c:v>12954.2</c:v>
                </c:pt>
                <c:pt idx="161">
                  <c:v>12955.7</c:v>
                </c:pt>
                <c:pt idx="162">
                  <c:v>12941.8</c:v>
                </c:pt>
                <c:pt idx="163">
                  <c:v>12969.6</c:v>
                </c:pt>
                <c:pt idx="164">
                  <c:v>13027.5</c:v>
                </c:pt>
                <c:pt idx="165">
                  <c:v>12974.6</c:v>
                </c:pt>
                <c:pt idx="166">
                  <c:v>12998.9</c:v>
                </c:pt>
                <c:pt idx="167">
                  <c:v>13019.1</c:v>
                </c:pt>
                <c:pt idx="168">
                  <c:v>13079.5</c:v>
                </c:pt>
                <c:pt idx="169">
                  <c:v>13148</c:v>
                </c:pt>
                <c:pt idx="170">
                  <c:v>13219.9</c:v>
                </c:pt>
                <c:pt idx="171">
                  <c:v>13270.2</c:v>
                </c:pt>
                <c:pt idx="172">
                  <c:v>13312.9</c:v>
                </c:pt>
                <c:pt idx="173">
                  <c:v>13360.4</c:v>
                </c:pt>
                <c:pt idx="174">
                  <c:v>13386.8</c:v>
                </c:pt>
                <c:pt idx="175">
                  <c:v>13445.9</c:v>
                </c:pt>
                <c:pt idx="176">
                  <c:v>13486.3</c:v>
                </c:pt>
                <c:pt idx="177">
                  <c:v>13550.7</c:v>
                </c:pt>
                <c:pt idx="178">
                  <c:v>13624.4</c:v>
                </c:pt>
                <c:pt idx="179">
                  <c:v>13719.1</c:v>
                </c:pt>
                <c:pt idx="180">
                  <c:v>13797.7</c:v>
                </c:pt>
                <c:pt idx="181">
                  <c:v>13848</c:v>
                </c:pt>
                <c:pt idx="182">
                  <c:v>13811.3</c:v>
                </c:pt>
                <c:pt idx="183">
                  <c:v>13842</c:v>
                </c:pt>
                <c:pt idx="184">
                  <c:v>13865.6</c:v>
                </c:pt>
                <c:pt idx="185">
                  <c:v>13874.1</c:v>
                </c:pt>
                <c:pt idx="186">
                  <c:v>13905.7</c:v>
                </c:pt>
                <c:pt idx="187">
                  <c:v>13935.8</c:v>
                </c:pt>
                <c:pt idx="188">
                  <c:v>13972.2</c:v>
                </c:pt>
                <c:pt idx="189">
                  <c:v>13996.9</c:v>
                </c:pt>
                <c:pt idx="190">
                  <c:v>13993.4</c:v>
                </c:pt>
                <c:pt idx="191">
                  <c:v>14060.2</c:v>
                </c:pt>
                <c:pt idx="192">
                  <c:v>14121.1</c:v>
                </c:pt>
                <c:pt idx="193">
                  <c:v>14135.3</c:v>
                </c:pt>
                <c:pt idx="194">
                  <c:v>14135.4</c:v>
                </c:pt>
                <c:pt idx="195">
                  <c:v>14106.2</c:v>
                </c:pt>
                <c:pt idx="196">
                  <c:v>14095.5</c:v>
                </c:pt>
                <c:pt idx="197">
                  <c:v>14104.9</c:v>
                </c:pt>
                <c:pt idx="198">
                  <c:v>14160.1</c:v>
                </c:pt>
                <c:pt idx="199">
                  <c:v>14176.7</c:v>
                </c:pt>
                <c:pt idx="200">
                  <c:v>14209.1</c:v>
                </c:pt>
                <c:pt idx="201">
                  <c:v>14235.4</c:v>
                </c:pt>
                <c:pt idx="202">
                  <c:v>14273.6</c:v>
                </c:pt>
                <c:pt idx="203">
                  <c:v>14313.7</c:v>
                </c:pt>
                <c:pt idx="204">
                  <c:v>14373.7</c:v>
                </c:pt>
                <c:pt idx="205">
                  <c:v>14416.8</c:v>
                </c:pt>
                <c:pt idx="206">
                  <c:v>14476.3</c:v>
                </c:pt>
                <c:pt idx="207">
                  <c:v>14509.3</c:v>
                </c:pt>
                <c:pt idx="208">
                  <c:v>14610.7</c:v>
                </c:pt>
                <c:pt idx="209">
                  <c:v>14618.7</c:v>
                </c:pt>
                <c:pt idx="210">
                  <c:v>14660.2</c:v>
                </c:pt>
                <c:pt idx="211">
                  <c:v>14678.3</c:v>
                </c:pt>
                <c:pt idx="212">
                  <c:v>14706</c:v>
                </c:pt>
                <c:pt idx="213">
                  <c:v>14748.6</c:v>
                </c:pt>
                <c:pt idx="214">
                  <c:v>14771.1</c:v>
                </c:pt>
                <c:pt idx="215">
                  <c:v>14797.9</c:v>
                </c:pt>
                <c:pt idx="216">
                  <c:v>14886.6</c:v>
                </c:pt>
                <c:pt idx="217">
                  <c:v>14921.1</c:v>
                </c:pt>
                <c:pt idx="218">
                  <c:v>14974.8</c:v>
                </c:pt>
                <c:pt idx="219">
                  <c:v>15007.2</c:v>
                </c:pt>
                <c:pt idx="220">
                  <c:v>15057.8</c:v>
                </c:pt>
                <c:pt idx="221">
                  <c:v>15119.3</c:v>
                </c:pt>
                <c:pt idx="222">
                  <c:v>15184.7</c:v>
                </c:pt>
                <c:pt idx="223">
                  <c:v>15238.6</c:v>
                </c:pt>
                <c:pt idx="224">
                  <c:v>15237.5</c:v>
                </c:pt>
                <c:pt idx="225">
                  <c:v>15274.1</c:v>
                </c:pt>
                <c:pt idx="226">
                  <c:v>15315.2</c:v>
                </c:pt>
                <c:pt idx="227">
                  <c:v>15506.5</c:v>
                </c:pt>
                <c:pt idx="228">
                  <c:v>15501.7</c:v>
                </c:pt>
                <c:pt idx="229">
                  <c:v>15553.7</c:v>
                </c:pt>
                <c:pt idx="230">
                  <c:v>15568.9</c:v>
                </c:pt>
                <c:pt idx="231">
                  <c:v>15524.4</c:v>
                </c:pt>
                <c:pt idx="232">
                  <c:v>15519.6</c:v>
                </c:pt>
                <c:pt idx="233">
                  <c:v>15546.4</c:v>
                </c:pt>
                <c:pt idx="234">
                  <c:v>15565.7</c:v>
                </c:pt>
                <c:pt idx="235">
                  <c:v>15654.1</c:v>
                </c:pt>
                <c:pt idx="236">
                  <c:v>15691.3</c:v>
                </c:pt>
                <c:pt idx="237">
                  <c:v>15718.1</c:v>
                </c:pt>
                <c:pt idx="238">
                  <c:v>15778.2</c:v>
                </c:pt>
                <c:pt idx="239">
                  <c:v>15684.8</c:v>
                </c:pt>
                <c:pt idx="240">
                  <c:v>15852.5</c:v>
                </c:pt>
                <c:pt idx="241">
                  <c:v>15918</c:v>
                </c:pt>
                <c:pt idx="242">
                  <c:v>15696.3</c:v>
                </c:pt>
                <c:pt idx="243">
                  <c:v>18020.2</c:v>
                </c:pt>
                <c:pt idx="244">
                  <c:v>17104.599999999999</c:v>
                </c:pt>
                <c:pt idx="245">
                  <c:v>17035</c:v>
                </c:pt>
                <c:pt idx="246">
                  <c:v>17193.2</c:v>
                </c:pt>
                <c:pt idx="247">
                  <c:v>16525.8</c:v>
                </c:pt>
                <c:pt idx="248">
                  <c:v>16607.900000000001</c:v>
                </c:pt>
                <c:pt idx="249">
                  <c:v>16561.900000000001</c:v>
                </c:pt>
                <c:pt idx="250">
                  <c:v>16368.1</c:v>
                </c:pt>
                <c:pt idx="251">
                  <c:v>16406.099999999999</c:v>
                </c:pt>
                <c:pt idx="252">
                  <c:v>18107.3</c:v>
                </c:pt>
                <c:pt idx="253">
                  <c:v>16604.900000000001</c:v>
                </c:pt>
                <c:pt idx="254">
                  <c:v>20422.599999999999</c:v>
                </c:pt>
                <c:pt idx="255">
                  <c:v>17316.599999999999</c:v>
                </c:pt>
                <c:pt idx="256">
                  <c:v>16819.099999999999</c:v>
                </c:pt>
                <c:pt idx="257">
                  <c:v>16736.3</c:v>
                </c:pt>
                <c:pt idx="258">
                  <c:v>16836.099999999999</c:v>
                </c:pt>
                <c:pt idx="259">
                  <c:v>16791.7</c:v>
                </c:pt>
                <c:pt idx="260">
                  <c:v>16564.3</c:v>
                </c:pt>
                <c:pt idx="261">
                  <c:v>16547.400000000001</c:v>
                </c:pt>
                <c:pt idx="262">
                  <c:v>16499.8</c:v>
                </c:pt>
                <c:pt idx="263">
                  <c:v>16418.5</c:v>
                </c:pt>
                <c:pt idx="264">
                  <c:v>16080.8</c:v>
                </c:pt>
                <c:pt idx="265">
                  <c:v>16092.7</c:v>
                </c:pt>
                <c:pt idx="266">
                  <c:v>16028.1</c:v>
                </c:pt>
                <c:pt idx="267">
                  <c:v>16042.6</c:v>
                </c:pt>
                <c:pt idx="268">
                  <c:v>16023.2</c:v>
                </c:pt>
                <c:pt idx="269">
                  <c:v>15963.4</c:v>
                </c:pt>
                <c:pt idx="270">
                  <c:v>16109.3</c:v>
                </c:pt>
                <c:pt idx="271">
                  <c:v>16161.4</c:v>
                </c:pt>
                <c:pt idx="272">
                  <c:v>16184.9</c:v>
                </c:pt>
                <c:pt idx="273">
                  <c:v>16223.5</c:v>
                </c:pt>
                <c:pt idx="274">
                  <c:v>16229.6</c:v>
                </c:pt>
                <c:pt idx="275">
                  <c:v>16265.1</c:v>
                </c:pt>
                <c:pt idx="276">
                  <c:v>16601.900000000001</c:v>
                </c:pt>
                <c:pt idx="277">
                  <c:v>16656.099999999999</c:v>
                </c:pt>
                <c:pt idx="278">
                  <c:v>16730.2</c:v>
                </c:pt>
                <c:pt idx="279">
                  <c:v>16763.900000000001</c:v>
                </c:pt>
                <c:pt idx="280">
                  <c:v>16818.5</c:v>
                </c:pt>
                <c:pt idx="281">
                  <c:v>16809.5</c:v>
                </c:pt>
                <c:pt idx="282">
                  <c:v>16808.400000000001</c:v>
                </c:pt>
                <c:pt idx="283">
                  <c:v>16814.599999999999</c:v>
                </c:pt>
                <c:pt idx="284">
                  <c:v>16804.5</c:v>
                </c:pt>
                <c:pt idx="285">
                  <c:v>16848.400000000001</c:v>
                </c:pt>
                <c:pt idx="286">
                  <c:v>16919.900000000001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A66-4441-9FF9-029F831F61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lineChart>
        <c:grouping val="standard"/>
        <c:varyColors val="0"/>
        <c:ser>
          <c:idx val="0"/>
          <c:order val="1"/>
          <c:tx>
            <c:strRef>
              <c:f>'Labor Market'!$J$2</c:f>
              <c:strCache>
                <c:ptCount val="1"/>
                <c:pt idx="0">
                  <c:v>RDI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'Labor Market'!$J$627:$J$914</c:f>
              <c:numCache>
                <c:formatCode>0.0%</c:formatCode>
                <c:ptCount val="288"/>
                <c:pt idx="0">
                  <c:v>3.767431518090647E-2</c:v>
                </c:pt>
                <c:pt idx="1">
                  <c:v>3.8169308372554278E-2</c:v>
                </c:pt>
                <c:pt idx="2">
                  <c:v>4.0056515641969215E-2</c:v>
                </c:pt>
                <c:pt idx="3">
                  <c:v>4.873585105257594E-2</c:v>
                </c:pt>
                <c:pt idx="4">
                  <c:v>5.1239267950112577E-2</c:v>
                </c:pt>
                <c:pt idx="5">
                  <c:v>5.0624651363497586E-2</c:v>
                </c:pt>
                <c:pt idx="6">
                  <c:v>5.4301922470847641E-2</c:v>
                </c:pt>
                <c:pt idx="7">
                  <c:v>5.6406983921080345E-2</c:v>
                </c:pt>
                <c:pt idx="8">
                  <c:v>5.9036106717504255E-2</c:v>
                </c:pt>
                <c:pt idx="9">
                  <c:v>5.6309708606373743E-2</c:v>
                </c:pt>
                <c:pt idx="10">
                  <c:v>4.9953938038899137E-2</c:v>
                </c:pt>
                <c:pt idx="11">
                  <c:v>4.4002095337873248E-2</c:v>
                </c:pt>
                <c:pt idx="12">
                  <c:v>4.2020836947315843E-2</c:v>
                </c:pt>
                <c:pt idx="13">
                  <c:v>3.9185191961699228E-2</c:v>
                </c:pt>
                <c:pt idx="14">
                  <c:v>3.9578264395782714E-2</c:v>
                </c:pt>
                <c:pt idx="15">
                  <c:v>3.2218041699869859E-2</c:v>
                </c:pt>
                <c:pt idx="16">
                  <c:v>2.6138932141242632E-2</c:v>
                </c:pt>
                <c:pt idx="17">
                  <c:v>2.3621810604770532E-2</c:v>
                </c:pt>
                <c:pt idx="18">
                  <c:v>3.3360236750067385E-2</c:v>
                </c:pt>
                <c:pt idx="19">
                  <c:v>4.4047017814879741E-2</c:v>
                </c:pt>
                <c:pt idx="20">
                  <c:v>3.3876343926490859E-2</c:v>
                </c:pt>
                <c:pt idx="21">
                  <c:v>1.2673583714691405E-2</c:v>
                </c:pt>
                <c:pt idx="22">
                  <c:v>1.3427317986888232E-2</c:v>
                </c:pt>
                <c:pt idx="23">
                  <c:v>1.3242426925612172E-2</c:v>
                </c:pt>
                <c:pt idx="24">
                  <c:v>2.9671846999030471E-2</c:v>
                </c:pt>
                <c:pt idx="25">
                  <c:v>3.0146526595848711E-2</c:v>
                </c:pt>
                <c:pt idx="26">
                  <c:v>2.7753939772195313E-2</c:v>
                </c:pt>
                <c:pt idx="27">
                  <c:v>3.3333007593006947E-2</c:v>
                </c:pt>
                <c:pt idx="28">
                  <c:v>3.9335467512506384E-2</c:v>
                </c:pt>
                <c:pt idx="29">
                  <c:v>4.2091974046055469E-2</c:v>
                </c:pt>
                <c:pt idx="30">
                  <c:v>2.4135304270685554E-2</c:v>
                </c:pt>
                <c:pt idx="31">
                  <c:v>7.5784162153444967E-3</c:v>
                </c:pt>
                <c:pt idx="32">
                  <c:v>1.7296800857186767E-2</c:v>
                </c:pt>
                <c:pt idx="33">
                  <c:v>3.838250046261571E-2</c:v>
                </c:pt>
                <c:pt idx="34">
                  <c:v>4.0001167349241529E-2</c:v>
                </c:pt>
                <c:pt idx="35">
                  <c:v>4.0878152035654258E-2</c:v>
                </c:pt>
                <c:pt idx="36">
                  <c:v>1.8612038384357099E-2</c:v>
                </c:pt>
                <c:pt idx="37">
                  <c:v>1.352121235139947E-2</c:v>
                </c:pt>
                <c:pt idx="38">
                  <c:v>1.4944491887275868E-2</c:v>
                </c:pt>
                <c:pt idx="39">
                  <c:v>1.6880709651794001E-2</c:v>
                </c:pt>
                <c:pt idx="40">
                  <c:v>2.029859181462812E-2</c:v>
                </c:pt>
                <c:pt idx="41">
                  <c:v>1.9947033301403128E-2</c:v>
                </c:pt>
                <c:pt idx="42">
                  <c:v>3.4846059693060871E-2</c:v>
                </c:pt>
                <c:pt idx="43">
                  <c:v>4.176786218582329E-2</c:v>
                </c:pt>
                <c:pt idx="44">
                  <c:v>2.8889557628648754E-2</c:v>
                </c:pt>
                <c:pt idx="45">
                  <c:v>3.0060590144253219E-2</c:v>
                </c:pt>
                <c:pt idx="46">
                  <c:v>3.3439654285420284E-2</c:v>
                </c:pt>
                <c:pt idx="47">
                  <c:v>3.1464845754158199E-2</c:v>
                </c:pt>
                <c:pt idx="48">
                  <c:v>3.1819539886465575E-2</c:v>
                </c:pt>
                <c:pt idx="49">
                  <c:v>3.719317968896374E-2</c:v>
                </c:pt>
                <c:pt idx="50">
                  <c:v>3.9181040527275224E-2</c:v>
                </c:pt>
                <c:pt idx="51">
                  <c:v>3.7255759018664847E-2</c:v>
                </c:pt>
                <c:pt idx="52">
                  <c:v>3.4795051698670587E-2</c:v>
                </c:pt>
                <c:pt idx="53">
                  <c:v>3.2705375393624614E-2</c:v>
                </c:pt>
                <c:pt idx="54">
                  <c:v>2.2691086424470708E-2</c:v>
                </c:pt>
                <c:pt idx="55">
                  <c:v>1.8786087993710732E-2</c:v>
                </c:pt>
                <c:pt idx="56">
                  <c:v>3.0966656917227331E-2</c:v>
                </c:pt>
                <c:pt idx="57">
                  <c:v>2.733489341941131E-2</c:v>
                </c:pt>
                <c:pt idx="58">
                  <c:v>1.7893993700445421E-2</c:v>
                </c:pt>
                <c:pt idx="59">
                  <c:v>5.4426075317440148E-2</c:v>
                </c:pt>
                <c:pt idx="60">
                  <c:v>1.5862530765889504E-2</c:v>
                </c:pt>
                <c:pt idx="61">
                  <c:v>1.427152018787825E-2</c:v>
                </c:pt>
                <c:pt idx="62">
                  <c:v>1.378243189751327E-2</c:v>
                </c:pt>
                <c:pt idx="63">
                  <c:v>1.3529628002474814E-2</c:v>
                </c:pt>
                <c:pt idx="64">
                  <c:v>1.2829091168625073E-2</c:v>
                </c:pt>
                <c:pt idx="65">
                  <c:v>1.4238841634123256E-2</c:v>
                </c:pt>
                <c:pt idx="66">
                  <c:v>1.304212446065578E-2</c:v>
                </c:pt>
                <c:pt idx="67">
                  <c:v>1.1592428999698257E-2</c:v>
                </c:pt>
                <c:pt idx="68">
                  <c:v>7.588921592964315E-3</c:v>
                </c:pt>
                <c:pt idx="69">
                  <c:v>1.2958120983824539E-2</c:v>
                </c:pt>
                <c:pt idx="70">
                  <c:v>2.25856074550288E-2</c:v>
                </c:pt>
                <c:pt idx="71">
                  <c:v>-1.0618406381336265E-2</c:v>
                </c:pt>
                <c:pt idx="72">
                  <c:v>3.7883579031755099E-2</c:v>
                </c:pt>
                <c:pt idx="73">
                  <c:v>4.2194318283017118E-2</c:v>
                </c:pt>
                <c:pt idx="74">
                  <c:v>4.2480122107056761E-2</c:v>
                </c:pt>
                <c:pt idx="75">
                  <c:v>3.8941278462872209E-2</c:v>
                </c:pt>
                <c:pt idx="76">
                  <c:v>3.383336122684466E-2</c:v>
                </c:pt>
                <c:pt idx="77">
                  <c:v>3.3088655443716641E-2</c:v>
                </c:pt>
                <c:pt idx="78">
                  <c:v>3.1597158187773866E-2</c:v>
                </c:pt>
                <c:pt idx="79">
                  <c:v>2.9082970198065938E-2</c:v>
                </c:pt>
                <c:pt idx="80">
                  <c:v>3.8265934607397911E-2</c:v>
                </c:pt>
                <c:pt idx="81">
                  <c:v>3.7187081645331466E-2</c:v>
                </c:pt>
                <c:pt idx="82">
                  <c:v>3.4938826618898799E-2</c:v>
                </c:pt>
                <c:pt idx="83">
                  <c:v>3.6705041958526863E-2</c:v>
                </c:pt>
                <c:pt idx="84">
                  <c:v>2.6159048387373707E-2</c:v>
                </c:pt>
                <c:pt idx="85">
                  <c:v>2.5053833270670234E-2</c:v>
                </c:pt>
                <c:pt idx="86">
                  <c:v>2.4481804639284954E-2</c:v>
                </c:pt>
                <c:pt idx="87">
                  <c:v>2.6259323592520589E-2</c:v>
                </c:pt>
                <c:pt idx="88">
                  <c:v>2.752879830959043E-2</c:v>
                </c:pt>
                <c:pt idx="89">
                  <c:v>2.564691666879404E-2</c:v>
                </c:pt>
                <c:pt idx="90">
                  <c:v>2.7198665179749559E-2</c:v>
                </c:pt>
                <c:pt idx="91">
                  <c:v>2.844849620857115E-2</c:v>
                </c:pt>
                <c:pt idx="92">
                  <c:v>2.4533690392454233E-2</c:v>
                </c:pt>
                <c:pt idx="93">
                  <c:v>1.9124830221787237E-2</c:v>
                </c:pt>
                <c:pt idx="94">
                  <c:v>1.4132197380250178E-2</c:v>
                </c:pt>
                <c:pt idx="95">
                  <c:v>1.353837405716396E-2</c:v>
                </c:pt>
                <c:pt idx="96">
                  <c:v>1.5096264824448369E-2</c:v>
                </c:pt>
                <c:pt idx="97">
                  <c:v>1.2154051350450112E-2</c:v>
                </c:pt>
                <c:pt idx="98">
                  <c:v>9.2064045998785371E-3</c:v>
                </c:pt>
                <c:pt idx="99">
                  <c:v>3.9824771007566095E-3</c:v>
                </c:pt>
                <c:pt idx="100">
                  <c:v>5.2761631522649566E-2</c:v>
                </c:pt>
                <c:pt idx="101">
                  <c:v>2.6822529929563022E-2</c:v>
                </c:pt>
                <c:pt idx="102">
                  <c:v>1.0135583106809065E-2</c:v>
                </c:pt>
                <c:pt idx="103">
                  <c:v>4.1173400492093837E-3</c:v>
                </c:pt>
                <c:pt idx="104">
                  <c:v>4.9133139227104383E-3</c:v>
                </c:pt>
                <c:pt idx="105">
                  <c:v>1.3252872421443129E-2</c:v>
                </c:pt>
                <c:pt idx="106">
                  <c:v>2.2849852113901337E-2</c:v>
                </c:pt>
                <c:pt idx="107">
                  <c:v>1.3885565776989406E-2</c:v>
                </c:pt>
                <c:pt idx="108">
                  <c:v>1.8488765850161792E-2</c:v>
                </c:pt>
                <c:pt idx="109">
                  <c:v>8.2442471462220723E-3</c:v>
                </c:pt>
                <c:pt idx="110">
                  <c:v>7.9697675758898523E-3</c:v>
                </c:pt>
                <c:pt idx="111">
                  <c:v>1.8114504826127309E-2</c:v>
                </c:pt>
                <c:pt idx="112">
                  <c:v>-1.5445566389943433E-2</c:v>
                </c:pt>
                <c:pt idx="113">
                  <c:v>-8.3544753809607908E-3</c:v>
                </c:pt>
                <c:pt idx="114">
                  <c:v>2.4612961185359605E-3</c:v>
                </c:pt>
                <c:pt idx="115">
                  <c:v>6.1218091513619566E-3</c:v>
                </c:pt>
                <c:pt idx="116">
                  <c:v>6.7166021894806693E-3</c:v>
                </c:pt>
                <c:pt idx="117">
                  <c:v>-3.8642212327927306E-3</c:v>
                </c:pt>
                <c:pt idx="118">
                  <c:v>-9.8413238403032288E-3</c:v>
                </c:pt>
                <c:pt idx="119">
                  <c:v>-6.9982423019321338E-4</c:v>
                </c:pt>
                <c:pt idx="120">
                  <c:v>-6.1238522832990361E-3</c:v>
                </c:pt>
                <c:pt idx="121">
                  <c:v>4.0925019809017193E-3</c:v>
                </c:pt>
                <c:pt idx="122">
                  <c:v>7.9720976581962866E-3</c:v>
                </c:pt>
                <c:pt idx="123">
                  <c:v>1.0316558441558543E-2</c:v>
                </c:pt>
                <c:pt idx="124">
                  <c:v>3.2159742722057683E-3</c:v>
                </c:pt>
                <c:pt idx="125">
                  <c:v>2.2088778802594078E-2</c:v>
                </c:pt>
                <c:pt idx="126">
                  <c:v>2.7457912871254653E-2</c:v>
                </c:pt>
                <c:pt idx="127">
                  <c:v>3.2522058582346691E-2</c:v>
                </c:pt>
                <c:pt idx="128">
                  <c:v>2.9377136035844353E-2</c:v>
                </c:pt>
                <c:pt idx="129">
                  <c:v>3.2747761047140944E-2</c:v>
                </c:pt>
                <c:pt idx="130">
                  <c:v>3.1142632767252376E-2</c:v>
                </c:pt>
                <c:pt idx="131">
                  <c:v>3.260533216071404E-2</c:v>
                </c:pt>
                <c:pt idx="132">
                  <c:v>3.6977648993146595E-2</c:v>
                </c:pt>
                <c:pt idx="133">
                  <c:v>3.9424015619915487E-2</c:v>
                </c:pt>
                <c:pt idx="134">
                  <c:v>3.2608607570318471E-2</c:v>
                </c:pt>
                <c:pt idx="135">
                  <c:v>2.2029227691590769E-2</c:v>
                </c:pt>
                <c:pt idx="136">
                  <c:v>1.3157579962201904E-2</c:v>
                </c:pt>
                <c:pt idx="137">
                  <c:v>1.6947936512997863E-2</c:v>
                </c:pt>
                <c:pt idx="138">
                  <c:v>2.0025170859154784E-2</c:v>
                </c:pt>
                <c:pt idx="139">
                  <c:v>1.6543037311180786E-2</c:v>
                </c:pt>
                <c:pt idx="140">
                  <c:v>1.5234433951024418E-2</c:v>
                </c:pt>
                <c:pt idx="141">
                  <c:v>1.5834822314869879E-2</c:v>
                </c:pt>
                <c:pt idx="142">
                  <c:v>1.4089535188138269E-2</c:v>
                </c:pt>
                <c:pt idx="143">
                  <c:v>1.7183729476523135E-2</c:v>
                </c:pt>
                <c:pt idx="144">
                  <c:v>1.7849153460333778E-2</c:v>
                </c:pt>
                <c:pt idx="145">
                  <c:v>1.9801825211715141E-2</c:v>
                </c:pt>
                <c:pt idx="146">
                  <c:v>2.5402779630690375E-2</c:v>
                </c:pt>
                <c:pt idx="147">
                  <c:v>3.1066007404903617E-2</c:v>
                </c:pt>
                <c:pt idx="148">
                  <c:v>3.2049617088931504E-2</c:v>
                </c:pt>
                <c:pt idx="149">
                  <c:v>2.6675759784900777E-2</c:v>
                </c:pt>
                <c:pt idx="150">
                  <c:v>1.516524020740917E-2</c:v>
                </c:pt>
                <c:pt idx="151">
                  <c:v>1.2648733954702118E-2</c:v>
                </c:pt>
                <c:pt idx="152">
                  <c:v>2.1233482244146007E-2</c:v>
                </c:pt>
                <c:pt idx="153">
                  <c:v>2.7368881870558637E-2</c:v>
                </c:pt>
                <c:pt idx="154">
                  <c:v>4.1696981075985518E-2</c:v>
                </c:pt>
                <c:pt idx="155">
                  <c:v>5.7696631391247033E-2</c:v>
                </c:pt>
                <c:pt idx="156">
                  <c:v>-9.4081357239251817E-3</c:v>
                </c:pt>
                <c:pt idx="157">
                  <c:v>-1.6554614109412502E-2</c:v>
                </c:pt>
                <c:pt idx="158">
                  <c:v>-1.6400844915202328E-2</c:v>
                </c:pt>
                <c:pt idx="159">
                  <c:v>-1.7009110662143168E-2</c:v>
                </c:pt>
                <c:pt idx="160">
                  <c:v>-1.2072449952335473E-2</c:v>
                </c:pt>
                <c:pt idx="161">
                  <c:v>-1.0803835934398154E-2</c:v>
                </c:pt>
                <c:pt idx="162">
                  <c:v>-4.4616071016476688E-3</c:v>
                </c:pt>
                <c:pt idx="163">
                  <c:v>6.1720775212936729E-4</c:v>
                </c:pt>
                <c:pt idx="164">
                  <c:v>-1.9612199400909081E-3</c:v>
                </c:pt>
                <c:pt idx="165">
                  <c:v>-1.273778724699437E-2</c:v>
                </c:pt>
                <c:pt idx="166">
                  <c:v>-2.3791464211419644E-2</c:v>
                </c:pt>
                <c:pt idx="167">
                  <c:v>-4.5709427019578253E-2</c:v>
                </c:pt>
                <c:pt idx="168">
                  <c:v>1.821649604920017E-2</c:v>
                </c:pt>
                <c:pt idx="169">
                  <c:v>2.6073248581618413E-2</c:v>
                </c:pt>
                <c:pt idx="170">
                  <c:v>2.861789123956382E-2</c:v>
                </c:pt>
                <c:pt idx="171">
                  <c:v>2.9224254269626382E-2</c:v>
                </c:pt>
                <c:pt idx="172">
                  <c:v>2.7689861203316291E-2</c:v>
                </c:pt>
                <c:pt idx="173">
                  <c:v>3.1237216051621886E-2</c:v>
                </c:pt>
                <c:pt idx="174">
                  <c:v>3.4384706918666685E-2</c:v>
                </c:pt>
                <c:pt idx="175">
                  <c:v>3.6724339995065414E-2</c:v>
                </c:pt>
                <c:pt idx="176">
                  <c:v>3.5217808482057134E-2</c:v>
                </c:pt>
                <c:pt idx="177">
                  <c:v>4.4402139564996279E-2</c:v>
                </c:pt>
                <c:pt idx="178">
                  <c:v>4.8119456261683791E-2</c:v>
                </c:pt>
                <c:pt idx="179">
                  <c:v>5.376715748400418E-2</c:v>
                </c:pt>
                <c:pt idx="180">
                  <c:v>5.4910355900454899E-2</c:v>
                </c:pt>
                <c:pt idx="181">
                  <c:v>5.3240036507453681E-2</c:v>
                </c:pt>
                <c:pt idx="182">
                  <c:v>4.4735588015037964E-2</c:v>
                </c:pt>
                <c:pt idx="183">
                  <c:v>4.3089026540670039E-2</c:v>
                </c:pt>
                <c:pt idx="184">
                  <c:v>4.1516123459201193E-2</c:v>
                </c:pt>
                <c:pt idx="185">
                  <c:v>3.8449447621328847E-2</c:v>
                </c:pt>
                <c:pt idx="186">
                  <c:v>3.8762064122867423E-2</c:v>
                </c:pt>
                <c:pt idx="187">
                  <c:v>3.6434898370506952E-2</c:v>
                </c:pt>
                <c:pt idx="188">
                  <c:v>3.6029155513372935E-2</c:v>
                </c:pt>
                <c:pt idx="189">
                  <c:v>3.2928188211678977E-2</c:v>
                </c:pt>
                <c:pt idx="190">
                  <c:v>2.7083761486744296E-2</c:v>
                </c:pt>
                <c:pt idx="191">
                  <c:v>2.4863146999438701E-2</c:v>
                </c:pt>
                <c:pt idx="192">
                  <c:v>2.3438689056871853E-2</c:v>
                </c:pt>
                <c:pt idx="193">
                  <c:v>2.0746678220681547E-2</c:v>
                </c:pt>
                <c:pt idx="194">
                  <c:v>2.346629209415485E-2</c:v>
                </c:pt>
                <c:pt idx="195">
                  <c:v>1.9086837162259895E-2</c:v>
                </c:pt>
                <c:pt idx="196">
                  <c:v>1.6580602354027141E-2</c:v>
                </c:pt>
                <c:pt idx="197">
                  <c:v>1.6635313281582187E-2</c:v>
                </c:pt>
                <c:pt idx="198">
                  <c:v>1.8294656148198252E-2</c:v>
                </c:pt>
                <c:pt idx="199">
                  <c:v>1.7286413410066315E-2</c:v>
                </c:pt>
                <c:pt idx="200">
                  <c:v>1.6955096548861182E-2</c:v>
                </c:pt>
                <c:pt idx="201">
                  <c:v>1.7039487315048341E-2</c:v>
                </c:pt>
                <c:pt idx="202">
                  <c:v>2.0023725470579068E-2</c:v>
                </c:pt>
                <c:pt idx="203">
                  <c:v>1.8029615510448016E-2</c:v>
                </c:pt>
                <c:pt idx="204">
                  <c:v>1.7888124862794008E-2</c:v>
                </c:pt>
                <c:pt idx="205">
                  <c:v>1.9914681683445012E-2</c:v>
                </c:pt>
                <c:pt idx="206">
                  <c:v>2.4116756512019499E-2</c:v>
                </c:pt>
                <c:pt idx="207">
                  <c:v>2.8576087110632198E-2</c:v>
                </c:pt>
                <c:pt idx="208">
                  <c:v>3.6550672200347689E-2</c:v>
                </c:pt>
                <c:pt idx="209">
                  <c:v>3.6427057263787921E-2</c:v>
                </c:pt>
                <c:pt idx="210">
                  <c:v>3.5317547192463383E-2</c:v>
                </c:pt>
                <c:pt idx="211">
                  <c:v>3.5382000042322836E-2</c:v>
                </c:pt>
                <c:pt idx="212">
                  <c:v>3.4970547043795763E-2</c:v>
                </c:pt>
                <c:pt idx="213">
                  <c:v>3.6050971521699449E-2</c:v>
                </c:pt>
                <c:pt idx="214">
                  <c:v>3.4854556664051017E-2</c:v>
                </c:pt>
                <c:pt idx="215">
                  <c:v>3.3827731474042277E-2</c:v>
                </c:pt>
                <c:pt idx="216">
                  <c:v>3.5683227004877027E-2</c:v>
                </c:pt>
                <c:pt idx="217">
                  <c:v>3.4980023306142805E-2</c:v>
                </c:pt>
                <c:pt idx="218">
                  <c:v>3.4435594730697794E-2</c:v>
                </c:pt>
                <c:pt idx="219">
                  <c:v>3.4315921512409364E-2</c:v>
                </c:pt>
                <c:pt idx="220">
                  <c:v>3.0600861012819225E-2</c:v>
                </c:pt>
                <c:pt idx="221">
                  <c:v>3.424381100918672E-2</c:v>
                </c:pt>
                <c:pt idx="222">
                  <c:v>3.5777138101799499E-2</c:v>
                </c:pt>
                <c:pt idx="223">
                  <c:v>3.8171995394562064E-2</c:v>
                </c:pt>
                <c:pt idx="224">
                  <c:v>3.6141710866313126E-2</c:v>
                </c:pt>
                <c:pt idx="225">
                  <c:v>3.5630500522083386E-2</c:v>
                </c:pt>
                <c:pt idx="226">
                  <c:v>3.6835442181015754E-2</c:v>
                </c:pt>
                <c:pt idx="227">
                  <c:v>4.7885172896154238E-2</c:v>
                </c:pt>
                <c:pt idx="228">
                  <c:v>4.1319038598471192E-2</c:v>
                </c:pt>
                <c:pt idx="229">
                  <c:v>4.2396338071589934E-2</c:v>
                </c:pt>
                <c:pt idx="230">
                  <c:v>3.9673317840638989E-2</c:v>
                </c:pt>
                <c:pt idx="231">
                  <c:v>3.4463457540380604E-2</c:v>
                </c:pt>
                <c:pt idx="232">
                  <c:v>3.0668490748980703E-2</c:v>
                </c:pt>
                <c:pt idx="233">
                  <c:v>2.8248662305794703E-2</c:v>
                </c:pt>
                <c:pt idx="234">
                  <c:v>2.5091045591944416E-2</c:v>
                </c:pt>
                <c:pt idx="235">
                  <c:v>2.7266284304332311E-2</c:v>
                </c:pt>
                <c:pt idx="236">
                  <c:v>2.9781788351107341E-2</c:v>
                </c:pt>
                <c:pt idx="237">
                  <c:v>2.9068815838576345E-2</c:v>
                </c:pt>
                <c:pt idx="238">
                  <c:v>3.0231404095277803E-2</c:v>
                </c:pt>
                <c:pt idx="239">
                  <c:v>1.1498403895140674E-2</c:v>
                </c:pt>
                <c:pt idx="240">
                  <c:v>2.2629776089074127E-2</c:v>
                </c:pt>
                <c:pt idx="241">
                  <c:v>2.3422079633784731E-2</c:v>
                </c:pt>
                <c:pt idx="242">
                  <c:v>8.1829801720094686E-3</c:v>
                </c:pt>
                <c:pt idx="243">
                  <c:v>0.16076627760171092</c:v>
                </c:pt>
                <c:pt idx="244">
                  <c:v>0.10212892084847525</c:v>
                </c:pt>
                <c:pt idx="245">
                  <c:v>9.5752071219060486E-2</c:v>
                </c:pt>
                <c:pt idx="246">
                  <c:v>0.10455681402057082</c:v>
                </c:pt>
                <c:pt idx="247">
                  <c:v>5.5685092084501786E-2</c:v>
                </c:pt>
                <c:pt idx="248">
                  <c:v>5.8414535443207516E-2</c:v>
                </c:pt>
                <c:pt idx="249">
                  <c:v>5.3683333227298569E-2</c:v>
                </c:pt>
                <c:pt idx="250">
                  <c:v>3.7387027671090367E-2</c:v>
                </c:pt>
                <c:pt idx="251">
                  <c:v>4.5987197796592882E-2</c:v>
                </c:pt>
                <c:pt idx="252">
                  <c:v>0.14223624034064031</c:v>
                </c:pt>
                <c:pt idx="253">
                  <c:v>4.3152406081166106E-2</c:v>
                </c:pt>
                <c:pt idx="254">
                  <c:v>0.30110917859622965</c:v>
                </c:pt>
                <c:pt idx="255">
                  <c:v>-3.9045071641824247E-2</c:v>
                </c:pt>
                <c:pt idx="256">
                  <c:v>-1.6691416344141397E-2</c:v>
                </c:pt>
                <c:pt idx="257">
                  <c:v>-1.7534487819195865E-2</c:v>
                </c:pt>
                <c:pt idx="258">
                  <c:v>-2.0769839238768961E-2</c:v>
                </c:pt>
                <c:pt idx="259">
                  <c:v>1.6089992617604132E-2</c:v>
                </c:pt>
                <c:pt idx="260">
                  <c:v>-2.625256654965491E-3</c:v>
                </c:pt>
                <c:pt idx="261">
                  <c:v>-8.7550341446329671E-4</c:v>
                </c:pt>
                <c:pt idx="262">
                  <c:v>8.0461385255465867E-3</c:v>
                </c:pt>
                <c:pt idx="263">
                  <c:v>7.5581643413125121E-4</c:v>
                </c:pt>
                <c:pt idx="264">
                  <c:v>-0.11191618849856133</c:v>
                </c:pt>
                <c:pt idx="265">
                  <c:v>-3.0846316448759126E-2</c:v>
                </c:pt>
                <c:pt idx="266">
                  <c:v>-0.2151782828826887</c:v>
                </c:pt>
                <c:pt idx="267">
                  <c:v>-7.3571024335031043E-2</c:v>
                </c:pt>
                <c:pt idx="268">
                  <c:v>-4.7321200302037458E-2</c:v>
                </c:pt>
                <c:pt idx="269">
                  <c:v>-4.6181055549912475E-2</c:v>
                </c:pt>
                <c:pt idx="270">
                  <c:v>-4.3169142497371693E-2</c:v>
                </c:pt>
                <c:pt idx="271">
                  <c:v>-3.7536401912849904E-2</c:v>
                </c:pt>
                <c:pt idx="272">
                  <c:v>-2.2904680547925382E-2</c:v>
                </c:pt>
                <c:pt idx="273">
                  <c:v>-1.9574072059658998E-2</c:v>
                </c:pt>
                <c:pt idx="274">
                  <c:v>-1.6375956072194775E-2</c:v>
                </c:pt>
                <c:pt idx="275">
                  <c:v>-9.3431190425434796E-3</c:v>
                </c:pt>
                <c:pt idx="276">
                  <c:v>3.24051042236706E-2</c:v>
                </c:pt>
                <c:pt idx="277">
                  <c:v>3.5009662766347427E-2</c:v>
                </c:pt>
                <c:pt idx="278">
                  <c:v>4.3804318665344066E-2</c:v>
                </c:pt>
                <c:pt idx="279">
                  <c:v>4.4961539900016279E-2</c:v>
                </c:pt>
                <c:pt idx="280">
                  <c:v>4.9634280293574307E-2</c:v>
                </c:pt>
                <c:pt idx="281">
                  <c:v>5.3002493203202272E-2</c:v>
                </c:pt>
                <c:pt idx="282">
                  <c:v>4.3397292247335573E-2</c:v>
                </c:pt>
                <c:pt idx="283">
                  <c:v>4.0417290581261422E-2</c:v>
                </c:pt>
                <c:pt idx="284">
                  <c:v>3.8282596741407104E-2</c:v>
                </c:pt>
                <c:pt idx="285">
                  <c:v>3.851819890899022E-2</c:v>
                </c:pt>
                <c:pt idx="286">
                  <c:v>4.2533395770690596E-2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2-4A5D-B6F4-A6910D03B8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58594160"/>
        <c:axId val="308928224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7000"/>
          <c:min val="9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308928224"/>
        <c:scaling>
          <c:orientation val="minMax"/>
          <c:max val="0.1"/>
          <c:min val="-0.1"/>
        </c:scaling>
        <c:delete val="0"/>
        <c:axPos val="r"/>
        <c:numFmt formatCode="0.0%" sourceLinked="1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58594160"/>
        <c:crosses val="max"/>
        <c:crossBetween val="between"/>
      </c:valAx>
      <c:catAx>
        <c:axId val="558594160"/>
        <c:scaling>
          <c:orientation val="minMax"/>
        </c:scaling>
        <c:delete val="1"/>
        <c:axPos val="b"/>
        <c:majorTickMark val="out"/>
        <c:minorTickMark val="none"/>
        <c:tickLblPos val="nextTo"/>
        <c:crossAx val="308928224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'GDP + ECI (Quarter)'!$K$2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cat>
            <c:numRef>
              <c:f>Recession!$A$386:$A$913</c:f>
              <c:numCache>
                <c:formatCode>[$-416]mmm\-yy;@</c:formatCode>
                <c:ptCount val="528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  <c:pt idx="510">
                  <c:v>44743</c:v>
                </c:pt>
                <c:pt idx="511">
                  <c:v>44774</c:v>
                </c:pt>
                <c:pt idx="512">
                  <c:v>44805</c:v>
                </c:pt>
                <c:pt idx="513">
                  <c:v>44835</c:v>
                </c:pt>
                <c:pt idx="514">
                  <c:v>44866</c:v>
                </c:pt>
                <c:pt idx="515">
                  <c:v>44896</c:v>
                </c:pt>
                <c:pt idx="516">
                  <c:v>44927</c:v>
                </c:pt>
                <c:pt idx="517">
                  <c:v>44958</c:v>
                </c:pt>
                <c:pt idx="518">
                  <c:v>44986</c:v>
                </c:pt>
                <c:pt idx="519">
                  <c:v>45017</c:v>
                </c:pt>
                <c:pt idx="520">
                  <c:v>45047</c:v>
                </c:pt>
                <c:pt idx="521">
                  <c:v>45078</c:v>
                </c:pt>
                <c:pt idx="522">
                  <c:v>45108</c:v>
                </c:pt>
                <c:pt idx="523">
                  <c:v>45139</c:v>
                </c:pt>
                <c:pt idx="524">
                  <c:v>45170</c:v>
                </c:pt>
                <c:pt idx="525">
                  <c:v>45200</c:v>
                </c:pt>
                <c:pt idx="526">
                  <c:v>45231</c:v>
                </c:pt>
                <c:pt idx="527">
                  <c:v>45261</c:v>
                </c:pt>
              </c:numCache>
            </c:numRef>
          </c:cat>
          <c:val>
            <c:numRef>
              <c:f>'GDP + ECI (Quarter)'!$K$223:$K$310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43B-4021-AD4A-93058EBD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8890512"/>
        <c:axId val="1888890032"/>
      </c:areaChart>
      <c:lineChart>
        <c:grouping val="standard"/>
        <c:varyColors val="0"/>
        <c:ser>
          <c:idx val="0"/>
          <c:order val="0"/>
          <c:tx>
            <c:strRef>
              <c:f>'GDP + ECI (Quarter)'!$F$2</c:f>
              <c:strCache>
                <c:ptCount val="1"/>
                <c:pt idx="0">
                  <c:v>Annual ECI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'GDP + ECI (Quarter)'!$A$223:$A$310</c:f>
              <c:strCache>
                <c:ptCount val="88"/>
                <c:pt idx="0">
                  <c:v>1T02</c:v>
                </c:pt>
                <c:pt idx="1">
                  <c:v>2T02</c:v>
                </c:pt>
                <c:pt idx="2">
                  <c:v>3T02</c:v>
                </c:pt>
                <c:pt idx="3">
                  <c:v>4T02</c:v>
                </c:pt>
                <c:pt idx="4">
                  <c:v>1T03</c:v>
                </c:pt>
                <c:pt idx="5">
                  <c:v>2T03</c:v>
                </c:pt>
                <c:pt idx="6">
                  <c:v>3T03</c:v>
                </c:pt>
                <c:pt idx="7">
                  <c:v>4T03</c:v>
                </c:pt>
                <c:pt idx="8">
                  <c:v>1T04</c:v>
                </c:pt>
                <c:pt idx="9">
                  <c:v>2T04</c:v>
                </c:pt>
                <c:pt idx="10">
                  <c:v>3T04</c:v>
                </c:pt>
                <c:pt idx="11">
                  <c:v>4T04</c:v>
                </c:pt>
                <c:pt idx="12">
                  <c:v>1T05</c:v>
                </c:pt>
                <c:pt idx="13">
                  <c:v>2T05</c:v>
                </c:pt>
                <c:pt idx="14">
                  <c:v>3T05</c:v>
                </c:pt>
                <c:pt idx="15">
                  <c:v>4T05</c:v>
                </c:pt>
                <c:pt idx="16">
                  <c:v>1T06</c:v>
                </c:pt>
                <c:pt idx="17">
                  <c:v>2T06</c:v>
                </c:pt>
                <c:pt idx="18">
                  <c:v>3T06</c:v>
                </c:pt>
                <c:pt idx="19">
                  <c:v>4T06</c:v>
                </c:pt>
                <c:pt idx="20">
                  <c:v>1T07</c:v>
                </c:pt>
                <c:pt idx="21">
                  <c:v>2T07</c:v>
                </c:pt>
                <c:pt idx="22">
                  <c:v>3T07</c:v>
                </c:pt>
                <c:pt idx="23">
                  <c:v>4T07</c:v>
                </c:pt>
                <c:pt idx="24">
                  <c:v>1T08</c:v>
                </c:pt>
                <c:pt idx="25">
                  <c:v>2T08</c:v>
                </c:pt>
                <c:pt idx="26">
                  <c:v>3T08</c:v>
                </c:pt>
                <c:pt idx="27">
                  <c:v>4T08</c:v>
                </c:pt>
                <c:pt idx="28">
                  <c:v>1T09</c:v>
                </c:pt>
                <c:pt idx="29">
                  <c:v>2T09</c:v>
                </c:pt>
                <c:pt idx="30">
                  <c:v>3T09</c:v>
                </c:pt>
                <c:pt idx="31">
                  <c:v>4T09</c:v>
                </c:pt>
                <c:pt idx="32">
                  <c:v>1T10</c:v>
                </c:pt>
                <c:pt idx="33">
                  <c:v>2T10</c:v>
                </c:pt>
                <c:pt idx="34">
                  <c:v>3T10</c:v>
                </c:pt>
                <c:pt idx="35">
                  <c:v>4T10</c:v>
                </c:pt>
                <c:pt idx="36">
                  <c:v>1T11</c:v>
                </c:pt>
                <c:pt idx="37">
                  <c:v>2T11</c:v>
                </c:pt>
                <c:pt idx="38">
                  <c:v>3T11</c:v>
                </c:pt>
                <c:pt idx="39">
                  <c:v>4T11</c:v>
                </c:pt>
                <c:pt idx="40">
                  <c:v>1T12</c:v>
                </c:pt>
                <c:pt idx="41">
                  <c:v>2T12</c:v>
                </c:pt>
                <c:pt idx="42">
                  <c:v>3T12</c:v>
                </c:pt>
                <c:pt idx="43">
                  <c:v>4T12</c:v>
                </c:pt>
                <c:pt idx="44">
                  <c:v>1T13</c:v>
                </c:pt>
                <c:pt idx="45">
                  <c:v>2T13</c:v>
                </c:pt>
                <c:pt idx="46">
                  <c:v>3T13</c:v>
                </c:pt>
                <c:pt idx="47">
                  <c:v>4T13</c:v>
                </c:pt>
                <c:pt idx="48">
                  <c:v>1T14</c:v>
                </c:pt>
                <c:pt idx="49">
                  <c:v>2T14</c:v>
                </c:pt>
                <c:pt idx="50">
                  <c:v>3T14</c:v>
                </c:pt>
                <c:pt idx="51">
                  <c:v>4T14</c:v>
                </c:pt>
                <c:pt idx="52">
                  <c:v>1T15</c:v>
                </c:pt>
                <c:pt idx="53">
                  <c:v>2T15</c:v>
                </c:pt>
                <c:pt idx="54">
                  <c:v>3T15</c:v>
                </c:pt>
                <c:pt idx="55">
                  <c:v>4T15</c:v>
                </c:pt>
                <c:pt idx="56">
                  <c:v>1T16</c:v>
                </c:pt>
                <c:pt idx="57">
                  <c:v>2T16</c:v>
                </c:pt>
                <c:pt idx="58">
                  <c:v>3T16</c:v>
                </c:pt>
                <c:pt idx="59">
                  <c:v>4T16</c:v>
                </c:pt>
                <c:pt idx="60">
                  <c:v>1T17</c:v>
                </c:pt>
                <c:pt idx="61">
                  <c:v>2T17</c:v>
                </c:pt>
                <c:pt idx="62">
                  <c:v>3T17</c:v>
                </c:pt>
                <c:pt idx="63">
                  <c:v>4T17</c:v>
                </c:pt>
                <c:pt idx="64">
                  <c:v>1T18</c:v>
                </c:pt>
                <c:pt idx="65">
                  <c:v>2T18</c:v>
                </c:pt>
                <c:pt idx="66">
                  <c:v>3T18</c:v>
                </c:pt>
                <c:pt idx="67">
                  <c:v>4T18</c:v>
                </c:pt>
                <c:pt idx="68">
                  <c:v>1T19</c:v>
                </c:pt>
                <c:pt idx="69">
                  <c:v>2T19</c:v>
                </c:pt>
                <c:pt idx="70">
                  <c:v>3T19</c:v>
                </c:pt>
                <c:pt idx="71">
                  <c:v>4T19</c:v>
                </c:pt>
                <c:pt idx="72">
                  <c:v>1T20</c:v>
                </c:pt>
                <c:pt idx="73">
                  <c:v>2T20</c:v>
                </c:pt>
                <c:pt idx="74">
                  <c:v>3T20</c:v>
                </c:pt>
                <c:pt idx="75">
                  <c:v>4T20</c:v>
                </c:pt>
                <c:pt idx="76">
                  <c:v>1T21</c:v>
                </c:pt>
                <c:pt idx="77">
                  <c:v>2T21</c:v>
                </c:pt>
                <c:pt idx="78">
                  <c:v>3T21</c:v>
                </c:pt>
                <c:pt idx="79">
                  <c:v>4T21</c:v>
                </c:pt>
                <c:pt idx="80">
                  <c:v>1T22</c:v>
                </c:pt>
                <c:pt idx="81">
                  <c:v>2T22</c:v>
                </c:pt>
                <c:pt idx="82">
                  <c:v>3T22</c:v>
                </c:pt>
                <c:pt idx="83">
                  <c:v>4T22</c:v>
                </c:pt>
                <c:pt idx="84">
                  <c:v>1T23</c:v>
                </c:pt>
                <c:pt idx="85">
                  <c:v>2T23</c:v>
                </c:pt>
                <c:pt idx="86">
                  <c:v>3T23</c:v>
                </c:pt>
                <c:pt idx="87">
                  <c:v>4T23</c:v>
                </c:pt>
              </c:strCache>
            </c:strRef>
          </c:cat>
          <c:val>
            <c:numRef>
              <c:f>'GDP + ECI (Quarter)'!$F$223:$F$310</c:f>
              <c:numCache>
                <c:formatCode>0.00%</c:formatCode>
                <c:ptCount val="88"/>
                <c:pt idx="0">
                  <c:v>3.7780401416765086E-2</c:v>
                </c:pt>
                <c:pt idx="1">
                  <c:v>3.8596491228070073E-2</c:v>
                </c:pt>
                <c:pt idx="2">
                  <c:v>3.5879629629629539E-2</c:v>
                </c:pt>
                <c:pt idx="3">
                  <c:v>3.3256880733944838E-2</c:v>
                </c:pt>
                <c:pt idx="4">
                  <c:v>3.7542662116040848E-2</c:v>
                </c:pt>
                <c:pt idx="5">
                  <c:v>3.6036036036036112E-2</c:v>
                </c:pt>
                <c:pt idx="6">
                  <c:v>3.7988826815642529E-2</c:v>
                </c:pt>
                <c:pt idx="7">
                  <c:v>3.8845726970033301E-2</c:v>
                </c:pt>
                <c:pt idx="8">
                  <c:v>3.7280701754385914E-2</c:v>
                </c:pt>
                <c:pt idx="9">
                  <c:v>3.8043478260869623E-2</c:v>
                </c:pt>
                <c:pt idx="10">
                  <c:v>3.7674919268030127E-2</c:v>
                </c:pt>
                <c:pt idx="11">
                  <c:v>3.7393162393162482E-2</c:v>
                </c:pt>
                <c:pt idx="12">
                  <c:v>3.5940803382663811E-2</c:v>
                </c:pt>
                <c:pt idx="13">
                  <c:v>3.2460732984293195E-2</c:v>
                </c:pt>
                <c:pt idx="14">
                  <c:v>3.0082987551867113E-2</c:v>
                </c:pt>
                <c:pt idx="15">
                  <c:v>3.0895983522142068E-2</c:v>
                </c:pt>
                <c:pt idx="16">
                  <c:v>2.7551020408163263E-2</c:v>
                </c:pt>
                <c:pt idx="17">
                  <c:v>3.0425963488843744E-2</c:v>
                </c:pt>
                <c:pt idx="18">
                  <c:v>3.3232628398791597E-2</c:v>
                </c:pt>
                <c:pt idx="19">
                  <c:v>3.2967032967033072E-2</c:v>
                </c:pt>
                <c:pt idx="20">
                  <c:v>3.4756703078450801E-2</c:v>
                </c:pt>
                <c:pt idx="21">
                  <c:v>3.4448818897637734E-2</c:v>
                </c:pt>
                <c:pt idx="22">
                  <c:v>3.2163742690058506E-2</c:v>
                </c:pt>
                <c:pt idx="23">
                  <c:v>3.2882011605415817E-2</c:v>
                </c:pt>
                <c:pt idx="24">
                  <c:v>3.2629558541266812E-2</c:v>
                </c:pt>
                <c:pt idx="25">
                  <c:v>3.0447193149381491E-2</c:v>
                </c:pt>
                <c:pt idx="26">
                  <c:v>3.0217186024551257E-2</c:v>
                </c:pt>
                <c:pt idx="27">
                  <c:v>2.621722846441954E-2</c:v>
                </c:pt>
                <c:pt idx="28">
                  <c:v>2.1375464684014966E-2</c:v>
                </c:pt>
                <c:pt idx="29">
                  <c:v>1.7543859649122862E-2</c:v>
                </c:pt>
                <c:pt idx="30">
                  <c:v>1.4665444546287931E-2</c:v>
                </c:pt>
                <c:pt idx="31">
                  <c:v>1.3686131386861256E-2</c:v>
                </c:pt>
                <c:pt idx="32">
                  <c:v>1.7288444040036266E-2</c:v>
                </c:pt>
                <c:pt idx="33">
                  <c:v>1.9056261343012748E-2</c:v>
                </c:pt>
                <c:pt idx="34">
                  <c:v>1.8970189701897011E-2</c:v>
                </c:pt>
                <c:pt idx="35">
                  <c:v>1.980198019801982E-2</c:v>
                </c:pt>
                <c:pt idx="36">
                  <c:v>1.9677996422182487E-2</c:v>
                </c:pt>
                <c:pt idx="37">
                  <c:v>2.1371326803205859E-2</c:v>
                </c:pt>
                <c:pt idx="38">
                  <c:v>2.0390070921985748E-2</c:v>
                </c:pt>
                <c:pt idx="39">
                  <c:v>2.030008826125318E-2</c:v>
                </c:pt>
                <c:pt idx="40">
                  <c:v>2.017543859649118E-2</c:v>
                </c:pt>
                <c:pt idx="41">
                  <c:v>1.8308631211856996E-2</c:v>
                </c:pt>
                <c:pt idx="42">
                  <c:v>1.9113814074717572E-2</c:v>
                </c:pt>
                <c:pt idx="43">
                  <c:v>1.9031141868512069E-2</c:v>
                </c:pt>
                <c:pt idx="44">
                  <c:v>1.8056749785038795E-2</c:v>
                </c:pt>
                <c:pt idx="45">
                  <c:v>1.8835616438356295E-2</c:v>
                </c:pt>
                <c:pt idx="46">
                  <c:v>1.8755328218243772E-2</c:v>
                </c:pt>
                <c:pt idx="47">
                  <c:v>1.9524617996604432E-2</c:v>
                </c:pt>
                <c:pt idx="48">
                  <c:v>1.7736486486486402E-2</c:v>
                </c:pt>
                <c:pt idx="49">
                  <c:v>2.0168067226890907E-2</c:v>
                </c:pt>
                <c:pt idx="50">
                  <c:v>2.2594142259414252E-2</c:v>
                </c:pt>
                <c:pt idx="51">
                  <c:v>2.2481265611989931E-2</c:v>
                </c:pt>
                <c:pt idx="52">
                  <c:v>2.5726141078838083E-2</c:v>
                </c:pt>
                <c:pt idx="53">
                  <c:v>1.9769357495881268E-2</c:v>
                </c:pt>
                <c:pt idx="54">
                  <c:v>1.9639934533551395E-2</c:v>
                </c:pt>
                <c:pt idx="55">
                  <c:v>2.0358306188924979E-2</c:v>
                </c:pt>
                <c:pt idx="56">
                  <c:v>1.9417475728155331E-2</c:v>
                </c:pt>
                <c:pt idx="57">
                  <c:v>2.342487883683364E-2</c:v>
                </c:pt>
                <c:pt idx="58">
                  <c:v>2.2471910112359605E-2</c:v>
                </c:pt>
                <c:pt idx="59">
                  <c:v>2.2346368715083775E-2</c:v>
                </c:pt>
                <c:pt idx="60">
                  <c:v>2.3015873015873156E-2</c:v>
                </c:pt>
                <c:pt idx="61">
                  <c:v>2.3677979479084232E-2</c:v>
                </c:pt>
                <c:pt idx="62">
                  <c:v>2.5117739403453632E-2</c:v>
                </c:pt>
                <c:pt idx="63">
                  <c:v>2.5761124121779888E-2</c:v>
                </c:pt>
                <c:pt idx="64">
                  <c:v>2.7152831652443643E-2</c:v>
                </c:pt>
                <c:pt idx="65">
                  <c:v>2.7756360832690952E-2</c:v>
                </c:pt>
                <c:pt idx="66">
                  <c:v>2.8330781010719841E-2</c:v>
                </c:pt>
                <c:pt idx="67">
                  <c:v>2.9680365296803624E-2</c:v>
                </c:pt>
                <c:pt idx="68">
                  <c:v>2.7945619335347338E-2</c:v>
                </c:pt>
                <c:pt idx="69">
                  <c:v>2.7756939234808709E-2</c:v>
                </c:pt>
                <c:pt idx="70">
                  <c:v>2.7550260610573307E-2</c:v>
                </c:pt>
                <c:pt idx="71">
                  <c:v>2.6607538802660757E-2</c:v>
                </c:pt>
                <c:pt idx="72">
                  <c:v>2.8655400440852352E-2</c:v>
                </c:pt>
                <c:pt idx="73">
                  <c:v>2.6277372262773602E-2</c:v>
                </c:pt>
                <c:pt idx="74">
                  <c:v>2.4637681159420222E-2</c:v>
                </c:pt>
                <c:pt idx="75">
                  <c:v>2.5197984161267062E-2</c:v>
                </c:pt>
                <c:pt idx="76">
                  <c:v>2.6428571428571246E-2</c:v>
                </c:pt>
                <c:pt idx="77">
                  <c:v>2.9160739687055459E-2</c:v>
                </c:pt>
                <c:pt idx="78">
                  <c:v>3.6067892503536036E-2</c:v>
                </c:pt>
                <c:pt idx="79">
                  <c:v>4.0028089887640395E-2</c:v>
                </c:pt>
                <c:pt idx="80">
                  <c:v>4.453723034098811E-2</c:v>
                </c:pt>
                <c:pt idx="81">
                  <c:v>5.1140290255701437E-2</c:v>
                </c:pt>
                <c:pt idx="82">
                  <c:v>5.0511945392491597E-2</c:v>
                </c:pt>
                <c:pt idx="83">
                  <c:v>5.0641458474004031E-2</c:v>
                </c:pt>
                <c:pt idx="84">
                  <c:v>4.863424383744186E-2</c:v>
                </c:pt>
                <c:pt idx="85">
                  <c:v>4.5364891518737682E-2</c:v>
                </c:pt>
                <c:pt idx="86">
                  <c:v>4.4184535412605586E-2</c:v>
                </c:pt>
                <c:pt idx="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43B-4021-AD4A-93058EBDB3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between"/>
      </c:valAx>
      <c:valAx>
        <c:axId val="1888890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888890512"/>
        <c:crosses val="max"/>
        <c:crossBetween val="between"/>
      </c:valAx>
      <c:dateAx>
        <c:axId val="188889051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888890032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Recession!$B$2:$B$925</c:f>
              <c:numCache>
                <c:formatCode>General</c:formatCode>
                <c:ptCount val="92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1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1</c:v>
                </c:pt>
                <c:pt idx="71">
                  <c:v>1</c:v>
                </c:pt>
                <c:pt idx="72">
                  <c:v>1</c:v>
                </c:pt>
                <c:pt idx="73">
                  <c:v>1</c:v>
                </c:pt>
                <c:pt idx="74">
                  <c:v>1</c:v>
                </c:pt>
                <c:pt idx="75">
                  <c:v>1</c:v>
                </c:pt>
                <c:pt idx="76">
                  <c:v>1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1</c:v>
                </c:pt>
                <c:pt idx="117">
                  <c:v>1</c:v>
                </c:pt>
                <c:pt idx="118">
                  <c:v>1</c:v>
                </c:pt>
                <c:pt idx="119">
                  <c:v>1</c:v>
                </c:pt>
                <c:pt idx="120">
                  <c:v>1</c:v>
                </c:pt>
                <c:pt idx="121">
                  <c:v>1</c:v>
                </c:pt>
                <c:pt idx="122">
                  <c:v>1</c:v>
                </c:pt>
                <c:pt idx="123">
                  <c:v>1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1</c:v>
                </c:pt>
                <c:pt idx="148">
                  <c:v>1</c:v>
                </c:pt>
                <c:pt idx="149">
                  <c:v>1</c:v>
                </c:pt>
                <c:pt idx="150">
                  <c:v>1</c:v>
                </c:pt>
                <c:pt idx="151">
                  <c:v>1</c:v>
                </c:pt>
                <c:pt idx="152">
                  <c:v>1</c:v>
                </c:pt>
                <c:pt idx="153">
                  <c:v>1</c:v>
                </c:pt>
                <c:pt idx="154">
                  <c:v>1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1</c:v>
                </c:pt>
                <c:pt idx="264">
                  <c:v>1</c:v>
                </c:pt>
                <c:pt idx="265">
                  <c:v>1</c:v>
                </c:pt>
                <c:pt idx="266">
                  <c:v>1</c:v>
                </c:pt>
                <c:pt idx="267">
                  <c:v>1</c:v>
                </c:pt>
                <c:pt idx="268">
                  <c:v>1</c:v>
                </c:pt>
                <c:pt idx="269">
                  <c:v>1</c:v>
                </c:pt>
                <c:pt idx="270">
                  <c:v>1</c:v>
                </c:pt>
                <c:pt idx="271">
                  <c:v>1</c:v>
                </c:pt>
                <c:pt idx="272">
                  <c:v>1</c:v>
                </c:pt>
                <c:pt idx="273">
                  <c:v>1</c:v>
                </c:pt>
                <c:pt idx="274">
                  <c:v>1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1</c:v>
                </c:pt>
                <c:pt idx="311">
                  <c:v>1</c:v>
                </c:pt>
                <c:pt idx="312">
                  <c:v>1</c:v>
                </c:pt>
                <c:pt idx="313">
                  <c:v>1</c:v>
                </c:pt>
                <c:pt idx="314">
                  <c:v>1</c:v>
                </c:pt>
                <c:pt idx="315">
                  <c:v>1</c:v>
                </c:pt>
                <c:pt idx="316">
                  <c:v>1</c:v>
                </c:pt>
                <c:pt idx="317">
                  <c:v>1</c:v>
                </c:pt>
                <c:pt idx="318">
                  <c:v>1</c:v>
                </c:pt>
                <c:pt idx="319">
                  <c:v>1</c:v>
                </c:pt>
                <c:pt idx="320">
                  <c:v>1</c:v>
                </c:pt>
                <c:pt idx="321">
                  <c:v>1</c:v>
                </c:pt>
                <c:pt idx="322">
                  <c:v>1</c:v>
                </c:pt>
                <c:pt idx="323">
                  <c:v>1</c:v>
                </c:pt>
                <c:pt idx="324">
                  <c:v>1</c:v>
                </c:pt>
                <c:pt idx="325">
                  <c:v>1</c:v>
                </c:pt>
                <c:pt idx="326">
                  <c:v>1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1</c:v>
                </c:pt>
                <c:pt idx="385">
                  <c:v>1</c:v>
                </c:pt>
                <c:pt idx="386">
                  <c:v>1</c:v>
                </c:pt>
                <c:pt idx="387">
                  <c:v>1</c:v>
                </c:pt>
                <c:pt idx="388">
                  <c:v>1</c:v>
                </c:pt>
                <c:pt idx="389">
                  <c:v>1</c:v>
                </c:pt>
                <c:pt idx="390">
                  <c:v>1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1</c:v>
                </c:pt>
                <c:pt idx="403">
                  <c:v>1</c:v>
                </c:pt>
                <c:pt idx="404">
                  <c:v>1</c:v>
                </c:pt>
                <c:pt idx="405">
                  <c:v>1</c:v>
                </c:pt>
                <c:pt idx="406">
                  <c:v>1</c:v>
                </c:pt>
                <c:pt idx="407">
                  <c:v>1</c:v>
                </c:pt>
                <c:pt idx="408">
                  <c:v>1</c:v>
                </c:pt>
                <c:pt idx="409">
                  <c:v>1</c:v>
                </c:pt>
                <c:pt idx="410">
                  <c:v>1</c:v>
                </c:pt>
                <c:pt idx="411">
                  <c:v>1</c:v>
                </c:pt>
                <c:pt idx="412">
                  <c:v>1</c:v>
                </c:pt>
                <c:pt idx="413">
                  <c:v>1</c:v>
                </c:pt>
                <c:pt idx="414">
                  <c:v>1</c:v>
                </c:pt>
                <c:pt idx="415">
                  <c:v>1</c:v>
                </c:pt>
                <c:pt idx="416">
                  <c:v>1</c:v>
                </c:pt>
                <c:pt idx="417">
                  <c:v>1</c:v>
                </c:pt>
                <c:pt idx="418">
                  <c:v>1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1</c:v>
                </c:pt>
                <c:pt idx="511">
                  <c:v>1</c:v>
                </c:pt>
                <c:pt idx="512">
                  <c:v>1</c:v>
                </c:pt>
                <c:pt idx="513">
                  <c:v>1</c:v>
                </c:pt>
                <c:pt idx="514">
                  <c:v>1</c:v>
                </c:pt>
                <c:pt idx="515">
                  <c:v>1</c:v>
                </c:pt>
                <c:pt idx="516">
                  <c:v>1</c:v>
                </c:pt>
                <c:pt idx="517">
                  <c:v>1</c:v>
                </c:pt>
                <c:pt idx="518">
                  <c:v>1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1</c:v>
                </c:pt>
                <c:pt idx="639">
                  <c:v>1</c:v>
                </c:pt>
                <c:pt idx="640">
                  <c:v>1</c:v>
                </c:pt>
                <c:pt idx="641">
                  <c:v>1</c:v>
                </c:pt>
                <c:pt idx="642">
                  <c:v>1</c:v>
                </c:pt>
                <c:pt idx="643">
                  <c:v>1</c:v>
                </c:pt>
                <c:pt idx="644">
                  <c:v>1</c:v>
                </c:pt>
                <c:pt idx="645">
                  <c:v>1</c:v>
                </c:pt>
                <c:pt idx="646">
                  <c:v>1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1</c:v>
                </c:pt>
                <c:pt idx="720">
                  <c:v>1</c:v>
                </c:pt>
                <c:pt idx="721">
                  <c:v>1</c:v>
                </c:pt>
                <c:pt idx="722">
                  <c:v>1</c:v>
                </c:pt>
                <c:pt idx="723">
                  <c:v>1</c:v>
                </c:pt>
                <c:pt idx="724">
                  <c:v>1</c:v>
                </c:pt>
                <c:pt idx="725">
                  <c:v>1</c:v>
                </c:pt>
                <c:pt idx="726">
                  <c:v>1</c:v>
                </c:pt>
                <c:pt idx="727">
                  <c:v>1</c:v>
                </c:pt>
                <c:pt idx="728">
                  <c:v>1</c:v>
                </c:pt>
                <c:pt idx="729">
                  <c:v>1</c:v>
                </c:pt>
                <c:pt idx="730">
                  <c:v>1</c:v>
                </c:pt>
                <c:pt idx="731">
                  <c:v>1</c:v>
                </c:pt>
                <c:pt idx="732">
                  <c:v>1</c:v>
                </c:pt>
                <c:pt idx="733">
                  <c:v>1</c:v>
                </c:pt>
                <c:pt idx="734">
                  <c:v>1</c:v>
                </c:pt>
                <c:pt idx="735">
                  <c:v>1</c:v>
                </c:pt>
                <c:pt idx="736">
                  <c:v>1</c:v>
                </c:pt>
                <c:pt idx="737">
                  <c:v>1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1</c:v>
                </c:pt>
                <c:pt idx="866">
                  <c:v>1</c:v>
                </c:pt>
                <c:pt idx="867">
                  <c:v>1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0A4-49D4-8F05-3A5D32D3F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19871439"/>
        <c:axId val="916948303"/>
      </c:areaChart>
      <c:lineChart>
        <c:grouping val="standard"/>
        <c:varyColors val="0"/>
        <c:ser>
          <c:idx val="1"/>
          <c:order val="0"/>
          <c:tx>
            <c:strRef>
              <c:f>'Labor Market'!$B$2</c:f>
              <c:strCache>
                <c:ptCount val="1"/>
                <c:pt idx="0">
                  <c:v>Unemployment Rate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'Labor Market'!$A$3:$A$926</c:f>
              <c:numCache>
                <c:formatCode>[$-416]mmm\-yy;@</c:formatCode>
                <c:ptCount val="924"/>
                <c:pt idx="0">
                  <c:v>17533</c:v>
                </c:pt>
                <c:pt idx="1">
                  <c:v>17564</c:v>
                </c:pt>
                <c:pt idx="2">
                  <c:v>17593</c:v>
                </c:pt>
                <c:pt idx="3">
                  <c:v>17624</c:v>
                </c:pt>
                <c:pt idx="4">
                  <c:v>17654</c:v>
                </c:pt>
                <c:pt idx="5">
                  <c:v>17685</c:v>
                </c:pt>
                <c:pt idx="6">
                  <c:v>17715</c:v>
                </c:pt>
                <c:pt idx="7">
                  <c:v>17746</c:v>
                </c:pt>
                <c:pt idx="8">
                  <c:v>17777</c:v>
                </c:pt>
                <c:pt idx="9">
                  <c:v>17807</c:v>
                </c:pt>
                <c:pt idx="10">
                  <c:v>17838</c:v>
                </c:pt>
                <c:pt idx="11">
                  <c:v>17868</c:v>
                </c:pt>
                <c:pt idx="12">
                  <c:v>17899</c:v>
                </c:pt>
                <c:pt idx="13">
                  <c:v>17930</c:v>
                </c:pt>
                <c:pt idx="14">
                  <c:v>17958</c:v>
                </c:pt>
                <c:pt idx="15">
                  <c:v>17989</c:v>
                </c:pt>
                <c:pt idx="16">
                  <c:v>18019</c:v>
                </c:pt>
                <c:pt idx="17">
                  <c:v>18050</c:v>
                </c:pt>
                <c:pt idx="18">
                  <c:v>18080</c:v>
                </c:pt>
                <c:pt idx="19">
                  <c:v>18111</c:v>
                </c:pt>
                <c:pt idx="20">
                  <c:v>18142</c:v>
                </c:pt>
                <c:pt idx="21">
                  <c:v>18172</c:v>
                </c:pt>
                <c:pt idx="22">
                  <c:v>18203</c:v>
                </c:pt>
                <c:pt idx="23">
                  <c:v>18233</c:v>
                </c:pt>
                <c:pt idx="24">
                  <c:v>18264</c:v>
                </c:pt>
                <c:pt idx="25">
                  <c:v>18295</c:v>
                </c:pt>
                <c:pt idx="26">
                  <c:v>18323</c:v>
                </c:pt>
                <c:pt idx="27">
                  <c:v>18354</c:v>
                </c:pt>
                <c:pt idx="28">
                  <c:v>18384</c:v>
                </c:pt>
                <c:pt idx="29">
                  <c:v>18415</c:v>
                </c:pt>
                <c:pt idx="30">
                  <c:v>18445</c:v>
                </c:pt>
                <c:pt idx="31">
                  <c:v>18476</c:v>
                </c:pt>
                <c:pt idx="32">
                  <c:v>18507</c:v>
                </c:pt>
                <c:pt idx="33">
                  <c:v>18537</c:v>
                </c:pt>
                <c:pt idx="34">
                  <c:v>18568</c:v>
                </c:pt>
                <c:pt idx="35">
                  <c:v>18598</c:v>
                </c:pt>
                <c:pt idx="36">
                  <c:v>18629</c:v>
                </c:pt>
                <c:pt idx="37">
                  <c:v>18660</c:v>
                </c:pt>
                <c:pt idx="38">
                  <c:v>18688</c:v>
                </c:pt>
                <c:pt idx="39">
                  <c:v>18719</c:v>
                </c:pt>
                <c:pt idx="40">
                  <c:v>18749</c:v>
                </c:pt>
                <c:pt idx="41">
                  <c:v>18780</c:v>
                </c:pt>
                <c:pt idx="42">
                  <c:v>18810</c:v>
                </c:pt>
                <c:pt idx="43">
                  <c:v>18841</c:v>
                </c:pt>
                <c:pt idx="44">
                  <c:v>18872</c:v>
                </c:pt>
                <c:pt idx="45">
                  <c:v>18902</c:v>
                </c:pt>
                <c:pt idx="46">
                  <c:v>18933</c:v>
                </c:pt>
                <c:pt idx="47">
                  <c:v>18963</c:v>
                </c:pt>
                <c:pt idx="48">
                  <c:v>18994</c:v>
                </c:pt>
                <c:pt idx="49">
                  <c:v>19025</c:v>
                </c:pt>
                <c:pt idx="50">
                  <c:v>19054</c:v>
                </c:pt>
                <c:pt idx="51">
                  <c:v>19085</c:v>
                </c:pt>
                <c:pt idx="52">
                  <c:v>19115</c:v>
                </c:pt>
                <c:pt idx="53">
                  <c:v>19146</c:v>
                </c:pt>
                <c:pt idx="54">
                  <c:v>19176</c:v>
                </c:pt>
                <c:pt idx="55">
                  <c:v>19207</c:v>
                </c:pt>
                <c:pt idx="56">
                  <c:v>19238</c:v>
                </c:pt>
                <c:pt idx="57">
                  <c:v>19268</c:v>
                </c:pt>
                <c:pt idx="58">
                  <c:v>19299</c:v>
                </c:pt>
                <c:pt idx="59">
                  <c:v>19329</c:v>
                </c:pt>
                <c:pt idx="60">
                  <c:v>19360</c:v>
                </c:pt>
                <c:pt idx="61">
                  <c:v>19391</c:v>
                </c:pt>
                <c:pt idx="62">
                  <c:v>19419</c:v>
                </c:pt>
                <c:pt idx="63">
                  <c:v>19450</c:v>
                </c:pt>
                <c:pt idx="64">
                  <c:v>19480</c:v>
                </c:pt>
                <c:pt idx="65">
                  <c:v>19511</c:v>
                </c:pt>
                <c:pt idx="66">
                  <c:v>19541</c:v>
                </c:pt>
                <c:pt idx="67">
                  <c:v>19572</c:v>
                </c:pt>
                <c:pt idx="68">
                  <c:v>19603</c:v>
                </c:pt>
                <c:pt idx="69">
                  <c:v>19633</c:v>
                </c:pt>
                <c:pt idx="70">
                  <c:v>19664</c:v>
                </c:pt>
                <c:pt idx="71">
                  <c:v>19694</c:v>
                </c:pt>
                <c:pt idx="72">
                  <c:v>19725</c:v>
                </c:pt>
                <c:pt idx="73">
                  <c:v>19756</c:v>
                </c:pt>
                <c:pt idx="74">
                  <c:v>19784</c:v>
                </c:pt>
                <c:pt idx="75">
                  <c:v>19815</c:v>
                </c:pt>
                <c:pt idx="76">
                  <c:v>19845</c:v>
                </c:pt>
                <c:pt idx="77">
                  <c:v>19876</c:v>
                </c:pt>
                <c:pt idx="78">
                  <c:v>19906</c:v>
                </c:pt>
                <c:pt idx="79">
                  <c:v>19937</c:v>
                </c:pt>
                <c:pt idx="80">
                  <c:v>19968</c:v>
                </c:pt>
                <c:pt idx="81">
                  <c:v>19998</c:v>
                </c:pt>
                <c:pt idx="82">
                  <c:v>20029</c:v>
                </c:pt>
                <c:pt idx="83">
                  <c:v>20059</c:v>
                </c:pt>
                <c:pt idx="84">
                  <c:v>20090</c:v>
                </c:pt>
                <c:pt idx="85">
                  <c:v>20121</c:v>
                </c:pt>
                <c:pt idx="86">
                  <c:v>20149</c:v>
                </c:pt>
                <c:pt idx="87">
                  <c:v>20180</c:v>
                </c:pt>
                <c:pt idx="88">
                  <c:v>20210</c:v>
                </c:pt>
                <c:pt idx="89">
                  <c:v>20241</c:v>
                </c:pt>
                <c:pt idx="90">
                  <c:v>20271</c:v>
                </c:pt>
                <c:pt idx="91">
                  <c:v>20302</c:v>
                </c:pt>
                <c:pt idx="92">
                  <c:v>20333</c:v>
                </c:pt>
                <c:pt idx="93">
                  <c:v>20363</c:v>
                </c:pt>
                <c:pt idx="94">
                  <c:v>20394</c:v>
                </c:pt>
                <c:pt idx="95">
                  <c:v>20424</c:v>
                </c:pt>
                <c:pt idx="96">
                  <c:v>20455</c:v>
                </c:pt>
                <c:pt idx="97">
                  <c:v>20486</c:v>
                </c:pt>
                <c:pt idx="98">
                  <c:v>20515</c:v>
                </c:pt>
                <c:pt idx="99">
                  <c:v>20546</c:v>
                </c:pt>
                <c:pt idx="100">
                  <c:v>20576</c:v>
                </c:pt>
                <c:pt idx="101">
                  <c:v>20607</c:v>
                </c:pt>
                <c:pt idx="102">
                  <c:v>20637</c:v>
                </c:pt>
                <c:pt idx="103">
                  <c:v>20668</c:v>
                </c:pt>
                <c:pt idx="104">
                  <c:v>20699</c:v>
                </c:pt>
                <c:pt idx="105">
                  <c:v>20729</c:v>
                </c:pt>
                <c:pt idx="106">
                  <c:v>20760</c:v>
                </c:pt>
                <c:pt idx="107">
                  <c:v>20790</c:v>
                </c:pt>
                <c:pt idx="108">
                  <c:v>20821</c:v>
                </c:pt>
                <c:pt idx="109">
                  <c:v>20852</c:v>
                </c:pt>
                <c:pt idx="110">
                  <c:v>20880</c:v>
                </c:pt>
                <c:pt idx="111">
                  <c:v>20911</c:v>
                </c:pt>
                <c:pt idx="112">
                  <c:v>20941</c:v>
                </c:pt>
                <c:pt idx="113">
                  <c:v>20972</c:v>
                </c:pt>
                <c:pt idx="114">
                  <c:v>21002</c:v>
                </c:pt>
                <c:pt idx="115">
                  <c:v>21033</c:v>
                </c:pt>
                <c:pt idx="116">
                  <c:v>21064</c:v>
                </c:pt>
                <c:pt idx="117">
                  <c:v>21094</c:v>
                </c:pt>
                <c:pt idx="118">
                  <c:v>21125</c:v>
                </c:pt>
                <c:pt idx="119">
                  <c:v>21155</c:v>
                </c:pt>
                <c:pt idx="120">
                  <c:v>21186</c:v>
                </c:pt>
                <c:pt idx="121">
                  <c:v>21217</c:v>
                </c:pt>
                <c:pt idx="122">
                  <c:v>21245</c:v>
                </c:pt>
                <c:pt idx="123">
                  <c:v>21276</c:v>
                </c:pt>
                <c:pt idx="124">
                  <c:v>21306</c:v>
                </c:pt>
                <c:pt idx="125">
                  <c:v>21337</c:v>
                </c:pt>
                <c:pt idx="126">
                  <c:v>21367</c:v>
                </c:pt>
                <c:pt idx="127">
                  <c:v>21398</c:v>
                </c:pt>
                <c:pt idx="128">
                  <c:v>21429</c:v>
                </c:pt>
                <c:pt idx="129">
                  <c:v>21459</c:v>
                </c:pt>
                <c:pt idx="130">
                  <c:v>21490</c:v>
                </c:pt>
                <c:pt idx="131">
                  <c:v>21520</c:v>
                </c:pt>
                <c:pt idx="132">
                  <c:v>21551</c:v>
                </c:pt>
                <c:pt idx="133">
                  <c:v>21582</c:v>
                </c:pt>
                <c:pt idx="134">
                  <c:v>21610</c:v>
                </c:pt>
                <c:pt idx="135">
                  <c:v>21641</c:v>
                </c:pt>
                <c:pt idx="136">
                  <c:v>21671</c:v>
                </c:pt>
                <c:pt idx="137">
                  <c:v>21702</c:v>
                </c:pt>
                <c:pt idx="138">
                  <c:v>21732</c:v>
                </c:pt>
                <c:pt idx="139">
                  <c:v>21763</c:v>
                </c:pt>
                <c:pt idx="140">
                  <c:v>21794</c:v>
                </c:pt>
                <c:pt idx="141">
                  <c:v>21824</c:v>
                </c:pt>
                <c:pt idx="142">
                  <c:v>21855</c:v>
                </c:pt>
                <c:pt idx="143">
                  <c:v>21885</c:v>
                </c:pt>
                <c:pt idx="144">
                  <c:v>21916</c:v>
                </c:pt>
                <c:pt idx="145">
                  <c:v>21947</c:v>
                </c:pt>
                <c:pt idx="146">
                  <c:v>21976</c:v>
                </c:pt>
                <c:pt idx="147">
                  <c:v>22007</c:v>
                </c:pt>
                <c:pt idx="148">
                  <c:v>22037</c:v>
                </c:pt>
                <c:pt idx="149">
                  <c:v>22068</c:v>
                </c:pt>
                <c:pt idx="150">
                  <c:v>22098</c:v>
                </c:pt>
                <c:pt idx="151">
                  <c:v>22129</c:v>
                </c:pt>
                <c:pt idx="152">
                  <c:v>22160</c:v>
                </c:pt>
                <c:pt idx="153">
                  <c:v>22190</c:v>
                </c:pt>
                <c:pt idx="154">
                  <c:v>22221</c:v>
                </c:pt>
                <c:pt idx="155">
                  <c:v>22251</c:v>
                </c:pt>
                <c:pt idx="156">
                  <c:v>22282</c:v>
                </c:pt>
                <c:pt idx="157">
                  <c:v>22313</c:v>
                </c:pt>
                <c:pt idx="158">
                  <c:v>22341</c:v>
                </c:pt>
                <c:pt idx="159">
                  <c:v>22372</c:v>
                </c:pt>
                <c:pt idx="160">
                  <c:v>22402</c:v>
                </c:pt>
                <c:pt idx="161">
                  <c:v>22433</c:v>
                </c:pt>
                <c:pt idx="162">
                  <c:v>22463</c:v>
                </c:pt>
                <c:pt idx="163">
                  <c:v>22494</c:v>
                </c:pt>
                <c:pt idx="164">
                  <c:v>22525</c:v>
                </c:pt>
                <c:pt idx="165">
                  <c:v>22555</c:v>
                </c:pt>
                <c:pt idx="166">
                  <c:v>22586</c:v>
                </c:pt>
                <c:pt idx="167">
                  <c:v>22616</c:v>
                </c:pt>
                <c:pt idx="168">
                  <c:v>22647</c:v>
                </c:pt>
                <c:pt idx="169">
                  <c:v>22678</c:v>
                </c:pt>
                <c:pt idx="170">
                  <c:v>22706</c:v>
                </c:pt>
                <c:pt idx="171">
                  <c:v>22737</c:v>
                </c:pt>
                <c:pt idx="172">
                  <c:v>22767</c:v>
                </c:pt>
                <c:pt idx="173">
                  <c:v>22798</c:v>
                </c:pt>
                <c:pt idx="174">
                  <c:v>22828</c:v>
                </c:pt>
                <c:pt idx="175">
                  <c:v>22859</c:v>
                </c:pt>
                <c:pt idx="176">
                  <c:v>22890</c:v>
                </c:pt>
                <c:pt idx="177">
                  <c:v>22920</c:v>
                </c:pt>
                <c:pt idx="178">
                  <c:v>22951</c:v>
                </c:pt>
                <c:pt idx="179">
                  <c:v>22981</c:v>
                </c:pt>
                <c:pt idx="180">
                  <c:v>23012</c:v>
                </c:pt>
                <c:pt idx="181">
                  <c:v>23043</c:v>
                </c:pt>
                <c:pt idx="182">
                  <c:v>23071</c:v>
                </c:pt>
                <c:pt idx="183">
                  <c:v>23102</c:v>
                </c:pt>
                <c:pt idx="184">
                  <c:v>23132</c:v>
                </c:pt>
                <c:pt idx="185">
                  <c:v>23163</c:v>
                </c:pt>
                <c:pt idx="186">
                  <c:v>23193</c:v>
                </c:pt>
                <c:pt idx="187">
                  <c:v>23224</c:v>
                </c:pt>
                <c:pt idx="188">
                  <c:v>23255</c:v>
                </c:pt>
                <c:pt idx="189">
                  <c:v>23285</c:v>
                </c:pt>
                <c:pt idx="190">
                  <c:v>23316</c:v>
                </c:pt>
                <c:pt idx="191">
                  <c:v>23346</c:v>
                </c:pt>
                <c:pt idx="192">
                  <c:v>23377</c:v>
                </c:pt>
                <c:pt idx="193">
                  <c:v>23408</c:v>
                </c:pt>
                <c:pt idx="194">
                  <c:v>23437</c:v>
                </c:pt>
                <c:pt idx="195">
                  <c:v>23468</c:v>
                </c:pt>
                <c:pt idx="196">
                  <c:v>23498</c:v>
                </c:pt>
                <c:pt idx="197">
                  <c:v>23529</c:v>
                </c:pt>
                <c:pt idx="198">
                  <c:v>23559</c:v>
                </c:pt>
                <c:pt idx="199">
                  <c:v>23590</c:v>
                </c:pt>
                <c:pt idx="200">
                  <c:v>23621</c:v>
                </c:pt>
                <c:pt idx="201">
                  <c:v>23651</c:v>
                </c:pt>
                <c:pt idx="202">
                  <c:v>23682</c:v>
                </c:pt>
                <c:pt idx="203">
                  <c:v>23712</c:v>
                </c:pt>
                <c:pt idx="204">
                  <c:v>23743</c:v>
                </c:pt>
                <c:pt idx="205">
                  <c:v>23774</c:v>
                </c:pt>
                <c:pt idx="206">
                  <c:v>23802</c:v>
                </c:pt>
                <c:pt idx="207">
                  <c:v>23833</c:v>
                </c:pt>
                <c:pt idx="208">
                  <c:v>23863</c:v>
                </c:pt>
                <c:pt idx="209">
                  <c:v>23894</c:v>
                </c:pt>
                <c:pt idx="210">
                  <c:v>23924</c:v>
                </c:pt>
                <c:pt idx="211">
                  <c:v>23955</c:v>
                </c:pt>
                <c:pt idx="212">
                  <c:v>23986</c:v>
                </c:pt>
                <c:pt idx="213">
                  <c:v>24016</c:v>
                </c:pt>
                <c:pt idx="214">
                  <c:v>24047</c:v>
                </c:pt>
                <c:pt idx="215">
                  <c:v>24077</c:v>
                </c:pt>
                <c:pt idx="216">
                  <c:v>24108</c:v>
                </c:pt>
                <c:pt idx="217">
                  <c:v>24139</c:v>
                </c:pt>
                <c:pt idx="218">
                  <c:v>24167</c:v>
                </c:pt>
                <c:pt idx="219">
                  <c:v>24198</c:v>
                </c:pt>
                <c:pt idx="220">
                  <c:v>24228</c:v>
                </c:pt>
                <c:pt idx="221">
                  <c:v>24259</c:v>
                </c:pt>
                <c:pt idx="222">
                  <c:v>24289</c:v>
                </c:pt>
                <c:pt idx="223">
                  <c:v>24320</c:v>
                </c:pt>
                <c:pt idx="224">
                  <c:v>24351</c:v>
                </c:pt>
                <c:pt idx="225">
                  <c:v>24381</c:v>
                </c:pt>
                <c:pt idx="226">
                  <c:v>24412</c:v>
                </c:pt>
                <c:pt idx="227">
                  <c:v>24442</c:v>
                </c:pt>
                <c:pt idx="228">
                  <c:v>24473</c:v>
                </c:pt>
                <c:pt idx="229">
                  <c:v>24504</c:v>
                </c:pt>
                <c:pt idx="230">
                  <c:v>24532</c:v>
                </c:pt>
                <c:pt idx="231">
                  <c:v>24563</c:v>
                </c:pt>
                <c:pt idx="232">
                  <c:v>24593</c:v>
                </c:pt>
                <c:pt idx="233">
                  <c:v>24624</c:v>
                </c:pt>
                <c:pt idx="234">
                  <c:v>24654</c:v>
                </c:pt>
                <c:pt idx="235">
                  <c:v>24685</c:v>
                </c:pt>
                <c:pt idx="236">
                  <c:v>24716</c:v>
                </c:pt>
                <c:pt idx="237">
                  <c:v>24746</c:v>
                </c:pt>
                <c:pt idx="238">
                  <c:v>24777</c:v>
                </c:pt>
                <c:pt idx="239">
                  <c:v>24807</c:v>
                </c:pt>
                <c:pt idx="240">
                  <c:v>24838</c:v>
                </c:pt>
                <c:pt idx="241">
                  <c:v>24869</c:v>
                </c:pt>
                <c:pt idx="242">
                  <c:v>24898</c:v>
                </c:pt>
                <c:pt idx="243">
                  <c:v>24929</c:v>
                </c:pt>
                <c:pt idx="244">
                  <c:v>24959</c:v>
                </c:pt>
                <c:pt idx="245">
                  <c:v>24990</c:v>
                </c:pt>
                <c:pt idx="246">
                  <c:v>25020</c:v>
                </c:pt>
                <c:pt idx="247">
                  <c:v>25051</c:v>
                </c:pt>
                <c:pt idx="248">
                  <c:v>25082</c:v>
                </c:pt>
                <c:pt idx="249">
                  <c:v>25112</c:v>
                </c:pt>
                <c:pt idx="250">
                  <c:v>25143</c:v>
                </c:pt>
                <c:pt idx="251">
                  <c:v>25173</c:v>
                </c:pt>
                <c:pt idx="252">
                  <c:v>25204</c:v>
                </c:pt>
                <c:pt idx="253">
                  <c:v>25235</c:v>
                </c:pt>
                <c:pt idx="254">
                  <c:v>25263</c:v>
                </c:pt>
                <c:pt idx="255">
                  <c:v>25294</c:v>
                </c:pt>
                <c:pt idx="256">
                  <c:v>25324</c:v>
                </c:pt>
                <c:pt idx="257">
                  <c:v>25355</c:v>
                </c:pt>
                <c:pt idx="258">
                  <c:v>25385</c:v>
                </c:pt>
                <c:pt idx="259">
                  <c:v>25416</c:v>
                </c:pt>
                <c:pt idx="260">
                  <c:v>25447</c:v>
                </c:pt>
                <c:pt idx="261">
                  <c:v>25477</c:v>
                </c:pt>
                <c:pt idx="262">
                  <c:v>25508</c:v>
                </c:pt>
                <c:pt idx="263">
                  <c:v>25538</c:v>
                </c:pt>
                <c:pt idx="264">
                  <c:v>25569</c:v>
                </c:pt>
                <c:pt idx="265">
                  <c:v>25600</c:v>
                </c:pt>
                <c:pt idx="266">
                  <c:v>25628</c:v>
                </c:pt>
                <c:pt idx="267">
                  <c:v>25659</c:v>
                </c:pt>
                <c:pt idx="268">
                  <c:v>25689</c:v>
                </c:pt>
                <c:pt idx="269">
                  <c:v>25720</c:v>
                </c:pt>
                <c:pt idx="270">
                  <c:v>25750</c:v>
                </c:pt>
                <c:pt idx="271">
                  <c:v>25781</c:v>
                </c:pt>
                <c:pt idx="272">
                  <c:v>25812</c:v>
                </c:pt>
                <c:pt idx="273">
                  <c:v>25842</c:v>
                </c:pt>
                <c:pt idx="274">
                  <c:v>25873</c:v>
                </c:pt>
                <c:pt idx="275">
                  <c:v>25903</c:v>
                </c:pt>
                <c:pt idx="276">
                  <c:v>25934</c:v>
                </c:pt>
                <c:pt idx="277">
                  <c:v>25965</c:v>
                </c:pt>
                <c:pt idx="278">
                  <c:v>25993</c:v>
                </c:pt>
                <c:pt idx="279">
                  <c:v>26024</c:v>
                </c:pt>
                <c:pt idx="280">
                  <c:v>26054</c:v>
                </c:pt>
                <c:pt idx="281">
                  <c:v>26085</c:v>
                </c:pt>
                <c:pt idx="282">
                  <c:v>26115</c:v>
                </c:pt>
                <c:pt idx="283">
                  <c:v>26146</c:v>
                </c:pt>
                <c:pt idx="284">
                  <c:v>26177</c:v>
                </c:pt>
                <c:pt idx="285">
                  <c:v>26207</c:v>
                </c:pt>
                <c:pt idx="286">
                  <c:v>26238</c:v>
                </c:pt>
                <c:pt idx="287">
                  <c:v>26268</c:v>
                </c:pt>
                <c:pt idx="288">
                  <c:v>26299</c:v>
                </c:pt>
                <c:pt idx="289">
                  <c:v>26330</c:v>
                </c:pt>
                <c:pt idx="290">
                  <c:v>26359</c:v>
                </c:pt>
                <c:pt idx="291">
                  <c:v>26390</c:v>
                </c:pt>
                <c:pt idx="292">
                  <c:v>26420</c:v>
                </c:pt>
                <c:pt idx="293">
                  <c:v>26451</c:v>
                </c:pt>
                <c:pt idx="294">
                  <c:v>26481</c:v>
                </c:pt>
                <c:pt idx="295">
                  <c:v>26512</c:v>
                </c:pt>
                <c:pt idx="296">
                  <c:v>26543</c:v>
                </c:pt>
                <c:pt idx="297">
                  <c:v>26573</c:v>
                </c:pt>
                <c:pt idx="298">
                  <c:v>26604</c:v>
                </c:pt>
                <c:pt idx="299">
                  <c:v>26634</c:v>
                </c:pt>
                <c:pt idx="300">
                  <c:v>26665</c:v>
                </c:pt>
                <c:pt idx="301">
                  <c:v>26696</c:v>
                </c:pt>
                <c:pt idx="302">
                  <c:v>26724</c:v>
                </c:pt>
                <c:pt idx="303">
                  <c:v>26755</c:v>
                </c:pt>
                <c:pt idx="304">
                  <c:v>26785</c:v>
                </c:pt>
                <c:pt idx="305">
                  <c:v>26816</c:v>
                </c:pt>
                <c:pt idx="306">
                  <c:v>26846</c:v>
                </c:pt>
                <c:pt idx="307">
                  <c:v>26877</c:v>
                </c:pt>
                <c:pt idx="308">
                  <c:v>26908</c:v>
                </c:pt>
                <c:pt idx="309">
                  <c:v>26938</c:v>
                </c:pt>
                <c:pt idx="310">
                  <c:v>26969</c:v>
                </c:pt>
                <c:pt idx="311">
                  <c:v>26999</c:v>
                </c:pt>
                <c:pt idx="312">
                  <c:v>27030</c:v>
                </c:pt>
                <c:pt idx="313">
                  <c:v>27061</c:v>
                </c:pt>
                <c:pt idx="314">
                  <c:v>27089</c:v>
                </c:pt>
                <c:pt idx="315">
                  <c:v>27120</c:v>
                </c:pt>
                <c:pt idx="316">
                  <c:v>27150</c:v>
                </c:pt>
                <c:pt idx="317">
                  <c:v>27181</c:v>
                </c:pt>
                <c:pt idx="318">
                  <c:v>27211</c:v>
                </c:pt>
                <c:pt idx="319">
                  <c:v>27242</c:v>
                </c:pt>
                <c:pt idx="320">
                  <c:v>27273</c:v>
                </c:pt>
                <c:pt idx="321">
                  <c:v>27303</c:v>
                </c:pt>
                <c:pt idx="322">
                  <c:v>27334</c:v>
                </c:pt>
                <c:pt idx="323">
                  <c:v>27364</c:v>
                </c:pt>
                <c:pt idx="324">
                  <c:v>27395</c:v>
                </c:pt>
                <c:pt idx="325">
                  <c:v>27426</c:v>
                </c:pt>
                <c:pt idx="326">
                  <c:v>27454</c:v>
                </c:pt>
                <c:pt idx="327">
                  <c:v>27485</c:v>
                </c:pt>
                <c:pt idx="328">
                  <c:v>27515</c:v>
                </c:pt>
                <c:pt idx="329">
                  <c:v>27546</c:v>
                </c:pt>
                <c:pt idx="330">
                  <c:v>27576</c:v>
                </c:pt>
                <c:pt idx="331">
                  <c:v>27607</c:v>
                </c:pt>
                <c:pt idx="332">
                  <c:v>27638</c:v>
                </c:pt>
                <c:pt idx="333">
                  <c:v>27668</c:v>
                </c:pt>
                <c:pt idx="334">
                  <c:v>27699</c:v>
                </c:pt>
                <c:pt idx="335">
                  <c:v>27729</c:v>
                </c:pt>
                <c:pt idx="336">
                  <c:v>27760</c:v>
                </c:pt>
                <c:pt idx="337">
                  <c:v>27791</c:v>
                </c:pt>
                <c:pt idx="338">
                  <c:v>27820</c:v>
                </c:pt>
                <c:pt idx="339">
                  <c:v>27851</c:v>
                </c:pt>
                <c:pt idx="340">
                  <c:v>27881</c:v>
                </c:pt>
                <c:pt idx="341">
                  <c:v>27912</c:v>
                </c:pt>
                <c:pt idx="342">
                  <c:v>27942</c:v>
                </c:pt>
                <c:pt idx="343">
                  <c:v>27973</c:v>
                </c:pt>
                <c:pt idx="344">
                  <c:v>28004</c:v>
                </c:pt>
                <c:pt idx="345">
                  <c:v>28034</c:v>
                </c:pt>
                <c:pt idx="346">
                  <c:v>28065</c:v>
                </c:pt>
                <c:pt idx="347">
                  <c:v>28095</c:v>
                </c:pt>
                <c:pt idx="348">
                  <c:v>28126</c:v>
                </c:pt>
                <c:pt idx="349">
                  <c:v>28157</c:v>
                </c:pt>
                <c:pt idx="350">
                  <c:v>28185</c:v>
                </c:pt>
                <c:pt idx="351">
                  <c:v>28216</c:v>
                </c:pt>
                <c:pt idx="352">
                  <c:v>28246</c:v>
                </c:pt>
                <c:pt idx="353">
                  <c:v>28277</c:v>
                </c:pt>
                <c:pt idx="354">
                  <c:v>28307</c:v>
                </c:pt>
                <c:pt idx="355">
                  <c:v>28338</c:v>
                </c:pt>
                <c:pt idx="356">
                  <c:v>28369</c:v>
                </c:pt>
                <c:pt idx="357">
                  <c:v>28399</c:v>
                </c:pt>
                <c:pt idx="358">
                  <c:v>28430</c:v>
                </c:pt>
                <c:pt idx="359">
                  <c:v>28460</c:v>
                </c:pt>
                <c:pt idx="360">
                  <c:v>28491</c:v>
                </c:pt>
                <c:pt idx="361">
                  <c:v>28522</c:v>
                </c:pt>
                <c:pt idx="362">
                  <c:v>28550</c:v>
                </c:pt>
                <c:pt idx="363">
                  <c:v>28581</c:v>
                </c:pt>
                <c:pt idx="364">
                  <c:v>28611</c:v>
                </c:pt>
                <c:pt idx="365">
                  <c:v>28642</c:v>
                </c:pt>
                <c:pt idx="366">
                  <c:v>28672</c:v>
                </c:pt>
                <c:pt idx="367">
                  <c:v>28703</c:v>
                </c:pt>
                <c:pt idx="368">
                  <c:v>28734</c:v>
                </c:pt>
                <c:pt idx="369">
                  <c:v>28764</c:v>
                </c:pt>
                <c:pt idx="370">
                  <c:v>28795</c:v>
                </c:pt>
                <c:pt idx="371">
                  <c:v>28825</c:v>
                </c:pt>
                <c:pt idx="372">
                  <c:v>28856</c:v>
                </c:pt>
                <c:pt idx="373">
                  <c:v>28887</c:v>
                </c:pt>
                <c:pt idx="374">
                  <c:v>28915</c:v>
                </c:pt>
                <c:pt idx="375">
                  <c:v>28946</c:v>
                </c:pt>
                <c:pt idx="376">
                  <c:v>28976</c:v>
                </c:pt>
                <c:pt idx="377">
                  <c:v>29007</c:v>
                </c:pt>
                <c:pt idx="378">
                  <c:v>29037</c:v>
                </c:pt>
                <c:pt idx="379">
                  <c:v>29068</c:v>
                </c:pt>
                <c:pt idx="380">
                  <c:v>29099</c:v>
                </c:pt>
                <c:pt idx="381">
                  <c:v>29129</c:v>
                </c:pt>
                <c:pt idx="382">
                  <c:v>29160</c:v>
                </c:pt>
                <c:pt idx="383">
                  <c:v>29190</c:v>
                </c:pt>
                <c:pt idx="384">
                  <c:v>29221</c:v>
                </c:pt>
                <c:pt idx="385">
                  <c:v>29252</c:v>
                </c:pt>
                <c:pt idx="386">
                  <c:v>29281</c:v>
                </c:pt>
                <c:pt idx="387">
                  <c:v>29312</c:v>
                </c:pt>
                <c:pt idx="388">
                  <c:v>29342</c:v>
                </c:pt>
                <c:pt idx="389">
                  <c:v>29373</c:v>
                </c:pt>
                <c:pt idx="390">
                  <c:v>29403</c:v>
                </c:pt>
                <c:pt idx="391">
                  <c:v>29434</c:v>
                </c:pt>
                <c:pt idx="392">
                  <c:v>29465</c:v>
                </c:pt>
                <c:pt idx="393">
                  <c:v>29495</c:v>
                </c:pt>
                <c:pt idx="394">
                  <c:v>29526</c:v>
                </c:pt>
                <c:pt idx="395">
                  <c:v>29556</c:v>
                </c:pt>
                <c:pt idx="396">
                  <c:v>29587</c:v>
                </c:pt>
                <c:pt idx="397">
                  <c:v>29618</c:v>
                </c:pt>
                <c:pt idx="398">
                  <c:v>29646</c:v>
                </c:pt>
                <c:pt idx="399">
                  <c:v>29677</c:v>
                </c:pt>
                <c:pt idx="400">
                  <c:v>29707</c:v>
                </c:pt>
                <c:pt idx="401">
                  <c:v>29738</c:v>
                </c:pt>
                <c:pt idx="402">
                  <c:v>29768</c:v>
                </c:pt>
                <c:pt idx="403">
                  <c:v>29799</c:v>
                </c:pt>
                <c:pt idx="404">
                  <c:v>29830</c:v>
                </c:pt>
                <c:pt idx="405">
                  <c:v>29860</c:v>
                </c:pt>
                <c:pt idx="406">
                  <c:v>29891</c:v>
                </c:pt>
                <c:pt idx="407">
                  <c:v>29921</c:v>
                </c:pt>
                <c:pt idx="408">
                  <c:v>29952</c:v>
                </c:pt>
                <c:pt idx="409">
                  <c:v>29983</c:v>
                </c:pt>
                <c:pt idx="410">
                  <c:v>30011</c:v>
                </c:pt>
                <c:pt idx="411">
                  <c:v>30042</c:v>
                </c:pt>
                <c:pt idx="412">
                  <c:v>30072</c:v>
                </c:pt>
                <c:pt idx="413">
                  <c:v>30103</c:v>
                </c:pt>
                <c:pt idx="414">
                  <c:v>30133</c:v>
                </c:pt>
                <c:pt idx="415">
                  <c:v>30164</c:v>
                </c:pt>
                <c:pt idx="416">
                  <c:v>30195</c:v>
                </c:pt>
                <c:pt idx="417">
                  <c:v>30225</c:v>
                </c:pt>
                <c:pt idx="418">
                  <c:v>30256</c:v>
                </c:pt>
                <c:pt idx="419">
                  <c:v>30286</c:v>
                </c:pt>
                <c:pt idx="420">
                  <c:v>30317</c:v>
                </c:pt>
                <c:pt idx="421">
                  <c:v>30348</c:v>
                </c:pt>
                <c:pt idx="422">
                  <c:v>30376</c:v>
                </c:pt>
                <c:pt idx="423">
                  <c:v>30407</c:v>
                </c:pt>
                <c:pt idx="424">
                  <c:v>30437</c:v>
                </c:pt>
                <c:pt idx="425">
                  <c:v>30468</c:v>
                </c:pt>
                <c:pt idx="426">
                  <c:v>30498</c:v>
                </c:pt>
                <c:pt idx="427">
                  <c:v>30529</c:v>
                </c:pt>
                <c:pt idx="428">
                  <c:v>30560</c:v>
                </c:pt>
                <c:pt idx="429">
                  <c:v>30590</c:v>
                </c:pt>
                <c:pt idx="430">
                  <c:v>30621</c:v>
                </c:pt>
                <c:pt idx="431">
                  <c:v>30651</c:v>
                </c:pt>
                <c:pt idx="432">
                  <c:v>30682</c:v>
                </c:pt>
                <c:pt idx="433">
                  <c:v>30713</c:v>
                </c:pt>
                <c:pt idx="434">
                  <c:v>30742</c:v>
                </c:pt>
                <c:pt idx="435">
                  <c:v>30773</c:v>
                </c:pt>
                <c:pt idx="436">
                  <c:v>30803</c:v>
                </c:pt>
                <c:pt idx="437">
                  <c:v>30834</c:v>
                </c:pt>
                <c:pt idx="438">
                  <c:v>30864</c:v>
                </c:pt>
                <c:pt idx="439">
                  <c:v>30895</c:v>
                </c:pt>
                <c:pt idx="440">
                  <c:v>30926</c:v>
                </c:pt>
                <c:pt idx="441">
                  <c:v>30956</c:v>
                </c:pt>
                <c:pt idx="442">
                  <c:v>30987</c:v>
                </c:pt>
                <c:pt idx="443">
                  <c:v>31017</c:v>
                </c:pt>
                <c:pt idx="444">
                  <c:v>31048</c:v>
                </c:pt>
                <c:pt idx="445">
                  <c:v>31079</c:v>
                </c:pt>
                <c:pt idx="446">
                  <c:v>31107</c:v>
                </c:pt>
                <c:pt idx="447">
                  <c:v>31138</c:v>
                </c:pt>
                <c:pt idx="448">
                  <c:v>31168</c:v>
                </c:pt>
                <c:pt idx="449">
                  <c:v>31199</c:v>
                </c:pt>
                <c:pt idx="450">
                  <c:v>31229</c:v>
                </c:pt>
                <c:pt idx="451">
                  <c:v>31260</c:v>
                </c:pt>
                <c:pt idx="452">
                  <c:v>31291</c:v>
                </c:pt>
                <c:pt idx="453">
                  <c:v>31321</c:v>
                </c:pt>
                <c:pt idx="454">
                  <c:v>31352</c:v>
                </c:pt>
                <c:pt idx="455">
                  <c:v>31382</c:v>
                </c:pt>
                <c:pt idx="456">
                  <c:v>31413</c:v>
                </c:pt>
                <c:pt idx="457">
                  <c:v>31444</c:v>
                </c:pt>
                <c:pt idx="458">
                  <c:v>31472</c:v>
                </c:pt>
                <c:pt idx="459">
                  <c:v>31503</c:v>
                </c:pt>
                <c:pt idx="460">
                  <c:v>31533</c:v>
                </c:pt>
                <c:pt idx="461">
                  <c:v>31564</c:v>
                </c:pt>
                <c:pt idx="462">
                  <c:v>31594</c:v>
                </c:pt>
                <c:pt idx="463">
                  <c:v>31625</c:v>
                </c:pt>
                <c:pt idx="464">
                  <c:v>31656</c:v>
                </c:pt>
                <c:pt idx="465">
                  <c:v>31686</c:v>
                </c:pt>
                <c:pt idx="466">
                  <c:v>31717</c:v>
                </c:pt>
                <c:pt idx="467">
                  <c:v>31747</c:v>
                </c:pt>
                <c:pt idx="468">
                  <c:v>31778</c:v>
                </c:pt>
                <c:pt idx="469">
                  <c:v>31809</c:v>
                </c:pt>
                <c:pt idx="470">
                  <c:v>31837</c:v>
                </c:pt>
                <c:pt idx="471">
                  <c:v>31868</c:v>
                </c:pt>
                <c:pt idx="472">
                  <c:v>31898</c:v>
                </c:pt>
                <c:pt idx="473">
                  <c:v>31929</c:v>
                </c:pt>
                <c:pt idx="474">
                  <c:v>31959</c:v>
                </c:pt>
                <c:pt idx="475">
                  <c:v>31990</c:v>
                </c:pt>
                <c:pt idx="476">
                  <c:v>32021</c:v>
                </c:pt>
                <c:pt idx="477">
                  <c:v>32051</c:v>
                </c:pt>
                <c:pt idx="478">
                  <c:v>32082</c:v>
                </c:pt>
                <c:pt idx="479">
                  <c:v>32112</c:v>
                </c:pt>
                <c:pt idx="480">
                  <c:v>32143</c:v>
                </c:pt>
                <c:pt idx="481">
                  <c:v>32174</c:v>
                </c:pt>
                <c:pt idx="482">
                  <c:v>32203</c:v>
                </c:pt>
                <c:pt idx="483">
                  <c:v>32234</c:v>
                </c:pt>
                <c:pt idx="484">
                  <c:v>32264</c:v>
                </c:pt>
                <c:pt idx="485">
                  <c:v>32295</c:v>
                </c:pt>
                <c:pt idx="486">
                  <c:v>32325</c:v>
                </c:pt>
                <c:pt idx="487">
                  <c:v>32356</c:v>
                </c:pt>
                <c:pt idx="488">
                  <c:v>32387</c:v>
                </c:pt>
                <c:pt idx="489">
                  <c:v>32417</c:v>
                </c:pt>
                <c:pt idx="490">
                  <c:v>32448</c:v>
                </c:pt>
                <c:pt idx="491">
                  <c:v>32478</c:v>
                </c:pt>
                <c:pt idx="492">
                  <c:v>32509</c:v>
                </c:pt>
                <c:pt idx="493">
                  <c:v>32540</c:v>
                </c:pt>
                <c:pt idx="494">
                  <c:v>32568</c:v>
                </c:pt>
                <c:pt idx="495">
                  <c:v>32599</c:v>
                </c:pt>
                <c:pt idx="496">
                  <c:v>32629</c:v>
                </c:pt>
                <c:pt idx="497">
                  <c:v>32660</c:v>
                </c:pt>
                <c:pt idx="498">
                  <c:v>32690</c:v>
                </c:pt>
                <c:pt idx="499">
                  <c:v>32721</c:v>
                </c:pt>
                <c:pt idx="500">
                  <c:v>32752</c:v>
                </c:pt>
                <c:pt idx="501">
                  <c:v>32782</c:v>
                </c:pt>
                <c:pt idx="502">
                  <c:v>32813</c:v>
                </c:pt>
                <c:pt idx="503">
                  <c:v>32843</c:v>
                </c:pt>
                <c:pt idx="504">
                  <c:v>32874</c:v>
                </c:pt>
                <c:pt idx="505">
                  <c:v>32905</c:v>
                </c:pt>
                <c:pt idx="506">
                  <c:v>32933</c:v>
                </c:pt>
                <c:pt idx="507">
                  <c:v>32964</c:v>
                </c:pt>
                <c:pt idx="508">
                  <c:v>32994</c:v>
                </c:pt>
                <c:pt idx="509">
                  <c:v>33025</c:v>
                </c:pt>
                <c:pt idx="510">
                  <c:v>33055</c:v>
                </c:pt>
                <c:pt idx="511">
                  <c:v>33086</c:v>
                </c:pt>
                <c:pt idx="512">
                  <c:v>33117</c:v>
                </c:pt>
                <c:pt idx="513">
                  <c:v>33147</c:v>
                </c:pt>
                <c:pt idx="514">
                  <c:v>33178</c:v>
                </c:pt>
                <c:pt idx="515">
                  <c:v>33208</c:v>
                </c:pt>
                <c:pt idx="516">
                  <c:v>33239</c:v>
                </c:pt>
                <c:pt idx="517">
                  <c:v>33270</c:v>
                </c:pt>
                <c:pt idx="518">
                  <c:v>33298</c:v>
                </c:pt>
                <c:pt idx="519">
                  <c:v>33329</c:v>
                </c:pt>
                <c:pt idx="520">
                  <c:v>33359</c:v>
                </c:pt>
                <c:pt idx="521">
                  <c:v>33390</c:v>
                </c:pt>
                <c:pt idx="522">
                  <c:v>33420</c:v>
                </c:pt>
                <c:pt idx="523">
                  <c:v>33451</c:v>
                </c:pt>
                <c:pt idx="524">
                  <c:v>33482</c:v>
                </c:pt>
                <c:pt idx="525">
                  <c:v>33512</c:v>
                </c:pt>
                <c:pt idx="526">
                  <c:v>33543</c:v>
                </c:pt>
                <c:pt idx="527">
                  <c:v>33573</c:v>
                </c:pt>
                <c:pt idx="528">
                  <c:v>33604</c:v>
                </c:pt>
                <c:pt idx="529">
                  <c:v>33635</c:v>
                </c:pt>
                <c:pt idx="530">
                  <c:v>33664</c:v>
                </c:pt>
                <c:pt idx="531">
                  <c:v>33695</c:v>
                </c:pt>
                <c:pt idx="532">
                  <c:v>33725</c:v>
                </c:pt>
                <c:pt idx="533">
                  <c:v>33756</c:v>
                </c:pt>
                <c:pt idx="534">
                  <c:v>33786</c:v>
                </c:pt>
                <c:pt idx="535">
                  <c:v>33817</c:v>
                </c:pt>
                <c:pt idx="536">
                  <c:v>33848</c:v>
                </c:pt>
                <c:pt idx="537">
                  <c:v>33878</c:v>
                </c:pt>
                <c:pt idx="538">
                  <c:v>33909</c:v>
                </c:pt>
                <c:pt idx="539">
                  <c:v>33939</c:v>
                </c:pt>
                <c:pt idx="540">
                  <c:v>33970</c:v>
                </c:pt>
                <c:pt idx="541">
                  <c:v>34001</c:v>
                </c:pt>
                <c:pt idx="542">
                  <c:v>34029</c:v>
                </c:pt>
                <c:pt idx="543">
                  <c:v>34060</c:v>
                </c:pt>
                <c:pt idx="544">
                  <c:v>34090</c:v>
                </c:pt>
                <c:pt idx="545">
                  <c:v>34121</c:v>
                </c:pt>
                <c:pt idx="546">
                  <c:v>34151</c:v>
                </c:pt>
                <c:pt idx="547">
                  <c:v>34182</c:v>
                </c:pt>
                <c:pt idx="548">
                  <c:v>34213</c:v>
                </c:pt>
                <c:pt idx="549">
                  <c:v>34243</c:v>
                </c:pt>
                <c:pt idx="550">
                  <c:v>34274</c:v>
                </c:pt>
                <c:pt idx="551">
                  <c:v>34304</c:v>
                </c:pt>
                <c:pt idx="552">
                  <c:v>34335</c:v>
                </c:pt>
                <c:pt idx="553">
                  <c:v>34366</c:v>
                </c:pt>
                <c:pt idx="554">
                  <c:v>34394</c:v>
                </c:pt>
                <c:pt idx="555">
                  <c:v>34425</c:v>
                </c:pt>
                <c:pt idx="556">
                  <c:v>34455</c:v>
                </c:pt>
                <c:pt idx="557">
                  <c:v>34486</c:v>
                </c:pt>
                <c:pt idx="558">
                  <c:v>34516</c:v>
                </c:pt>
                <c:pt idx="559">
                  <c:v>34547</c:v>
                </c:pt>
                <c:pt idx="560">
                  <c:v>34578</c:v>
                </c:pt>
                <c:pt idx="561">
                  <c:v>34608</c:v>
                </c:pt>
                <c:pt idx="562">
                  <c:v>34639</c:v>
                </c:pt>
                <c:pt idx="563">
                  <c:v>34669</c:v>
                </c:pt>
                <c:pt idx="564">
                  <c:v>34700</c:v>
                </c:pt>
                <c:pt idx="565">
                  <c:v>34731</c:v>
                </c:pt>
                <c:pt idx="566">
                  <c:v>34759</c:v>
                </c:pt>
                <c:pt idx="567">
                  <c:v>34790</c:v>
                </c:pt>
                <c:pt idx="568">
                  <c:v>34820</c:v>
                </c:pt>
                <c:pt idx="569">
                  <c:v>34851</c:v>
                </c:pt>
                <c:pt idx="570">
                  <c:v>34881</c:v>
                </c:pt>
                <c:pt idx="571">
                  <c:v>34912</c:v>
                </c:pt>
                <c:pt idx="572">
                  <c:v>34943</c:v>
                </c:pt>
                <c:pt idx="573">
                  <c:v>34973</c:v>
                </c:pt>
                <c:pt idx="574">
                  <c:v>35004</c:v>
                </c:pt>
                <c:pt idx="575">
                  <c:v>35034</c:v>
                </c:pt>
                <c:pt idx="576">
                  <c:v>35065</c:v>
                </c:pt>
                <c:pt idx="577">
                  <c:v>35096</c:v>
                </c:pt>
                <c:pt idx="578">
                  <c:v>35125</c:v>
                </c:pt>
                <c:pt idx="579">
                  <c:v>35156</c:v>
                </c:pt>
                <c:pt idx="580">
                  <c:v>35186</c:v>
                </c:pt>
                <c:pt idx="581">
                  <c:v>35217</c:v>
                </c:pt>
                <c:pt idx="582">
                  <c:v>35247</c:v>
                </c:pt>
                <c:pt idx="583">
                  <c:v>35278</c:v>
                </c:pt>
                <c:pt idx="584">
                  <c:v>35309</c:v>
                </c:pt>
                <c:pt idx="585">
                  <c:v>35339</c:v>
                </c:pt>
                <c:pt idx="586">
                  <c:v>35370</c:v>
                </c:pt>
                <c:pt idx="587">
                  <c:v>35400</c:v>
                </c:pt>
                <c:pt idx="588">
                  <c:v>35431</c:v>
                </c:pt>
                <c:pt idx="589">
                  <c:v>35462</c:v>
                </c:pt>
                <c:pt idx="590">
                  <c:v>35490</c:v>
                </c:pt>
                <c:pt idx="591">
                  <c:v>35521</c:v>
                </c:pt>
                <c:pt idx="592">
                  <c:v>35551</c:v>
                </c:pt>
                <c:pt idx="593">
                  <c:v>35582</c:v>
                </c:pt>
                <c:pt idx="594">
                  <c:v>35612</c:v>
                </c:pt>
                <c:pt idx="595">
                  <c:v>35643</c:v>
                </c:pt>
                <c:pt idx="596">
                  <c:v>35674</c:v>
                </c:pt>
                <c:pt idx="597">
                  <c:v>35704</c:v>
                </c:pt>
                <c:pt idx="598">
                  <c:v>35735</c:v>
                </c:pt>
                <c:pt idx="599">
                  <c:v>35765</c:v>
                </c:pt>
                <c:pt idx="600">
                  <c:v>35796</c:v>
                </c:pt>
                <c:pt idx="601">
                  <c:v>35827</c:v>
                </c:pt>
                <c:pt idx="602">
                  <c:v>35855</c:v>
                </c:pt>
                <c:pt idx="603">
                  <c:v>35886</c:v>
                </c:pt>
                <c:pt idx="604">
                  <c:v>35916</c:v>
                </c:pt>
                <c:pt idx="605">
                  <c:v>35947</c:v>
                </c:pt>
                <c:pt idx="606">
                  <c:v>35977</c:v>
                </c:pt>
                <c:pt idx="607">
                  <c:v>36008</c:v>
                </c:pt>
                <c:pt idx="608">
                  <c:v>36039</c:v>
                </c:pt>
                <c:pt idx="609">
                  <c:v>36069</c:v>
                </c:pt>
                <c:pt idx="610">
                  <c:v>36100</c:v>
                </c:pt>
                <c:pt idx="611">
                  <c:v>36130</c:v>
                </c:pt>
                <c:pt idx="612">
                  <c:v>36161</c:v>
                </c:pt>
                <c:pt idx="613">
                  <c:v>36192</c:v>
                </c:pt>
                <c:pt idx="614">
                  <c:v>36220</c:v>
                </c:pt>
                <c:pt idx="615">
                  <c:v>36251</c:v>
                </c:pt>
                <c:pt idx="616">
                  <c:v>36281</c:v>
                </c:pt>
                <c:pt idx="617">
                  <c:v>36312</c:v>
                </c:pt>
                <c:pt idx="618">
                  <c:v>36342</c:v>
                </c:pt>
                <c:pt idx="619">
                  <c:v>36373</c:v>
                </c:pt>
                <c:pt idx="620">
                  <c:v>36404</c:v>
                </c:pt>
                <c:pt idx="621">
                  <c:v>36434</c:v>
                </c:pt>
                <c:pt idx="622">
                  <c:v>36465</c:v>
                </c:pt>
                <c:pt idx="623">
                  <c:v>36495</c:v>
                </c:pt>
                <c:pt idx="624">
                  <c:v>36526</c:v>
                </c:pt>
                <c:pt idx="625">
                  <c:v>36557</c:v>
                </c:pt>
                <c:pt idx="626">
                  <c:v>36586</c:v>
                </c:pt>
                <c:pt idx="627">
                  <c:v>36617</c:v>
                </c:pt>
                <c:pt idx="628">
                  <c:v>36647</c:v>
                </c:pt>
                <c:pt idx="629">
                  <c:v>36678</c:v>
                </c:pt>
                <c:pt idx="630">
                  <c:v>36708</c:v>
                </c:pt>
                <c:pt idx="631">
                  <c:v>36739</c:v>
                </c:pt>
                <c:pt idx="632">
                  <c:v>36770</c:v>
                </c:pt>
                <c:pt idx="633">
                  <c:v>36800</c:v>
                </c:pt>
                <c:pt idx="634">
                  <c:v>36831</c:v>
                </c:pt>
                <c:pt idx="635">
                  <c:v>36861</c:v>
                </c:pt>
                <c:pt idx="636">
                  <c:v>36892</c:v>
                </c:pt>
                <c:pt idx="637">
                  <c:v>36923</c:v>
                </c:pt>
                <c:pt idx="638">
                  <c:v>36951</c:v>
                </c:pt>
                <c:pt idx="639">
                  <c:v>36982</c:v>
                </c:pt>
                <c:pt idx="640">
                  <c:v>37012</c:v>
                </c:pt>
                <c:pt idx="641">
                  <c:v>37043</c:v>
                </c:pt>
                <c:pt idx="642">
                  <c:v>37073</c:v>
                </c:pt>
                <c:pt idx="643">
                  <c:v>37104</c:v>
                </c:pt>
                <c:pt idx="644">
                  <c:v>37135</c:v>
                </c:pt>
                <c:pt idx="645">
                  <c:v>37165</c:v>
                </c:pt>
                <c:pt idx="646">
                  <c:v>37196</c:v>
                </c:pt>
                <c:pt idx="647">
                  <c:v>37226</c:v>
                </c:pt>
                <c:pt idx="648">
                  <c:v>37257</c:v>
                </c:pt>
                <c:pt idx="649">
                  <c:v>37288</c:v>
                </c:pt>
                <c:pt idx="650">
                  <c:v>37316</c:v>
                </c:pt>
                <c:pt idx="651">
                  <c:v>37347</c:v>
                </c:pt>
                <c:pt idx="652">
                  <c:v>37377</c:v>
                </c:pt>
                <c:pt idx="653">
                  <c:v>37408</c:v>
                </c:pt>
                <c:pt idx="654">
                  <c:v>37438</c:v>
                </c:pt>
                <c:pt idx="655">
                  <c:v>37469</c:v>
                </c:pt>
                <c:pt idx="656">
                  <c:v>37500</c:v>
                </c:pt>
                <c:pt idx="657">
                  <c:v>37530</c:v>
                </c:pt>
                <c:pt idx="658">
                  <c:v>37561</c:v>
                </c:pt>
                <c:pt idx="659">
                  <c:v>37591</c:v>
                </c:pt>
                <c:pt idx="660">
                  <c:v>37622</c:v>
                </c:pt>
                <c:pt idx="661">
                  <c:v>37653</c:v>
                </c:pt>
                <c:pt idx="662">
                  <c:v>37681</c:v>
                </c:pt>
                <c:pt idx="663">
                  <c:v>37712</c:v>
                </c:pt>
                <c:pt idx="664">
                  <c:v>37742</c:v>
                </c:pt>
                <c:pt idx="665">
                  <c:v>37773</c:v>
                </c:pt>
                <c:pt idx="666">
                  <c:v>37803</c:v>
                </c:pt>
                <c:pt idx="667">
                  <c:v>37834</c:v>
                </c:pt>
                <c:pt idx="668">
                  <c:v>37865</c:v>
                </c:pt>
                <c:pt idx="669">
                  <c:v>37895</c:v>
                </c:pt>
                <c:pt idx="670">
                  <c:v>37926</c:v>
                </c:pt>
                <c:pt idx="671">
                  <c:v>37956</c:v>
                </c:pt>
                <c:pt idx="672">
                  <c:v>37987</c:v>
                </c:pt>
                <c:pt idx="673">
                  <c:v>38018</c:v>
                </c:pt>
                <c:pt idx="674">
                  <c:v>38047</c:v>
                </c:pt>
                <c:pt idx="675">
                  <c:v>38078</c:v>
                </c:pt>
                <c:pt idx="676">
                  <c:v>38108</c:v>
                </c:pt>
                <c:pt idx="677">
                  <c:v>38139</c:v>
                </c:pt>
                <c:pt idx="678">
                  <c:v>38169</c:v>
                </c:pt>
                <c:pt idx="679">
                  <c:v>38200</c:v>
                </c:pt>
                <c:pt idx="680">
                  <c:v>38231</c:v>
                </c:pt>
                <c:pt idx="681">
                  <c:v>38261</c:v>
                </c:pt>
                <c:pt idx="682">
                  <c:v>38292</c:v>
                </c:pt>
                <c:pt idx="683">
                  <c:v>38322</c:v>
                </c:pt>
                <c:pt idx="684">
                  <c:v>38353</c:v>
                </c:pt>
                <c:pt idx="685">
                  <c:v>38384</c:v>
                </c:pt>
                <c:pt idx="686">
                  <c:v>38412</c:v>
                </c:pt>
                <c:pt idx="687">
                  <c:v>38443</c:v>
                </c:pt>
                <c:pt idx="688">
                  <c:v>38473</c:v>
                </c:pt>
                <c:pt idx="689">
                  <c:v>38504</c:v>
                </c:pt>
                <c:pt idx="690">
                  <c:v>38534</c:v>
                </c:pt>
                <c:pt idx="691">
                  <c:v>38565</c:v>
                </c:pt>
                <c:pt idx="692">
                  <c:v>38596</c:v>
                </c:pt>
                <c:pt idx="693">
                  <c:v>38626</c:v>
                </c:pt>
                <c:pt idx="694">
                  <c:v>38657</c:v>
                </c:pt>
                <c:pt idx="695">
                  <c:v>38687</c:v>
                </c:pt>
                <c:pt idx="696">
                  <c:v>38718</c:v>
                </c:pt>
                <c:pt idx="697">
                  <c:v>38749</c:v>
                </c:pt>
                <c:pt idx="698">
                  <c:v>38777</c:v>
                </c:pt>
                <c:pt idx="699">
                  <c:v>38808</c:v>
                </c:pt>
                <c:pt idx="700">
                  <c:v>38838</c:v>
                </c:pt>
                <c:pt idx="701">
                  <c:v>38869</c:v>
                </c:pt>
                <c:pt idx="702">
                  <c:v>38899</c:v>
                </c:pt>
                <c:pt idx="703">
                  <c:v>38930</c:v>
                </c:pt>
                <c:pt idx="704">
                  <c:v>38961</c:v>
                </c:pt>
                <c:pt idx="705">
                  <c:v>38991</c:v>
                </c:pt>
                <c:pt idx="706">
                  <c:v>39022</c:v>
                </c:pt>
                <c:pt idx="707">
                  <c:v>39052</c:v>
                </c:pt>
                <c:pt idx="708">
                  <c:v>39083</c:v>
                </c:pt>
                <c:pt idx="709">
                  <c:v>39114</c:v>
                </c:pt>
                <c:pt idx="710">
                  <c:v>39142</c:v>
                </c:pt>
                <c:pt idx="711">
                  <c:v>39173</c:v>
                </c:pt>
                <c:pt idx="712">
                  <c:v>39203</c:v>
                </c:pt>
                <c:pt idx="713">
                  <c:v>39234</c:v>
                </c:pt>
                <c:pt idx="714">
                  <c:v>39264</c:v>
                </c:pt>
                <c:pt idx="715">
                  <c:v>39295</c:v>
                </c:pt>
                <c:pt idx="716">
                  <c:v>39326</c:v>
                </c:pt>
                <c:pt idx="717">
                  <c:v>39356</c:v>
                </c:pt>
                <c:pt idx="718">
                  <c:v>39387</c:v>
                </c:pt>
                <c:pt idx="719">
                  <c:v>39417</c:v>
                </c:pt>
                <c:pt idx="720">
                  <c:v>39448</c:v>
                </c:pt>
                <c:pt idx="721">
                  <c:v>39479</c:v>
                </c:pt>
                <c:pt idx="722">
                  <c:v>39508</c:v>
                </c:pt>
                <c:pt idx="723">
                  <c:v>39539</c:v>
                </c:pt>
                <c:pt idx="724">
                  <c:v>39569</c:v>
                </c:pt>
                <c:pt idx="725">
                  <c:v>39600</c:v>
                </c:pt>
                <c:pt idx="726">
                  <c:v>39630</c:v>
                </c:pt>
                <c:pt idx="727">
                  <c:v>39661</c:v>
                </c:pt>
                <c:pt idx="728">
                  <c:v>39692</c:v>
                </c:pt>
                <c:pt idx="729">
                  <c:v>39722</c:v>
                </c:pt>
                <c:pt idx="730">
                  <c:v>39753</c:v>
                </c:pt>
                <c:pt idx="731">
                  <c:v>39783</c:v>
                </c:pt>
                <c:pt idx="732">
                  <c:v>39814</c:v>
                </c:pt>
                <c:pt idx="733">
                  <c:v>39845</c:v>
                </c:pt>
                <c:pt idx="734">
                  <c:v>39873</c:v>
                </c:pt>
                <c:pt idx="735">
                  <c:v>39904</c:v>
                </c:pt>
                <c:pt idx="736">
                  <c:v>39934</c:v>
                </c:pt>
                <c:pt idx="737">
                  <c:v>39965</c:v>
                </c:pt>
                <c:pt idx="738">
                  <c:v>39995</c:v>
                </c:pt>
                <c:pt idx="739">
                  <c:v>40026</c:v>
                </c:pt>
                <c:pt idx="740">
                  <c:v>40057</c:v>
                </c:pt>
                <c:pt idx="741">
                  <c:v>40087</c:v>
                </c:pt>
                <c:pt idx="742">
                  <c:v>40118</c:v>
                </c:pt>
                <c:pt idx="743">
                  <c:v>40148</c:v>
                </c:pt>
                <c:pt idx="744">
                  <c:v>40179</c:v>
                </c:pt>
                <c:pt idx="745">
                  <c:v>40210</c:v>
                </c:pt>
                <c:pt idx="746">
                  <c:v>40238</c:v>
                </c:pt>
                <c:pt idx="747">
                  <c:v>40269</c:v>
                </c:pt>
                <c:pt idx="748">
                  <c:v>40299</c:v>
                </c:pt>
                <c:pt idx="749">
                  <c:v>40330</c:v>
                </c:pt>
                <c:pt idx="750">
                  <c:v>40360</c:v>
                </c:pt>
                <c:pt idx="751">
                  <c:v>40391</c:v>
                </c:pt>
                <c:pt idx="752">
                  <c:v>40422</c:v>
                </c:pt>
                <c:pt idx="753">
                  <c:v>40452</c:v>
                </c:pt>
                <c:pt idx="754">
                  <c:v>40483</c:v>
                </c:pt>
                <c:pt idx="755">
                  <c:v>40513</c:v>
                </c:pt>
                <c:pt idx="756">
                  <c:v>40544</c:v>
                </c:pt>
                <c:pt idx="757">
                  <c:v>40575</c:v>
                </c:pt>
                <c:pt idx="758">
                  <c:v>40603</c:v>
                </c:pt>
                <c:pt idx="759">
                  <c:v>40634</c:v>
                </c:pt>
                <c:pt idx="760">
                  <c:v>40664</c:v>
                </c:pt>
                <c:pt idx="761">
                  <c:v>40695</c:v>
                </c:pt>
                <c:pt idx="762">
                  <c:v>40725</c:v>
                </c:pt>
                <c:pt idx="763">
                  <c:v>40756</c:v>
                </c:pt>
                <c:pt idx="764">
                  <c:v>40787</c:v>
                </c:pt>
                <c:pt idx="765">
                  <c:v>40817</c:v>
                </c:pt>
                <c:pt idx="766">
                  <c:v>40848</c:v>
                </c:pt>
                <c:pt idx="767">
                  <c:v>40878</c:v>
                </c:pt>
                <c:pt idx="768">
                  <c:v>40909</c:v>
                </c:pt>
                <c:pt idx="769">
                  <c:v>40940</c:v>
                </c:pt>
                <c:pt idx="770">
                  <c:v>40969</c:v>
                </c:pt>
                <c:pt idx="771">
                  <c:v>41000</c:v>
                </c:pt>
                <c:pt idx="772">
                  <c:v>41030</c:v>
                </c:pt>
                <c:pt idx="773">
                  <c:v>41061</c:v>
                </c:pt>
                <c:pt idx="774">
                  <c:v>41091</c:v>
                </c:pt>
                <c:pt idx="775">
                  <c:v>41122</c:v>
                </c:pt>
                <c:pt idx="776">
                  <c:v>41153</c:v>
                </c:pt>
                <c:pt idx="777">
                  <c:v>41183</c:v>
                </c:pt>
                <c:pt idx="778">
                  <c:v>41214</c:v>
                </c:pt>
                <c:pt idx="779">
                  <c:v>41244</c:v>
                </c:pt>
                <c:pt idx="780">
                  <c:v>41275</c:v>
                </c:pt>
                <c:pt idx="781">
                  <c:v>41306</c:v>
                </c:pt>
                <c:pt idx="782">
                  <c:v>41334</c:v>
                </c:pt>
                <c:pt idx="783">
                  <c:v>41365</c:v>
                </c:pt>
                <c:pt idx="784">
                  <c:v>41395</c:v>
                </c:pt>
                <c:pt idx="785">
                  <c:v>41426</c:v>
                </c:pt>
                <c:pt idx="786">
                  <c:v>41456</c:v>
                </c:pt>
                <c:pt idx="787">
                  <c:v>41487</c:v>
                </c:pt>
                <c:pt idx="788">
                  <c:v>41518</c:v>
                </c:pt>
                <c:pt idx="789">
                  <c:v>41548</c:v>
                </c:pt>
                <c:pt idx="790">
                  <c:v>41579</c:v>
                </c:pt>
                <c:pt idx="791">
                  <c:v>41609</c:v>
                </c:pt>
                <c:pt idx="792">
                  <c:v>41640</c:v>
                </c:pt>
                <c:pt idx="793">
                  <c:v>41671</c:v>
                </c:pt>
                <c:pt idx="794">
                  <c:v>41699</c:v>
                </c:pt>
                <c:pt idx="795">
                  <c:v>41730</c:v>
                </c:pt>
                <c:pt idx="796">
                  <c:v>41760</c:v>
                </c:pt>
                <c:pt idx="797">
                  <c:v>41791</c:v>
                </c:pt>
                <c:pt idx="798">
                  <c:v>41821</c:v>
                </c:pt>
                <c:pt idx="799">
                  <c:v>41852</c:v>
                </c:pt>
                <c:pt idx="800">
                  <c:v>41883</c:v>
                </c:pt>
                <c:pt idx="801">
                  <c:v>41913</c:v>
                </c:pt>
                <c:pt idx="802">
                  <c:v>41944</c:v>
                </c:pt>
                <c:pt idx="803">
                  <c:v>41974</c:v>
                </c:pt>
                <c:pt idx="804">
                  <c:v>42005</c:v>
                </c:pt>
                <c:pt idx="805">
                  <c:v>42036</c:v>
                </c:pt>
                <c:pt idx="806">
                  <c:v>42064</c:v>
                </c:pt>
                <c:pt idx="807">
                  <c:v>42095</c:v>
                </c:pt>
                <c:pt idx="808">
                  <c:v>42125</c:v>
                </c:pt>
                <c:pt idx="809">
                  <c:v>42156</c:v>
                </c:pt>
                <c:pt idx="810">
                  <c:v>42186</c:v>
                </c:pt>
                <c:pt idx="811">
                  <c:v>42217</c:v>
                </c:pt>
                <c:pt idx="812">
                  <c:v>42248</c:v>
                </c:pt>
                <c:pt idx="813">
                  <c:v>42278</c:v>
                </c:pt>
                <c:pt idx="814">
                  <c:v>42309</c:v>
                </c:pt>
                <c:pt idx="815">
                  <c:v>42339</c:v>
                </c:pt>
                <c:pt idx="816">
                  <c:v>42370</c:v>
                </c:pt>
                <c:pt idx="817">
                  <c:v>42401</c:v>
                </c:pt>
                <c:pt idx="818">
                  <c:v>42430</c:v>
                </c:pt>
                <c:pt idx="819">
                  <c:v>42461</c:v>
                </c:pt>
                <c:pt idx="820">
                  <c:v>42491</c:v>
                </c:pt>
                <c:pt idx="821">
                  <c:v>42522</c:v>
                </c:pt>
                <c:pt idx="822">
                  <c:v>42552</c:v>
                </c:pt>
                <c:pt idx="823">
                  <c:v>42583</c:v>
                </c:pt>
                <c:pt idx="824">
                  <c:v>42614</c:v>
                </c:pt>
                <c:pt idx="825">
                  <c:v>42644</c:v>
                </c:pt>
                <c:pt idx="826">
                  <c:v>42675</c:v>
                </c:pt>
                <c:pt idx="827">
                  <c:v>42705</c:v>
                </c:pt>
                <c:pt idx="828">
                  <c:v>42736</c:v>
                </c:pt>
                <c:pt idx="829">
                  <c:v>42767</c:v>
                </c:pt>
                <c:pt idx="830">
                  <c:v>42795</c:v>
                </c:pt>
                <c:pt idx="831">
                  <c:v>42826</c:v>
                </c:pt>
                <c:pt idx="832">
                  <c:v>42856</c:v>
                </c:pt>
                <c:pt idx="833">
                  <c:v>42887</c:v>
                </c:pt>
                <c:pt idx="834">
                  <c:v>42917</c:v>
                </c:pt>
                <c:pt idx="835">
                  <c:v>42948</c:v>
                </c:pt>
                <c:pt idx="836">
                  <c:v>42979</c:v>
                </c:pt>
                <c:pt idx="837">
                  <c:v>43009</c:v>
                </c:pt>
                <c:pt idx="838">
                  <c:v>43040</c:v>
                </c:pt>
                <c:pt idx="839">
                  <c:v>43070</c:v>
                </c:pt>
                <c:pt idx="840">
                  <c:v>43101</c:v>
                </c:pt>
                <c:pt idx="841">
                  <c:v>43132</c:v>
                </c:pt>
                <c:pt idx="842">
                  <c:v>43160</c:v>
                </c:pt>
                <c:pt idx="843">
                  <c:v>43191</c:v>
                </c:pt>
                <c:pt idx="844">
                  <c:v>43221</c:v>
                </c:pt>
                <c:pt idx="845">
                  <c:v>43252</c:v>
                </c:pt>
                <c:pt idx="846">
                  <c:v>43282</c:v>
                </c:pt>
                <c:pt idx="847">
                  <c:v>43313</c:v>
                </c:pt>
                <c:pt idx="848">
                  <c:v>43344</c:v>
                </c:pt>
                <c:pt idx="849">
                  <c:v>43374</c:v>
                </c:pt>
                <c:pt idx="850">
                  <c:v>43405</c:v>
                </c:pt>
                <c:pt idx="851">
                  <c:v>43435</c:v>
                </c:pt>
                <c:pt idx="852">
                  <c:v>43466</c:v>
                </c:pt>
                <c:pt idx="853">
                  <c:v>43497</c:v>
                </c:pt>
                <c:pt idx="854">
                  <c:v>43525</c:v>
                </c:pt>
                <c:pt idx="855">
                  <c:v>43556</c:v>
                </c:pt>
                <c:pt idx="856">
                  <c:v>43586</c:v>
                </c:pt>
                <c:pt idx="857">
                  <c:v>43617</c:v>
                </c:pt>
                <c:pt idx="858">
                  <c:v>43647</c:v>
                </c:pt>
                <c:pt idx="859">
                  <c:v>43678</c:v>
                </c:pt>
                <c:pt idx="860">
                  <c:v>43709</c:v>
                </c:pt>
                <c:pt idx="861">
                  <c:v>43739</c:v>
                </c:pt>
                <c:pt idx="862">
                  <c:v>43770</c:v>
                </c:pt>
                <c:pt idx="863">
                  <c:v>43800</c:v>
                </c:pt>
                <c:pt idx="864">
                  <c:v>43831</c:v>
                </c:pt>
                <c:pt idx="865">
                  <c:v>43862</c:v>
                </c:pt>
                <c:pt idx="866">
                  <c:v>43891</c:v>
                </c:pt>
                <c:pt idx="867">
                  <c:v>43922</c:v>
                </c:pt>
                <c:pt idx="868">
                  <c:v>43952</c:v>
                </c:pt>
                <c:pt idx="869">
                  <c:v>43983</c:v>
                </c:pt>
                <c:pt idx="870">
                  <c:v>44013</c:v>
                </c:pt>
                <c:pt idx="871">
                  <c:v>44044</c:v>
                </c:pt>
                <c:pt idx="872">
                  <c:v>44075</c:v>
                </c:pt>
                <c:pt idx="873">
                  <c:v>44105</c:v>
                </c:pt>
                <c:pt idx="874">
                  <c:v>44136</c:v>
                </c:pt>
                <c:pt idx="875">
                  <c:v>44166</c:v>
                </c:pt>
                <c:pt idx="876">
                  <c:v>44197</c:v>
                </c:pt>
                <c:pt idx="877">
                  <c:v>44228</c:v>
                </c:pt>
                <c:pt idx="878">
                  <c:v>44256</c:v>
                </c:pt>
                <c:pt idx="879">
                  <c:v>44287</c:v>
                </c:pt>
                <c:pt idx="880">
                  <c:v>44317</c:v>
                </c:pt>
                <c:pt idx="881">
                  <c:v>44348</c:v>
                </c:pt>
                <c:pt idx="882">
                  <c:v>44378</c:v>
                </c:pt>
                <c:pt idx="883">
                  <c:v>44409</c:v>
                </c:pt>
                <c:pt idx="884">
                  <c:v>44440</c:v>
                </c:pt>
                <c:pt idx="885">
                  <c:v>44470</c:v>
                </c:pt>
                <c:pt idx="886">
                  <c:v>44501</c:v>
                </c:pt>
                <c:pt idx="887">
                  <c:v>44531</c:v>
                </c:pt>
                <c:pt idx="888">
                  <c:v>44562</c:v>
                </c:pt>
                <c:pt idx="889">
                  <c:v>44593</c:v>
                </c:pt>
                <c:pt idx="890">
                  <c:v>44621</c:v>
                </c:pt>
                <c:pt idx="891">
                  <c:v>44652</c:v>
                </c:pt>
                <c:pt idx="892">
                  <c:v>44682</c:v>
                </c:pt>
                <c:pt idx="893">
                  <c:v>44713</c:v>
                </c:pt>
                <c:pt idx="894">
                  <c:v>44743</c:v>
                </c:pt>
                <c:pt idx="895">
                  <c:v>44774</c:v>
                </c:pt>
                <c:pt idx="896">
                  <c:v>44805</c:v>
                </c:pt>
                <c:pt idx="897">
                  <c:v>44835</c:v>
                </c:pt>
                <c:pt idx="898">
                  <c:v>44866</c:v>
                </c:pt>
                <c:pt idx="899">
                  <c:v>44896</c:v>
                </c:pt>
                <c:pt idx="900">
                  <c:v>44927</c:v>
                </c:pt>
                <c:pt idx="901">
                  <c:v>44958</c:v>
                </c:pt>
                <c:pt idx="902">
                  <c:v>44986</c:v>
                </c:pt>
                <c:pt idx="903">
                  <c:v>45017</c:v>
                </c:pt>
                <c:pt idx="904">
                  <c:v>45047</c:v>
                </c:pt>
                <c:pt idx="905">
                  <c:v>45078</c:v>
                </c:pt>
                <c:pt idx="906">
                  <c:v>45108</c:v>
                </c:pt>
                <c:pt idx="907">
                  <c:v>45139</c:v>
                </c:pt>
                <c:pt idx="908">
                  <c:v>45170</c:v>
                </c:pt>
                <c:pt idx="909">
                  <c:v>45200</c:v>
                </c:pt>
                <c:pt idx="910">
                  <c:v>45231</c:v>
                </c:pt>
                <c:pt idx="911">
                  <c:v>45261</c:v>
                </c:pt>
                <c:pt idx="912">
                  <c:v>45292</c:v>
                </c:pt>
                <c:pt idx="913">
                  <c:v>45323</c:v>
                </c:pt>
                <c:pt idx="914">
                  <c:v>45352</c:v>
                </c:pt>
                <c:pt idx="915">
                  <c:v>45383</c:v>
                </c:pt>
                <c:pt idx="916">
                  <c:v>45413</c:v>
                </c:pt>
                <c:pt idx="917">
                  <c:v>45444</c:v>
                </c:pt>
                <c:pt idx="918">
                  <c:v>45474</c:v>
                </c:pt>
                <c:pt idx="919">
                  <c:v>45505</c:v>
                </c:pt>
                <c:pt idx="920">
                  <c:v>45536</c:v>
                </c:pt>
                <c:pt idx="921">
                  <c:v>45566</c:v>
                </c:pt>
                <c:pt idx="922">
                  <c:v>45597</c:v>
                </c:pt>
                <c:pt idx="923">
                  <c:v>45627</c:v>
                </c:pt>
              </c:numCache>
            </c:numRef>
          </c:cat>
          <c:val>
            <c:numRef>
              <c:f>'Labor Market'!$B$3:$B$926</c:f>
              <c:numCache>
                <c:formatCode>#,##0.00</c:formatCode>
                <c:ptCount val="924"/>
                <c:pt idx="0">
                  <c:v>3.4</c:v>
                </c:pt>
                <c:pt idx="1">
                  <c:v>3.8</c:v>
                </c:pt>
                <c:pt idx="2">
                  <c:v>4</c:v>
                </c:pt>
                <c:pt idx="3">
                  <c:v>3.9</c:v>
                </c:pt>
                <c:pt idx="4">
                  <c:v>3.5</c:v>
                </c:pt>
                <c:pt idx="5">
                  <c:v>3.6</c:v>
                </c:pt>
                <c:pt idx="6">
                  <c:v>3.6</c:v>
                </c:pt>
                <c:pt idx="7">
                  <c:v>3.9</c:v>
                </c:pt>
                <c:pt idx="8">
                  <c:v>3.8</c:v>
                </c:pt>
                <c:pt idx="9">
                  <c:v>3.7</c:v>
                </c:pt>
                <c:pt idx="10">
                  <c:v>3.8</c:v>
                </c:pt>
                <c:pt idx="11">
                  <c:v>4</c:v>
                </c:pt>
                <c:pt idx="12">
                  <c:v>4.3</c:v>
                </c:pt>
                <c:pt idx="13">
                  <c:v>4.7</c:v>
                </c:pt>
                <c:pt idx="14">
                  <c:v>5</c:v>
                </c:pt>
                <c:pt idx="15">
                  <c:v>5.3</c:v>
                </c:pt>
                <c:pt idx="16">
                  <c:v>6.1</c:v>
                </c:pt>
                <c:pt idx="17">
                  <c:v>6.2</c:v>
                </c:pt>
                <c:pt idx="18">
                  <c:v>6.7</c:v>
                </c:pt>
                <c:pt idx="19">
                  <c:v>6.8</c:v>
                </c:pt>
                <c:pt idx="20">
                  <c:v>6.6</c:v>
                </c:pt>
                <c:pt idx="21">
                  <c:v>7.9</c:v>
                </c:pt>
                <c:pt idx="22">
                  <c:v>6.4</c:v>
                </c:pt>
                <c:pt idx="23">
                  <c:v>6.6</c:v>
                </c:pt>
                <c:pt idx="24">
                  <c:v>6.5</c:v>
                </c:pt>
                <c:pt idx="25">
                  <c:v>6.4</c:v>
                </c:pt>
                <c:pt idx="26">
                  <c:v>6.3</c:v>
                </c:pt>
                <c:pt idx="27">
                  <c:v>5.8</c:v>
                </c:pt>
                <c:pt idx="28">
                  <c:v>5.5</c:v>
                </c:pt>
                <c:pt idx="29">
                  <c:v>5.4</c:v>
                </c:pt>
                <c:pt idx="30">
                  <c:v>5</c:v>
                </c:pt>
                <c:pt idx="31">
                  <c:v>4.5</c:v>
                </c:pt>
                <c:pt idx="32">
                  <c:v>4.4000000000000004</c:v>
                </c:pt>
                <c:pt idx="33">
                  <c:v>4.2</c:v>
                </c:pt>
                <c:pt idx="34">
                  <c:v>4.2</c:v>
                </c:pt>
                <c:pt idx="35">
                  <c:v>4.3</c:v>
                </c:pt>
                <c:pt idx="36">
                  <c:v>3.7</c:v>
                </c:pt>
                <c:pt idx="37">
                  <c:v>3.4</c:v>
                </c:pt>
                <c:pt idx="38">
                  <c:v>3.4</c:v>
                </c:pt>
                <c:pt idx="39">
                  <c:v>3.1</c:v>
                </c:pt>
                <c:pt idx="40">
                  <c:v>3</c:v>
                </c:pt>
                <c:pt idx="41">
                  <c:v>3.2</c:v>
                </c:pt>
                <c:pt idx="42">
                  <c:v>3.1</c:v>
                </c:pt>
                <c:pt idx="43">
                  <c:v>3.1</c:v>
                </c:pt>
                <c:pt idx="44">
                  <c:v>3.3</c:v>
                </c:pt>
                <c:pt idx="45">
                  <c:v>3.5</c:v>
                </c:pt>
                <c:pt idx="46">
                  <c:v>3.5</c:v>
                </c:pt>
                <c:pt idx="47">
                  <c:v>3.1</c:v>
                </c:pt>
                <c:pt idx="48">
                  <c:v>3.2</c:v>
                </c:pt>
                <c:pt idx="49">
                  <c:v>3.1</c:v>
                </c:pt>
                <c:pt idx="50">
                  <c:v>2.9</c:v>
                </c:pt>
                <c:pt idx="51">
                  <c:v>2.9</c:v>
                </c:pt>
                <c:pt idx="52">
                  <c:v>3</c:v>
                </c:pt>
                <c:pt idx="53">
                  <c:v>3</c:v>
                </c:pt>
                <c:pt idx="54">
                  <c:v>3.2</c:v>
                </c:pt>
                <c:pt idx="55">
                  <c:v>3.4</c:v>
                </c:pt>
                <c:pt idx="56">
                  <c:v>3.1</c:v>
                </c:pt>
                <c:pt idx="57">
                  <c:v>3</c:v>
                </c:pt>
                <c:pt idx="58">
                  <c:v>2.8</c:v>
                </c:pt>
                <c:pt idx="59">
                  <c:v>2.7</c:v>
                </c:pt>
                <c:pt idx="60">
                  <c:v>2.9</c:v>
                </c:pt>
                <c:pt idx="61">
                  <c:v>2.6</c:v>
                </c:pt>
                <c:pt idx="62">
                  <c:v>2.6</c:v>
                </c:pt>
                <c:pt idx="63">
                  <c:v>2.7</c:v>
                </c:pt>
                <c:pt idx="64">
                  <c:v>2.5</c:v>
                </c:pt>
                <c:pt idx="65">
                  <c:v>2.5</c:v>
                </c:pt>
                <c:pt idx="66">
                  <c:v>2.6</c:v>
                </c:pt>
                <c:pt idx="67">
                  <c:v>2.7</c:v>
                </c:pt>
                <c:pt idx="68">
                  <c:v>2.9</c:v>
                </c:pt>
                <c:pt idx="69">
                  <c:v>3.1</c:v>
                </c:pt>
                <c:pt idx="70">
                  <c:v>3.5</c:v>
                </c:pt>
                <c:pt idx="71">
                  <c:v>4.5</c:v>
                </c:pt>
                <c:pt idx="72">
                  <c:v>4.9000000000000004</c:v>
                </c:pt>
                <c:pt idx="73">
                  <c:v>5.2</c:v>
                </c:pt>
                <c:pt idx="74">
                  <c:v>5.7</c:v>
                </c:pt>
                <c:pt idx="75">
                  <c:v>5.9</c:v>
                </c:pt>
                <c:pt idx="76">
                  <c:v>5.9</c:v>
                </c:pt>
                <c:pt idx="77">
                  <c:v>5.6</c:v>
                </c:pt>
                <c:pt idx="78">
                  <c:v>5.8</c:v>
                </c:pt>
                <c:pt idx="79">
                  <c:v>6</c:v>
                </c:pt>
                <c:pt idx="80">
                  <c:v>6.1</c:v>
                </c:pt>
                <c:pt idx="81">
                  <c:v>5.7</c:v>
                </c:pt>
                <c:pt idx="82">
                  <c:v>5.3</c:v>
                </c:pt>
                <c:pt idx="83">
                  <c:v>5</c:v>
                </c:pt>
                <c:pt idx="84">
                  <c:v>4.9000000000000004</c:v>
                </c:pt>
                <c:pt idx="85">
                  <c:v>4.7</c:v>
                </c:pt>
                <c:pt idx="86">
                  <c:v>4.5999999999999996</c:v>
                </c:pt>
                <c:pt idx="87">
                  <c:v>4.7</c:v>
                </c:pt>
                <c:pt idx="88">
                  <c:v>4.3</c:v>
                </c:pt>
                <c:pt idx="89">
                  <c:v>4.2</c:v>
                </c:pt>
                <c:pt idx="90">
                  <c:v>4</c:v>
                </c:pt>
                <c:pt idx="91">
                  <c:v>4.2</c:v>
                </c:pt>
                <c:pt idx="92">
                  <c:v>4.0999999999999996</c:v>
                </c:pt>
                <c:pt idx="93">
                  <c:v>4.3</c:v>
                </c:pt>
                <c:pt idx="94">
                  <c:v>4.2</c:v>
                </c:pt>
                <c:pt idx="95">
                  <c:v>4.2</c:v>
                </c:pt>
                <c:pt idx="96">
                  <c:v>4</c:v>
                </c:pt>
                <c:pt idx="97">
                  <c:v>3.9</c:v>
                </c:pt>
                <c:pt idx="98">
                  <c:v>4.2</c:v>
                </c:pt>
                <c:pt idx="99">
                  <c:v>4</c:v>
                </c:pt>
                <c:pt idx="100">
                  <c:v>4.3</c:v>
                </c:pt>
                <c:pt idx="101">
                  <c:v>4.3</c:v>
                </c:pt>
                <c:pt idx="102">
                  <c:v>4.4000000000000004</c:v>
                </c:pt>
                <c:pt idx="103">
                  <c:v>4.0999999999999996</c:v>
                </c:pt>
                <c:pt idx="104">
                  <c:v>3.9</c:v>
                </c:pt>
                <c:pt idx="105">
                  <c:v>3.9</c:v>
                </c:pt>
                <c:pt idx="106">
                  <c:v>4.3</c:v>
                </c:pt>
                <c:pt idx="107">
                  <c:v>4.2</c:v>
                </c:pt>
                <c:pt idx="108">
                  <c:v>4.2</c:v>
                </c:pt>
                <c:pt idx="109">
                  <c:v>3.9</c:v>
                </c:pt>
                <c:pt idx="110">
                  <c:v>3.7</c:v>
                </c:pt>
                <c:pt idx="111">
                  <c:v>3.9</c:v>
                </c:pt>
                <c:pt idx="112">
                  <c:v>4.0999999999999996</c:v>
                </c:pt>
                <c:pt idx="113">
                  <c:v>4.3</c:v>
                </c:pt>
                <c:pt idx="114">
                  <c:v>4.2</c:v>
                </c:pt>
                <c:pt idx="115">
                  <c:v>4.0999999999999996</c:v>
                </c:pt>
                <c:pt idx="116">
                  <c:v>4.4000000000000004</c:v>
                </c:pt>
                <c:pt idx="117">
                  <c:v>4.5</c:v>
                </c:pt>
                <c:pt idx="118">
                  <c:v>5.0999999999999996</c:v>
                </c:pt>
                <c:pt idx="119">
                  <c:v>5.2</c:v>
                </c:pt>
                <c:pt idx="120">
                  <c:v>5.8</c:v>
                </c:pt>
                <c:pt idx="121">
                  <c:v>6.4</c:v>
                </c:pt>
                <c:pt idx="122">
                  <c:v>6.7</c:v>
                </c:pt>
                <c:pt idx="123">
                  <c:v>7.4</c:v>
                </c:pt>
                <c:pt idx="124">
                  <c:v>7.4</c:v>
                </c:pt>
                <c:pt idx="125">
                  <c:v>7.3</c:v>
                </c:pt>
                <c:pt idx="126">
                  <c:v>7.5</c:v>
                </c:pt>
                <c:pt idx="127">
                  <c:v>7.4</c:v>
                </c:pt>
                <c:pt idx="128">
                  <c:v>7.1</c:v>
                </c:pt>
                <c:pt idx="129">
                  <c:v>6.7</c:v>
                </c:pt>
                <c:pt idx="130">
                  <c:v>6.2</c:v>
                </c:pt>
                <c:pt idx="131">
                  <c:v>6.2</c:v>
                </c:pt>
                <c:pt idx="132">
                  <c:v>6</c:v>
                </c:pt>
                <c:pt idx="133">
                  <c:v>5.9</c:v>
                </c:pt>
                <c:pt idx="134">
                  <c:v>5.6</c:v>
                </c:pt>
                <c:pt idx="135">
                  <c:v>5.2</c:v>
                </c:pt>
                <c:pt idx="136">
                  <c:v>5.0999999999999996</c:v>
                </c:pt>
                <c:pt idx="137">
                  <c:v>5</c:v>
                </c:pt>
                <c:pt idx="138">
                  <c:v>5.0999999999999996</c:v>
                </c:pt>
                <c:pt idx="139">
                  <c:v>5.2</c:v>
                </c:pt>
                <c:pt idx="140">
                  <c:v>5.5</c:v>
                </c:pt>
                <c:pt idx="141">
                  <c:v>5.7</c:v>
                </c:pt>
                <c:pt idx="142">
                  <c:v>5.8</c:v>
                </c:pt>
                <c:pt idx="143">
                  <c:v>5.3</c:v>
                </c:pt>
                <c:pt idx="144">
                  <c:v>5.2</c:v>
                </c:pt>
                <c:pt idx="145">
                  <c:v>4.8</c:v>
                </c:pt>
                <c:pt idx="146">
                  <c:v>5.4</c:v>
                </c:pt>
                <c:pt idx="147">
                  <c:v>5.2</c:v>
                </c:pt>
                <c:pt idx="148">
                  <c:v>5.0999999999999996</c:v>
                </c:pt>
                <c:pt idx="149">
                  <c:v>5.4</c:v>
                </c:pt>
                <c:pt idx="150">
                  <c:v>5.5</c:v>
                </c:pt>
                <c:pt idx="151">
                  <c:v>5.6</c:v>
                </c:pt>
                <c:pt idx="152">
                  <c:v>5.5</c:v>
                </c:pt>
                <c:pt idx="153">
                  <c:v>6.1</c:v>
                </c:pt>
                <c:pt idx="154">
                  <c:v>6.1</c:v>
                </c:pt>
                <c:pt idx="155">
                  <c:v>6.6</c:v>
                </c:pt>
                <c:pt idx="156">
                  <c:v>6.6</c:v>
                </c:pt>
                <c:pt idx="157">
                  <c:v>6.9</c:v>
                </c:pt>
                <c:pt idx="158">
                  <c:v>6.9</c:v>
                </c:pt>
                <c:pt idx="159">
                  <c:v>7</c:v>
                </c:pt>
                <c:pt idx="160">
                  <c:v>7.1</c:v>
                </c:pt>
                <c:pt idx="161">
                  <c:v>6.9</c:v>
                </c:pt>
                <c:pt idx="162">
                  <c:v>7</c:v>
                </c:pt>
                <c:pt idx="163">
                  <c:v>6.6</c:v>
                </c:pt>
                <c:pt idx="164">
                  <c:v>6.7</c:v>
                </c:pt>
                <c:pt idx="165">
                  <c:v>6.5</c:v>
                </c:pt>
                <c:pt idx="166">
                  <c:v>6.1</c:v>
                </c:pt>
                <c:pt idx="167">
                  <c:v>6</c:v>
                </c:pt>
                <c:pt idx="168">
                  <c:v>5.8</c:v>
                </c:pt>
                <c:pt idx="169">
                  <c:v>5.5</c:v>
                </c:pt>
                <c:pt idx="170">
                  <c:v>5.6</c:v>
                </c:pt>
                <c:pt idx="171">
                  <c:v>5.6</c:v>
                </c:pt>
                <c:pt idx="172">
                  <c:v>5.5</c:v>
                </c:pt>
                <c:pt idx="173">
                  <c:v>5.5</c:v>
                </c:pt>
                <c:pt idx="174">
                  <c:v>5.4</c:v>
                </c:pt>
                <c:pt idx="175">
                  <c:v>5.7</c:v>
                </c:pt>
                <c:pt idx="176">
                  <c:v>5.6</c:v>
                </c:pt>
                <c:pt idx="177">
                  <c:v>5.4</c:v>
                </c:pt>
                <c:pt idx="178">
                  <c:v>5.7</c:v>
                </c:pt>
                <c:pt idx="179">
                  <c:v>5.5</c:v>
                </c:pt>
                <c:pt idx="180">
                  <c:v>5.7</c:v>
                </c:pt>
                <c:pt idx="181">
                  <c:v>5.9</c:v>
                </c:pt>
                <c:pt idx="182">
                  <c:v>5.7</c:v>
                </c:pt>
                <c:pt idx="183">
                  <c:v>5.7</c:v>
                </c:pt>
                <c:pt idx="184">
                  <c:v>5.9</c:v>
                </c:pt>
                <c:pt idx="185">
                  <c:v>5.6</c:v>
                </c:pt>
                <c:pt idx="186">
                  <c:v>5.6</c:v>
                </c:pt>
                <c:pt idx="187">
                  <c:v>5.4</c:v>
                </c:pt>
                <c:pt idx="188">
                  <c:v>5.5</c:v>
                </c:pt>
                <c:pt idx="189">
                  <c:v>5.5</c:v>
                </c:pt>
                <c:pt idx="190">
                  <c:v>5.7</c:v>
                </c:pt>
                <c:pt idx="191">
                  <c:v>5.5</c:v>
                </c:pt>
                <c:pt idx="192">
                  <c:v>5.6</c:v>
                </c:pt>
                <c:pt idx="193">
                  <c:v>5.4</c:v>
                </c:pt>
                <c:pt idx="194">
                  <c:v>5.4</c:v>
                </c:pt>
                <c:pt idx="195">
                  <c:v>5.3</c:v>
                </c:pt>
                <c:pt idx="196">
                  <c:v>5.0999999999999996</c:v>
                </c:pt>
                <c:pt idx="197">
                  <c:v>5.2</c:v>
                </c:pt>
                <c:pt idx="198">
                  <c:v>4.9000000000000004</c:v>
                </c:pt>
                <c:pt idx="199">
                  <c:v>5</c:v>
                </c:pt>
                <c:pt idx="200">
                  <c:v>5.0999999999999996</c:v>
                </c:pt>
                <c:pt idx="201">
                  <c:v>5.0999999999999996</c:v>
                </c:pt>
                <c:pt idx="202">
                  <c:v>4.8</c:v>
                </c:pt>
                <c:pt idx="203">
                  <c:v>5</c:v>
                </c:pt>
                <c:pt idx="204">
                  <c:v>4.9000000000000004</c:v>
                </c:pt>
                <c:pt idx="205">
                  <c:v>5.0999999999999996</c:v>
                </c:pt>
                <c:pt idx="206">
                  <c:v>4.7</c:v>
                </c:pt>
                <c:pt idx="207">
                  <c:v>4.8</c:v>
                </c:pt>
                <c:pt idx="208">
                  <c:v>4.5999999999999996</c:v>
                </c:pt>
                <c:pt idx="209">
                  <c:v>4.5999999999999996</c:v>
                </c:pt>
                <c:pt idx="210">
                  <c:v>4.4000000000000004</c:v>
                </c:pt>
                <c:pt idx="211">
                  <c:v>4.4000000000000004</c:v>
                </c:pt>
                <c:pt idx="212">
                  <c:v>4.3</c:v>
                </c:pt>
                <c:pt idx="213">
                  <c:v>4.2</c:v>
                </c:pt>
                <c:pt idx="214">
                  <c:v>4.0999999999999996</c:v>
                </c:pt>
                <c:pt idx="215">
                  <c:v>4</c:v>
                </c:pt>
                <c:pt idx="216">
                  <c:v>4</c:v>
                </c:pt>
                <c:pt idx="217">
                  <c:v>3.8</c:v>
                </c:pt>
                <c:pt idx="218">
                  <c:v>3.8</c:v>
                </c:pt>
                <c:pt idx="219">
                  <c:v>3.8</c:v>
                </c:pt>
                <c:pt idx="220">
                  <c:v>3.9</c:v>
                </c:pt>
                <c:pt idx="221">
                  <c:v>3.8</c:v>
                </c:pt>
                <c:pt idx="222">
                  <c:v>3.8</c:v>
                </c:pt>
                <c:pt idx="223">
                  <c:v>3.8</c:v>
                </c:pt>
                <c:pt idx="224">
                  <c:v>3.7</c:v>
                </c:pt>
                <c:pt idx="225">
                  <c:v>3.7</c:v>
                </c:pt>
                <c:pt idx="226">
                  <c:v>3.6</c:v>
                </c:pt>
                <c:pt idx="227">
                  <c:v>3.8</c:v>
                </c:pt>
                <c:pt idx="228">
                  <c:v>3.9</c:v>
                </c:pt>
                <c:pt idx="229">
                  <c:v>3.8</c:v>
                </c:pt>
                <c:pt idx="230">
                  <c:v>3.8</c:v>
                </c:pt>
                <c:pt idx="231">
                  <c:v>3.8</c:v>
                </c:pt>
                <c:pt idx="232">
                  <c:v>3.8</c:v>
                </c:pt>
                <c:pt idx="233">
                  <c:v>3.9</c:v>
                </c:pt>
                <c:pt idx="234">
                  <c:v>3.8</c:v>
                </c:pt>
                <c:pt idx="235">
                  <c:v>3.8</c:v>
                </c:pt>
                <c:pt idx="236">
                  <c:v>3.8</c:v>
                </c:pt>
                <c:pt idx="237">
                  <c:v>4</c:v>
                </c:pt>
                <c:pt idx="238">
                  <c:v>3.9</c:v>
                </c:pt>
                <c:pt idx="239">
                  <c:v>3.8</c:v>
                </c:pt>
                <c:pt idx="240">
                  <c:v>3.7</c:v>
                </c:pt>
                <c:pt idx="241">
                  <c:v>3.8</c:v>
                </c:pt>
                <c:pt idx="242">
                  <c:v>3.7</c:v>
                </c:pt>
                <c:pt idx="243">
                  <c:v>3.5</c:v>
                </c:pt>
                <c:pt idx="244">
                  <c:v>3.5</c:v>
                </c:pt>
                <c:pt idx="245">
                  <c:v>3.7</c:v>
                </c:pt>
                <c:pt idx="246">
                  <c:v>3.7</c:v>
                </c:pt>
                <c:pt idx="247">
                  <c:v>3.5</c:v>
                </c:pt>
                <c:pt idx="248">
                  <c:v>3.4</c:v>
                </c:pt>
                <c:pt idx="249">
                  <c:v>3.4</c:v>
                </c:pt>
                <c:pt idx="250">
                  <c:v>3.4</c:v>
                </c:pt>
                <c:pt idx="251">
                  <c:v>3.4</c:v>
                </c:pt>
                <c:pt idx="252">
                  <c:v>3.4</c:v>
                </c:pt>
                <c:pt idx="253">
                  <c:v>3.4</c:v>
                </c:pt>
                <c:pt idx="254">
                  <c:v>3.4</c:v>
                </c:pt>
                <c:pt idx="255">
                  <c:v>3.4</c:v>
                </c:pt>
                <c:pt idx="256">
                  <c:v>3.4</c:v>
                </c:pt>
                <c:pt idx="257">
                  <c:v>3.5</c:v>
                </c:pt>
                <c:pt idx="258">
                  <c:v>3.5</c:v>
                </c:pt>
                <c:pt idx="259">
                  <c:v>3.5</c:v>
                </c:pt>
                <c:pt idx="260">
                  <c:v>3.7</c:v>
                </c:pt>
                <c:pt idx="261">
                  <c:v>3.7</c:v>
                </c:pt>
                <c:pt idx="262">
                  <c:v>3.5</c:v>
                </c:pt>
                <c:pt idx="263">
                  <c:v>3.5</c:v>
                </c:pt>
                <c:pt idx="264">
                  <c:v>3.9</c:v>
                </c:pt>
                <c:pt idx="265">
                  <c:v>4.2</c:v>
                </c:pt>
                <c:pt idx="266">
                  <c:v>4.4000000000000004</c:v>
                </c:pt>
                <c:pt idx="267">
                  <c:v>4.5999999999999996</c:v>
                </c:pt>
                <c:pt idx="268">
                  <c:v>4.8</c:v>
                </c:pt>
                <c:pt idx="269">
                  <c:v>4.9000000000000004</c:v>
                </c:pt>
                <c:pt idx="270">
                  <c:v>5</c:v>
                </c:pt>
                <c:pt idx="271">
                  <c:v>5.0999999999999996</c:v>
                </c:pt>
                <c:pt idx="272">
                  <c:v>5.4</c:v>
                </c:pt>
                <c:pt idx="273">
                  <c:v>5.5</c:v>
                </c:pt>
                <c:pt idx="274">
                  <c:v>5.9</c:v>
                </c:pt>
                <c:pt idx="275">
                  <c:v>6.1</c:v>
                </c:pt>
                <c:pt idx="276">
                  <c:v>5.9</c:v>
                </c:pt>
                <c:pt idx="277">
                  <c:v>5.9</c:v>
                </c:pt>
                <c:pt idx="278">
                  <c:v>6</c:v>
                </c:pt>
                <c:pt idx="279">
                  <c:v>5.9</c:v>
                </c:pt>
                <c:pt idx="280">
                  <c:v>5.9</c:v>
                </c:pt>
                <c:pt idx="281">
                  <c:v>5.9</c:v>
                </c:pt>
                <c:pt idx="282">
                  <c:v>6</c:v>
                </c:pt>
                <c:pt idx="283">
                  <c:v>6.1</c:v>
                </c:pt>
                <c:pt idx="284">
                  <c:v>6</c:v>
                </c:pt>
                <c:pt idx="285">
                  <c:v>5.8</c:v>
                </c:pt>
                <c:pt idx="286">
                  <c:v>6</c:v>
                </c:pt>
                <c:pt idx="287">
                  <c:v>6</c:v>
                </c:pt>
                <c:pt idx="288">
                  <c:v>5.8</c:v>
                </c:pt>
                <c:pt idx="289">
                  <c:v>5.7</c:v>
                </c:pt>
                <c:pt idx="290">
                  <c:v>5.8</c:v>
                </c:pt>
                <c:pt idx="291">
                  <c:v>5.7</c:v>
                </c:pt>
                <c:pt idx="292">
                  <c:v>5.7</c:v>
                </c:pt>
                <c:pt idx="293">
                  <c:v>5.7</c:v>
                </c:pt>
                <c:pt idx="294">
                  <c:v>5.6</c:v>
                </c:pt>
                <c:pt idx="295">
                  <c:v>5.6</c:v>
                </c:pt>
                <c:pt idx="296">
                  <c:v>5.5</c:v>
                </c:pt>
                <c:pt idx="297">
                  <c:v>5.6</c:v>
                </c:pt>
                <c:pt idx="298">
                  <c:v>5.3</c:v>
                </c:pt>
                <c:pt idx="299">
                  <c:v>5.2</c:v>
                </c:pt>
                <c:pt idx="300">
                  <c:v>4.9000000000000004</c:v>
                </c:pt>
                <c:pt idx="301">
                  <c:v>5</c:v>
                </c:pt>
                <c:pt idx="302">
                  <c:v>4.9000000000000004</c:v>
                </c:pt>
                <c:pt idx="303">
                  <c:v>5</c:v>
                </c:pt>
                <c:pt idx="304">
                  <c:v>4.9000000000000004</c:v>
                </c:pt>
                <c:pt idx="305">
                  <c:v>4.9000000000000004</c:v>
                </c:pt>
                <c:pt idx="306">
                  <c:v>4.8</c:v>
                </c:pt>
                <c:pt idx="307">
                  <c:v>4.8</c:v>
                </c:pt>
                <c:pt idx="308">
                  <c:v>4.8</c:v>
                </c:pt>
                <c:pt idx="309">
                  <c:v>4.5999999999999996</c:v>
                </c:pt>
                <c:pt idx="310">
                  <c:v>4.8</c:v>
                </c:pt>
                <c:pt idx="311">
                  <c:v>4.9000000000000004</c:v>
                </c:pt>
                <c:pt idx="312">
                  <c:v>5.0999999999999996</c:v>
                </c:pt>
                <c:pt idx="313">
                  <c:v>5.2</c:v>
                </c:pt>
                <c:pt idx="314">
                  <c:v>5.0999999999999996</c:v>
                </c:pt>
                <c:pt idx="315">
                  <c:v>5.0999999999999996</c:v>
                </c:pt>
                <c:pt idx="316">
                  <c:v>5.0999999999999996</c:v>
                </c:pt>
                <c:pt idx="317">
                  <c:v>5.4</c:v>
                </c:pt>
                <c:pt idx="318">
                  <c:v>5.5</c:v>
                </c:pt>
                <c:pt idx="319">
                  <c:v>5.5</c:v>
                </c:pt>
                <c:pt idx="320">
                  <c:v>5.9</c:v>
                </c:pt>
                <c:pt idx="321">
                  <c:v>6</c:v>
                </c:pt>
                <c:pt idx="322">
                  <c:v>6.6</c:v>
                </c:pt>
                <c:pt idx="323">
                  <c:v>7.2</c:v>
                </c:pt>
                <c:pt idx="324">
                  <c:v>8.1</c:v>
                </c:pt>
                <c:pt idx="325">
                  <c:v>8.1</c:v>
                </c:pt>
                <c:pt idx="326">
                  <c:v>8.6</c:v>
                </c:pt>
                <c:pt idx="327">
                  <c:v>8.8000000000000007</c:v>
                </c:pt>
                <c:pt idx="328">
                  <c:v>9</c:v>
                </c:pt>
                <c:pt idx="329">
                  <c:v>8.8000000000000007</c:v>
                </c:pt>
                <c:pt idx="330">
                  <c:v>8.6</c:v>
                </c:pt>
                <c:pt idx="331">
                  <c:v>8.4</c:v>
                </c:pt>
                <c:pt idx="332">
                  <c:v>8.4</c:v>
                </c:pt>
                <c:pt idx="333">
                  <c:v>8.4</c:v>
                </c:pt>
                <c:pt idx="334">
                  <c:v>8.3000000000000007</c:v>
                </c:pt>
                <c:pt idx="335">
                  <c:v>8.1999999999999993</c:v>
                </c:pt>
                <c:pt idx="336">
                  <c:v>7.9</c:v>
                </c:pt>
                <c:pt idx="337">
                  <c:v>7.7</c:v>
                </c:pt>
                <c:pt idx="338">
                  <c:v>7.6</c:v>
                </c:pt>
                <c:pt idx="339">
                  <c:v>7.7</c:v>
                </c:pt>
                <c:pt idx="340">
                  <c:v>7.4</c:v>
                </c:pt>
                <c:pt idx="341">
                  <c:v>7.6</c:v>
                </c:pt>
                <c:pt idx="342">
                  <c:v>7.8</c:v>
                </c:pt>
                <c:pt idx="343">
                  <c:v>7.8</c:v>
                </c:pt>
                <c:pt idx="344">
                  <c:v>7.6</c:v>
                </c:pt>
                <c:pt idx="345">
                  <c:v>7.7</c:v>
                </c:pt>
                <c:pt idx="346">
                  <c:v>7.8</c:v>
                </c:pt>
                <c:pt idx="347">
                  <c:v>7.8</c:v>
                </c:pt>
                <c:pt idx="348">
                  <c:v>7.5</c:v>
                </c:pt>
                <c:pt idx="349">
                  <c:v>7.6</c:v>
                </c:pt>
                <c:pt idx="350">
                  <c:v>7.4</c:v>
                </c:pt>
                <c:pt idx="351">
                  <c:v>7.2</c:v>
                </c:pt>
                <c:pt idx="352">
                  <c:v>7</c:v>
                </c:pt>
                <c:pt idx="353">
                  <c:v>7.2</c:v>
                </c:pt>
                <c:pt idx="354">
                  <c:v>6.9</c:v>
                </c:pt>
                <c:pt idx="355">
                  <c:v>7</c:v>
                </c:pt>
                <c:pt idx="356">
                  <c:v>6.8</c:v>
                </c:pt>
                <c:pt idx="357">
                  <c:v>6.8</c:v>
                </c:pt>
                <c:pt idx="358">
                  <c:v>6.8</c:v>
                </c:pt>
                <c:pt idx="359">
                  <c:v>6.4</c:v>
                </c:pt>
                <c:pt idx="360">
                  <c:v>6.4</c:v>
                </c:pt>
                <c:pt idx="361">
                  <c:v>6.3</c:v>
                </c:pt>
                <c:pt idx="362">
                  <c:v>6.3</c:v>
                </c:pt>
                <c:pt idx="363">
                  <c:v>6.1</c:v>
                </c:pt>
                <c:pt idx="364">
                  <c:v>6</c:v>
                </c:pt>
                <c:pt idx="365">
                  <c:v>5.9</c:v>
                </c:pt>
                <c:pt idx="366">
                  <c:v>6.2</c:v>
                </c:pt>
                <c:pt idx="367">
                  <c:v>5.9</c:v>
                </c:pt>
                <c:pt idx="368">
                  <c:v>6</c:v>
                </c:pt>
                <c:pt idx="369">
                  <c:v>5.8</c:v>
                </c:pt>
                <c:pt idx="370">
                  <c:v>5.9</c:v>
                </c:pt>
                <c:pt idx="371">
                  <c:v>6</c:v>
                </c:pt>
                <c:pt idx="372">
                  <c:v>5.9</c:v>
                </c:pt>
                <c:pt idx="373">
                  <c:v>5.9</c:v>
                </c:pt>
                <c:pt idx="374">
                  <c:v>5.8</c:v>
                </c:pt>
                <c:pt idx="375">
                  <c:v>5.8</c:v>
                </c:pt>
                <c:pt idx="376">
                  <c:v>5.6</c:v>
                </c:pt>
                <c:pt idx="377">
                  <c:v>5.7</c:v>
                </c:pt>
                <c:pt idx="378">
                  <c:v>5.7</c:v>
                </c:pt>
                <c:pt idx="379">
                  <c:v>6</c:v>
                </c:pt>
                <c:pt idx="380">
                  <c:v>5.9</c:v>
                </c:pt>
                <c:pt idx="381">
                  <c:v>6</c:v>
                </c:pt>
                <c:pt idx="382">
                  <c:v>5.9</c:v>
                </c:pt>
                <c:pt idx="383">
                  <c:v>6</c:v>
                </c:pt>
                <c:pt idx="384">
                  <c:v>6.3</c:v>
                </c:pt>
                <c:pt idx="385">
                  <c:v>6.3</c:v>
                </c:pt>
                <c:pt idx="386">
                  <c:v>6.3</c:v>
                </c:pt>
                <c:pt idx="387">
                  <c:v>6.9</c:v>
                </c:pt>
                <c:pt idx="388">
                  <c:v>7.5</c:v>
                </c:pt>
                <c:pt idx="389">
                  <c:v>7.6</c:v>
                </c:pt>
                <c:pt idx="390">
                  <c:v>7.8</c:v>
                </c:pt>
                <c:pt idx="391">
                  <c:v>7.7</c:v>
                </c:pt>
                <c:pt idx="392">
                  <c:v>7.5</c:v>
                </c:pt>
                <c:pt idx="393">
                  <c:v>7.5</c:v>
                </c:pt>
                <c:pt idx="394">
                  <c:v>7.5</c:v>
                </c:pt>
                <c:pt idx="395">
                  <c:v>7.2</c:v>
                </c:pt>
                <c:pt idx="396">
                  <c:v>7.5</c:v>
                </c:pt>
                <c:pt idx="397">
                  <c:v>7.4</c:v>
                </c:pt>
                <c:pt idx="398">
                  <c:v>7.4</c:v>
                </c:pt>
                <c:pt idx="399">
                  <c:v>7.2</c:v>
                </c:pt>
                <c:pt idx="400">
                  <c:v>7.5</c:v>
                </c:pt>
                <c:pt idx="401">
                  <c:v>7.5</c:v>
                </c:pt>
                <c:pt idx="402">
                  <c:v>7.2</c:v>
                </c:pt>
                <c:pt idx="403">
                  <c:v>7.4</c:v>
                </c:pt>
                <c:pt idx="404">
                  <c:v>7.6</c:v>
                </c:pt>
                <c:pt idx="405">
                  <c:v>7.9</c:v>
                </c:pt>
                <c:pt idx="406">
                  <c:v>8.3000000000000007</c:v>
                </c:pt>
                <c:pt idx="407">
                  <c:v>8.5</c:v>
                </c:pt>
                <c:pt idx="408">
                  <c:v>8.6</c:v>
                </c:pt>
                <c:pt idx="409">
                  <c:v>8.9</c:v>
                </c:pt>
                <c:pt idx="410">
                  <c:v>9</c:v>
                </c:pt>
                <c:pt idx="411">
                  <c:v>9.3000000000000007</c:v>
                </c:pt>
                <c:pt idx="412">
                  <c:v>9.4</c:v>
                </c:pt>
                <c:pt idx="413">
                  <c:v>9.6</c:v>
                </c:pt>
                <c:pt idx="414">
                  <c:v>9.8000000000000007</c:v>
                </c:pt>
                <c:pt idx="415">
                  <c:v>9.8000000000000007</c:v>
                </c:pt>
                <c:pt idx="416">
                  <c:v>10.1</c:v>
                </c:pt>
                <c:pt idx="417">
                  <c:v>10.4</c:v>
                </c:pt>
                <c:pt idx="418">
                  <c:v>10.8</c:v>
                </c:pt>
                <c:pt idx="419">
                  <c:v>10.8</c:v>
                </c:pt>
                <c:pt idx="420">
                  <c:v>10.4</c:v>
                </c:pt>
                <c:pt idx="421">
                  <c:v>10.4</c:v>
                </c:pt>
                <c:pt idx="422">
                  <c:v>10.3</c:v>
                </c:pt>
                <c:pt idx="423">
                  <c:v>10.199999999999999</c:v>
                </c:pt>
                <c:pt idx="424">
                  <c:v>10.1</c:v>
                </c:pt>
                <c:pt idx="425">
                  <c:v>10.1</c:v>
                </c:pt>
                <c:pt idx="426">
                  <c:v>9.4</c:v>
                </c:pt>
                <c:pt idx="427">
                  <c:v>9.5</c:v>
                </c:pt>
                <c:pt idx="428">
                  <c:v>9.1999999999999993</c:v>
                </c:pt>
                <c:pt idx="429">
                  <c:v>8.8000000000000007</c:v>
                </c:pt>
                <c:pt idx="430">
                  <c:v>8.5</c:v>
                </c:pt>
                <c:pt idx="431">
                  <c:v>8.3000000000000007</c:v>
                </c:pt>
                <c:pt idx="432">
                  <c:v>8</c:v>
                </c:pt>
                <c:pt idx="433">
                  <c:v>7.8</c:v>
                </c:pt>
                <c:pt idx="434">
                  <c:v>7.8</c:v>
                </c:pt>
                <c:pt idx="435">
                  <c:v>7.7</c:v>
                </c:pt>
                <c:pt idx="436">
                  <c:v>7.4</c:v>
                </c:pt>
                <c:pt idx="437">
                  <c:v>7.2</c:v>
                </c:pt>
                <c:pt idx="438">
                  <c:v>7.5</c:v>
                </c:pt>
                <c:pt idx="439">
                  <c:v>7.5</c:v>
                </c:pt>
                <c:pt idx="440">
                  <c:v>7.3</c:v>
                </c:pt>
                <c:pt idx="441">
                  <c:v>7.4</c:v>
                </c:pt>
                <c:pt idx="442">
                  <c:v>7.2</c:v>
                </c:pt>
                <c:pt idx="443">
                  <c:v>7.3</c:v>
                </c:pt>
                <c:pt idx="444">
                  <c:v>7.3</c:v>
                </c:pt>
                <c:pt idx="445">
                  <c:v>7.2</c:v>
                </c:pt>
                <c:pt idx="446">
                  <c:v>7.2</c:v>
                </c:pt>
                <c:pt idx="447">
                  <c:v>7.3</c:v>
                </c:pt>
                <c:pt idx="448">
                  <c:v>7.2</c:v>
                </c:pt>
                <c:pt idx="449">
                  <c:v>7.4</c:v>
                </c:pt>
                <c:pt idx="450">
                  <c:v>7.4</c:v>
                </c:pt>
                <c:pt idx="451">
                  <c:v>7.1</c:v>
                </c:pt>
                <c:pt idx="452">
                  <c:v>7.1</c:v>
                </c:pt>
                <c:pt idx="453">
                  <c:v>7.1</c:v>
                </c:pt>
                <c:pt idx="454">
                  <c:v>7</c:v>
                </c:pt>
                <c:pt idx="455">
                  <c:v>7</c:v>
                </c:pt>
                <c:pt idx="456">
                  <c:v>6.7</c:v>
                </c:pt>
                <c:pt idx="457">
                  <c:v>7.2</c:v>
                </c:pt>
                <c:pt idx="458">
                  <c:v>7.2</c:v>
                </c:pt>
                <c:pt idx="459">
                  <c:v>7.1</c:v>
                </c:pt>
                <c:pt idx="460">
                  <c:v>7.2</c:v>
                </c:pt>
                <c:pt idx="461">
                  <c:v>7.2</c:v>
                </c:pt>
                <c:pt idx="462">
                  <c:v>7</c:v>
                </c:pt>
                <c:pt idx="463">
                  <c:v>6.9</c:v>
                </c:pt>
                <c:pt idx="464">
                  <c:v>7</c:v>
                </c:pt>
                <c:pt idx="465">
                  <c:v>7</c:v>
                </c:pt>
                <c:pt idx="466">
                  <c:v>6.9</c:v>
                </c:pt>
                <c:pt idx="467">
                  <c:v>6.6</c:v>
                </c:pt>
                <c:pt idx="468">
                  <c:v>6.6</c:v>
                </c:pt>
                <c:pt idx="469">
                  <c:v>6.6</c:v>
                </c:pt>
                <c:pt idx="470">
                  <c:v>6.6</c:v>
                </c:pt>
                <c:pt idx="471">
                  <c:v>6.3</c:v>
                </c:pt>
                <c:pt idx="472">
                  <c:v>6.3</c:v>
                </c:pt>
                <c:pt idx="473">
                  <c:v>6.2</c:v>
                </c:pt>
                <c:pt idx="474">
                  <c:v>6.1</c:v>
                </c:pt>
                <c:pt idx="475">
                  <c:v>6</c:v>
                </c:pt>
                <c:pt idx="476">
                  <c:v>5.9</c:v>
                </c:pt>
                <c:pt idx="477">
                  <c:v>6</c:v>
                </c:pt>
                <c:pt idx="478">
                  <c:v>5.8</c:v>
                </c:pt>
                <c:pt idx="479">
                  <c:v>5.7</c:v>
                </c:pt>
                <c:pt idx="480">
                  <c:v>5.7</c:v>
                </c:pt>
                <c:pt idx="481">
                  <c:v>5.7</c:v>
                </c:pt>
                <c:pt idx="482">
                  <c:v>5.7</c:v>
                </c:pt>
                <c:pt idx="483">
                  <c:v>5.4</c:v>
                </c:pt>
                <c:pt idx="484">
                  <c:v>5.6</c:v>
                </c:pt>
                <c:pt idx="485">
                  <c:v>5.4</c:v>
                </c:pt>
                <c:pt idx="486">
                  <c:v>5.4</c:v>
                </c:pt>
                <c:pt idx="487">
                  <c:v>5.6</c:v>
                </c:pt>
                <c:pt idx="488">
                  <c:v>5.4</c:v>
                </c:pt>
                <c:pt idx="489">
                  <c:v>5.4</c:v>
                </c:pt>
                <c:pt idx="490">
                  <c:v>5.3</c:v>
                </c:pt>
                <c:pt idx="491">
                  <c:v>5.3</c:v>
                </c:pt>
                <c:pt idx="492">
                  <c:v>5.4</c:v>
                </c:pt>
                <c:pt idx="493">
                  <c:v>5.2</c:v>
                </c:pt>
                <c:pt idx="494">
                  <c:v>5</c:v>
                </c:pt>
                <c:pt idx="495">
                  <c:v>5.2</c:v>
                </c:pt>
                <c:pt idx="496">
                  <c:v>5.2</c:v>
                </c:pt>
                <c:pt idx="497">
                  <c:v>5.3</c:v>
                </c:pt>
                <c:pt idx="498">
                  <c:v>5.2</c:v>
                </c:pt>
                <c:pt idx="499">
                  <c:v>5.2</c:v>
                </c:pt>
                <c:pt idx="500">
                  <c:v>5.3</c:v>
                </c:pt>
                <c:pt idx="501">
                  <c:v>5.3</c:v>
                </c:pt>
                <c:pt idx="502">
                  <c:v>5.4</c:v>
                </c:pt>
                <c:pt idx="503">
                  <c:v>5.4</c:v>
                </c:pt>
                <c:pt idx="504">
                  <c:v>5.4</c:v>
                </c:pt>
                <c:pt idx="505">
                  <c:v>5.3</c:v>
                </c:pt>
                <c:pt idx="506">
                  <c:v>5.2</c:v>
                </c:pt>
                <c:pt idx="507">
                  <c:v>5.4</c:v>
                </c:pt>
                <c:pt idx="508">
                  <c:v>5.4</c:v>
                </c:pt>
                <c:pt idx="509">
                  <c:v>5.2</c:v>
                </c:pt>
                <c:pt idx="510">
                  <c:v>5.5</c:v>
                </c:pt>
                <c:pt idx="511">
                  <c:v>5.7</c:v>
                </c:pt>
                <c:pt idx="512">
                  <c:v>5.9</c:v>
                </c:pt>
                <c:pt idx="513">
                  <c:v>5.9</c:v>
                </c:pt>
                <c:pt idx="514">
                  <c:v>6.2</c:v>
                </c:pt>
                <c:pt idx="515">
                  <c:v>6.3</c:v>
                </c:pt>
                <c:pt idx="516">
                  <c:v>6.4</c:v>
                </c:pt>
                <c:pt idx="517">
                  <c:v>6.6</c:v>
                </c:pt>
                <c:pt idx="518">
                  <c:v>6.8</c:v>
                </c:pt>
                <c:pt idx="519">
                  <c:v>6.7</c:v>
                </c:pt>
                <c:pt idx="520">
                  <c:v>6.9</c:v>
                </c:pt>
                <c:pt idx="521">
                  <c:v>6.9</c:v>
                </c:pt>
                <c:pt idx="522">
                  <c:v>6.8</c:v>
                </c:pt>
                <c:pt idx="523">
                  <c:v>6.9</c:v>
                </c:pt>
                <c:pt idx="524">
                  <c:v>6.9</c:v>
                </c:pt>
                <c:pt idx="525">
                  <c:v>7</c:v>
                </c:pt>
                <c:pt idx="526">
                  <c:v>7</c:v>
                </c:pt>
                <c:pt idx="527">
                  <c:v>7.3</c:v>
                </c:pt>
                <c:pt idx="528">
                  <c:v>7.3</c:v>
                </c:pt>
                <c:pt idx="529">
                  <c:v>7.4</c:v>
                </c:pt>
                <c:pt idx="530">
                  <c:v>7.4</c:v>
                </c:pt>
                <c:pt idx="531">
                  <c:v>7.4</c:v>
                </c:pt>
                <c:pt idx="532">
                  <c:v>7.6</c:v>
                </c:pt>
                <c:pt idx="533">
                  <c:v>7.8</c:v>
                </c:pt>
                <c:pt idx="534">
                  <c:v>7.7</c:v>
                </c:pt>
                <c:pt idx="535">
                  <c:v>7.6</c:v>
                </c:pt>
                <c:pt idx="536">
                  <c:v>7.6</c:v>
                </c:pt>
                <c:pt idx="537">
                  <c:v>7.3</c:v>
                </c:pt>
                <c:pt idx="538">
                  <c:v>7.4</c:v>
                </c:pt>
                <c:pt idx="539">
                  <c:v>7.4</c:v>
                </c:pt>
                <c:pt idx="540">
                  <c:v>7.3</c:v>
                </c:pt>
                <c:pt idx="541">
                  <c:v>7.1</c:v>
                </c:pt>
                <c:pt idx="542">
                  <c:v>7</c:v>
                </c:pt>
                <c:pt idx="543">
                  <c:v>7.1</c:v>
                </c:pt>
                <c:pt idx="544">
                  <c:v>7.1</c:v>
                </c:pt>
                <c:pt idx="545">
                  <c:v>7</c:v>
                </c:pt>
                <c:pt idx="546">
                  <c:v>6.9</c:v>
                </c:pt>
                <c:pt idx="547">
                  <c:v>6.8</c:v>
                </c:pt>
                <c:pt idx="548">
                  <c:v>6.7</c:v>
                </c:pt>
                <c:pt idx="549">
                  <c:v>6.8</c:v>
                </c:pt>
                <c:pt idx="550">
                  <c:v>6.6</c:v>
                </c:pt>
                <c:pt idx="551">
                  <c:v>6.5</c:v>
                </c:pt>
                <c:pt idx="552">
                  <c:v>6.6</c:v>
                </c:pt>
                <c:pt idx="553">
                  <c:v>6.6</c:v>
                </c:pt>
                <c:pt idx="554">
                  <c:v>6.5</c:v>
                </c:pt>
                <c:pt idx="555">
                  <c:v>6.4</c:v>
                </c:pt>
                <c:pt idx="556">
                  <c:v>6.1</c:v>
                </c:pt>
                <c:pt idx="557">
                  <c:v>6.1</c:v>
                </c:pt>
                <c:pt idx="558">
                  <c:v>6.1</c:v>
                </c:pt>
                <c:pt idx="559">
                  <c:v>6</c:v>
                </c:pt>
                <c:pt idx="560">
                  <c:v>5.9</c:v>
                </c:pt>
                <c:pt idx="561">
                  <c:v>5.8</c:v>
                </c:pt>
                <c:pt idx="562">
                  <c:v>5.6</c:v>
                </c:pt>
                <c:pt idx="563">
                  <c:v>5.5</c:v>
                </c:pt>
                <c:pt idx="564">
                  <c:v>5.6</c:v>
                </c:pt>
                <c:pt idx="565">
                  <c:v>5.4</c:v>
                </c:pt>
                <c:pt idx="566">
                  <c:v>5.4</c:v>
                </c:pt>
                <c:pt idx="567">
                  <c:v>5.8</c:v>
                </c:pt>
                <c:pt idx="568">
                  <c:v>5.6</c:v>
                </c:pt>
                <c:pt idx="569">
                  <c:v>5.6</c:v>
                </c:pt>
                <c:pt idx="570">
                  <c:v>5.7</c:v>
                </c:pt>
                <c:pt idx="571">
                  <c:v>5.7</c:v>
                </c:pt>
                <c:pt idx="572">
                  <c:v>5.6</c:v>
                </c:pt>
                <c:pt idx="573">
                  <c:v>5.5</c:v>
                </c:pt>
                <c:pt idx="574">
                  <c:v>5.6</c:v>
                </c:pt>
                <c:pt idx="575">
                  <c:v>5.6</c:v>
                </c:pt>
                <c:pt idx="576">
                  <c:v>5.6</c:v>
                </c:pt>
                <c:pt idx="577">
                  <c:v>5.5</c:v>
                </c:pt>
                <c:pt idx="578">
                  <c:v>5.5</c:v>
                </c:pt>
                <c:pt idx="579">
                  <c:v>5.6</c:v>
                </c:pt>
                <c:pt idx="580">
                  <c:v>5.6</c:v>
                </c:pt>
                <c:pt idx="581">
                  <c:v>5.3</c:v>
                </c:pt>
                <c:pt idx="582">
                  <c:v>5.5</c:v>
                </c:pt>
                <c:pt idx="583">
                  <c:v>5.0999999999999996</c:v>
                </c:pt>
                <c:pt idx="584">
                  <c:v>5.2</c:v>
                </c:pt>
                <c:pt idx="585">
                  <c:v>5.2</c:v>
                </c:pt>
                <c:pt idx="586">
                  <c:v>5.4</c:v>
                </c:pt>
                <c:pt idx="587">
                  <c:v>5.4</c:v>
                </c:pt>
                <c:pt idx="588">
                  <c:v>5.3</c:v>
                </c:pt>
                <c:pt idx="589">
                  <c:v>5.2</c:v>
                </c:pt>
                <c:pt idx="590">
                  <c:v>5.2</c:v>
                </c:pt>
                <c:pt idx="591">
                  <c:v>5.0999999999999996</c:v>
                </c:pt>
                <c:pt idx="592">
                  <c:v>4.9000000000000004</c:v>
                </c:pt>
                <c:pt idx="593">
                  <c:v>5</c:v>
                </c:pt>
                <c:pt idx="594">
                  <c:v>4.9000000000000004</c:v>
                </c:pt>
                <c:pt idx="595">
                  <c:v>4.8</c:v>
                </c:pt>
                <c:pt idx="596">
                  <c:v>4.9000000000000004</c:v>
                </c:pt>
                <c:pt idx="597">
                  <c:v>4.7</c:v>
                </c:pt>
                <c:pt idx="598">
                  <c:v>4.5999999999999996</c:v>
                </c:pt>
                <c:pt idx="599">
                  <c:v>4.7</c:v>
                </c:pt>
                <c:pt idx="600">
                  <c:v>4.5999999999999996</c:v>
                </c:pt>
                <c:pt idx="601">
                  <c:v>4.5999999999999996</c:v>
                </c:pt>
                <c:pt idx="602">
                  <c:v>4.7</c:v>
                </c:pt>
                <c:pt idx="603">
                  <c:v>4.3</c:v>
                </c:pt>
                <c:pt idx="604">
                  <c:v>4.4000000000000004</c:v>
                </c:pt>
                <c:pt idx="605">
                  <c:v>4.5</c:v>
                </c:pt>
                <c:pt idx="606">
                  <c:v>4.5</c:v>
                </c:pt>
                <c:pt idx="607">
                  <c:v>4.5</c:v>
                </c:pt>
                <c:pt idx="608">
                  <c:v>4.5999999999999996</c:v>
                </c:pt>
                <c:pt idx="609">
                  <c:v>4.5</c:v>
                </c:pt>
                <c:pt idx="610">
                  <c:v>4.4000000000000004</c:v>
                </c:pt>
                <c:pt idx="611">
                  <c:v>4.4000000000000004</c:v>
                </c:pt>
                <c:pt idx="612">
                  <c:v>4.3</c:v>
                </c:pt>
                <c:pt idx="613">
                  <c:v>4.4000000000000004</c:v>
                </c:pt>
                <c:pt idx="614">
                  <c:v>4.2</c:v>
                </c:pt>
                <c:pt idx="615">
                  <c:v>4.3</c:v>
                </c:pt>
                <c:pt idx="616">
                  <c:v>4.2</c:v>
                </c:pt>
                <c:pt idx="617">
                  <c:v>4.3</c:v>
                </c:pt>
                <c:pt idx="618">
                  <c:v>4.3</c:v>
                </c:pt>
                <c:pt idx="619">
                  <c:v>4.2</c:v>
                </c:pt>
                <c:pt idx="620">
                  <c:v>4.2</c:v>
                </c:pt>
                <c:pt idx="621">
                  <c:v>4.0999999999999996</c:v>
                </c:pt>
                <c:pt idx="622">
                  <c:v>4.0999999999999996</c:v>
                </c:pt>
                <c:pt idx="623">
                  <c:v>4</c:v>
                </c:pt>
                <c:pt idx="624">
                  <c:v>4</c:v>
                </c:pt>
                <c:pt idx="625">
                  <c:v>4.0999999999999996</c:v>
                </c:pt>
                <c:pt idx="626">
                  <c:v>4</c:v>
                </c:pt>
                <c:pt idx="627">
                  <c:v>3.8</c:v>
                </c:pt>
                <c:pt idx="628">
                  <c:v>4</c:v>
                </c:pt>
                <c:pt idx="629">
                  <c:v>4</c:v>
                </c:pt>
                <c:pt idx="630">
                  <c:v>4</c:v>
                </c:pt>
                <c:pt idx="631">
                  <c:v>4.0999999999999996</c:v>
                </c:pt>
                <c:pt idx="632">
                  <c:v>3.9</c:v>
                </c:pt>
                <c:pt idx="633">
                  <c:v>3.9</c:v>
                </c:pt>
                <c:pt idx="634">
                  <c:v>3.9</c:v>
                </c:pt>
                <c:pt idx="635">
                  <c:v>3.9</c:v>
                </c:pt>
                <c:pt idx="636">
                  <c:v>4.2</c:v>
                </c:pt>
                <c:pt idx="637">
                  <c:v>4.2</c:v>
                </c:pt>
                <c:pt idx="638">
                  <c:v>4.3</c:v>
                </c:pt>
                <c:pt idx="639">
                  <c:v>4.4000000000000004</c:v>
                </c:pt>
                <c:pt idx="640">
                  <c:v>4.3</c:v>
                </c:pt>
                <c:pt idx="641">
                  <c:v>4.5</c:v>
                </c:pt>
                <c:pt idx="642">
                  <c:v>4.5999999999999996</c:v>
                </c:pt>
                <c:pt idx="643">
                  <c:v>4.9000000000000004</c:v>
                </c:pt>
                <c:pt idx="644">
                  <c:v>5</c:v>
                </c:pt>
                <c:pt idx="645">
                  <c:v>5.3</c:v>
                </c:pt>
                <c:pt idx="646">
                  <c:v>5.5</c:v>
                </c:pt>
                <c:pt idx="647">
                  <c:v>5.7</c:v>
                </c:pt>
                <c:pt idx="648">
                  <c:v>5.7</c:v>
                </c:pt>
                <c:pt idx="649">
                  <c:v>5.7</c:v>
                </c:pt>
                <c:pt idx="650">
                  <c:v>5.7</c:v>
                </c:pt>
                <c:pt idx="651">
                  <c:v>5.9</c:v>
                </c:pt>
                <c:pt idx="652">
                  <c:v>5.8</c:v>
                </c:pt>
                <c:pt idx="653">
                  <c:v>5.8</c:v>
                </c:pt>
                <c:pt idx="654">
                  <c:v>5.8</c:v>
                </c:pt>
                <c:pt idx="655">
                  <c:v>5.7</c:v>
                </c:pt>
                <c:pt idx="656">
                  <c:v>5.7</c:v>
                </c:pt>
                <c:pt idx="657">
                  <c:v>5.7</c:v>
                </c:pt>
                <c:pt idx="658">
                  <c:v>5.9</c:v>
                </c:pt>
                <c:pt idx="659">
                  <c:v>6</c:v>
                </c:pt>
                <c:pt idx="660">
                  <c:v>5.8</c:v>
                </c:pt>
                <c:pt idx="661">
                  <c:v>5.9</c:v>
                </c:pt>
                <c:pt idx="662">
                  <c:v>5.9</c:v>
                </c:pt>
                <c:pt idx="663">
                  <c:v>6</c:v>
                </c:pt>
                <c:pt idx="664">
                  <c:v>6.1</c:v>
                </c:pt>
                <c:pt idx="665">
                  <c:v>6.3</c:v>
                </c:pt>
                <c:pt idx="666">
                  <c:v>6.2</c:v>
                </c:pt>
                <c:pt idx="667">
                  <c:v>6.1</c:v>
                </c:pt>
                <c:pt idx="668">
                  <c:v>6.1</c:v>
                </c:pt>
                <c:pt idx="669">
                  <c:v>6</c:v>
                </c:pt>
                <c:pt idx="670">
                  <c:v>5.8</c:v>
                </c:pt>
                <c:pt idx="671">
                  <c:v>5.7</c:v>
                </c:pt>
                <c:pt idx="672">
                  <c:v>5.7</c:v>
                </c:pt>
                <c:pt idx="673">
                  <c:v>5.6</c:v>
                </c:pt>
                <c:pt idx="674">
                  <c:v>5.8</c:v>
                </c:pt>
                <c:pt idx="675">
                  <c:v>5.6</c:v>
                </c:pt>
                <c:pt idx="676">
                  <c:v>5.6</c:v>
                </c:pt>
                <c:pt idx="677">
                  <c:v>5.6</c:v>
                </c:pt>
                <c:pt idx="678">
                  <c:v>5.5</c:v>
                </c:pt>
                <c:pt idx="679">
                  <c:v>5.4</c:v>
                </c:pt>
                <c:pt idx="680">
                  <c:v>5.4</c:v>
                </c:pt>
                <c:pt idx="681">
                  <c:v>5.5</c:v>
                </c:pt>
                <c:pt idx="682">
                  <c:v>5.4</c:v>
                </c:pt>
                <c:pt idx="683">
                  <c:v>5.4</c:v>
                </c:pt>
                <c:pt idx="684">
                  <c:v>5.3</c:v>
                </c:pt>
                <c:pt idx="685">
                  <c:v>5.4</c:v>
                </c:pt>
                <c:pt idx="686">
                  <c:v>5.2</c:v>
                </c:pt>
                <c:pt idx="687">
                  <c:v>5.2</c:v>
                </c:pt>
                <c:pt idx="688">
                  <c:v>5.0999999999999996</c:v>
                </c:pt>
                <c:pt idx="689">
                  <c:v>5</c:v>
                </c:pt>
                <c:pt idx="690">
                  <c:v>5</c:v>
                </c:pt>
                <c:pt idx="691">
                  <c:v>4.9000000000000004</c:v>
                </c:pt>
                <c:pt idx="692">
                  <c:v>5</c:v>
                </c:pt>
                <c:pt idx="693">
                  <c:v>5</c:v>
                </c:pt>
                <c:pt idx="694">
                  <c:v>5</c:v>
                </c:pt>
                <c:pt idx="695">
                  <c:v>4.9000000000000004</c:v>
                </c:pt>
                <c:pt idx="696">
                  <c:v>4.7</c:v>
                </c:pt>
                <c:pt idx="697">
                  <c:v>4.8</c:v>
                </c:pt>
                <c:pt idx="698">
                  <c:v>4.7</c:v>
                </c:pt>
                <c:pt idx="699">
                  <c:v>4.7</c:v>
                </c:pt>
                <c:pt idx="700">
                  <c:v>4.5999999999999996</c:v>
                </c:pt>
                <c:pt idx="701">
                  <c:v>4.5999999999999996</c:v>
                </c:pt>
                <c:pt idx="702">
                  <c:v>4.7</c:v>
                </c:pt>
                <c:pt idx="703">
                  <c:v>4.7</c:v>
                </c:pt>
                <c:pt idx="704">
                  <c:v>4.5</c:v>
                </c:pt>
                <c:pt idx="705">
                  <c:v>4.4000000000000004</c:v>
                </c:pt>
                <c:pt idx="706">
                  <c:v>4.5</c:v>
                </c:pt>
                <c:pt idx="707">
                  <c:v>4.4000000000000004</c:v>
                </c:pt>
                <c:pt idx="708">
                  <c:v>4.5999999999999996</c:v>
                </c:pt>
                <c:pt idx="709">
                  <c:v>4.5</c:v>
                </c:pt>
                <c:pt idx="710">
                  <c:v>4.4000000000000004</c:v>
                </c:pt>
                <c:pt idx="711">
                  <c:v>4.5</c:v>
                </c:pt>
                <c:pt idx="712">
                  <c:v>4.4000000000000004</c:v>
                </c:pt>
                <c:pt idx="713">
                  <c:v>4.5999999999999996</c:v>
                </c:pt>
                <c:pt idx="714">
                  <c:v>4.7</c:v>
                </c:pt>
                <c:pt idx="715">
                  <c:v>4.5999999999999996</c:v>
                </c:pt>
                <c:pt idx="716">
                  <c:v>4.7</c:v>
                </c:pt>
                <c:pt idx="717">
                  <c:v>4.7</c:v>
                </c:pt>
                <c:pt idx="718">
                  <c:v>4.7</c:v>
                </c:pt>
                <c:pt idx="719">
                  <c:v>5</c:v>
                </c:pt>
                <c:pt idx="720">
                  <c:v>5</c:v>
                </c:pt>
                <c:pt idx="721">
                  <c:v>4.9000000000000004</c:v>
                </c:pt>
                <c:pt idx="722">
                  <c:v>5.0999999999999996</c:v>
                </c:pt>
                <c:pt idx="723">
                  <c:v>5</c:v>
                </c:pt>
                <c:pt idx="724">
                  <c:v>5.4</c:v>
                </c:pt>
                <c:pt idx="725">
                  <c:v>5.6</c:v>
                </c:pt>
                <c:pt idx="726">
                  <c:v>5.8</c:v>
                </c:pt>
                <c:pt idx="727">
                  <c:v>6.1</c:v>
                </c:pt>
                <c:pt idx="728">
                  <c:v>6.1</c:v>
                </c:pt>
                <c:pt idx="729">
                  <c:v>6.5</c:v>
                </c:pt>
                <c:pt idx="730">
                  <c:v>6.8</c:v>
                </c:pt>
                <c:pt idx="731">
                  <c:v>7.3</c:v>
                </c:pt>
                <c:pt idx="732">
                  <c:v>7.8</c:v>
                </c:pt>
                <c:pt idx="733">
                  <c:v>8.3000000000000007</c:v>
                </c:pt>
                <c:pt idx="734">
                  <c:v>8.6999999999999993</c:v>
                </c:pt>
                <c:pt idx="735">
                  <c:v>9</c:v>
                </c:pt>
                <c:pt idx="736">
                  <c:v>9.4</c:v>
                </c:pt>
                <c:pt idx="737">
                  <c:v>9.5</c:v>
                </c:pt>
                <c:pt idx="738">
                  <c:v>9.5</c:v>
                </c:pt>
                <c:pt idx="739">
                  <c:v>9.6</c:v>
                </c:pt>
                <c:pt idx="740">
                  <c:v>9.8000000000000007</c:v>
                </c:pt>
                <c:pt idx="741">
                  <c:v>10</c:v>
                </c:pt>
                <c:pt idx="742">
                  <c:v>9.9</c:v>
                </c:pt>
                <c:pt idx="743">
                  <c:v>9.9</c:v>
                </c:pt>
                <c:pt idx="744">
                  <c:v>9.8000000000000007</c:v>
                </c:pt>
                <c:pt idx="745">
                  <c:v>9.8000000000000007</c:v>
                </c:pt>
                <c:pt idx="746">
                  <c:v>9.9</c:v>
                </c:pt>
                <c:pt idx="747">
                  <c:v>9.9</c:v>
                </c:pt>
                <c:pt idx="748">
                  <c:v>9.6</c:v>
                </c:pt>
                <c:pt idx="749">
                  <c:v>9.4</c:v>
                </c:pt>
                <c:pt idx="750">
                  <c:v>9.4</c:v>
                </c:pt>
                <c:pt idx="751">
                  <c:v>9.5</c:v>
                </c:pt>
                <c:pt idx="752">
                  <c:v>9.5</c:v>
                </c:pt>
                <c:pt idx="753">
                  <c:v>9.4</c:v>
                </c:pt>
                <c:pt idx="754">
                  <c:v>9.8000000000000007</c:v>
                </c:pt>
                <c:pt idx="755">
                  <c:v>9.3000000000000007</c:v>
                </c:pt>
                <c:pt idx="756">
                  <c:v>9.1</c:v>
                </c:pt>
                <c:pt idx="757">
                  <c:v>9</c:v>
                </c:pt>
                <c:pt idx="758">
                  <c:v>9</c:v>
                </c:pt>
                <c:pt idx="759">
                  <c:v>9.1</c:v>
                </c:pt>
                <c:pt idx="760">
                  <c:v>9</c:v>
                </c:pt>
                <c:pt idx="761">
                  <c:v>9.1</c:v>
                </c:pt>
                <c:pt idx="762">
                  <c:v>9</c:v>
                </c:pt>
                <c:pt idx="763">
                  <c:v>9</c:v>
                </c:pt>
                <c:pt idx="764">
                  <c:v>9</c:v>
                </c:pt>
                <c:pt idx="765">
                  <c:v>8.8000000000000007</c:v>
                </c:pt>
                <c:pt idx="766">
                  <c:v>8.6</c:v>
                </c:pt>
                <c:pt idx="767">
                  <c:v>8.5</c:v>
                </c:pt>
                <c:pt idx="768">
                  <c:v>8.3000000000000007</c:v>
                </c:pt>
                <c:pt idx="769">
                  <c:v>8.3000000000000007</c:v>
                </c:pt>
                <c:pt idx="770">
                  <c:v>8.1999999999999993</c:v>
                </c:pt>
                <c:pt idx="771">
                  <c:v>8.1999999999999993</c:v>
                </c:pt>
                <c:pt idx="772">
                  <c:v>8.1999999999999993</c:v>
                </c:pt>
                <c:pt idx="773">
                  <c:v>8.1999999999999993</c:v>
                </c:pt>
                <c:pt idx="774">
                  <c:v>8.1999999999999993</c:v>
                </c:pt>
                <c:pt idx="775">
                  <c:v>8.1</c:v>
                </c:pt>
                <c:pt idx="776">
                  <c:v>7.8</c:v>
                </c:pt>
                <c:pt idx="777">
                  <c:v>7.8</c:v>
                </c:pt>
                <c:pt idx="778">
                  <c:v>7.7</c:v>
                </c:pt>
                <c:pt idx="779">
                  <c:v>7.9</c:v>
                </c:pt>
                <c:pt idx="780">
                  <c:v>8</c:v>
                </c:pt>
                <c:pt idx="781">
                  <c:v>7.7</c:v>
                </c:pt>
                <c:pt idx="782">
                  <c:v>7.5</c:v>
                </c:pt>
                <c:pt idx="783">
                  <c:v>7.6</c:v>
                </c:pt>
                <c:pt idx="784">
                  <c:v>7.5</c:v>
                </c:pt>
                <c:pt idx="785">
                  <c:v>7.5</c:v>
                </c:pt>
                <c:pt idx="786">
                  <c:v>7.3</c:v>
                </c:pt>
                <c:pt idx="787">
                  <c:v>7.2</c:v>
                </c:pt>
                <c:pt idx="788">
                  <c:v>7.2</c:v>
                </c:pt>
                <c:pt idx="789">
                  <c:v>7.2</c:v>
                </c:pt>
                <c:pt idx="790">
                  <c:v>6.9</c:v>
                </c:pt>
                <c:pt idx="791">
                  <c:v>6.7</c:v>
                </c:pt>
                <c:pt idx="792">
                  <c:v>6.6</c:v>
                </c:pt>
                <c:pt idx="793">
                  <c:v>6.7</c:v>
                </c:pt>
                <c:pt idx="794">
                  <c:v>6.7</c:v>
                </c:pt>
                <c:pt idx="795">
                  <c:v>6.2</c:v>
                </c:pt>
                <c:pt idx="796">
                  <c:v>6.3</c:v>
                </c:pt>
                <c:pt idx="797">
                  <c:v>6.1</c:v>
                </c:pt>
                <c:pt idx="798">
                  <c:v>6.2</c:v>
                </c:pt>
                <c:pt idx="799">
                  <c:v>6.1</c:v>
                </c:pt>
                <c:pt idx="800">
                  <c:v>5.9</c:v>
                </c:pt>
                <c:pt idx="801">
                  <c:v>5.7</c:v>
                </c:pt>
                <c:pt idx="802">
                  <c:v>5.8</c:v>
                </c:pt>
                <c:pt idx="803">
                  <c:v>5.6</c:v>
                </c:pt>
                <c:pt idx="804">
                  <c:v>5.7</c:v>
                </c:pt>
                <c:pt idx="805">
                  <c:v>5.5</c:v>
                </c:pt>
                <c:pt idx="806">
                  <c:v>5.4</c:v>
                </c:pt>
                <c:pt idx="807">
                  <c:v>5.4</c:v>
                </c:pt>
                <c:pt idx="808">
                  <c:v>5.6</c:v>
                </c:pt>
                <c:pt idx="809">
                  <c:v>5.3</c:v>
                </c:pt>
                <c:pt idx="810">
                  <c:v>5.2</c:v>
                </c:pt>
                <c:pt idx="811">
                  <c:v>5.0999999999999996</c:v>
                </c:pt>
                <c:pt idx="812">
                  <c:v>5</c:v>
                </c:pt>
                <c:pt idx="813">
                  <c:v>5</c:v>
                </c:pt>
                <c:pt idx="814">
                  <c:v>5.0999999999999996</c:v>
                </c:pt>
                <c:pt idx="815">
                  <c:v>5</c:v>
                </c:pt>
                <c:pt idx="816">
                  <c:v>4.8</c:v>
                </c:pt>
                <c:pt idx="817">
                  <c:v>4.9000000000000004</c:v>
                </c:pt>
                <c:pt idx="818">
                  <c:v>5</c:v>
                </c:pt>
                <c:pt idx="819">
                  <c:v>5.0999999999999996</c:v>
                </c:pt>
                <c:pt idx="820">
                  <c:v>4.8</c:v>
                </c:pt>
                <c:pt idx="821">
                  <c:v>4.9000000000000004</c:v>
                </c:pt>
                <c:pt idx="822">
                  <c:v>4.8</c:v>
                </c:pt>
                <c:pt idx="823">
                  <c:v>4.9000000000000004</c:v>
                </c:pt>
                <c:pt idx="824">
                  <c:v>5</c:v>
                </c:pt>
                <c:pt idx="825">
                  <c:v>4.9000000000000004</c:v>
                </c:pt>
                <c:pt idx="826">
                  <c:v>4.7</c:v>
                </c:pt>
                <c:pt idx="827">
                  <c:v>4.7</c:v>
                </c:pt>
                <c:pt idx="828">
                  <c:v>4.7</c:v>
                </c:pt>
                <c:pt idx="829">
                  <c:v>4.5999999999999996</c:v>
                </c:pt>
                <c:pt idx="830">
                  <c:v>4.4000000000000004</c:v>
                </c:pt>
                <c:pt idx="831">
                  <c:v>4.4000000000000004</c:v>
                </c:pt>
                <c:pt idx="832">
                  <c:v>4.4000000000000004</c:v>
                </c:pt>
                <c:pt idx="833">
                  <c:v>4.3</c:v>
                </c:pt>
                <c:pt idx="834">
                  <c:v>4.3</c:v>
                </c:pt>
                <c:pt idx="835">
                  <c:v>4.4000000000000004</c:v>
                </c:pt>
                <c:pt idx="836">
                  <c:v>4.3</c:v>
                </c:pt>
                <c:pt idx="837">
                  <c:v>4.2</c:v>
                </c:pt>
                <c:pt idx="838">
                  <c:v>4.2</c:v>
                </c:pt>
                <c:pt idx="839">
                  <c:v>4.0999999999999996</c:v>
                </c:pt>
                <c:pt idx="840">
                  <c:v>4</c:v>
                </c:pt>
                <c:pt idx="841">
                  <c:v>4.0999999999999996</c:v>
                </c:pt>
                <c:pt idx="842">
                  <c:v>4</c:v>
                </c:pt>
                <c:pt idx="843">
                  <c:v>4</c:v>
                </c:pt>
                <c:pt idx="844">
                  <c:v>3.8</c:v>
                </c:pt>
                <c:pt idx="845">
                  <c:v>4</c:v>
                </c:pt>
                <c:pt idx="846">
                  <c:v>3.8</c:v>
                </c:pt>
                <c:pt idx="847">
                  <c:v>3.8</c:v>
                </c:pt>
                <c:pt idx="848">
                  <c:v>3.7</c:v>
                </c:pt>
                <c:pt idx="849">
                  <c:v>3.8</c:v>
                </c:pt>
                <c:pt idx="850">
                  <c:v>3.8</c:v>
                </c:pt>
                <c:pt idx="851">
                  <c:v>3.9</c:v>
                </c:pt>
                <c:pt idx="852">
                  <c:v>4</c:v>
                </c:pt>
                <c:pt idx="853">
                  <c:v>3.8</c:v>
                </c:pt>
                <c:pt idx="854">
                  <c:v>3.8</c:v>
                </c:pt>
                <c:pt idx="855">
                  <c:v>3.6</c:v>
                </c:pt>
                <c:pt idx="856">
                  <c:v>3.7</c:v>
                </c:pt>
                <c:pt idx="857">
                  <c:v>3.6</c:v>
                </c:pt>
                <c:pt idx="858">
                  <c:v>3.7</c:v>
                </c:pt>
                <c:pt idx="859">
                  <c:v>3.7</c:v>
                </c:pt>
                <c:pt idx="860">
                  <c:v>3.5</c:v>
                </c:pt>
                <c:pt idx="861">
                  <c:v>3.6</c:v>
                </c:pt>
                <c:pt idx="862">
                  <c:v>3.6</c:v>
                </c:pt>
                <c:pt idx="863">
                  <c:v>3.6</c:v>
                </c:pt>
                <c:pt idx="864">
                  <c:v>3.5</c:v>
                </c:pt>
                <c:pt idx="865">
                  <c:v>3.5</c:v>
                </c:pt>
                <c:pt idx="866">
                  <c:v>4.4000000000000004</c:v>
                </c:pt>
                <c:pt idx="867">
                  <c:v>14.7</c:v>
                </c:pt>
                <c:pt idx="868">
                  <c:v>13.2</c:v>
                </c:pt>
                <c:pt idx="869">
                  <c:v>11</c:v>
                </c:pt>
                <c:pt idx="870">
                  <c:v>10.199999999999999</c:v>
                </c:pt>
                <c:pt idx="871">
                  <c:v>8.4</c:v>
                </c:pt>
                <c:pt idx="872">
                  <c:v>7.9</c:v>
                </c:pt>
                <c:pt idx="873">
                  <c:v>6.9</c:v>
                </c:pt>
                <c:pt idx="874">
                  <c:v>6.7</c:v>
                </c:pt>
                <c:pt idx="875">
                  <c:v>6.7</c:v>
                </c:pt>
                <c:pt idx="876">
                  <c:v>6.3</c:v>
                </c:pt>
                <c:pt idx="877">
                  <c:v>6.2</c:v>
                </c:pt>
                <c:pt idx="878">
                  <c:v>6.1</c:v>
                </c:pt>
                <c:pt idx="879">
                  <c:v>6.1</c:v>
                </c:pt>
                <c:pt idx="880">
                  <c:v>5.8</c:v>
                </c:pt>
                <c:pt idx="881">
                  <c:v>5.9</c:v>
                </c:pt>
                <c:pt idx="882">
                  <c:v>5.4</c:v>
                </c:pt>
                <c:pt idx="883">
                  <c:v>5.2</c:v>
                </c:pt>
                <c:pt idx="884">
                  <c:v>4.8</c:v>
                </c:pt>
                <c:pt idx="885">
                  <c:v>4.5</c:v>
                </c:pt>
                <c:pt idx="886">
                  <c:v>4.2</c:v>
                </c:pt>
                <c:pt idx="887">
                  <c:v>3.9</c:v>
                </c:pt>
                <c:pt idx="888">
                  <c:v>4</c:v>
                </c:pt>
                <c:pt idx="889">
                  <c:v>3.8</c:v>
                </c:pt>
                <c:pt idx="890">
                  <c:v>3.6</c:v>
                </c:pt>
                <c:pt idx="891">
                  <c:v>3.6</c:v>
                </c:pt>
                <c:pt idx="892">
                  <c:v>3.6</c:v>
                </c:pt>
                <c:pt idx="893">
                  <c:v>3.6</c:v>
                </c:pt>
                <c:pt idx="894">
                  <c:v>3.5</c:v>
                </c:pt>
                <c:pt idx="895">
                  <c:v>3.7</c:v>
                </c:pt>
                <c:pt idx="896">
                  <c:v>3.5</c:v>
                </c:pt>
                <c:pt idx="897">
                  <c:v>3.7</c:v>
                </c:pt>
                <c:pt idx="898">
                  <c:v>3.6</c:v>
                </c:pt>
                <c:pt idx="899">
                  <c:v>3.5</c:v>
                </c:pt>
                <c:pt idx="900">
                  <c:v>3.4</c:v>
                </c:pt>
                <c:pt idx="901">
                  <c:v>3.6</c:v>
                </c:pt>
                <c:pt idx="902">
                  <c:v>3.5</c:v>
                </c:pt>
                <c:pt idx="903">
                  <c:v>3.4</c:v>
                </c:pt>
                <c:pt idx="904">
                  <c:v>3.7</c:v>
                </c:pt>
                <c:pt idx="905">
                  <c:v>3.6</c:v>
                </c:pt>
                <c:pt idx="906">
                  <c:v>3.5</c:v>
                </c:pt>
                <c:pt idx="907">
                  <c:v>3.8</c:v>
                </c:pt>
                <c:pt idx="908">
                  <c:v>3.8</c:v>
                </c:pt>
                <c:pt idx="909">
                  <c:v>3.9</c:v>
                </c:pt>
                <c:pt idx="910">
                  <c:v>3.7</c:v>
                </c:pt>
                <c:pt idx="911">
                  <c:v>3.7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60A4-49D4-8F05-3A5D32D3F4C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2"/>
          <c:min val="2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916948303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19871439"/>
        <c:crosses val="max"/>
        <c:crossBetween val="between"/>
      </c:valAx>
      <c:catAx>
        <c:axId val="419871439"/>
        <c:scaling>
          <c:orientation val="minMax"/>
        </c:scaling>
        <c:delete val="1"/>
        <c:axPos val="b"/>
        <c:majorTickMark val="out"/>
        <c:minorTickMark val="none"/>
        <c:tickLblPos val="nextTo"/>
        <c:crossAx val="91694830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1"/>
          <c:tx>
            <c:strRef>
              <c:f>'Housing Market'!$U$2</c:f>
              <c:strCache>
                <c:ptCount val="1"/>
                <c:pt idx="0">
                  <c:v>S&amp;P/Case-Shiller a/a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noFill/>
            </a:ln>
            <a:effectLst/>
          </c:spPr>
          <c:cat>
            <c:numRef>
              <c:f>'Housing Market'!$A$315:$A$758</c:f>
              <c:numCache>
                <c:formatCode>[$-416]mmm\-yy;@</c:formatCode>
                <c:ptCount val="444"/>
                <c:pt idx="0">
                  <c:v>31778</c:v>
                </c:pt>
                <c:pt idx="1">
                  <c:v>31809</c:v>
                </c:pt>
                <c:pt idx="2">
                  <c:v>31837</c:v>
                </c:pt>
                <c:pt idx="3">
                  <c:v>31868</c:v>
                </c:pt>
                <c:pt idx="4">
                  <c:v>31898</c:v>
                </c:pt>
                <c:pt idx="5">
                  <c:v>31929</c:v>
                </c:pt>
                <c:pt idx="6">
                  <c:v>31959</c:v>
                </c:pt>
                <c:pt idx="7">
                  <c:v>31990</c:v>
                </c:pt>
                <c:pt idx="8">
                  <c:v>32021</c:v>
                </c:pt>
                <c:pt idx="9">
                  <c:v>32051</c:v>
                </c:pt>
                <c:pt idx="10">
                  <c:v>32082</c:v>
                </c:pt>
                <c:pt idx="11">
                  <c:v>32112</c:v>
                </c:pt>
                <c:pt idx="12">
                  <c:v>32143</c:v>
                </c:pt>
                <c:pt idx="13">
                  <c:v>32174</c:v>
                </c:pt>
                <c:pt idx="14">
                  <c:v>32203</c:v>
                </c:pt>
                <c:pt idx="15">
                  <c:v>32234</c:v>
                </c:pt>
                <c:pt idx="16">
                  <c:v>32264</c:v>
                </c:pt>
                <c:pt idx="17">
                  <c:v>32295</c:v>
                </c:pt>
                <c:pt idx="18">
                  <c:v>32325</c:v>
                </c:pt>
                <c:pt idx="19">
                  <c:v>32356</c:v>
                </c:pt>
                <c:pt idx="20">
                  <c:v>32387</c:v>
                </c:pt>
                <c:pt idx="21">
                  <c:v>32417</c:v>
                </c:pt>
                <c:pt idx="22">
                  <c:v>32448</c:v>
                </c:pt>
                <c:pt idx="23">
                  <c:v>32478</c:v>
                </c:pt>
                <c:pt idx="24">
                  <c:v>32509</c:v>
                </c:pt>
                <c:pt idx="25">
                  <c:v>32540</c:v>
                </c:pt>
                <c:pt idx="26">
                  <c:v>32568</c:v>
                </c:pt>
                <c:pt idx="27">
                  <c:v>32599</c:v>
                </c:pt>
                <c:pt idx="28">
                  <c:v>32629</c:v>
                </c:pt>
                <c:pt idx="29">
                  <c:v>32660</c:v>
                </c:pt>
                <c:pt idx="30">
                  <c:v>32690</c:v>
                </c:pt>
                <c:pt idx="31">
                  <c:v>32721</c:v>
                </c:pt>
                <c:pt idx="32">
                  <c:v>32752</c:v>
                </c:pt>
                <c:pt idx="33">
                  <c:v>32782</c:v>
                </c:pt>
                <c:pt idx="34">
                  <c:v>32813</c:v>
                </c:pt>
                <c:pt idx="35">
                  <c:v>32843</c:v>
                </c:pt>
                <c:pt idx="36">
                  <c:v>32874</c:v>
                </c:pt>
                <c:pt idx="37">
                  <c:v>32905</c:v>
                </c:pt>
                <c:pt idx="38">
                  <c:v>32933</c:v>
                </c:pt>
                <c:pt idx="39">
                  <c:v>32964</c:v>
                </c:pt>
                <c:pt idx="40">
                  <c:v>32994</c:v>
                </c:pt>
                <c:pt idx="41">
                  <c:v>33025</c:v>
                </c:pt>
                <c:pt idx="42">
                  <c:v>33055</c:v>
                </c:pt>
                <c:pt idx="43">
                  <c:v>33086</c:v>
                </c:pt>
                <c:pt idx="44">
                  <c:v>33117</c:v>
                </c:pt>
                <c:pt idx="45">
                  <c:v>33147</c:v>
                </c:pt>
                <c:pt idx="46">
                  <c:v>33178</c:v>
                </c:pt>
                <c:pt idx="47">
                  <c:v>33208</c:v>
                </c:pt>
                <c:pt idx="48">
                  <c:v>33239</c:v>
                </c:pt>
                <c:pt idx="49">
                  <c:v>33270</c:v>
                </c:pt>
                <c:pt idx="50">
                  <c:v>33298</c:v>
                </c:pt>
                <c:pt idx="51">
                  <c:v>33329</c:v>
                </c:pt>
                <c:pt idx="52">
                  <c:v>33359</c:v>
                </c:pt>
                <c:pt idx="53">
                  <c:v>33390</c:v>
                </c:pt>
                <c:pt idx="54">
                  <c:v>33420</c:v>
                </c:pt>
                <c:pt idx="55">
                  <c:v>33451</c:v>
                </c:pt>
                <c:pt idx="56">
                  <c:v>33482</c:v>
                </c:pt>
                <c:pt idx="57">
                  <c:v>33512</c:v>
                </c:pt>
                <c:pt idx="58">
                  <c:v>33543</c:v>
                </c:pt>
                <c:pt idx="59">
                  <c:v>33573</c:v>
                </c:pt>
                <c:pt idx="60">
                  <c:v>33604</c:v>
                </c:pt>
                <c:pt idx="61">
                  <c:v>33635</c:v>
                </c:pt>
                <c:pt idx="62">
                  <c:v>33664</c:v>
                </c:pt>
                <c:pt idx="63">
                  <c:v>33695</c:v>
                </c:pt>
                <c:pt idx="64">
                  <c:v>33725</c:v>
                </c:pt>
                <c:pt idx="65">
                  <c:v>33756</c:v>
                </c:pt>
                <c:pt idx="66">
                  <c:v>33786</c:v>
                </c:pt>
                <c:pt idx="67">
                  <c:v>33817</c:v>
                </c:pt>
                <c:pt idx="68">
                  <c:v>33848</c:v>
                </c:pt>
                <c:pt idx="69">
                  <c:v>33878</c:v>
                </c:pt>
                <c:pt idx="70">
                  <c:v>33909</c:v>
                </c:pt>
                <c:pt idx="71">
                  <c:v>33939</c:v>
                </c:pt>
                <c:pt idx="72">
                  <c:v>33970</c:v>
                </c:pt>
                <c:pt idx="73">
                  <c:v>34001</c:v>
                </c:pt>
                <c:pt idx="74">
                  <c:v>34029</c:v>
                </c:pt>
                <c:pt idx="75">
                  <c:v>34060</c:v>
                </c:pt>
                <c:pt idx="76">
                  <c:v>34090</c:v>
                </c:pt>
                <c:pt idx="77">
                  <c:v>34121</c:v>
                </c:pt>
                <c:pt idx="78">
                  <c:v>34151</c:v>
                </c:pt>
                <c:pt idx="79">
                  <c:v>34182</c:v>
                </c:pt>
                <c:pt idx="80">
                  <c:v>34213</c:v>
                </c:pt>
                <c:pt idx="81">
                  <c:v>34243</c:v>
                </c:pt>
                <c:pt idx="82">
                  <c:v>34274</c:v>
                </c:pt>
                <c:pt idx="83">
                  <c:v>34304</c:v>
                </c:pt>
                <c:pt idx="84">
                  <c:v>34335</c:v>
                </c:pt>
                <c:pt idx="85">
                  <c:v>34366</c:v>
                </c:pt>
                <c:pt idx="86">
                  <c:v>34394</c:v>
                </c:pt>
                <c:pt idx="87">
                  <c:v>34425</c:v>
                </c:pt>
                <c:pt idx="88">
                  <c:v>34455</c:v>
                </c:pt>
                <c:pt idx="89">
                  <c:v>34486</c:v>
                </c:pt>
                <c:pt idx="90">
                  <c:v>34516</c:v>
                </c:pt>
                <c:pt idx="91">
                  <c:v>34547</c:v>
                </c:pt>
                <c:pt idx="92">
                  <c:v>34578</c:v>
                </c:pt>
                <c:pt idx="93">
                  <c:v>34608</c:v>
                </c:pt>
                <c:pt idx="94">
                  <c:v>34639</c:v>
                </c:pt>
                <c:pt idx="95">
                  <c:v>34669</c:v>
                </c:pt>
                <c:pt idx="96">
                  <c:v>34700</c:v>
                </c:pt>
                <c:pt idx="97">
                  <c:v>34731</c:v>
                </c:pt>
                <c:pt idx="98">
                  <c:v>34759</c:v>
                </c:pt>
                <c:pt idx="99">
                  <c:v>34790</c:v>
                </c:pt>
                <c:pt idx="100">
                  <c:v>34820</c:v>
                </c:pt>
                <c:pt idx="101">
                  <c:v>34851</c:v>
                </c:pt>
                <c:pt idx="102">
                  <c:v>34881</c:v>
                </c:pt>
                <c:pt idx="103">
                  <c:v>34912</c:v>
                </c:pt>
                <c:pt idx="104">
                  <c:v>34943</c:v>
                </c:pt>
                <c:pt idx="105">
                  <c:v>34973</c:v>
                </c:pt>
                <c:pt idx="106">
                  <c:v>35004</c:v>
                </c:pt>
                <c:pt idx="107">
                  <c:v>35034</c:v>
                </c:pt>
                <c:pt idx="108">
                  <c:v>35065</c:v>
                </c:pt>
                <c:pt idx="109">
                  <c:v>35096</c:v>
                </c:pt>
                <c:pt idx="110">
                  <c:v>35125</c:v>
                </c:pt>
                <c:pt idx="111">
                  <c:v>35156</c:v>
                </c:pt>
                <c:pt idx="112">
                  <c:v>35186</c:v>
                </c:pt>
                <c:pt idx="113">
                  <c:v>35217</c:v>
                </c:pt>
                <c:pt idx="114">
                  <c:v>35247</c:v>
                </c:pt>
                <c:pt idx="115">
                  <c:v>35278</c:v>
                </c:pt>
                <c:pt idx="116">
                  <c:v>35309</c:v>
                </c:pt>
                <c:pt idx="117">
                  <c:v>35339</c:v>
                </c:pt>
                <c:pt idx="118">
                  <c:v>35370</c:v>
                </c:pt>
                <c:pt idx="119">
                  <c:v>35400</c:v>
                </c:pt>
                <c:pt idx="120">
                  <c:v>35431</c:v>
                </c:pt>
                <c:pt idx="121">
                  <c:v>35462</c:v>
                </c:pt>
                <c:pt idx="122">
                  <c:v>35490</c:v>
                </c:pt>
                <c:pt idx="123">
                  <c:v>35521</c:v>
                </c:pt>
                <c:pt idx="124">
                  <c:v>35551</c:v>
                </c:pt>
                <c:pt idx="125">
                  <c:v>35582</c:v>
                </c:pt>
                <c:pt idx="126">
                  <c:v>35612</c:v>
                </c:pt>
                <c:pt idx="127">
                  <c:v>35643</c:v>
                </c:pt>
                <c:pt idx="128">
                  <c:v>35674</c:v>
                </c:pt>
                <c:pt idx="129">
                  <c:v>35704</c:v>
                </c:pt>
                <c:pt idx="130">
                  <c:v>35735</c:v>
                </c:pt>
                <c:pt idx="131">
                  <c:v>35765</c:v>
                </c:pt>
                <c:pt idx="132">
                  <c:v>35796</c:v>
                </c:pt>
                <c:pt idx="133">
                  <c:v>35827</c:v>
                </c:pt>
                <c:pt idx="134">
                  <c:v>35855</c:v>
                </c:pt>
                <c:pt idx="135">
                  <c:v>35886</c:v>
                </c:pt>
                <c:pt idx="136">
                  <c:v>35916</c:v>
                </c:pt>
                <c:pt idx="137">
                  <c:v>35947</c:v>
                </c:pt>
                <c:pt idx="138">
                  <c:v>35977</c:v>
                </c:pt>
                <c:pt idx="139">
                  <c:v>36008</c:v>
                </c:pt>
                <c:pt idx="140">
                  <c:v>36039</c:v>
                </c:pt>
                <c:pt idx="141">
                  <c:v>36069</c:v>
                </c:pt>
                <c:pt idx="142">
                  <c:v>36100</c:v>
                </c:pt>
                <c:pt idx="143">
                  <c:v>36130</c:v>
                </c:pt>
                <c:pt idx="144">
                  <c:v>36161</c:v>
                </c:pt>
                <c:pt idx="145">
                  <c:v>36192</c:v>
                </c:pt>
                <c:pt idx="146">
                  <c:v>36220</c:v>
                </c:pt>
                <c:pt idx="147">
                  <c:v>36251</c:v>
                </c:pt>
                <c:pt idx="148">
                  <c:v>36281</c:v>
                </c:pt>
                <c:pt idx="149">
                  <c:v>36312</c:v>
                </c:pt>
                <c:pt idx="150">
                  <c:v>36342</c:v>
                </c:pt>
                <c:pt idx="151">
                  <c:v>36373</c:v>
                </c:pt>
                <c:pt idx="152">
                  <c:v>36404</c:v>
                </c:pt>
                <c:pt idx="153">
                  <c:v>36434</c:v>
                </c:pt>
                <c:pt idx="154">
                  <c:v>36465</c:v>
                </c:pt>
                <c:pt idx="155">
                  <c:v>36495</c:v>
                </c:pt>
                <c:pt idx="156">
                  <c:v>36526</c:v>
                </c:pt>
                <c:pt idx="157">
                  <c:v>36557</c:v>
                </c:pt>
                <c:pt idx="158">
                  <c:v>36586</c:v>
                </c:pt>
                <c:pt idx="159">
                  <c:v>36617</c:v>
                </c:pt>
                <c:pt idx="160">
                  <c:v>36647</c:v>
                </c:pt>
                <c:pt idx="161">
                  <c:v>36678</c:v>
                </c:pt>
                <c:pt idx="162">
                  <c:v>36708</c:v>
                </c:pt>
                <c:pt idx="163">
                  <c:v>36739</c:v>
                </c:pt>
                <c:pt idx="164">
                  <c:v>36770</c:v>
                </c:pt>
                <c:pt idx="165">
                  <c:v>36800</c:v>
                </c:pt>
                <c:pt idx="166">
                  <c:v>36831</c:v>
                </c:pt>
                <c:pt idx="167">
                  <c:v>36861</c:v>
                </c:pt>
                <c:pt idx="168">
                  <c:v>36892</c:v>
                </c:pt>
                <c:pt idx="169">
                  <c:v>36923</c:v>
                </c:pt>
                <c:pt idx="170">
                  <c:v>36951</c:v>
                </c:pt>
                <c:pt idx="171">
                  <c:v>36982</c:v>
                </c:pt>
                <c:pt idx="172">
                  <c:v>37012</c:v>
                </c:pt>
                <c:pt idx="173">
                  <c:v>37043</c:v>
                </c:pt>
                <c:pt idx="174">
                  <c:v>37073</c:v>
                </c:pt>
                <c:pt idx="175">
                  <c:v>37104</c:v>
                </c:pt>
                <c:pt idx="176">
                  <c:v>37135</c:v>
                </c:pt>
                <c:pt idx="177">
                  <c:v>37165</c:v>
                </c:pt>
                <c:pt idx="178">
                  <c:v>37196</c:v>
                </c:pt>
                <c:pt idx="179">
                  <c:v>37226</c:v>
                </c:pt>
                <c:pt idx="180">
                  <c:v>37257</c:v>
                </c:pt>
                <c:pt idx="181">
                  <c:v>37288</c:v>
                </c:pt>
                <c:pt idx="182">
                  <c:v>37316</c:v>
                </c:pt>
                <c:pt idx="183">
                  <c:v>37347</c:v>
                </c:pt>
                <c:pt idx="184">
                  <c:v>37377</c:v>
                </c:pt>
                <c:pt idx="185">
                  <c:v>37408</c:v>
                </c:pt>
                <c:pt idx="186">
                  <c:v>37438</c:v>
                </c:pt>
                <c:pt idx="187">
                  <c:v>37469</c:v>
                </c:pt>
                <c:pt idx="188">
                  <c:v>37500</c:v>
                </c:pt>
                <c:pt idx="189">
                  <c:v>37530</c:v>
                </c:pt>
                <c:pt idx="190">
                  <c:v>37561</c:v>
                </c:pt>
                <c:pt idx="191">
                  <c:v>37591</c:v>
                </c:pt>
                <c:pt idx="192">
                  <c:v>37622</c:v>
                </c:pt>
                <c:pt idx="193">
                  <c:v>37653</c:v>
                </c:pt>
                <c:pt idx="194">
                  <c:v>37681</c:v>
                </c:pt>
                <c:pt idx="195">
                  <c:v>37712</c:v>
                </c:pt>
                <c:pt idx="196">
                  <c:v>37742</c:v>
                </c:pt>
                <c:pt idx="197">
                  <c:v>37773</c:v>
                </c:pt>
                <c:pt idx="198">
                  <c:v>37803</c:v>
                </c:pt>
                <c:pt idx="199">
                  <c:v>37834</c:v>
                </c:pt>
                <c:pt idx="200">
                  <c:v>37865</c:v>
                </c:pt>
                <c:pt idx="201">
                  <c:v>37895</c:v>
                </c:pt>
                <c:pt idx="202">
                  <c:v>37926</c:v>
                </c:pt>
                <c:pt idx="203">
                  <c:v>37956</c:v>
                </c:pt>
                <c:pt idx="204">
                  <c:v>37987</c:v>
                </c:pt>
                <c:pt idx="205">
                  <c:v>38018</c:v>
                </c:pt>
                <c:pt idx="206">
                  <c:v>38047</c:v>
                </c:pt>
                <c:pt idx="207">
                  <c:v>38078</c:v>
                </c:pt>
                <c:pt idx="208">
                  <c:v>38108</c:v>
                </c:pt>
                <c:pt idx="209">
                  <c:v>38139</c:v>
                </c:pt>
                <c:pt idx="210">
                  <c:v>38169</c:v>
                </c:pt>
                <c:pt idx="211">
                  <c:v>38200</c:v>
                </c:pt>
                <c:pt idx="212">
                  <c:v>38231</c:v>
                </c:pt>
                <c:pt idx="213">
                  <c:v>38261</c:v>
                </c:pt>
                <c:pt idx="214">
                  <c:v>38292</c:v>
                </c:pt>
                <c:pt idx="215">
                  <c:v>38322</c:v>
                </c:pt>
                <c:pt idx="216">
                  <c:v>38353</c:v>
                </c:pt>
                <c:pt idx="217">
                  <c:v>38384</c:v>
                </c:pt>
                <c:pt idx="218">
                  <c:v>38412</c:v>
                </c:pt>
                <c:pt idx="219">
                  <c:v>38443</c:v>
                </c:pt>
                <c:pt idx="220">
                  <c:v>38473</c:v>
                </c:pt>
                <c:pt idx="221">
                  <c:v>38504</c:v>
                </c:pt>
                <c:pt idx="222">
                  <c:v>38534</c:v>
                </c:pt>
                <c:pt idx="223">
                  <c:v>38565</c:v>
                </c:pt>
                <c:pt idx="224">
                  <c:v>38596</c:v>
                </c:pt>
                <c:pt idx="225">
                  <c:v>38626</c:v>
                </c:pt>
                <c:pt idx="226">
                  <c:v>38657</c:v>
                </c:pt>
                <c:pt idx="227">
                  <c:v>38687</c:v>
                </c:pt>
                <c:pt idx="228">
                  <c:v>38718</c:v>
                </c:pt>
                <c:pt idx="229">
                  <c:v>38749</c:v>
                </c:pt>
                <c:pt idx="230">
                  <c:v>38777</c:v>
                </c:pt>
                <c:pt idx="231">
                  <c:v>38808</c:v>
                </c:pt>
                <c:pt idx="232">
                  <c:v>38838</c:v>
                </c:pt>
                <c:pt idx="233">
                  <c:v>38869</c:v>
                </c:pt>
                <c:pt idx="234">
                  <c:v>38899</c:v>
                </c:pt>
                <c:pt idx="235">
                  <c:v>38930</c:v>
                </c:pt>
                <c:pt idx="236">
                  <c:v>38961</c:v>
                </c:pt>
                <c:pt idx="237">
                  <c:v>38991</c:v>
                </c:pt>
                <c:pt idx="238">
                  <c:v>39022</c:v>
                </c:pt>
                <c:pt idx="239">
                  <c:v>39052</c:v>
                </c:pt>
                <c:pt idx="240">
                  <c:v>39083</c:v>
                </c:pt>
                <c:pt idx="241">
                  <c:v>39114</c:v>
                </c:pt>
                <c:pt idx="242">
                  <c:v>39142</c:v>
                </c:pt>
                <c:pt idx="243">
                  <c:v>39173</c:v>
                </c:pt>
                <c:pt idx="244">
                  <c:v>39203</c:v>
                </c:pt>
                <c:pt idx="245">
                  <c:v>39234</c:v>
                </c:pt>
                <c:pt idx="246">
                  <c:v>39264</c:v>
                </c:pt>
                <c:pt idx="247">
                  <c:v>39295</c:v>
                </c:pt>
                <c:pt idx="248">
                  <c:v>39326</c:v>
                </c:pt>
                <c:pt idx="249">
                  <c:v>39356</c:v>
                </c:pt>
                <c:pt idx="250">
                  <c:v>39387</c:v>
                </c:pt>
                <c:pt idx="251">
                  <c:v>39417</c:v>
                </c:pt>
                <c:pt idx="252">
                  <c:v>39448</c:v>
                </c:pt>
                <c:pt idx="253">
                  <c:v>39479</c:v>
                </c:pt>
                <c:pt idx="254">
                  <c:v>39508</c:v>
                </c:pt>
                <c:pt idx="255">
                  <c:v>39539</c:v>
                </c:pt>
                <c:pt idx="256">
                  <c:v>39569</c:v>
                </c:pt>
                <c:pt idx="257">
                  <c:v>39600</c:v>
                </c:pt>
                <c:pt idx="258">
                  <c:v>39630</c:v>
                </c:pt>
                <c:pt idx="259">
                  <c:v>39661</c:v>
                </c:pt>
                <c:pt idx="260">
                  <c:v>39692</c:v>
                </c:pt>
                <c:pt idx="261">
                  <c:v>39722</c:v>
                </c:pt>
                <c:pt idx="262">
                  <c:v>39753</c:v>
                </c:pt>
                <c:pt idx="263">
                  <c:v>39783</c:v>
                </c:pt>
                <c:pt idx="264">
                  <c:v>39814</c:v>
                </c:pt>
                <c:pt idx="265">
                  <c:v>39845</c:v>
                </c:pt>
                <c:pt idx="266">
                  <c:v>39873</c:v>
                </c:pt>
                <c:pt idx="267">
                  <c:v>39904</c:v>
                </c:pt>
                <c:pt idx="268">
                  <c:v>39934</c:v>
                </c:pt>
                <c:pt idx="269">
                  <c:v>39965</c:v>
                </c:pt>
                <c:pt idx="270">
                  <c:v>39995</c:v>
                </c:pt>
                <c:pt idx="271">
                  <c:v>40026</c:v>
                </c:pt>
                <c:pt idx="272">
                  <c:v>40057</c:v>
                </c:pt>
                <c:pt idx="273">
                  <c:v>40087</c:v>
                </c:pt>
                <c:pt idx="274">
                  <c:v>40118</c:v>
                </c:pt>
                <c:pt idx="275">
                  <c:v>40148</c:v>
                </c:pt>
                <c:pt idx="276">
                  <c:v>40179</c:v>
                </c:pt>
                <c:pt idx="277">
                  <c:v>40210</c:v>
                </c:pt>
                <c:pt idx="278">
                  <c:v>40238</c:v>
                </c:pt>
                <c:pt idx="279">
                  <c:v>40269</c:v>
                </c:pt>
                <c:pt idx="280">
                  <c:v>40299</c:v>
                </c:pt>
                <c:pt idx="281">
                  <c:v>40330</c:v>
                </c:pt>
                <c:pt idx="282">
                  <c:v>40360</c:v>
                </c:pt>
                <c:pt idx="283">
                  <c:v>40391</c:v>
                </c:pt>
                <c:pt idx="284">
                  <c:v>40422</c:v>
                </c:pt>
                <c:pt idx="285">
                  <c:v>40452</c:v>
                </c:pt>
                <c:pt idx="286">
                  <c:v>40483</c:v>
                </c:pt>
                <c:pt idx="287">
                  <c:v>40513</c:v>
                </c:pt>
                <c:pt idx="288">
                  <c:v>40544</c:v>
                </c:pt>
                <c:pt idx="289">
                  <c:v>40575</c:v>
                </c:pt>
                <c:pt idx="290">
                  <c:v>40603</c:v>
                </c:pt>
                <c:pt idx="291">
                  <c:v>40634</c:v>
                </c:pt>
                <c:pt idx="292">
                  <c:v>40664</c:v>
                </c:pt>
                <c:pt idx="293">
                  <c:v>40695</c:v>
                </c:pt>
                <c:pt idx="294">
                  <c:v>40725</c:v>
                </c:pt>
                <c:pt idx="295">
                  <c:v>40756</c:v>
                </c:pt>
                <c:pt idx="296">
                  <c:v>40787</c:v>
                </c:pt>
                <c:pt idx="297">
                  <c:v>40817</c:v>
                </c:pt>
                <c:pt idx="298">
                  <c:v>40848</c:v>
                </c:pt>
                <c:pt idx="299">
                  <c:v>40878</c:v>
                </c:pt>
                <c:pt idx="300">
                  <c:v>40909</c:v>
                </c:pt>
                <c:pt idx="301">
                  <c:v>40940</c:v>
                </c:pt>
                <c:pt idx="302">
                  <c:v>40969</c:v>
                </c:pt>
                <c:pt idx="303">
                  <c:v>41000</c:v>
                </c:pt>
                <c:pt idx="304">
                  <c:v>41030</c:v>
                </c:pt>
                <c:pt idx="305">
                  <c:v>41061</c:v>
                </c:pt>
                <c:pt idx="306">
                  <c:v>41091</c:v>
                </c:pt>
                <c:pt idx="307">
                  <c:v>41122</c:v>
                </c:pt>
                <c:pt idx="308">
                  <c:v>41153</c:v>
                </c:pt>
                <c:pt idx="309">
                  <c:v>41183</c:v>
                </c:pt>
                <c:pt idx="310">
                  <c:v>41214</c:v>
                </c:pt>
                <c:pt idx="311">
                  <c:v>41244</c:v>
                </c:pt>
                <c:pt idx="312">
                  <c:v>41275</c:v>
                </c:pt>
                <c:pt idx="313">
                  <c:v>41306</c:v>
                </c:pt>
                <c:pt idx="314">
                  <c:v>41334</c:v>
                </c:pt>
                <c:pt idx="315">
                  <c:v>41365</c:v>
                </c:pt>
                <c:pt idx="316">
                  <c:v>41395</c:v>
                </c:pt>
                <c:pt idx="317">
                  <c:v>41426</c:v>
                </c:pt>
                <c:pt idx="318">
                  <c:v>41456</c:v>
                </c:pt>
                <c:pt idx="319">
                  <c:v>41487</c:v>
                </c:pt>
                <c:pt idx="320">
                  <c:v>41518</c:v>
                </c:pt>
                <c:pt idx="321">
                  <c:v>41548</c:v>
                </c:pt>
                <c:pt idx="322">
                  <c:v>41579</c:v>
                </c:pt>
                <c:pt idx="323">
                  <c:v>41609</c:v>
                </c:pt>
                <c:pt idx="324">
                  <c:v>41640</c:v>
                </c:pt>
                <c:pt idx="325">
                  <c:v>41671</c:v>
                </c:pt>
                <c:pt idx="326">
                  <c:v>41699</c:v>
                </c:pt>
                <c:pt idx="327">
                  <c:v>41730</c:v>
                </c:pt>
                <c:pt idx="328">
                  <c:v>41760</c:v>
                </c:pt>
                <c:pt idx="329">
                  <c:v>41791</c:v>
                </c:pt>
                <c:pt idx="330">
                  <c:v>41821</c:v>
                </c:pt>
                <c:pt idx="331">
                  <c:v>41852</c:v>
                </c:pt>
                <c:pt idx="332">
                  <c:v>41883</c:v>
                </c:pt>
                <c:pt idx="333">
                  <c:v>41913</c:v>
                </c:pt>
                <c:pt idx="334">
                  <c:v>41944</c:v>
                </c:pt>
                <c:pt idx="335">
                  <c:v>41974</c:v>
                </c:pt>
                <c:pt idx="336">
                  <c:v>42005</c:v>
                </c:pt>
                <c:pt idx="337">
                  <c:v>42036</c:v>
                </c:pt>
                <c:pt idx="338">
                  <c:v>42064</c:v>
                </c:pt>
                <c:pt idx="339">
                  <c:v>42095</c:v>
                </c:pt>
                <c:pt idx="340">
                  <c:v>42125</c:v>
                </c:pt>
                <c:pt idx="341">
                  <c:v>42156</c:v>
                </c:pt>
                <c:pt idx="342">
                  <c:v>42186</c:v>
                </c:pt>
                <c:pt idx="343">
                  <c:v>42217</c:v>
                </c:pt>
                <c:pt idx="344">
                  <c:v>42248</c:v>
                </c:pt>
                <c:pt idx="345">
                  <c:v>42278</c:v>
                </c:pt>
                <c:pt idx="346">
                  <c:v>42309</c:v>
                </c:pt>
                <c:pt idx="347">
                  <c:v>42339</c:v>
                </c:pt>
                <c:pt idx="348">
                  <c:v>42370</c:v>
                </c:pt>
                <c:pt idx="349">
                  <c:v>42401</c:v>
                </c:pt>
                <c:pt idx="350">
                  <c:v>42430</c:v>
                </c:pt>
                <c:pt idx="351">
                  <c:v>42461</c:v>
                </c:pt>
                <c:pt idx="352">
                  <c:v>42491</c:v>
                </c:pt>
                <c:pt idx="353">
                  <c:v>42522</c:v>
                </c:pt>
                <c:pt idx="354">
                  <c:v>42552</c:v>
                </c:pt>
                <c:pt idx="355">
                  <c:v>42583</c:v>
                </c:pt>
                <c:pt idx="356">
                  <c:v>42614</c:v>
                </c:pt>
                <c:pt idx="357">
                  <c:v>42644</c:v>
                </c:pt>
                <c:pt idx="358">
                  <c:v>42675</c:v>
                </c:pt>
                <c:pt idx="359">
                  <c:v>42705</c:v>
                </c:pt>
                <c:pt idx="360">
                  <c:v>42736</c:v>
                </c:pt>
                <c:pt idx="361">
                  <c:v>42767</c:v>
                </c:pt>
                <c:pt idx="362">
                  <c:v>42795</c:v>
                </c:pt>
                <c:pt idx="363">
                  <c:v>42826</c:v>
                </c:pt>
                <c:pt idx="364">
                  <c:v>42856</c:v>
                </c:pt>
                <c:pt idx="365">
                  <c:v>42887</c:v>
                </c:pt>
                <c:pt idx="366">
                  <c:v>42917</c:v>
                </c:pt>
                <c:pt idx="367">
                  <c:v>42948</c:v>
                </c:pt>
                <c:pt idx="368">
                  <c:v>42979</c:v>
                </c:pt>
                <c:pt idx="369">
                  <c:v>43009</c:v>
                </c:pt>
                <c:pt idx="370">
                  <c:v>43040</c:v>
                </c:pt>
                <c:pt idx="371">
                  <c:v>43070</c:v>
                </c:pt>
                <c:pt idx="372">
                  <c:v>43101</c:v>
                </c:pt>
                <c:pt idx="373">
                  <c:v>43132</c:v>
                </c:pt>
                <c:pt idx="374">
                  <c:v>43160</c:v>
                </c:pt>
                <c:pt idx="375">
                  <c:v>43191</c:v>
                </c:pt>
                <c:pt idx="376">
                  <c:v>43221</c:v>
                </c:pt>
                <c:pt idx="377">
                  <c:v>43252</c:v>
                </c:pt>
                <c:pt idx="378">
                  <c:v>43282</c:v>
                </c:pt>
                <c:pt idx="379">
                  <c:v>43313</c:v>
                </c:pt>
                <c:pt idx="380">
                  <c:v>43344</c:v>
                </c:pt>
                <c:pt idx="381">
                  <c:v>43374</c:v>
                </c:pt>
                <c:pt idx="382">
                  <c:v>43405</c:v>
                </c:pt>
                <c:pt idx="383">
                  <c:v>43435</c:v>
                </c:pt>
                <c:pt idx="384">
                  <c:v>43466</c:v>
                </c:pt>
                <c:pt idx="385">
                  <c:v>43497</c:v>
                </c:pt>
                <c:pt idx="386">
                  <c:v>43525</c:v>
                </c:pt>
                <c:pt idx="387">
                  <c:v>43556</c:v>
                </c:pt>
                <c:pt idx="388">
                  <c:v>43586</c:v>
                </c:pt>
                <c:pt idx="389">
                  <c:v>43617</c:v>
                </c:pt>
                <c:pt idx="390">
                  <c:v>43647</c:v>
                </c:pt>
                <c:pt idx="391">
                  <c:v>43678</c:v>
                </c:pt>
                <c:pt idx="392">
                  <c:v>43709</c:v>
                </c:pt>
                <c:pt idx="393">
                  <c:v>43739</c:v>
                </c:pt>
                <c:pt idx="394">
                  <c:v>43770</c:v>
                </c:pt>
                <c:pt idx="395">
                  <c:v>43800</c:v>
                </c:pt>
                <c:pt idx="396">
                  <c:v>43831</c:v>
                </c:pt>
                <c:pt idx="397">
                  <c:v>43862</c:v>
                </c:pt>
                <c:pt idx="398">
                  <c:v>43891</c:v>
                </c:pt>
                <c:pt idx="399">
                  <c:v>43922</c:v>
                </c:pt>
                <c:pt idx="400">
                  <c:v>43952</c:v>
                </c:pt>
                <c:pt idx="401">
                  <c:v>43983</c:v>
                </c:pt>
                <c:pt idx="402">
                  <c:v>44013</c:v>
                </c:pt>
                <c:pt idx="403">
                  <c:v>44044</c:v>
                </c:pt>
                <c:pt idx="404">
                  <c:v>44075</c:v>
                </c:pt>
                <c:pt idx="405">
                  <c:v>44105</c:v>
                </c:pt>
                <c:pt idx="406">
                  <c:v>44136</c:v>
                </c:pt>
                <c:pt idx="407">
                  <c:v>44166</c:v>
                </c:pt>
                <c:pt idx="408">
                  <c:v>44197</c:v>
                </c:pt>
                <c:pt idx="409">
                  <c:v>44228</c:v>
                </c:pt>
                <c:pt idx="410">
                  <c:v>44256</c:v>
                </c:pt>
                <c:pt idx="411">
                  <c:v>44287</c:v>
                </c:pt>
                <c:pt idx="412">
                  <c:v>44317</c:v>
                </c:pt>
                <c:pt idx="413">
                  <c:v>44348</c:v>
                </c:pt>
                <c:pt idx="414">
                  <c:v>44378</c:v>
                </c:pt>
                <c:pt idx="415">
                  <c:v>44409</c:v>
                </c:pt>
                <c:pt idx="416">
                  <c:v>44440</c:v>
                </c:pt>
                <c:pt idx="417">
                  <c:v>44470</c:v>
                </c:pt>
                <c:pt idx="418">
                  <c:v>44501</c:v>
                </c:pt>
                <c:pt idx="419">
                  <c:v>44531</c:v>
                </c:pt>
                <c:pt idx="420">
                  <c:v>44562</c:v>
                </c:pt>
                <c:pt idx="421">
                  <c:v>44593</c:v>
                </c:pt>
                <c:pt idx="422">
                  <c:v>44621</c:v>
                </c:pt>
                <c:pt idx="423">
                  <c:v>44652</c:v>
                </c:pt>
                <c:pt idx="424">
                  <c:v>44682</c:v>
                </c:pt>
                <c:pt idx="425">
                  <c:v>44713</c:v>
                </c:pt>
                <c:pt idx="426">
                  <c:v>44743</c:v>
                </c:pt>
                <c:pt idx="427">
                  <c:v>44774</c:v>
                </c:pt>
                <c:pt idx="428">
                  <c:v>44805</c:v>
                </c:pt>
                <c:pt idx="429">
                  <c:v>44835</c:v>
                </c:pt>
                <c:pt idx="430">
                  <c:v>44866</c:v>
                </c:pt>
                <c:pt idx="431">
                  <c:v>44896</c:v>
                </c:pt>
                <c:pt idx="432">
                  <c:v>44927</c:v>
                </c:pt>
                <c:pt idx="433">
                  <c:v>44958</c:v>
                </c:pt>
                <c:pt idx="434">
                  <c:v>44986</c:v>
                </c:pt>
                <c:pt idx="435">
                  <c:v>45017</c:v>
                </c:pt>
                <c:pt idx="436">
                  <c:v>45047</c:v>
                </c:pt>
                <c:pt idx="437">
                  <c:v>45078</c:v>
                </c:pt>
                <c:pt idx="438">
                  <c:v>45108</c:v>
                </c:pt>
                <c:pt idx="439">
                  <c:v>45139</c:v>
                </c:pt>
                <c:pt idx="440">
                  <c:v>45170</c:v>
                </c:pt>
                <c:pt idx="441">
                  <c:v>45200</c:v>
                </c:pt>
                <c:pt idx="442">
                  <c:v>45231</c:v>
                </c:pt>
                <c:pt idx="443">
                  <c:v>45261</c:v>
                </c:pt>
              </c:numCache>
            </c:numRef>
          </c:cat>
          <c:val>
            <c:numRef>
              <c:f>'Housing Market'!$U$471:$U$758</c:f>
              <c:numCache>
                <c:formatCode>0.0%</c:formatCode>
                <c:ptCount val="288"/>
                <c:pt idx="0">
                  <c:v>7.8585758353646673E-2</c:v>
                </c:pt>
                <c:pt idx="1">
                  <c:v>8.1629580236822541E-2</c:v>
                </c:pt>
                <c:pt idx="2">
                  <c:v>8.3911078826206298E-2</c:v>
                </c:pt>
                <c:pt idx="3">
                  <c:v>8.5814731670125877E-2</c:v>
                </c:pt>
                <c:pt idx="4">
                  <c:v>8.7479026845637797E-2</c:v>
                </c:pt>
                <c:pt idx="5">
                  <c:v>8.8125110260162121E-2</c:v>
                </c:pt>
                <c:pt idx="6">
                  <c:v>8.7754136142892403E-2</c:v>
                </c:pt>
                <c:pt idx="7">
                  <c:v>8.8102801924471619E-2</c:v>
                </c:pt>
                <c:pt idx="8">
                  <c:v>8.8781390054776921E-2</c:v>
                </c:pt>
                <c:pt idx="9">
                  <c:v>9.0011332361987773E-2</c:v>
                </c:pt>
                <c:pt idx="10">
                  <c:v>9.2204661670818533E-2</c:v>
                </c:pt>
                <c:pt idx="11">
                  <c:v>9.2904573902735654E-2</c:v>
                </c:pt>
                <c:pt idx="12">
                  <c:v>9.2139999999999889E-2</c:v>
                </c:pt>
                <c:pt idx="13">
                  <c:v>9.0194986626363605E-2</c:v>
                </c:pt>
                <c:pt idx="14">
                  <c:v>8.7990065637750359E-2</c:v>
                </c:pt>
                <c:pt idx="15">
                  <c:v>8.4922956894870172E-2</c:v>
                </c:pt>
                <c:pt idx="16">
                  <c:v>8.1975275308094009E-2</c:v>
                </c:pt>
                <c:pt idx="17">
                  <c:v>8.0272757617662505E-2</c:v>
                </c:pt>
                <c:pt idx="18">
                  <c:v>8.044759319340522E-2</c:v>
                </c:pt>
                <c:pt idx="19">
                  <c:v>7.947654005745286E-2</c:v>
                </c:pt>
                <c:pt idx="20">
                  <c:v>7.7752368507023828E-2</c:v>
                </c:pt>
                <c:pt idx="21">
                  <c:v>7.3824818060300057E-2</c:v>
                </c:pt>
                <c:pt idx="22">
                  <c:v>6.9701083192509117E-2</c:v>
                </c:pt>
                <c:pt idx="23">
                  <c:v>6.6779421091818225E-2</c:v>
                </c:pt>
                <c:pt idx="24">
                  <c:v>6.6136209643452348E-2</c:v>
                </c:pt>
                <c:pt idx="25">
                  <c:v>6.6343189653599755E-2</c:v>
                </c:pt>
                <c:pt idx="26">
                  <c:v>6.8255521133395058E-2</c:v>
                </c:pt>
                <c:pt idx="27">
                  <c:v>7.1551848123112327E-2</c:v>
                </c:pt>
                <c:pt idx="28">
                  <c:v>7.6513105710185991E-2</c:v>
                </c:pt>
                <c:pt idx="29">
                  <c:v>7.9993290486616297E-2</c:v>
                </c:pt>
                <c:pt idx="30">
                  <c:v>8.2827027121671115E-2</c:v>
                </c:pt>
                <c:pt idx="31">
                  <c:v>8.4713187463039574E-2</c:v>
                </c:pt>
                <c:pt idx="32">
                  <c:v>8.6857489282466505E-2</c:v>
                </c:pt>
                <c:pt idx="33">
                  <c:v>9.0377849430762325E-2</c:v>
                </c:pt>
                <c:pt idx="34">
                  <c:v>9.3258747054101088E-2</c:v>
                </c:pt>
                <c:pt idx="35">
                  <c:v>9.5600399806989866E-2</c:v>
                </c:pt>
                <c:pt idx="36">
                  <c:v>9.6318180647045004E-2</c:v>
                </c:pt>
                <c:pt idx="37">
                  <c:v>9.7591433165691521E-2</c:v>
                </c:pt>
                <c:pt idx="38">
                  <c:v>9.6490261089299478E-2</c:v>
                </c:pt>
                <c:pt idx="39">
                  <c:v>9.4624521844171472E-2</c:v>
                </c:pt>
                <c:pt idx="40">
                  <c:v>9.1490876577143387E-2</c:v>
                </c:pt>
                <c:pt idx="41">
                  <c:v>8.9035664947315851E-2</c:v>
                </c:pt>
                <c:pt idx="42">
                  <c:v>8.8610767501839272E-2</c:v>
                </c:pt>
                <c:pt idx="43">
                  <c:v>9.0083300595691584E-2</c:v>
                </c:pt>
                <c:pt idx="44">
                  <c:v>9.2291264921032123E-2</c:v>
                </c:pt>
                <c:pt idx="45">
                  <c:v>9.3866937274053264E-2</c:v>
                </c:pt>
                <c:pt idx="46">
                  <c:v>9.57265362202111E-2</c:v>
                </c:pt>
                <c:pt idx="47">
                  <c:v>9.8127423299855909E-2</c:v>
                </c:pt>
                <c:pt idx="48">
                  <c:v>0.10226240090245375</c:v>
                </c:pt>
                <c:pt idx="49">
                  <c:v>0.10678272524663757</c:v>
                </c:pt>
                <c:pt idx="50">
                  <c:v>0.11423887153153722</c:v>
                </c:pt>
                <c:pt idx="51">
                  <c:v>0.12025626877567297</c:v>
                </c:pt>
                <c:pt idx="52">
                  <c:v>0.12511472326094708</c:v>
                </c:pt>
                <c:pt idx="53">
                  <c:v>0.12980296490898868</c:v>
                </c:pt>
                <c:pt idx="54">
                  <c:v>0.13138057290544913</c:v>
                </c:pt>
                <c:pt idx="55">
                  <c:v>0.13126907660059572</c:v>
                </c:pt>
                <c:pt idx="56">
                  <c:v>0.13154016749832209</c:v>
                </c:pt>
                <c:pt idx="57">
                  <c:v>0.13279121006551864</c:v>
                </c:pt>
                <c:pt idx="58">
                  <c:v>0.13498360537599563</c:v>
                </c:pt>
                <c:pt idx="59">
                  <c:v>0.13636949608960958</c:v>
                </c:pt>
                <c:pt idx="60">
                  <c:v>0.13803960030133733</c:v>
                </c:pt>
                <c:pt idx="61">
                  <c:v>0.14006998570714435</c:v>
                </c:pt>
                <c:pt idx="62">
                  <c:v>0.14224736257634629</c:v>
                </c:pt>
                <c:pt idx="63">
                  <c:v>0.14242030373512127</c:v>
                </c:pt>
                <c:pt idx="64">
                  <c:v>0.1429881214017017</c:v>
                </c:pt>
                <c:pt idx="65">
                  <c:v>0.14282012782524345</c:v>
                </c:pt>
                <c:pt idx="66">
                  <c:v>0.14284776515226083</c:v>
                </c:pt>
                <c:pt idx="67">
                  <c:v>0.14374597725809912</c:v>
                </c:pt>
                <c:pt idx="68">
                  <c:v>0.14508049282108493</c:v>
                </c:pt>
                <c:pt idx="69">
                  <c:v>0.14365506916275295</c:v>
                </c:pt>
                <c:pt idx="70">
                  <c:v>0.14080992533143699</c:v>
                </c:pt>
                <c:pt idx="71">
                  <c:v>0.13510515601661321</c:v>
                </c:pt>
                <c:pt idx="72">
                  <c:v>0.12925828550730989</c:v>
                </c:pt>
                <c:pt idx="73">
                  <c:v>0.12089696954725415</c:v>
                </c:pt>
                <c:pt idx="74">
                  <c:v>0.11042989518456658</c:v>
                </c:pt>
                <c:pt idx="75">
                  <c:v>9.9695207755734927E-2</c:v>
                </c:pt>
                <c:pt idx="76">
                  <c:v>8.7505308356532696E-2</c:v>
                </c:pt>
                <c:pt idx="77">
                  <c:v>7.2854111560038515E-2</c:v>
                </c:pt>
                <c:pt idx="78">
                  <c:v>6.0362554423370796E-2</c:v>
                </c:pt>
                <c:pt idx="79">
                  <c:v>4.8208591258675826E-2</c:v>
                </c:pt>
                <c:pt idx="80">
                  <c:v>3.708687573897862E-2</c:v>
                </c:pt>
                <c:pt idx="81">
                  <c:v>2.9661372523790197E-2</c:v>
                </c:pt>
                <c:pt idx="82">
                  <c:v>2.2023342405369739E-2</c:v>
                </c:pt>
                <c:pt idx="83">
                  <c:v>1.7334236505169187E-2</c:v>
                </c:pt>
                <c:pt idx="84">
                  <c:v>1.0457509110918028E-2</c:v>
                </c:pt>
                <c:pt idx="85">
                  <c:v>5.3498917349406039E-3</c:v>
                </c:pt>
                <c:pt idx="86">
                  <c:v>-3.0424243087515679E-3</c:v>
                </c:pt>
                <c:pt idx="87">
                  <c:v>-8.2603676598711484E-3</c:v>
                </c:pt>
                <c:pt idx="88">
                  <c:v>-1.3537260006508234E-2</c:v>
                </c:pt>
                <c:pt idx="89">
                  <c:v>-1.6293952218134122E-2</c:v>
                </c:pt>
                <c:pt idx="90">
                  <c:v>-1.9576722442810945E-2</c:v>
                </c:pt>
                <c:pt idx="91">
                  <c:v>-2.2613392334222771E-2</c:v>
                </c:pt>
                <c:pt idx="92">
                  <c:v>-2.7557452075766875E-2</c:v>
                </c:pt>
                <c:pt idx="93">
                  <c:v>-3.5446311660228158E-2</c:v>
                </c:pt>
                <c:pt idx="94">
                  <c:v>-4.61199150465611E-2</c:v>
                </c:pt>
                <c:pt idx="95">
                  <c:v>-5.3981924160062644E-2</c:v>
                </c:pt>
                <c:pt idx="96">
                  <c:v>-6.3715671143510733E-2</c:v>
                </c:pt>
                <c:pt idx="97">
                  <c:v>-7.2779086973201124E-2</c:v>
                </c:pt>
                <c:pt idx="98">
                  <c:v>-7.8438798417063027E-2</c:v>
                </c:pt>
                <c:pt idx="99">
                  <c:v>-8.1309606821463487E-2</c:v>
                </c:pt>
                <c:pt idx="100">
                  <c:v>-8.1722416485232374E-2</c:v>
                </c:pt>
                <c:pt idx="101">
                  <c:v>-8.2648452131761752E-2</c:v>
                </c:pt>
                <c:pt idx="102">
                  <c:v>-8.4423154486637619E-2</c:v>
                </c:pt>
                <c:pt idx="103">
                  <c:v>-8.8534904623988719E-2</c:v>
                </c:pt>
                <c:pt idx="104">
                  <c:v>-9.6074720440372574E-2</c:v>
                </c:pt>
                <c:pt idx="105">
                  <c:v>-0.10345915315244281</c:v>
                </c:pt>
                <c:pt idx="106">
                  <c:v>-0.10898544767385421</c:v>
                </c:pt>
                <c:pt idx="107">
                  <c:v>-0.11995707783104603</c:v>
                </c:pt>
                <c:pt idx="108">
                  <c:v>-0.12693188992026938</c:v>
                </c:pt>
                <c:pt idx="109">
                  <c:v>-0.12750753590637731</c:v>
                </c:pt>
                <c:pt idx="110">
                  <c:v>-0.12738383104429962</c:v>
                </c:pt>
                <c:pt idx="111">
                  <c:v>-0.1218010781606722</c:v>
                </c:pt>
                <c:pt idx="112">
                  <c:v>-0.11286672254819796</c:v>
                </c:pt>
                <c:pt idx="113">
                  <c:v>-0.10051880674448754</c:v>
                </c:pt>
                <c:pt idx="114">
                  <c:v>-9.0306735138462324E-2</c:v>
                </c:pt>
                <c:pt idx="115">
                  <c:v>-8.284178552079724E-2</c:v>
                </c:pt>
                <c:pt idx="116">
                  <c:v>-7.5874549137803227E-2</c:v>
                </c:pt>
                <c:pt idx="117">
                  <c:v>-6.646058732612059E-2</c:v>
                </c:pt>
                <c:pt idx="118">
                  <c:v>-5.2104490904780532E-2</c:v>
                </c:pt>
                <c:pt idx="119">
                  <c:v>-3.8546255506607952E-2</c:v>
                </c:pt>
                <c:pt idx="120">
                  <c:v>-2.9177630037292235E-2</c:v>
                </c:pt>
                <c:pt idx="121">
                  <c:v>-3.0911073927799793E-2</c:v>
                </c:pt>
                <c:pt idx="122">
                  <c:v>-1.9916185483981108E-2</c:v>
                </c:pt>
                <c:pt idx="123">
                  <c:v>-1.0466714758204043E-2</c:v>
                </c:pt>
                <c:pt idx="124">
                  <c:v>-7.6196775303875031E-3</c:v>
                </c:pt>
                <c:pt idx="125">
                  <c:v>-1.3958984218537029E-2</c:v>
                </c:pt>
                <c:pt idx="126">
                  <c:v>-2.110807440231377E-2</c:v>
                </c:pt>
                <c:pt idx="127">
                  <c:v>-2.812806966310033E-2</c:v>
                </c:pt>
                <c:pt idx="128">
                  <c:v>-3.3523361425411347E-2</c:v>
                </c:pt>
                <c:pt idx="129">
                  <c:v>-3.6706509449200508E-2</c:v>
                </c:pt>
                <c:pt idx="130">
                  <c:v>-4.1368401841299529E-2</c:v>
                </c:pt>
                <c:pt idx="131">
                  <c:v>-4.1155293732613285E-2</c:v>
                </c:pt>
                <c:pt idx="132">
                  <c:v>-4.1150872740563837E-2</c:v>
                </c:pt>
                <c:pt idx="133">
                  <c:v>-3.7202734631677559E-2</c:v>
                </c:pt>
                <c:pt idx="134">
                  <c:v>-4.0467701050168614E-2</c:v>
                </c:pt>
                <c:pt idx="135">
                  <c:v>-4.2956177271601947E-2</c:v>
                </c:pt>
                <c:pt idx="136">
                  <c:v>-4.3165125136017446E-2</c:v>
                </c:pt>
                <c:pt idx="137">
                  <c:v>-3.8996648725500238E-2</c:v>
                </c:pt>
                <c:pt idx="138">
                  <c:v>-3.5394332027702924E-2</c:v>
                </c:pt>
                <c:pt idx="139">
                  <c:v>-3.171481253841435E-2</c:v>
                </c:pt>
                <c:pt idx="140">
                  <c:v>-3.0716888756733618E-2</c:v>
                </c:pt>
                <c:pt idx="141">
                  <c:v>-3.297701390344443E-2</c:v>
                </c:pt>
                <c:pt idx="142">
                  <c:v>-3.6335046784986447E-2</c:v>
                </c:pt>
                <c:pt idx="143">
                  <c:v>-3.8832949341525036E-2</c:v>
                </c:pt>
                <c:pt idx="144">
                  <c:v>-3.5012514744382717E-2</c:v>
                </c:pt>
                <c:pt idx="145">
                  <c:v>-2.7117881102430741E-2</c:v>
                </c:pt>
                <c:pt idx="146">
                  <c:v>-1.3934753420183577E-2</c:v>
                </c:pt>
                <c:pt idx="147">
                  <c:v>-4.9368343896863953E-3</c:v>
                </c:pt>
                <c:pt idx="148">
                  <c:v>2.5232243253041631E-3</c:v>
                </c:pt>
                <c:pt idx="149">
                  <c:v>8.623058226777891E-3</c:v>
                </c:pt>
                <c:pt idx="150">
                  <c:v>1.3629050954384825E-2</c:v>
                </c:pt>
                <c:pt idx="151">
                  <c:v>2.0594416938202853E-2</c:v>
                </c:pt>
                <c:pt idx="152">
                  <c:v>2.9878218436316217E-2</c:v>
                </c:pt>
                <c:pt idx="153">
                  <c:v>4.014883317679363E-2</c:v>
                </c:pt>
                <c:pt idx="154">
                  <c:v>5.3363674944755912E-2</c:v>
                </c:pt>
                <c:pt idx="155">
                  <c:v>6.4357424519298378E-2</c:v>
                </c:pt>
                <c:pt idx="156">
                  <c:v>7.5591795361039882E-2</c:v>
                </c:pt>
                <c:pt idx="157">
                  <c:v>8.3315298103688873E-2</c:v>
                </c:pt>
                <c:pt idx="158">
                  <c:v>8.9022191145622376E-2</c:v>
                </c:pt>
                <c:pt idx="159">
                  <c:v>9.0249944031602247E-2</c:v>
                </c:pt>
                <c:pt idx="160">
                  <c:v>9.0827236118200982E-2</c:v>
                </c:pt>
                <c:pt idx="161">
                  <c:v>9.2603845804608786E-2</c:v>
                </c:pt>
                <c:pt idx="162">
                  <c:v>9.7052320786232826E-2</c:v>
                </c:pt>
                <c:pt idx="163">
                  <c:v>0.10150235650214912</c:v>
                </c:pt>
                <c:pt idx="164">
                  <c:v>0.10609114902637207</c:v>
                </c:pt>
                <c:pt idx="165">
                  <c:v>0.10828175901421844</c:v>
                </c:pt>
                <c:pt idx="166">
                  <c:v>0.10700963468765412</c:v>
                </c:pt>
                <c:pt idx="167">
                  <c:v>0.1071483185742288</c:v>
                </c:pt>
                <c:pt idx="168">
                  <c:v>0.10434481324925504</c:v>
                </c:pt>
                <c:pt idx="169">
                  <c:v>0.10133575822707197</c:v>
                </c:pt>
                <c:pt idx="170">
                  <c:v>8.9402541227358689E-2</c:v>
                </c:pt>
                <c:pt idx="171">
                  <c:v>7.9487043611891295E-2</c:v>
                </c:pt>
                <c:pt idx="172">
                  <c:v>7.0350125764498506E-2</c:v>
                </c:pt>
                <c:pt idx="173">
                  <c:v>6.2553139803230851E-2</c:v>
                </c:pt>
                <c:pt idx="174">
                  <c:v>5.5911451423372949E-2</c:v>
                </c:pt>
                <c:pt idx="175">
                  <c:v>5.0547699411521041E-2</c:v>
                </c:pt>
                <c:pt idx="176">
                  <c:v>4.7403427025402012E-2</c:v>
                </c:pt>
                <c:pt idx="177">
                  <c:v>4.6090400862393022E-2</c:v>
                </c:pt>
                <c:pt idx="178">
                  <c:v>4.5763158555257144E-2</c:v>
                </c:pt>
                <c:pt idx="179">
                  <c:v>4.5065010892699098E-2</c:v>
                </c:pt>
                <c:pt idx="180">
                  <c:v>4.3176798353496526E-2</c:v>
                </c:pt>
                <c:pt idx="181">
                  <c:v>4.227783650568262E-2</c:v>
                </c:pt>
                <c:pt idx="182">
                  <c:v>4.2807156860312112E-2</c:v>
                </c:pt>
                <c:pt idx="183">
                  <c:v>4.2959353983604398E-2</c:v>
                </c:pt>
                <c:pt idx="184">
                  <c:v>4.3519974739347767E-2</c:v>
                </c:pt>
                <c:pt idx="185">
                  <c:v>4.3546795658556459E-2</c:v>
                </c:pt>
                <c:pt idx="186">
                  <c:v>4.4035994639096243E-2</c:v>
                </c:pt>
                <c:pt idx="187">
                  <c:v>4.4711587270305886E-2</c:v>
                </c:pt>
                <c:pt idx="188">
                  <c:v>4.6657219222559165E-2</c:v>
                </c:pt>
                <c:pt idx="189">
                  <c:v>4.8762806302798056E-2</c:v>
                </c:pt>
                <c:pt idx="190">
                  <c:v>5.0906952603250843E-2</c:v>
                </c:pt>
                <c:pt idx="191">
                  <c:v>5.1994785502736507E-2</c:v>
                </c:pt>
                <c:pt idx="192">
                  <c:v>5.2842423112319459E-2</c:v>
                </c:pt>
                <c:pt idx="193">
                  <c:v>5.1905419192222357E-2</c:v>
                </c:pt>
                <c:pt idx="194">
                  <c:v>5.0640140878587481E-2</c:v>
                </c:pt>
                <c:pt idx="195">
                  <c:v>5.0156204955021266E-2</c:v>
                </c:pt>
                <c:pt idx="196">
                  <c:v>4.9421006691882319E-2</c:v>
                </c:pt>
                <c:pt idx="197">
                  <c:v>4.8797924473911847E-2</c:v>
                </c:pt>
                <c:pt idx="198">
                  <c:v>4.8826334128003079E-2</c:v>
                </c:pt>
                <c:pt idx="199">
                  <c:v>4.982336599252335E-2</c:v>
                </c:pt>
                <c:pt idx="200">
                  <c:v>5.0844359132560912E-2</c:v>
                </c:pt>
                <c:pt idx="201">
                  <c:v>5.1237082188415828E-2</c:v>
                </c:pt>
                <c:pt idx="202">
                  <c:v>5.1901039733700305E-2</c:v>
                </c:pt>
                <c:pt idx="203">
                  <c:v>5.3045444681750098E-2</c:v>
                </c:pt>
                <c:pt idx="204">
                  <c:v>5.4960750482763387E-2</c:v>
                </c:pt>
                <c:pt idx="205">
                  <c:v>5.5574255900592728E-2</c:v>
                </c:pt>
                <c:pt idx="206">
                  <c:v>5.6223103057757795E-2</c:v>
                </c:pt>
                <c:pt idx="207">
                  <c:v>5.6298811164520846E-2</c:v>
                </c:pt>
                <c:pt idx="208">
                  <c:v>5.6542255590735557E-2</c:v>
                </c:pt>
                <c:pt idx="209">
                  <c:v>5.6911507635476033E-2</c:v>
                </c:pt>
                <c:pt idx="210">
                  <c:v>5.7350177033701932E-2</c:v>
                </c:pt>
                <c:pt idx="211">
                  <c:v>5.8223616147756063E-2</c:v>
                </c:pt>
                <c:pt idx="212">
                  <c:v>5.9115817857608555E-2</c:v>
                </c:pt>
                <c:pt idx="213">
                  <c:v>6.0140855785847158E-2</c:v>
                </c:pt>
                <c:pt idx="214">
                  <c:v>6.0907230596370932E-2</c:v>
                </c:pt>
                <c:pt idx="215">
                  <c:v>6.2065150783880974E-2</c:v>
                </c:pt>
                <c:pt idx="216">
                  <c:v>6.206201869442296E-2</c:v>
                </c:pt>
                <c:pt idx="217">
                  <c:v>6.4214679494108529E-2</c:v>
                </c:pt>
                <c:pt idx="218">
                  <c:v>6.4552964954510905E-2</c:v>
                </c:pt>
                <c:pt idx="219">
                  <c:v>6.4027834499291947E-2</c:v>
                </c:pt>
                <c:pt idx="220">
                  <c:v>6.2522305027815639E-2</c:v>
                </c:pt>
                <c:pt idx="221">
                  <c:v>6.1248160110679573E-2</c:v>
                </c:pt>
                <c:pt idx="222">
                  <c:v>5.910744553309355E-2</c:v>
                </c:pt>
                <c:pt idx="223">
                  <c:v>5.6496884438658634E-2</c:v>
                </c:pt>
                <c:pt idx="224">
                  <c:v>5.4178771982055007E-2</c:v>
                </c:pt>
                <c:pt idx="225">
                  <c:v>5.2710357023861398E-2</c:v>
                </c:pt>
                <c:pt idx="226">
                  <c:v>4.9388085054130837E-2</c:v>
                </c:pt>
                <c:pt idx="227">
                  <c:v>4.5182999060495943E-2</c:v>
                </c:pt>
                <c:pt idx="228">
                  <c:v>4.1246417899792887E-2</c:v>
                </c:pt>
                <c:pt idx="229">
                  <c:v>3.8247647294833653E-2</c:v>
                </c:pt>
                <c:pt idx="230">
                  <c:v>3.6314649745681438E-2</c:v>
                </c:pt>
                <c:pt idx="231">
                  <c:v>3.5286494030855264E-2</c:v>
                </c:pt>
                <c:pt idx="232">
                  <c:v>3.4106681550779783E-2</c:v>
                </c:pt>
                <c:pt idx="233">
                  <c:v>3.2101076733825673E-2</c:v>
                </c:pt>
                <c:pt idx="234">
                  <c:v>3.119785313491108E-2</c:v>
                </c:pt>
                <c:pt idx="235">
                  <c:v>3.1052905852615664E-2</c:v>
                </c:pt>
                <c:pt idx="236">
                  <c:v>3.1688683517307359E-2</c:v>
                </c:pt>
                <c:pt idx="237">
                  <c:v>3.2166647189435738E-2</c:v>
                </c:pt>
                <c:pt idx="238">
                  <c:v>3.4162989688208523E-2</c:v>
                </c:pt>
                <c:pt idx="239">
                  <c:v>3.6864243247336281E-2</c:v>
                </c:pt>
                <c:pt idx="240">
                  <c:v>4.0161016243640102E-2</c:v>
                </c:pt>
                <c:pt idx="241">
                  <c:v>4.3006965641386952E-2</c:v>
                </c:pt>
                <c:pt idx="242">
                  <c:v>4.5771961454167398E-2</c:v>
                </c:pt>
                <c:pt idx="243">
                  <c:v>4.5985921596194412E-2</c:v>
                </c:pt>
                <c:pt idx="244">
                  <c:v>4.3633393517324315E-2</c:v>
                </c:pt>
                <c:pt idx="245">
                  <c:v>4.3814371797733065E-2</c:v>
                </c:pt>
                <c:pt idx="246">
                  <c:v>4.8423423423423317E-2</c:v>
                </c:pt>
                <c:pt idx="247">
                  <c:v>5.8364784627520816E-2</c:v>
                </c:pt>
                <c:pt idx="248">
                  <c:v>7.0468800883515037E-2</c:v>
                </c:pt>
                <c:pt idx="249">
                  <c:v>8.4208440657816519E-2</c:v>
                </c:pt>
                <c:pt idx="250">
                  <c:v>9.5317568077242232E-2</c:v>
                </c:pt>
                <c:pt idx="251">
                  <c:v>0.10430497118868454</c:v>
                </c:pt>
                <c:pt idx="252">
                  <c:v>0.11323703885049219</c:v>
                </c:pt>
                <c:pt idx="253">
                  <c:v>0.1220031516152027</c:v>
                </c:pt>
                <c:pt idx="254">
                  <c:v>0.13491635687732351</c:v>
                </c:pt>
                <c:pt idx="255">
                  <c:v>0.15004257865543491</c:v>
                </c:pt>
                <c:pt idx="256">
                  <c:v>0.16921365901882446</c:v>
                </c:pt>
                <c:pt idx="257">
                  <c:v>0.18819033754890357</c:v>
                </c:pt>
                <c:pt idx="258">
                  <c:v>0.19833196436469325</c:v>
                </c:pt>
                <c:pt idx="259">
                  <c:v>0.19968401180046325</c:v>
                </c:pt>
                <c:pt idx="260">
                  <c:v>0.19682821014761109</c:v>
                </c:pt>
                <c:pt idx="261">
                  <c:v>0.19076771790587577</c:v>
                </c:pt>
                <c:pt idx="262">
                  <c:v>0.18811604183704222</c:v>
                </c:pt>
                <c:pt idx="263">
                  <c:v>0.18871836880975867</c:v>
                </c:pt>
                <c:pt idx="264">
                  <c:v>0.19256859627161083</c:v>
                </c:pt>
                <c:pt idx="265">
                  <c:v>0.20057850341500938</c:v>
                </c:pt>
                <c:pt idx="266">
                  <c:v>0.20803819288059833</c:v>
                </c:pt>
                <c:pt idx="267">
                  <c:v>0.20754800052833611</c:v>
                </c:pt>
                <c:pt idx="268">
                  <c:v>0.19966335897285337</c:v>
                </c:pt>
                <c:pt idx="269">
                  <c:v>0.18024564681378918</c:v>
                </c:pt>
                <c:pt idx="270">
                  <c:v>0.15659601391964584</c:v>
                </c:pt>
                <c:pt idx="271">
                  <c:v>0.12968005952380945</c:v>
                </c:pt>
                <c:pt idx="272">
                  <c:v>0.10692748337661873</c:v>
                </c:pt>
                <c:pt idx="273">
                  <c:v>9.1498061512714113E-2</c:v>
                </c:pt>
                <c:pt idx="274">
                  <c:v>7.5602731537667278E-2</c:v>
                </c:pt>
                <c:pt idx="275">
                  <c:v>5.6634112550383531E-2</c:v>
                </c:pt>
                <c:pt idx="276">
                  <c:v>3.8405617220468757E-2</c:v>
                </c:pt>
                <c:pt idx="277">
                  <c:v>2.1624237528897305E-2</c:v>
                </c:pt>
                <c:pt idx="278">
                  <c:v>7.6835997342767914E-3</c:v>
                </c:pt>
                <c:pt idx="279">
                  <c:v>-6.7949419115331811E-4</c:v>
                </c:pt>
                <c:pt idx="280">
                  <c:v>-3.6120754913987474E-3</c:v>
                </c:pt>
                <c:pt idx="281">
                  <c:v>6.163508139089835E-5</c:v>
                </c:pt>
                <c:pt idx="282">
                  <c:v>9.9054391997497326E-3</c:v>
                </c:pt>
                <c:pt idx="283">
                  <c:v>2.5887676267379645E-2</c:v>
                </c:pt>
                <c:pt idx="284">
                  <c:v>3.9722977492753442E-2</c:v>
                </c:pt>
                <c:pt idx="285">
                  <c:v>4.7692220135450381E-2</c:v>
                </c:pt>
                <c:pt idx="286">
                  <c:v>#N/A</c:v>
                </c:pt>
                <c:pt idx="287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3-40FD-BBC2-FC111091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06261312"/>
        <c:axId val="98179839"/>
      </c:areaChart>
      <c:lineChart>
        <c:grouping val="standard"/>
        <c:varyColors val="0"/>
        <c:ser>
          <c:idx val="1"/>
          <c:order val="0"/>
          <c:tx>
            <c:strRef>
              <c:f>'Housing Market'!$S$2</c:f>
              <c:strCache>
                <c:ptCount val="1"/>
                <c:pt idx="0">
                  <c:v>S&amp;P/Case-Shiller Home Price Index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Market'!$A$471:$A$758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'Housing Market'!$S$471:$S$758</c:f>
              <c:numCache>
                <c:formatCode>_(* #,##0.00_);_(* \(#,##0.00\);_(* "-"??_);_(@_)</c:formatCode>
                <c:ptCount val="288"/>
                <c:pt idx="0">
                  <c:v>100</c:v>
                </c:pt>
                <c:pt idx="1">
                  <c:v>100.571</c:v>
                </c:pt>
                <c:pt idx="2">
                  <c:v>101.46600000000001</c:v>
                </c:pt>
                <c:pt idx="3">
                  <c:v>102.54</c:v>
                </c:pt>
                <c:pt idx="4">
                  <c:v>103.70200000000001</c:v>
                </c:pt>
                <c:pt idx="5">
                  <c:v>104.855</c:v>
                </c:pt>
                <c:pt idx="6">
                  <c:v>105.721</c:v>
                </c:pt>
                <c:pt idx="7">
                  <c:v>106.52200000000001</c:v>
                </c:pt>
                <c:pt idx="8">
                  <c:v>107.13500000000001</c:v>
                </c:pt>
                <c:pt idx="9">
                  <c:v>107.72799999999999</c:v>
                </c:pt>
                <c:pt idx="10">
                  <c:v>108.291</c:v>
                </c:pt>
                <c:pt idx="11">
                  <c:v>108.791</c:v>
                </c:pt>
                <c:pt idx="12">
                  <c:v>109.214</c:v>
                </c:pt>
                <c:pt idx="13">
                  <c:v>109.64200000000001</c:v>
                </c:pt>
                <c:pt idx="14">
                  <c:v>110.39399999999999</c:v>
                </c:pt>
                <c:pt idx="15">
                  <c:v>111.24799999999999</c:v>
                </c:pt>
                <c:pt idx="16">
                  <c:v>112.20299999999999</c:v>
                </c:pt>
                <c:pt idx="17">
                  <c:v>113.27200000000001</c:v>
                </c:pt>
                <c:pt idx="18">
                  <c:v>114.226</c:v>
                </c:pt>
                <c:pt idx="19">
                  <c:v>114.988</c:v>
                </c:pt>
                <c:pt idx="20">
                  <c:v>115.465</c:v>
                </c:pt>
                <c:pt idx="21">
                  <c:v>115.681</c:v>
                </c:pt>
                <c:pt idx="22">
                  <c:v>115.839</c:v>
                </c:pt>
                <c:pt idx="23">
                  <c:v>116.056</c:v>
                </c:pt>
                <c:pt idx="24">
                  <c:v>116.43700000000001</c:v>
                </c:pt>
                <c:pt idx="25">
                  <c:v>116.916</c:v>
                </c:pt>
                <c:pt idx="26">
                  <c:v>117.929</c:v>
                </c:pt>
                <c:pt idx="27">
                  <c:v>119.208</c:v>
                </c:pt>
                <c:pt idx="28">
                  <c:v>120.788</c:v>
                </c:pt>
                <c:pt idx="29">
                  <c:v>122.333</c:v>
                </c:pt>
                <c:pt idx="30">
                  <c:v>123.68700000000001</c:v>
                </c:pt>
                <c:pt idx="31">
                  <c:v>124.729</c:v>
                </c:pt>
                <c:pt idx="32">
                  <c:v>125.494</c:v>
                </c:pt>
                <c:pt idx="33">
                  <c:v>126.13600000000001</c:v>
                </c:pt>
                <c:pt idx="34">
                  <c:v>126.64200000000001</c:v>
                </c:pt>
                <c:pt idx="35">
                  <c:v>127.15100000000001</c:v>
                </c:pt>
                <c:pt idx="36">
                  <c:v>127.652</c:v>
                </c:pt>
                <c:pt idx="37">
                  <c:v>128.32599999999999</c:v>
                </c:pt>
                <c:pt idx="38">
                  <c:v>129.30799999999999</c:v>
                </c:pt>
                <c:pt idx="39">
                  <c:v>130.488</c:v>
                </c:pt>
                <c:pt idx="40">
                  <c:v>131.839</c:v>
                </c:pt>
                <c:pt idx="41">
                  <c:v>133.22499999999999</c:v>
                </c:pt>
                <c:pt idx="42">
                  <c:v>134.64700000000002</c:v>
                </c:pt>
                <c:pt idx="43">
                  <c:v>135.965</c:v>
                </c:pt>
                <c:pt idx="44">
                  <c:v>137.07599999999999</c:v>
                </c:pt>
                <c:pt idx="45">
                  <c:v>137.976</c:v>
                </c:pt>
                <c:pt idx="46">
                  <c:v>138.76499999999999</c:v>
                </c:pt>
                <c:pt idx="47">
                  <c:v>139.62799999999999</c:v>
                </c:pt>
                <c:pt idx="48">
                  <c:v>140.70600000000002</c:v>
                </c:pt>
                <c:pt idx="49">
                  <c:v>142.029</c:v>
                </c:pt>
                <c:pt idx="50">
                  <c:v>144.08000000000001</c:v>
                </c:pt>
                <c:pt idx="51">
                  <c:v>146.18</c:v>
                </c:pt>
                <c:pt idx="52">
                  <c:v>148.334</c:v>
                </c:pt>
                <c:pt idx="53">
                  <c:v>150.518</c:v>
                </c:pt>
                <c:pt idx="54">
                  <c:v>152.33700000000002</c:v>
                </c:pt>
                <c:pt idx="55">
                  <c:v>153.81299999999999</c:v>
                </c:pt>
                <c:pt idx="56">
                  <c:v>155.107</c:v>
                </c:pt>
                <c:pt idx="57">
                  <c:v>156.298</c:v>
                </c:pt>
                <c:pt idx="58">
                  <c:v>157.49600000000001</c:v>
                </c:pt>
                <c:pt idx="59">
                  <c:v>158.66899999999998</c:v>
                </c:pt>
                <c:pt idx="60">
                  <c:v>160.12899999999999</c:v>
                </c:pt>
                <c:pt idx="61">
                  <c:v>161.923</c:v>
                </c:pt>
                <c:pt idx="62">
                  <c:v>164.57499999999999</c:v>
                </c:pt>
                <c:pt idx="63">
                  <c:v>166.99900000000002</c:v>
                </c:pt>
                <c:pt idx="64">
                  <c:v>169.54400000000001</c:v>
                </c:pt>
                <c:pt idx="65">
                  <c:v>172.01499999999999</c:v>
                </c:pt>
                <c:pt idx="66">
                  <c:v>174.09799999999998</c:v>
                </c:pt>
                <c:pt idx="67">
                  <c:v>175.923</c:v>
                </c:pt>
                <c:pt idx="68">
                  <c:v>177.61</c:v>
                </c:pt>
                <c:pt idx="69">
                  <c:v>178.75099999999998</c:v>
                </c:pt>
                <c:pt idx="70">
                  <c:v>179.673</c:v>
                </c:pt>
                <c:pt idx="71">
                  <c:v>180.10599999999999</c:v>
                </c:pt>
                <c:pt idx="72">
                  <c:v>180.827</c:v>
                </c:pt>
                <c:pt idx="73">
                  <c:v>181.49900000000002</c:v>
                </c:pt>
                <c:pt idx="74">
                  <c:v>182.74900000000002</c:v>
                </c:pt>
                <c:pt idx="75">
                  <c:v>183.648</c:v>
                </c:pt>
                <c:pt idx="76">
                  <c:v>184.38</c:v>
                </c:pt>
                <c:pt idx="77">
                  <c:v>184.547</c:v>
                </c:pt>
                <c:pt idx="78">
                  <c:v>184.607</c:v>
                </c:pt>
                <c:pt idx="79">
                  <c:v>184.40400000000002</c:v>
                </c:pt>
                <c:pt idx="80">
                  <c:v>184.197</c:v>
                </c:pt>
                <c:pt idx="81">
                  <c:v>184.053</c:v>
                </c:pt>
                <c:pt idx="82">
                  <c:v>183.63</c:v>
                </c:pt>
                <c:pt idx="83">
                  <c:v>183.22799999999998</c:v>
                </c:pt>
                <c:pt idx="84">
                  <c:v>182.71799999999999</c:v>
                </c:pt>
                <c:pt idx="85">
                  <c:v>182.47</c:v>
                </c:pt>
                <c:pt idx="86">
                  <c:v>182.19299999999998</c:v>
                </c:pt>
                <c:pt idx="87">
                  <c:v>182.13099999999997</c:v>
                </c:pt>
                <c:pt idx="88">
                  <c:v>181.88400000000001</c:v>
                </c:pt>
                <c:pt idx="89">
                  <c:v>181.54</c:v>
                </c:pt>
                <c:pt idx="90">
                  <c:v>180.99299999999999</c:v>
                </c:pt>
                <c:pt idx="91">
                  <c:v>180.23400000000001</c:v>
                </c:pt>
                <c:pt idx="92">
                  <c:v>179.12099999999998</c:v>
                </c:pt>
                <c:pt idx="93">
                  <c:v>177.52900000000002</c:v>
                </c:pt>
                <c:pt idx="94">
                  <c:v>175.16099999999997</c:v>
                </c:pt>
                <c:pt idx="95">
                  <c:v>173.33700000000002</c:v>
                </c:pt>
                <c:pt idx="96">
                  <c:v>171.07599999999999</c:v>
                </c:pt>
                <c:pt idx="97">
                  <c:v>169.19</c:v>
                </c:pt>
                <c:pt idx="98">
                  <c:v>167.90200000000002</c:v>
                </c:pt>
                <c:pt idx="99">
                  <c:v>167.322</c:v>
                </c:pt>
                <c:pt idx="100">
                  <c:v>167.02</c:v>
                </c:pt>
                <c:pt idx="101">
                  <c:v>166.53599999999997</c:v>
                </c:pt>
                <c:pt idx="102">
                  <c:v>165.71299999999999</c:v>
                </c:pt>
                <c:pt idx="103">
                  <c:v>164.27700000000002</c:v>
                </c:pt>
                <c:pt idx="104">
                  <c:v>161.91200000000001</c:v>
                </c:pt>
                <c:pt idx="105">
                  <c:v>159.16200000000001</c:v>
                </c:pt>
                <c:pt idx="106">
                  <c:v>156.071</c:v>
                </c:pt>
                <c:pt idx="107">
                  <c:v>152.54399999999998</c:v>
                </c:pt>
                <c:pt idx="108">
                  <c:v>149.36099999999999</c:v>
                </c:pt>
                <c:pt idx="109">
                  <c:v>147.61700000000002</c:v>
                </c:pt>
                <c:pt idx="110">
                  <c:v>146.51400000000001</c:v>
                </c:pt>
                <c:pt idx="111">
                  <c:v>146.94200000000001</c:v>
                </c:pt>
                <c:pt idx="112">
                  <c:v>148.16899999999998</c:v>
                </c:pt>
                <c:pt idx="113">
                  <c:v>149.79599999999999</c:v>
                </c:pt>
                <c:pt idx="114">
                  <c:v>150.74799999999999</c:v>
                </c:pt>
                <c:pt idx="115">
                  <c:v>150.66800000000001</c:v>
                </c:pt>
                <c:pt idx="116">
                  <c:v>149.62700000000001</c:v>
                </c:pt>
                <c:pt idx="117">
                  <c:v>148.584</c:v>
                </c:pt>
                <c:pt idx="118">
                  <c:v>147.93899999999999</c:v>
                </c:pt>
                <c:pt idx="119">
                  <c:v>146.66399999999999</c:v>
                </c:pt>
                <c:pt idx="120">
                  <c:v>145.00299999999999</c:v>
                </c:pt>
                <c:pt idx="121">
                  <c:v>143.054</c:v>
                </c:pt>
                <c:pt idx="122">
                  <c:v>143.596</c:v>
                </c:pt>
                <c:pt idx="123">
                  <c:v>145.404</c:v>
                </c:pt>
                <c:pt idx="124">
                  <c:v>147.04</c:v>
                </c:pt>
                <c:pt idx="125">
                  <c:v>147.70500000000001</c:v>
                </c:pt>
                <c:pt idx="126">
                  <c:v>147.566</c:v>
                </c:pt>
                <c:pt idx="127">
                  <c:v>146.43</c:v>
                </c:pt>
                <c:pt idx="128">
                  <c:v>144.61099999999999</c:v>
                </c:pt>
                <c:pt idx="129">
                  <c:v>143.13</c:v>
                </c:pt>
                <c:pt idx="130">
                  <c:v>141.81899999999999</c:v>
                </c:pt>
                <c:pt idx="131">
                  <c:v>140.62799999999999</c:v>
                </c:pt>
                <c:pt idx="132">
                  <c:v>139.036</c:v>
                </c:pt>
                <c:pt idx="133">
                  <c:v>137.732</c:v>
                </c:pt>
                <c:pt idx="134">
                  <c:v>137.785</c:v>
                </c:pt>
                <c:pt idx="135">
                  <c:v>139.15799999999999</c:v>
                </c:pt>
                <c:pt idx="136">
                  <c:v>140.69299999999998</c:v>
                </c:pt>
                <c:pt idx="137">
                  <c:v>141.94499999999999</c:v>
                </c:pt>
                <c:pt idx="138">
                  <c:v>142.34299999999999</c:v>
                </c:pt>
                <c:pt idx="139">
                  <c:v>141.786</c:v>
                </c:pt>
                <c:pt idx="140">
                  <c:v>140.16899999999998</c:v>
                </c:pt>
                <c:pt idx="141">
                  <c:v>138.41</c:v>
                </c:pt>
                <c:pt idx="142">
                  <c:v>136.666</c:v>
                </c:pt>
                <c:pt idx="143">
                  <c:v>135.167</c:v>
                </c:pt>
                <c:pt idx="144">
                  <c:v>134.16800000000001</c:v>
                </c:pt>
                <c:pt idx="145">
                  <c:v>133.99700000000001</c:v>
                </c:pt>
                <c:pt idx="146">
                  <c:v>135.86500000000001</c:v>
                </c:pt>
                <c:pt idx="147">
                  <c:v>138.471</c:v>
                </c:pt>
                <c:pt idx="148">
                  <c:v>141.048</c:v>
                </c:pt>
                <c:pt idx="149">
                  <c:v>143.16899999999998</c:v>
                </c:pt>
                <c:pt idx="150">
                  <c:v>144.28299999999999</c:v>
                </c:pt>
                <c:pt idx="151">
                  <c:v>144.70600000000002</c:v>
                </c:pt>
                <c:pt idx="152">
                  <c:v>144.357</c:v>
                </c:pt>
                <c:pt idx="153">
                  <c:v>143.96700000000001</c:v>
                </c:pt>
                <c:pt idx="154">
                  <c:v>143.959</c:v>
                </c:pt>
                <c:pt idx="155">
                  <c:v>143.86600000000001</c:v>
                </c:pt>
                <c:pt idx="156">
                  <c:v>144.31</c:v>
                </c:pt>
                <c:pt idx="157">
                  <c:v>145.161</c:v>
                </c:pt>
                <c:pt idx="158">
                  <c:v>147.96</c:v>
                </c:pt>
                <c:pt idx="159">
                  <c:v>150.96799999999999</c:v>
                </c:pt>
                <c:pt idx="160">
                  <c:v>153.85900000000001</c:v>
                </c:pt>
                <c:pt idx="161">
                  <c:v>156.42700000000002</c:v>
                </c:pt>
                <c:pt idx="162">
                  <c:v>158.286</c:v>
                </c:pt>
                <c:pt idx="163">
                  <c:v>159.39400000000001</c:v>
                </c:pt>
                <c:pt idx="164">
                  <c:v>159.672</c:v>
                </c:pt>
                <c:pt idx="165">
                  <c:v>159.55600000000001</c:v>
                </c:pt>
                <c:pt idx="166">
                  <c:v>159.364</c:v>
                </c:pt>
                <c:pt idx="167">
                  <c:v>159.28100000000001</c:v>
                </c:pt>
                <c:pt idx="168">
                  <c:v>159.36799999999999</c:v>
                </c:pt>
                <c:pt idx="169">
                  <c:v>159.87100000000001</c:v>
                </c:pt>
                <c:pt idx="170">
                  <c:v>161.18799999999999</c:v>
                </c:pt>
                <c:pt idx="171">
                  <c:v>162.96799999999999</c:v>
                </c:pt>
                <c:pt idx="172">
                  <c:v>164.68299999999999</c:v>
                </c:pt>
                <c:pt idx="173">
                  <c:v>166.21200000000002</c:v>
                </c:pt>
                <c:pt idx="174">
                  <c:v>167.136</c:v>
                </c:pt>
                <c:pt idx="175">
                  <c:v>167.45099999999999</c:v>
                </c:pt>
                <c:pt idx="176">
                  <c:v>167.24099999999999</c:v>
                </c:pt>
                <c:pt idx="177">
                  <c:v>166.91</c:v>
                </c:pt>
                <c:pt idx="178">
                  <c:v>166.65700000000001</c:v>
                </c:pt>
                <c:pt idx="179">
                  <c:v>166.459</c:v>
                </c:pt>
                <c:pt idx="180">
                  <c:v>166.24900000000002</c:v>
                </c:pt>
                <c:pt idx="181">
                  <c:v>166.63</c:v>
                </c:pt>
                <c:pt idx="182">
                  <c:v>168.08799999999999</c:v>
                </c:pt>
                <c:pt idx="183">
                  <c:v>169.96900000000002</c:v>
                </c:pt>
                <c:pt idx="184">
                  <c:v>171.85</c:v>
                </c:pt>
                <c:pt idx="185">
                  <c:v>173.45</c:v>
                </c:pt>
                <c:pt idx="186">
                  <c:v>174.49599999999998</c:v>
                </c:pt>
                <c:pt idx="187">
                  <c:v>174.93799999999999</c:v>
                </c:pt>
                <c:pt idx="188">
                  <c:v>175.04400000000001</c:v>
                </c:pt>
                <c:pt idx="189">
                  <c:v>175.04900000000001</c:v>
                </c:pt>
                <c:pt idx="190">
                  <c:v>175.14099999999999</c:v>
                </c:pt>
                <c:pt idx="191">
                  <c:v>175.114</c:v>
                </c:pt>
                <c:pt idx="192">
                  <c:v>175.03400000000002</c:v>
                </c:pt>
                <c:pt idx="193">
                  <c:v>175.27900000000002</c:v>
                </c:pt>
                <c:pt idx="194">
                  <c:v>176.6</c:v>
                </c:pt>
                <c:pt idx="195">
                  <c:v>178.49400000000003</c:v>
                </c:pt>
                <c:pt idx="196">
                  <c:v>180.34299999999999</c:v>
                </c:pt>
                <c:pt idx="197">
                  <c:v>181.91400000000002</c:v>
                </c:pt>
                <c:pt idx="198">
                  <c:v>183.01599999999999</c:v>
                </c:pt>
                <c:pt idx="199">
                  <c:v>183.65400000000002</c:v>
                </c:pt>
                <c:pt idx="200">
                  <c:v>183.94400000000002</c:v>
                </c:pt>
                <c:pt idx="201">
                  <c:v>184.018</c:v>
                </c:pt>
                <c:pt idx="202">
                  <c:v>184.23099999999999</c:v>
                </c:pt>
                <c:pt idx="203">
                  <c:v>184.40299999999999</c:v>
                </c:pt>
                <c:pt idx="204">
                  <c:v>184.65400000000002</c:v>
                </c:pt>
                <c:pt idx="205">
                  <c:v>185.02</c:v>
                </c:pt>
                <c:pt idx="206">
                  <c:v>186.52900000000002</c:v>
                </c:pt>
                <c:pt idx="207">
                  <c:v>188.54300000000001</c:v>
                </c:pt>
                <c:pt idx="208">
                  <c:v>190.54</c:v>
                </c:pt>
                <c:pt idx="209">
                  <c:v>192.267</c:v>
                </c:pt>
                <c:pt idx="210">
                  <c:v>193.512</c:v>
                </c:pt>
                <c:pt idx="211">
                  <c:v>194.34700000000001</c:v>
                </c:pt>
                <c:pt idx="212">
                  <c:v>194.81799999999998</c:v>
                </c:pt>
                <c:pt idx="213">
                  <c:v>195.08500000000001</c:v>
                </c:pt>
                <c:pt idx="214">
                  <c:v>195.452</c:v>
                </c:pt>
                <c:pt idx="215">
                  <c:v>195.84799999999998</c:v>
                </c:pt>
                <c:pt idx="216">
                  <c:v>196.114</c:v>
                </c:pt>
                <c:pt idx="217">
                  <c:v>196.90099999999998</c:v>
                </c:pt>
                <c:pt idx="218">
                  <c:v>198.57</c:v>
                </c:pt>
                <c:pt idx="219">
                  <c:v>200.61500000000001</c:v>
                </c:pt>
                <c:pt idx="220">
                  <c:v>202.453</c:v>
                </c:pt>
                <c:pt idx="221">
                  <c:v>204.04300000000001</c:v>
                </c:pt>
                <c:pt idx="222">
                  <c:v>204.95</c:v>
                </c:pt>
                <c:pt idx="223">
                  <c:v>205.327</c:v>
                </c:pt>
                <c:pt idx="224">
                  <c:v>205.37299999999999</c:v>
                </c:pt>
                <c:pt idx="225">
                  <c:v>205.36799999999999</c:v>
                </c:pt>
                <c:pt idx="226">
                  <c:v>205.10499999999999</c:v>
                </c:pt>
                <c:pt idx="227">
                  <c:v>204.697</c:v>
                </c:pt>
                <c:pt idx="228">
                  <c:v>204.203</c:v>
                </c:pt>
                <c:pt idx="229">
                  <c:v>204.43200000000002</c:v>
                </c:pt>
                <c:pt idx="230">
                  <c:v>205.78099999999998</c:v>
                </c:pt>
                <c:pt idx="231">
                  <c:v>207.69400000000002</c:v>
                </c:pt>
                <c:pt idx="232">
                  <c:v>209.358</c:v>
                </c:pt>
                <c:pt idx="233">
                  <c:v>210.59299999999999</c:v>
                </c:pt>
                <c:pt idx="234">
                  <c:v>211.34400000000002</c:v>
                </c:pt>
                <c:pt idx="235">
                  <c:v>211.703</c:v>
                </c:pt>
                <c:pt idx="236">
                  <c:v>211.88099999999997</c:v>
                </c:pt>
                <c:pt idx="237">
                  <c:v>211.97400000000002</c:v>
                </c:pt>
                <c:pt idx="238">
                  <c:v>212.11199999999999</c:v>
                </c:pt>
                <c:pt idx="239">
                  <c:v>212.24299999999999</c:v>
                </c:pt>
                <c:pt idx="240">
                  <c:v>212.40400000000002</c:v>
                </c:pt>
                <c:pt idx="241">
                  <c:v>213.22400000000002</c:v>
                </c:pt>
                <c:pt idx="242">
                  <c:v>215.2</c:v>
                </c:pt>
                <c:pt idx="243">
                  <c:v>217.245</c:v>
                </c:pt>
                <c:pt idx="244">
                  <c:v>218.49299999999999</c:v>
                </c:pt>
                <c:pt idx="245">
                  <c:v>219.82</c:v>
                </c:pt>
                <c:pt idx="246">
                  <c:v>221.578</c:v>
                </c:pt>
                <c:pt idx="247">
                  <c:v>224.05900000000003</c:v>
                </c:pt>
                <c:pt idx="248">
                  <c:v>226.81200000000001</c:v>
                </c:pt>
                <c:pt idx="249">
                  <c:v>229.82400000000001</c:v>
                </c:pt>
                <c:pt idx="250">
                  <c:v>232.33</c:v>
                </c:pt>
                <c:pt idx="251">
                  <c:v>234.38099999999997</c:v>
                </c:pt>
                <c:pt idx="252">
                  <c:v>236.45599999999999</c:v>
                </c:pt>
                <c:pt idx="253">
                  <c:v>239.238</c:v>
                </c:pt>
                <c:pt idx="254">
                  <c:v>244.23400000000001</c:v>
                </c:pt>
                <c:pt idx="255">
                  <c:v>249.84099999999998</c:v>
                </c:pt>
                <c:pt idx="256">
                  <c:v>255.465</c:v>
                </c:pt>
                <c:pt idx="257">
                  <c:v>261.18799999999999</c:v>
                </c:pt>
                <c:pt idx="258">
                  <c:v>265.524</c:v>
                </c:pt>
                <c:pt idx="259">
                  <c:v>268.8</c:v>
                </c:pt>
                <c:pt idx="260">
                  <c:v>271.45499999999998</c:v>
                </c:pt>
                <c:pt idx="261">
                  <c:v>273.66700000000003</c:v>
                </c:pt>
                <c:pt idx="262">
                  <c:v>276.03500000000003</c:v>
                </c:pt>
                <c:pt idx="263">
                  <c:v>278.613</c:v>
                </c:pt>
                <c:pt idx="264">
                  <c:v>281.99</c:v>
                </c:pt>
                <c:pt idx="265">
                  <c:v>287.22399999999999</c:v>
                </c:pt>
                <c:pt idx="266">
                  <c:v>295.04400000000004</c:v>
                </c:pt>
                <c:pt idx="267">
                  <c:v>301.69499999999999</c:v>
                </c:pt>
                <c:pt idx="268">
                  <c:v>306.47199999999998</c:v>
                </c:pt>
                <c:pt idx="269">
                  <c:v>308.26599999999996</c:v>
                </c:pt>
                <c:pt idx="270">
                  <c:v>307.10400000000004</c:v>
                </c:pt>
                <c:pt idx="271">
                  <c:v>303.65800000000002</c:v>
                </c:pt>
                <c:pt idx="272">
                  <c:v>300.48099999999999</c:v>
                </c:pt>
                <c:pt idx="273">
                  <c:v>298.70699999999999</c:v>
                </c:pt>
                <c:pt idx="274">
                  <c:v>296.904</c:v>
                </c:pt>
                <c:pt idx="275">
                  <c:v>294.392</c:v>
                </c:pt>
                <c:pt idx="276">
                  <c:v>292.82</c:v>
                </c:pt>
                <c:pt idx="277">
                  <c:v>293.435</c:v>
                </c:pt>
                <c:pt idx="278">
                  <c:v>297.31099999999998</c:v>
                </c:pt>
                <c:pt idx="279">
                  <c:v>301.49</c:v>
                </c:pt>
                <c:pt idx="280">
                  <c:v>305.36500000000001</c:v>
                </c:pt>
                <c:pt idx="281">
                  <c:v>308.28500000000003</c:v>
                </c:pt>
                <c:pt idx="282">
                  <c:v>310.14599999999996</c:v>
                </c:pt>
                <c:pt idx="283">
                  <c:v>311.51900000000001</c:v>
                </c:pt>
                <c:pt idx="284">
                  <c:v>312.41700000000003</c:v>
                </c:pt>
                <c:pt idx="285">
                  <c:v>312.95299999999997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A3-40FD-BBC2-FC1110918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98179839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06261312"/>
        <c:crosses val="max"/>
        <c:crossBetween val="between"/>
      </c:valAx>
      <c:dateAx>
        <c:axId val="30626131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98179839"/>
        <c:crosses val="autoZero"/>
        <c:auto val="1"/>
        <c:lblOffset val="100"/>
        <c:baseTimeUnit val="months"/>
        <c:majorUnit val="1"/>
        <c:minorUnit val="1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'Labor Market'!$E$2</c:f>
              <c:strCache>
                <c:ptCount val="1"/>
                <c:pt idx="0">
                  <c:v>Labor Force Participation Rate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'Labor Market'!$A$627:$A$926</c:f>
              <c:numCache>
                <c:formatCode>[$-416]mmm\-yy;@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'Labor Market'!$E$627:$E$926</c:f>
              <c:numCache>
                <c:formatCode>#,##0.00</c:formatCode>
                <c:ptCount val="300"/>
                <c:pt idx="0">
                  <c:v>67.3</c:v>
                </c:pt>
                <c:pt idx="1">
                  <c:v>67.3</c:v>
                </c:pt>
                <c:pt idx="2">
                  <c:v>67.3</c:v>
                </c:pt>
                <c:pt idx="3">
                  <c:v>67.3</c:v>
                </c:pt>
                <c:pt idx="4">
                  <c:v>67.099999999999994</c:v>
                </c:pt>
                <c:pt idx="5">
                  <c:v>67.099999999999994</c:v>
                </c:pt>
                <c:pt idx="6">
                  <c:v>66.900000000000006</c:v>
                </c:pt>
                <c:pt idx="7">
                  <c:v>66.900000000000006</c:v>
                </c:pt>
                <c:pt idx="8">
                  <c:v>66.900000000000006</c:v>
                </c:pt>
                <c:pt idx="9">
                  <c:v>66.8</c:v>
                </c:pt>
                <c:pt idx="10">
                  <c:v>66.900000000000006</c:v>
                </c:pt>
                <c:pt idx="11">
                  <c:v>67</c:v>
                </c:pt>
                <c:pt idx="12">
                  <c:v>67.2</c:v>
                </c:pt>
                <c:pt idx="13">
                  <c:v>67.099999999999994</c:v>
                </c:pt>
                <c:pt idx="14">
                  <c:v>67.2</c:v>
                </c:pt>
                <c:pt idx="15">
                  <c:v>66.900000000000006</c:v>
                </c:pt>
                <c:pt idx="16">
                  <c:v>66.7</c:v>
                </c:pt>
                <c:pt idx="17">
                  <c:v>66.7</c:v>
                </c:pt>
                <c:pt idx="18">
                  <c:v>66.8</c:v>
                </c:pt>
                <c:pt idx="19">
                  <c:v>66.5</c:v>
                </c:pt>
                <c:pt idx="20">
                  <c:v>66.8</c:v>
                </c:pt>
                <c:pt idx="21">
                  <c:v>66.7</c:v>
                </c:pt>
                <c:pt idx="22">
                  <c:v>66.7</c:v>
                </c:pt>
                <c:pt idx="23">
                  <c:v>66.7</c:v>
                </c:pt>
                <c:pt idx="24">
                  <c:v>66.5</c:v>
                </c:pt>
                <c:pt idx="25">
                  <c:v>66.8</c:v>
                </c:pt>
                <c:pt idx="26">
                  <c:v>66.599999999999994</c:v>
                </c:pt>
                <c:pt idx="27">
                  <c:v>66.7</c:v>
                </c:pt>
                <c:pt idx="28">
                  <c:v>66.7</c:v>
                </c:pt>
                <c:pt idx="29">
                  <c:v>66.599999999999994</c:v>
                </c:pt>
                <c:pt idx="30">
                  <c:v>66.5</c:v>
                </c:pt>
                <c:pt idx="31">
                  <c:v>66.599999999999994</c:v>
                </c:pt>
                <c:pt idx="32">
                  <c:v>66.7</c:v>
                </c:pt>
                <c:pt idx="33">
                  <c:v>66.599999999999994</c:v>
                </c:pt>
                <c:pt idx="34">
                  <c:v>66.400000000000006</c:v>
                </c:pt>
                <c:pt idx="35">
                  <c:v>66.3</c:v>
                </c:pt>
                <c:pt idx="36">
                  <c:v>66.400000000000006</c:v>
                </c:pt>
                <c:pt idx="37">
                  <c:v>66.400000000000006</c:v>
                </c:pt>
                <c:pt idx="38">
                  <c:v>66.3</c:v>
                </c:pt>
                <c:pt idx="39">
                  <c:v>66.400000000000006</c:v>
                </c:pt>
                <c:pt idx="40">
                  <c:v>66.400000000000006</c:v>
                </c:pt>
                <c:pt idx="41">
                  <c:v>66.5</c:v>
                </c:pt>
                <c:pt idx="42">
                  <c:v>66.2</c:v>
                </c:pt>
                <c:pt idx="43">
                  <c:v>66.099999999999994</c:v>
                </c:pt>
                <c:pt idx="44">
                  <c:v>66.099999999999994</c:v>
                </c:pt>
                <c:pt idx="45">
                  <c:v>66.099999999999994</c:v>
                </c:pt>
                <c:pt idx="46">
                  <c:v>66.099999999999994</c:v>
                </c:pt>
                <c:pt idx="47">
                  <c:v>65.900000000000006</c:v>
                </c:pt>
                <c:pt idx="48">
                  <c:v>66.099999999999994</c:v>
                </c:pt>
                <c:pt idx="49">
                  <c:v>66</c:v>
                </c:pt>
                <c:pt idx="50">
                  <c:v>66</c:v>
                </c:pt>
                <c:pt idx="51">
                  <c:v>65.900000000000006</c:v>
                </c:pt>
                <c:pt idx="52">
                  <c:v>66</c:v>
                </c:pt>
                <c:pt idx="53">
                  <c:v>66.099999999999994</c:v>
                </c:pt>
                <c:pt idx="54">
                  <c:v>66.099999999999994</c:v>
                </c:pt>
                <c:pt idx="55">
                  <c:v>66</c:v>
                </c:pt>
                <c:pt idx="56">
                  <c:v>65.8</c:v>
                </c:pt>
                <c:pt idx="57">
                  <c:v>65.900000000000006</c:v>
                </c:pt>
                <c:pt idx="58">
                  <c:v>66</c:v>
                </c:pt>
                <c:pt idx="59">
                  <c:v>65.900000000000006</c:v>
                </c:pt>
                <c:pt idx="60">
                  <c:v>65.8</c:v>
                </c:pt>
                <c:pt idx="61">
                  <c:v>65.900000000000006</c:v>
                </c:pt>
                <c:pt idx="62">
                  <c:v>65.900000000000006</c:v>
                </c:pt>
                <c:pt idx="63">
                  <c:v>66.099999999999994</c:v>
                </c:pt>
                <c:pt idx="64">
                  <c:v>66.099999999999994</c:v>
                </c:pt>
                <c:pt idx="65">
                  <c:v>66.099999999999994</c:v>
                </c:pt>
                <c:pt idx="66">
                  <c:v>66.099999999999994</c:v>
                </c:pt>
                <c:pt idx="67">
                  <c:v>66.2</c:v>
                </c:pt>
                <c:pt idx="68">
                  <c:v>66.099999999999994</c:v>
                </c:pt>
                <c:pt idx="69">
                  <c:v>66.099999999999994</c:v>
                </c:pt>
                <c:pt idx="70">
                  <c:v>66</c:v>
                </c:pt>
                <c:pt idx="71">
                  <c:v>66</c:v>
                </c:pt>
                <c:pt idx="72">
                  <c:v>66</c:v>
                </c:pt>
                <c:pt idx="73">
                  <c:v>66.099999999999994</c:v>
                </c:pt>
                <c:pt idx="74">
                  <c:v>66.2</c:v>
                </c:pt>
                <c:pt idx="75">
                  <c:v>66.099999999999994</c:v>
                </c:pt>
                <c:pt idx="76">
                  <c:v>66.099999999999994</c:v>
                </c:pt>
                <c:pt idx="77">
                  <c:v>66.2</c:v>
                </c:pt>
                <c:pt idx="78">
                  <c:v>66.099999999999994</c:v>
                </c:pt>
                <c:pt idx="79">
                  <c:v>66.2</c:v>
                </c:pt>
                <c:pt idx="80">
                  <c:v>66.099999999999994</c:v>
                </c:pt>
                <c:pt idx="81">
                  <c:v>66.2</c:v>
                </c:pt>
                <c:pt idx="82">
                  <c:v>66.3</c:v>
                </c:pt>
                <c:pt idx="83">
                  <c:v>66.400000000000006</c:v>
                </c:pt>
                <c:pt idx="84">
                  <c:v>66.400000000000006</c:v>
                </c:pt>
                <c:pt idx="85">
                  <c:v>66.3</c:v>
                </c:pt>
                <c:pt idx="86">
                  <c:v>66.2</c:v>
                </c:pt>
                <c:pt idx="87">
                  <c:v>65.900000000000006</c:v>
                </c:pt>
                <c:pt idx="88">
                  <c:v>66</c:v>
                </c:pt>
                <c:pt idx="89">
                  <c:v>66</c:v>
                </c:pt>
                <c:pt idx="90">
                  <c:v>66</c:v>
                </c:pt>
                <c:pt idx="91">
                  <c:v>65.8</c:v>
                </c:pt>
                <c:pt idx="92">
                  <c:v>66</c:v>
                </c:pt>
                <c:pt idx="93">
                  <c:v>65.8</c:v>
                </c:pt>
                <c:pt idx="94">
                  <c:v>66</c:v>
                </c:pt>
                <c:pt idx="95">
                  <c:v>66</c:v>
                </c:pt>
                <c:pt idx="96">
                  <c:v>66.2</c:v>
                </c:pt>
                <c:pt idx="97">
                  <c:v>66</c:v>
                </c:pt>
                <c:pt idx="98">
                  <c:v>66.099999999999994</c:v>
                </c:pt>
                <c:pt idx="99">
                  <c:v>65.900000000000006</c:v>
                </c:pt>
                <c:pt idx="100">
                  <c:v>66.099999999999994</c:v>
                </c:pt>
                <c:pt idx="101">
                  <c:v>66.099999999999994</c:v>
                </c:pt>
                <c:pt idx="102">
                  <c:v>66.099999999999994</c:v>
                </c:pt>
                <c:pt idx="103">
                  <c:v>66.099999999999994</c:v>
                </c:pt>
                <c:pt idx="104">
                  <c:v>66</c:v>
                </c:pt>
                <c:pt idx="105">
                  <c:v>66</c:v>
                </c:pt>
                <c:pt idx="106">
                  <c:v>65.900000000000006</c:v>
                </c:pt>
                <c:pt idx="107">
                  <c:v>65.8</c:v>
                </c:pt>
                <c:pt idx="108">
                  <c:v>65.7</c:v>
                </c:pt>
                <c:pt idx="109">
                  <c:v>65.8</c:v>
                </c:pt>
                <c:pt idx="110">
                  <c:v>65.599999999999994</c:v>
                </c:pt>
                <c:pt idx="111">
                  <c:v>65.7</c:v>
                </c:pt>
                <c:pt idx="112">
                  <c:v>65.7</c:v>
                </c:pt>
                <c:pt idx="113">
                  <c:v>65.7</c:v>
                </c:pt>
                <c:pt idx="114">
                  <c:v>65.5</c:v>
                </c:pt>
                <c:pt idx="115">
                  <c:v>65.400000000000006</c:v>
                </c:pt>
                <c:pt idx="116">
                  <c:v>65.099999999999994</c:v>
                </c:pt>
                <c:pt idx="117">
                  <c:v>65</c:v>
                </c:pt>
                <c:pt idx="118">
                  <c:v>65</c:v>
                </c:pt>
                <c:pt idx="119">
                  <c:v>64.599999999999994</c:v>
                </c:pt>
                <c:pt idx="120">
                  <c:v>64.8</c:v>
                </c:pt>
                <c:pt idx="121">
                  <c:v>64.900000000000006</c:v>
                </c:pt>
                <c:pt idx="122">
                  <c:v>64.900000000000006</c:v>
                </c:pt>
                <c:pt idx="123">
                  <c:v>65.2</c:v>
                </c:pt>
                <c:pt idx="124">
                  <c:v>64.900000000000006</c:v>
                </c:pt>
                <c:pt idx="125">
                  <c:v>64.599999999999994</c:v>
                </c:pt>
                <c:pt idx="126">
                  <c:v>64.599999999999994</c:v>
                </c:pt>
                <c:pt idx="127">
                  <c:v>64.7</c:v>
                </c:pt>
                <c:pt idx="128">
                  <c:v>64.599999999999994</c:v>
                </c:pt>
                <c:pt idx="129">
                  <c:v>64.400000000000006</c:v>
                </c:pt>
                <c:pt idx="130">
                  <c:v>64.599999999999994</c:v>
                </c:pt>
                <c:pt idx="131">
                  <c:v>64.3</c:v>
                </c:pt>
                <c:pt idx="132">
                  <c:v>64.2</c:v>
                </c:pt>
                <c:pt idx="133">
                  <c:v>64.099999999999994</c:v>
                </c:pt>
                <c:pt idx="134">
                  <c:v>64.2</c:v>
                </c:pt>
                <c:pt idx="135">
                  <c:v>64.2</c:v>
                </c:pt>
                <c:pt idx="136">
                  <c:v>64.099999999999994</c:v>
                </c:pt>
                <c:pt idx="137">
                  <c:v>64</c:v>
                </c:pt>
                <c:pt idx="138">
                  <c:v>64</c:v>
                </c:pt>
                <c:pt idx="139">
                  <c:v>64.099999999999994</c:v>
                </c:pt>
                <c:pt idx="140">
                  <c:v>64.2</c:v>
                </c:pt>
                <c:pt idx="141">
                  <c:v>64.099999999999994</c:v>
                </c:pt>
                <c:pt idx="142">
                  <c:v>64.099999999999994</c:v>
                </c:pt>
                <c:pt idx="143">
                  <c:v>64</c:v>
                </c:pt>
                <c:pt idx="144">
                  <c:v>63.7</c:v>
                </c:pt>
                <c:pt idx="145">
                  <c:v>63.8</c:v>
                </c:pt>
                <c:pt idx="146">
                  <c:v>63.8</c:v>
                </c:pt>
                <c:pt idx="147">
                  <c:v>63.7</c:v>
                </c:pt>
                <c:pt idx="148">
                  <c:v>63.7</c:v>
                </c:pt>
                <c:pt idx="149">
                  <c:v>63.8</c:v>
                </c:pt>
                <c:pt idx="150">
                  <c:v>63.7</c:v>
                </c:pt>
                <c:pt idx="151">
                  <c:v>63.5</c:v>
                </c:pt>
                <c:pt idx="152">
                  <c:v>63.6</c:v>
                </c:pt>
                <c:pt idx="153">
                  <c:v>63.8</c:v>
                </c:pt>
                <c:pt idx="154">
                  <c:v>63.6</c:v>
                </c:pt>
                <c:pt idx="155">
                  <c:v>63.7</c:v>
                </c:pt>
                <c:pt idx="156">
                  <c:v>63.7</c:v>
                </c:pt>
                <c:pt idx="157">
                  <c:v>63.4</c:v>
                </c:pt>
                <c:pt idx="158">
                  <c:v>63.3</c:v>
                </c:pt>
                <c:pt idx="159">
                  <c:v>63.4</c:v>
                </c:pt>
                <c:pt idx="160">
                  <c:v>63.4</c:v>
                </c:pt>
                <c:pt idx="161">
                  <c:v>63.4</c:v>
                </c:pt>
                <c:pt idx="162">
                  <c:v>63.3</c:v>
                </c:pt>
                <c:pt idx="163">
                  <c:v>63.3</c:v>
                </c:pt>
                <c:pt idx="164">
                  <c:v>63.2</c:v>
                </c:pt>
                <c:pt idx="165">
                  <c:v>62.8</c:v>
                </c:pt>
                <c:pt idx="166">
                  <c:v>63</c:v>
                </c:pt>
                <c:pt idx="167">
                  <c:v>62.9</c:v>
                </c:pt>
                <c:pt idx="168">
                  <c:v>62.9</c:v>
                </c:pt>
                <c:pt idx="169">
                  <c:v>62.9</c:v>
                </c:pt>
                <c:pt idx="170">
                  <c:v>63.1</c:v>
                </c:pt>
                <c:pt idx="171">
                  <c:v>62.8</c:v>
                </c:pt>
                <c:pt idx="172">
                  <c:v>62.9</c:v>
                </c:pt>
                <c:pt idx="173">
                  <c:v>62.8</c:v>
                </c:pt>
                <c:pt idx="174">
                  <c:v>62.9</c:v>
                </c:pt>
                <c:pt idx="175">
                  <c:v>62.9</c:v>
                </c:pt>
                <c:pt idx="176">
                  <c:v>62.8</c:v>
                </c:pt>
                <c:pt idx="177">
                  <c:v>62.9</c:v>
                </c:pt>
                <c:pt idx="178">
                  <c:v>62.9</c:v>
                </c:pt>
                <c:pt idx="179">
                  <c:v>62.8</c:v>
                </c:pt>
                <c:pt idx="180">
                  <c:v>62.9</c:v>
                </c:pt>
                <c:pt idx="181">
                  <c:v>62.7</c:v>
                </c:pt>
                <c:pt idx="182">
                  <c:v>62.6</c:v>
                </c:pt>
                <c:pt idx="183">
                  <c:v>62.8</c:v>
                </c:pt>
                <c:pt idx="184">
                  <c:v>62.9</c:v>
                </c:pt>
                <c:pt idx="185">
                  <c:v>62.7</c:v>
                </c:pt>
                <c:pt idx="186">
                  <c:v>62.6</c:v>
                </c:pt>
                <c:pt idx="187">
                  <c:v>62.6</c:v>
                </c:pt>
                <c:pt idx="188">
                  <c:v>62.4</c:v>
                </c:pt>
                <c:pt idx="189">
                  <c:v>62.5</c:v>
                </c:pt>
                <c:pt idx="190">
                  <c:v>62.5</c:v>
                </c:pt>
                <c:pt idx="191">
                  <c:v>62.7</c:v>
                </c:pt>
                <c:pt idx="192">
                  <c:v>62.7</c:v>
                </c:pt>
                <c:pt idx="193">
                  <c:v>62.8</c:v>
                </c:pt>
                <c:pt idx="194">
                  <c:v>63</c:v>
                </c:pt>
                <c:pt idx="195">
                  <c:v>62.9</c:v>
                </c:pt>
                <c:pt idx="196">
                  <c:v>62.7</c:v>
                </c:pt>
                <c:pt idx="197">
                  <c:v>62.7</c:v>
                </c:pt>
                <c:pt idx="198">
                  <c:v>62.8</c:v>
                </c:pt>
                <c:pt idx="199">
                  <c:v>62.9</c:v>
                </c:pt>
                <c:pt idx="200">
                  <c:v>62.9</c:v>
                </c:pt>
                <c:pt idx="201">
                  <c:v>62.8</c:v>
                </c:pt>
                <c:pt idx="202">
                  <c:v>62.7</c:v>
                </c:pt>
                <c:pt idx="203">
                  <c:v>62.7</c:v>
                </c:pt>
                <c:pt idx="204">
                  <c:v>62.8</c:v>
                </c:pt>
                <c:pt idx="205">
                  <c:v>62.9</c:v>
                </c:pt>
                <c:pt idx="206">
                  <c:v>62.9</c:v>
                </c:pt>
                <c:pt idx="207">
                  <c:v>63</c:v>
                </c:pt>
                <c:pt idx="208">
                  <c:v>62.8</c:v>
                </c:pt>
                <c:pt idx="209">
                  <c:v>62.8</c:v>
                </c:pt>
                <c:pt idx="210">
                  <c:v>62.9</c:v>
                </c:pt>
                <c:pt idx="211">
                  <c:v>62.9</c:v>
                </c:pt>
                <c:pt idx="212">
                  <c:v>63.1</c:v>
                </c:pt>
                <c:pt idx="213">
                  <c:v>62.7</c:v>
                </c:pt>
                <c:pt idx="214">
                  <c:v>62.7</c:v>
                </c:pt>
                <c:pt idx="215">
                  <c:v>62.7</c:v>
                </c:pt>
                <c:pt idx="216">
                  <c:v>62.7</c:v>
                </c:pt>
                <c:pt idx="217">
                  <c:v>63</c:v>
                </c:pt>
                <c:pt idx="218">
                  <c:v>62.9</c:v>
                </c:pt>
                <c:pt idx="219">
                  <c:v>62.9</c:v>
                </c:pt>
                <c:pt idx="220">
                  <c:v>62.9</c:v>
                </c:pt>
                <c:pt idx="221">
                  <c:v>63</c:v>
                </c:pt>
                <c:pt idx="222">
                  <c:v>63</c:v>
                </c:pt>
                <c:pt idx="223">
                  <c:v>62.6</c:v>
                </c:pt>
                <c:pt idx="224">
                  <c:v>62.8</c:v>
                </c:pt>
                <c:pt idx="225">
                  <c:v>62.9</c:v>
                </c:pt>
                <c:pt idx="226">
                  <c:v>62.9</c:v>
                </c:pt>
                <c:pt idx="227">
                  <c:v>63</c:v>
                </c:pt>
                <c:pt idx="228">
                  <c:v>63.1</c:v>
                </c:pt>
                <c:pt idx="229">
                  <c:v>63.1</c:v>
                </c:pt>
                <c:pt idx="230">
                  <c:v>63</c:v>
                </c:pt>
                <c:pt idx="231">
                  <c:v>62.9</c:v>
                </c:pt>
                <c:pt idx="232">
                  <c:v>62.9</c:v>
                </c:pt>
                <c:pt idx="233">
                  <c:v>63</c:v>
                </c:pt>
                <c:pt idx="234">
                  <c:v>63.1</c:v>
                </c:pt>
                <c:pt idx="235">
                  <c:v>63.1</c:v>
                </c:pt>
                <c:pt idx="236">
                  <c:v>63.2</c:v>
                </c:pt>
                <c:pt idx="237">
                  <c:v>63.3</c:v>
                </c:pt>
                <c:pt idx="238">
                  <c:v>63.3</c:v>
                </c:pt>
                <c:pt idx="239">
                  <c:v>63.3</c:v>
                </c:pt>
                <c:pt idx="240">
                  <c:v>63.3</c:v>
                </c:pt>
                <c:pt idx="241">
                  <c:v>63.3</c:v>
                </c:pt>
                <c:pt idx="242">
                  <c:v>62.6</c:v>
                </c:pt>
                <c:pt idx="243">
                  <c:v>60.1</c:v>
                </c:pt>
                <c:pt idx="244">
                  <c:v>60.8</c:v>
                </c:pt>
                <c:pt idx="245">
                  <c:v>61.5</c:v>
                </c:pt>
                <c:pt idx="246">
                  <c:v>61.5</c:v>
                </c:pt>
                <c:pt idx="247">
                  <c:v>61.7</c:v>
                </c:pt>
                <c:pt idx="248">
                  <c:v>61.4</c:v>
                </c:pt>
                <c:pt idx="249">
                  <c:v>61.7</c:v>
                </c:pt>
                <c:pt idx="250">
                  <c:v>61.5</c:v>
                </c:pt>
                <c:pt idx="251">
                  <c:v>61.5</c:v>
                </c:pt>
                <c:pt idx="252">
                  <c:v>61.3</c:v>
                </c:pt>
                <c:pt idx="253">
                  <c:v>61.4</c:v>
                </c:pt>
                <c:pt idx="254">
                  <c:v>61.5</c:v>
                </c:pt>
                <c:pt idx="255">
                  <c:v>61.6</c:v>
                </c:pt>
                <c:pt idx="256">
                  <c:v>61.5</c:v>
                </c:pt>
                <c:pt idx="257">
                  <c:v>61.7</c:v>
                </c:pt>
                <c:pt idx="258">
                  <c:v>61.8</c:v>
                </c:pt>
                <c:pt idx="259">
                  <c:v>61.7</c:v>
                </c:pt>
                <c:pt idx="260">
                  <c:v>61.7</c:v>
                </c:pt>
                <c:pt idx="261">
                  <c:v>61.8</c:v>
                </c:pt>
                <c:pt idx="262">
                  <c:v>61.9</c:v>
                </c:pt>
                <c:pt idx="263">
                  <c:v>62</c:v>
                </c:pt>
                <c:pt idx="264">
                  <c:v>62.2</c:v>
                </c:pt>
                <c:pt idx="265">
                  <c:v>62.2</c:v>
                </c:pt>
                <c:pt idx="266">
                  <c:v>62.4</c:v>
                </c:pt>
                <c:pt idx="267">
                  <c:v>62.2</c:v>
                </c:pt>
                <c:pt idx="268">
                  <c:v>62.3</c:v>
                </c:pt>
                <c:pt idx="269">
                  <c:v>62.2</c:v>
                </c:pt>
                <c:pt idx="270">
                  <c:v>62.1</c:v>
                </c:pt>
                <c:pt idx="271">
                  <c:v>62.3</c:v>
                </c:pt>
                <c:pt idx="272">
                  <c:v>62.3</c:v>
                </c:pt>
                <c:pt idx="273">
                  <c:v>62.2</c:v>
                </c:pt>
                <c:pt idx="274">
                  <c:v>62.2</c:v>
                </c:pt>
                <c:pt idx="275">
                  <c:v>62.3</c:v>
                </c:pt>
                <c:pt idx="276">
                  <c:v>62.4</c:v>
                </c:pt>
                <c:pt idx="277">
                  <c:v>62.5</c:v>
                </c:pt>
                <c:pt idx="278">
                  <c:v>62.6</c:v>
                </c:pt>
                <c:pt idx="279">
                  <c:v>62.6</c:v>
                </c:pt>
                <c:pt idx="280">
                  <c:v>62.6</c:v>
                </c:pt>
                <c:pt idx="281">
                  <c:v>62.6</c:v>
                </c:pt>
                <c:pt idx="282">
                  <c:v>62.6</c:v>
                </c:pt>
                <c:pt idx="283">
                  <c:v>62.8</c:v>
                </c:pt>
                <c:pt idx="284">
                  <c:v>62.8</c:v>
                </c:pt>
                <c:pt idx="285">
                  <c:v>62.7</c:v>
                </c:pt>
                <c:pt idx="286">
                  <c:v>62.8</c:v>
                </c:pt>
                <c:pt idx="287">
                  <c:v>62.5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E2F-492C-AE43-F80BC4B41A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'Labor Market'!$A$3:$A$926</c:f>
              <c:numCache>
                <c:formatCode>[$-416]mmm\-yy;@</c:formatCode>
                <c:ptCount val="924"/>
                <c:pt idx="0">
                  <c:v>17533</c:v>
                </c:pt>
                <c:pt idx="1">
                  <c:v>17564</c:v>
                </c:pt>
                <c:pt idx="2">
                  <c:v>17593</c:v>
                </c:pt>
                <c:pt idx="3">
                  <c:v>17624</c:v>
                </c:pt>
                <c:pt idx="4">
                  <c:v>17654</c:v>
                </c:pt>
                <c:pt idx="5">
                  <c:v>17685</c:v>
                </c:pt>
                <c:pt idx="6">
                  <c:v>17715</c:v>
                </c:pt>
                <c:pt idx="7">
                  <c:v>17746</c:v>
                </c:pt>
                <c:pt idx="8">
                  <c:v>17777</c:v>
                </c:pt>
                <c:pt idx="9">
                  <c:v>17807</c:v>
                </c:pt>
                <c:pt idx="10">
                  <c:v>17838</c:v>
                </c:pt>
                <c:pt idx="11">
                  <c:v>17868</c:v>
                </c:pt>
                <c:pt idx="12">
                  <c:v>17899</c:v>
                </c:pt>
                <c:pt idx="13">
                  <c:v>17930</c:v>
                </c:pt>
                <c:pt idx="14">
                  <c:v>17958</c:v>
                </c:pt>
                <c:pt idx="15">
                  <c:v>17989</c:v>
                </c:pt>
                <c:pt idx="16">
                  <c:v>18019</c:v>
                </c:pt>
                <c:pt idx="17">
                  <c:v>18050</c:v>
                </c:pt>
                <c:pt idx="18">
                  <c:v>18080</c:v>
                </c:pt>
                <c:pt idx="19">
                  <c:v>18111</c:v>
                </c:pt>
                <c:pt idx="20">
                  <c:v>18142</c:v>
                </c:pt>
                <c:pt idx="21">
                  <c:v>18172</c:v>
                </c:pt>
                <c:pt idx="22">
                  <c:v>18203</c:v>
                </c:pt>
                <c:pt idx="23">
                  <c:v>18233</c:v>
                </c:pt>
                <c:pt idx="24">
                  <c:v>18264</c:v>
                </c:pt>
                <c:pt idx="25">
                  <c:v>18295</c:v>
                </c:pt>
                <c:pt idx="26">
                  <c:v>18323</c:v>
                </c:pt>
                <c:pt idx="27">
                  <c:v>18354</c:v>
                </c:pt>
                <c:pt idx="28">
                  <c:v>18384</c:v>
                </c:pt>
                <c:pt idx="29">
                  <c:v>18415</c:v>
                </c:pt>
                <c:pt idx="30">
                  <c:v>18445</c:v>
                </c:pt>
                <c:pt idx="31">
                  <c:v>18476</c:v>
                </c:pt>
                <c:pt idx="32">
                  <c:v>18507</c:v>
                </c:pt>
                <c:pt idx="33">
                  <c:v>18537</c:v>
                </c:pt>
                <c:pt idx="34">
                  <c:v>18568</c:v>
                </c:pt>
                <c:pt idx="35">
                  <c:v>18598</c:v>
                </c:pt>
                <c:pt idx="36">
                  <c:v>18629</c:v>
                </c:pt>
                <c:pt idx="37">
                  <c:v>18660</c:v>
                </c:pt>
                <c:pt idx="38">
                  <c:v>18688</c:v>
                </c:pt>
                <c:pt idx="39">
                  <c:v>18719</c:v>
                </c:pt>
                <c:pt idx="40">
                  <c:v>18749</c:v>
                </c:pt>
                <c:pt idx="41">
                  <c:v>18780</c:v>
                </c:pt>
                <c:pt idx="42">
                  <c:v>18810</c:v>
                </c:pt>
                <c:pt idx="43">
                  <c:v>18841</c:v>
                </c:pt>
                <c:pt idx="44">
                  <c:v>18872</c:v>
                </c:pt>
                <c:pt idx="45">
                  <c:v>18902</c:v>
                </c:pt>
                <c:pt idx="46">
                  <c:v>18933</c:v>
                </c:pt>
                <c:pt idx="47">
                  <c:v>18963</c:v>
                </c:pt>
                <c:pt idx="48">
                  <c:v>18994</c:v>
                </c:pt>
                <c:pt idx="49">
                  <c:v>19025</c:v>
                </c:pt>
                <c:pt idx="50">
                  <c:v>19054</c:v>
                </c:pt>
                <c:pt idx="51">
                  <c:v>19085</c:v>
                </c:pt>
                <c:pt idx="52">
                  <c:v>19115</c:v>
                </c:pt>
                <c:pt idx="53">
                  <c:v>19146</c:v>
                </c:pt>
                <c:pt idx="54">
                  <c:v>19176</c:v>
                </c:pt>
                <c:pt idx="55">
                  <c:v>19207</c:v>
                </c:pt>
                <c:pt idx="56">
                  <c:v>19238</c:v>
                </c:pt>
                <c:pt idx="57">
                  <c:v>19268</c:v>
                </c:pt>
                <c:pt idx="58">
                  <c:v>19299</c:v>
                </c:pt>
                <c:pt idx="59">
                  <c:v>19329</c:v>
                </c:pt>
                <c:pt idx="60">
                  <c:v>19360</c:v>
                </c:pt>
                <c:pt idx="61">
                  <c:v>19391</c:v>
                </c:pt>
                <c:pt idx="62">
                  <c:v>19419</c:v>
                </c:pt>
                <c:pt idx="63">
                  <c:v>19450</c:v>
                </c:pt>
                <c:pt idx="64">
                  <c:v>19480</c:v>
                </c:pt>
                <c:pt idx="65">
                  <c:v>19511</c:v>
                </c:pt>
                <c:pt idx="66">
                  <c:v>19541</c:v>
                </c:pt>
                <c:pt idx="67">
                  <c:v>19572</c:v>
                </c:pt>
                <c:pt idx="68">
                  <c:v>19603</c:v>
                </c:pt>
                <c:pt idx="69">
                  <c:v>19633</c:v>
                </c:pt>
                <c:pt idx="70">
                  <c:v>19664</c:v>
                </c:pt>
                <c:pt idx="71">
                  <c:v>19694</c:v>
                </c:pt>
                <c:pt idx="72">
                  <c:v>19725</c:v>
                </c:pt>
                <c:pt idx="73">
                  <c:v>19756</c:v>
                </c:pt>
                <c:pt idx="74">
                  <c:v>19784</c:v>
                </c:pt>
                <c:pt idx="75">
                  <c:v>19815</c:v>
                </c:pt>
                <c:pt idx="76">
                  <c:v>19845</c:v>
                </c:pt>
                <c:pt idx="77">
                  <c:v>19876</c:v>
                </c:pt>
                <c:pt idx="78">
                  <c:v>19906</c:v>
                </c:pt>
                <c:pt idx="79">
                  <c:v>19937</c:v>
                </c:pt>
                <c:pt idx="80">
                  <c:v>19968</c:v>
                </c:pt>
                <c:pt idx="81">
                  <c:v>19998</c:v>
                </c:pt>
                <c:pt idx="82">
                  <c:v>20029</c:v>
                </c:pt>
                <c:pt idx="83">
                  <c:v>20059</c:v>
                </c:pt>
                <c:pt idx="84">
                  <c:v>20090</c:v>
                </c:pt>
                <c:pt idx="85">
                  <c:v>20121</c:v>
                </c:pt>
                <c:pt idx="86">
                  <c:v>20149</c:v>
                </c:pt>
                <c:pt idx="87">
                  <c:v>20180</c:v>
                </c:pt>
                <c:pt idx="88">
                  <c:v>20210</c:v>
                </c:pt>
                <c:pt idx="89">
                  <c:v>20241</c:v>
                </c:pt>
                <c:pt idx="90">
                  <c:v>20271</c:v>
                </c:pt>
                <c:pt idx="91">
                  <c:v>20302</c:v>
                </c:pt>
                <c:pt idx="92">
                  <c:v>20333</c:v>
                </c:pt>
                <c:pt idx="93">
                  <c:v>20363</c:v>
                </c:pt>
                <c:pt idx="94">
                  <c:v>20394</c:v>
                </c:pt>
                <c:pt idx="95">
                  <c:v>20424</c:v>
                </c:pt>
                <c:pt idx="96">
                  <c:v>20455</c:v>
                </c:pt>
                <c:pt idx="97">
                  <c:v>20486</c:v>
                </c:pt>
                <c:pt idx="98">
                  <c:v>20515</c:v>
                </c:pt>
                <c:pt idx="99">
                  <c:v>20546</c:v>
                </c:pt>
                <c:pt idx="100">
                  <c:v>20576</c:v>
                </c:pt>
                <c:pt idx="101">
                  <c:v>20607</c:v>
                </c:pt>
                <c:pt idx="102">
                  <c:v>20637</c:v>
                </c:pt>
                <c:pt idx="103">
                  <c:v>20668</c:v>
                </c:pt>
                <c:pt idx="104">
                  <c:v>20699</c:v>
                </c:pt>
                <c:pt idx="105">
                  <c:v>20729</c:v>
                </c:pt>
                <c:pt idx="106">
                  <c:v>20760</c:v>
                </c:pt>
                <c:pt idx="107">
                  <c:v>20790</c:v>
                </c:pt>
                <c:pt idx="108">
                  <c:v>20821</c:v>
                </c:pt>
                <c:pt idx="109">
                  <c:v>20852</c:v>
                </c:pt>
                <c:pt idx="110">
                  <c:v>20880</c:v>
                </c:pt>
                <c:pt idx="111">
                  <c:v>20911</c:v>
                </c:pt>
                <c:pt idx="112">
                  <c:v>20941</c:v>
                </c:pt>
                <c:pt idx="113">
                  <c:v>20972</c:v>
                </c:pt>
                <c:pt idx="114">
                  <c:v>21002</c:v>
                </c:pt>
                <c:pt idx="115">
                  <c:v>21033</c:v>
                </c:pt>
                <c:pt idx="116">
                  <c:v>21064</c:v>
                </c:pt>
                <c:pt idx="117">
                  <c:v>21094</c:v>
                </c:pt>
                <c:pt idx="118">
                  <c:v>21125</c:v>
                </c:pt>
                <c:pt idx="119">
                  <c:v>21155</c:v>
                </c:pt>
                <c:pt idx="120">
                  <c:v>21186</c:v>
                </c:pt>
                <c:pt idx="121">
                  <c:v>21217</c:v>
                </c:pt>
                <c:pt idx="122">
                  <c:v>21245</c:v>
                </c:pt>
                <c:pt idx="123">
                  <c:v>21276</c:v>
                </c:pt>
                <c:pt idx="124">
                  <c:v>21306</c:v>
                </c:pt>
                <c:pt idx="125">
                  <c:v>21337</c:v>
                </c:pt>
                <c:pt idx="126">
                  <c:v>21367</c:v>
                </c:pt>
                <c:pt idx="127">
                  <c:v>21398</c:v>
                </c:pt>
                <c:pt idx="128">
                  <c:v>21429</c:v>
                </c:pt>
                <c:pt idx="129">
                  <c:v>21459</c:v>
                </c:pt>
                <c:pt idx="130">
                  <c:v>21490</c:v>
                </c:pt>
                <c:pt idx="131">
                  <c:v>21520</c:v>
                </c:pt>
                <c:pt idx="132">
                  <c:v>21551</c:v>
                </c:pt>
                <c:pt idx="133">
                  <c:v>21582</c:v>
                </c:pt>
                <c:pt idx="134">
                  <c:v>21610</c:v>
                </c:pt>
                <c:pt idx="135">
                  <c:v>21641</c:v>
                </c:pt>
                <c:pt idx="136">
                  <c:v>21671</c:v>
                </c:pt>
                <c:pt idx="137">
                  <c:v>21702</c:v>
                </c:pt>
                <c:pt idx="138">
                  <c:v>21732</c:v>
                </c:pt>
                <c:pt idx="139">
                  <c:v>21763</c:v>
                </c:pt>
                <c:pt idx="140">
                  <c:v>21794</c:v>
                </c:pt>
                <c:pt idx="141">
                  <c:v>21824</c:v>
                </c:pt>
                <c:pt idx="142">
                  <c:v>21855</c:v>
                </c:pt>
                <c:pt idx="143">
                  <c:v>21885</c:v>
                </c:pt>
                <c:pt idx="144">
                  <c:v>21916</c:v>
                </c:pt>
                <c:pt idx="145">
                  <c:v>21947</c:v>
                </c:pt>
                <c:pt idx="146">
                  <c:v>21976</c:v>
                </c:pt>
                <c:pt idx="147">
                  <c:v>22007</c:v>
                </c:pt>
                <c:pt idx="148">
                  <c:v>22037</c:v>
                </c:pt>
                <c:pt idx="149">
                  <c:v>22068</c:v>
                </c:pt>
                <c:pt idx="150">
                  <c:v>22098</c:v>
                </c:pt>
                <c:pt idx="151">
                  <c:v>22129</c:v>
                </c:pt>
                <c:pt idx="152">
                  <c:v>22160</c:v>
                </c:pt>
                <c:pt idx="153">
                  <c:v>22190</c:v>
                </c:pt>
                <c:pt idx="154">
                  <c:v>22221</c:v>
                </c:pt>
                <c:pt idx="155">
                  <c:v>22251</c:v>
                </c:pt>
                <c:pt idx="156">
                  <c:v>22282</c:v>
                </c:pt>
                <c:pt idx="157">
                  <c:v>22313</c:v>
                </c:pt>
                <c:pt idx="158">
                  <c:v>22341</c:v>
                </c:pt>
                <c:pt idx="159">
                  <c:v>22372</c:v>
                </c:pt>
                <c:pt idx="160">
                  <c:v>22402</c:v>
                </c:pt>
                <c:pt idx="161">
                  <c:v>22433</c:v>
                </c:pt>
                <c:pt idx="162">
                  <c:v>22463</c:v>
                </c:pt>
                <c:pt idx="163">
                  <c:v>22494</c:v>
                </c:pt>
                <c:pt idx="164">
                  <c:v>22525</c:v>
                </c:pt>
                <c:pt idx="165">
                  <c:v>22555</c:v>
                </c:pt>
                <c:pt idx="166">
                  <c:v>22586</c:v>
                </c:pt>
                <c:pt idx="167">
                  <c:v>22616</c:v>
                </c:pt>
                <c:pt idx="168">
                  <c:v>22647</c:v>
                </c:pt>
                <c:pt idx="169">
                  <c:v>22678</c:v>
                </c:pt>
                <c:pt idx="170">
                  <c:v>22706</c:v>
                </c:pt>
                <c:pt idx="171">
                  <c:v>22737</c:v>
                </c:pt>
                <c:pt idx="172">
                  <c:v>22767</c:v>
                </c:pt>
                <c:pt idx="173">
                  <c:v>22798</c:v>
                </c:pt>
                <c:pt idx="174">
                  <c:v>22828</c:v>
                </c:pt>
                <c:pt idx="175">
                  <c:v>22859</c:v>
                </c:pt>
                <c:pt idx="176">
                  <c:v>22890</c:v>
                </c:pt>
                <c:pt idx="177">
                  <c:v>22920</c:v>
                </c:pt>
                <c:pt idx="178">
                  <c:v>22951</c:v>
                </c:pt>
                <c:pt idx="179">
                  <c:v>22981</c:v>
                </c:pt>
                <c:pt idx="180">
                  <c:v>23012</c:v>
                </c:pt>
                <c:pt idx="181">
                  <c:v>23043</c:v>
                </c:pt>
                <c:pt idx="182">
                  <c:v>23071</c:v>
                </c:pt>
                <c:pt idx="183">
                  <c:v>23102</c:v>
                </c:pt>
                <c:pt idx="184">
                  <c:v>23132</c:v>
                </c:pt>
                <c:pt idx="185">
                  <c:v>23163</c:v>
                </c:pt>
                <c:pt idx="186">
                  <c:v>23193</c:v>
                </c:pt>
                <c:pt idx="187">
                  <c:v>23224</c:v>
                </c:pt>
                <c:pt idx="188">
                  <c:v>23255</c:v>
                </c:pt>
                <c:pt idx="189">
                  <c:v>23285</c:v>
                </c:pt>
                <c:pt idx="190">
                  <c:v>23316</c:v>
                </c:pt>
                <c:pt idx="191">
                  <c:v>23346</c:v>
                </c:pt>
                <c:pt idx="192">
                  <c:v>23377</c:v>
                </c:pt>
                <c:pt idx="193">
                  <c:v>23408</c:v>
                </c:pt>
                <c:pt idx="194">
                  <c:v>23437</c:v>
                </c:pt>
                <c:pt idx="195">
                  <c:v>23468</c:v>
                </c:pt>
                <c:pt idx="196">
                  <c:v>23498</c:v>
                </c:pt>
                <c:pt idx="197">
                  <c:v>23529</c:v>
                </c:pt>
                <c:pt idx="198">
                  <c:v>23559</c:v>
                </c:pt>
                <c:pt idx="199">
                  <c:v>23590</c:v>
                </c:pt>
                <c:pt idx="200">
                  <c:v>23621</c:v>
                </c:pt>
                <c:pt idx="201">
                  <c:v>23651</c:v>
                </c:pt>
                <c:pt idx="202">
                  <c:v>23682</c:v>
                </c:pt>
                <c:pt idx="203">
                  <c:v>23712</c:v>
                </c:pt>
                <c:pt idx="204">
                  <c:v>23743</c:v>
                </c:pt>
                <c:pt idx="205">
                  <c:v>23774</c:v>
                </c:pt>
                <c:pt idx="206">
                  <c:v>23802</c:v>
                </c:pt>
                <c:pt idx="207">
                  <c:v>23833</c:v>
                </c:pt>
                <c:pt idx="208">
                  <c:v>23863</c:v>
                </c:pt>
                <c:pt idx="209">
                  <c:v>23894</c:v>
                </c:pt>
                <c:pt idx="210">
                  <c:v>23924</c:v>
                </c:pt>
                <c:pt idx="211">
                  <c:v>23955</c:v>
                </c:pt>
                <c:pt idx="212">
                  <c:v>23986</c:v>
                </c:pt>
                <c:pt idx="213">
                  <c:v>24016</c:v>
                </c:pt>
                <c:pt idx="214">
                  <c:v>24047</c:v>
                </c:pt>
                <c:pt idx="215">
                  <c:v>24077</c:v>
                </c:pt>
                <c:pt idx="216">
                  <c:v>24108</c:v>
                </c:pt>
                <c:pt idx="217">
                  <c:v>24139</c:v>
                </c:pt>
                <c:pt idx="218">
                  <c:v>24167</c:v>
                </c:pt>
                <c:pt idx="219">
                  <c:v>24198</c:v>
                </c:pt>
                <c:pt idx="220">
                  <c:v>24228</c:v>
                </c:pt>
                <c:pt idx="221">
                  <c:v>24259</c:v>
                </c:pt>
                <c:pt idx="222">
                  <c:v>24289</c:v>
                </c:pt>
                <c:pt idx="223">
                  <c:v>24320</c:v>
                </c:pt>
                <c:pt idx="224">
                  <c:v>24351</c:v>
                </c:pt>
                <c:pt idx="225">
                  <c:v>24381</c:v>
                </c:pt>
                <c:pt idx="226">
                  <c:v>24412</c:v>
                </c:pt>
                <c:pt idx="227">
                  <c:v>24442</c:v>
                </c:pt>
                <c:pt idx="228">
                  <c:v>24473</c:v>
                </c:pt>
                <c:pt idx="229">
                  <c:v>24504</c:v>
                </c:pt>
                <c:pt idx="230">
                  <c:v>24532</c:v>
                </c:pt>
                <c:pt idx="231">
                  <c:v>24563</c:v>
                </c:pt>
                <c:pt idx="232">
                  <c:v>24593</c:v>
                </c:pt>
                <c:pt idx="233">
                  <c:v>24624</c:v>
                </c:pt>
                <c:pt idx="234">
                  <c:v>24654</c:v>
                </c:pt>
                <c:pt idx="235">
                  <c:v>24685</c:v>
                </c:pt>
                <c:pt idx="236">
                  <c:v>24716</c:v>
                </c:pt>
                <c:pt idx="237">
                  <c:v>24746</c:v>
                </c:pt>
                <c:pt idx="238">
                  <c:v>24777</c:v>
                </c:pt>
                <c:pt idx="239">
                  <c:v>24807</c:v>
                </c:pt>
                <c:pt idx="240">
                  <c:v>24838</c:v>
                </c:pt>
                <c:pt idx="241">
                  <c:v>24869</c:v>
                </c:pt>
                <c:pt idx="242">
                  <c:v>24898</c:v>
                </c:pt>
                <c:pt idx="243">
                  <c:v>24929</c:v>
                </c:pt>
                <c:pt idx="244">
                  <c:v>24959</c:v>
                </c:pt>
                <c:pt idx="245">
                  <c:v>24990</c:v>
                </c:pt>
                <c:pt idx="246">
                  <c:v>25020</c:v>
                </c:pt>
                <c:pt idx="247">
                  <c:v>25051</c:v>
                </c:pt>
                <c:pt idx="248">
                  <c:v>25082</c:v>
                </c:pt>
                <c:pt idx="249">
                  <c:v>25112</c:v>
                </c:pt>
                <c:pt idx="250">
                  <c:v>25143</c:v>
                </c:pt>
                <c:pt idx="251">
                  <c:v>25173</c:v>
                </c:pt>
                <c:pt idx="252">
                  <c:v>25204</c:v>
                </c:pt>
                <c:pt idx="253">
                  <c:v>25235</c:v>
                </c:pt>
                <c:pt idx="254">
                  <c:v>25263</c:v>
                </c:pt>
                <c:pt idx="255">
                  <c:v>25294</c:v>
                </c:pt>
                <c:pt idx="256">
                  <c:v>25324</c:v>
                </c:pt>
                <c:pt idx="257">
                  <c:v>25355</c:v>
                </c:pt>
                <c:pt idx="258">
                  <c:v>25385</c:v>
                </c:pt>
                <c:pt idx="259">
                  <c:v>25416</c:v>
                </c:pt>
                <c:pt idx="260">
                  <c:v>25447</c:v>
                </c:pt>
                <c:pt idx="261">
                  <c:v>25477</c:v>
                </c:pt>
                <c:pt idx="262">
                  <c:v>25508</c:v>
                </c:pt>
                <c:pt idx="263">
                  <c:v>25538</c:v>
                </c:pt>
                <c:pt idx="264">
                  <c:v>25569</c:v>
                </c:pt>
                <c:pt idx="265">
                  <c:v>25600</c:v>
                </c:pt>
                <c:pt idx="266">
                  <c:v>25628</c:v>
                </c:pt>
                <c:pt idx="267">
                  <c:v>25659</c:v>
                </c:pt>
                <c:pt idx="268">
                  <c:v>25689</c:v>
                </c:pt>
                <c:pt idx="269">
                  <c:v>25720</c:v>
                </c:pt>
                <c:pt idx="270">
                  <c:v>25750</c:v>
                </c:pt>
                <c:pt idx="271">
                  <c:v>25781</c:v>
                </c:pt>
                <c:pt idx="272">
                  <c:v>25812</c:v>
                </c:pt>
                <c:pt idx="273">
                  <c:v>25842</c:v>
                </c:pt>
                <c:pt idx="274">
                  <c:v>25873</c:v>
                </c:pt>
                <c:pt idx="275">
                  <c:v>25903</c:v>
                </c:pt>
                <c:pt idx="276">
                  <c:v>25934</c:v>
                </c:pt>
                <c:pt idx="277">
                  <c:v>25965</c:v>
                </c:pt>
                <c:pt idx="278">
                  <c:v>25993</c:v>
                </c:pt>
                <c:pt idx="279">
                  <c:v>26024</c:v>
                </c:pt>
                <c:pt idx="280">
                  <c:v>26054</c:v>
                </c:pt>
                <c:pt idx="281">
                  <c:v>26085</c:v>
                </c:pt>
                <c:pt idx="282">
                  <c:v>26115</c:v>
                </c:pt>
                <c:pt idx="283">
                  <c:v>26146</c:v>
                </c:pt>
                <c:pt idx="284">
                  <c:v>26177</c:v>
                </c:pt>
                <c:pt idx="285">
                  <c:v>26207</c:v>
                </c:pt>
                <c:pt idx="286">
                  <c:v>26238</c:v>
                </c:pt>
                <c:pt idx="287">
                  <c:v>26268</c:v>
                </c:pt>
                <c:pt idx="288">
                  <c:v>26299</c:v>
                </c:pt>
                <c:pt idx="289">
                  <c:v>26330</c:v>
                </c:pt>
                <c:pt idx="290">
                  <c:v>26359</c:v>
                </c:pt>
                <c:pt idx="291">
                  <c:v>26390</c:v>
                </c:pt>
                <c:pt idx="292">
                  <c:v>26420</c:v>
                </c:pt>
                <c:pt idx="293">
                  <c:v>26451</c:v>
                </c:pt>
                <c:pt idx="294">
                  <c:v>26481</c:v>
                </c:pt>
                <c:pt idx="295">
                  <c:v>26512</c:v>
                </c:pt>
                <c:pt idx="296">
                  <c:v>26543</c:v>
                </c:pt>
                <c:pt idx="297">
                  <c:v>26573</c:v>
                </c:pt>
                <c:pt idx="298">
                  <c:v>26604</c:v>
                </c:pt>
                <c:pt idx="299">
                  <c:v>26634</c:v>
                </c:pt>
                <c:pt idx="300">
                  <c:v>26665</c:v>
                </c:pt>
                <c:pt idx="301">
                  <c:v>26696</c:v>
                </c:pt>
                <c:pt idx="302">
                  <c:v>26724</c:v>
                </c:pt>
                <c:pt idx="303">
                  <c:v>26755</c:v>
                </c:pt>
                <c:pt idx="304">
                  <c:v>26785</c:v>
                </c:pt>
                <c:pt idx="305">
                  <c:v>26816</c:v>
                </c:pt>
                <c:pt idx="306">
                  <c:v>26846</c:v>
                </c:pt>
                <c:pt idx="307">
                  <c:v>26877</c:v>
                </c:pt>
                <c:pt idx="308">
                  <c:v>26908</c:v>
                </c:pt>
                <c:pt idx="309">
                  <c:v>26938</c:v>
                </c:pt>
                <c:pt idx="310">
                  <c:v>26969</c:v>
                </c:pt>
                <c:pt idx="311">
                  <c:v>26999</c:v>
                </c:pt>
                <c:pt idx="312">
                  <c:v>27030</c:v>
                </c:pt>
                <c:pt idx="313">
                  <c:v>27061</c:v>
                </c:pt>
                <c:pt idx="314">
                  <c:v>27089</c:v>
                </c:pt>
                <c:pt idx="315">
                  <c:v>27120</c:v>
                </c:pt>
                <c:pt idx="316">
                  <c:v>27150</c:v>
                </c:pt>
                <c:pt idx="317">
                  <c:v>27181</c:v>
                </c:pt>
                <c:pt idx="318">
                  <c:v>27211</c:v>
                </c:pt>
                <c:pt idx="319">
                  <c:v>27242</c:v>
                </c:pt>
                <c:pt idx="320">
                  <c:v>27273</c:v>
                </c:pt>
                <c:pt idx="321">
                  <c:v>27303</c:v>
                </c:pt>
                <c:pt idx="322">
                  <c:v>27334</c:v>
                </c:pt>
                <c:pt idx="323">
                  <c:v>27364</c:v>
                </c:pt>
                <c:pt idx="324">
                  <c:v>27395</c:v>
                </c:pt>
                <c:pt idx="325">
                  <c:v>27426</c:v>
                </c:pt>
                <c:pt idx="326">
                  <c:v>27454</c:v>
                </c:pt>
                <c:pt idx="327">
                  <c:v>27485</c:v>
                </c:pt>
                <c:pt idx="328">
                  <c:v>27515</c:v>
                </c:pt>
                <c:pt idx="329">
                  <c:v>27546</c:v>
                </c:pt>
                <c:pt idx="330">
                  <c:v>27576</c:v>
                </c:pt>
                <c:pt idx="331">
                  <c:v>27607</c:v>
                </c:pt>
                <c:pt idx="332">
                  <c:v>27638</c:v>
                </c:pt>
                <c:pt idx="333">
                  <c:v>27668</c:v>
                </c:pt>
                <c:pt idx="334">
                  <c:v>27699</c:v>
                </c:pt>
                <c:pt idx="335">
                  <c:v>27729</c:v>
                </c:pt>
                <c:pt idx="336">
                  <c:v>27760</c:v>
                </c:pt>
                <c:pt idx="337">
                  <c:v>27791</c:v>
                </c:pt>
                <c:pt idx="338">
                  <c:v>27820</c:v>
                </c:pt>
                <c:pt idx="339">
                  <c:v>27851</c:v>
                </c:pt>
                <c:pt idx="340">
                  <c:v>27881</c:v>
                </c:pt>
                <c:pt idx="341">
                  <c:v>27912</c:v>
                </c:pt>
                <c:pt idx="342">
                  <c:v>27942</c:v>
                </c:pt>
                <c:pt idx="343">
                  <c:v>27973</c:v>
                </c:pt>
                <c:pt idx="344">
                  <c:v>28004</c:v>
                </c:pt>
                <c:pt idx="345">
                  <c:v>28034</c:v>
                </c:pt>
                <c:pt idx="346">
                  <c:v>28065</c:v>
                </c:pt>
                <c:pt idx="347">
                  <c:v>28095</c:v>
                </c:pt>
                <c:pt idx="348">
                  <c:v>28126</c:v>
                </c:pt>
                <c:pt idx="349">
                  <c:v>28157</c:v>
                </c:pt>
                <c:pt idx="350">
                  <c:v>28185</c:v>
                </c:pt>
                <c:pt idx="351">
                  <c:v>28216</c:v>
                </c:pt>
                <c:pt idx="352">
                  <c:v>28246</c:v>
                </c:pt>
                <c:pt idx="353">
                  <c:v>28277</c:v>
                </c:pt>
                <c:pt idx="354">
                  <c:v>28307</c:v>
                </c:pt>
                <c:pt idx="355">
                  <c:v>28338</c:v>
                </c:pt>
                <c:pt idx="356">
                  <c:v>28369</c:v>
                </c:pt>
                <c:pt idx="357">
                  <c:v>28399</c:v>
                </c:pt>
                <c:pt idx="358">
                  <c:v>28430</c:v>
                </c:pt>
                <c:pt idx="359">
                  <c:v>28460</c:v>
                </c:pt>
                <c:pt idx="360">
                  <c:v>28491</c:v>
                </c:pt>
                <c:pt idx="361">
                  <c:v>28522</c:v>
                </c:pt>
                <c:pt idx="362">
                  <c:v>28550</c:v>
                </c:pt>
                <c:pt idx="363">
                  <c:v>28581</c:v>
                </c:pt>
                <c:pt idx="364">
                  <c:v>28611</c:v>
                </c:pt>
                <c:pt idx="365">
                  <c:v>28642</c:v>
                </c:pt>
                <c:pt idx="366">
                  <c:v>28672</c:v>
                </c:pt>
                <c:pt idx="367">
                  <c:v>28703</c:v>
                </c:pt>
                <c:pt idx="368">
                  <c:v>28734</c:v>
                </c:pt>
                <c:pt idx="369">
                  <c:v>28764</c:v>
                </c:pt>
                <c:pt idx="370">
                  <c:v>28795</c:v>
                </c:pt>
                <c:pt idx="371">
                  <c:v>28825</c:v>
                </c:pt>
                <c:pt idx="372">
                  <c:v>28856</c:v>
                </c:pt>
                <c:pt idx="373">
                  <c:v>28887</c:v>
                </c:pt>
                <c:pt idx="374">
                  <c:v>28915</c:v>
                </c:pt>
                <c:pt idx="375">
                  <c:v>28946</c:v>
                </c:pt>
                <c:pt idx="376">
                  <c:v>28976</c:v>
                </c:pt>
                <c:pt idx="377">
                  <c:v>29007</c:v>
                </c:pt>
                <c:pt idx="378">
                  <c:v>29037</c:v>
                </c:pt>
                <c:pt idx="379">
                  <c:v>29068</c:v>
                </c:pt>
                <c:pt idx="380">
                  <c:v>29099</c:v>
                </c:pt>
                <c:pt idx="381">
                  <c:v>29129</c:v>
                </c:pt>
                <c:pt idx="382">
                  <c:v>29160</c:v>
                </c:pt>
                <c:pt idx="383">
                  <c:v>29190</c:v>
                </c:pt>
                <c:pt idx="384">
                  <c:v>29221</c:v>
                </c:pt>
                <c:pt idx="385">
                  <c:v>29252</c:v>
                </c:pt>
                <c:pt idx="386">
                  <c:v>29281</c:v>
                </c:pt>
                <c:pt idx="387">
                  <c:v>29312</c:v>
                </c:pt>
                <c:pt idx="388">
                  <c:v>29342</c:v>
                </c:pt>
                <c:pt idx="389">
                  <c:v>29373</c:v>
                </c:pt>
                <c:pt idx="390">
                  <c:v>29403</c:v>
                </c:pt>
                <c:pt idx="391">
                  <c:v>29434</c:v>
                </c:pt>
                <c:pt idx="392">
                  <c:v>29465</c:v>
                </c:pt>
                <c:pt idx="393">
                  <c:v>29495</c:v>
                </c:pt>
                <c:pt idx="394">
                  <c:v>29526</c:v>
                </c:pt>
                <c:pt idx="395">
                  <c:v>29556</c:v>
                </c:pt>
                <c:pt idx="396">
                  <c:v>29587</c:v>
                </c:pt>
                <c:pt idx="397">
                  <c:v>29618</c:v>
                </c:pt>
                <c:pt idx="398">
                  <c:v>29646</c:v>
                </c:pt>
                <c:pt idx="399">
                  <c:v>29677</c:v>
                </c:pt>
                <c:pt idx="400">
                  <c:v>29707</c:v>
                </c:pt>
                <c:pt idx="401">
                  <c:v>29738</c:v>
                </c:pt>
                <c:pt idx="402">
                  <c:v>29768</c:v>
                </c:pt>
                <c:pt idx="403">
                  <c:v>29799</c:v>
                </c:pt>
                <c:pt idx="404">
                  <c:v>29830</c:v>
                </c:pt>
                <c:pt idx="405">
                  <c:v>29860</c:v>
                </c:pt>
                <c:pt idx="406">
                  <c:v>29891</c:v>
                </c:pt>
                <c:pt idx="407">
                  <c:v>29921</c:v>
                </c:pt>
                <c:pt idx="408">
                  <c:v>29952</c:v>
                </c:pt>
                <c:pt idx="409">
                  <c:v>29983</c:v>
                </c:pt>
                <c:pt idx="410">
                  <c:v>30011</c:v>
                </c:pt>
                <c:pt idx="411">
                  <c:v>30042</c:v>
                </c:pt>
                <c:pt idx="412">
                  <c:v>30072</c:v>
                </c:pt>
                <c:pt idx="413">
                  <c:v>30103</c:v>
                </c:pt>
                <c:pt idx="414">
                  <c:v>30133</c:v>
                </c:pt>
                <c:pt idx="415">
                  <c:v>30164</c:v>
                </c:pt>
                <c:pt idx="416">
                  <c:v>30195</c:v>
                </c:pt>
                <c:pt idx="417">
                  <c:v>30225</c:v>
                </c:pt>
                <c:pt idx="418">
                  <c:v>30256</c:v>
                </c:pt>
                <c:pt idx="419">
                  <c:v>30286</c:v>
                </c:pt>
                <c:pt idx="420">
                  <c:v>30317</c:v>
                </c:pt>
                <c:pt idx="421">
                  <c:v>30348</c:v>
                </c:pt>
                <c:pt idx="422">
                  <c:v>30376</c:v>
                </c:pt>
                <c:pt idx="423">
                  <c:v>30407</c:v>
                </c:pt>
                <c:pt idx="424">
                  <c:v>30437</c:v>
                </c:pt>
                <c:pt idx="425">
                  <c:v>30468</c:v>
                </c:pt>
                <c:pt idx="426">
                  <c:v>30498</c:v>
                </c:pt>
                <c:pt idx="427">
                  <c:v>30529</c:v>
                </c:pt>
                <c:pt idx="428">
                  <c:v>30560</c:v>
                </c:pt>
                <c:pt idx="429">
                  <c:v>30590</c:v>
                </c:pt>
                <c:pt idx="430">
                  <c:v>30621</c:v>
                </c:pt>
                <c:pt idx="431">
                  <c:v>30651</c:v>
                </c:pt>
                <c:pt idx="432">
                  <c:v>30682</c:v>
                </c:pt>
                <c:pt idx="433">
                  <c:v>30713</c:v>
                </c:pt>
                <c:pt idx="434">
                  <c:v>30742</c:v>
                </c:pt>
                <c:pt idx="435">
                  <c:v>30773</c:v>
                </c:pt>
                <c:pt idx="436">
                  <c:v>30803</c:v>
                </c:pt>
                <c:pt idx="437">
                  <c:v>30834</c:v>
                </c:pt>
                <c:pt idx="438">
                  <c:v>30864</c:v>
                </c:pt>
                <c:pt idx="439">
                  <c:v>30895</c:v>
                </c:pt>
                <c:pt idx="440">
                  <c:v>30926</c:v>
                </c:pt>
                <c:pt idx="441">
                  <c:v>30956</c:v>
                </c:pt>
                <c:pt idx="442">
                  <c:v>30987</c:v>
                </c:pt>
                <c:pt idx="443">
                  <c:v>31017</c:v>
                </c:pt>
                <c:pt idx="444">
                  <c:v>31048</c:v>
                </c:pt>
                <c:pt idx="445">
                  <c:v>31079</c:v>
                </c:pt>
                <c:pt idx="446">
                  <c:v>31107</c:v>
                </c:pt>
                <c:pt idx="447">
                  <c:v>31138</c:v>
                </c:pt>
                <c:pt idx="448">
                  <c:v>31168</c:v>
                </c:pt>
                <c:pt idx="449">
                  <c:v>31199</c:v>
                </c:pt>
                <c:pt idx="450">
                  <c:v>31229</c:v>
                </c:pt>
                <c:pt idx="451">
                  <c:v>31260</c:v>
                </c:pt>
                <c:pt idx="452">
                  <c:v>31291</c:v>
                </c:pt>
                <c:pt idx="453">
                  <c:v>31321</c:v>
                </c:pt>
                <c:pt idx="454">
                  <c:v>31352</c:v>
                </c:pt>
                <c:pt idx="455">
                  <c:v>31382</c:v>
                </c:pt>
                <c:pt idx="456">
                  <c:v>31413</c:v>
                </c:pt>
                <c:pt idx="457">
                  <c:v>31444</c:v>
                </c:pt>
                <c:pt idx="458">
                  <c:v>31472</c:v>
                </c:pt>
                <c:pt idx="459">
                  <c:v>31503</c:v>
                </c:pt>
                <c:pt idx="460">
                  <c:v>31533</c:v>
                </c:pt>
                <c:pt idx="461">
                  <c:v>31564</c:v>
                </c:pt>
                <c:pt idx="462">
                  <c:v>31594</c:v>
                </c:pt>
                <c:pt idx="463">
                  <c:v>31625</c:v>
                </c:pt>
                <c:pt idx="464">
                  <c:v>31656</c:v>
                </c:pt>
                <c:pt idx="465">
                  <c:v>31686</c:v>
                </c:pt>
                <c:pt idx="466">
                  <c:v>31717</c:v>
                </c:pt>
                <c:pt idx="467">
                  <c:v>31747</c:v>
                </c:pt>
                <c:pt idx="468">
                  <c:v>31778</c:v>
                </c:pt>
                <c:pt idx="469">
                  <c:v>31809</c:v>
                </c:pt>
                <c:pt idx="470">
                  <c:v>31837</c:v>
                </c:pt>
                <c:pt idx="471">
                  <c:v>31868</c:v>
                </c:pt>
                <c:pt idx="472">
                  <c:v>31898</c:v>
                </c:pt>
                <c:pt idx="473">
                  <c:v>31929</c:v>
                </c:pt>
                <c:pt idx="474">
                  <c:v>31959</c:v>
                </c:pt>
                <c:pt idx="475">
                  <c:v>31990</c:v>
                </c:pt>
                <c:pt idx="476">
                  <c:v>32021</c:v>
                </c:pt>
                <c:pt idx="477">
                  <c:v>32051</c:v>
                </c:pt>
                <c:pt idx="478">
                  <c:v>32082</c:v>
                </c:pt>
                <c:pt idx="479">
                  <c:v>32112</c:v>
                </c:pt>
                <c:pt idx="480">
                  <c:v>32143</c:v>
                </c:pt>
                <c:pt idx="481">
                  <c:v>32174</c:v>
                </c:pt>
                <c:pt idx="482">
                  <c:v>32203</c:v>
                </c:pt>
                <c:pt idx="483">
                  <c:v>32234</c:v>
                </c:pt>
                <c:pt idx="484">
                  <c:v>32264</c:v>
                </c:pt>
                <c:pt idx="485">
                  <c:v>32295</c:v>
                </c:pt>
                <c:pt idx="486">
                  <c:v>32325</c:v>
                </c:pt>
                <c:pt idx="487">
                  <c:v>32356</c:v>
                </c:pt>
                <c:pt idx="488">
                  <c:v>32387</c:v>
                </c:pt>
                <c:pt idx="489">
                  <c:v>32417</c:v>
                </c:pt>
                <c:pt idx="490">
                  <c:v>32448</c:v>
                </c:pt>
                <c:pt idx="491">
                  <c:v>32478</c:v>
                </c:pt>
                <c:pt idx="492">
                  <c:v>32509</c:v>
                </c:pt>
                <c:pt idx="493">
                  <c:v>32540</c:v>
                </c:pt>
                <c:pt idx="494">
                  <c:v>32568</c:v>
                </c:pt>
                <c:pt idx="495">
                  <c:v>32599</c:v>
                </c:pt>
                <c:pt idx="496">
                  <c:v>32629</c:v>
                </c:pt>
                <c:pt idx="497">
                  <c:v>32660</c:v>
                </c:pt>
                <c:pt idx="498">
                  <c:v>32690</c:v>
                </c:pt>
                <c:pt idx="499">
                  <c:v>32721</c:v>
                </c:pt>
                <c:pt idx="500">
                  <c:v>32752</c:v>
                </c:pt>
                <c:pt idx="501">
                  <c:v>32782</c:v>
                </c:pt>
                <c:pt idx="502">
                  <c:v>32813</c:v>
                </c:pt>
                <c:pt idx="503">
                  <c:v>32843</c:v>
                </c:pt>
                <c:pt idx="504">
                  <c:v>32874</c:v>
                </c:pt>
                <c:pt idx="505">
                  <c:v>32905</c:v>
                </c:pt>
                <c:pt idx="506">
                  <c:v>32933</c:v>
                </c:pt>
                <c:pt idx="507">
                  <c:v>32964</c:v>
                </c:pt>
                <c:pt idx="508">
                  <c:v>32994</c:v>
                </c:pt>
                <c:pt idx="509">
                  <c:v>33025</c:v>
                </c:pt>
                <c:pt idx="510">
                  <c:v>33055</c:v>
                </c:pt>
                <c:pt idx="511">
                  <c:v>33086</c:v>
                </c:pt>
                <c:pt idx="512">
                  <c:v>33117</c:v>
                </c:pt>
                <c:pt idx="513">
                  <c:v>33147</c:v>
                </c:pt>
                <c:pt idx="514">
                  <c:v>33178</c:v>
                </c:pt>
                <c:pt idx="515">
                  <c:v>33208</c:v>
                </c:pt>
                <c:pt idx="516">
                  <c:v>33239</c:v>
                </c:pt>
                <c:pt idx="517">
                  <c:v>33270</c:v>
                </c:pt>
                <c:pt idx="518">
                  <c:v>33298</c:v>
                </c:pt>
                <c:pt idx="519">
                  <c:v>33329</c:v>
                </c:pt>
                <c:pt idx="520">
                  <c:v>33359</c:v>
                </c:pt>
                <c:pt idx="521">
                  <c:v>33390</c:v>
                </c:pt>
                <c:pt idx="522">
                  <c:v>33420</c:v>
                </c:pt>
                <c:pt idx="523">
                  <c:v>33451</c:v>
                </c:pt>
                <c:pt idx="524">
                  <c:v>33482</c:v>
                </c:pt>
                <c:pt idx="525">
                  <c:v>33512</c:v>
                </c:pt>
                <c:pt idx="526">
                  <c:v>33543</c:v>
                </c:pt>
                <c:pt idx="527">
                  <c:v>33573</c:v>
                </c:pt>
                <c:pt idx="528">
                  <c:v>33604</c:v>
                </c:pt>
                <c:pt idx="529">
                  <c:v>33635</c:v>
                </c:pt>
                <c:pt idx="530">
                  <c:v>33664</c:v>
                </c:pt>
                <c:pt idx="531">
                  <c:v>33695</c:v>
                </c:pt>
                <c:pt idx="532">
                  <c:v>33725</c:v>
                </c:pt>
                <c:pt idx="533">
                  <c:v>33756</c:v>
                </c:pt>
                <c:pt idx="534">
                  <c:v>33786</c:v>
                </c:pt>
                <c:pt idx="535">
                  <c:v>33817</c:v>
                </c:pt>
                <c:pt idx="536">
                  <c:v>33848</c:v>
                </c:pt>
                <c:pt idx="537">
                  <c:v>33878</c:v>
                </c:pt>
                <c:pt idx="538">
                  <c:v>33909</c:v>
                </c:pt>
                <c:pt idx="539">
                  <c:v>33939</c:v>
                </c:pt>
                <c:pt idx="540">
                  <c:v>33970</c:v>
                </c:pt>
                <c:pt idx="541">
                  <c:v>34001</c:v>
                </c:pt>
                <c:pt idx="542">
                  <c:v>34029</c:v>
                </c:pt>
                <c:pt idx="543">
                  <c:v>34060</c:v>
                </c:pt>
                <c:pt idx="544">
                  <c:v>34090</c:v>
                </c:pt>
                <c:pt idx="545">
                  <c:v>34121</c:v>
                </c:pt>
                <c:pt idx="546">
                  <c:v>34151</c:v>
                </c:pt>
                <c:pt idx="547">
                  <c:v>34182</c:v>
                </c:pt>
                <c:pt idx="548">
                  <c:v>34213</c:v>
                </c:pt>
                <c:pt idx="549">
                  <c:v>34243</c:v>
                </c:pt>
                <c:pt idx="550">
                  <c:v>34274</c:v>
                </c:pt>
                <c:pt idx="551">
                  <c:v>34304</c:v>
                </c:pt>
                <c:pt idx="552">
                  <c:v>34335</c:v>
                </c:pt>
                <c:pt idx="553">
                  <c:v>34366</c:v>
                </c:pt>
                <c:pt idx="554">
                  <c:v>34394</c:v>
                </c:pt>
                <c:pt idx="555">
                  <c:v>34425</c:v>
                </c:pt>
                <c:pt idx="556">
                  <c:v>34455</c:v>
                </c:pt>
                <c:pt idx="557">
                  <c:v>34486</c:v>
                </c:pt>
                <c:pt idx="558">
                  <c:v>34516</c:v>
                </c:pt>
                <c:pt idx="559">
                  <c:v>34547</c:v>
                </c:pt>
                <c:pt idx="560">
                  <c:v>34578</c:v>
                </c:pt>
                <c:pt idx="561">
                  <c:v>34608</c:v>
                </c:pt>
                <c:pt idx="562">
                  <c:v>34639</c:v>
                </c:pt>
                <c:pt idx="563">
                  <c:v>34669</c:v>
                </c:pt>
                <c:pt idx="564">
                  <c:v>34700</c:v>
                </c:pt>
                <c:pt idx="565">
                  <c:v>34731</c:v>
                </c:pt>
                <c:pt idx="566">
                  <c:v>34759</c:v>
                </c:pt>
                <c:pt idx="567">
                  <c:v>34790</c:v>
                </c:pt>
                <c:pt idx="568">
                  <c:v>34820</c:v>
                </c:pt>
                <c:pt idx="569">
                  <c:v>34851</c:v>
                </c:pt>
                <c:pt idx="570">
                  <c:v>34881</c:v>
                </c:pt>
                <c:pt idx="571">
                  <c:v>34912</c:v>
                </c:pt>
                <c:pt idx="572">
                  <c:v>34943</c:v>
                </c:pt>
                <c:pt idx="573">
                  <c:v>34973</c:v>
                </c:pt>
                <c:pt idx="574">
                  <c:v>35004</c:v>
                </c:pt>
                <c:pt idx="575">
                  <c:v>35034</c:v>
                </c:pt>
                <c:pt idx="576">
                  <c:v>35065</c:v>
                </c:pt>
                <c:pt idx="577">
                  <c:v>35096</c:v>
                </c:pt>
                <c:pt idx="578">
                  <c:v>35125</c:v>
                </c:pt>
                <c:pt idx="579">
                  <c:v>35156</c:v>
                </c:pt>
                <c:pt idx="580">
                  <c:v>35186</c:v>
                </c:pt>
                <c:pt idx="581">
                  <c:v>35217</c:v>
                </c:pt>
                <c:pt idx="582">
                  <c:v>35247</c:v>
                </c:pt>
                <c:pt idx="583">
                  <c:v>35278</c:v>
                </c:pt>
                <c:pt idx="584">
                  <c:v>35309</c:v>
                </c:pt>
                <c:pt idx="585">
                  <c:v>35339</c:v>
                </c:pt>
                <c:pt idx="586">
                  <c:v>35370</c:v>
                </c:pt>
                <c:pt idx="587">
                  <c:v>35400</c:v>
                </c:pt>
                <c:pt idx="588">
                  <c:v>35431</c:v>
                </c:pt>
                <c:pt idx="589">
                  <c:v>35462</c:v>
                </c:pt>
                <c:pt idx="590">
                  <c:v>35490</c:v>
                </c:pt>
                <c:pt idx="591">
                  <c:v>35521</c:v>
                </c:pt>
                <c:pt idx="592">
                  <c:v>35551</c:v>
                </c:pt>
                <c:pt idx="593">
                  <c:v>35582</c:v>
                </c:pt>
                <c:pt idx="594">
                  <c:v>35612</c:v>
                </c:pt>
                <c:pt idx="595">
                  <c:v>35643</c:v>
                </c:pt>
                <c:pt idx="596">
                  <c:v>35674</c:v>
                </c:pt>
                <c:pt idx="597">
                  <c:v>35704</c:v>
                </c:pt>
                <c:pt idx="598">
                  <c:v>35735</c:v>
                </c:pt>
                <c:pt idx="599">
                  <c:v>35765</c:v>
                </c:pt>
                <c:pt idx="600">
                  <c:v>35796</c:v>
                </c:pt>
                <c:pt idx="601">
                  <c:v>35827</c:v>
                </c:pt>
                <c:pt idx="602">
                  <c:v>35855</c:v>
                </c:pt>
                <c:pt idx="603">
                  <c:v>35886</c:v>
                </c:pt>
                <c:pt idx="604">
                  <c:v>35916</c:v>
                </c:pt>
                <c:pt idx="605">
                  <c:v>35947</c:v>
                </c:pt>
                <c:pt idx="606">
                  <c:v>35977</c:v>
                </c:pt>
                <c:pt idx="607">
                  <c:v>36008</c:v>
                </c:pt>
                <c:pt idx="608">
                  <c:v>36039</c:v>
                </c:pt>
                <c:pt idx="609">
                  <c:v>36069</c:v>
                </c:pt>
                <c:pt idx="610">
                  <c:v>36100</c:v>
                </c:pt>
                <c:pt idx="611">
                  <c:v>36130</c:v>
                </c:pt>
                <c:pt idx="612">
                  <c:v>36161</c:v>
                </c:pt>
                <c:pt idx="613">
                  <c:v>36192</c:v>
                </c:pt>
                <c:pt idx="614">
                  <c:v>36220</c:v>
                </c:pt>
                <c:pt idx="615">
                  <c:v>36251</c:v>
                </c:pt>
                <c:pt idx="616">
                  <c:v>36281</c:v>
                </c:pt>
                <c:pt idx="617">
                  <c:v>36312</c:v>
                </c:pt>
                <c:pt idx="618">
                  <c:v>36342</c:v>
                </c:pt>
                <c:pt idx="619">
                  <c:v>36373</c:v>
                </c:pt>
                <c:pt idx="620">
                  <c:v>36404</c:v>
                </c:pt>
                <c:pt idx="621">
                  <c:v>36434</c:v>
                </c:pt>
                <c:pt idx="622">
                  <c:v>36465</c:v>
                </c:pt>
                <c:pt idx="623">
                  <c:v>36495</c:v>
                </c:pt>
                <c:pt idx="624">
                  <c:v>36526</c:v>
                </c:pt>
                <c:pt idx="625">
                  <c:v>36557</c:v>
                </c:pt>
                <c:pt idx="626">
                  <c:v>36586</c:v>
                </c:pt>
                <c:pt idx="627">
                  <c:v>36617</c:v>
                </c:pt>
                <c:pt idx="628">
                  <c:v>36647</c:v>
                </c:pt>
                <c:pt idx="629">
                  <c:v>36678</c:v>
                </c:pt>
                <c:pt idx="630">
                  <c:v>36708</c:v>
                </c:pt>
                <c:pt idx="631">
                  <c:v>36739</c:v>
                </c:pt>
                <c:pt idx="632">
                  <c:v>36770</c:v>
                </c:pt>
                <c:pt idx="633">
                  <c:v>36800</c:v>
                </c:pt>
                <c:pt idx="634">
                  <c:v>36831</c:v>
                </c:pt>
                <c:pt idx="635">
                  <c:v>36861</c:v>
                </c:pt>
                <c:pt idx="636">
                  <c:v>36892</c:v>
                </c:pt>
                <c:pt idx="637">
                  <c:v>36923</c:v>
                </c:pt>
                <c:pt idx="638">
                  <c:v>36951</c:v>
                </c:pt>
                <c:pt idx="639">
                  <c:v>36982</c:v>
                </c:pt>
                <c:pt idx="640">
                  <c:v>37012</c:v>
                </c:pt>
                <c:pt idx="641">
                  <c:v>37043</c:v>
                </c:pt>
                <c:pt idx="642">
                  <c:v>37073</c:v>
                </c:pt>
                <c:pt idx="643">
                  <c:v>37104</c:v>
                </c:pt>
                <c:pt idx="644">
                  <c:v>37135</c:v>
                </c:pt>
                <c:pt idx="645">
                  <c:v>37165</c:v>
                </c:pt>
                <c:pt idx="646">
                  <c:v>37196</c:v>
                </c:pt>
                <c:pt idx="647">
                  <c:v>37226</c:v>
                </c:pt>
                <c:pt idx="648">
                  <c:v>37257</c:v>
                </c:pt>
                <c:pt idx="649">
                  <c:v>37288</c:v>
                </c:pt>
                <c:pt idx="650">
                  <c:v>37316</c:v>
                </c:pt>
                <c:pt idx="651">
                  <c:v>37347</c:v>
                </c:pt>
                <c:pt idx="652">
                  <c:v>37377</c:v>
                </c:pt>
                <c:pt idx="653">
                  <c:v>37408</c:v>
                </c:pt>
                <c:pt idx="654">
                  <c:v>37438</c:v>
                </c:pt>
                <c:pt idx="655">
                  <c:v>37469</c:v>
                </c:pt>
                <c:pt idx="656">
                  <c:v>37500</c:v>
                </c:pt>
                <c:pt idx="657">
                  <c:v>37530</c:v>
                </c:pt>
                <c:pt idx="658">
                  <c:v>37561</c:v>
                </c:pt>
                <c:pt idx="659">
                  <c:v>37591</c:v>
                </c:pt>
                <c:pt idx="660">
                  <c:v>37622</c:v>
                </c:pt>
                <c:pt idx="661">
                  <c:v>37653</c:v>
                </c:pt>
                <c:pt idx="662">
                  <c:v>37681</c:v>
                </c:pt>
                <c:pt idx="663">
                  <c:v>37712</c:v>
                </c:pt>
                <c:pt idx="664">
                  <c:v>37742</c:v>
                </c:pt>
                <c:pt idx="665">
                  <c:v>37773</c:v>
                </c:pt>
                <c:pt idx="666">
                  <c:v>37803</c:v>
                </c:pt>
                <c:pt idx="667">
                  <c:v>37834</c:v>
                </c:pt>
                <c:pt idx="668">
                  <c:v>37865</c:v>
                </c:pt>
                <c:pt idx="669">
                  <c:v>37895</c:v>
                </c:pt>
                <c:pt idx="670">
                  <c:v>37926</c:v>
                </c:pt>
                <c:pt idx="671">
                  <c:v>37956</c:v>
                </c:pt>
                <c:pt idx="672">
                  <c:v>37987</c:v>
                </c:pt>
                <c:pt idx="673">
                  <c:v>38018</c:v>
                </c:pt>
                <c:pt idx="674">
                  <c:v>38047</c:v>
                </c:pt>
                <c:pt idx="675">
                  <c:v>38078</c:v>
                </c:pt>
                <c:pt idx="676">
                  <c:v>38108</c:v>
                </c:pt>
                <c:pt idx="677">
                  <c:v>38139</c:v>
                </c:pt>
                <c:pt idx="678">
                  <c:v>38169</c:v>
                </c:pt>
                <c:pt idx="679">
                  <c:v>38200</c:v>
                </c:pt>
                <c:pt idx="680">
                  <c:v>38231</c:v>
                </c:pt>
                <c:pt idx="681">
                  <c:v>38261</c:v>
                </c:pt>
                <c:pt idx="682">
                  <c:v>38292</c:v>
                </c:pt>
                <c:pt idx="683">
                  <c:v>38322</c:v>
                </c:pt>
                <c:pt idx="684">
                  <c:v>38353</c:v>
                </c:pt>
                <c:pt idx="685">
                  <c:v>38384</c:v>
                </c:pt>
                <c:pt idx="686">
                  <c:v>38412</c:v>
                </c:pt>
                <c:pt idx="687">
                  <c:v>38443</c:v>
                </c:pt>
                <c:pt idx="688">
                  <c:v>38473</c:v>
                </c:pt>
                <c:pt idx="689">
                  <c:v>38504</c:v>
                </c:pt>
                <c:pt idx="690">
                  <c:v>38534</c:v>
                </c:pt>
                <c:pt idx="691">
                  <c:v>38565</c:v>
                </c:pt>
                <c:pt idx="692">
                  <c:v>38596</c:v>
                </c:pt>
                <c:pt idx="693">
                  <c:v>38626</c:v>
                </c:pt>
                <c:pt idx="694">
                  <c:v>38657</c:v>
                </c:pt>
                <c:pt idx="695">
                  <c:v>38687</c:v>
                </c:pt>
                <c:pt idx="696">
                  <c:v>38718</c:v>
                </c:pt>
                <c:pt idx="697">
                  <c:v>38749</c:v>
                </c:pt>
                <c:pt idx="698">
                  <c:v>38777</c:v>
                </c:pt>
                <c:pt idx="699">
                  <c:v>38808</c:v>
                </c:pt>
                <c:pt idx="700">
                  <c:v>38838</c:v>
                </c:pt>
                <c:pt idx="701">
                  <c:v>38869</c:v>
                </c:pt>
                <c:pt idx="702">
                  <c:v>38899</c:v>
                </c:pt>
                <c:pt idx="703">
                  <c:v>38930</c:v>
                </c:pt>
                <c:pt idx="704">
                  <c:v>38961</c:v>
                </c:pt>
                <c:pt idx="705">
                  <c:v>38991</c:v>
                </c:pt>
                <c:pt idx="706">
                  <c:v>39022</c:v>
                </c:pt>
                <c:pt idx="707">
                  <c:v>39052</c:v>
                </c:pt>
                <c:pt idx="708">
                  <c:v>39083</c:v>
                </c:pt>
                <c:pt idx="709">
                  <c:v>39114</c:v>
                </c:pt>
                <c:pt idx="710">
                  <c:v>39142</c:v>
                </c:pt>
                <c:pt idx="711">
                  <c:v>39173</c:v>
                </c:pt>
                <c:pt idx="712">
                  <c:v>39203</c:v>
                </c:pt>
                <c:pt idx="713">
                  <c:v>39234</c:v>
                </c:pt>
                <c:pt idx="714">
                  <c:v>39264</c:v>
                </c:pt>
                <c:pt idx="715">
                  <c:v>39295</c:v>
                </c:pt>
                <c:pt idx="716">
                  <c:v>39326</c:v>
                </c:pt>
                <c:pt idx="717">
                  <c:v>39356</c:v>
                </c:pt>
                <c:pt idx="718">
                  <c:v>39387</c:v>
                </c:pt>
                <c:pt idx="719">
                  <c:v>39417</c:v>
                </c:pt>
                <c:pt idx="720">
                  <c:v>39448</c:v>
                </c:pt>
                <c:pt idx="721">
                  <c:v>39479</c:v>
                </c:pt>
                <c:pt idx="722">
                  <c:v>39508</c:v>
                </c:pt>
                <c:pt idx="723">
                  <c:v>39539</c:v>
                </c:pt>
                <c:pt idx="724">
                  <c:v>39569</c:v>
                </c:pt>
                <c:pt idx="725">
                  <c:v>39600</c:v>
                </c:pt>
                <c:pt idx="726">
                  <c:v>39630</c:v>
                </c:pt>
                <c:pt idx="727">
                  <c:v>39661</c:v>
                </c:pt>
                <c:pt idx="728">
                  <c:v>39692</c:v>
                </c:pt>
                <c:pt idx="729">
                  <c:v>39722</c:v>
                </c:pt>
                <c:pt idx="730">
                  <c:v>39753</c:v>
                </c:pt>
                <c:pt idx="731">
                  <c:v>39783</c:v>
                </c:pt>
                <c:pt idx="732">
                  <c:v>39814</c:v>
                </c:pt>
                <c:pt idx="733">
                  <c:v>39845</c:v>
                </c:pt>
                <c:pt idx="734">
                  <c:v>39873</c:v>
                </c:pt>
                <c:pt idx="735">
                  <c:v>39904</c:v>
                </c:pt>
                <c:pt idx="736">
                  <c:v>39934</c:v>
                </c:pt>
                <c:pt idx="737">
                  <c:v>39965</c:v>
                </c:pt>
                <c:pt idx="738">
                  <c:v>39995</c:v>
                </c:pt>
                <c:pt idx="739">
                  <c:v>40026</c:v>
                </c:pt>
                <c:pt idx="740">
                  <c:v>40057</c:v>
                </c:pt>
                <c:pt idx="741">
                  <c:v>40087</c:v>
                </c:pt>
                <c:pt idx="742">
                  <c:v>40118</c:v>
                </c:pt>
                <c:pt idx="743">
                  <c:v>40148</c:v>
                </c:pt>
                <c:pt idx="744">
                  <c:v>40179</c:v>
                </c:pt>
                <c:pt idx="745">
                  <c:v>40210</c:v>
                </c:pt>
                <c:pt idx="746">
                  <c:v>40238</c:v>
                </c:pt>
                <c:pt idx="747">
                  <c:v>40269</c:v>
                </c:pt>
                <c:pt idx="748">
                  <c:v>40299</c:v>
                </c:pt>
                <c:pt idx="749">
                  <c:v>40330</c:v>
                </c:pt>
                <c:pt idx="750">
                  <c:v>40360</c:v>
                </c:pt>
                <c:pt idx="751">
                  <c:v>40391</c:v>
                </c:pt>
                <c:pt idx="752">
                  <c:v>40422</c:v>
                </c:pt>
                <c:pt idx="753">
                  <c:v>40452</c:v>
                </c:pt>
                <c:pt idx="754">
                  <c:v>40483</c:v>
                </c:pt>
                <c:pt idx="755">
                  <c:v>40513</c:v>
                </c:pt>
                <c:pt idx="756">
                  <c:v>40544</c:v>
                </c:pt>
                <c:pt idx="757">
                  <c:v>40575</c:v>
                </c:pt>
                <c:pt idx="758">
                  <c:v>40603</c:v>
                </c:pt>
                <c:pt idx="759">
                  <c:v>40634</c:v>
                </c:pt>
                <c:pt idx="760">
                  <c:v>40664</c:v>
                </c:pt>
                <c:pt idx="761">
                  <c:v>40695</c:v>
                </c:pt>
                <c:pt idx="762">
                  <c:v>40725</c:v>
                </c:pt>
                <c:pt idx="763">
                  <c:v>40756</c:v>
                </c:pt>
                <c:pt idx="764">
                  <c:v>40787</c:v>
                </c:pt>
                <c:pt idx="765">
                  <c:v>40817</c:v>
                </c:pt>
                <c:pt idx="766">
                  <c:v>40848</c:v>
                </c:pt>
                <c:pt idx="767">
                  <c:v>40878</c:v>
                </c:pt>
                <c:pt idx="768">
                  <c:v>40909</c:v>
                </c:pt>
                <c:pt idx="769">
                  <c:v>40940</c:v>
                </c:pt>
                <c:pt idx="770">
                  <c:v>40969</c:v>
                </c:pt>
                <c:pt idx="771">
                  <c:v>41000</c:v>
                </c:pt>
                <c:pt idx="772">
                  <c:v>41030</c:v>
                </c:pt>
                <c:pt idx="773">
                  <c:v>41061</c:v>
                </c:pt>
                <c:pt idx="774">
                  <c:v>41091</c:v>
                </c:pt>
                <c:pt idx="775">
                  <c:v>41122</c:v>
                </c:pt>
                <c:pt idx="776">
                  <c:v>41153</c:v>
                </c:pt>
                <c:pt idx="777">
                  <c:v>41183</c:v>
                </c:pt>
                <c:pt idx="778">
                  <c:v>41214</c:v>
                </c:pt>
                <c:pt idx="779">
                  <c:v>41244</c:v>
                </c:pt>
                <c:pt idx="780">
                  <c:v>41275</c:v>
                </c:pt>
                <c:pt idx="781">
                  <c:v>41306</c:v>
                </c:pt>
                <c:pt idx="782">
                  <c:v>41334</c:v>
                </c:pt>
                <c:pt idx="783">
                  <c:v>41365</c:v>
                </c:pt>
                <c:pt idx="784">
                  <c:v>41395</c:v>
                </c:pt>
                <c:pt idx="785">
                  <c:v>41426</c:v>
                </c:pt>
                <c:pt idx="786">
                  <c:v>41456</c:v>
                </c:pt>
                <c:pt idx="787">
                  <c:v>41487</c:v>
                </c:pt>
                <c:pt idx="788">
                  <c:v>41518</c:v>
                </c:pt>
                <c:pt idx="789">
                  <c:v>41548</c:v>
                </c:pt>
                <c:pt idx="790">
                  <c:v>41579</c:v>
                </c:pt>
                <c:pt idx="791">
                  <c:v>41609</c:v>
                </c:pt>
                <c:pt idx="792">
                  <c:v>41640</c:v>
                </c:pt>
                <c:pt idx="793">
                  <c:v>41671</c:v>
                </c:pt>
                <c:pt idx="794">
                  <c:v>41699</c:v>
                </c:pt>
                <c:pt idx="795">
                  <c:v>41730</c:v>
                </c:pt>
                <c:pt idx="796">
                  <c:v>41760</c:v>
                </c:pt>
                <c:pt idx="797">
                  <c:v>41791</c:v>
                </c:pt>
                <c:pt idx="798">
                  <c:v>41821</c:v>
                </c:pt>
                <c:pt idx="799">
                  <c:v>41852</c:v>
                </c:pt>
                <c:pt idx="800">
                  <c:v>41883</c:v>
                </c:pt>
                <c:pt idx="801">
                  <c:v>41913</c:v>
                </c:pt>
                <c:pt idx="802">
                  <c:v>41944</c:v>
                </c:pt>
                <c:pt idx="803">
                  <c:v>41974</c:v>
                </c:pt>
                <c:pt idx="804">
                  <c:v>42005</c:v>
                </c:pt>
                <c:pt idx="805">
                  <c:v>42036</c:v>
                </c:pt>
                <c:pt idx="806">
                  <c:v>42064</c:v>
                </c:pt>
                <c:pt idx="807">
                  <c:v>42095</c:v>
                </c:pt>
                <c:pt idx="808">
                  <c:v>42125</c:v>
                </c:pt>
                <c:pt idx="809">
                  <c:v>42156</c:v>
                </c:pt>
                <c:pt idx="810">
                  <c:v>42186</c:v>
                </c:pt>
                <c:pt idx="811">
                  <c:v>42217</c:v>
                </c:pt>
                <c:pt idx="812">
                  <c:v>42248</c:v>
                </c:pt>
                <c:pt idx="813">
                  <c:v>42278</c:v>
                </c:pt>
                <c:pt idx="814">
                  <c:v>42309</c:v>
                </c:pt>
                <c:pt idx="815">
                  <c:v>42339</c:v>
                </c:pt>
                <c:pt idx="816">
                  <c:v>42370</c:v>
                </c:pt>
                <c:pt idx="817">
                  <c:v>42401</c:v>
                </c:pt>
                <c:pt idx="818">
                  <c:v>42430</c:v>
                </c:pt>
                <c:pt idx="819">
                  <c:v>42461</c:v>
                </c:pt>
                <c:pt idx="820">
                  <c:v>42491</c:v>
                </c:pt>
                <c:pt idx="821">
                  <c:v>42522</c:v>
                </c:pt>
                <c:pt idx="822">
                  <c:v>42552</c:v>
                </c:pt>
                <c:pt idx="823">
                  <c:v>42583</c:v>
                </c:pt>
                <c:pt idx="824">
                  <c:v>42614</c:v>
                </c:pt>
                <c:pt idx="825">
                  <c:v>42644</c:v>
                </c:pt>
                <c:pt idx="826">
                  <c:v>42675</c:v>
                </c:pt>
                <c:pt idx="827">
                  <c:v>42705</c:v>
                </c:pt>
                <c:pt idx="828">
                  <c:v>42736</c:v>
                </c:pt>
                <c:pt idx="829">
                  <c:v>42767</c:v>
                </c:pt>
                <c:pt idx="830">
                  <c:v>42795</c:v>
                </c:pt>
                <c:pt idx="831">
                  <c:v>42826</c:v>
                </c:pt>
                <c:pt idx="832">
                  <c:v>42856</c:v>
                </c:pt>
                <c:pt idx="833">
                  <c:v>42887</c:v>
                </c:pt>
                <c:pt idx="834">
                  <c:v>42917</c:v>
                </c:pt>
                <c:pt idx="835">
                  <c:v>42948</c:v>
                </c:pt>
                <c:pt idx="836">
                  <c:v>42979</c:v>
                </c:pt>
                <c:pt idx="837">
                  <c:v>43009</c:v>
                </c:pt>
                <c:pt idx="838">
                  <c:v>43040</c:v>
                </c:pt>
                <c:pt idx="839">
                  <c:v>43070</c:v>
                </c:pt>
                <c:pt idx="840">
                  <c:v>43101</c:v>
                </c:pt>
                <c:pt idx="841">
                  <c:v>43132</c:v>
                </c:pt>
                <c:pt idx="842">
                  <c:v>43160</c:v>
                </c:pt>
                <c:pt idx="843">
                  <c:v>43191</c:v>
                </c:pt>
                <c:pt idx="844">
                  <c:v>43221</c:v>
                </c:pt>
                <c:pt idx="845">
                  <c:v>43252</c:v>
                </c:pt>
                <c:pt idx="846">
                  <c:v>43282</c:v>
                </c:pt>
                <c:pt idx="847">
                  <c:v>43313</c:v>
                </c:pt>
                <c:pt idx="848">
                  <c:v>43344</c:v>
                </c:pt>
                <c:pt idx="849">
                  <c:v>43374</c:v>
                </c:pt>
                <c:pt idx="850">
                  <c:v>43405</c:v>
                </c:pt>
                <c:pt idx="851">
                  <c:v>43435</c:v>
                </c:pt>
                <c:pt idx="852">
                  <c:v>43466</c:v>
                </c:pt>
                <c:pt idx="853">
                  <c:v>43497</c:v>
                </c:pt>
                <c:pt idx="854">
                  <c:v>43525</c:v>
                </c:pt>
                <c:pt idx="855">
                  <c:v>43556</c:v>
                </c:pt>
                <c:pt idx="856">
                  <c:v>43586</c:v>
                </c:pt>
                <c:pt idx="857">
                  <c:v>43617</c:v>
                </c:pt>
                <c:pt idx="858">
                  <c:v>43647</c:v>
                </c:pt>
                <c:pt idx="859">
                  <c:v>43678</c:v>
                </c:pt>
                <c:pt idx="860">
                  <c:v>43709</c:v>
                </c:pt>
                <c:pt idx="861">
                  <c:v>43739</c:v>
                </c:pt>
                <c:pt idx="862">
                  <c:v>43770</c:v>
                </c:pt>
                <c:pt idx="863">
                  <c:v>43800</c:v>
                </c:pt>
                <c:pt idx="864">
                  <c:v>43831</c:v>
                </c:pt>
                <c:pt idx="865">
                  <c:v>43862</c:v>
                </c:pt>
                <c:pt idx="866">
                  <c:v>43891</c:v>
                </c:pt>
                <c:pt idx="867">
                  <c:v>43922</c:v>
                </c:pt>
                <c:pt idx="868">
                  <c:v>43952</c:v>
                </c:pt>
                <c:pt idx="869">
                  <c:v>43983</c:v>
                </c:pt>
                <c:pt idx="870">
                  <c:v>44013</c:v>
                </c:pt>
                <c:pt idx="871">
                  <c:v>44044</c:v>
                </c:pt>
                <c:pt idx="872">
                  <c:v>44075</c:v>
                </c:pt>
                <c:pt idx="873">
                  <c:v>44105</c:v>
                </c:pt>
                <c:pt idx="874">
                  <c:v>44136</c:v>
                </c:pt>
                <c:pt idx="875">
                  <c:v>44166</c:v>
                </c:pt>
                <c:pt idx="876">
                  <c:v>44197</c:v>
                </c:pt>
                <c:pt idx="877">
                  <c:v>44228</c:v>
                </c:pt>
                <c:pt idx="878">
                  <c:v>44256</c:v>
                </c:pt>
                <c:pt idx="879">
                  <c:v>44287</c:v>
                </c:pt>
                <c:pt idx="880">
                  <c:v>44317</c:v>
                </c:pt>
                <c:pt idx="881">
                  <c:v>44348</c:v>
                </c:pt>
                <c:pt idx="882">
                  <c:v>44378</c:v>
                </c:pt>
                <c:pt idx="883">
                  <c:v>44409</c:v>
                </c:pt>
                <c:pt idx="884">
                  <c:v>44440</c:v>
                </c:pt>
                <c:pt idx="885">
                  <c:v>44470</c:v>
                </c:pt>
                <c:pt idx="886">
                  <c:v>44501</c:v>
                </c:pt>
                <c:pt idx="887">
                  <c:v>44531</c:v>
                </c:pt>
                <c:pt idx="888">
                  <c:v>44562</c:v>
                </c:pt>
                <c:pt idx="889">
                  <c:v>44593</c:v>
                </c:pt>
                <c:pt idx="890">
                  <c:v>44621</c:v>
                </c:pt>
                <c:pt idx="891">
                  <c:v>44652</c:v>
                </c:pt>
                <c:pt idx="892">
                  <c:v>44682</c:v>
                </c:pt>
                <c:pt idx="893">
                  <c:v>44713</c:v>
                </c:pt>
                <c:pt idx="894">
                  <c:v>44743</c:v>
                </c:pt>
                <c:pt idx="895">
                  <c:v>44774</c:v>
                </c:pt>
                <c:pt idx="896">
                  <c:v>44805</c:v>
                </c:pt>
                <c:pt idx="897">
                  <c:v>44835</c:v>
                </c:pt>
                <c:pt idx="898">
                  <c:v>44866</c:v>
                </c:pt>
                <c:pt idx="899">
                  <c:v>44896</c:v>
                </c:pt>
                <c:pt idx="900">
                  <c:v>44927</c:v>
                </c:pt>
                <c:pt idx="901">
                  <c:v>44958</c:v>
                </c:pt>
                <c:pt idx="902">
                  <c:v>44986</c:v>
                </c:pt>
                <c:pt idx="903">
                  <c:v>45017</c:v>
                </c:pt>
                <c:pt idx="904">
                  <c:v>45047</c:v>
                </c:pt>
                <c:pt idx="905">
                  <c:v>45078</c:v>
                </c:pt>
                <c:pt idx="906">
                  <c:v>45108</c:v>
                </c:pt>
                <c:pt idx="907">
                  <c:v>45139</c:v>
                </c:pt>
                <c:pt idx="908">
                  <c:v>45170</c:v>
                </c:pt>
                <c:pt idx="909">
                  <c:v>45200</c:v>
                </c:pt>
                <c:pt idx="910">
                  <c:v>45231</c:v>
                </c:pt>
                <c:pt idx="911">
                  <c:v>45261</c:v>
                </c:pt>
                <c:pt idx="912">
                  <c:v>45292</c:v>
                </c:pt>
                <c:pt idx="913">
                  <c:v>45323</c:v>
                </c:pt>
                <c:pt idx="914">
                  <c:v>45352</c:v>
                </c:pt>
                <c:pt idx="915">
                  <c:v>45383</c:v>
                </c:pt>
                <c:pt idx="916">
                  <c:v>45413</c:v>
                </c:pt>
                <c:pt idx="917">
                  <c:v>45444</c:v>
                </c:pt>
                <c:pt idx="918">
                  <c:v>45474</c:v>
                </c:pt>
                <c:pt idx="919">
                  <c:v>45505</c:v>
                </c:pt>
                <c:pt idx="920">
                  <c:v>45536</c:v>
                </c:pt>
                <c:pt idx="921">
                  <c:v>45566</c:v>
                </c:pt>
                <c:pt idx="922">
                  <c:v>45597</c:v>
                </c:pt>
                <c:pt idx="923">
                  <c:v>45627</c:v>
                </c:pt>
              </c:numCache>
            </c:numRef>
          </c:cat>
          <c:val>
            <c:numRef>
              <c:f>Recession!$B$626:$B$925</c:f>
              <c:numCache>
                <c:formatCode>General</c:formatCode>
                <c:ptCount val="30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608-456B-91DA-D8A0732034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310352"/>
        <c:axId val="609837104"/>
      </c:area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58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midCat"/>
      </c:valAx>
      <c:valAx>
        <c:axId val="609837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13310352"/>
        <c:crosses val="max"/>
        <c:crossBetween val="midCat"/>
      </c:valAx>
      <c:dateAx>
        <c:axId val="61331035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098371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2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Recession!$B$712:$B$913</c:f>
              <c:numCache>
                <c:formatCode>General</c:formatCode>
                <c:ptCount val="20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1</c:v>
                </c:pt>
                <c:pt idx="156">
                  <c:v>1</c:v>
                </c:pt>
                <c:pt idx="157">
                  <c:v>1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E91-419B-812B-9FA8C4E693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015072"/>
        <c:axId val="31163632"/>
      </c:areaChart>
      <c:lineChart>
        <c:grouping val="standard"/>
        <c:varyColors val="0"/>
        <c:ser>
          <c:idx val="0"/>
          <c:order val="0"/>
          <c:tx>
            <c:strRef>
              <c:f>'Labor Market'!$F$2</c:f>
              <c:strCache>
                <c:ptCount val="1"/>
                <c:pt idx="0">
                  <c:v>Average Hourly Earnings (12M)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'Labor Market'!$A$713:$A$914</c:f>
              <c:numCache>
                <c:formatCode>[$-416]mmm\-yy;@</c:formatCode>
                <c:ptCount val="202"/>
                <c:pt idx="0">
                  <c:v>39142</c:v>
                </c:pt>
                <c:pt idx="1">
                  <c:v>39173</c:v>
                </c:pt>
                <c:pt idx="2">
                  <c:v>39203</c:v>
                </c:pt>
                <c:pt idx="3">
                  <c:v>39234</c:v>
                </c:pt>
                <c:pt idx="4">
                  <c:v>39264</c:v>
                </c:pt>
                <c:pt idx="5">
                  <c:v>39295</c:v>
                </c:pt>
                <c:pt idx="6">
                  <c:v>39326</c:v>
                </c:pt>
                <c:pt idx="7">
                  <c:v>39356</c:v>
                </c:pt>
                <c:pt idx="8">
                  <c:v>39387</c:v>
                </c:pt>
                <c:pt idx="9">
                  <c:v>39417</c:v>
                </c:pt>
                <c:pt idx="10">
                  <c:v>39448</c:v>
                </c:pt>
                <c:pt idx="11">
                  <c:v>39479</c:v>
                </c:pt>
                <c:pt idx="12">
                  <c:v>39508</c:v>
                </c:pt>
                <c:pt idx="13">
                  <c:v>39539</c:v>
                </c:pt>
                <c:pt idx="14">
                  <c:v>39569</c:v>
                </c:pt>
                <c:pt idx="15">
                  <c:v>39600</c:v>
                </c:pt>
                <c:pt idx="16">
                  <c:v>39630</c:v>
                </c:pt>
                <c:pt idx="17">
                  <c:v>39661</c:v>
                </c:pt>
                <c:pt idx="18">
                  <c:v>39692</c:v>
                </c:pt>
                <c:pt idx="19">
                  <c:v>39722</c:v>
                </c:pt>
                <c:pt idx="20">
                  <c:v>39753</c:v>
                </c:pt>
                <c:pt idx="21">
                  <c:v>39783</c:v>
                </c:pt>
                <c:pt idx="22">
                  <c:v>39814</c:v>
                </c:pt>
                <c:pt idx="23">
                  <c:v>39845</c:v>
                </c:pt>
                <c:pt idx="24">
                  <c:v>39873</c:v>
                </c:pt>
                <c:pt idx="25">
                  <c:v>39904</c:v>
                </c:pt>
                <c:pt idx="26">
                  <c:v>39934</c:v>
                </c:pt>
                <c:pt idx="27">
                  <c:v>39965</c:v>
                </c:pt>
                <c:pt idx="28">
                  <c:v>39995</c:v>
                </c:pt>
                <c:pt idx="29">
                  <c:v>40026</c:v>
                </c:pt>
                <c:pt idx="30">
                  <c:v>40057</c:v>
                </c:pt>
                <c:pt idx="31">
                  <c:v>40087</c:v>
                </c:pt>
                <c:pt idx="32">
                  <c:v>40118</c:v>
                </c:pt>
                <c:pt idx="33">
                  <c:v>40148</c:v>
                </c:pt>
                <c:pt idx="34">
                  <c:v>40179</c:v>
                </c:pt>
                <c:pt idx="35">
                  <c:v>40210</c:v>
                </c:pt>
                <c:pt idx="36">
                  <c:v>40238</c:v>
                </c:pt>
                <c:pt idx="37">
                  <c:v>40269</c:v>
                </c:pt>
                <c:pt idx="38">
                  <c:v>40299</c:v>
                </c:pt>
                <c:pt idx="39">
                  <c:v>40330</c:v>
                </c:pt>
                <c:pt idx="40">
                  <c:v>40360</c:v>
                </c:pt>
                <c:pt idx="41">
                  <c:v>40391</c:v>
                </c:pt>
                <c:pt idx="42">
                  <c:v>40422</c:v>
                </c:pt>
                <c:pt idx="43">
                  <c:v>40452</c:v>
                </c:pt>
                <c:pt idx="44">
                  <c:v>40483</c:v>
                </c:pt>
                <c:pt idx="45">
                  <c:v>40513</c:v>
                </c:pt>
                <c:pt idx="46">
                  <c:v>40544</c:v>
                </c:pt>
                <c:pt idx="47">
                  <c:v>40575</c:v>
                </c:pt>
                <c:pt idx="48">
                  <c:v>40603</c:v>
                </c:pt>
                <c:pt idx="49">
                  <c:v>40634</c:v>
                </c:pt>
                <c:pt idx="50">
                  <c:v>40664</c:v>
                </c:pt>
                <c:pt idx="51">
                  <c:v>40695</c:v>
                </c:pt>
                <c:pt idx="52">
                  <c:v>40725</c:v>
                </c:pt>
                <c:pt idx="53">
                  <c:v>40756</c:v>
                </c:pt>
                <c:pt idx="54">
                  <c:v>40787</c:v>
                </c:pt>
                <c:pt idx="55">
                  <c:v>40817</c:v>
                </c:pt>
                <c:pt idx="56">
                  <c:v>40848</c:v>
                </c:pt>
                <c:pt idx="57">
                  <c:v>40878</c:v>
                </c:pt>
                <c:pt idx="58">
                  <c:v>40909</c:v>
                </c:pt>
                <c:pt idx="59">
                  <c:v>40940</c:v>
                </c:pt>
                <c:pt idx="60">
                  <c:v>40969</c:v>
                </c:pt>
                <c:pt idx="61">
                  <c:v>41000</c:v>
                </c:pt>
                <c:pt idx="62">
                  <c:v>41030</c:v>
                </c:pt>
                <c:pt idx="63">
                  <c:v>41061</c:v>
                </c:pt>
                <c:pt idx="64">
                  <c:v>41091</c:v>
                </c:pt>
                <c:pt idx="65">
                  <c:v>41122</c:v>
                </c:pt>
                <c:pt idx="66">
                  <c:v>41153</c:v>
                </c:pt>
                <c:pt idx="67">
                  <c:v>41183</c:v>
                </c:pt>
                <c:pt idx="68">
                  <c:v>41214</c:v>
                </c:pt>
                <c:pt idx="69">
                  <c:v>41244</c:v>
                </c:pt>
                <c:pt idx="70">
                  <c:v>41275</c:v>
                </c:pt>
                <c:pt idx="71">
                  <c:v>41306</c:v>
                </c:pt>
                <c:pt idx="72">
                  <c:v>41334</c:v>
                </c:pt>
                <c:pt idx="73">
                  <c:v>41365</c:v>
                </c:pt>
                <c:pt idx="74">
                  <c:v>41395</c:v>
                </c:pt>
                <c:pt idx="75">
                  <c:v>41426</c:v>
                </c:pt>
                <c:pt idx="76">
                  <c:v>41456</c:v>
                </c:pt>
                <c:pt idx="77">
                  <c:v>41487</c:v>
                </c:pt>
                <c:pt idx="78">
                  <c:v>41518</c:v>
                </c:pt>
                <c:pt idx="79">
                  <c:v>41548</c:v>
                </c:pt>
                <c:pt idx="80">
                  <c:v>41579</c:v>
                </c:pt>
                <c:pt idx="81">
                  <c:v>41609</c:v>
                </c:pt>
                <c:pt idx="82">
                  <c:v>41640</c:v>
                </c:pt>
                <c:pt idx="83">
                  <c:v>41671</c:v>
                </c:pt>
                <c:pt idx="84">
                  <c:v>41699</c:v>
                </c:pt>
                <c:pt idx="85">
                  <c:v>41730</c:v>
                </c:pt>
                <c:pt idx="86">
                  <c:v>41760</c:v>
                </c:pt>
                <c:pt idx="87">
                  <c:v>41791</c:v>
                </c:pt>
                <c:pt idx="88">
                  <c:v>41821</c:v>
                </c:pt>
                <c:pt idx="89">
                  <c:v>41852</c:v>
                </c:pt>
                <c:pt idx="90">
                  <c:v>41883</c:v>
                </c:pt>
                <c:pt idx="91">
                  <c:v>41913</c:v>
                </c:pt>
                <c:pt idx="92">
                  <c:v>41944</c:v>
                </c:pt>
                <c:pt idx="93">
                  <c:v>41974</c:v>
                </c:pt>
                <c:pt idx="94">
                  <c:v>42005</c:v>
                </c:pt>
                <c:pt idx="95">
                  <c:v>42036</c:v>
                </c:pt>
                <c:pt idx="96">
                  <c:v>42064</c:v>
                </c:pt>
                <c:pt idx="97">
                  <c:v>42095</c:v>
                </c:pt>
                <c:pt idx="98">
                  <c:v>42125</c:v>
                </c:pt>
                <c:pt idx="99">
                  <c:v>42156</c:v>
                </c:pt>
                <c:pt idx="100">
                  <c:v>42186</c:v>
                </c:pt>
                <c:pt idx="101">
                  <c:v>42217</c:v>
                </c:pt>
                <c:pt idx="102">
                  <c:v>42248</c:v>
                </c:pt>
                <c:pt idx="103">
                  <c:v>42278</c:v>
                </c:pt>
                <c:pt idx="104">
                  <c:v>42309</c:v>
                </c:pt>
                <c:pt idx="105">
                  <c:v>42339</c:v>
                </c:pt>
                <c:pt idx="106">
                  <c:v>42370</c:v>
                </c:pt>
                <c:pt idx="107">
                  <c:v>42401</c:v>
                </c:pt>
                <c:pt idx="108">
                  <c:v>42430</c:v>
                </c:pt>
                <c:pt idx="109">
                  <c:v>42461</c:v>
                </c:pt>
                <c:pt idx="110">
                  <c:v>42491</c:v>
                </c:pt>
                <c:pt idx="111">
                  <c:v>42522</c:v>
                </c:pt>
                <c:pt idx="112">
                  <c:v>42552</c:v>
                </c:pt>
                <c:pt idx="113">
                  <c:v>42583</c:v>
                </c:pt>
                <c:pt idx="114">
                  <c:v>42614</c:v>
                </c:pt>
                <c:pt idx="115">
                  <c:v>42644</c:v>
                </c:pt>
                <c:pt idx="116">
                  <c:v>42675</c:v>
                </c:pt>
                <c:pt idx="117">
                  <c:v>42705</c:v>
                </c:pt>
                <c:pt idx="118">
                  <c:v>42736</c:v>
                </c:pt>
                <c:pt idx="119">
                  <c:v>42767</c:v>
                </c:pt>
                <c:pt idx="120">
                  <c:v>42795</c:v>
                </c:pt>
                <c:pt idx="121">
                  <c:v>42826</c:v>
                </c:pt>
                <c:pt idx="122">
                  <c:v>42856</c:v>
                </c:pt>
                <c:pt idx="123">
                  <c:v>42887</c:v>
                </c:pt>
                <c:pt idx="124">
                  <c:v>42917</c:v>
                </c:pt>
                <c:pt idx="125">
                  <c:v>42948</c:v>
                </c:pt>
                <c:pt idx="126">
                  <c:v>42979</c:v>
                </c:pt>
                <c:pt idx="127">
                  <c:v>43009</c:v>
                </c:pt>
                <c:pt idx="128">
                  <c:v>43040</c:v>
                </c:pt>
                <c:pt idx="129">
                  <c:v>43070</c:v>
                </c:pt>
                <c:pt idx="130">
                  <c:v>43101</c:v>
                </c:pt>
                <c:pt idx="131">
                  <c:v>43132</c:v>
                </c:pt>
                <c:pt idx="132">
                  <c:v>43160</c:v>
                </c:pt>
                <c:pt idx="133">
                  <c:v>43191</c:v>
                </c:pt>
                <c:pt idx="134">
                  <c:v>43221</c:v>
                </c:pt>
                <c:pt idx="135">
                  <c:v>43252</c:v>
                </c:pt>
                <c:pt idx="136">
                  <c:v>43282</c:v>
                </c:pt>
                <c:pt idx="137">
                  <c:v>43313</c:v>
                </c:pt>
                <c:pt idx="138">
                  <c:v>43344</c:v>
                </c:pt>
                <c:pt idx="139">
                  <c:v>43374</c:v>
                </c:pt>
                <c:pt idx="140">
                  <c:v>43405</c:v>
                </c:pt>
                <c:pt idx="141">
                  <c:v>43435</c:v>
                </c:pt>
                <c:pt idx="142">
                  <c:v>43466</c:v>
                </c:pt>
                <c:pt idx="143">
                  <c:v>43497</c:v>
                </c:pt>
                <c:pt idx="144">
                  <c:v>43525</c:v>
                </c:pt>
                <c:pt idx="145">
                  <c:v>43556</c:v>
                </c:pt>
                <c:pt idx="146">
                  <c:v>43586</c:v>
                </c:pt>
                <c:pt idx="147">
                  <c:v>43617</c:v>
                </c:pt>
                <c:pt idx="148">
                  <c:v>43647</c:v>
                </c:pt>
                <c:pt idx="149">
                  <c:v>43678</c:v>
                </c:pt>
                <c:pt idx="150">
                  <c:v>43709</c:v>
                </c:pt>
                <c:pt idx="151">
                  <c:v>43739</c:v>
                </c:pt>
                <c:pt idx="152">
                  <c:v>43770</c:v>
                </c:pt>
                <c:pt idx="153">
                  <c:v>43800</c:v>
                </c:pt>
                <c:pt idx="154">
                  <c:v>43831</c:v>
                </c:pt>
                <c:pt idx="155">
                  <c:v>43862</c:v>
                </c:pt>
                <c:pt idx="156">
                  <c:v>43891</c:v>
                </c:pt>
                <c:pt idx="157">
                  <c:v>43922</c:v>
                </c:pt>
                <c:pt idx="158">
                  <c:v>43952</c:v>
                </c:pt>
                <c:pt idx="159">
                  <c:v>43983</c:v>
                </c:pt>
                <c:pt idx="160">
                  <c:v>44013</c:v>
                </c:pt>
                <c:pt idx="161">
                  <c:v>44044</c:v>
                </c:pt>
                <c:pt idx="162">
                  <c:v>44075</c:v>
                </c:pt>
                <c:pt idx="163">
                  <c:v>44105</c:v>
                </c:pt>
                <c:pt idx="164">
                  <c:v>44136</c:v>
                </c:pt>
                <c:pt idx="165">
                  <c:v>44166</c:v>
                </c:pt>
                <c:pt idx="166">
                  <c:v>44197</c:v>
                </c:pt>
                <c:pt idx="167">
                  <c:v>44228</c:v>
                </c:pt>
                <c:pt idx="168">
                  <c:v>44256</c:v>
                </c:pt>
                <c:pt idx="169">
                  <c:v>44287</c:v>
                </c:pt>
                <c:pt idx="170">
                  <c:v>44317</c:v>
                </c:pt>
                <c:pt idx="171">
                  <c:v>44348</c:v>
                </c:pt>
                <c:pt idx="172">
                  <c:v>44378</c:v>
                </c:pt>
                <c:pt idx="173">
                  <c:v>44409</c:v>
                </c:pt>
                <c:pt idx="174">
                  <c:v>44440</c:v>
                </c:pt>
                <c:pt idx="175">
                  <c:v>44470</c:v>
                </c:pt>
                <c:pt idx="176">
                  <c:v>44501</c:v>
                </c:pt>
                <c:pt idx="177">
                  <c:v>44531</c:v>
                </c:pt>
                <c:pt idx="178">
                  <c:v>44562</c:v>
                </c:pt>
                <c:pt idx="179">
                  <c:v>44593</c:v>
                </c:pt>
                <c:pt idx="180">
                  <c:v>44621</c:v>
                </c:pt>
                <c:pt idx="181">
                  <c:v>44652</c:v>
                </c:pt>
                <c:pt idx="182">
                  <c:v>44682</c:v>
                </c:pt>
                <c:pt idx="183">
                  <c:v>44713</c:v>
                </c:pt>
                <c:pt idx="184">
                  <c:v>44743</c:v>
                </c:pt>
                <c:pt idx="185">
                  <c:v>44774</c:v>
                </c:pt>
                <c:pt idx="186">
                  <c:v>44805</c:v>
                </c:pt>
                <c:pt idx="187">
                  <c:v>44835</c:v>
                </c:pt>
                <c:pt idx="188">
                  <c:v>44866</c:v>
                </c:pt>
                <c:pt idx="189">
                  <c:v>44896</c:v>
                </c:pt>
                <c:pt idx="190">
                  <c:v>44927</c:v>
                </c:pt>
                <c:pt idx="191">
                  <c:v>44958</c:v>
                </c:pt>
                <c:pt idx="192">
                  <c:v>44986</c:v>
                </c:pt>
                <c:pt idx="193">
                  <c:v>45017</c:v>
                </c:pt>
                <c:pt idx="194">
                  <c:v>45047</c:v>
                </c:pt>
                <c:pt idx="195">
                  <c:v>45078</c:v>
                </c:pt>
                <c:pt idx="196">
                  <c:v>45108</c:v>
                </c:pt>
                <c:pt idx="197">
                  <c:v>45139</c:v>
                </c:pt>
                <c:pt idx="198">
                  <c:v>45170</c:v>
                </c:pt>
                <c:pt idx="199">
                  <c:v>45200</c:v>
                </c:pt>
                <c:pt idx="200">
                  <c:v>45231</c:v>
                </c:pt>
                <c:pt idx="201">
                  <c:v>45261</c:v>
                </c:pt>
              </c:numCache>
            </c:numRef>
          </c:cat>
          <c:val>
            <c:numRef>
              <c:f>'Labor Market'!$F$713:$F$914</c:f>
              <c:numCache>
                <c:formatCode>#,##0.00</c:formatCode>
                <c:ptCount val="202"/>
                <c:pt idx="0">
                  <c:v>3.4431099999999999</c:v>
                </c:pt>
                <c:pt idx="1">
                  <c:v>3.1265499999999999</c:v>
                </c:pt>
                <c:pt idx="2">
                  <c:v>3.5270700000000001</c:v>
                </c:pt>
                <c:pt idx="3">
                  <c:v>3.5590700000000002</c:v>
                </c:pt>
                <c:pt idx="4">
                  <c:v>3.2528299999999999</c:v>
                </c:pt>
                <c:pt idx="5">
                  <c:v>3.34646</c:v>
                </c:pt>
                <c:pt idx="6">
                  <c:v>3.0867200000000001</c:v>
                </c:pt>
                <c:pt idx="7">
                  <c:v>3.0836999999999999</c:v>
                </c:pt>
                <c:pt idx="8">
                  <c:v>3.0746699999999998</c:v>
                </c:pt>
                <c:pt idx="9">
                  <c:v>2.9168699999999999</c:v>
                </c:pt>
                <c:pt idx="10">
                  <c:v>2.9626000000000001</c:v>
                </c:pt>
                <c:pt idx="11">
                  <c:v>2.80464</c:v>
                </c:pt>
                <c:pt idx="12">
                  <c:v>3.0390700000000002</c:v>
                </c:pt>
                <c:pt idx="13">
                  <c:v>2.8873899999999999</c:v>
                </c:pt>
                <c:pt idx="14">
                  <c:v>3.0230299999999999</c:v>
                </c:pt>
                <c:pt idx="15">
                  <c:v>2.6730299999999998</c:v>
                </c:pt>
                <c:pt idx="16">
                  <c:v>3.10263</c:v>
                </c:pt>
                <c:pt idx="17">
                  <c:v>3.3333300000000001</c:v>
                </c:pt>
                <c:pt idx="18">
                  <c:v>3.2319399999999998</c:v>
                </c:pt>
                <c:pt idx="19">
                  <c:v>3.3238400000000001</c:v>
                </c:pt>
                <c:pt idx="20">
                  <c:v>3.5511400000000002</c:v>
                </c:pt>
                <c:pt idx="21">
                  <c:v>3.6372200000000001</c:v>
                </c:pt>
                <c:pt idx="22">
                  <c:v>3.5849099999999998</c:v>
                </c:pt>
                <c:pt idx="23">
                  <c:v>3.4336799999999998</c:v>
                </c:pt>
                <c:pt idx="24">
                  <c:v>3.2771499999999998</c:v>
                </c:pt>
                <c:pt idx="25">
                  <c:v>3.3208600000000001</c:v>
                </c:pt>
                <c:pt idx="26">
                  <c:v>2.9809000000000001</c:v>
                </c:pt>
                <c:pt idx="27">
                  <c:v>2.9288699999999999</c:v>
                </c:pt>
                <c:pt idx="28">
                  <c:v>2.68519</c:v>
                </c:pt>
                <c:pt idx="29">
                  <c:v>2.4424000000000001</c:v>
                </c:pt>
                <c:pt idx="30">
                  <c:v>2.4861900000000001</c:v>
                </c:pt>
                <c:pt idx="31">
                  <c:v>2.4816199999999999</c:v>
                </c:pt>
                <c:pt idx="32">
                  <c:v>2.1947899999999998</c:v>
                </c:pt>
                <c:pt idx="33">
                  <c:v>1.91431</c:v>
                </c:pt>
                <c:pt idx="34">
                  <c:v>2.0491799999999998</c:v>
                </c:pt>
                <c:pt idx="35">
                  <c:v>2.0918600000000001</c:v>
                </c:pt>
                <c:pt idx="36">
                  <c:v>1.81324</c:v>
                </c:pt>
                <c:pt idx="37">
                  <c:v>1.81077</c:v>
                </c:pt>
                <c:pt idx="38">
                  <c:v>1.8995899999999999</c:v>
                </c:pt>
                <c:pt idx="39">
                  <c:v>1.76152</c:v>
                </c:pt>
                <c:pt idx="40">
                  <c:v>1.8485100000000001</c:v>
                </c:pt>
                <c:pt idx="41">
                  <c:v>1.7543899999999999</c:v>
                </c:pt>
                <c:pt idx="42">
                  <c:v>1.8418699999999999</c:v>
                </c:pt>
                <c:pt idx="43">
                  <c:v>1.97309</c:v>
                </c:pt>
                <c:pt idx="44">
                  <c:v>1.7002200000000001</c:v>
                </c:pt>
                <c:pt idx="45">
                  <c:v>1.78891</c:v>
                </c:pt>
                <c:pt idx="46">
                  <c:v>2.0080300000000002</c:v>
                </c:pt>
                <c:pt idx="47">
                  <c:v>1.8708199999999999</c:v>
                </c:pt>
                <c:pt idx="48">
                  <c:v>1.8254699999999999</c:v>
                </c:pt>
                <c:pt idx="49">
                  <c:v>1.8674999999999999</c:v>
                </c:pt>
                <c:pt idx="50">
                  <c:v>1.9973399999999999</c:v>
                </c:pt>
                <c:pt idx="51">
                  <c:v>2.13049</c:v>
                </c:pt>
                <c:pt idx="52">
                  <c:v>2.2576399999999999</c:v>
                </c:pt>
                <c:pt idx="53">
                  <c:v>1.98939</c:v>
                </c:pt>
                <c:pt idx="54">
                  <c:v>1.9850000000000001</c:v>
                </c:pt>
                <c:pt idx="55">
                  <c:v>2.0228700000000002</c:v>
                </c:pt>
                <c:pt idx="56">
                  <c:v>2.0237599999999998</c:v>
                </c:pt>
                <c:pt idx="57">
                  <c:v>2.0210900000000001</c:v>
                </c:pt>
                <c:pt idx="58">
                  <c:v>1.70604</c:v>
                </c:pt>
                <c:pt idx="59">
                  <c:v>1.79274</c:v>
                </c:pt>
                <c:pt idx="60">
                  <c:v>2.1425399999999999</c:v>
                </c:pt>
                <c:pt idx="61">
                  <c:v>2.0951499999999998</c:v>
                </c:pt>
                <c:pt idx="62">
                  <c:v>1.82768</c:v>
                </c:pt>
                <c:pt idx="63">
                  <c:v>1.95567</c:v>
                </c:pt>
                <c:pt idx="64">
                  <c:v>1.7316</c:v>
                </c:pt>
                <c:pt idx="65">
                  <c:v>1.8205499999999999</c:v>
                </c:pt>
                <c:pt idx="66">
                  <c:v>1.9463699999999999</c:v>
                </c:pt>
                <c:pt idx="67">
                  <c:v>1.55172</c:v>
                </c:pt>
                <c:pt idx="68">
                  <c:v>1.89737</c:v>
                </c:pt>
                <c:pt idx="69">
                  <c:v>2.19638</c:v>
                </c:pt>
                <c:pt idx="70">
                  <c:v>2.1505399999999999</c:v>
                </c:pt>
                <c:pt idx="71">
                  <c:v>2.14777</c:v>
                </c:pt>
                <c:pt idx="72">
                  <c:v>1.8835599999999999</c:v>
                </c:pt>
                <c:pt idx="73">
                  <c:v>2.0521600000000002</c:v>
                </c:pt>
                <c:pt idx="74">
                  <c:v>2.09402</c:v>
                </c:pt>
                <c:pt idx="75">
                  <c:v>2.1312899999999999</c:v>
                </c:pt>
                <c:pt idx="76">
                  <c:v>2.0425499999999999</c:v>
                </c:pt>
                <c:pt idx="77">
                  <c:v>2.2562799999999998</c:v>
                </c:pt>
                <c:pt idx="78">
                  <c:v>2.07891</c:v>
                </c:pt>
                <c:pt idx="79">
                  <c:v>2.2495799999999999</c:v>
                </c:pt>
                <c:pt idx="80">
                  <c:v>2.2429100000000002</c:v>
                </c:pt>
                <c:pt idx="81">
                  <c:v>1.8963300000000001</c:v>
                </c:pt>
                <c:pt idx="82">
                  <c:v>2.0210499999999998</c:v>
                </c:pt>
                <c:pt idx="83">
                  <c:v>2.3128700000000002</c:v>
                </c:pt>
                <c:pt idx="84">
                  <c:v>2.1848700000000001</c:v>
                </c:pt>
                <c:pt idx="85">
                  <c:v>1.9690000000000001</c:v>
                </c:pt>
                <c:pt idx="86">
                  <c:v>2.1347800000000001</c:v>
                </c:pt>
                <c:pt idx="87">
                  <c:v>2.0868099999999998</c:v>
                </c:pt>
                <c:pt idx="88">
                  <c:v>2.08507</c:v>
                </c:pt>
                <c:pt idx="89">
                  <c:v>2.16486</c:v>
                </c:pt>
                <c:pt idx="90">
                  <c:v>2.0365799999999998</c:v>
                </c:pt>
                <c:pt idx="91">
                  <c:v>2.0340400000000001</c:v>
                </c:pt>
                <c:pt idx="92">
                  <c:v>2.0695399999999999</c:v>
                </c:pt>
                <c:pt idx="93">
                  <c:v>1.81969</c:v>
                </c:pt>
                <c:pt idx="94">
                  <c:v>2.1461000000000001</c:v>
                </c:pt>
                <c:pt idx="95">
                  <c:v>1.8906700000000001</c:v>
                </c:pt>
                <c:pt idx="96">
                  <c:v>2.2203900000000001</c:v>
                </c:pt>
                <c:pt idx="97">
                  <c:v>2.2596500000000002</c:v>
                </c:pt>
                <c:pt idx="98">
                  <c:v>2.3360699999999999</c:v>
                </c:pt>
                <c:pt idx="99">
                  <c:v>2.0850399999999998</c:v>
                </c:pt>
                <c:pt idx="100">
                  <c:v>2.12418</c:v>
                </c:pt>
                <c:pt idx="101">
                  <c:v>2.2412399999999999</c:v>
                </c:pt>
                <c:pt idx="102">
                  <c:v>2.2810600000000001</c:v>
                </c:pt>
                <c:pt idx="103">
                  <c:v>2.48169</c:v>
                </c:pt>
                <c:pt idx="104">
                  <c:v>2.3925399999999999</c:v>
                </c:pt>
                <c:pt idx="105">
                  <c:v>2.5182799999999999</c:v>
                </c:pt>
                <c:pt idx="106">
                  <c:v>2.5454500000000002</c:v>
                </c:pt>
                <c:pt idx="107">
                  <c:v>2.3799899999999998</c:v>
                </c:pt>
                <c:pt idx="108">
                  <c:v>2.3732899999999999</c:v>
                </c:pt>
                <c:pt idx="109">
                  <c:v>2.57131</c:v>
                </c:pt>
                <c:pt idx="110">
                  <c:v>2.44293</c:v>
                </c:pt>
                <c:pt idx="111">
                  <c:v>2.6031200000000001</c:v>
                </c:pt>
                <c:pt idx="112">
                  <c:v>2.76</c:v>
                </c:pt>
                <c:pt idx="113">
                  <c:v>2.5109599999999999</c:v>
                </c:pt>
                <c:pt idx="114">
                  <c:v>2.6284299999999998</c:v>
                </c:pt>
                <c:pt idx="115">
                  <c:v>2.77888</c:v>
                </c:pt>
                <c:pt idx="116">
                  <c:v>2.5742600000000002</c:v>
                </c:pt>
                <c:pt idx="117">
                  <c:v>2.69414</c:v>
                </c:pt>
                <c:pt idx="118">
                  <c:v>2.4428700000000001</c:v>
                </c:pt>
                <c:pt idx="119">
                  <c:v>2.6792799999999999</c:v>
                </c:pt>
                <c:pt idx="120">
                  <c:v>2.5933199999999998</c:v>
                </c:pt>
                <c:pt idx="121">
                  <c:v>2.50685</c:v>
                </c:pt>
                <c:pt idx="122">
                  <c:v>2.46286</c:v>
                </c:pt>
                <c:pt idx="123">
                  <c:v>2.4980500000000001</c:v>
                </c:pt>
                <c:pt idx="124">
                  <c:v>2.6080199999999998</c:v>
                </c:pt>
                <c:pt idx="125">
                  <c:v>2.5661</c:v>
                </c:pt>
                <c:pt idx="126">
                  <c:v>2.7939500000000002</c:v>
                </c:pt>
                <c:pt idx="127">
                  <c:v>2.3174999999999999</c:v>
                </c:pt>
                <c:pt idx="128">
                  <c:v>2.3938199999999998</c:v>
                </c:pt>
                <c:pt idx="129">
                  <c:v>2.6620400000000002</c:v>
                </c:pt>
                <c:pt idx="130">
                  <c:v>2.80769</c:v>
                </c:pt>
                <c:pt idx="131">
                  <c:v>2.6477400000000002</c:v>
                </c:pt>
                <c:pt idx="132">
                  <c:v>2.8724599999999998</c:v>
                </c:pt>
                <c:pt idx="133">
                  <c:v>2.8658800000000002</c:v>
                </c:pt>
                <c:pt idx="134">
                  <c:v>2.9378099999999998</c:v>
                </c:pt>
                <c:pt idx="135">
                  <c:v>2.93222</c:v>
                </c:pt>
                <c:pt idx="136">
                  <c:v>2.7693500000000002</c:v>
                </c:pt>
                <c:pt idx="137">
                  <c:v>3.1084200000000002</c:v>
                </c:pt>
                <c:pt idx="138">
                  <c:v>3.1332599999999999</c:v>
                </c:pt>
                <c:pt idx="139">
                  <c:v>3.2842600000000002</c:v>
                </c:pt>
                <c:pt idx="140">
                  <c:v>3.4690799999999999</c:v>
                </c:pt>
                <c:pt idx="141">
                  <c:v>3.57009</c:v>
                </c:pt>
                <c:pt idx="142">
                  <c:v>3.2173600000000002</c:v>
                </c:pt>
                <c:pt idx="143">
                  <c:v>3.5514000000000001</c:v>
                </c:pt>
                <c:pt idx="144">
                  <c:v>3.4624000000000001</c:v>
                </c:pt>
                <c:pt idx="145">
                  <c:v>3.1203599999999998</c:v>
                </c:pt>
                <c:pt idx="146">
                  <c:v>3.2616800000000001</c:v>
                </c:pt>
                <c:pt idx="147">
                  <c:v>3.3666299999999998</c:v>
                </c:pt>
                <c:pt idx="148">
                  <c:v>3.4329999999999998</c:v>
                </c:pt>
                <c:pt idx="149">
                  <c:v>3.4191199999999999</c:v>
                </c:pt>
                <c:pt idx="150">
                  <c:v>3.1112700000000002</c:v>
                </c:pt>
                <c:pt idx="151">
                  <c:v>3.21637</c:v>
                </c:pt>
                <c:pt idx="152">
                  <c:v>3.3163299999999998</c:v>
                </c:pt>
                <c:pt idx="153">
                  <c:v>2.9390399999999999</c:v>
                </c:pt>
                <c:pt idx="154">
                  <c:v>3.0445799999999998</c:v>
                </c:pt>
                <c:pt idx="155">
                  <c:v>3.0685899999999999</c:v>
                </c:pt>
                <c:pt idx="156">
                  <c:v>3.6343999999999999</c:v>
                </c:pt>
                <c:pt idx="157">
                  <c:v>8.1051900000000003</c:v>
                </c:pt>
                <c:pt idx="158">
                  <c:v>6.67624</c:v>
                </c:pt>
                <c:pt idx="159">
                  <c:v>5.1181099999999997</c:v>
                </c:pt>
                <c:pt idx="160">
                  <c:v>4.8893599999999999</c:v>
                </c:pt>
                <c:pt idx="161">
                  <c:v>4.79915</c:v>
                </c:pt>
                <c:pt idx="162">
                  <c:v>4.7923299999999998</c:v>
                </c:pt>
                <c:pt idx="163">
                  <c:v>4.6033999999999997</c:v>
                </c:pt>
                <c:pt idx="164">
                  <c:v>4.5502599999999997</c:v>
                </c:pt>
                <c:pt idx="165">
                  <c:v>5.4635199999999999</c:v>
                </c:pt>
                <c:pt idx="166">
                  <c:v>5.2409400000000002</c:v>
                </c:pt>
                <c:pt idx="167">
                  <c:v>5.2539400000000001</c:v>
                </c:pt>
                <c:pt idx="168">
                  <c:v>4.3402799999999999</c:v>
                </c:pt>
                <c:pt idx="169">
                  <c:v>0.63312000000000002</c:v>
                </c:pt>
                <c:pt idx="170">
                  <c:v>2.2207300000000001</c:v>
                </c:pt>
                <c:pt idx="171">
                  <c:v>3.9496099999999998</c:v>
                </c:pt>
                <c:pt idx="172">
                  <c:v>4.3212000000000002</c:v>
                </c:pt>
                <c:pt idx="173">
                  <c:v>4.40977</c:v>
                </c:pt>
                <c:pt idx="174">
                  <c:v>4.87805</c:v>
                </c:pt>
                <c:pt idx="175">
                  <c:v>5.4163800000000002</c:v>
                </c:pt>
                <c:pt idx="176">
                  <c:v>5.39811</c:v>
                </c:pt>
                <c:pt idx="177">
                  <c:v>5.0133700000000001</c:v>
                </c:pt>
                <c:pt idx="178">
                  <c:v>5.7152399999999997</c:v>
                </c:pt>
                <c:pt idx="179">
                  <c:v>5.2579000000000002</c:v>
                </c:pt>
                <c:pt idx="180">
                  <c:v>5.9234600000000004</c:v>
                </c:pt>
                <c:pt idx="181">
                  <c:v>5.76159</c:v>
                </c:pt>
                <c:pt idx="182">
                  <c:v>5.5299500000000004</c:v>
                </c:pt>
                <c:pt idx="183">
                  <c:v>5.4045199999999998</c:v>
                </c:pt>
                <c:pt idx="184">
                  <c:v>5.4468399999999999</c:v>
                </c:pt>
                <c:pt idx="185">
                  <c:v>5.3606199999999999</c:v>
                </c:pt>
                <c:pt idx="186">
                  <c:v>5.0710600000000001</c:v>
                </c:pt>
                <c:pt idx="187">
                  <c:v>4.8811799999999996</c:v>
                </c:pt>
                <c:pt idx="188">
                  <c:v>4.9935999999999998</c:v>
                </c:pt>
                <c:pt idx="189">
                  <c:v>4.7740299999999998</c:v>
                </c:pt>
                <c:pt idx="190">
                  <c:v>4.3945600000000002</c:v>
                </c:pt>
                <c:pt idx="191">
                  <c:v>4.6158700000000001</c:v>
                </c:pt>
                <c:pt idx="192">
                  <c:v>4.3</c:v>
                </c:pt>
                <c:pt idx="193">
                  <c:v>4.4000000000000004</c:v>
                </c:pt>
                <c:pt idx="194">
                  <c:v>4.4000000000000004</c:v>
                </c:pt>
                <c:pt idx="195">
                  <c:v>4.4000000000000004</c:v>
                </c:pt>
                <c:pt idx="196">
                  <c:v>4.4000000000000004</c:v>
                </c:pt>
                <c:pt idx="197">
                  <c:v>4.3</c:v>
                </c:pt>
                <c:pt idx="198">
                  <c:v>4.3</c:v>
                </c:pt>
                <c:pt idx="199">
                  <c:v>4.0999999999999996</c:v>
                </c:pt>
                <c:pt idx="200">
                  <c:v>4</c:v>
                </c:pt>
                <c:pt idx="201">
                  <c:v>4.0999999999999996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E91-419B-812B-9FA8C4E6938F}"/>
            </c:ext>
          </c:extLst>
        </c:ser>
        <c:ser>
          <c:idx val="2"/>
          <c:order val="1"/>
          <c:tx>
            <c:strRef>
              <c:f>'Labor Market'!$G$2</c:f>
              <c:strCache>
                <c:ptCount val="1"/>
                <c:pt idx="0">
                  <c:v>Wage Growth Tracker</c:v>
                </c:pt>
              </c:strCache>
            </c:strRef>
          </c:tx>
          <c:spPr>
            <a:ln w="28575" cap="rnd">
              <a:solidFill>
                <a:schemeClr val="bg1">
                  <a:lumMod val="6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'Labor Market'!$A$713:$A$914</c:f>
              <c:numCache>
                <c:formatCode>[$-416]mmm\-yy;@</c:formatCode>
                <c:ptCount val="202"/>
                <c:pt idx="0">
                  <c:v>39142</c:v>
                </c:pt>
                <c:pt idx="1">
                  <c:v>39173</c:v>
                </c:pt>
                <c:pt idx="2">
                  <c:v>39203</c:v>
                </c:pt>
                <c:pt idx="3">
                  <c:v>39234</c:v>
                </c:pt>
                <c:pt idx="4">
                  <c:v>39264</c:v>
                </c:pt>
                <c:pt idx="5">
                  <c:v>39295</c:v>
                </c:pt>
                <c:pt idx="6">
                  <c:v>39326</c:v>
                </c:pt>
                <c:pt idx="7">
                  <c:v>39356</c:v>
                </c:pt>
                <c:pt idx="8">
                  <c:v>39387</c:v>
                </c:pt>
                <c:pt idx="9">
                  <c:v>39417</c:v>
                </c:pt>
                <c:pt idx="10">
                  <c:v>39448</c:v>
                </c:pt>
                <c:pt idx="11">
                  <c:v>39479</c:v>
                </c:pt>
                <c:pt idx="12">
                  <c:v>39508</c:v>
                </c:pt>
                <c:pt idx="13">
                  <c:v>39539</c:v>
                </c:pt>
                <c:pt idx="14">
                  <c:v>39569</c:v>
                </c:pt>
                <c:pt idx="15">
                  <c:v>39600</c:v>
                </c:pt>
                <c:pt idx="16">
                  <c:v>39630</c:v>
                </c:pt>
                <c:pt idx="17">
                  <c:v>39661</c:v>
                </c:pt>
                <c:pt idx="18">
                  <c:v>39692</c:v>
                </c:pt>
                <c:pt idx="19">
                  <c:v>39722</c:v>
                </c:pt>
                <c:pt idx="20">
                  <c:v>39753</c:v>
                </c:pt>
                <c:pt idx="21">
                  <c:v>39783</c:v>
                </c:pt>
                <c:pt idx="22">
                  <c:v>39814</c:v>
                </c:pt>
                <c:pt idx="23">
                  <c:v>39845</c:v>
                </c:pt>
                <c:pt idx="24">
                  <c:v>39873</c:v>
                </c:pt>
                <c:pt idx="25">
                  <c:v>39904</c:v>
                </c:pt>
                <c:pt idx="26">
                  <c:v>39934</c:v>
                </c:pt>
                <c:pt idx="27">
                  <c:v>39965</c:v>
                </c:pt>
                <c:pt idx="28">
                  <c:v>39995</c:v>
                </c:pt>
                <c:pt idx="29">
                  <c:v>40026</c:v>
                </c:pt>
                <c:pt idx="30">
                  <c:v>40057</c:v>
                </c:pt>
                <c:pt idx="31">
                  <c:v>40087</c:v>
                </c:pt>
                <c:pt idx="32">
                  <c:v>40118</c:v>
                </c:pt>
                <c:pt idx="33">
                  <c:v>40148</c:v>
                </c:pt>
                <c:pt idx="34">
                  <c:v>40179</c:v>
                </c:pt>
                <c:pt idx="35">
                  <c:v>40210</c:v>
                </c:pt>
                <c:pt idx="36">
                  <c:v>40238</c:v>
                </c:pt>
                <c:pt idx="37">
                  <c:v>40269</c:v>
                </c:pt>
                <c:pt idx="38">
                  <c:v>40299</c:v>
                </c:pt>
                <c:pt idx="39">
                  <c:v>40330</c:v>
                </c:pt>
                <c:pt idx="40">
                  <c:v>40360</c:v>
                </c:pt>
                <c:pt idx="41">
                  <c:v>40391</c:v>
                </c:pt>
                <c:pt idx="42">
                  <c:v>40422</c:v>
                </c:pt>
                <c:pt idx="43">
                  <c:v>40452</c:v>
                </c:pt>
                <c:pt idx="44">
                  <c:v>40483</c:v>
                </c:pt>
                <c:pt idx="45">
                  <c:v>40513</c:v>
                </c:pt>
                <c:pt idx="46">
                  <c:v>40544</c:v>
                </c:pt>
                <c:pt idx="47">
                  <c:v>40575</c:v>
                </c:pt>
                <c:pt idx="48">
                  <c:v>40603</c:v>
                </c:pt>
                <c:pt idx="49">
                  <c:v>40634</c:v>
                </c:pt>
                <c:pt idx="50">
                  <c:v>40664</c:v>
                </c:pt>
                <c:pt idx="51">
                  <c:v>40695</c:v>
                </c:pt>
                <c:pt idx="52">
                  <c:v>40725</c:v>
                </c:pt>
                <c:pt idx="53">
                  <c:v>40756</c:v>
                </c:pt>
                <c:pt idx="54">
                  <c:v>40787</c:v>
                </c:pt>
                <c:pt idx="55">
                  <c:v>40817</c:v>
                </c:pt>
                <c:pt idx="56">
                  <c:v>40848</c:v>
                </c:pt>
                <c:pt idx="57">
                  <c:v>40878</c:v>
                </c:pt>
                <c:pt idx="58">
                  <c:v>40909</c:v>
                </c:pt>
                <c:pt idx="59">
                  <c:v>40940</c:v>
                </c:pt>
                <c:pt idx="60">
                  <c:v>40969</c:v>
                </c:pt>
                <c:pt idx="61">
                  <c:v>41000</c:v>
                </c:pt>
                <c:pt idx="62">
                  <c:v>41030</c:v>
                </c:pt>
                <c:pt idx="63">
                  <c:v>41061</c:v>
                </c:pt>
                <c:pt idx="64">
                  <c:v>41091</c:v>
                </c:pt>
                <c:pt idx="65">
                  <c:v>41122</c:v>
                </c:pt>
                <c:pt idx="66">
                  <c:v>41153</c:v>
                </c:pt>
                <c:pt idx="67">
                  <c:v>41183</c:v>
                </c:pt>
                <c:pt idx="68">
                  <c:v>41214</c:v>
                </c:pt>
                <c:pt idx="69">
                  <c:v>41244</c:v>
                </c:pt>
                <c:pt idx="70">
                  <c:v>41275</c:v>
                </c:pt>
                <c:pt idx="71">
                  <c:v>41306</c:v>
                </c:pt>
                <c:pt idx="72">
                  <c:v>41334</c:v>
                </c:pt>
                <c:pt idx="73">
                  <c:v>41365</c:v>
                </c:pt>
                <c:pt idx="74">
                  <c:v>41395</c:v>
                </c:pt>
                <c:pt idx="75">
                  <c:v>41426</c:v>
                </c:pt>
                <c:pt idx="76">
                  <c:v>41456</c:v>
                </c:pt>
                <c:pt idx="77">
                  <c:v>41487</c:v>
                </c:pt>
                <c:pt idx="78">
                  <c:v>41518</c:v>
                </c:pt>
                <c:pt idx="79">
                  <c:v>41548</c:v>
                </c:pt>
                <c:pt idx="80">
                  <c:v>41579</c:v>
                </c:pt>
                <c:pt idx="81">
                  <c:v>41609</c:v>
                </c:pt>
                <c:pt idx="82">
                  <c:v>41640</c:v>
                </c:pt>
                <c:pt idx="83">
                  <c:v>41671</c:v>
                </c:pt>
                <c:pt idx="84">
                  <c:v>41699</c:v>
                </c:pt>
                <c:pt idx="85">
                  <c:v>41730</c:v>
                </c:pt>
                <c:pt idx="86">
                  <c:v>41760</c:v>
                </c:pt>
                <c:pt idx="87">
                  <c:v>41791</c:v>
                </c:pt>
                <c:pt idx="88">
                  <c:v>41821</c:v>
                </c:pt>
                <c:pt idx="89">
                  <c:v>41852</c:v>
                </c:pt>
                <c:pt idx="90">
                  <c:v>41883</c:v>
                </c:pt>
                <c:pt idx="91">
                  <c:v>41913</c:v>
                </c:pt>
                <c:pt idx="92">
                  <c:v>41944</c:v>
                </c:pt>
                <c:pt idx="93">
                  <c:v>41974</c:v>
                </c:pt>
                <c:pt idx="94">
                  <c:v>42005</c:v>
                </c:pt>
                <c:pt idx="95">
                  <c:v>42036</c:v>
                </c:pt>
                <c:pt idx="96">
                  <c:v>42064</c:v>
                </c:pt>
                <c:pt idx="97">
                  <c:v>42095</c:v>
                </c:pt>
                <c:pt idx="98">
                  <c:v>42125</c:v>
                </c:pt>
                <c:pt idx="99">
                  <c:v>42156</c:v>
                </c:pt>
                <c:pt idx="100">
                  <c:v>42186</c:v>
                </c:pt>
                <c:pt idx="101">
                  <c:v>42217</c:v>
                </c:pt>
                <c:pt idx="102">
                  <c:v>42248</c:v>
                </c:pt>
                <c:pt idx="103">
                  <c:v>42278</c:v>
                </c:pt>
                <c:pt idx="104">
                  <c:v>42309</c:v>
                </c:pt>
                <c:pt idx="105">
                  <c:v>42339</c:v>
                </c:pt>
                <c:pt idx="106">
                  <c:v>42370</c:v>
                </c:pt>
                <c:pt idx="107">
                  <c:v>42401</c:v>
                </c:pt>
                <c:pt idx="108">
                  <c:v>42430</c:v>
                </c:pt>
                <c:pt idx="109">
                  <c:v>42461</c:v>
                </c:pt>
                <c:pt idx="110">
                  <c:v>42491</c:v>
                </c:pt>
                <c:pt idx="111">
                  <c:v>42522</c:v>
                </c:pt>
                <c:pt idx="112">
                  <c:v>42552</c:v>
                </c:pt>
                <c:pt idx="113">
                  <c:v>42583</c:v>
                </c:pt>
                <c:pt idx="114">
                  <c:v>42614</c:v>
                </c:pt>
                <c:pt idx="115">
                  <c:v>42644</c:v>
                </c:pt>
                <c:pt idx="116">
                  <c:v>42675</c:v>
                </c:pt>
                <c:pt idx="117">
                  <c:v>42705</c:v>
                </c:pt>
                <c:pt idx="118">
                  <c:v>42736</c:v>
                </c:pt>
                <c:pt idx="119">
                  <c:v>42767</c:v>
                </c:pt>
                <c:pt idx="120">
                  <c:v>42795</c:v>
                </c:pt>
                <c:pt idx="121">
                  <c:v>42826</c:v>
                </c:pt>
                <c:pt idx="122">
                  <c:v>42856</c:v>
                </c:pt>
                <c:pt idx="123">
                  <c:v>42887</c:v>
                </c:pt>
                <c:pt idx="124">
                  <c:v>42917</c:v>
                </c:pt>
                <c:pt idx="125">
                  <c:v>42948</c:v>
                </c:pt>
                <c:pt idx="126">
                  <c:v>42979</c:v>
                </c:pt>
                <c:pt idx="127">
                  <c:v>43009</c:v>
                </c:pt>
                <c:pt idx="128">
                  <c:v>43040</c:v>
                </c:pt>
                <c:pt idx="129">
                  <c:v>43070</c:v>
                </c:pt>
                <c:pt idx="130">
                  <c:v>43101</c:v>
                </c:pt>
                <c:pt idx="131">
                  <c:v>43132</c:v>
                </c:pt>
                <c:pt idx="132">
                  <c:v>43160</c:v>
                </c:pt>
                <c:pt idx="133">
                  <c:v>43191</c:v>
                </c:pt>
                <c:pt idx="134">
                  <c:v>43221</c:v>
                </c:pt>
                <c:pt idx="135">
                  <c:v>43252</c:v>
                </c:pt>
                <c:pt idx="136">
                  <c:v>43282</c:v>
                </c:pt>
                <c:pt idx="137">
                  <c:v>43313</c:v>
                </c:pt>
                <c:pt idx="138">
                  <c:v>43344</c:v>
                </c:pt>
                <c:pt idx="139">
                  <c:v>43374</c:v>
                </c:pt>
                <c:pt idx="140">
                  <c:v>43405</c:v>
                </c:pt>
                <c:pt idx="141">
                  <c:v>43435</c:v>
                </c:pt>
                <c:pt idx="142">
                  <c:v>43466</c:v>
                </c:pt>
                <c:pt idx="143">
                  <c:v>43497</c:v>
                </c:pt>
                <c:pt idx="144">
                  <c:v>43525</c:v>
                </c:pt>
                <c:pt idx="145">
                  <c:v>43556</c:v>
                </c:pt>
                <c:pt idx="146">
                  <c:v>43586</c:v>
                </c:pt>
                <c:pt idx="147">
                  <c:v>43617</c:v>
                </c:pt>
                <c:pt idx="148">
                  <c:v>43647</c:v>
                </c:pt>
                <c:pt idx="149">
                  <c:v>43678</c:v>
                </c:pt>
                <c:pt idx="150">
                  <c:v>43709</c:v>
                </c:pt>
                <c:pt idx="151">
                  <c:v>43739</c:v>
                </c:pt>
                <c:pt idx="152">
                  <c:v>43770</c:v>
                </c:pt>
                <c:pt idx="153">
                  <c:v>43800</c:v>
                </c:pt>
                <c:pt idx="154">
                  <c:v>43831</c:v>
                </c:pt>
                <c:pt idx="155">
                  <c:v>43862</c:v>
                </c:pt>
                <c:pt idx="156">
                  <c:v>43891</c:v>
                </c:pt>
                <c:pt idx="157">
                  <c:v>43922</c:v>
                </c:pt>
                <c:pt idx="158">
                  <c:v>43952</c:v>
                </c:pt>
                <c:pt idx="159">
                  <c:v>43983</c:v>
                </c:pt>
                <c:pt idx="160">
                  <c:v>44013</c:v>
                </c:pt>
                <c:pt idx="161">
                  <c:v>44044</c:v>
                </c:pt>
                <c:pt idx="162">
                  <c:v>44075</c:v>
                </c:pt>
                <c:pt idx="163">
                  <c:v>44105</c:v>
                </c:pt>
                <c:pt idx="164">
                  <c:v>44136</c:v>
                </c:pt>
                <c:pt idx="165">
                  <c:v>44166</c:v>
                </c:pt>
                <c:pt idx="166">
                  <c:v>44197</c:v>
                </c:pt>
                <c:pt idx="167">
                  <c:v>44228</c:v>
                </c:pt>
                <c:pt idx="168">
                  <c:v>44256</c:v>
                </c:pt>
                <c:pt idx="169">
                  <c:v>44287</c:v>
                </c:pt>
                <c:pt idx="170">
                  <c:v>44317</c:v>
                </c:pt>
                <c:pt idx="171">
                  <c:v>44348</c:v>
                </c:pt>
                <c:pt idx="172">
                  <c:v>44378</c:v>
                </c:pt>
                <c:pt idx="173">
                  <c:v>44409</c:v>
                </c:pt>
                <c:pt idx="174">
                  <c:v>44440</c:v>
                </c:pt>
                <c:pt idx="175">
                  <c:v>44470</c:v>
                </c:pt>
                <c:pt idx="176">
                  <c:v>44501</c:v>
                </c:pt>
                <c:pt idx="177">
                  <c:v>44531</c:v>
                </c:pt>
                <c:pt idx="178">
                  <c:v>44562</c:v>
                </c:pt>
                <c:pt idx="179">
                  <c:v>44593</c:v>
                </c:pt>
                <c:pt idx="180">
                  <c:v>44621</c:v>
                </c:pt>
                <c:pt idx="181">
                  <c:v>44652</c:v>
                </c:pt>
                <c:pt idx="182">
                  <c:v>44682</c:v>
                </c:pt>
                <c:pt idx="183">
                  <c:v>44713</c:v>
                </c:pt>
                <c:pt idx="184">
                  <c:v>44743</c:v>
                </c:pt>
                <c:pt idx="185">
                  <c:v>44774</c:v>
                </c:pt>
                <c:pt idx="186">
                  <c:v>44805</c:v>
                </c:pt>
                <c:pt idx="187">
                  <c:v>44835</c:v>
                </c:pt>
                <c:pt idx="188">
                  <c:v>44866</c:v>
                </c:pt>
                <c:pt idx="189">
                  <c:v>44896</c:v>
                </c:pt>
                <c:pt idx="190">
                  <c:v>44927</c:v>
                </c:pt>
                <c:pt idx="191">
                  <c:v>44958</c:v>
                </c:pt>
                <c:pt idx="192">
                  <c:v>44986</c:v>
                </c:pt>
                <c:pt idx="193">
                  <c:v>45017</c:v>
                </c:pt>
                <c:pt idx="194">
                  <c:v>45047</c:v>
                </c:pt>
                <c:pt idx="195">
                  <c:v>45078</c:v>
                </c:pt>
                <c:pt idx="196">
                  <c:v>45108</c:v>
                </c:pt>
                <c:pt idx="197">
                  <c:v>45139</c:v>
                </c:pt>
                <c:pt idx="198">
                  <c:v>45170</c:v>
                </c:pt>
                <c:pt idx="199">
                  <c:v>45200</c:v>
                </c:pt>
                <c:pt idx="200">
                  <c:v>45231</c:v>
                </c:pt>
                <c:pt idx="201">
                  <c:v>45261</c:v>
                </c:pt>
              </c:numCache>
            </c:numRef>
          </c:cat>
          <c:val>
            <c:numRef>
              <c:f>'Labor Market'!$G$713:$G$914</c:f>
              <c:numCache>
                <c:formatCode>#,##0.00</c:formatCode>
                <c:ptCount val="202"/>
                <c:pt idx="0">
                  <c:v>4.3</c:v>
                </c:pt>
                <c:pt idx="1">
                  <c:v>4.0999999999999996</c:v>
                </c:pt>
                <c:pt idx="2">
                  <c:v>4.0999999999999996</c:v>
                </c:pt>
                <c:pt idx="3">
                  <c:v>4</c:v>
                </c:pt>
                <c:pt idx="4">
                  <c:v>4.2</c:v>
                </c:pt>
                <c:pt idx="5">
                  <c:v>4.3</c:v>
                </c:pt>
                <c:pt idx="6">
                  <c:v>4.4000000000000004</c:v>
                </c:pt>
                <c:pt idx="7">
                  <c:v>4.3</c:v>
                </c:pt>
                <c:pt idx="8">
                  <c:v>4.3</c:v>
                </c:pt>
                <c:pt idx="9">
                  <c:v>4.0999999999999996</c:v>
                </c:pt>
                <c:pt idx="10">
                  <c:v>3.9</c:v>
                </c:pt>
                <c:pt idx="11">
                  <c:v>3.9</c:v>
                </c:pt>
                <c:pt idx="12">
                  <c:v>4</c:v>
                </c:pt>
                <c:pt idx="13">
                  <c:v>4.0999999999999996</c:v>
                </c:pt>
                <c:pt idx="14">
                  <c:v>4.0999999999999996</c:v>
                </c:pt>
                <c:pt idx="15">
                  <c:v>4.0999999999999996</c:v>
                </c:pt>
                <c:pt idx="16">
                  <c:v>4.0999999999999996</c:v>
                </c:pt>
                <c:pt idx="17">
                  <c:v>4</c:v>
                </c:pt>
                <c:pt idx="18">
                  <c:v>4</c:v>
                </c:pt>
                <c:pt idx="19">
                  <c:v>4</c:v>
                </c:pt>
                <c:pt idx="20">
                  <c:v>4</c:v>
                </c:pt>
                <c:pt idx="21">
                  <c:v>3.8</c:v>
                </c:pt>
                <c:pt idx="22">
                  <c:v>3.7</c:v>
                </c:pt>
                <c:pt idx="23">
                  <c:v>3.4</c:v>
                </c:pt>
                <c:pt idx="24">
                  <c:v>3.3</c:v>
                </c:pt>
                <c:pt idx="25">
                  <c:v>3.2</c:v>
                </c:pt>
                <c:pt idx="26">
                  <c:v>3.3</c:v>
                </c:pt>
                <c:pt idx="27">
                  <c:v>3.1</c:v>
                </c:pt>
                <c:pt idx="28">
                  <c:v>3</c:v>
                </c:pt>
                <c:pt idx="29">
                  <c:v>2.5</c:v>
                </c:pt>
                <c:pt idx="30">
                  <c:v>2.2999999999999998</c:v>
                </c:pt>
                <c:pt idx="31">
                  <c:v>2.1</c:v>
                </c:pt>
                <c:pt idx="32">
                  <c:v>2.1</c:v>
                </c:pt>
                <c:pt idx="33">
                  <c:v>1.7</c:v>
                </c:pt>
                <c:pt idx="34">
                  <c:v>1.6</c:v>
                </c:pt>
                <c:pt idx="35">
                  <c:v>1.7</c:v>
                </c:pt>
                <c:pt idx="36">
                  <c:v>1.9</c:v>
                </c:pt>
                <c:pt idx="37">
                  <c:v>1.9</c:v>
                </c:pt>
                <c:pt idx="38">
                  <c:v>1.6</c:v>
                </c:pt>
                <c:pt idx="39">
                  <c:v>1.7</c:v>
                </c:pt>
                <c:pt idx="40">
                  <c:v>1.8</c:v>
                </c:pt>
                <c:pt idx="41">
                  <c:v>2</c:v>
                </c:pt>
                <c:pt idx="42">
                  <c:v>1.9</c:v>
                </c:pt>
                <c:pt idx="43">
                  <c:v>1.7</c:v>
                </c:pt>
                <c:pt idx="44">
                  <c:v>1.7</c:v>
                </c:pt>
                <c:pt idx="45">
                  <c:v>1.7</c:v>
                </c:pt>
                <c:pt idx="46">
                  <c:v>1.9</c:v>
                </c:pt>
                <c:pt idx="47">
                  <c:v>1.9</c:v>
                </c:pt>
                <c:pt idx="48">
                  <c:v>1.9</c:v>
                </c:pt>
                <c:pt idx="49">
                  <c:v>1.9</c:v>
                </c:pt>
                <c:pt idx="50">
                  <c:v>2</c:v>
                </c:pt>
                <c:pt idx="51">
                  <c:v>2</c:v>
                </c:pt>
                <c:pt idx="52">
                  <c:v>2.1</c:v>
                </c:pt>
                <c:pt idx="53">
                  <c:v>2.2000000000000002</c:v>
                </c:pt>
                <c:pt idx="54">
                  <c:v>2.1</c:v>
                </c:pt>
                <c:pt idx="55">
                  <c:v>2.2000000000000002</c:v>
                </c:pt>
                <c:pt idx="56">
                  <c:v>2</c:v>
                </c:pt>
                <c:pt idx="57">
                  <c:v>2</c:v>
                </c:pt>
                <c:pt idx="58">
                  <c:v>1.9</c:v>
                </c:pt>
                <c:pt idx="59">
                  <c:v>1.9</c:v>
                </c:pt>
                <c:pt idx="60">
                  <c:v>2</c:v>
                </c:pt>
                <c:pt idx="61">
                  <c:v>2.2000000000000002</c:v>
                </c:pt>
                <c:pt idx="62">
                  <c:v>2.1</c:v>
                </c:pt>
                <c:pt idx="63">
                  <c:v>2.2999999999999998</c:v>
                </c:pt>
                <c:pt idx="64">
                  <c:v>2.1</c:v>
                </c:pt>
                <c:pt idx="65">
                  <c:v>2.1</c:v>
                </c:pt>
                <c:pt idx="66">
                  <c:v>2.1</c:v>
                </c:pt>
                <c:pt idx="67">
                  <c:v>2.1</c:v>
                </c:pt>
                <c:pt idx="68">
                  <c:v>2.2999999999999998</c:v>
                </c:pt>
                <c:pt idx="69">
                  <c:v>2.2999999999999998</c:v>
                </c:pt>
                <c:pt idx="70">
                  <c:v>2.2999999999999998</c:v>
                </c:pt>
                <c:pt idx="71">
                  <c:v>2.2999999999999998</c:v>
                </c:pt>
                <c:pt idx="72">
                  <c:v>2.2000000000000002</c:v>
                </c:pt>
                <c:pt idx="73">
                  <c:v>2.2000000000000002</c:v>
                </c:pt>
                <c:pt idx="74">
                  <c:v>2.2000000000000002</c:v>
                </c:pt>
                <c:pt idx="75">
                  <c:v>2.1</c:v>
                </c:pt>
                <c:pt idx="76">
                  <c:v>2.2999999999999998</c:v>
                </c:pt>
                <c:pt idx="77">
                  <c:v>2.2999999999999998</c:v>
                </c:pt>
                <c:pt idx="78">
                  <c:v>2.4</c:v>
                </c:pt>
                <c:pt idx="79">
                  <c:v>2.2000000000000002</c:v>
                </c:pt>
                <c:pt idx="80">
                  <c:v>2</c:v>
                </c:pt>
                <c:pt idx="81">
                  <c:v>2.2000000000000002</c:v>
                </c:pt>
                <c:pt idx="82">
                  <c:v>2.2999999999999998</c:v>
                </c:pt>
                <c:pt idx="83">
                  <c:v>2.5</c:v>
                </c:pt>
                <c:pt idx="84">
                  <c:v>2.4</c:v>
                </c:pt>
                <c:pt idx="85">
                  <c:v>2.2999999999999998</c:v>
                </c:pt>
                <c:pt idx="86">
                  <c:v>2.2999999999999998</c:v>
                </c:pt>
                <c:pt idx="87">
                  <c:v>2.2999999999999998</c:v>
                </c:pt>
                <c:pt idx="88">
                  <c:v>2.4</c:v>
                </c:pt>
                <c:pt idx="89">
                  <c:v>2.4</c:v>
                </c:pt>
                <c:pt idx="90">
                  <c:v>2.6</c:v>
                </c:pt>
                <c:pt idx="91">
                  <c:v>2.8</c:v>
                </c:pt>
                <c:pt idx="92">
                  <c:v>2.9</c:v>
                </c:pt>
                <c:pt idx="93">
                  <c:v>2.9</c:v>
                </c:pt>
                <c:pt idx="94">
                  <c:v>3</c:v>
                </c:pt>
                <c:pt idx="95">
                  <c:v>3</c:v>
                </c:pt>
                <c:pt idx="96">
                  <c:v>3.2</c:v>
                </c:pt>
                <c:pt idx="97">
                  <c:v>3.3</c:v>
                </c:pt>
                <c:pt idx="98">
                  <c:v>3.3</c:v>
                </c:pt>
                <c:pt idx="99">
                  <c:v>3.2</c:v>
                </c:pt>
                <c:pt idx="100">
                  <c:v>3.1</c:v>
                </c:pt>
                <c:pt idx="101">
                  <c:v>3.1</c:v>
                </c:pt>
                <c:pt idx="102">
                  <c:v>3</c:v>
                </c:pt>
                <c:pt idx="103">
                  <c:v>2.9</c:v>
                </c:pt>
                <c:pt idx="104">
                  <c:v>3.1</c:v>
                </c:pt>
                <c:pt idx="105">
                  <c:v>3.1</c:v>
                </c:pt>
                <c:pt idx="106">
                  <c:v>3.1</c:v>
                </c:pt>
                <c:pt idx="107">
                  <c:v>3.2</c:v>
                </c:pt>
                <c:pt idx="108">
                  <c:v>3.2</c:v>
                </c:pt>
                <c:pt idx="109">
                  <c:v>3.4</c:v>
                </c:pt>
                <c:pt idx="110">
                  <c:v>3.5</c:v>
                </c:pt>
                <c:pt idx="111">
                  <c:v>3.6</c:v>
                </c:pt>
                <c:pt idx="112">
                  <c:v>3.4</c:v>
                </c:pt>
                <c:pt idx="113">
                  <c:v>3.3</c:v>
                </c:pt>
                <c:pt idx="114">
                  <c:v>3.6</c:v>
                </c:pt>
                <c:pt idx="115">
                  <c:v>3.9</c:v>
                </c:pt>
                <c:pt idx="116">
                  <c:v>3.9</c:v>
                </c:pt>
                <c:pt idx="117">
                  <c:v>3.5</c:v>
                </c:pt>
                <c:pt idx="118">
                  <c:v>3.2</c:v>
                </c:pt>
                <c:pt idx="119">
                  <c:v>3.2</c:v>
                </c:pt>
                <c:pt idx="120">
                  <c:v>3.4</c:v>
                </c:pt>
                <c:pt idx="121">
                  <c:v>3.5</c:v>
                </c:pt>
                <c:pt idx="122">
                  <c:v>3.4</c:v>
                </c:pt>
                <c:pt idx="123">
                  <c:v>3.2</c:v>
                </c:pt>
                <c:pt idx="124">
                  <c:v>3.3</c:v>
                </c:pt>
                <c:pt idx="125">
                  <c:v>3.4</c:v>
                </c:pt>
                <c:pt idx="126">
                  <c:v>3.6</c:v>
                </c:pt>
                <c:pt idx="127">
                  <c:v>3.4</c:v>
                </c:pt>
                <c:pt idx="128">
                  <c:v>3.2</c:v>
                </c:pt>
                <c:pt idx="129">
                  <c:v>2.9</c:v>
                </c:pt>
                <c:pt idx="130">
                  <c:v>3</c:v>
                </c:pt>
                <c:pt idx="131">
                  <c:v>2.9</c:v>
                </c:pt>
                <c:pt idx="132">
                  <c:v>3.3</c:v>
                </c:pt>
                <c:pt idx="133">
                  <c:v>3.3</c:v>
                </c:pt>
                <c:pt idx="134">
                  <c:v>3.2</c:v>
                </c:pt>
                <c:pt idx="135">
                  <c:v>3.2</c:v>
                </c:pt>
                <c:pt idx="136">
                  <c:v>3.3</c:v>
                </c:pt>
                <c:pt idx="137">
                  <c:v>3.5</c:v>
                </c:pt>
                <c:pt idx="138">
                  <c:v>3.5</c:v>
                </c:pt>
                <c:pt idx="139">
                  <c:v>3.7</c:v>
                </c:pt>
                <c:pt idx="140">
                  <c:v>3.9</c:v>
                </c:pt>
                <c:pt idx="141">
                  <c:v>3.8</c:v>
                </c:pt>
                <c:pt idx="142">
                  <c:v>3.8</c:v>
                </c:pt>
                <c:pt idx="143">
                  <c:v>3.4</c:v>
                </c:pt>
                <c:pt idx="144">
                  <c:v>3.5</c:v>
                </c:pt>
                <c:pt idx="145">
                  <c:v>3.6</c:v>
                </c:pt>
                <c:pt idx="146">
                  <c:v>3.7</c:v>
                </c:pt>
                <c:pt idx="147">
                  <c:v>3.9</c:v>
                </c:pt>
                <c:pt idx="148">
                  <c:v>3.9</c:v>
                </c:pt>
                <c:pt idx="149">
                  <c:v>3.7</c:v>
                </c:pt>
                <c:pt idx="150">
                  <c:v>3.6</c:v>
                </c:pt>
                <c:pt idx="151">
                  <c:v>3.5</c:v>
                </c:pt>
                <c:pt idx="152">
                  <c:v>3.7</c:v>
                </c:pt>
                <c:pt idx="153">
                  <c:v>3.7</c:v>
                </c:pt>
                <c:pt idx="154">
                  <c:v>3.8</c:v>
                </c:pt>
                <c:pt idx="155">
                  <c:v>3.7</c:v>
                </c:pt>
                <c:pt idx="156">
                  <c:v>3.5</c:v>
                </c:pt>
                <c:pt idx="157">
                  <c:v>3.3</c:v>
                </c:pt>
                <c:pt idx="158">
                  <c:v>3.5</c:v>
                </c:pt>
                <c:pt idx="159">
                  <c:v>3.8</c:v>
                </c:pt>
                <c:pt idx="160">
                  <c:v>3.9</c:v>
                </c:pt>
                <c:pt idx="161">
                  <c:v>3.5</c:v>
                </c:pt>
                <c:pt idx="162">
                  <c:v>3.5</c:v>
                </c:pt>
                <c:pt idx="163">
                  <c:v>3.5</c:v>
                </c:pt>
                <c:pt idx="164">
                  <c:v>3.7</c:v>
                </c:pt>
                <c:pt idx="165">
                  <c:v>3.4</c:v>
                </c:pt>
                <c:pt idx="166">
                  <c:v>3.4</c:v>
                </c:pt>
                <c:pt idx="167">
                  <c:v>3.4</c:v>
                </c:pt>
                <c:pt idx="168">
                  <c:v>3.4</c:v>
                </c:pt>
                <c:pt idx="169">
                  <c:v>3.2</c:v>
                </c:pt>
                <c:pt idx="170">
                  <c:v>3</c:v>
                </c:pt>
                <c:pt idx="171">
                  <c:v>3.2</c:v>
                </c:pt>
                <c:pt idx="172">
                  <c:v>3.7</c:v>
                </c:pt>
                <c:pt idx="173">
                  <c:v>3.9</c:v>
                </c:pt>
                <c:pt idx="174">
                  <c:v>4.2</c:v>
                </c:pt>
                <c:pt idx="175">
                  <c:v>4.0999999999999996</c:v>
                </c:pt>
                <c:pt idx="176">
                  <c:v>4.3</c:v>
                </c:pt>
                <c:pt idx="177">
                  <c:v>4.5</c:v>
                </c:pt>
                <c:pt idx="178">
                  <c:v>5.0999999999999996</c:v>
                </c:pt>
                <c:pt idx="179">
                  <c:v>5.8</c:v>
                </c:pt>
                <c:pt idx="180">
                  <c:v>6</c:v>
                </c:pt>
                <c:pt idx="181">
                  <c:v>6</c:v>
                </c:pt>
                <c:pt idx="182">
                  <c:v>6.1</c:v>
                </c:pt>
                <c:pt idx="183">
                  <c:v>6.7</c:v>
                </c:pt>
                <c:pt idx="184">
                  <c:v>6.7</c:v>
                </c:pt>
                <c:pt idx="185">
                  <c:v>6.7</c:v>
                </c:pt>
                <c:pt idx="186">
                  <c:v>6.3</c:v>
                </c:pt>
                <c:pt idx="187">
                  <c:v>6.4</c:v>
                </c:pt>
                <c:pt idx="188">
                  <c:v>6.4</c:v>
                </c:pt>
                <c:pt idx="189">
                  <c:v>6.1</c:v>
                </c:pt>
                <c:pt idx="190">
                  <c:v>6.1</c:v>
                </c:pt>
                <c:pt idx="191">
                  <c:v>6.1</c:v>
                </c:pt>
                <c:pt idx="192">
                  <c:v>6.4</c:v>
                </c:pt>
                <c:pt idx="193">
                  <c:v>6.1</c:v>
                </c:pt>
                <c:pt idx="194">
                  <c:v>6</c:v>
                </c:pt>
                <c:pt idx="195">
                  <c:v>5.6</c:v>
                </c:pt>
                <c:pt idx="196">
                  <c:v>5.7</c:v>
                </c:pt>
                <c:pt idx="197">
                  <c:v>5.3</c:v>
                </c:pt>
                <c:pt idx="198">
                  <c:v>5.2</c:v>
                </c:pt>
                <c:pt idx="199">
                  <c:v>5.2</c:v>
                </c:pt>
                <c:pt idx="200">
                  <c:v>5.2</c:v>
                </c:pt>
                <c:pt idx="201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84-4A77-B192-7A22B1517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7"/>
          <c:min val="1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31163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84015072"/>
        <c:crosses val="max"/>
        <c:crossBetween val="between"/>
      </c:valAx>
      <c:catAx>
        <c:axId val="5840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116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'Labor Market'!$K$2</c:f>
              <c:strCache>
                <c:ptCount val="1"/>
                <c:pt idx="0">
                  <c:v>Initial Claims Monthly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5400">
              <a:noFill/>
            </a:ln>
            <a:effectLst/>
          </c:spPr>
          <c:dLbls>
            <c:delete val="1"/>
          </c:dLbls>
          <c:cat>
            <c:numRef>
              <c:f>'Labor Market'!$A$639:$A$914</c:f>
              <c:numCache>
                <c:formatCode>[$-416]mmm\-yy;@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'Labor Market'!$K$639:$K$914</c:f>
              <c:numCache>
                <c:formatCode>#,##0</c:formatCode>
                <c:ptCount val="276"/>
                <c:pt idx="0">
                  <c:v>362000</c:v>
                </c:pt>
                <c:pt idx="1">
                  <c:v>386000</c:v>
                </c:pt>
                <c:pt idx="2">
                  <c:v>388000</c:v>
                </c:pt>
                <c:pt idx="3">
                  <c:v>406000</c:v>
                </c:pt>
                <c:pt idx="4">
                  <c:v>405000</c:v>
                </c:pt>
                <c:pt idx="5">
                  <c:v>394000</c:v>
                </c:pt>
                <c:pt idx="6">
                  <c:v>388000</c:v>
                </c:pt>
                <c:pt idx="7">
                  <c:v>395000</c:v>
                </c:pt>
                <c:pt idx="8">
                  <c:v>517000</c:v>
                </c:pt>
                <c:pt idx="9">
                  <c:v>483000</c:v>
                </c:pt>
                <c:pt idx="10">
                  <c:v>491000</c:v>
                </c:pt>
                <c:pt idx="11">
                  <c:v>421000</c:v>
                </c:pt>
                <c:pt idx="12">
                  <c:v>414000</c:v>
                </c:pt>
                <c:pt idx="13">
                  <c:v>398000</c:v>
                </c:pt>
                <c:pt idx="14">
                  <c:v>479000</c:v>
                </c:pt>
                <c:pt idx="15">
                  <c:v>414000</c:v>
                </c:pt>
                <c:pt idx="16">
                  <c:v>403000</c:v>
                </c:pt>
                <c:pt idx="17">
                  <c:v>386000</c:v>
                </c:pt>
                <c:pt idx="18">
                  <c:v>390000</c:v>
                </c:pt>
                <c:pt idx="19">
                  <c:v>394000</c:v>
                </c:pt>
                <c:pt idx="20">
                  <c:v>409000</c:v>
                </c:pt>
                <c:pt idx="21">
                  <c:v>409000</c:v>
                </c:pt>
                <c:pt idx="22">
                  <c:v>377000</c:v>
                </c:pt>
                <c:pt idx="23">
                  <c:v>409000</c:v>
                </c:pt>
                <c:pt idx="24">
                  <c:v>407000</c:v>
                </c:pt>
                <c:pt idx="25">
                  <c:v>421000</c:v>
                </c:pt>
                <c:pt idx="26">
                  <c:v>436000</c:v>
                </c:pt>
                <c:pt idx="27">
                  <c:v>444000</c:v>
                </c:pt>
                <c:pt idx="28">
                  <c:v>431000</c:v>
                </c:pt>
                <c:pt idx="29">
                  <c:v>429000</c:v>
                </c:pt>
                <c:pt idx="30">
                  <c:v>398000</c:v>
                </c:pt>
                <c:pt idx="31">
                  <c:v>407000</c:v>
                </c:pt>
                <c:pt idx="32">
                  <c:v>387000</c:v>
                </c:pt>
                <c:pt idx="33">
                  <c:v>379000</c:v>
                </c:pt>
                <c:pt idx="34">
                  <c:v>357000</c:v>
                </c:pt>
                <c:pt idx="35">
                  <c:v>349000</c:v>
                </c:pt>
                <c:pt idx="36">
                  <c:v>376000</c:v>
                </c:pt>
                <c:pt idx="37">
                  <c:v>348000</c:v>
                </c:pt>
                <c:pt idx="38">
                  <c:v>340000</c:v>
                </c:pt>
                <c:pt idx="39">
                  <c:v>339000</c:v>
                </c:pt>
                <c:pt idx="40">
                  <c:v>337000</c:v>
                </c:pt>
                <c:pt idx="41">
                  <c:v>348000</c:v>
                </c:pt>
                <c:pt idx="42">
                  <c:v>341000</c:v>
                </c:pt>
                <c:pt idx="43">
                  <c:v>352000</c:v>
                </c:pt>
                <c:pt idx="44">
                  <c:v>351000</c:v>
                </c:pt>
                <c:pt idx="45">
                  <c:v>332000</c:v>
                </c:pt>
                <c:pt idx="46">
                  <c:v>335000</c:v>
                </c:pt>
                <c:pt idx="47">
                  <c:v>320000</c:v>
                </c:pt>
                <c:pt idx="48">
                  <c:v>331000</c:v>
                </c:pt>
                <c:pt idx="49">
                  <c:v>314000</c:v>
                </c:pt>
                <c:pt idx="50">
                  <c:v>342000</c:v>
                </c:pt>
                <c:pt idx="51">
                  <c:v>334000</c:v>
                </c:pt>
                <c:pt idx="52">
                  <c:v>340000</c:v>
                </c:pt>
                <c:pt idx="53">
                  <c:v>311000</c:v>
                </c:pt>
                <c:pt idx="54">
                  <c:v>316000</c:v>
                </c:pt>
                <c:pt idx="55">
                  <c:v>318000</c:v>
                </c:pt>
                <c:pt idx="56">
                  <c:v>359000</c:v>
                </c:pt>
                <c:pt idx="57">
                  <c:v>322000</c:v>
                </c:pt>
                <c:pt idx="58">
                  <c:v>311000</c:v>
                </c:pt>
                <c:pt idx="59">
                  <c:v>302000</c:v>
                </c:pt>
                <c:pt idx="60">
                  <c:v>282000</c:v>
                </c:pt>
                <c:pt idx="61">
                  <c:v>293000</c:v>
                </c:pt>
                <c:pt idx="62">
                  <c:v>295000</c:v>
                </c:pt>
                <c:pt idx="63">
                  <c:v>321000</c:v>
                </c:pt>
                <c:pt idx="64">
                  <c:v>330000</c:v>
                </c:pt>
                <c:pt idx="65">
                  <c:v>309000</c:v>
                </c:pt>
                <c:pt idx="66">
                  <c:v>311000</c:v>
                </c:pt>
                <c:pt idx="67">
                  <c:v>314000</c:v>
                </c:pt>
                <c:pt idx="68">
                  <c:v>309000</c:v>
                </c:pt>
                <c:pt idx="69">
                  <c:v>328000</c:v>
                </c:pt>
                <c:pt idx="70">
                  <c:v>349000</c:v>
                </c:pt>
                <c:pt idx="71">
                  <c:v>341000</c:v>
                </c:pt>
                <c:pt idx="72">
                  <c:v>308000</c:v>
                </c:pt>
                <c:pt idx="73">
                  <c:v>322000</c:v>
                </c:pt>
                <c:pt idx="74">
                  <c:v>307000</c:v>
                </c:pt>
                <c:pt idx="75">
                  <c:v>301000</c:v>
                </c:pt>
                <c:pt idx="76">
                  <c:v>310000</c:v>
                </c:pt>
                <c:pt idx="77">
                  <c:v>317000</c:v>
                </c:pt>
                <c:pt idx="78">
                  <c:v>305000</c:v>
                </c:pt>
                <c:pt idx="79">
                  <c:v>329000</c:v>
                </c:pt>
                <c:pt idx="80">
                  <c:v>317000</c:v>
                </c:pt>
                <c:pt idx="81">
                  <c:v>328000</c:v>
                </c:pt>
                <c:pt idx="82">
                  <c:v>352000</c:v>
                </c:pt>
                <c:pt idx="83">
                  <c:v>360000</c:v>
                </c:pt>
                <c:pt idx="84">
                  <c:v>366000</c:v>
                </c:pt>
                <c:pt idx="85">
                  <c:v>354000</c:v>
                </c:pt>
                <c:pt idx="86">
                  <c:v>387000</c:v>
                </c:pt>
                <c:pt idx="87">
                  <c:v>370000</c:v>
                </c:pt>
                <c:pt idx="88">
                  <c:v>362000</c:v>
                </c:pt>
                <c:pt idx="89">
                  <c:v>392000</c:v>
                </c:pt>
                <c:pt idx="90">
                  <c:v>434000</c:v>
                </c:pt>
                <c:pt idx="91">
                  <c:v>442000</c:v>
                </c:pt>
                <c:pt idx="92">
                  <c:v>483000</c:v>
                </c:pt>
                <c:pt idx="93">
                  <c:v>480000</c:v>
                </c:pt>
                <c:pt idx="94">
                  <c:v>529000</c:v>
                </c:pt>
                <c:pt idx="95">
                  <c:v>533000</c:v>
                </c:pt>
                <c:pt idx="96">
                  <c:v>629000</c:v>
                </c:pt>
                <c:pt idx="97">
                  <c:v>652000</c:v>
                </c:pt>
                <c:pt idx="98">
                  <c:v>665000</c:v>
                </c:pt>
                <c:pt idx="99">
                  <c:v>620000</c:v>
                </c:pt>
                <c:pt idx="100">
                  <c:v>607000</c:v>
                </c:pt>
                <c:pt idx="101">
                  <c:v>594000</c:v>
                </c:pt>
                <c:pt idx="102">
                  <c:v>587000</c:v>
                </c:pt>
                <c:pt idx="103">
                  <c:v>564000</c:v>
                </c:pt>
                <c:pt idx="104">
                  <c:v>554000</c:v>
                </c:pt>
                <c:pt idx="105">
                  <c:v>522000</c:v>
                </c:pt>
                <c:pt idx="106">
                  <c:v>475000</c:v>
                </c:pt>
                <c:pt idx="107">
                  <c:v>468000</c:v>
                </c:pt>
                <c:pt idx="108">
                  <c:v>496000</c:v>
                </c:pt>
                <c:pt idx="109">
                  <c:v>488000</c:v>
                </c:pt>
                <c:pt idx="110">
                  <c:v>459000</c:v>
                </c:pt>
                <c:pt idx="111">
                  <c:v>449000</c:v>
                </c:pt>
                <c:pt idx="112">
                  <c:v>458000</c:v>
                </c:pt>
                <c:pt idx="113">
                  <c:v>464000</c:v>
                </c:pt>
                <c:pt idx="114">
                  <c:v>476000</c:v>
                </c:pt>
                <c:pt idx="115">
                  <c:v>467000</c:v>
                </c:pt>
                <c:pt idx="116">
                  <c:v>459000</c:v>
                </c:pt>
                <c:pt idx="117">
                  <c:v>453000</c:v>
                </c:pt>
                <c:pt idx="118">
                  <c:v>432000</c:v>
                </c:pt>
                <c:pt idx="119">
                  <c:v>404000</c:v>
                </c:pt>
                <c:pt idx="120">
                  <c:v>420000</c:v>
                </c:pt>
                <c:pt idx="121">
                  <c:v>385000</c:v>
                </c:pt>
                <c:pt idx="122">
                  <c:v>399000</c:v>
                </c:pt>
                <c:pt idx="123">
                  <c:v>468000</c:v>
                </c:pt>
                <c:pt idx="124">
                  <c:v>418000</c:v>
                </c:pt>
                <c:pt idx="125">
                  <c:v>421000</c:v>
                </c:pt>
                <c:pt idx="126">
                  <c:v>406000</c:v>
                </c:pt>
                <c:pt idx="127">
                  <c:v>409000</c:v>
                </c:pt>
                <c:pt idx="128">
                  <c:v>406000</c:v>
                </c:pt>
                <c:pt idx="129">
                  <c:v>399000</c:v>
                </c:pt>
                <c:pt idx="130">
                  <c:v>397000</c:v>
                </c:pt>
                <c:pt idx="131">
                  <c:v>376000</c:v>
                </c:pt>
                <c:pt idx="132">
                  <c:v>372000</c:v>
                </c:pt>
                <c:pt idx="133">
                  <c:v>365000</c:v>
                </c:pt>
                <c:pt idx="134">
                  <c:v>358000</c:v>
                </c:pt>
                <c:pt idx="135">
                  <c:v>372000</c:v>
                </c:pt>
                <c:pt idx="136">
                  <c:v>381000</c:v>
                </c:pt>
                <c:pt idx="137">
                  <c:v>372000</c:v>
                </c:pt>
                <c:pt idx="138">
                  <c:v>372000</c:v>
                </c:pt>
                <c:pt idx="139">
                  <c:v>377000</c:v>
                </c:pt>
                <c:pt idx="140">
                  <c:v>376000</c:v>
                </c:pt>
                <c:pt idx="141">
                  <c:v>364000</c:v>
                </c:pt>
                <c:pt idx="142">
                  <c:v>388000</c:v>
                </c:pt>
                <c:pt idx="143">
                  <c:v>362000</c:v>
                </c:pt>
                <c:pt idx="144">
                  <c:v>366000</c:v>
                </c:pt>
                <c:pt idx="145">
                  <c:v>342000</c:v>
                </c:pt>
                <c:pt idx="146">
                  <c:v>375000</c:v>
                </c:pt>
                <c:pt idx="147">
                  <c:v>331000</c:v>
                </c:pt>
                <c:pt idx="148">
                  <c:v>353000</c:v>
                </c:pt>
                <c:pt idx="149">
                  <c:v>340000</c:v>
                </c:pt>
                <c:pt idx="150">
                  <c:v>334000</c:v>
                </c:pt>
                <c:pt idx="151">
                  <c:v>325000</c:v>
                </c:pt>
                <c:pt idx="152">
                  <c:v>319000</c:v>
                </c:pt>
                <c:pt idx="153">
                  <c:v>347000</c:v>
                </c:pt>
                <c:pt idx="154">
                  <c:v>312000</c:v>
                </c:pt>
                <c:pt idx="155">
                  <c:v>332000</c:v>
                </c:pt>
                <c:pt idx="156">
                  <c:v>340000</c:v>
                </c:pt>
                <c:pt idx="157">
                  <c:v>341000</c:v>
                </c:pt>
                <c:pt idx="158">
                  <c:v>330000</c:v>
                </c:pt>
                <c:pt idx="159">
                  <c:v>345000</c:v>
                </c:pt>
                <c:pt idx="160">
                  <c:v>312000</c:v>
                </c:pt>
                <c:pt idx="161">
                  <c:v>308000</c:v>
                </c:pt>
                <c:pt idx="162">
                  <c:v>303000</c:v>
                </c:pt>
                <c:pt idx="163">
                  <c:v>303000</c:v>
                </c:pt>
                <c:pt idx="164">
                  <c:v>290000</c:v>
                </c:pt>
                <c:pt idx="165">
                  <c:v>291000</c:v>
                </c:pt>
                <c:pt idx="166">
                  <c:v>291000</c:v>
                </c:pt>
                <c:pt idx="167">
                  <c:v>285000</c:v>
                </c:pt>
                <c:pt idx="168">
                  <c:v>281000</c:v>
                </c:pt>
                <c:pt idx="169">
                  <c:v>317000</c:v>
                </c:pt>
                <c:pt idx="170">
                  <c:v>269000</c:v>
                </c:pt>
                <c:pt idx="171">
                  <c:v>269000</c:v>
                </c:pt>
                <c:pt idx="172">
                  <c:v>275000</c:v>
                </c:pt>
                <c:pt idx="173">
                  <c:v>275000</c:v>
                </c:pt>
                <c:pt idx="174">
                  <c:v>269000</c:v>
                </c:pt>
                <c:pt idx="175">
                  <c:v>279000</c:v>
                </c:pt>
                <c:pt idx="176">
                  <c:v>272000</c:v>
                </c:pt>
                <c:pt idx="177">
                  <c:v>275000</c:v>
                </c:pt>
                <c:pt idx="178">
                  <c:v>265000</c:v>
                </c:pt>
                <c:pt idx="179">
                  <c:v>276000</c:v>
                </c:pt>
                <c:pt idx="180">
                  <c:v>282000</c:v>
                </c:pt>
                <c:pt idx="181">
                  <c:v>269000</c:v>
                </c:pt>
                <c:pt idx="182">
                  <c:v>271000</c:v>
                </c:pt>
                <c:pt idx="183">
                  <c:v>278000</c:v>
                </c:pt>
                <c:pt idx="184">
                  <c:v>263000</c:v>
                </c:pt>
                <c:pt idx="185">
                  <c:v>262000</c:v>
                </c:pt>
                <c:pt idx="186">
                  <c:v>266000</c:v>
                </c:pt>
                <c:pt idx="187">
                  <c:v>261000</c:v>
                </c:pt>
                <c:pt idx="188">
                  <c:v>247000</c:v>
                </c:pt>
                <c:pt idx="189">
                  <c:v>265000</c:v>
                </c:pt>
                <c:pt idx="190">
                  <c:v>255000</c:v>
                </c:pt>
                <c:pt idx="191">
                  <c:v>244000</c:v>
                </c:pt>
                <c:pt idx="192">
                  <c:v>241000</c:v>
                </c:pt>
                <c:pt idx="193">
                  <c:v>221000</c:v>
                </c:pt>
                <c:pt idx="194">
                  <c:v>236000</c:v>
                </c:pt>
                <c:pt idx="195">
                  <c:v>232000</c:v>
                </c:pt>
                <c:pt idx="196">
                  <c:v>253000</c:v>
                </c:pt>
                <c:pt idx="197">
                  <c:v>247000</c:v>
                </c:pt>
                <c:pt idx="198">
                  <c:v>245000</c:v>
                </c:pt>
                <c:pt idx="199">
                  <c:v>247000</c:v>
                </c:pt>
                <c:pt idx="200">
                  <c:v>260000</c:v>
                </c:pt>
                <c:pt idx="201">
                  <c:v>241000</c:v>
                </c:pt>
                <c:pt idx="202">
                  <c:v>243000</c:v>
                </c:pt>
                <c:pt idx="203">
                  <c:v>248000</c:v>
                </c:pt>
                <c:pt idx="204">
                  <c:v>228000</c:v>
                </c:pt>
                <c:pt idx="205">
                  <c:v>216000</c:v>
                </c:pt>
                <c:pt idx="206">
                  <c:v>232000</c:v>
                </c:pt>
                <c:pt idx="207">
                  <c:v>209000</c:v>
                </c:pt>
                <c:pt idx="208">
                  <c:v>222000</c:v>
                </c:pt>
                <c:pt idx="209">
                  <c:v>228000</c:v>
                </c:pt>
                <c:pt idx="210">
                  <c:v>207000</c:v>
                </c:pt>
                <c:pt idx="211">
                  <c:v>211000</c:v>
                </c:pt>
                <c:pt idx="212">
                  <c:v>210000</c:v>
                </c:pt>
                <c:pt idx="213">
                  <c:v>216000</c:v>
                </c:pt>
                <c:pt idx="214">
                  <c:v>237000</c:v>
                </c:pt>
                <c:pt idx="215">
                  <c:v>238000</c:v>
                </c:pt>
                <c:pt idx="216">
                  <c:v>235000</c:v>
                </c:pt>
                <c:pt idx="217">
                  <c:v>225000</c:v>
                </c:pt>
                <c:pt idx="218">
                  <c:v>206000</c:v>
                </c:pt>
                <c:pt idx="219">
                  <c:v>225000</c:v>
                </c:pt>
                <c:pt idx="220">
                  <c:v>221000</c:v>
                </c:pt>
                <c:pt idx="221">
                  <c:v>223000</c:v>
                </c:pt>
                <c:pt idx="222">
                  <c:v>200000</c:v>
                </c:pt>
                <c:pt idx="223">
                  <c:v>207000</c:v>
                </c:pt>
                <c:pt idx="224">
                  <c:v>209000</c:v>
                </c:pt>
                <c:pt idx="225">
                  <c:v>217000</c:v>
                </c:pt>
                <c:pt idx="226">
                  <c:v>229000</c:v>
                </c:pt>
                <c:pt idx="227">
                  <c:v>233000</c:v>
                </c:pt>
                <c:pt idx="228">
                  <c:v>210000</c:v>
                </c:pt>
                <c:pt idx="229">
                  <c:v>219000</c:v>
                </c:pt>
                <c:pt idx="230">
                  <c:v>5946000</c:v>
                </c:pt>
                <c:pt idx="231">
                  <c:v>3446000</c:v>
                </c:pt>
                <c:pt idx="232">
                  <c:v>1639000</c:v>
                </c:pt>
                <c:pt idx="233">
                  <c:v>1446000</c:v>
                </c:pt>
                <c:pt idx="234">
                  <c:v>1260000</c:v>
                </c:pt>
                <c:pt idx="235">
                  <c:v>881000</c:v>
                </c:pt>
                <c:pt idx="236">
                  <c:v>795000</c:v>
                </c:pt>
                <c:pt idx="237">
                  <c:v>773000</c:v>
                </c:pt>
                <c:pt idx="238">
                  <c:v>737000</c:v>
                </c:pt>
                <c:pt idx="239">
                  <c:v>773000</c:v>
                </c:pt>
                <c:pt idx="240">
                  <c:v>803000</c:v>
                </c:pt>
                <c:pt idx="241">
                  <c:v>704000</c:v>
                </c:pt>
                <c:pt idx="242">
                  <c:v>658000</c:v>
                </c:pt>
                <c:pt idx="243">
                  <c:v>574000</c:v>
                </c:pt>
                <c:pt idx="244">
                  <c:v>427000</c:v>
                </c:pt>
                <c:pt idx="245">
                  <c:v>372000</c:v>
                </c:pt>
                <c:pt idx="246">
                  <c:v>365000</c:v>
                </c:pt>
                <c:pt idx="247">
                  <c:v>343000</c:v>
                </c:pt>
                <c:pt idx="248">
                  <c:v>356000</c:v>
                </c:pt>
                <c:pt idx="249">
                  <c:v>264000</c:v>
                </c:pt>
                <c:pt idx="250">
                  <c:v>225000</c:v>
                </c:pt>
                <c:pt idx="251">
                  <c:v>203000</c:v>
                </c:pt>
                <c:pt idx="252">
                  <c:v>233000</c:v>
                </c:pt>
                <c:pt idx="253">
                  <c:v>213000</c:v>
                </c:pt>
                <c:pt idx="254">
                  <c:v>214000</c:v>
                </c:pt>
                <c:pt idx="255">
                  <c:v>218000</c:v>
                </c:pt>
                <c:pt idx="256">
                  <c:v>202000</c:v>
                </c:pt>
                <c:pt idx="257">
                  <c:v>213000</c:v>
                </c:pt>
                <c:pt idx="258">
                  <c:v>218000</c:v>
                </c:pt>
                <c:pt idx="259">
                  <c:v>206000</c:v>
                </c:pt>
                <c:pt idx="260">
                  <c:v>182000</c:v>
                </c:pt>
                <c:pt idx="261">
                  <c:v>204000</c:v>
                </c:pt>
                <c:pt idx="262">
                  <c:v>213000</c:v>
                </c:pt>
                <c:pt idx="263">
                  <c:v>206000</c:v>
                </c:pt>
                <c:pt idx="264">
                  <c:v>199000</c:v>
                </c:pt>
                <c:pt idx="265">
                  <c:v>221000</c:v>
                </c:pt>
                <c:pt idx="266">
                  <c:v>246000</c:v>
                </c:pt>
                <c:pt idx="267">
                  <c:v>242000</c:v>
                </c:pt>
                <c:pt idx="268">
                  <c:v>233000</c:v>
                </c:pt>
                <c:pt idx="269">
                  <c:v>236000</c:v>
                </c:pt>
                <c:pt idx="270">
                  <c:v>227000</c:v>
                </c:pt>
                <c:pt idx="271">
                  <c:v>229000</c:v>
                </c:pt>
                <c:pt idx="272">
                  <c:v>209000</c:v>
                </c:pt>
                <c:pt idx="273">
                  <c:v>220000</c:v>
                </c:pt>
                <c:pt idx="274">
                  <c:v>219000</c:v>
                </c:pt>
                <c:pt idx="275">
                  <c:v>203000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E15-4B66-9E25-DA184E8F48F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28998512"/>
        <c:axId val="1229000176"/>
      </c:areaChart>
      <c:lineChart>
        <c:grouping val="standard"/>
        <c:varyColors val="0"/>
        <c:ser>
          <c:idx val="0"/>
          <c:order val="1"/>
          <c:tx>
            <c:strRef>
              <c:f>'Labor Market'!$O$2</c:f>
              <c:strCache>
                <c:ptCount val="1"/>
                <c:pt idx="0">
                  <c:v>JOLTS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'Labor Market'!$O$639:$O$914</c:f>
              <c:numCache>
                <c:formatCode>#,##0</c:formatCode>
                <c:ptCount val="276"/>
                <c:pt idx="0">
                  <c:v>5234</c:v>
                </c:pt>
                <c:pt idx="1">
                  <c:v>5097</c:v>
                </c:pt>
                <c:pt idx="2">
                  <c:v>4762</c:v>
                </c:pt>
                <c:pt idx="3">
                  <c:v>4615</c:v>
                </c:pt>
                <c:pt idx="4">
                  <c:v>4425</c:v>
                </c:pt>
                <c:pt idx="5">
                  <c:v>4361</c:v>
                </c:pt>
                <c:pt idx="6">
                  <c:v>4447</c:v>
                </c:pt>
                <c:pt idx="7">
                  <c:v>4024</c:v>
                </c:pt>
                <c:pt idx="8">
                  <c:v>4071</c:v>
                </c:pt>
                <c:pt idx="9">
                  <c:v>3707</c:v>
                </c:pt>
                <c:pt idx="10">
                  <c:v>3775</c:v>
                </c:pt>
                <c:pt idx="11">
                  <c:v>3677</c:v>
                </c:pt>
                <c:pt idx="12">
                  <c:v>3699</c:v>
                </c:pt>
                <c:pt idx="13">
                  <c:v>3436</c:v>
                </c:pt>
                <c:pt idx="14">
                  <c:v>3612</c:v>
                </c:pt>
                <c:pt idx="15">
                  <c:v>3471</c:v>
                </c:pt>
                <c:pt idx="16">
                  <c:v>3457</c:v>
                </c:pt>
                <c:pt idx="17">
                  <c:v>3412</c:v>
                </c:pt>
                <c:pt idx="18">
                  <c:v>3367</c:v>
                </c:pt>
                <c:pt idx="19">
                  <c:v>3517</c:v>
                </c:pt>
                <c:pt idx="20">
                  <c:v>3301</c:v>
                </c:pt>
                <c:pt idx="21">
                  <c:v>3479</c:v>
                </c:pt>
                <c:pt idx="22">
                  <c:v>3514</c:v>
                </c:pt>
                <c:pt idx="23">
                  <c:v>3169</c:v>
                </c:pt>
                <c:pt idx="24">
                  <c:v>3441</c:v>
                </c:pt>
                <c:pt idx="25">
                  <c:v>3229</c:v>
                </c:pt>
                <c:pt idx="26">
                  <c:v>3099</c:v>
                </c:pt>
                <c:pt idx="27">
                  <c:v>3108</c:v>
                </c:pt>
                <c:pt idx="28">
                  <c:v>3289</c:v>
                </c:pt>
                <c:pt idx="29">
                  <c:v>3390</c:v>
                </c:pt>
                <c:pt idx="30">
                  <c:v>2981</c:v>
                </c:pt>
                <c:pt idx="31">
                  <c:v>3190</c:v>
                </c:pt>
                <c:pt idx="32">
                  <c:v>3091</c:v>
                </c:pt>
                <c:pt idx="33">
                  <c:v>3305</c:v>
                </c:pt>
                <c:pt idx="34">
                  <c:v>3324</c:v>
                </c:pt>
                <c:pt idx="35">
                  <c:v>3414</c:v>
                </c:pt>
                <c:pt idx="36">
                  <c:v>3424</c:v>
                </c:pt>
                <c:pt idx="37">
                  <c:v>3532</c:v>
                </c:pt>
                <c:pt idx="38">
                  <c:v>3525</c:v>
                </c:pt>
                <c:pt idx="39">
                  <c:v>3511</c:v>
                </c:pt>
                <c:pt idx="40">
                  <c:v>3710</c:v>
                </c:pt>
                <c:pt idx="41">
                  <c:v>3337</c:v>
                </c:pt>
                <c:pt idx="42">
                  <c:v>3814</c:v>
                </c:pt>
                <c:pt idx="43">
                  <c:v>3541</c:v>
                </c:pt>
                <c:pt idx="44">
                  <c:v>3821</c:v>
                </c:pt>
                <c:pt idx="45">
                  <c:v>3943</c:v>
                </c:pt>
                <c:pt idx="46">
                  <c:v>3472</c:v>
                </c:pt>
                <c:pt idx="47">
                  <c:v>4074</c:v>
                </c:pt>
                <c:pt idx="48">
                  <c:v>3804</c:v>
                </c:pt>
                <c:pt idx="49">
                  <c:v>3965</c:v>
                </c:pt>
                <c:pt idx="50">
                  <c:v>4044</c:v>
                </c:pt>
                <c:pt idx="51">
                  <c:v>4159</c:v>
                </c:pt>
                <c:pt idx="52">
                  <c:v>3797</c:v>
                </c:pt>
                <c:pt idx="53">
                  <c:v>4062</c:v>
                </c:pt>
                <c:pt idx="54">
                  <c:v>4256</c:v>
                </c:pt>
                <c:pt idx="55">
                  <c:v>4142</c:v>
                </c:pt>
                <c:pt idx="56">
                  <c:v>4352</c:v>
                </c:pt>
                <c:pt idx="57">
                  <c:v>4184</c:v>
                </c:pt>
                <c:pt idx="58">
                  <c:v>4248</c:v>
                </c:pt>
                <c:pt idx="59">
                  <c:v>4282</c:v>
                </c:pt>
                <c:pt idx="60">
                  <c:v>4397</c:v>
                </c:pt>
                <c:pt idx="61">
                  <c:v>4325</c:v>
                </c:pt>
                <c:pt idx="62">
                  <c:v>4732</c:v>
                </c:pt>
                <c:pt idx="63">
                  <c:v>4790</c:v>
                </c:pt>
                <c:pt idx="64">
                  <c:v>4463</c:v>
                </c:pt>
                <c:pt idx="65">
                  <c:v>4614</c:v>
                </c:pt>
                <c:pt idx="66">
                  <c:v>4394</c:v>
                </c:pt>
                <c:pt idx="67">
                  <c:v>4710</c:v>
                </c:pt>
                <c:pt idx="68">
                  <c:v>4737</c:v>
                </c:pt>
                <c:pt idx="69">
                  <c:v>4591</c:v>
                </c:pt>
                <c:pt idx="70">
                  <c:v>4645</c:v>
                </c:pt>
                <c:pt idx="71">
                  <c:v>4620</c:v>
                </c:pt>
                <c:pt idx="72">
                  <c:v>4763</c:v>
                </c:pt>
                <c:pt idx="73">
                  <c:v>4699</c:v>
                </c:pt>
                <c:pt idx="74">
                  <c:v>4962</c:v>
                </c:pt>
                <c:pt idx="75">
                  <c:v>4689</c:v>
                </c:pt>
                <c:pt idx="76">
                  <c:v>4657</c:v>
                </c:pt>
                <c:pt idx="77">
                  <c:v>4859</c:v>
                </c:pt>
                <c:pt idx="78">
                  <c:v>4598</c:v>
                </c:pt>
                <c:pt idx="79">
                  <c:v>4546</c:v>
                </c:pt>
                <c:pt idx="80">
                  <c:v>4652</c:v>
                </c:pt>
                <c:pt idx="81">
                  <c:v>4636</c:v>
                </c:pt>
                <c:pt idx="82">
                  <c:v>4646</c:v>
                </c:pt>
                <c:pt idx="83">
                  <c:v>4545</c:v>
                </c:pt>
                <c:pt idx="84">
                  <c:v>4624</c:v>
                </c:pt>
                <c:pt idx="85">
                  <c:v>4279</c:v>
                </c:pt>
                <c:pt idx="86">
                  <c:v>4225</c:v>
                </c:pt>
                <c:pt idx="87">
                  <c:v>4035</c:v>
                </c:pt>
                <c:pt idx="88">
                  <c:v>4194</c:v>
                </c:pt>
                <c:pt idx="89">
                  <c:v>3830</c:v>
                </c:pt>
                <c:pt idx="90">
                  <c:v>3749</c:v>
                </c:pt>
                <c:pt idx="91">
                  <c:v>3674</c:v>
                </c:pt>
                <c:pt idx="92">
                  <c:v>3222</c:v>
                </c:pt>
                <c:pt idx="93">
                  <c:v>3377</c:v>
                </c:pt>
                <c:pt idx="94">
                  <c:v>3231</c:v>
                </c:pt>
                <c:pt idx="95">
                  <c:v>3146</c:v>
                </c:pt>
                <c:pt idx="96">
                  <c:v>2738</c:v>
                </c:pt>
                <c:pt idx="97">
                  <c:v>2864</c:v>
                </c:pt>
                <c:pt idx="98">
                  <c:v>2534</c:v>
                </c:pt>
                <c:pt idx="99">
                  <c:v>2295</c:v>
                </c:pt>
                <c:pt idx="100">
                  <c:v>2549</c:v>
                </c:pt>
                <c:pt idx="101">
                  <c:v>2503</c:v>
                </c:pt>
                <c:pt idx="102">
                  <c:v>2232</c:v>
                </c:pt>
                <c:pt idx="103">
                  <c:v>2338</c:v>
                </c:pt>
                <c:pt idx="104">
                  <c:v>2487</c:v>
                </c:pt>
                <c:pt idx="105">
                  <c:v>2406</c:v>
                </c:pt>
                <c:pt idx="106">
                  <c:v>2503</c:v>
                </c:pt>
                <c:pt idx="107">
                  <c:v>2568</c:v>
                </c:pt>
                <c:pt idx="108">
                  <c:v>2837</c:v>
                </c:pt>
                <c:pt idx="109">
                  <c:v>2666</c:v>
                </c:pt>
                <c:pt idx="110">
                  <c:v>2679</c:v>
                </c:pt>
                <c:pt idx="111">
                  <c:v>3153</c:v>
                </c:pt>
                <c:pt idx="112">
                  <c:v>2988</c:v>
                </c:pt>
                <c:pt idx="113">
                  <c:v>2801</c:v>
                </c:pt>
                <c:pt idx="114">
                  <c:v>3082</c:v>
                </c:pt>
                <c:pt idx="115">
                  <c:v>2999</c:v>
                </c:pt>
                <c:pt idx="116">
                  <c:v>2918</c:v>
                </c:pt>
                <c:pt idx="117">
                  <c:v>3235</c:v>
                </c:pt>
                <c:pt idx="118">
                  <c:v>3211</c:v>
                </c:pt>
                <c:pt idx="119">
                  <c:v>3058</c:v>
                </c:pt>
                <c:pt idx="120">
                  <c:v>3104</c:v>
                </c:pt>
                <c:pt idx="121">
                  <c:v>3226</c:v>
                </c:pt>
                <c:pt idx="122">
                  <c:v>3261</c:v>
                </c:pt>
                <c:pt idx="123">
                  <c:v>3259</c:v>
                </c:pt>
                <c:pt idx="124">
                  <c:v>3179</c:v>
                </c:pt>
                <c:pt idx="125">
                  <c:v>3455</c:v>
                </c:pt>
                <c:pt idx="126">
                  <c:v>3623</c:v>
                </c:pt>
                <c:pt idx="127">
                  <c:v>3329</c:v>
                </c:pt>
                <c:pt idx="128">
                  <c:v>3774</c:v>
                </c:pt>
                <c:pt idx="129">
                  <c:v>3619</c:v>
                </c:pt>
                <c:pt idx="130">
                  <c:v>3565</c:v>
                </c:pt>
                <c:pt idx="131">
                  <c:v>3768</c:v>
                </c:pt>
                <c:pt idx="132">
                  <c:v>3909</c:v>
                </c:pt>
                <c:pt idx="133">
                  <c:v>3616</c:v>
                </c:pt>
                <c:pt idx="134">
                  <c:v>3979</c:v>
                </c:pt>
                <c:pt idx="135">
                  <c:v>3793</c:v>
                </c:pt>
                <c:pt idx="136">
                  <c:v>3835</c:v>
                </c:pt>
                <c:pt idx="137">
                  <c:v>3911</c:v>
                </c:pt>
                <c:pt idx="138">
                  <c:v>3735</c:v>
                </c:pt>
                <c:pt idx="139">
                  <c:v>3809</c:v>
                </c:pt>
                <c:pt idx="140">
                  <c:v>3882</c:v>
                </c:pt>
                <c:pt idx="141">
                  <c:v>3775</c:v>
                </c:pt>
                <c:pt idx="142">
                  <c:v>3878</c:v>
                </c:pt>
                <c:pt idx="143">
                  <c:v>3970</c:v>
                </c:pt>
                <c:pt idx="144">
                  <c:v>3923</c:v>
                </c:pt>
                <c:pt idx="145">
                  <c:v>4004</c:v>
                </c:pt>
                <c:pt idx="146">
                  <c:v>4076</c:v>
                </c:pt>
                <c:pt idx="147">
                  <c:v>3988</c:v>
                </c:pt>
                <c:pt idx="148">
                  <c:v>4145</c:v>
                </c:pt>
                <c:pt idx="149">
                  <c:v>4150</c:v>
                </c:pt>
                <c:pt idx="150">
                  <c:v>3885</c:v>
                </c:pt>
                <c:pt idx="151">
                  <c:v>4085</c:v>
                </c:pt>
                <c:pt idx="152">
                  <c:v>4128</c:v>
                </c:pt>
                <c:pt idx="153">
                  <c:v>4222</c:v>
                </c:pt>
                <c:pt idx="154">
                  <c:v>4119</c:v>
                </c:pt>
                <c:pt idx="155">
                  <c:v>4121</c:v>
                </c:pt>
                <c:pt idx="156">
                  <c:v>4127</c:v>
                </c:pt>
                <c:pt idx="157">
                  <c:v>4373</c:v>
                </c:pt>
                <c:pt idx="158">
                  <c:v>4388</c:v>
                </c:pt>
                <c:pt idx="159">
                  <c:v>4566</c:v>
                </c:pt>
                <c:pt idx="160">
                  <c:v>4747</c:v>
                </c:pt>
                <c:pt idx="161">
                  <c:v>4982</c:v>
                </c:pt>
                <c:pt idx="162">
                  <c:v>4846</c:v>
                </c:pt>
                <c:pt idx="163">
                  <c:v>5349</c:v>
                </c:pt>
                <c:pt idx="164">
                  <c:v>4914</c:v>
                </c:pt>
                <c:pt idx="165">
                  <c:v>5012</c:v>
                </c:pt>
                <c:pt idx="166">
                  <c:v>4843</c:v>
                </c:pt>
                <c:pt idx="167">
                  <c:v>5130</c:v>
                </c:pt>
                <c:pt idx="168">
                  <c:v>5344</c:v>
                </c:pt>
                <c:pt idx="169">
                  <c:v>5466</c:v>
                </c:pt>
                <c:pt idx="170">
                  <c:v>5210</c:v>
                </c:pt>
                <c:pt idx="171">
                  <c:v>5598</c:v>
                </c:pt>
                <c:pt idx="172">
                  <c:v>5563</c:v>
                </c:pt>
                <c:pt idx="173">
                  <c:v>5248</c:v>
                </c:pt>
                <c:pt idx="174">
                  <c:v>6056</c:v>
                </c:pt>
                <c:pt idx="175">
                  <c:v>5467</c:v>
                </c:pt>
                <c:pt idx="176">
                  <c:v>5488</c:v>
                </c:pt>
                <c:pt idx="177">
                  <c:v>5773</c:v>
                </c:pt>
                <c:pt idx="178">
                  <c:v>5708</c:v>
                </c:pt>
                <c:pt idx="179">
                  <c:v>5845</c:v>
                </c:pt>
                <c:pt idx="180">
                  <c:v>6012</c:v>
                </c:pt>
                <c:pt idx="181">
                  <c:v>5770</c:v>
                </c:pt>
                <c:pt idx="182">
                  <c:v>6129</c:v>
                </c:pt>
                <c:pt idx="183">
                  <c:v>5803</c:v>
                </c:pt>
                <c:pt idx="184">
                  <c:v>5777</c:v>
                </c:pt>
                <c:pt idx="185">
                  <c:v>5742</c:v>
                </c:pt>
                <c:pt idx="186">
                  <c:v>5962</c:v>
                </c:pt>
                <c:pt idx="187">
                  <c:v>5677</c:v>
                </c:pt>
                <c:pt idx="188">
                  <c:v>5868</c:v>
                </c:pt>
                <c:pt idx="189">
                  <c:v>5591</c:v>
                </c:pt>
                <c:pt idx="190">
                  <c:v>5971</c:v>
                </c:pt>
                <c:pt idx="191">
                  <c:v>5964</c:v>
                </c:pt>
                <c:pt idx="192">
                  <c:v>5617</c:v>
                </c:pt>
                <c:pt idx="193">
                  <c:v>5923</c:v>
                </c:pt>
                <c:pt idx="194">
                  <c:v>5811</c:v>
                </c:pt>
                <c:pt idx="195">
                  <c:v>6091</c:v>
                </c:pt>
                <c:pt idx="196">
                  <c:v>5826</c:v>
                </c:pt>
                <c:pt idx="197">
                  <c:v>6305</c:v>
                </c:pt>
                <c:pt idx="198">
                  <c:v>6238</c:v>
                </c:pt>
                <c:pt idx="199">
                  <c:v>6276</c:v>
                </c:pt>
                <c:pt idx="200">
                  <c:v>6320</c:v>
                </c:pt>
                <c:pt idx="201">
                  <c:v>6408</c:v>
                </c:pt>
                <c:pt idx="202">
                  <c:v>6271</c:v>
                </c:pt>
                <c:pt idx="203">
                  <c:v>6336</c:v>
                </c:pt>
                <c:pt idx="204">
                  <c:v>6621</c:v>
                </c:pt>
                <c:pt idx="205">
                  <c:v>6552</c:v>
                </c:pt>
                <c:pt idx="206">
                  <c:v>6818</c:v>
                </c:pt>
                <c:pt idx="207">
                  <c:v>6877</c:v>
                </c:pt>
                <c:pt idx="208">
                  <c:v>7016</c:v>
                </c:pt>
                <c:pt idx="209">
                  <c:v>7230</c:v>
                </c:pt>
                <c:pt idx="210">
                  <c:v>7190</c:v>
                </c:pt>
                <c:pt idx="211">
                  <c:v>7208</c:v>
                </c:pt>
                <c:pt idx="212">
                  <c:v>7411</c:v>
                </c:pt>
                <c:pt idx="213">
                  <c:v>7304</c:v>
                </c:pt>
                <c:pt idx="214">
                  <c:v>7594</c:v>
                </c:pt>
                <c:pt idx="215">
                  <c:v>7489</c:v>
                </c:pt>
                <c:pt idx="216">
                  <c:v>7517</c:v>
                </c:pt>
                <c:pt idx="217">
                  <c:v>7072</c:v>
                </c:pt>
                <c:pt idx="218">
                  <c:v>7337</c:v>
                </c:pt>
                <c:pt idx="219">
                  <c:v>7191</c:v>
                </c:pt>
                <c:pt idx="220">
                  <c:v>7311</c:v>
                </c:pt>
                <c:pt idx="221">
                  <c:v>7139</c:v>
                </c:pt>
                <c:pt idx="222">
                  <c:v>7051</c:v>
                </c:pt>
                <c:pt idx="223">
                  <c:v>7172</c:v>
                </c:pt>
                <c:pt idx="224">
                  <c:v>7160</c:v>
                </c:pt>
                <c:pt idx="225">
                  <c:v>7325</c:v>
                </c:pt>
                <c:pt idx="226">
                  <c:v>6919</c:v>
                </c:pt>
                <c:pt idx="227">
                  <c:v>6709</c:v>
                </c:pt>
                <c:pt idx="228">
                  <c:v>7184</c:v>
                </c:pt>
                <c:pt idx="229">
                  <c:v>6995</c:v>
                </c:pt>
                <c:pt idx="230">
                  <c:v>5794</c:v>
                </c:pt>
                <c:pt idx="231">
                  <c:v>4686</c:v>
                </c:pt>
                <c:pt idx="232">
                  <c:v>5581</c:v>
                </c:pt>
                <c:pt idx="233">
                  <c:v>6119</c:v>
                </c:pt>
                <c:pt idx="234">
                  <c:v>6514</c:v>
                </c:pt>
                <c:pt idx="235">
                  <c:v>6360</c:v>
                </c:pt>
                <c:pt idx="236">
                  <c:v>6512</c:v>
                </c:pt>
                <c:pt idx="237">
                  <c:v>6820</c:v>
                </c:pt>
                <c:pt idx="238">
                  <c:v>6875</c:v>
                </c:pt>
                <c:pt idx="239">
                  <c:v>6854</c:v>
                </c:pt>
                <c:pt idx="240">
                  <c:v>7175</c:v>
                </c:pt>
                <c:pt idx="241">
                  <c:v>7760</c:v>
                </c:pt>
                <c:pt idx="242">
                  <c:v>8399</c:v>
                </c:pt>
                <c:pt idx="243">
                  <c:v>9288</c:v>
                </c:pt>
                <c:pt idx="244">
                  <c:v>9840</c:v>
                </c:pt>
                <c:pt idx="245">
                  <c:v>10069</c:v>
                </c:pt>
                <c:pt idx="246">
                  <c:v>10882</c:v>
                </c:pt>
                <c:pt idx="247">
                  <c:v>10960</c:v>
                </c:pt>
                <c:pt idx="248">
                  <c:v>10882</c:v>
                </c:pt>
                <c:pt idx="249">
                  <c:v>11368</c:v>
                </c:pt>
                <c:pt idx="250">
                  <c:v>11232</c:v>
                </c:pt>
                <c:pt idx="251">
                  <c:v>11826</c:v>
                </c:pt>
                <c:pt idx="252">
                  <c:v>11487</c:v>
                </c:pt>
                <c:pt idx="253">
                  <c:v>11601</c:v>
                </c:pt>
                <c:pt idx="254">
                  <c:v>12027</c:v>
                </c:pt>
                <c:pt idx="255">
                  <c:v>11755</c:v>
                </c:pt>
                <c:pt idx="256">
                  <c:v>11443</c:v>
                </c:pt>
                <c:pt idx="257">
                  <c:v>10961</c:v>
                </c:pt>
                <c:pt idx="258">
                  <c:v>11380</c:v>
                </c:pt>
                <c:pt idx="259">
                  <c:v>10198</c:v>
                </c:pt>
                <c:pt idx="260">
                  <c:v>10854</c:v>
                </c:pt>
                <c:pt idx="261">
                  <c:v>10471</c:v>
                </c:pt>
                <c:pt idx="262">
                  <c:v>10746</c:v>
                </c:pt>
                <c:pt idx="263">
                  <c:v>11234</c:v>
                </c:pt>
                <c:pt idx="264">
                  <c:v>10563</c:v>
                </c:pt>
                <c:pt idx="265">
                  <c:v>9931</c:v>
                </c:pt>
                <c:pt idx="266">
                  <c:v>9745</c:v>
                </c:pt>
                <c:pt idx="267">
                  <c:v>10320</c:v>
                </c:pt>
                <c:pt idx="268">
                  <c:v>9616</c:v>
                </c:pt>
                <c:pt idx="269">
                  <c:v>9165</c:v>
                </c:pt>
                <c:pt idx="270">
                  <c:v>8920</c:v>
                </c:pt>
                <c:pt idx="271">
                  <c:v>9497</c:v>
                </c:pt>
                <c:pt idx="272">
                  <c:v>9350</c:v>
                </c:pt>
                <c:pt idx="273">
                  <c:v>8852</c:v>
                </c:pt>
                <c:pt idx="274">
                  <c:v>8790</c:v>
                </c:pt>
                <c:pt idx="275">
                  <c:v>8790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3E6-456A-AFE4-B6E3B94857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4714095"/>
        <c:axId val="943648639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450000"/>
          <c:min val="15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943648639"/>
        <c:scaling>
          <c:orientation val="maxMin"/>
          <c:max val="13000"/>
          <c:min val="2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994714095"/>
        <c:crosses val="max"/>
        <c:crossBetween val="between"/>
      </c:valAx>
      <c:catAx>
        <c:axId val="994714095"/>
        <c:scaling>
          <c:orientation val="minMax"/>
        </c:scaling>
        <c:delete val="1"/>
        <c:axPos val="t"/>
        <c:majorTickMark val="out"/>
        <c:minorTickMark val="none"/>
        <c:tickLblPos val="nextTo"/>
        <c:crossAx val="943648639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cat>
            <c:numRef>
              <c:f>'Labor Market'!$A$3:$A$926</c:f>
              <c:numCache>
                <c:formatCode>[$-416]mmm\-yy;@</c:formatCode>
                <c:ptCount val="924"/>
                <c:pt idx="0">
                  <c:v>17533</c:v>
                </c:pt>
                <c:pt idx="1">
                  <c:v>17564</c:v>
                </c:pt>
                <c:pt idx="2">
                  <c:v>17593</c:v>
                </c:pt>
                <c:pt idx="3">
                  <c:v>17624</c:v>
                </c:pt>
                <c:pt idx="4">
                  <c:v>17654</c:v>
                </c:pt>
                <c:pt idx="5">
                  <c:v>17685</c:v>
                </c:pt>
                <c:pt idx="6">
                  <c:v>17715</c:v>
                </c:pt>
                <c:pt idx="7">
                  <c:v>17746</c:v>
                </c:pt>
                <c:pt idx="8">
                  <c:v>17777</c:v>
                </c:pt>
                <c:pt idx="9">
                  <c:v>17807</c:v>
                </c:pt>
                <c:pt idx="10">
                  <c:v>17838</c:v>
                </c:pt>
                <c:pt idx="11">
                  <c:v>17868</c:v>
                </c:pt>
                <c:pt idx="12">
                  <c:v>17899</c:v>
                </c:pt>
                <c:pt idx="13">
                  <c:v>17930</c:v>
                </c:pt>
                <c:pt idx="14">
                  <c:v>17958</c:v>
                </c:pt>
                <c:pt idx="15">
                  <c:v>17989</c:v>
                </c:pt>
                <c:pt idx="16">
                  <c:v>18019</c:v>
                </c:pt>
                <c:pt idx="17">
                  <c:v>18050</c:v>
                </c:pt>
                <c:pt idx="18">
                  <c:v>18080</c:v>
                </c:pt>
                <c:pt idx="19">
                  <c:v>18111</c:v>
                </c:pt>
                <c:pt idx="20">
                  <c:v>18142</c:v>
                </c:pt>
                <c:pt idx="21">
                  <c:v>18172</c:v>
                </c:pt>
                <c:pt idx="22">
                  <c:v>18203</c:v>
                </c:pt>
                <c:pt idx="23">
                  <c:v>18233</c:v>
                </c:pt>
                <c:pt idx="24">
                  <c:v>18264</c:v>
                </c:pt>
                <c:pt idx="25">
                  <c:v>18295</c:v>
                </c:pt>
                <c:pt idx="26">
                  <c:v>18323</c:v>
                </c:pt>
                <c:pt idx="27">
                  <c:v>18354</c:v>
                </c:pt>
                <c:pt idx="28">
                  <c:v>18384</c:v>
                </c:pt>
                <c:pt idx="29">
                  <c:v>18415</c:v>
                </c:pt>
                <c:pt idx="30">
                  <c:v>18445</c:v>
                </c:pt>
                <c:pt idx="31">
                  <c:v>18476</c:v>
                </c:pt>
                <c:pt idx="32">
                  <c:v>18507</c:v>
                </c:pt>
                <c:pt idx="33">
                  <c:v>18537</c:v>
                </c:pt>
                <c:pt idx="34">
                  <c:v>18568</c:v>
                </c:pt>
                <c:pt idx="35">
                  <c:v>18598</c:v>
                </c:pt>
                <c:pt idx="36">
                  <c:v>18629</c:v>
                </c:pt>
                <c:pt idx="37">
                  <c:v>18660</c:v>
                </c:pt>
                <c:pt idx="38">
                  <c:v>18688</c:v>
                </c:pt>
                <c:pt idx="39">
                  <c:v>18719</c:v>
                </c:pt>
                <c:pt idx="40">
                  <c:v>18749</c:v>
                </c:pt>
                <c:pt idx="41">
                  <c:v>18780</c:v>
                </c:pt>
                <c:pt idx="42">
                  <c:v>18810</c:v>
                </c:pt>
                <c:pt idx="43">
                  <c:v>18841</c:v>
                </c:pt>
                <c:pt idx="44">
                  <c:v>18872</c:v>
                </c:pt>
                <c:pt idx="45">
                  <c:v>18902</c:v>
                </c:pt>
                <c:pt idx="46">
                  <c:v>18933</c:v>
                </c:pt>
                <c:pt idx="47">
                  <c:v>18963</c:v>
                </c:pt>
                <c:pt idx="48">
                  <c:v>18994</c:v>
                </c:pt>
                <c:pt idx="49">
                  <c:v>19025</c:v>
                </c:pt>
                <c:pt idx="50">
                  <c:v>19054</c:v>
                </c:pt>
                <c:pt idx="51">
                  <c:v>19085</c:v>
                </c:pt>
                <c:pt idx="52">
                  <c:v>19115</c:v>
                </c:pt>
                <c:pt idx="53">
                  <c:v>19146</c:v>
                </c:pt>
                <c:pt idx="54">
                  <c:v>19176</c:v>
                </c:pt>
                <c:pt idx="55">
                  <c:v>19207</c:v>
                </c:pt>
                <c:pt idx="56">
                  <c:v>19238</c:v>
                </c:pt>
                <c:pt idx="57">
                  <c:v>19268</c:v>
                </c:pt>
                <c:pt idx="58">
                  <c:v>19299</c:v>
                </c:pt>
                <c:pt idx="59">
                  <c:v>19329</c:v>
                </c:pt>
                <c:pt idx="60">
                  <c:v>19360</c:v>
                </c:pt>
                <c:pt idx="61">
                  <c:v>19391</c:v>
                </c:pt>
                <c:pt idx="62">
                  <c:v>19419</c:v>
                </c:pt>
                <c:pt idx="63">
                  <c:v>19450</c:v>
                </c:pt>
                <c:pt idx="64">
                  <c:v>19480</c:v>
                </c:pt>
                <c:pt idx="65">
                  <c:v>19511</c:v>
                </c:pt>
                <c:pt idx="66">
                  <c:v>19541</c:v>
                </c:pt>
                <c:pt idx="67">
                  <c:v>19572</c:v>
                </c:pt>
                <c:pt idx="68">
                  <c:v>19603</c:v>
                </c:pt>
                <c:pt idx="69">
                  <c:v>19633</c:v>
                </c:pt>
                <c:pt idx="70">
                  <c:v>19664</c:v>
                </c:pt>
                <c:pt idx="71">
                  <c:v>19694</c:v>
                </c:pt>
                <c:pt idx="72">
                  <c:v>19725</c:v>
                </c:pt>
                <c:pt idx="73">
                  <c:v>19756</c:v>
                </c:pt>
                <c:pt idx="74">
                  <c:v>19784</c:v>
                </c:pt>
                <c:pt idx="75">
                  <c:v>19815</c:v>
                </c:pt>
                <c:pt idx="76">
                  <c:v>19845</c:v>
                </c:pt>
                <c:pt idx="77">
                  <c:v>19876</c:v>
                </c:pt>
                <c:pt idx="78">
                  <c:v>19906</c:v>
                </c:pt>
                <c:pt idx="79">
                  <c:v>19937</c:v>
                </c:pt>
                <c:pt idx="80">
                  <c:v>19968</c:v>
                </c:pt>
                <c:pt idx="81">
                  <c:v>19998</c:v>
                </c:pt>
                <c:pt idx="82">
                  <c:v>20029</c:v>
                </c:pt>
                <c:pt idx="83">
                  <c:v>20059</c:v>
                </c:pt>
                <c:pt idx="84">
                  <c:v>20090</c:v>
                </c:pt>
                <c:pt idx="85">
                  <c:v>20121</c:v>
                </c:pt>
                <c:pt idx="86">
                  <c:v>20149</c:v>
                </c:pt>
                <c:pt idx="87">
                  <c:v>20180</c:v>
                </c:pt>
                <c:pt idx="88">
                  <c:v>20210</c:v>
                </c:pt>
                <c:pt idx="89">
                  <c:v>20241</c:v>
                </c:pt>
                <c:pt idx="90">
                  <c:v>20271</c:v>
                </c:pt>
                <c:pt idx="91">
                  <c:v>20302</c:v>
                </c:pt>
                <c:pt idx="92">
                  <c:v>20333</c:v>
                </c:pt>
                <c:pt idx="93">
                  <c:v>20363</c:v>
                </c:pt>
                <c:pt idx="94">
                  <c:v>20394</c:v>
                </c:pt>
                <c:pt idx="95">
                  <c:v>20424</c:v>
                </c:pt>
                <c:pt idx="96">
                  <c:v>20455</c:v>
                </c:pt>
                <c:pt idx="97">
                  <c:v>20486</c:v>
                </c:pt>
                <c:pt idx="98">
                  <c:v>20515</c:v>
                </c:pt>
                <c:pt idx="99">
                  <c:v>20546</c:v>
                </c:pt>
                <c:pt idx="100">
                  <c:v>20576</c:v>
                </c:pt>
                <c:pt idx="101">
                  <c:v>20607</c:v>
                </c:pt>
                <c:pt idx="102">
                  <c:v>20637</c:v>
                </c:pt>
                <c:pt idx="103">
                  <c:v>20668</c:v>
                </c:pt>
                <c:pt idx="104">
                  <c:v>20699</c:v>
                </c:pt>
                <c:pt idx="105">
                  <c:v>20729</c:v>
                </c:pt>
                <c:pt idx="106">
                  <c:v>20760</c:v>
                </c:pt>
                <c:pt idx="107">
                  <c:v>20790</c:v>
                </c:pt>
                <c:pt idx="108">
                  <c:v>20821</c:v>
                </c:pt>
                <c:pt idx="109">
                  <c:v>20852</c:v>
                </c:pt>
                <c:pt idx="110">
                  <c:v>20880</c:v>
                </c:pt>
                <c:pt idx="111">
                  <c:v>20911</c:v>
                </c:pt>
                <c:pt idx="112">
                  <c:v>20941</c:v>
                </c:pt>
                <c:pt idx="113">
                  <c:v>20972</c:v>
                </c:pt>
                <c:pt idx="114">
                  <c:v>21002</c:v>
                </c:pt>
                <c:pt idx="115">
                  <c:v>21033</c:v>
                </c:pt>
                <c:pt idx="116">
                  <c:v>21064</c:v>
                </c:pt>
                <c:pt idx="117">
                  <c:v>21094</c:v>
                </c:pt>
                <c:pt idx="118">
                  <c:v>21125</c:v>
                </c:pt>
                <c:pt idx="119">
                  <c:v>21155</c:v>
                </c:pt>
                <c:pt idx="120">
                  <c:v>21186</c:v>
                </c:pt>
                <c:pt idx="121">
                  <c:v>21217</c:v>
                </c:pt>
                <c:pt idx="122">
                  <c:v>21245</c:v>
                </c:pt>
                <c:pt idx="123">
                  <c:v>21276</c:v>
                </c:pt>
                <c:pt idx="124">
                  <c:v>21306</c:v>
                </c:pt>
                <c:pt idx="125">
                  <c:v>21337</c:v>
                </c:pt>
                <c:pt idx="126">
                  <c:v>21367</c:v>
                </c:pt>
                <c:pt idx="127">
                  <c:v>21398</c:v>
                </c:pt>
                <c:pt idx="128">
                  <c:v>21429</c:v>
                </c:pt>
                <c:pt idx="129">
                  <c:v>21459</c:v>
                </c:pt>
                <c:pt idx="130">
                  <c:v>21490</c:v>
                </c:pt>
                <c:pt idx="131">
                  <c:v>21520</c:v>
                </c:pt>
                <c:pt idx="132">
                  <c:v>21551</c:v>
                </c:pt>
                <c:pt idx="133">
                  <c:v>21582</c:v>
                </c:pt>
                <c:pt idx="134">
                  <c:v>21610</c:v>
                </c:pt>
                <c:pt idx="135">
                  <c:v>21641</c:v>
                </c:pt>
                <c:pt idx="136">
                  <c:v>21671</c:v>
                </c:pt>
                <c:pt idx="137">
                  <c:v>21702</c:v>
                </c:pt>
                <c:pt idx="138">
                  <c:v>21732</c:v>
                </c:pt>
                <c:pt idx="139">
                  <c:v>21763</c:v>
                </c:pt>
                <c:pt idx="140">
                  <c:v>21794</c:v>
                </c:pt>
                <c:pt idx="141">
                  <c:v>21824</c:v>
                </c:pt>
                <c:pt idx="142">
                  <c:v>21855</c:v>
                </c:pt>
                <c:pt idx="143">
                  <c:v>21885</c:v>
                </c:pt>
                <c:pt idx="144">
                  <c:v>21916</c:v>
                </c:pt>
                <c:pt idx="145">
                  <c:v>21947</c:v>
                </c:pt>
                <c:pt idx="146">
                  <c:v>21976</c:v>
                </c:pt>
                <c:pt idx="147">
                  <c:v>22007</c:v>
                </c:pt>
                <c:pt idx="148">
                  <c:v>22037</c:v>
                </c:pt>
                <c:pt idx="149">
                  <c:v>22068</c:v>
                </c:pt>
                <c:pt idx="150">
                  <c:v>22098</c:v>
                </c:pt>
                <c:pt idx="151">
                  <c:v>22129</c:v>
                </c:pt>
                <c:pt idx="152">
                  <c:v>22160</c:v>
                </c:pt>
                <c:pt idx="153">
                  <c:v>22190</c:v>
                </c:pt>
                <c:pt idx="154">
                  <c:v>22221</c:v>
                </c:pt>
                <c:pt idx="155">
                  <c:v>22251</c:v>
                </c:pt>
                <c:pt idx="156">
                  <c:v>22282</c:v>
                </c:pt>
                <c:pt idx="157">
                  <c:v>22313</c:v>
                </c:pt>
                <c:pt idx="158">
                  <c:v>22341</c:v>
                </c:pt>
                <c:pt idx="159">
                  <c:v>22372</c:v>
                </c:pt>
                <c:pt idx="160">
                  <c:v>22402</c:v>
                </c:pt>
                <c:pt idx="161">
                  <c:v>22433</c:v>
                </c:pt>
                <c:pt idx="162">
                  <c:v>22463</c:v>
                </c:pt>
                <c:pt idx="163">
                  <c:v>22494</c:v>
                </c:pt>
                <c:pt idx="164">
                  <c:v>22525</c:v>
                </c:pt>
                <c:pt idx="165">
                  <c:v>22555</c:v>
                </c:pt>
                <c:pt idx="166">
                  <c:v>22586</c:v>
                </c:pt>
                <c:pt idx="167">
                  <c:v>22616</c:v>
                </c:pt>
                <c:pt idx="168">
                  <c:v>22647</c:v>
                </c:pt>
                <c:pt idx="169">
                  <c:v>22678</c:v>
                </c:pt>
                <c:pt idx="170">
                  <c:v>22706</c:v>
                </c:pt>
                <c:pt idx="171">
                  <c:v>22737</c:v>
                </c:pt>
                <c:pt idx="172">
                  <c:v>22767</c:v>
                </c:pt>
                <c:pt idx="173">
                  <c:v>22798</c:v>
                </c:pt>
                <c:pt idx="174">
                  <c:v>22828</c:v>
                </c:pt>
                <c:pt idx="175">
                  <c:v>22859</c:v>
                </c:pt>
                <c:pt idx="176">
                  <c:v>22890</c:v>
                </c:pt>
                <c:pt idx="177">
                  <c:v>22920</c:v>
                </c:pt>
                <c:pt idx="178">
                  <c:v>22951</c:v>
                </c:pt>
                <c:pt idx="179">
                  <c:v>22981</c:v>
                </c:pt>
                <c:pt idx="180">
                  <c:v>23012</c:v>
                </c:pt>
                <c:pt idx="181">
                  <c:v>23043</c:v>
                </c:pt>
                <c:pt idx="182">
                  <c:v>23071</c:v>
                </c:pt>
                <c:pt idx="183">
                  <c:v>23102</c:v>
                </c:pt>
                <c:pt idx="184">
                  <c:v>23132</c:v>
                </c:pt>
                <c:pt idx="185">
                  <c:v>23163</c:v>
                </c:pt>
                <c:pt idx="186">
                  <c:v>23193</c:v>
                </c:pt>
                <c:pt idx="187">
                  <c:v>23224</c:v>
                </c:pt>
                <c:pt idx="188">
                  <c:v>23255</c:v>
                </c:pt>
                <c:pt idx="189">
                  <c:v>23285</c:v>
                </c:pt>
                <c:pt idx="190">
                  <c:v>23316</c:v>
                </c:pt>
                <c:pt idx="191">
                  <c:v>23346</c:v>
                </c:pt>
                <c:pt idx="192">
                  <c:v>23377</c:v>
                </c:pt>
                <c:pt idx="193">
                  <c:v>23408</c:v>
                </c:pt>
                <c:pt idx="194">
                  <c:v>23437</c:v>
                </c:pt>
                <c:pt idx="195">
                  <c:v>23468</c:v>
                </c:pt>
                <c:pt idx="196">
                  <c:v>23498</c:v>
                </c:pt>
                <c:pt idx="197">
                  <c:v>23529</c:v>
                </c:pt>
                <c:pt idx="198">
                  <c:v>23559</c:v>
                </c:pt>
                <c:pt idx="199">
                  <c:v>23590</c:v>
                </c:pt>
                <c:pt idx="200">
                  <c:v>23621</c:v>
                </c:pt>
                <c:pt idx="201">
                  <c:v>23651</c:v>
                </c:pt>
                <c:pt idx="202">
                  <c:v>23682</c:v>
                </c:pt>
                <c:pt idx="203">
                  <c:v>23712</c:v>
                </c:pt>
                <c:pt idx="204">
                  <c:v>23743</c:v>
                </c:pt>
                <c:pt idx="205">
                  <c:v>23774</c:v>
                </c:pt>
                <c:pt idx="206">
                  <c:v>23802</c:v>
                </c:pt>
                <c:pt idx="207">
                  <c:v>23833</c:v>
                </c:pt>
                <c:pt idx="208">
                  <c:v>23863</c:v>
                </c:pt>
                <c:pt idx="209">
                  <c:v>23894</c:v>
                </c:pt>
                <c:pt idx="210">
                  <c:v>23924</c:v>
                </c:pt>
                <c:pt idx="211">
                  <c:v>23955</c:v>
                </c:pt>
                <c:pt idx="212">
                  <c:v>23986</c:v>
                </c:pt>
                <c:pt idx="213">
                  <c:v>24016</c:v>
                </c:pt>
                <c:pt idx="214">
                  <c:v>24047</c:v>
                </c:pt>
                <c:pt idx="215">
                  <c:v>24077</c:v>
                </c:pt>
                <c:pt idx="216">
                  <c:v>24108</c:v>
                </c:pt>
                <c:pt idx="217">
                  <c:v>24139</c:v>
                </c:pt>
                <c:pt idx="218">
                  <c:v>24167</c:v>
                </c:pt>
                <c:pt idx="219">
                  <c:v>24198</c:v>
                </c:pt>
                <c:pt idx="220">
                  <c:v>24228</c:v>
                </c:pt>
                <c:pt idx="221">
                  <c:v>24259</c:v>
                </c:pt>
                <c:pt idx="222">
                  <c:v>24289</c:v>
                </c:pt>
                <c:pt idx="223">
                  <c:v>24320</c:v>
                </c:pt>
                <c:pt idx="224">
                  <c:v>24351</c:v>
                </c:pt>
                <c:pt idx="225">
                  <c:v>24381</c:v>
                </c:pt>
                <c:pt idx="226">
                  <c:v>24412</c:v>
                </c:pt>
                <c:pt idx="227">
                  <c:v>24442</c:v>
                </c:pt>
                <c:pt idx="228">
                  <c:v>24473</c:v>
                </c:pt>
                <c:pt idx="229">
                  <c:v>24504</c:v>
                </c:pt>
                <c:pt idx="230">
                  <c:v>24532</c:v>
                </c:pt>
                <c:pt idx="231">
                  <c:v>24563</c:v>
                </c:pt>
                <c:pt idx="232">
                  <c:v>24593</c:v>
                </c:pt>
                <c:pt idx="233">
                  <c:v>24624</c:v>
                </c:pt>
                <c:pt idx="234">
                  <c:v>24654</c:v>
                </c:pt>
                <c:pt idx="235">
                  <c:v>24685</c:v>
                </c:pt>
                <c:pt idx="236">
                  <c:v>24716</c:v>
                </c:pt>
                <c:pt idx="237">
                  <c:v>24746</c:v>
                </c:pt>
                <c:pt idx="238">
                  <c:v>24777</c:v>
                </c:pt>
                <c:pt idx="239">
                  <c:v>24807</c:v>
                </c:pt>
                <c:pt idx="240">
                  <c:v>24838</c:v>
                </c:pt>
                <c:pt idx="241">
                  <c:v>24869</c:v>
                </c:pt>
                <c:pt idx="242">
                  <c:v>24898</c:v>
                </c:pt>
                <c:pt idx="243">
                  <c:v>24929</c:v>
                </c:pt>
                <c:pt idx="244">
                  <c:v>24959</c:v>
                </c:pt>
                <c:pt idx="245">
                  <c:v>24990</c:v>
                </c:pt>
                <c:pt idx="246">
                  <c:v>25020</c:v>
                </c:pt>
                <c:pt idx="247">
                  <c:v>25051</c:v>
                </c:pt>
                <c:pt idx="248">
                  <c:v>25082</c:v>
                </c:pt>
                <c:pt idx="249">
                  <c:v>25112</c:v>
                </c:pt>
                <c:pt idx="250">
                  <c:v>25143</c:v>
                </c:pt>
                <c:pt idx="251">
                  <c:v>25173</c:v>
                </c:pt>
                <c:pt idx="252">
                  <c:v>25204</c:v>
                </c:pt>
                <c:pt idx="253">
                  <c:v>25235</c:v>
                </c:pt>
                <c:pt idx="254">
                  <c:v>25263</c:v>
                </c:pt>
                <c:pt idx="255">
                  <c:v>25294</c:v>
                </c:pt>
                <c:pt idx="256">
                  <c:v>25324</c:v>
                </c:pt>
                <c:pt idx="257">
                  <c:v>25355</c:v>
                </c:pt>
                <c:pt idx="258">
                  <c:v>25385</c:v>
                </c:pt>
                <c:pt idx="259">
                  <c:v>25416</c:v>
                </c:pt>
                <c:pt idx="260">
                  <c:v>25447</c:v>
                </c:pt>
                <c:pt idx="261">
                  <c:v>25477</c:v>
                </c:pt>
                <c:pt idx="262">
                  <c:v>25508</c:v>
                </c:pt>
                <c:pt idx="263">
                  <c:v>25538</c:v>
                </c:pt>
                <c:pt idx="264">
                  <c:v>25569</c:v>
                </c:pt>
                <c:pt idx="265">
                  <c:v>25600</c:v>
                </c:pt>
                <c:pt idx="266">
                  <c:v>25628</c:v>
                </c:pt>
                <c:pt idx="267">
                  <c:v>25659</c:v>
                </c:pt>
                <c:pt idx="268">
                  <c:v>25689</c:v>
                </c:pt>
                <c:pt idx="269">
                  <c:v>25720</c:v>
                </c:pt>
                <c:pt idx="270">
                  <c:v>25750</c:v>
                </c:pt>
                <c:pt idx="271">
                  <c:v>25781</c:v>
                </c:pt>
                <c:pt idx="272">
                  <c:v>25812</c:v>
                </c:pt>
                <c:pt idx="273">
                  <c:v>25842</c:v>
                </c:pt>
                <c:pt idx="274">
                  <c:v>25873</c:v>
                </c:pt>
                <c:pt idx="275">
                  <c:v>25903</c:v>
                </c:pt>
                <c:pt idx="276">
                  <c:v>25934</c:v>
                </c:pt>
                <c:pt idx="277">
                  <c:v>25965</c:v>
                </c:pt>
                <c:pt idx="278">
                  <c:v>25993</c:v>
                </c:pt>
                <c:pt idx="279">
                  <c:v>26024</c:v>
                </c:pt>
                <c:pt idx="280">
                  <c:v>26054</c:v>
                </c:pt>
                <c:pt idx="281">
                  <c:v>26085</c:v>
                </c:pt>
                <c:pt idx="282">
                  <c:v>26115</c:v>
                </c:pt>
                <c:pt idx="283">
                  <c:v>26146</c:v>
                </c:pt>
                <c:pt idx="284">
                  <c:v>26177</c:v>
                </c:pt>
                <c:pt idx="285">
                  <c:v>26207</c:v>
                </c:pt>
                <c:pt idx="286">
                  <c:v>26238</c:v>
                </c:pt>
                <c:pt idx="287">
                  <c:v>26268</c:v>
                </c:pt>
                <c:pt idx="288">
                  <c:v>26299</c:v>
                </c:pt>
                <c:pt idx="289">
                  <c:v>26330</c:v>
                </c:pt>
                <c:pt idx="290">
                  <c:v>26359</c:v>
                </c:pt>
                <c:pt idx="291">
                  <c:v>26390</c:v>
                </c:pt>
                <c:pt idx="292">
                  <c:v>26420</c:v>
                </c:pt>
                <c:pt idx="293">
                  <c:v>26451</c:v>
                </c:pt>
                <c:pt idx="294">
                  <c:v>26481</c:v>
                </c:pt>
                <c:pt idx="295">
                  <c:v>26512</c:v>
                </c:pt>
                <c:pt idx="296">
                  <c:v>26543</c:v>
                </c:pt>
                <c:pt idx="297">
                  <c:v>26573</c:v>
                </c:pt>
                <c:pt idx="298">
                  <c:v>26604</c:v>
                </c:pt>
                <c:pt idx="299">
                  <c:v>26634</c:v>
                </c:pt>
                <c:pt idx="300">
                  <c:v>26665</c:v>
                </c:pt>
                <c:pt idx="301">
                  <c:v>26696</c:v>
                </c:pt>
                <c:pt idx="302">
                  <c:v>26724</c:v>
                </c:pt>
                <c:pt idx="303">
                  <c:v>26755</c:v>
                </c:pt>
                <c:pt idx="304">
                  <c:v>26785</c:v>
                </c:pt>
                <c:pt idx="305">
                  <c:v>26816</c:v>
                </c:pt>
                <c:pt idx="306">
                  <c:v>26846</c:v>
                </c:pt>
                <c:pt idx="307">
                  <c:v>26877</c:v>
                </c:pt>
                <c:pt idx="308">
                  <c:v>26908</c:v>
                </c:pt>
                <c:pt idx="309">
                  <c:v>26938</c:v>
                </c:pt>
                <c:pt idx="310">
                  <c:v>26969</c:v>
                </c:pt>
                <c:pt idx="311">
                  <c:v>26999</c:v>
                </c:pt>
                <c:pt idx="312">
                  <c:v>27030</c:v>
                </c:pt>
                <c:pt idx="313">
                  <c:v>27061</c:v>
                </c:pt>
                <c:pt idx="314">
                  <c:v>27089</c:v>
                </c:pt>
                <c:pt idx="315">
                  <c:v>27120</c:v>
                </c:pt>
                <c:pt idx="316">
                  <c:v>27150</c:v>
                </c:pt>
                <c:pt idx="317">
                  <c:v>27181</c:v>
                </c:pt>
                <c:pt idx="318">
                  <c:v>27211</c:v>
                </c:pt>
                <c:pt idx="319">
                  <c:v>27242</c:v>
                </c:pt>
                <c:pt idx="320">
                  <c:v>27273</c:v>
                </c:pt>
                <c:pt idx="321">
                  <c:v>27303</c:v>
                </c:pt>
                <c:pt idx="322">
                  <c:v>27334</c:v>
                </c:pt>
                <c:pt idx="323">
                  <c:v>27364</c:v>
                </c:pt>
                <c:pt idx="324">
                  <c:v>27395</c:v>
                </c:pt>
                <c:pt idx="325">
                  <c:v>27426</c:v>
                </c:pt>
                <c:pt idx="326">
                  <c:v>27454</c:v>
                </c:pt>
                <c:pt idx="327">
                  <c:v>27485</c:v>
                </c:pt>
                <c:pt idx="328">
                  <c:v>27515</c:v>
                </c:pt>
                <c:pt idx="329">
                  <c:v>27546</c:v>
                </c:pt>
                <c:pt idx="330">
                  <c:v>27576</c:v>
                </c:pt>
                <c:pt idx="331">
                  <c:v>27607</c:v>
                </c:pt>
                <c:pt idx="332">
                  <c:v>27638</c:v>
                </c:pt>
                <c:pt idx="333">
                  <c:v>27668</c:v>
                </c:pt>
                <c:pt idx="334">
                  <c:v>27699</c:v>
                </c:pt>
                <c:pt idx="335">
                  <c:v>27729</c:v>
                </c:pt>
                <c:pt idx="336">
                  <c:v>27760</c:v>
                </c:pt>
                <c:pt idx="337">
                  <c:v>27791</c:v>
                </c:pt>
                <c:pt idx="338">
                  <c:v>27820</c:v>
                </c:pt>
                <c:pt idx="339">
                  <c:v>27851</c:v>
                </c:pt>
                <c:pt idx="340">
                  <c:v>27881</c:v>
                </c:pt>
                <c:pt idx="341">
                  <c:v>27912</c:v>
                </c:pt>
                <c:pt idx="342">
                  <c:v>27942</c:v>
                </c:pt>
                <c:pt idx="343">
                  <c:v>27973</c:v>
                </c:pt>
                <c:pt idx="344">
                  <c:v>28004</c:v>
                </c:pt>
                <c:pt idx="345">
                  <c:v>28034</c:v>
                </c:pt>
                <c:pt idx="346">
                  <c:v>28065</c:v>
                </c:pt>
                <c:pt idx="347">
                  <c:v>28095</c:v>
                </c:pt>
                <c:pt idx="348">
                  <c:v>28126</c:v>
                </c:pt>
                <c:pt idx="349">
                  <c:v>28157</c:v>
                </c:pt>
                <c:pt idx="350">
                  <c:v>28185</c:v>
                </c:pt>
                <c:pt idx="351">
                  <c:v>28216</c:v>
                </c:pt>
                <c:pt idx="352">
                  <c:v>28246</c:v>
                </c:pt>
                <c:pt idx="353">
                  <c:v>28277</c:v>
                </c:pt>
                <c:pt idx="354">
                  <c:v>28307</c:v>
                </c:pt>
                <c:pt idx="355">
                  <c:v>28338</c:v>
                </c:pt>
                <c:pt idx="356">
                  <c:v>28369</c:v>
                </c:pt>
                <c:pt idx="357">
                  <c:v>28399</c:v>
                </c:pt>
                <c:pt idx="358">
                  <c:v>28430</c:v>
                </c:pt>
                <c:pt idx="359">
                  <c:v>28460</c:v>
                </c:pt>
                <c:pt idx="360">
                  <c:v>28491</c:v>
                </c:pt>
                <c:pt idx="361">
                  <c:v>28522</c:v>
                </c:pt>
                <c:pt idx="362">
                  <c:v>28550</c:v>
                </c:pt>
                <c:pt idx="363">
                  <c:v>28581</c:v>
                </c:pt>
                <c:pt idx="364">
                  <c:v>28611</c:v>
                </c:pt>
                <c:pt idx="365">
                  <c:v>28642</c:v>
                </c:pt>
                <c:pt idx="366">
                  <c:v>28672</c:v>
                </c:pt>
                <c:pt idx="367">
                  <c:v>28703</c:v>
                </c:pt>
                <c:pt idx="368">
                  <c:v>28734</c:v>
                </c:pt>
                <c:pt idx="369">
                  <c:v>28764</c:v>
                </c:pt>
                <c:pt idx="370">
                  <c:v>28795</c:v>
                </c:pt>
                <c:pt idx="371">
                  <c:v>28825</c:v>
                </c:pt>
                <c:pt idx="372">
                  <c:v>28856</c:v>
                </c:pt>
                <c:pt idx="373">
                  <c:v>28887</c:v>
                </c:pt>
                <c:pt idx="374">
                  <c:v>28915</c:v>
                </c:pt>
                <c:pt idx="375">
                  <c:v>28946</c:v>
                </c:pt>
                <c:pt idx="376">
                  <c:v>28976</c:v>
                </c:pt>
                <c:pt idx="377">
                  <c:v>29007</c:v>
                </c:pt>
                <c:pt idx="378">
                  <c:v>29037</c:v>
                </c:pt>
                <c:pt idx="379">
                  <c:v>29068</c:v>
                </c:pt>
                <c:pt idx="380">
                  <c:v>29099</c:v>
                </c:pt>
                <c:pt idx="381">
                  <c:v>29129</c:v>
                </c:pt>
                <c:pt idx="382">
                  <c:v>29160</c:v>
                </c:pt>
                <c:pt idx="383">
                  <c:v>29190</c:v>
                </c:pt>
                <c:pt idx="384">
                  <c:v>29221</c:v>
                </c:pt>
                <c:pt idx="385">
                  <c:v>29252</c:v>
                </c:pt>
                <c:pt idx="386">
                  <c:v>29281</c:v>
                </c:pt>
                <c:pt idx="387">
                  <c:v>29312</c:v>
                </c:pt>
                <c:pt idx="388">
                  <c:v>29342</c:v>
                </c:pt>
                <c:pt idx="389">
                  <c:v>29373</c:v>
                </c:pt>
                <c:pt idx="390">
                  <c:v>29403</c:v>
                </c:pt>
                <c:pt idx="391">
                  <c:v>29434</c:v>
                </c:pt>
                <c:pt idx="392">
                  <c:v>29465</c:v>
                </c:pt>
                <c:pt idx="393">
                  <c:v>29495</c:v>
                </c:pt>
                <c:pt idx="394">
                  <c:v>29526</c:v>
                </c:pt>
                <c:pt idx="395">
                  <c:v>29556</c:v>
                </c:pt>
                <c:pt idx="396">
                  <c:v>29587</c:v>
                </c:pt>
                <c:pt idx="397">
                  <c:v>29618</c:v>
                </c:pt>
                <c:pt idx="398">
                  <c:v>29646</c:v>
                </c:pt>
                <c:pt idx="399">
                  <c:v>29677</c:v>
                </c:pt>
                <c:pt idx="400">
                  <c:v>29707</c:v>
                </c:pt>
                <c:pt idx="401">
                  <c:v>29738</c:v>
                </c:pt>
                <c:pt idx="402">
                  <c:v>29768</c:v>
                </c:pt>
                <c:pt idx="403">
                  <c:v>29799</c:v>
                </c:pt>
                <c:pt idx="404">
                  <c:v>29830</c:v>
                </c:pt>
                <c:pt idx="405">
                  <c:v>29860</c:v>
                </c:pt>
                <c:pt idx="406">
                  <c:v>29891</c:v>
                </c:pt>
                <c:pt idx="407">
                  <c:v>29921</c:v>
                </c:pt>
                <c:pt idx="408">
                  <c:v>29952</c:v>
                </c:pt>
                <c:pt idx="409">
                  <c:v>29983</c:v>
                </c:pt>
                <c:pt idx="410">
                  <c:v>30011</c:v>
                </c:pt>
                <c:pt idx="411">
                  <c:v>30042</c:v>
                </c:pt>
                <c:pt idx="412">
                  <c:v>30072</c:v>
                </c:pt>
                <c:pt idx="413">
                  <c:v>30103</c:v>
                </c:pt>
                <c:pt idx="414">
                  <c:v>30133</c:v>
                </c:pt>
                <c:pt idx="415">
                  <c:v>30164</c:v>
                </c:pt>
                <c:pt idx="416">
                  <c:v>30195</c:v>
                </c:pt>
                <c:pt idx="417">
                  <c:v>30225</c:v>
                </c:pt>
                <c:pt idx="418">
                  <c:v>30256</c:v>
                </c:pt>
                <c:pt idx="419">
                  <c:v>30286</c:v>
                </c:pt>
                <c:pt idx="420">
                  <c:v>30317</c:v>
                </c:pt>
                <c:pt idx="421">
                  <c:v>30348</c:v>
                </c:pt>
                <c:pt idx="422">
                  <c:v>30376</c:v>
                </c:pt>
                <c:pt idx="423">
                  <c:v>30407</c:v>
                </c:pt>
                <c:pt idx="424">
                  <c:v>30437</c:v>
                </c:pt>
                <c:pt idx="425">
                  <c:v>30468</c:v>
                </c:pt>
                <c:pt idx="426">
                  <c:v>30498</c:v>
                </c:pt>
                <c:pt idx="427">
                  <c:v>30529</c:v>
                </c:pt>
                <c:pt idx="428">
                  <c:v>30560</c:v>
                </c:pt>
                <c:pt idx="429">
                  <c:v>30590</c:v>
                </c:pt>
                <c:pt idx="430">
                  <c:v>30621</c:v>
                </c:pt>
                <c:pt idx="431">
                  <c:v>30651</c:v>
                </c:pt>
                <c:pt idx="432">
                  <c:v>30682</c:v>
                </c:pt>
                <c:pt idx="433">
                  <c:v>30713</c:v>
                </c:pt>
                <c:pt idx="434">
                  <c:v>30742</c:v>
                </c:pt>
                <c:pt idx="435">
                  <c:v>30773</c:v>
                </c:pt>
                <c:pt idx="436">
                  <c:v>30803</c:v>
                </c:pt>
                <c:pt idx="437">
                  <c:v>30834</c:v>
                </c:pt>
                <c:pt idx="438">
                  <c:v>30864</c:v>
                </c:pt>
                <c:pt idx="439">
                  <c:v>30895</c:v>
                </c:pt>
                <c:pt idx="440">
                  <c:v>30926</c:v>
                </c:pt>
                <c:pt idx="441">
                  <c:v>30956</c:v>
                </c:pt>
                <c:pt idx="442">
                  <c:v>30987</c:v>
                </c:pt>
                <c:pt idx="443">
                  <c:v>31017</c:v>
                </c:pt>
                <c:pt idx="444">
                  <c:v>31048</c:v>
                </c:pt>
                <c:pt idx="445">
                  <c:v>31079</c:v>
                </c:pt>
                <c:pt idx="446">
                  <c:v>31107</c:v>
                </c:pt>
                <c:pt idx="447">
                  <c:v>31138</c:v>
                </c:pt>
                <c:pt idx="448">
                  <c:v>31168</c:v>
                </c:pt>
                <c:pt idx="449">
                  <c:v>31199</c:v>
                </c:pt>
                <c:pt idx="450">
                  <c:v>31229</c:v>
                </c:pt>
                <c:pt idx="451">
                  <c:v>31260</c:v>
                </c:pt>
                <c:pt idx="452">
                  <c:v>31291</c:v>
                </c:pt>
                <c:pt idx="453">
                  <c:v>31321</c:v>
                </c:pt>
                <c:pt idx="454">
                  <c:v>31352</c:v>
                </c:pt>
                <c:pt idx="455">
                  <c:v>31382</c:v>
                </c:pt>
                <c:pt idx="456">
                  <c:v>31413</c:v>
                </c:pt>
                <c:pt idx="457">
                  <c:v>31444</c:v>
                </c:pt>
                <c:pt idx="458">
                  <c:v>31472</c:v>
                </c:pt>
                <c:pt idx="459">
                  <c:v>31503</c:v>
                </c:pt>
                <c:pt idx="460">
                  <c:v>31533</c:v>
                </c:pt>
                <c:pt idx="461">
                  <c:v>31564</c:v>
                </c:pt>
                <c:pt idx="462">
                  <c:v>31594</c:v>
                </c:pt>
                <c:pt idx="463">
                  <c:v>31625</c:v>
                </c:pt>
                <c:pt idx="464">
                  <c:v>31656</c:v>
                </c:pt>
                <c:pt idx="465">
                  <c:v>31686</c:v>
                </c:pt>
                <c:pt idx="466">
                  <c:v>31717</c:v>
                </c:pt>
                <c:pt idx="467">
                  <c:v>31747</c:v>
                </c:pt>
                <c:pt idx="468">
                  <c:v>31778</c:v>
                </c:pt>
                <c:pt idx="469">
                  <c:v>31809</c:v>
                </c:pt>
                <c:pt idx="470">
                  <c:v>31837</c:v>
                </c:pt>
                <c:pt idx="471">
                  <c:v>31868</c:v>
                </c:pt>
                <c:pt idx="472">
                  <c:v>31898</c:v>
                </c:pt>
                <c:pt idx="473">
                  <c:v>31929</c:v>
                </c:pt>
                <c:pt idx="474">
                  <c:v>31959</c:v>
                </c:pt>
                <c:pt idx="475">
                  <c:v>31990</c:v>
                </c:pt>
                <c:pt idx="476">
                  <c:v>32021</c:v>
                </c:pt>
                <c:pt idx="477">
                  <c:v>32051</c:v>
                </c:pt>
                <c:pt idx="478">
                  <c:v>32082</c:v>
                </c:pt>
                <c:pt idx="479">
                  <c:v>32112</c:v>
                </c:pt>
                <c:pt idx="480">
                  <c:v>32143</c:v>
                </c:pt>
                <c:pt idx="481">
                  <c:v>32174</c:v>
                </c:pt>
                <c:pt idx="482">
                  <c:v>32203</c:v>
                </c:pt>
                <c:pt idx="483">
                  <c:v>32234</c:v>
                </c:pt>
                <c:pt idx="484">
                  <c:v>32264</c:v>
                </c:pt>
                <c:pt idx="485">
                  <c:v>32295</c:v>
                </c:pt>
                <c:pt idx="486">
                  <c:v>32325</c:v>
                </c:pt>
                <c:pt idx="487">
                  <c:v>32356</c:v>
                </c:pt>
                <c:pt idx="488">
                  <c:v>32387</c:v>
                </c:pt>
                <c:pt idx="489">
                  <c:v>32417</c:v>
                </c:pt>
                <c:pt idx="490">
                  <c:v>32448</c:v>
                </c:pt>
                <c:pt idx="491">
                  <c:v>32478</c:v>
                </c:pt>
                <c:pt idx="492">
                  <c:v>32509</c:v>
                </c:pt>
                <c:pt idx="493">
                  <c:v>32540</c:v>
                </c:pt>
                <c:pt idx="494">
                  <c:v>32568</c:v>
                </c:pt>
                <c:pt idx="495">
                  <c:v>32599</c:v>
                </c:pt>
                <c:pt idx="496">
                  <c:v>32629</c:v>
                </c:pt>
                <c:pt idx="497">
                  <c:v>32660</c:v>
                </c:pt>
                <c:pt idx="498">
                  <c:v>32690</c:v>
                </c:pt>
                <c:pt idx="499">
                  <c:v>32721</c:v>
                </c:pt>
                <c:pt idx="500">
                  <c:v>32752</c:v>
                </c:pt>
                <c:pt idx="501">
                  <c:v>32782</c:v>
                </c:pt>
                <c:pt idx="502">
                  <c:v>32813</c:v>
                </c:pt>
                <c:pt idx="503">
                  <c:v>32843</c:v>
                </c:pt>
                <c:pt idx="504">
                  <c:v>32874</c:v>
                </c:pt>
                <c:pt idx="505">
                  <c:v>32905</c:v>
                </c:pt>
                <c:pt idx="506">
                  <c:v>32933</c:v>
                </c:pt>
                <c:pt idx="507">
                  <c:v>32964</c:v>
                </c:pt>
                <c:pt idx="508">
                  <c:v>32994</c:v>
                </c:pt>
                <c:pt idx="509">
                  <c:v>33025</c:v>
                </c:pt>
                <c:pt idx="510">
                  <c:v>33055</c:v>
                </c:pt>
                <c:pt idx="511">
                  <c:v>33086</c:v>
                </c:pt>
                <c:pt idx="512">
                  <c:v>33117</c:v>
                </c:pt>
                <c:pt idx="513">
                  <c:v>33147</c:v>
                </c:pt>
                <c:pt idx="514">
                  <c:v>33178</c:v>
                </c:pt>
                <c:pt idx="515">
                  <c:v>33208</c:v>
                </c:pt>
                <c:pt idx="516">
                  <c:v>33239</c:v>
                </c:pt>
                <c:pt idx="517">
                  <c:v>33270</c:v>
                </c:pt>
                <c:pt idx="518">
                  <c:v>33298</c:v>
                </c:pt>
                <c:pt idx="519">
                  <c:v>33329</c:v>
                </c:pt>
                <c:pt idx="520">
                  <c:v>33359</c:v>
                </c:pt>
                <c:pt idx="521">
                  <c:v>33390</c:v>
                </c:pt>
                <c:pt idx="522">
                  <c:v>33420</c:v>
                </c:pt>
                <c:pt idx="523">
                  <c:v>33451</c:v>
                </c:pt>
                <c:pt idx="524">
                  <c:v>33482</c:v>
                </c:pt>
                <c:pt idx="525">
                  <c:v>33512</c:v>
                </c:pt>
                <c:pt idx="526">
                  <c:v>33543</c:v>
                </c:pt>
                <c:pt idx="527">
                  <c:v>33573</c:v>
                </c:pt>
                <c:pt idx="528">
                  <c:v>33604</c:v>
                </c:pt>
                <c:pt idx="529">
                  <c:v>33635</c:v>
                </c:pt>
                <c:pt idx="530">
                  <c:v>33664</c:v>
                </c:pt>
                <c:pt idx="531">
                  <c:v>33695</c:v>
                </c:pt>
                <c:pt idx="532">
                  <c:v>33725</c:v>
                </c:pt>
                <c:pt idx="533">
                  <c:v>33756</c:v>
                </c:pt>
                <c:pt idx="534">
                  <c:v>33786</c:v>
                </c:pt>
                <c:pt idx="535">
                  <c:v>33817</c:v>
                </c:pt>
                <c:pt idx="536">
                  <c:v>33848</c:v>
                </c:pt>
                <c:pt idx="537">
                  <c:v>33878</c:v>
                </c:pt>
                <c:pt idx="538">
                  <c:v>33909</c:v>
                </c:pt>
                <c:pt idx="539">
                  <c:v>33939</c:v>
                </c:pt>
                <c:pt idx="540">
                  <c:v>33970</c:v>
                </c:pt>
                <c:pt idx="541">
                  <c:v>34001</c:v>
                </c:pt>
                <c:pt idx="542">
                  <c:v>34029</c:v>
                </c:pt>
                <c:pt idx="543">
                  <c:v>34060</c:v>
                </c:pt>
                <c:pt idx="544">
                  <c:v>34090</c:v>
                </c:pt>
                <c:pt idx="545">
                  <c:v>34121</c:v>
                </c:pt>
                <c:pt idx="546">
                  <c:v>34151</c:v>
                </c:pt>
                <c:pt idx="547">
                  <c:v>34182</c:v>
                </c:pt>
                <c:pt idx="548">
                  <c:v>34213</c:v>
                </c:pt>
                <c:pt idx="549">
                  <c:v>34243</c:v>
                </c:pt>
                <c:pt idx="550">
                  <c:v>34274</c:v>
                </c:pt>
                <c:pt idx="551">
                  <c:v>34304</c:v>
                </c:pt>
                <c:pt idx="552">
                  <c:v>34335</c:v>
                </c:pt>
                <c:pt idx="553">
                  <c:v>34366</c:v>
                </c:pt>
                <c:pt idx="554">
                  <c:v>34394</c:v>
                </c:pt>
                <c:pt idx="555">
                  <c:v>34425</c:v>
                </c:pt>
                <c:pt idx="556">
                  <c:v>34455</c:v>
                </c:pt>
                <c:pt idx="557">
                  <c:v>34486</c:v>
                </c:pt>
                <c:pt idx="558">
                  <c:v>34516</c:v>
                </c:pt>
                <c:pt idx="559">
                  <c:v>34547</c:v>
                </c:pt>
                <c:pt idx="560">
                  <c:v>34578</c:v>
                </c:pt>
                <c:pt idx="561">
                  <c:v>34608</c:v>
                </c:pt>
                <c:pt idx="562">
                  <c:v>34639</c:v>
                </c:pt>
                <c:pt idx="563">
                  <c:v>34669</c:v>
                </c:pt>
                <c:pt idx="564">
                  <c:v>34700</c:v>
                </c:pt>
                <c:pt idx="565">
                  <c:v>34731</c:v>
                </c:pt>
                <c:pt idx="566">
                  <c:v>34759</c:v>
                </c:pt>
                <c:pt idx="567">
                  <c:v>34790</c:v>
                </c:pt>
                <c:pt idx="568">
                  <c:v>34820</c:v>
                </c:pt>
                <c:pt idx="569">
                  <c:v>34851</c:v>
                </c:pt>
                <c:pt idx="570">
                  <c:v>34881</c:v>
                </c:pt>
                <c:pt idx="571">
                  <c:v>34912</c:v>
                </c:pt>
                <c:pt idx="572">
                  <c:v>34943</c:v>
                </c:pt>
                <c:pt idx="573">
                  <c:v>34973</c:v>
                </c:pt>
                <c:pt idx="574">
                  <c:v>35004</c:v>
                </c:pt>
                <c:pt idx="575">
                  <c:v>35034</c:v>
                </c:pt>
                <c:pt idx="576">
                  <c:v>35065</c:v>
                </c:pt>
                <c:pt idx="577">
                  <c:v>35096</c:v>
                </c:pt>
                <c:pt idx="578">
                  <c:v>35125</c:v>
                </c:pt>
                <c:pt idx="579">
                  <c:v>35156</c:v>
                </c:pt>
                <c:pt idx="580">
                  <c:v>35186</c:v>
                </c:pt>
                <c:pt idx="581">
                  <c:v>35217</c:v>
                </c:pt>
                <c:pt idx="582">
                  <c:v>35247</c:v>
                </c:pt>
                <c:pt idx="583">
                  <c:v>35278</c:v>
                </c:pt>
                <c:pt idx="584">
                  <c:v>35309</c:v>
                </c:pt>
                <c:pt idx="585">
                  <c:v>35339</c:v>
                </c:pt>
                <c:pt idx="586">
                  <c:v>35370</c:v>
                </c:pt>
                <c:pt idx="587">
                  <c:v>35400</c:v>
                </c:pt>
                <c:pt idx="588">
                  <c:v>35431</c:v>
                </c:pt>
                <c:pt idx="589">
                  <c:v>35462</c:v>
                </c:pt>
                <c:pt idx="590">
                  <c:v>35490</c:v>
                </c:pt>
                <c:pt idx="591">
                  <c:v>35521</c:v>
                </c:pt>
                <c:pt idx="592">
                  <c:v>35551</c:v>
                </c:pt>
                <c:pt idx="593">
                  <c:v>35582</c:v>
                </c:pt>
                <c:pt idx="594">
                  <c:v>35612</c:v>
                </c:pt>
                <c:pt idx="595">
                  <c:v>35643</c:v>
                </c:pt>
                <c:pt idx="596">
                  <c:v>35674</c:v>
                </c:pt>
                <c:pt idx="597">
                  <c:v>35704</c:v>
                </c:pt>
                <c:pt idx="598">
                  <c:v>35735</c:v>
                </c:pt>
                <c:pt idx="599">
                  <c:v>35765</c:v>
                </c:pt>
                <c:pt idx="600">
                  <c:v>35796</c:v>
                </c:pt>
                <c:pt idx="601">
                  <c:v>35827</c:v>
                </c:pt>
                <c:pt idx="602">
                  <c:v>35855</c:v>
                </c:pt>
                <c:pt idx="603">
                  <c:v>35886</c:v>
                </c:pt>
                <c:pt idx="604">
                  <c:v>35916</c:v>
                </c:pt>
                <c:pt idx="605">
                  <c:v>35947</c:v>
                </c:pt>
                <c:pt idx="606">
                  <c:v>35977</c:v>
                </c:pt>
                <c:pt idx="607">
                  <c:v>36008</c:v>
                </c:pt>
                <c:pt idx="608">
                  <c:v>36039</c:v>
                </c:pt>
                <c:pt idx="609">
                  <c:v>36069</c:v>
                </c:pt>
                <c:pt idx="610">
                  <c:v>36100</c:v>
                </c:pt>
                <c:pt idx="611">
                  <c:v>36130</c:v>
                </c:pt>
                <c:pt idx="612">
                  <c:v>36161</c:v>
                </c:pt>
                <c:pt idx="613">
                  <c:v>36192</c:v>
                </c:pt>
                <c:pt idx="614">
                  <c:v>36220</c:v>
                </c:pt>
                <c:pt idx="615">
                  <c:v>36251</c:v>
                </c:pt>
                <c:pt idx="616">
                  <c:v>36281</c:v>
                </c:pt>
                <c:pt idx="617">
                  <c:v>36312</c:v>
                </c:pt>
                <c:pt idx="618">
                  <c:v>36342</c:v>
                </c:pt>
                <c:pt idx="619">
                  <c:v>36373</c:v>
                </c:pt>
                <c:pt idx="620">
                  <c:v>36404</c:v>
                </c:pt>
                <c:pt idx="621">
                  <c:v>36434</c:v>
                </c:pt>
                <c:pt idx="622">
                  <c:v>36465</c:v>
                </c:pt>
                <c:pt idx="623">
                  <c:v>36495</c:v>
                </c:pt>
                <c:pt idx="624">
                  <c:v>36526</c:v>
                </c:pt>
                <c:pt idx="625">
                  <c:v>36557</c:v>
                </c:pt>
                <c:pt idx="626">
                  <c:v>36586</c:v>
                </c:pt>
                <c:pt idx="627">
                  <c:v>36617</c:v>
                </c:pt>
                <c:pt idx="628">
                  <c:v>36647</c:v>
                </c:pt>
                <c:pt idx="629">
                  <c:v>36678</c:v>
                </c:pt>
                <c:pt idx="630">
                  <c:v>36708</c:v>
                </c:pt>
                <c:pt idx="631">
                  <c:v>36739</c:v>
                </c:pt>
                <c:pt idx="632">
                  <c:v>36770</c:v>
                </c:pt>
                <c:pt idx="633">
                  <c:v>36800</c:v>
                </c:pt>
                <c:pt idx="634">
                  <c:v>36831</c:v>
                </c:pt>
                <c:pt idx="635">
                  <c:v>36861</c:v>
                </c:pt>
                <c:pt idx="636">
                  <c:v>36892</c:v>
                </c:pt>
                <c:pt idx="637">
                  <c:v>36923</c:v>
                </c:pt>
                <c:pt idx="638">
                  <c:v>36951</c:v>
                </c:pt>
                <c:pt idx="639">
                  <c:v>36982</c:v>
                </c:pt>
                <c:pt idx="640">
                  <c:v>37012</c:v>
                </c:pt>
                <c:pt idx="641">
                  <c:v>37043</c:v>
                </c:pt>
                <c:pt idx="642">
                  <c:v>37073</c:v>
                </c:pt>
                <c:pt idx="643">
                  <c:v>37104</c:v>
                </c:pt>
                <c:pt idx="644">
                  <c:v>37135</c:v>
                </c:pt>
                <c:pt idx="645">
                  <c:v>37165</c:v>
                </c:pt>
                <c:pt idx="646">
                  <c:v>37196</c:v>
                </c:pt>
                <c:pt idx="647">
                  <c:v>37226</c:v>
                </c:pt>
                <c:pt idx="648">
                  <c:v>37257</c:v>
                </c:pt>
                <c:pt idx="649">
                  <c:v>37288</c:v>
                </c:pt>
                <c:pt idx="650">
                  <c:v>37316</c:v>
                </c:pt>
                <c:pt idx="651">
                  <c:v>37347</c:v>
                </c:pt>
                <c:pt idx="652">
                  <c:v>37377</c:v>
                </c:pt>
                <c:pt idx="653">
                  <c:v>37408</c:v>
                </c:pt>
                <c:pt idx="654">
                  <c:v>37438</c:v>
                </c:pt>
                <c:pt idx="655">
                  <c:v>37469</c:v>
                </c:pt>
                <c:pt idx="656">
                  <c:v>37500</c:v>
                </c:pt>
                <c:pt idx="657">
                  <c:v>37530</c:v>
                </c:pt>
                <c:pt idx="658">
                  <c:v>37561</c:v>
                </c:pt>
                <c:pt idx="659">
                  <c:v>37591</c:v>
                </c:pt>
                <c:pt idx="660">
                  <c:v>37622</c:v>
                </c:pt>
                <c:pt idx="661">
                  <c:v>37653</c:v>
                </c:pt>
                <c:pt idx="662">
                  <c:v>37681</c:v>
                </c:pt>
                <c:pt idx="663">
                  <c:v>37712</c:v>
                </c:pt>
                <c:pt idx="664">
                  <c:v>37742</c:v>
                </c:pt>
                <c:pt idx="665">
                  <c:v>37773</c:v>
                </c:pt>
                <c:pt idx="666">
                  <c:v>37803</c:v>
                </c:pt>
                <c:pt idx="667">
                  <c:v>37834</c:v>
                </c:pt>
                <c:pt idx="668">
                  <c:v>37865</c:v>
                </c:pt>
                <c:pt idx="669">
                  <c:v>37895</c:v>
                </c:pt>
                <c:pt idx="670">
                  <c:v>37926</c:v>
                </c:pt>
                <c:pt idx="671">
                  <c:v>37956</c:v>
                </c:pt>
                <c:pt idx="672">
                  <c:v>37987</c:v>
                </c:pt>
                <c:pt idx="673">
                  <c:v>38018</c:v>
                </c:pt>
                <c:pt idx="674">
                  <c:v>38047</c:v>
                </c:pt>
                <c:pt idx="675">
                  <c:v>38078</c:v>
                </c:pt>
                <c:pt idx="676">
                  <c:v>38108</c:v>
                </c:pt>
                <c:pt idx="677">
                  <c:v>38139</c:v>
                </c:pt>
                <c:pt idx="678">
                  <c:v>38169</c:v>
                </c:pt>
                <c:pt idx="679">
                  <c:v>38200</c:v>
                </c:pt>
                <c:pt idx="680">
                  <c:v>38231</c:v>
                </c:pt>
                <c:pt idx="681">
                  <c:v>38261</c:v>
                </c:pt>
                <c:pt idx="682">
                  <c:v>38292</c:v>
                </c:pt>
                <c:pt idx="683">
                  <c:v>38322</c:v>
                </c:pt>
                <c:pt idx="684">
                  <c:v>38353</c:v>
                </c:pt>
                <c:pt idx="685">
                  <c:v>38384</c:v>
                </c:pt>
                <c:pt idx="686">
                  <c:v>38412</c:v>
                </c:pt>
                <c:pt idx="687">
                  <c:v>38443</c:v>
                </c:pt>
                <c:pt idx="688">
                  <c:v>38473</c:v>
                </c:pt>
                <c:pt idx="689">
                  <c:v>38504</c:v>
                </c:pt>
                <c:pt idx="690">
                  <c:v>38534</c:v>
                </c:pt>
                <c:pt idx="691">
                  <c:v>38565</c:v>
                </c:pt>
                <c:pt idx="692">
                  <c:v>38596</c:v>
                </c:pt>
                <c:pt idx="693">
                  <c:v>38626</c:v>
                </c:pt>
                <c:pt idx="694">
                  <c:v>38657</c:v>
                </c:pt>
                <c:pt idx="695">
                  <c:v>38687</c:v>
                </c:pt>
                <c:pt idx="696">
                  <c:v>38718</c:v>
                </c:pt>
                <c:pt idx="697">
                  <c:v>38749</c:v>
                </c:pt>
                <c:pt idx="698">
                  <c:v>38777</c:v>
                </c:pt>
                <c:pt idx="699">
                  <c:v>38808</c:v>
                </c:pt>
                <c:pt idx="700">
                  <c:v>38838</c:v>
                </c:pt>
                <c:pt idx="701">
                  <c:v>38869</c:v>
                </c:pt>
                <c:pt idx="702">
                  <c:v>38899</c:v>
                </c:pt>
                <c:pt idx="703">
                  <c:v>38930</c:v>
                </c:pt>
                <c:pt idx="704">
                  <c:v>38961</c:v>
                </c:pt>
                <c:pt idx="705">
                  <c:v>38991</c:v>
                </c:pt>
                <c:pt idx="706">
                  <c:v>39022</c:v>
                </c:pt>
                <c:pt idx="707">
                  <c:v>39052</c:v>
                </c:pt>
                <c:pt idx="708">
                  <c:v>39083</c:v>
                </c:pt>
                <c:pt idx="709">
                  <c:v>39114</c:v>
                </c:pt>
                <c:pt idx="710">
                  <c:v>39142</c:v>
                </c:pt>
                <c:pt idx="711">
                  <c:v>39173</c:v>
                </c:pt>
                <c:pt idx="712">
                  <c:v>39203</c:v>
                </c:pt>
                <c:pt idx="713">
                  <c:v>39234</c:v>
                </c:pt>
                <c:pt idx="714">
                  <c:v>39264</c:v>
                </c:pt>
                <c:pt idx="715">
                  <c:v>39295</c:v>
                </c:pt>
                <c:pt idx="716">
                  <c:v>39326</c:v>
                </c:pt>
                <c:pt idx="717">
                  <c:v>39356</c:v>
                </c:pt>
                <c:pt idx="718">
                  <c:v>39387</c:v>
                </c:pt>
                <c:pt idx="719">
                  <c:v>39417</c:v>
                </c:pt>
                <c:pt idx="720">
                  <c:v>39448</c:v>
                </c:pt>
                <c:pt idx="721">
                  <c:v>39479</c:v>
                </c:pt>
                <c:pt idx="722">
                  <c:v>39508</c:v>
                </c:pt>
                <c:pt idx="723">
                  <c:v>39539</c:v>
                </c:pt>
                <c:pt idx="724">
                  <c:v>39569</c:v>
                </c:pt>
                <c:pt idx="725">
                  <c:v>39600</c:v>
                </c:pt>
                <c:pt idx="726">
                  <c:v>39630</c:v>
                </c:pt>
                <c:pt idx="727">
                  <c:v>39661</c:v>
                </c:pt>
                <c:pt idx="728">
                  <c:v>39692</c:v>
                </c:pt>
                <c:pt idx="729">
                  <c:v>39722</c:v>
                </c:pt>
                <c:pt idx="730">
                  <c:v>39753</c:v>
                </c:pt>
                <c:pt idx="731">
                  <c:v>39783</c:v>
                </c:pt>
                <c:pt idx="732">
                  <c:v>39814</c:v>
                </c:pt>
                <c:pt idx="733">
                  <c:v>39845</c:v>
                </c:pt>
                <c:pt idx="734">
                  <c:v>39873</c:v>
                </c:pt>
                <c:pt idx="735">
                  <c:v>39904</c:v>
                </c:pt>
                <c:pt idx="736">
                  <c:v>39934</c:v>
                </c:pt>
                <c:pt idx="737">
                  <c:v>39965</c:v>
                </c:pt>
                <c:pt idx="738">
                  <c:v>39995</c:v>
                </c:pt>
                <c:pt idx="739">
                  <c:v>40026</c:v>
                </c:pt>
                <c:pt idx="740">
                  <c:v>40057</c:v>
                </c:pt>
                <c:pt idx="741">
                  <c:v>40087</c:v>
                </c:pt>
                <c:pt idx="742">
                  <c:v>40118</c:v>
                </c:pt>
                <c:pt idx="743">
                  <c:v>40148</c:v>
                </c:pt>
                <c:pt idx="744">
                  <c:v>40179</c:v>
                </c:pt>
                <c:pt idx="745">
                  <c:v>40210</c:v>
                </c:pt>
                <c:pt idx="746">
                  <c:v>40238</c:v>
                </c:pt>
                <c:pt idx="747">
                  <c:v>40269</c:v>
                </c:pt>
                <c:pt idx="748">
                  <c:v>40299</c:v>
                </c:pt>
                <c:pt idx="749">
                  <c:v>40330</c:v>
                </c:pt>
                <c:pt idx="750">
                  <c:v>40360</c:v>
                </c:pt>
                <c:pt idx="751">
                  <c:v>40391</c:v>
                </c:pt>
                <c:pt idx="752">
                  <c:v>40422</c:v>
                </c:pt>
                <c:pt idx="753">
                  <c:v>40452</c:v>
                </c:pt>
                <c:pt idx="754">
                  <c:v>40483</c:v>
                </c:pt>
                <c:pt idx="755">
                  <c:v>40513</c:v>
                </c:pt>
                <c:pt idx="756">
                  <c:v>40544</c:v>
                </c:pt>
                <c:pt idx="757">
                  <c:v>40575</c:v>
                </c:pt>
                <c:pt idx="758">
                  <c:v>40603</c:v>
                </c:pt>
                <c:pt idx="759">
                  <c:v>40634</c:v>
                </c:pt>
                <c:pt idx="760">
                  <c:v>40664</c:v>
                </c:pt>
                <c:pt idx="761">
                  <c:v>40695</c:v>
                </c:pt>
                <c:pt idx="762">
                  <c:v>40725</c:v>
                </c:pt>
                <c:pt idx="763">
                  <c:v>40756</c:v>
                </c:pt>
                <c:pt idx="764">
                  <c:v>40787</c:v>
                </c:pt>
                <c:pt idx="765">
                  <c:v>40817</c:v>
                </c:pt>
                <c:pt idx="766">
                  <c:v>40848</c:v>
                </c:pt>
                <c:pt idx="767">
                  <c:v>40878</c:v>
                </c:pt>
                <c:pt idx="768">
                  <c:v>40909</c:v>
                </c:pt>
                <c:pt idx="769">
                  <c:v>40940</c:v>
                </c:pt>
                <c:pt idx="770">
                  <c:v>40969</c:v>
                </c:pt>
                <c:pt idx="771">
                  <c:v>41000</c:v>
                </c:pt>
                <c:pt idx="772">
                  <c:v>41030</c:v>
                </c:pt>
                <c:pt idx="773">
                  <c:v>41061</c:v>
                </c:pt>
                <c:pt idx="774">
                  <c:v>41091</c:v>
                </c:pt>
                <c:pt idx="775">
                  <c:v>41122</c:v>
                </c:pt>
                <c:pt idx="776">
                  <c:v>41153</c:v>
                </c:pt>
                <c:pt idx="777">
                  <c:v>41183</c:v>
                </c:pt>
                <c:pt idx="778">
                  <c:v>41214</c:v>
                </c:pt>
                <c:pt idx="779">
                  <c:v>41244</c:v>
                </c:pt>
                <c:pt idx="780">
                  <c:v>41275</c:v>
                </c:pt>
                <c:pt idx="781">
                  <c:v>41306</c:v>
                </c:pt>
                <c:pt idx="782">
                  <c:v>41334</c:v>
                </c:pt>
                <c:pt idx="783">
                  <c:v>41365</c:v>
                </c:pt>
                <c:pt idx="784">
                  <c:v>41395</c:v>
                </c:pt>
                <c:pt idx="785">
                  <c:v>41426</c:v>
                </c:pt>
                <c:pt idx="786">
                  <c:v>41456</c:v>
                </c:pt>
                <c:pt idx="787">
                  <c:v>41487</c:v>
                </c:pt>
                <c:pt idx="788">
                  <c:v>41518</c:v>
                </c:pt>
                <c:pt idx="789">
                  <c:v>41548</c:v>
                </c:pt>
                <c:pt idx="790">
                  <c:v>41579</c:v>
                </c:pt>
                <c:pt idx="791">
                  <c:v>41609</c:v>
                </c:pt>
                <c:pt idx="792">
                  <c:v>41640</c:v>
                </c:pt>
                <c:pt idx="793">
                  <c:v>41671</c:v>
                </c:pt>
                <c:pt idx="794">
                  <c:v>41699</c:v>
                </c:pt>
                <c:pt idx="795">
                  <c:v>41730</c:v>
                </c:pt>
                <c:pt idx="796">
                  <c:v>41760</c:v>
                </c:pt>
                <c:pt idx="797">
                  <c:v>41791</c:v>
                </c:pt>
                <c:pt idx="798">
                  <c:v>41821</c:v>
                </c:pt>
                <c:pt idx="799">
                  <c:v>41852</c:v>
                </c:pt>
                <c:pt idx="800">
                  <c:v>41883</c:v>
                </c:pt>
                <c:pt idx="801">
                  <c:v>41913</c:v>
                </c:pt>
                <c:pt idx="802">
                  <c:v>41944</c:v>
                </c:pt>
                <c:pt idx="803">
                  <c:v>41974</c:v>
                </c:pt>
                <c:pt idx="804">
                  <c:v>42005</c:v>
                </c:pt>
                <c:pt idx="805">
                  <c:v>42036</c:v>
                </c:pt>
                <c:pt idx="806">
                  <c:v>42064</c:v>
                </c:pt>
                <c:pt idx="807">
                  <c:v>42095</c:v>
                </c:pt>
                <c:pt idx="808">
                  <c:v>42125</c:v>
                </c:pt>
                <c:pt idx="809">
                  <c:v>42156</c:v>
                </c:pt>
                <c:pt idx="810">
                  <c:v>42186</c:v>
                </c:pt>
                <c:pt idx="811">
                  <c:v>42217</c:v>
                </c:pt>
                <c:pt idx="812">
                  <c:v>42248</c:v>
                </c:pt>
                <c:pt idx="813">
                  <c:v>42278</c:v>
                </c:pt>
                <c:pt idx="814">
                  <c:v>42309</c:v>
                </c:pt>
                <c:pt idx="815">
                  <c:v>42339</c:v>
                </c:pt>
                <c:pt idx="816">
                  <c:v>42370</c:v>
                </c:pt>
                <c:pt idx="817">
                  <c:v>42401</c:v>
                </c:pt>
                <c:pt idx="818">
                  <c:v>42430</c:v>
                </c:pt>
                <c:pt idx="819">
                  <c:v>42461</c:v>
                </c:pt>
                <c:pt idx="820">
                  <c:v>42491</c:v>
                </c:pt>
                <c:pt idx="821">
                  <c:v>42522</c:v>
                </c:pt>
                <c:pt idx="822">
                  <c:v>42552</c:v>
                </c:pt>
                <c:pt idx="823">
                  <c:v>42583</c:v>
                </c:pt>
                <c:pt idx="824">
                  <c:v>42614</c:v>
                </c:pt>
                <c:pt idx="825">
                  <c:v>42644</c:v>
                </c:pt>
                <c:pt idx="826">
                  <c:v>42675</c:v>
                </c:pt>
                <c:pt idx="827">
                  <c:v>42705</c:v>
                </c:pt>
                <c:pt idx="828">
                  <c:v>42736</c:v>
                </c:pt>
                <c:pt idx="829">
                  <c:v>42767</c:v>
                </c:pt>
                <c:pt idx="830">
                  <c:v>42795</c:v>
                </c:pt>
                <c:pt idx="831">
                  <c:v>42826</c:v>
                </c:pt>
                <c:pt idx="832">
                  <c:v>42856</c:v>
                </c:pt>
                <c:pt idx="833">
                  <c:v>42887</c:v>
                </c:pt>
                <c:pt idx="834">
                  <c:v>42917</c:v>
                </c:pt>
                <c:pt idx="835">
                  <c:v>42948</c:v>
                </c:pt>
                <c:pt idx="836">
                  <c:v>42979</c:v>
                </c:pt>
                <c:pt idx="837">
                  <c:v>43009</c:v>
                </c:pt>
                <c:pt idx="838">
                  <c:v>43040</c:v>
                </c:pt>
                <c:pt idx="839">
                  <c:v>43070</c:v>
                </c:pt>
                <c:pt idx="840">
                  <c:v>43101</c:v>
                </c:pt>
                <c:pt idx="841">
                  <c:v>43132</c:v>
                </c:pt>
                <c:pt idx="842">
                  <c:v>43160</c:v>
                </c:pt>
                <c:pt idx="843">
                  <c:v>43191</c:v>
                </c:pt>
                <c:pt idx="844">
                  <c:v>43221</c:v>
                </c:pt>
                <c:pt idx="845">
                  <c:v>43252</c:v>
                </c:pt>
                <c:pt idx="846">
                  <c:v>43282</c:v>
                </c:pt>
                <c:pt idx="847">
                  <c:v>43313</c:v>
                </c:pt>
                <c:pt idx="848">
                  <c:v>43344</c:v>
                </c:pt>
                <c:pt idx="849">
                  <c:v>43374</c:v>
                </c:pt>
                <c:pt idx="850">
                  <c:v>43405</c:v>
                </c:pt>
                <c:pt idx="851">
                  <c:v>43435</c:v>
                </c:pt>
                <c:pt idx="852">
                  <c:v>43466</c:v>
                </c:pt>
                <c:pt idx="853">
                  <c:v>43497</c:v>
                </c:pt>
                <c:pt idx="854">
                  <c:v>43525</c:v>
                </c:pt>
                <c:pt idx="855">
                  <c:v>43556</c:v>
                </c:pt>
                <c:pt idx="856">
                  <c:v>43586</c:v>
                </c:pt>
                <c:pt idx="857">
                  <c:v>43617</c:v>
                </c:pt>
                <c:pt idx="858">
                  <c:v>43647</c:v>
                </c:pt>
                <c:pt idx="859">
                  <c:v>43678</c:v>
                </c:pt>
                <c:pt idx="860">
                  <c:v>43709</c:v>
                </c:pt>
                <c:pt idx="861">
                  <c:v>43739</c:v>
                </c:pt>
                <c:pt idx="862">
                  <c:v>43770</c:v>
                </c:pt>
                <c:pt idx="863">
                  <c:v>43800</c:v>
                </c:pt>
                <c:pt idx="864">
                  <c:v>43831</c:v>
                </c:pt>
                <c:pt idx="865">
                  <c:v>43862</c:v>
                </c:pt>
                <c:pt idx="866">
                  <c:v>43891</c:v>
                </c:pt>
                <c:pt idx="867">
                  <c:v>43922</c:v>
                </c:pt>
                <c:pt idx="868">
                  <c:v>43952</c:v>
                </c:pt>
                <c:pt idx="869">
                  <c:v>43983</c:v>
                </c:pt>
                <c:pt idx="870">
                  <c:v>44013</c:v>
                </c:pt>
                <c:pt idx="871">
                  <c:v>44044</c:v>
                </c:pt>
                <c:pt idx="872">
                  <c:v>44075</c:v>
                </c:pt>
                <c:pt idx="873">
                  <c:v>44105</c:v>
                </c:pt>
                <c:pt idx="874">
                  <c:v>44136</c:v>
                </c:pt>
                <c:pt idx="875">
                  <c:v>44166</c:v>
                </c:pt>
                <c:pt idx="876">
                  <c:v>44197</c:v>
                </c:pt>
                <c:pt idx="877">
                  <c:v>44228</c:v>
                </c:pt>
                <c:pt idx="878">
                  <c:v>44256</c:v>
                </c:pt>
                <c:pt idx="879">
                  <c:v>44287</c:v>
                </c:pt>
                <c:pt idx="880">
                  <c:v>44317</c:v>
                </c:pt>
                <c:pt idx="881">
                  <c:v>44348</c:v>
                </c:pt>
                <c:pt idx="882">
                  <c:v>44378</c:v>
                </c:pt>
                <c:pt idx="883">
                  <c:v>44409</c:v>
                </c:pt>
                <c:pt idx="884">
                  <c:v>44440</c:v>
                </c:pt>
                <c:pt idx="885">
                  <c:v>44470</c:v>
                </c:pt>
                <c:pt idx="886">
                  <c:v>44501</c:v>
                </c:pt>
                <c:pt idx="887">
                  <c:v>44531</c:v>
                </c:pt>
                <c:pt idx="888">
                  <c:v>44562</c:v>
                </c:pt>
                <c:pt idx="889">
                  <c:v>44593</c:v>
                </c:pt>
                <c:pt idx="890">
                  <c:v>44621</c:v>
                </c:pt>
                <c:pt idx="891">
                  <c:v>44652</c:v>
                </c:pt>
                <c:pt idx="892">
                  <c:v>44682</c:v>
                </c:pt>
                <c:pt idx="893">
                  <c:v>44713</c:v>
                </c:pt>
                <c:pt idx="894">
                  <c:v>44743</c:v>
                </c:pt>
                <c:pt idx="895">
                  <c:v>44774</c:v>
                </c:pt>
                <c:pt idx="896">
                  <c:v>44805</c:v>
                </c:pt>
                <c:pt idx="897">
                  <c:v>44835</c:v>
                </c:pt>
                <c:pt idx="898">
                  <c:v>44866</c:v>
                </c:pt>
                <c:pt idx="899">
                  <c:v>44896</c:v>
                </c:pt>
                <c:pt idx="900">
                  <c:v>44927</c:v>
                </c:pt>
                <c:pt idx="901">
                  <c:v>44958</c:v>
                </c:pt>
                <c:pt idx="902">
                  <c:v>44986</c:v>
                </c:pt>
                <c:pt idx="903">
                  <c:v>45017</c:v>
                </c:pt>
                <c:pt idx="904">
                  <c:v>45047</c:v>
                </c:pt>
                <c:pt idx="905">
                  <c:v>45078</c:v>
                </c:pt>
                <c:pt idx="906">
                  <c:v>45108</c:v>
                </c:pt>
                <c:pt idx="907">
                  <c:v>45139</c:v>
                </c:pt>
                <c:pt idx="908">
                  <c:v>45170</c:v>
                </c:pt>
                <c:pt idx="909">
                  <c:v>45200</c:v>
                </c:pt>
                <c:pt idx="910">
                  <c:v>45231</c:v>
                </c:pt>
                <c:pt idx="911">
                  <c:v>45261</c:v>
                </c:pt>
                <c:pt idx="912">
                  <c:v>45292</c:v>
                </c:pt>
                <c:pt idx="913">
                  <c:v>45323</c:v>
                </c:pt>
                <c:pt idx="914">
                  <c:v>45352</c:v>
                </c:pt>
                <c:pt idx="915">
                  <c:v>45383</c:v>
                </c:pt>
                <c:pt idx="916">
                  <c:v>45413</c:v>
                </c:pt>
                <c:pt idx="917">
                  <c:v>45444</c:v>
                </c:pt>
                <c:pt idx="918">
                  <c:v>45474</c:v>
                </c:pt>
                <c:pt idx="919">
                  <c:v>45505</c:v>
                </c:pt>
                <c:pt idx="920">
                  <c:v>45536</c:v>
                </c:pt>
                <c:pt idx="921">
                  <c:v>45566</c:v>
                </c:pt>
                <c:pt idx="922">
                  <c:v>45597</c:v>
                </c:pt>
                <c:pt idx="923">
                  <c:v>45627</c:v>
                </c:pt>
              </c:numCache>
            </c:numRef>
          </c:cat>
          <c:val>
            <c:numRef>
              <c:f>Recession!$B$386:$B$913</c:f>
              <c:numCache>
                <c:formatCode>General</c:formatCode>
                <c:ptCount val="528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1</c:v>
                </c:pt>
                <c:pt idx="32">
                  <c:v>1</c:v>
                </c:pt>
                <c:pt idx="33">
                  <c:v>1</c:v>
                </c:pt>
                <c:pt idx="34">
                  <c:v>1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1</c:v>
                </c:pt>
                <c:pt idx="127">
                  <c:v>1</c:v>
                </c:pt>
                <c:pt idx="128">
                  <c:v>1</c:v>
                </c:pt>
                <c:pt idx="129">
                  <c:v>1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1</c:v>
                </c:pt>
                <c:pt idx="255">
                  <c:v>1</c:v>
                </c:pt>
                <c:pt idx="256">
                  <c:v>1</c:v>
                </c:pt>
                <c:pt idx="257">
                  <c:v>1</c:v>
                </c:pt>
                <c:pt idx="258">
                  <c:v>1</c:v>
                </c:pt>
                <c:pt idx="259">
                  <c:v>1</c:v>
                </c:pt>
                <c:pt idx="260">
                  <c:v>1</c:v>
                </c:pt>
                <c:pt idx="261">
                  <c:v>1</c:v>
                </c:pt>
                <c:pt idx="262">
                  <c:v>1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1</c:v>
                </c:pt>
                <c:pt idx="340">
                  <c:v>1</c:v>
                </c:pt>
                <c:pt idx="341">
                  <c:v>1</c:v>
                </c:pt>
                <c:pt idx="342">
                  <c:v>1</c:v>
                </c:pt>
                <c:pt idx="343">
                  <c:v>1</c:v>
                </c:pt>
                <c:pt idx="344">
                  <c:v>1</c:v>
                </c:pt>
                <c:pt idx="345">
                  <c:v>1</c:v>
                </c:pt>
                <c:pt idx="346">
                  <c:v>1</c:v>
                </c:pt>
                <c:pt idx="347">
                  <c:v>1</c:v>
                </c:pt>
                <c:pt idx="348">
                  <c:v>1</c:v>
                </c:pt>
                <c:pt idx="349">
                  <c:v>1</c:v>
                </c:pt>
                <c:pt idx="350">
                  <c:v>1</c:v>
                </c:pt>
                <c:pt idx="351">
                  <c:v>1</c:v>
                </c:pt>
                <c:pt idx="352">
                  <c:v>1</c:v>
                </c:pt>
                <c:pt idx="353">
                  <c:v>1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1</c:v>
                </c:pt>
                <c:pt idx="482">
                  <c:v>1</c:v>
                </c:pt>
                <c:pt idx="483">
                  <c:v>1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11-4ED6-8CF3-0942AA0C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13310352"/>
        <c:axId val="609837104"/>
      </c:areaChart>
      <c:lineChart>
        <c:grouping val="standard"/>
        <c:varyColors val="0"/>
        <c:ser>
          <c:idx val="1"/>
          <c:order val="0"/>
          <c:tx>
            <c:strRef>
              <c:f>'Labor Market'!$L$2</c:f>
              <c:strCache>
                <c:ptCount val="1"/>
                <c:pt idx="0">
                  <c:v>Average Weeks Unemployed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'Labor Market'!$A$387:$A$914</c:f>
              <c:numCache>
                <c:formatCode>[$-416]mmm\-yy;@</c:formatCode>
                <c:ptCount val="528"/>
                <c:pt idx="0">
                  <c:v>29221</c:v>
                </c:pt>
                <c:pt idx="1">
                  <c:v>29252</c:v>
                </c:pt>
                <c:pt idx="2">
                  <c:v>29281</c:v>
                </c:pt>
                <c:pt idx="3">
                  <c:v>29312</c:v>
                </c:pt>
                <c:pt idx="4">
                  <c:v>29342</c:v>
                </c:pt>
                <c:pt idx="5">
                  <c:v>29373</c:v>
                </c:pt>
                <c:pt idx="6">
                  <c:v>29403</c:v>
                </c:pt>
                <c:pt idx="7">
                  <c:v>29434</c:v>
                </c:pt>
                <c:pt idx="8">
                  <c:v>29465</c:v>
                </c:pt>
                <c:pt idx="9">
                  <c:v>29495</c:v>
                </c:pt>
                <c:pt idx="10">
                  <c:v>29526</c:v>
                </c:pt>
                <c:pt idx="11">
                  <c:v>29556</c:v>
                </c:pt>
                <c:pt idx="12">
                  <c:v>29587</c:v>
                </c:pt>
                <c:pt idx="13">
                  <c:v>29618</c:v>
                </c:pt>
                <c:pt idx="14">
                  <c:v>29646</c:v>
                </c:pt>
                <c:pt idx="15">
                  <c:v>29677</c:v>
                </c:pt>
                <c:pt idx="16">
                  <c:v>29707</c:v>
                </c:pt>
                <c:pt idx="17">
                  <c:v>29738</c:v>
                </c:pt>
                <c:pt idx="18">
                  <c:v>29768</c:v>
                </c:pt>
                <c:pt idx="19">
                  <c:v>29799</c:v>
                </c:pt>
                <c:pt idx="20">
                  <c:v>29830</c:v>
                </c:pt>
                <c:pt idx="21">
                  <c:v>29860</c:v>
                </c:pt>
                <c:pt idx="22">
                  <c:v>29891</c:v>
                </c:pt>
                <c:pt idx="23">
                  <c:v>29921</c:v>
                </c:pt>
                <c:pt idx="24">
                  <c:v>29952</c:v>
                </c:pt>
                <c:pt idx="25">
                  <c:v>29983</c:v>
                </c:pt>
                <c:pt idx="26">
                  <c:v>30011</c:v>
                </c:pt>
                <c:pt idx="27">
                  <c:v>30042</c:v>
                </c:pt>
                <c:pt idx="28">
                  <c:v>30072</c:v>
                </c:pt>
                <c:pt idx="29">
                  <c:v>30103</c:v>
                </c:pt>
                <c:pt idx="30">
                  <c:v>30133</c:v>
                </c:pt>
                <c:pt idx="31">
                  <c:v>30164</c:v>
                </c:pt>
                <c:pt idx="32">
                  <c:v>30195</c:v>
                </c:pt>
                <c:pt idx="33">
                  <c:v>30225</c:v>
                </c:pt>
                <c:pt idx="34">
                  <c:v>30256</c:v>
                </c:pt>
                <c:pt idx="35">
                  <c:v>30286</c:v>
                </c:pt>
                <c:pt idx="36">
                  <c:v>30317</c:v>
                </c:pt>
                <c:pt idx="37">
                  <c:v>30348</c:v>
                </c:pt>
                <c:pt idx="38">
                  <c:v>30376</c:v>
                </c:pt>
                <c:pt idx="39">
                  <c:v>30407</c:v>
                </c:pt>
                <c:pt idx="40">
                  <c:v>30437</c:v>
                </c:pt>
                <c:pt idx="41">
                  <c:v>30468</c:v>
                </c:pt>
                <c:pt idx="42">
                  <c:v>30498</c:v>
                </c:pt>
                <c:pt idx="43">
                  <c:v>30529</c:v>
                </c:pt>
                <c:pt idx="44">
                  <c:v>30560</c:v>
                </c:pt>
                <c:pt idx="45">
                  <c:v>30590</c:v>
                </c:pt>
                <c:pt idx="46">
                  <c:v>30621</c:v>
                </c:pt>
                <c:pt idx="47">
                  <c:v>30651</c:v>
                </c:pt>
                <c:pt idx="48">
                  <c:v>30682</c:v>
                </c:pt>
                <c:pt idx="49">
                  <c:v>30713</c:v>
                </c:pt>
                <c:pt idx="50">
                  <c:v>30742</c:v>
                </c:pt>
                <c:pt idx="51">
                  <c:v>30773</c:v>
                </c:pt>
                <c:pt idx="52">
                  <c:v>30803</c:v>
                </c:pt>
                <c:pt idx="53">
                  <c:v>30834</c:v>
                </c:pt>
                <c:pt idx="54">
                  <c:v>30864</c:v>
                </c:pt>
                <c:pt idx="55">
                  <c:v>30895</c:v>
                </c:pt>
                <c:pt idx="56">
                  <c:v>30926</c:v>
                </c:pt>
                <c:pt idx="57">
                  <c:v>30956</c:v>
                </c:pt>
                <c:pt idx="58">
                  <c:v>30987</c:v>
                </c:pt>
                <c:pt idx="59">
                  <c:v>31017</c:v>
                </c:pt>
                <c:pt idx="60">
                  <c:v>31048</c:v>
                </c:pt>
                <c:pt idx="61">
                  <c:v>31079</c:v>
                </c:pt>
                <c:pt idx="62">
                  <c:v>31107</c:v>
                </c:pt>
                <c:pt idx="63">
                  <c:v>31138</c:v>
                </c:pt>
                <c:pt idx="64">
                  <c:v>31168</c:v>
                </c:pt>
                <c:pt idx="65">
                  <c:v>31199</c:v>
                </c:pt>
                <c:pt idx="66">
                  <c:v>31229</c:v>
                </c:pt>
                <c:pt idx="67">
                  <c:v>31260</c:v>
                </c:pt>
                <c:pt idx="68">
                  <c:v>31291</c:v>
                </c:pt>
                <c:pt idx="69">
                  <c:v>31321</c:v>
                </c:pt>
                <c:pt idx="70">
                  <c:v>31352</c:v>
                </c:pt>
                <c:pt idx="71">
                  <c:v>31382</c:v>
                </c:pt>
                <c:pt idx="72">
                  <c:v>31413</c:v>
                </c:pt>
                <c:pt idx="73">
                  <c:v>31444</c:v>
                </c:pt>
                <c:pt idx="74">
                  <c:v>31472</c:v>
                </c:pt>
                <c:pt idx="75">
                  <c:v>31503</c:v>
                </c:pt>
                <c:pt idx="76">
                  <c:v>31533</c:v>
                </c:pt>
                <c:pt idx="77">
                  <c:v>31564</c:v>
                </c:pt>
                <c:pt idx="78">
                  <c:v>31594</c:v>
                </c:pt>
                <c:pt idx="79">
                  <c:v>31625</c:v>
                </c:pt>
                <c:pt idx="80">
                  <c:v>31656</c:v>
                </c:pt>
                <c:pt idx="81">
                  <c:v>31686</c:v>
                </c:pt>
                <c:pt idx="82">
                  <c:v>31717</c:v>
                </c:pt>
                <c:pt idx="83">
                  <c:v>31747</c:v>
                </c:pt>
                <c:pt idx="84">
                  <c:v>31778</c:v>
                </c:pt>
                <c:pt idx="85">
                  <c:v>31809</c:v>
                </c:pt>
                <c:pt idx="86">
                  <c:v>31837</c:v>
                </c:pt>
                <c:pt idx="87">
                  <c:v>31868</c:v>
                </c:pt>
                <c:pt idx="88">
                  <c:v>31898</c:v>
                </c:pt>
                <c:pt idx="89">
                  <c:v>31929</c:v>
                </c:pt>
                <c:pt idx="90">
                  <c:v>31959</c:v>
                </c:pt>
                <c:pt idx="91">
                  <c:v>31990</c:v>
                </c:pt>
                <c:pt idx="92">
                  <c:v>32021</c:v>
                </c:pt>
                <c:pt idx="93">
                  <c:v>32051</c:v>
                </c:pt>
                <c:pt idx="94">
                  <c:v>32082</c:v>
                </c:pt>
                <c:pt idx="95">
                  <c:v>32112</c:v>
                </c:pt>
                <c:pt idx="96">
                  <c:v>32143</c:v>
                </c:pt>
                <c:pt idx="97">
                  <c:v>32174</c:v>
                </c:pt>
                <c:pt idx="98">
                  <c:v>32203</c:v>
                </c:pt>
                <c:pt idx="99">
                  <c:v>32234</c:v>
                </c:pt>
                <c:pt idx="100">
                  <c:v>32264</c:v>
                </c:pt>
                <c:pt idx="101">
                  <c:v>32295</c:v>
                </c:pt>
                <c:pt idx="102">
                  <c:v>32325</c:v>
                </c:pt>
                <c:pt idx="103">
                  <c:v>32356</c:v>
                </c:pt>
                <c:pt idx="104">
                  <c:v>32387</c:v>
                </c:pt>
                <c:pt idx="105">
                  <c:v>32417</c:v>
                </c:pt>
                <c:pt idx="106">
                  <c:v>32448</c:v>
                </c:pt>
                <c:pt idx="107">
                  <c:v>32478</c:v>
                </c:pt>
                <c:pt idx="108">
                  <c:v>32509</c:v>
                </c:pt>
                <c:pt idx="109">
                  <c:v>32540</c:v>
                </c:pt>
                <c:pt idx="110">
                  <c:v>32568</c:v>
                </c:pt>
                <c:pt idx="111">
                  <c:v>32599</c:v>
                </c:pt>
                <c:pt idx="112">
                  <c:v>32629</c:v>
                </c:pt>
                <c:pt idx="113">
                  <c:v>32660</c:v>
                </c:pt>
                <c:pt idx="114">
                  <c:v>32690</c:v>
                </c:pt>
                <c:pt idx="115">
                  <c:v>32721</c:v>
                </c:pt>
                <c:pt idx="116">
                  <c:v>32752</c:v>
                </c:pt>
                <c:pt idx="117">
                  <c:v>32782</c:v>
                </c:pt>
                <c:pt idx="118">
                  <c:v>32813</c:v>
                </c:pt>
                <c:pt idx="119">
                  <c:v>32843</c:v>
                </c:pt>
                <c:pt idx="120">
                  <c:v>32874</c:v>
                </c:pt>
                <c:pt idx="121">
                  <c:v>32905</c:v>
                </c:pt>
                <c:pt idx="122">
                  <c:v>32933</c:v>
                </c:pt>
                <c:pt idx="123">
                  <c:v>32964</c:v>
                </c:pt>
                <c:pt idx="124">
                  <c:v>32994</c:v>
                </c:pt>
                <c:pt idx="125">
                  <c:v>33025</c:v>
                </c:pt>
                <c:pt idx="126">
                  <c:v>33055</c:v>
                </c:pt>
                <c:pt idx="127">
                  <c:v>33086</c:v>
                </c:pt>
                <c:pt idx="128">
                  <c:v>33117</c:v>
                </c:pt>
                <c:pt idx="129">
                  <c:v>33147</c:v>
                </c:pt>
                <c:pt idx="130">
                  <c:v>33178</c:v>
                </c:pt>
                <c:pt idx="131">
                  <c:v>33208</c:v>
                </c:pt>
                <c:pt idx="132">
                  <c:v>33239</c:v>
                </c:pt>
                <c:pt idx="133">
                  <c:v>33270</c:v>
                </c:pt>
                <c:pt idx="134">
                  <c:v>33298</c:v>
                </c:pt>
                <c:pt idx="135">
                  <c:v>33329</c:v>
                </c:pt>
                <c:pt idx="136">
                  <c:v>33359</c:v>
                </c:pt>
                <c:pt idx="137">
                  <c:v>33390</c:v>
                </c:pt>
                <c:pt idx="138">
                  <c:v>33420</c:v>
                </c:pt>
                <c:pt idx="139">
                  <c:v>33451</c:v>
                </c:pt>
                <c:pt idx="140">
                  <c:v>33482</c:v>
                </c:pt>
                <c:pt idx="141">
                  <c:v>33512</c:v>
                </c:pt>
                <c:pt idx="142">
                  <c:v>33543</c:v>
                </c:pt>
                <c:pt idx="143">
                  <c:v>33573</c:v>
                </c:pt>
                <c:pt idx="144">
                  <c:v>33604</c:v>
                </c:pt>
                <c:pt idx="145">
                  <c:v>33635</c:v>
                </c:pt>
                <c:pt idx="146">
                  <c:v>33664</c:v>
                </c:pt>
                <c:pt idx="147">
                  <c:v>33695</c:v>
                </c:pt>
                <c:pt idx="148">
                  <c:v>33725</c:v>
                </c:pt>
                <c:pt idx="149">
                  <c:v>33756</c:v>
                </c:pt>
                <c:pt idx="150">
                  <c:v>33786</c:v>
                </c:pt>
                <c:pt idx="151">
                  <c:v>33817</c:v>
                </c:pt>
                <c:pt idx="152">
                  <c:v>33848</c:v>
                </c:pt>
                <c:pt idx="153">
                  <c:v>33878</c:v>
                </c:pt>
                <c:pt idx="154">
                  <c:v>33909</c:v>
                </c:pt>
                <c:pt idx="155">
                  <c:v>33939</c:v>
                </c:pt>
                <c:pt idx="156">
                  <c:v>33970</c:v>
                </c:pt>
                <c:pt idx="157">
                  <c:v>34001</c:v>
                </c:pt>
                <c:pt idx="158">
                  <c:v>34029</c:v>
                </c:pt>
                <c:pt idx="159">
                  <c:v>34060</c:v>
                </c:pt>
                <c:pt idx="160">
                  <c:v>34090</c:v>
                </c:pt>
                <c:pt idx="161">
                  <c:v>34121</c:v>
                </c:pt>
                <c:pt idx="162">
                  <c:v>34151</c:v>
                </c:pt>
                <c:pt idx="163">
                  <c:v>34182</c:v>
                </c:pt>
                <c:pt idx="164">
                  <c:v>34213</c:v>
                </c:pt>
                <c:pt idx="165">
                  <c:v>34243</c:v>
                </c:pt>
                <c:pt idx="166">
                  <c:v>34274</c:v>
                </c:pt>
                <c:pt idx="167">
                  <c:v>34304</c:v>
                </c:pt>
                <c:pt idx="168">
                  <c:v>34335</c:v>
                </c:pt>
                <c:pt idx="169">
                  <c:v>34366</c:v>
                </c:pt>
                <c:pt idx="170">
                  <c:v>34394</c:v>
                </c:pt>
                <c:pt idx="171">
                  <c:v>34425</c:v>
                </c:pt>
                <c:pt idx="172">
                  <c:v>34455</c:v>
                </c:pt>
                <c:pt idx="173">
                  <c:v>34486</c:v>
                </c:pt>
                <c:pt idx="174">
                  <c:v>34516</c:v>
                </c:pt>
                <c:pt idx="175">
                  <c:v>34547</c:v>
                </c:pt>
                <c:pt idx="176">
                  <c:v>34578</c:v>
                </c:pt>
                <c:pt idx="177">
                  <c:v>34608</c:v>
                </c:pt>
                <c:pt idx="178">
                  <c:v>34639</c:v>
                </c:pt>
                <c:pt idx="179">
                  <c:v>34669</c:v>
                </c:pt>
                <c:pt idx="180">
                  <c:v>34700</c:v>
                </c:pt>
                <c:pt idx="181">
                  <c:v>34731</c:v>
                </c:pt>
                <c:pt idx="182">
                  <c:v>34759</c:v>
                </c:pt>
                <c:pt idx="183">
                  <c:v>34790</c:v>
                </c:pt>
                <c:pt idx="184">
                  <c:v>34820</c:v>
                </c:pt>
                <c:pt idx="185">
                  <c:v>34851</c:v>
                </c:pt>
                <c:pt idx="186">
                  <c:v>34881</c:v>
                </c:pt>
                <c:pt idx="187">
                  <c:v>34912</c:v>
                </c:pt>
                <c:pt idx="188">
                  <c:v>34943</c:v>
                </c:pt>
                <c:pt idx="189">
                  <c:v>34973</c:v>
                </c:pt>
                <c:pt idx="190">
                  <c:v>35004</c:v>
                </c:pt>
                <c:pt idx="191">
                  <c:v>35034</c:v>
                </c:pt>
                <c:pt idx="192">
                  <c:v>35065</c:v>
                </c:pt>
                <c:pt idx="193">
                  <c:v>35096</c:v>
                </c:pt>
                <c:pt idx="194">
                  <c:v>35125</c:v>
                </c:pt>
                <c:pt idx="195">
                  <c:v>35156</c:v>
                </c:pt>
                <c:pt idx="196">
                  <c:v>35186</c:v>
                </c:pt>
                <c:pt idx="197">
                  <c:v>35217</c:v>
                </c:pt>
                <c:pt idx="198">
                  <c:v>35247</c:v>
                </c:pt>
                <c:pt idx="199">
                  <c:v>35278</c:v>
                </c:pt>
                <c:pt idx="200">
                  <c:v>35309</c:v>
                </c:pt>
                <c:pt idx="201">
                  <c:v>35339</c:v>
                </c:pt>
                <c:pt idx="202">
                  <c:v>35370</c:v>
                </c:pt>
                <c:pt idx="203">
                  <c:v>35400</c:v>
                </c:pt>
                <c:pt idx="204">
                  <c:v>35431</c:v>
                </c:pt>
                <c:pt idx="205">
                  <c:v>35462</c:v>
                </c:pt>
                <c:pt idx="206">
                  <c:v>35490</c:v>
                </c:pt>
                <c:pt idx="207">
                  <c:v>35521</c:v>
                </c:pt>
                <c:pt idx="208">
                  <c:v>35551</c:v>
                </c:pt>
                <c:pt idx="209">
                  <c:v>35582</c:v>
                </c:pt>
                <c:pt idx="210">
                  <c:v>35612</c:v>
                </c:pt>
                <c:pt idx="211">
                  <c:v>35643</c:v>
                </c:pt>
                <c:pt idx="212">
                  <c:v>35674</c:v>
                </c:pt>
                <c:pt idx="213">
                  <c:v>35704</c:v>
                </c:pt>
                <c:pt idx="214">
                  <c:v>35735</c:v>
                </c:pt>
                <c:pt idx="215">
                  <c:v>35765</c:v>
                </c:pt>
                <c:pt idx="216">
                  <c:v>35796</c:v>
                </c:pt>
                <c:pt idx="217">
                  <c:v>35827</c:v>
                </c:pt>
                <c:pt idx="218">
                  <c:v>35855</c:v>
                </c:pt>
                <c:pt idx="219">
                  <c:v>35886</c:v>
                </c:pt>
                <c:pt idx="220">
                  <c:v>35916</c:v>
                </c:pt>
                <c:pt idx="221">
                  <c:v>35947</c:v>
                </c:pt>
                <c:pt idx="222">
                  <c:v>35977</c:v>
                </c:pt>
                <c:pt idx="223">
                  <c:v>36008</c:v>
                </c:pt>
                <c:pt idx="224">
                  <c:v>36039</c:v>
                </c:pt>
                <c:pt idx="225">
                  <c:v>36069</c:v>
                </c:pt>
                <c:pt idx="226">
                  <c:v>36100</c:v>
                </c:pt>
                <c:pt idx="227">
                  <c:v>36130</c:v>
                </c:pt>
                <c:pt idx="228">
                  <c:v>36161</c:v>
                </c:pt>
                <c:pt idx="229">
                  <c:v>36192</c:v>
                </c:pt>
                <c:pt idx="230">
                  <c:v>36220</c:v>
                </c:pt>
                <c:pt idx="231">
                  <c:v>36251</c:v>
                </c:pt>
                <c:pt idx="232">
                  <c:v>36281</c:v>
                </c:pt>
                <c:pt idx="233">
                  <c:v>36312</c:v>
                </c:pt>
                <c:pt idx="234">
                  <c:v>36342</c:v>
                </c:pt>
                <c:pt idx="235">
                  <c:v>36373</c:v>
                </c:pt>
                <c:pt idx="236">
                  <c:v>36404</c:v>
                </c:pt>
                <c:pt idx="237">
                  <c:v>36434</c:v>
                </c:pt>
                <c:pt idx="238">
                  <c:v>36465</c:v>
                </c:pt>
                <c:pt idx="239">
                  <c:v>36495</c:v>
                </c:pt>
                <c:pt idx="240">
                  <c:v>36526</c:v>
                </c:pt>
                <c:pt idx="241">
                  <c:v>36557</c:v>
                </c:pt>
                <c:pt idx="242">
                  <c:v>36586</c:v>
                </c:pt>
                <c:pt idx="243">
                  <c:v>36617</c:v>
                </c:pt>
                <c:pt idx="244">
                  <c:v>36647</c:v>
                </c:pt>
                <c:pt idx="245">
                  <c:v>36678</c:v>
                </c:pt>
                <c:pt idx="246">
                  <c:v>36708</c:v>
                </c:pt>
                <c:pt idx="247">
                  <c:v>36739</c:v>
                </c:pt>
                <c:pt idx="248">
                  <c:v>36770</c:v>
                </c:pt>
                <c:pt idx="249">
                  <c:v>36800</c:v>
                </c:pt>
                <c:pt idx="250">
                  <c:v>36831</c:v>
                </c:pt>
                <c:pt idx="251">
                  <c:v>36861</c:v>
                </c:pt>
                <c:pt idx="252">
                  <c:v>36892</c:v>
                </c:pt>
                <c:pt idx="253">
                  <c:v>36923</c:v>
                </c:pt>
                <c:pt idx="254">
                  <c:v>36951</c:v>
                </c:pt>
                <c:pt idx="255">
                  <c:v>36982</c:v>
                </c:pt>
                <c:pt idx="256">
                  <c:v>37012</c:v>
                </c:pt>
                <c:pt idx="257">
                  <c:v>37043</c:v>
                </c:pt>
                <c:pt idx="258">
                  <c:v>37073</c:v>
                </c:pt>
                <c:pt idx="259">
                  <c:v>37104</c:v>
                </c:pt>
                <c:pt idx="260">
                  <c:v>37135</c:v>
                </c:pt>
                <c:pt idx="261">
                  <c:v>37165</c:v>
                </c:pt>
                <c:pt idx="262">
                  <c:v>37196</c:v>
                </c:pt>
                <c:pt idx="263">
                  <c:v>37226</c:v>
                </c:pt>
                <c:pt idx="264">
                  <c:v>37257</c:v>
                </c:pt>
                <c:pt idx="265">
                  <c:v>37288</c:v>
                </c:pt>
                <c:pt idx="266">
                  <c:v>37316</c:v>
                </c:pt>
                <c:pt idx="267">
                  <c:v>37347</c:v>
                </c:pt>
                <c:pt idx="268">
                  <c:v>37377</c:v>
                </c:pt>
                <c:pt idx="269">
                  <c:v>37408</c:v>
                </c:pt>
                <c:pt idx="270">
                  <c:v>37438</c:v>
                </c:pt>
                <c:pt idx="271">
                  <c:v>37469</c:v>
                </c:pt>
                <c:pt idx="272">
                  <c:v>37500</c:v>
                </c:pt>
                <c:pt idx="273">
                  <c:v>37530</c:v>
                </c:pt>
                <c:pt idx="274">
                  <c:v>37561</c:v>
                </c:pt>
                <c:pt idx="275">
                  <c:v>37591</c:v>
                </c:pt>
                <c:pt idx="276">
                  <c:v>37622</c:v>
                </c:pt>
                <c:pt idx="277">
                  <c:v>37653</c:v>
                </c:pt>
                <c:pt idx="278">
                  <c:v>37681</c:v>
                </c:pt>
                <c:pt idx="279">
                  <c:v>37712</c:v>
                </c:pt>
                <c:pt idx="280">
                  <c:v>37742</c:v>
                </c:pt>
                <c:pt idx="281">
                  <c:v>37773</c:v>
                </c:pt>
                <c:pt idx="282">
                  <c:v>37803</c:v>
                </c:pt>
                <c:pt idx="283">
                  <c:v>37834</c:v>
                </c:pt>
                <c:pt idx="284">
                  <c:v>37865</c:v>
                </c:pt>
                <c:pt idx="285">
                  <c:v>37895</c:v>
                </c:pt>
                <c:pt idx="286">
                  <c:v>37926</c:v>
                </c:pt>
                <c:pt idx="287">
                  <c:v>37956</c:v>
                </c:pt>
                <c:pt idx="288">
                  <c:v>37987</c:v>
                </c:pt>
                <c:pt idx="289">
                  <c:v>38018</c:v>
                </c:pt>
                <c:pt idx="290">
                  <c:v>38047</c:v>
                </c:pt>
                <c:pt idx="291">
                  <c:v>38078</c:v>
                </c:pt>
                <c:pt idx="292">
                  <c:v>38108</c:v>
                </c:pt>
                <c:pt idx="293">
                  <c:v>38139</c:v>
                </c:pt>
                <c:pt idx="294">
                  <c:v>38169</c:v>
                </c:pt>
                <c:pt idx="295">
                  <c:v>38200</c:v>
                </c:pt>
                <c:pt idx="296">
                  <c:v>38231</c:v>
                </c:pt>
                <c:pt idx="297">
                  <c:v>38261</c:v>
                </c:pt>
                <c:pt idx="298">
                  <c:v>38292</c:v>
                </c:pt>
                <c:pt idx="299">
                  <c:v>38322</c:v>
                </c:pt>
                <c:pt idx="300">
                  <c:v>38353</c:v>
                </c:pt>
                <c:pt idx="301">
                  <c:v>38384</c:v>
                </c:pt>
                <c:pt idx="302">
                  <c:v>38412</c:v>
                </c:pt>
                <c:pt idx="303">
                  <c:v>38443</c:v>
                </c:pt>
                <c:pt idx="304">
                  <c:v>38473</c:v>
                </c:pt>
                <c:pt idx="305">
                  <c:v>38504</c:v>
                </c:pt>
                <c:pt idx="306">
                  <c:v>38534</c:v>
                </c:pt>
                <c:pt idx="307">
                  <c:v>38565</c:v>
                </c:pt>
                <c:pt idx="308">
                  <c:v>38596</c:v>
                </c:pt>
                <c:pt idx="309">
                  <c:v>38626</c:v>
                </c:pt>
                <c:pt idx="310">
                  <c:v>38657</c:v>
                </c:pt>
                <c:pt idx="311">
                  <c:v>38687</c:v>
                </c:pt>
                <c:pt idx="312">
                  <c:v>38718</c:v>
                </c:pt>
                <c:pt idx="313">
                  <c:v>38749</c:v>
                </c:pt>
                <c:pt idx="314">
                  <c:v>38777</c:v>
                </c:pt>
                <c:pt idx="315">
                  <c:v>38808</c:v>
                </c:pt>
                <c:pt idx="316">
                  <c:v>38838</c:v>
                </c:pt>
                <c:pt idx="317">
                  <c:v>38869</c:v>
                </c:pt>
                <c:pt idx="318">
                  <c:v>38899</c:v>
                </c:pt>
                <c:pt idx="319">
                  <c:v>38930</c:v>
                </c:pt>
                <c:pt idx="320">
                  <c:v>38961</c:v>
                </c:pt>
                <c:pt idx="321">
                  <c:v>38991</c:v>
                </c:pt>
                <c:pt idx="322">
                  <c:v>39022</c:v>
                </c:pt>
                <c:pt idx="323">
                  <c:v>39052</c:v>
                </c:pt>
                <c:pt idx="324">
                  <c:v>39083</c:v>
                </c:pt>
                <c:pt idx="325">
                  <c:v>39114</c:v>
                </c:pt>
                <c:pt idx="326">
                  <c:v>39142</c:v>
                </c:pt>
                <c:pt idx="327">
                  <c:v>39173</c:v>
                </c:pt>
                <c:pt idx="328">
                  <c:v>39203</c:v>
                </c:pt>
                <c:pt idx="329">
                  <c:v>39234</c:v>
                </c:pt>
                <c:pt idx="330">
                  <c:v>39264</c:v>
                </c:pt>
                <c:pt idx="331">
                  <c:v>39295</c:v>
                </c:pt>
                <c:pt idx="332">
                  <c:v>39326</c:v>
                </c:pt>
                <c:pt idx="333">
                  <c:v>39356</c:v>
                </c:pt>
                <c:pt idx="334">
                  <c:v>39387</c:v>
                </c:pt>
                <c:pt idx="335">
                  <c:v>39417</c:v>
                </c:pt>
                <c:pt idx="336">
                  <c:v>39448</c:v>
                </c:pt>
                <c:pt idx="337">
                  <c:v>39479</c:v>
                </c:pt>
                <c:pt idx="338">
                  <c:v>39508</c:v>
                </c:pt>
                <c:pt idx="339">
                  <c:v>39539</c:v>
                </c:pt>
                <c:pt idx="340">
                  <c:v>39569</c:v>
                </c:pt>
                <c:pt idx="341">
                  <c:v>39600</c:v>
                </c:pt>
                <c:pt idx="342">
                  <c:v>39630</c:v>
                </c:pt>
                <c:pt idx="343">
                  <c:v>39661</c:v>
                </c:pt>
                <c:pt idx="344">
                  <c:v>39692</c:v>
                </c:pt>
                <c:pt idx="345">
                  <c:v>39722</c:v>
                </c:pt>
                <c:pt idx="346">
                  <c:v>39753</c:v>
                </c:pt>
                <c:pt idx="347">
                  <c:v>39783</c:v>
                </c:pt>
                <c:pt idx="348">
                  <c:v>39814</c:v>
                </c:pt>
                <c:pt idx="349">
                  <c:v>39845</c:v>
                </c:pt>
                <c:pt idx="350">
                  <c:v>39873</c:v>
                </c:pt>
                <c:pt idx="351">
                  <c:v>39904</c:v>
                </c:pt>
                <c:pt idx="352">
                  <c:v>39934</c:v>
                </c:pt>
                <c:pt idx="353">
                  <c:v>39965</c:v>
                </c:pt>
                <c:pt idx="354">
                  <c:v>39995</c:v>
                </c:pt>
                <c:pt idx="355">
                  <c:v>40026</c:v>
                </c:pt>
                <c:pt idx="356">
                  <c:v>40057</c:v>
                </c:pt>
                <c:pt idx="357">
                  <c:v>40087</c:v>
                </c:pt>
                <c:pt idx="358">
                  <c:v>40118</c:v>
                </c:pt>
                <c:pt idx="359">
                  <c:v>40148</c:v>
                </c:pt>
                <c:pt idx="360">
                  <c:v>40179</c:v>
                </c:pt>
                <c:pt idx="361">
                  <c:v>40210</c:v>
                </c:pt>
                <c:pt idx="362">
                  <c:v>40238</c:v>
                </c:pt>
                <c:pt idx="363">
                  <c:v>40269</c:v>
                </c:pt>
                <c:pt idx="364">
                  <c:v>40299</c:v>
                </c:pt>
                <c:pt idx="365">
                  <c:v>40330</c:v>
                </c:pt>
                <c:pt idx="366">
                  <c:v>40360</c:v>
                </c:pt>
                <c:pt idx="367">
                  <c:v>40391</c:v>
                </c:pt>
                <c:pt idx="368">
                  <c:v>40422</c:v>
                </c:pt>
                <c:pt idx="369">
                  <c:v>40452</c:v>
                </c:pt>
                <c:pt idx="370">
                  <c:v>40483</c:v>
                </c:pt>
                <c:pt idx="371">
                  <c:v>40513</c:v>
                </c:pt>
                <c:pt idx="372">
                  <c:v>40544</c:v>
                </c:pt>
                <c:pt idx="373">
                  <c:v>40575</c:v>
                </c:pt>
                <c:pt idx="374">
                  <c:v>40603</c:v>
                </c:pt>
                <c:pt idx="375">
                  <c:v>40634</c:v>
                </c:pt>
                <c:pt idx="376">
                  <c:v>40664</c:v>
                </c:pt>
                <c:pt idx="377">
                  <c:v>40695</c:v>
                </c:pt>
                <c:pt idx="378">
                  <c:v>40725</c:v>
                </c:pt>
                <c:pt idx="379">
                  <c:v>40756</c:v>
                </c:pt>
                <c:pt idx="380">
                  <c:v>40787</c:v>
                </c:pt>
                <c:pt idx="381">
                  <c:v>40817</c:v>
                </c:pt>
                <c:pt idx="382">
                  <c:v>40848</c:v>
                </c:pt>
                <c:pt idx="383">
                  <c:v>40878</c:v>
                </c:pt>
                <c:pt idx="384">
                  <c:v>40909</c:v>
                </c:pt>
                <c:pt idx="385">
                  <c:v>40940</c:v>
                </c:pt>
                <c:pt idx="386">
                  <c:v>40969</c:v>
                </c:pt>
                <c:pt idx="387">
                  <c:v>41000</c:v>
                </c:pt>
                <c:pt idx="388">
                  <c:v>41030</c:v>
                </c:pt>
                <c:pt idx="389">
                  <c:v>41061</c:v>
                </c:pt>
                <c:pt idx="390">
                  <c:v>41091</c:v>
                </c:pt>
                <c:pt idx="391">
                  <c:v>41122</c:v>
                </c:pt>
                <c:pt idx="392">
                  <c:v>41153</c:v>
                </c:pt>
                <c:pt idx="393">
                  <c:v>41183</c:v>
                </c:pt>
                <c:pt idx="394">
                  <c:v>41214</c:v>
                </c:pt>
                <c:pt idx="395">
                  <c:v>41244</c:v>
                </c:pt>
                <c:pt idx="396">
                  <c:v>41275</c:v>
                </c:pt>
                <c:pt idx="397">
                  <c:v>41306</c:v>
                </c:pt>
                <c:pt idx="398">
                  <c:v>41334</c:v>
                </c:pt>
                <c:pt idx="399">
                  <c:v>41365</c:v>
                </c:pt>
                <c:pt idx="400">
                  <c:v>41395</c:v>
                </c:pt>
                <c:pt idx="401">
                  <c:v>41426</c:v>
                </c:pt>
                <c:pt idx="402">
                  <c:v>41456</c:v>
                </c:pt>
                <c:pt idx="403">
                  <c:v>41487</c:v>
                </c:pt>
                <c:pt idx="404">
                  <c:v>41518</c:v>
                </c:pt>
                <c:pt idx="405">
                  <c:v>41548</c:v>
                </c:pt>
                <c:pt idx="406">
                  <c:v>41579</c:v>
                </c:pt>
                <c:pt idx="407">
                  <c:v>41609</c:v>
                </c:pt>
                <c:pt idx="408">
                  <c:v>41640</c:v>
                </c:pt>
                <c:pt idx="409">
                  <c:v>41671</c:v>
                </c:pt>
                <c:pt idx="410">
                  <c:v>41699</c:v>
                </c:pt>
                <c:pt idx="411">
                  <c:v>41730</c:v>
                </c:pt>
                <c:pt idx="412">
                  <c:v>41760</c:v>
                </c:pt>
                <c:pt idx="413">
                  <c:v>41791</c:v>
                </c:pt>
                <c:pt idx="414">
                  <c:v>41821</c:v>
                </c:pt>
                <c:pt idx="415">
                  <c:v>41852</c:v>
                </c:pt>
                <c:pt idx="416">
                  <c:v>41883</c:v>
                </c:pt>
                <c:pt idx="417">
                  <c:v>41913</c:v>
                </c:pt>
                <c:pt idx="418">
                  <c:v>41944</c:v>
                </c:pt>
                <c:pt idx="419">
                  <c:v>41974</c:v>
                </c:pt>
                <c:pt idx="420">
                  <c:v>42005</c:v>
                </c:pt>
                <c:pt idx="421">
                  <c:v>42036</c:v>
                </c:pt>
                <c:pt idx="422">
                  <c:v>42064</c:v>
                </c:pt>
                <c:pt idx="423">
                  <c:v>42095</c:v>
                </c:pt>
                <c:pt idx="424">
                  <c:v>42125</c:v>
                </c:pt>
                <c:pt idx="425">
                  <c:v>42156</c:v>
                </c:pt>
                <c:pt idx="426">
                  <c:v>42186</c:v>
                </c:pt>
                <c:pt idx="427">
                  <c:v>42217</c:v>
                </c:pt>
                <c:pt idx="428">
                  <c:v>42248</c:v>
                </c:pt>
                <c:pt idx="429">
                  <c:v>42278</c:v>
                </c:pt>
                <c:pt idx="430">
                  <c:v>42309</c:v>
                </c:pt>
                <c:pt idx="431">
                  <c:v>42339</c:v>
                </c:pt>
                <c:pt idx="432">
                  <c:v>42370</c:v>
                </c:pt>
                <c:pt idx="433">
                  <c:v>42401</c:v>
                </c:pt>
                <c:pt idx="434">
                  <c:v>42430</c:v>
                </c:pt>
                <c:pt idx="435">
                  <c:v>42461</c:v>
                </c:pt>
                <c:pt idx="436">
                  <c:v>42491</c:v>
                </c:pt>
                <c:pt idx="437">
                  <c:v>42522</c:v>
                </c:pt>
                <c:pt idx="438">
                  <c:v>42552</c:v>
                </c:pt>
                <c:pt idx="439">
                  <c:v>42583</c:v>
                </c:pt>
                <c:pt idx="440">
                  <c:v>42614</c:v>
                </c:pt>
                <c:pt idx="441">
                  <c:v>42644</c:v>
                </c:pt>
                <c:pt idx="442">
                  <c:v>42675</c:v>
                </c:pt>
                <c:pt idx="443">
                  <c:v>42705</c:v>
                </c:pt>
                <c:pt idx="444">
                  <c:v>42736</c:v>
                </c:pt>
                <c:pt idx="445">
                  <c:v>42767</c:v>
                </c:pt>
                <c:pt idx="446">
                  <c:v>42795</c:v>
                </c:pt>
                <c:pt idx="447">
                  <c:v>42826</c:v>
                </c:pt>
                <c:pt idx="448">
                  <c:v>42856</c:v>
                </c:pt>
                <c:pt idx="449">
                  <c:v>42887</c:v>
                </c:pt>
                <c:pt idx="450">
                  <c:v>42917</c:v>
                </c:pt>
                <c:pt idx="451">
                  <c:v>42948</c:v>
                </c:pt>
                <c:pt idx="452">
                  <c:v>42979</c:v>
                </c:pt>
                <c:pt idx="453">
                  <c:v>43009</c:v>
                </c:pt>
                <c:pt idx="454">
                  <c:v>43040</c:v>
                </c:pt>
                <c:pt idx="455">
                  <c:v>43070</c:v>
                </c:pt>
                <c:pt idx="456">
                  <c:v>43101</c:v>
                </c:pt>
                <c:pt idx="457">
                  <c:v>43132</c:v>
                </c:pt>
                <c:pt idx="458">
                  <c:v>43160</c:v>
                </c:pt>
                <c:pt idx="459">
                  <c:v>43191</c:v>
                </c:pt>
                <c:pt idx="460">
                  <c:v>43221</c:v>
                </c:pt>
                <c:pt idx="461">
                  <c:v>43252</c:v>
                </c:pt>
                <c:pt idx="462">
                  <c:v>43282</c:v>
                </c:pt>
                <c:pt idx="463">
                  <c:v>43313</c:v>
                </c:pt>
                <c:pt idx="464">
                  <c:v>43344</c:v>
                </c:pt>
                <c:pt idx="465">
                  <c:v>43374</c:v>
                </c:pt>
                <c:pt idx="466">
                  <c:v>43405</c:v>
                </c:pt>
                <c:pt idx="467">
                  <c:v>43435</c:v>
                </c:pt>
                <c:pt idx="468">
                  <c:v>43466</c:v>
                </c:pt>
                <c:pt idx="469">
                  <c:v>43497</c:v>
                </c:pt>
                <c:pt idx="470">
                  <c:v>43525</c:v>
                </c:pt>
                <c:pt idx="471">
                  <c:v>43556</c:v>
                </c:pt>
                <c:pt idx="472">
                  <c:v>43586</c:v>
                </c:pt>
                <c:pt idx="473">
                  <c:v>43617</c:v>
                </c:pt>
                <c:pt idx="474">
                  <c:v>43647</c:v>
                </c:pt>
                <c:pt idx="475">
                  <c:v>43678</c:v>
                </c:pt>
                <c:pt idx="476">
                  <c:v>43709</c:v>
                </c:pt>
                <c:pt idx="477">
                  <c:v>43739</c:v>
                </c:pt>
                <c:pt idx="478">
                  <c:v>43770</c:v>
                </c:pt>
                <c:pt idx="479">
                  <c:v>43800</c:v>
                </c:pt>
                <c:pt idx="480">
                  <c:v>43831</c:v>
                </c:pt>
                <c:pt idx="481">
                  <c:v>43862</c:v>
                </c:pt>
                <c:pt idx="482">
                  <c:v>43891</c:v>
                </c:pt>
                <c:pt idx="483">
                  <c:v>43922</c:v>
                </c:pt>
                <c:pt idx="484">
                  <c:v>43952</c:v>
                </c:pt>
                <c:pt idx="485">
                  <c:v>43983</c:v>
                </c:pt>
                <c:pt idx="486">
                  <c:v>44013</c:v>
                </c:pt>
                <c:pt idx="487">
                  <c:v>44044</c:v>
                </c:pt>
                <c:pt idx="488">
                  <c:v>44075</c:v>
                </c:pt>
                <c:pt idx="489">
                  <c:v>44105</c:v>
                </c:pt>
                <c:pt idx="490">
                  <c:v>44136</c:v>
                </c:pt>
                <c:pt idx="491">
                  <c:v>44166</c:v>
                </c:pt>
                <c:pt idx="492">
                  <c:v>44197</c:v>
                </c:pt>
                <c:pt idx="493">
                  <c:v>44228</c:v>
                </c:pt>
                <c:pt idx="494">
                  <c:v>44256</c:v>
                </c:pt>
                <c:pt idx="495">
                  <c:v>44287</c:v>
                </c:pt>
                <c:pt idx="496">
                  <c:v>44317</c:v>
                </c:pt>
                <c:pt idx="497">
                  <c:v>44348</c:v>
                </c:pt>
                <c:pt idx="498">
                  <c:v>44378</c:v>
                </c:pt>
                <c:pt idx="499">
                  <c:v>44409</c:v>
                </c:pt>
                <c:pt idx="500">
                  <c:v>44440</c:v>
                </c:pt>
                <c:pt idx="501">
                  <c:v>44470</c:v>
                </c:pt>
                <c:pt idx="502">
                  <c:v>44501</c:v>
                </c:pt>
                <c:pt idx="503">
                  <c:v>44531</c:v>
                </c:pt>
                <c:pt idx="504">
                  <c:v>44562</c:v>
                </c:pt>
                <c:pt idx="505">
                  <c:v>44593</c:v>
                </c:pt>
                <c:pt idx="506">
                  <c:v>44621</c:v>
                </c:pt>
                <c:pt idx="507">
                  <c:v>44652</c:v>
                </c:pt>
                <c:pt idx="508">
                  <c:v>44682</c:v>
                </c:pt>
                <c:pt idx="509">
                  <c:v>44713</c:v>
                </c:pt>
                <c:pt idx="510">
                  <c:v>44743</c:v>
                </c:pt>
                <c:pt idx="511">
                  <c:v>44774</c:v>
                </c:pt>
                <c:pt idx="512">
                  <c:v>44805</c:v>
                </c:pt>
                <c:pt idx="513">
                  <c:v>44835</c:v>
                </c:pt>
                <c:pt idx="514">
                  <c:v>44866</c:v>
                </c:pt>
                <c:pt idx="515">
                  <c:v>44896</c:v>
                </c:pt>
                <c:pt idx="516">
                  <c:v>44927</c:v>
                </c:pt>
                <c:pt idx="517">
                  <c:v>44958</c:v>
                </c:pt>
                <c:pt idx="518">
                  <c:v>44986</c:v>
                </c:pt>
                <c:pt idx="519">
                  <c:v>45017</c:v>
                </c:pt>
                <c:pt idx="520">
                  <c:v>45047</c:v>
                </c:pt>
                <c:pt idx="521">
                  <c:v>45078</c:v>
                </c:pt>
                <c:pt idx="522">
                  <c:v>45108</c:v>
                </c:pt>
                <c:pt idx="523">
                  <c:v>45139</c:v>
                </c:pt>
                <c:pt idx="524">
                  <c:v>45170</c:v>
                </c:pt>
                <c:pt idx="525">
                  <c:v>45200</c:v>
                </c:pt>
                <c:pt idx="526">
                  <c:v>45231</c:v>
                </c:pt>
                <c:pt idx="527">
                  <c:v>45261</c:v>
                </c:pt>
              </c:numCache>
            </c:numRef>
          </c:cat>
          <c:val>
            <c:numRef>
              <c:f>'Labor Market'!$L$387:$L$914</c:f>
              <c:numCache>
                <c:formatCode>#,##0.00</c:formatCode>
                <c:ptCount val="528"/>
                <c:pt idx="0">
                  <c:v>10.4</c:v>
                </c:pt>
                <c:pt idx="1">
                  <c:v>10.6</c:v>
                </c:pt>
                <c:pt idx="2">
                  <c:v>11</c:v>
                </c:pt>
                <c:pt idx="3">
                  <c:v>11.4</c:v>
                </c:pt>
                <c:pt idx="4">
                  <c:v>10.9</c:v>
                </c:pt>
                <c:pt idx="5">
                  <c:v>11.3</c:v>
                </c:pt>
                <c:pt idx="6">
                  <c:v>11.8</c:v>
                </c:pt>
                <c:pt idx="7">
                  <c:v>12.4</c:v>
                </c:pt>
                <c:pt idx="8">
                  <c:v>12.9</c:v>
                </c:pt>
                <c:pt idx="9">
                  <c:v>13.1</c:v>
                </c:pt>
                <c:pt idx="10">
                  <c:v>13.6</c:v>
                </c:pt>
                <c:pt idx="11">
                  <c:v>13.7</c:v>
                </c:pt>
                <c:pt idx="12">
                  <c:v>14.3</c:v>
                </c:pt>
                <c:pt idx="13">
                  <c:v>14.1</c:v>
                </c:pt>
                <c:pt idx="14">
                  <c:v>14</c:v>
                </c:pt>
                <c:pt idx="15">
                  <c:v>13.9</c:v>
                </c:pt>
                <c:pt idx="16">
                  <c:v>13.6</c:v>
                </c:pt>
                <c:pt idx="17">
                  <c:v>13.7</c:v>
                </c:pt>
                <c:pt idx="18">
                  <c:v>13.8</c:v>
                </c:pt>
                <c:pt idx="19">
                  <c:v>14.4</c:v>
                </c:pt>
                <c:pt idx="20">
                  <c:v>13.6</c:v>
                </c:pt>
                <c:pt idx="21">
                  <c:v>13.5</c:v>
                </c:pt>
                <c:pt idx="22">
                  <c:v>13.1</c:v>
                </c:pt>
                <c:pt idx="23">
                  <c:v>13.1</c:v>
                </c:pt>
                <c:pt idx="24">
                  <c:v>13.4</c:v>
                </c:pt>
                <c:pt idx="25">
                  <c:v>14.1</c:v>
                </c:pt>
                <c:pt idx="26">
                  <c:v>14.1</c:v>
                </c:pt>
                <c:pt idx="27">
                  <c:v>14.5</c:v>
                </c:pt>
                <c:pt idx="28">
                  <c:v>14.9</c:v>
                </c:pt>
                <c:pt idx="29">
                  <c:v>15.7</c:v>
                </c:pt>
                <c:pt idx="30">
                  <c:v>15.4</c:v>
                </c:pt>
                <c:pt idx="31">
                  <c:v>16.2</c:v>
                </c:pt>
                <c:pt idx="32">
                  <c:v>16.600000000000001</c:v>
                </c:pt>
                <c:pt idx="33">
                  <c:v>17.2</c:v>
                </c:pt>
                <c:pt idx="34">
                  <c:v>17.100000000000001</c:v>
                </c:pt>
                <c:pt idx="35">
                  <c:v>18.100000000000001</c:v>
                </c:pt>
                <c:pt idx="36">
                  <c:v>19.399999999999999</c:v>
                </c:pt>
                <c:pt idx="37">
                  <c:v>19.2</c:v>
                </c:pt>
                <c:pt idx="38">
                  <c:v>19.399999999999999</c:v>
                </c:pt>
                <c:pt idx="39">
                  <c:v>19.5</c:v>
                </c:pt>
                <c:pt idx="40">
                  <c:v>20.5</c:v>
                </c:pt>
                <c:pt idx="41">
                  <c:v>20.8</c:v>
                </c:pt>
                <c:pt idx="42">
                  <c:v>21.2</c:v>
                </c:pt>
                <c:pt idx="43">
                  <c:v>20</c:v>
                </c:pt>
                <c:pt idx="44">
                  <c:v>20.2</c:v>
                </c:pt>
                <c:pt idx="45">
                  <c:v>20.2</c:v>
                </c:pt>
                <c:pt idx="46">
                  <c:v>19.7</c:v>
                </c:pt>
                <c:pt idx="47">
                  <c:v>19.2</c:v>
                </c:pt>
                <c:pt idx="48">
                  <c:v>20.399999999999999</c:v>
                </c:pt>
                <c:pt idx="49">
                  <c:v>19</c:v>
                </c:pt>
                <c:pt idx="50">
                  <c:v>19.100000000000001</c:v>
                </c:pt>
                <c:pt idx="51">
                  <c:v>18.899999999999999</c:v>
                </c:pt>
                <c:pt idx="52">
                  <c:v>18.8</c:v>
                </c:pt>
                <c:pt idx="53">
                  <c:v>18.100000000000001</c:v>
                </c:pt>
                <c:pt idx="54">
                  <c:v>18</c:v>
                </c:pt>
                <c:pt idx="55">
                  <c:v>17.3</c:v>
                </c:pt>
                <c:pt idx="56">
                  <c:v>17</c:v>
                </c:pt>
                <c:pt idx="57">
                  <c:v>16.7</c:v>
                </c:pt>
                <c:pt idx="58">
                  <c:v>17</c:v>
                </c:pt>
                <c:pt idx="59">
                  <c:v>16.8</c:v>
                </c:pt>
                <c:pt idx="60">
                  <c:v>15.9</c:v>
                </c:pt>
                <c:pt idx="61">
                  <c:v>15.9</c:v>
                </c:pt>
                <c:pt idx="62">
                  <c:v>16.100000000000001</c:v>
                </c:pt>
                <c:pt idx="63">
                  <c:v>16.399999999999999</c:v>
                </c:pt>
                <c:pt idx="64">
                  <c:v>15.3</c:v>
                </c:pt>
                <c:pt idx="65">
                  <c:v>15.5</c:v>
                </c:pt>
                <c:pt idx="66">
                  <c:v>15.5</c:v>
                </c:pt>
                <c:pt idx="67">
                  <c:v>15.3</c:v>
                </c:pt>
                <c:pt idx="68">
                  <c:v>15.3</c:v>
                </c:pt>
                <c:pt idx="69">
                  <c:v>15.3</c:v>
                </c:pt>
                <c:pt idx="70">
                  <c:v>15.7</c:v>
                </c:pt>
                <c:pt idx="71">
                  <c:v>15.1</c:v>
                </c:pt>
                <c:pt idx="72">
                  <c:v>14.8</c:v>
                </c:pt>
                <c:pt idx="73">
                  <c:v>15.2</c:v>
                </c:pt>
                <c:pt idx="74">
                  <c:v>14.6</c:v>
                </c:pt>
                <c:pt idx="75">
                  <c:v>14.7</c:v>
                </c:pt>
                <c:pt idx="76">
                  <c:v>14.7</c:v>
                </c:pt>
                <c:pt idx="77">
                  <c:v>15.2</c:v>
                </c:pt>
                <c:pt idx="78">
                  <c:v>15.2</c:v>
                </c:pt>
                <c:pt idx="79">
                  <c:v>15.5</c:v>
                </c:pt>
                <c:pt idx="80">
                  <c:v>15.4</c:v>
                </c:pt>
                <c:pt idx="81">
                  <c:v>15.2</c:v>
                </c:pt>
                <c:pt idx="82">
                  <c:v>15</c:v>
                </c:pt>
                <c:pt idx="83">
                  <c:v>15</c:v>
                </c:pt>
                <c:pt idx="84">
                  <c:v>14.9</c:v>
                </c:pt>
                <c:pt idx="85">
                  <c:v>14.7</c:v>
                </c:pt>
                <c:pt idx="86">
                  <c:v>14.9</c:v>
                </c:pt>
                <c:pt idx="87">
                  <c:v>14.8</c:v>
                </c:pt>
                <c:pt idx="88">
                  <c:v>14.9</c:v>
                </c:pt>
                <c:pt idx="89">
                  <c:v>14.9</c:v>
                </c:pt>
                <c:pt idx="90">
                  <c:v>14.2</c:v>
                </c:pt>
                <c:pt idx="91">
                  <c:v>14.4</c:v>
                </c:pt>
                <c:pt idx="92">
                  <c:v>14.2</c:v>
                </c:pt>
                <c:pt idx="93">
                  <c:v>14</c:v>
                </c:pt>
                <c:pt idx="94">
                  <c:v>14</c:v>
                </c:pt>
                <c:pt idx="95">
                  <c:v>14.2</c:v>
                </c:pt>
                <c:pt idx="96">
                  <c:v>14.2</c:v>
                </c:pt>
                <c:pt idx="97">
                  <c:v>14.4</c:v>
                </c:pt>
                <c:pt idx="98">
                  <c:v>13.7</c:v>
                </c:pt>
                <c:pt idx="99">
                  <c:v>13.3</c:v>
                </c:pt>
                <c:pt idx="100">
                  <c:v>13.8</c:v>
                </c:pt>
                <c:pt idx="101">
                  <c:v>13.1</c:v>
                </c:pt>
                <c:pt idx="102">
                  <c:v>13.4</c:v>
                </c:pt>
                <c:pt idx="103">
                  <c:v>13.6</c:v>
                </c:pt>
                <c:pt idx="104">
                  <c:v>13.6</c:v>
                </c:pt>
                <c:pt idx="105">
                  <c:v>13.4</c:v>
                </c:pt>
                <c:pt idx="106">
                  <c:v>12.6</c:v>
                </c:pt>
                <c:pt idx="107">
                  <c:v>12.9</c:v>
                </c:pt>
                <c:pt idx="108">
                  <c:v>12.6</c:v>
                </c:pt>
                <c:pt idx="109">
                  <c:v>12.4</c:v>
                </c:pt>
                <c:pt idx="110">
                  <c:v>12.3</c:v>
                </c:pt>
                <c:pt idx="111">
                  <c:v>12.5</c:v>
                </c:pt>
                <c:pt idx="112">
                  <c:v>12</c:v>
                </c:pt>
                <c:pt idx="113">
                  <c:v>11.1</c:v>
                </c:pt>
                <c:pt idx="114">
                  <c:v>11.8</c:v>
                </c:pt>
                <c:pt idx="115">
                  <c:v>11.4</c:v>
                </c:pt>
                <c:pt idx="116">
                  <c:v>11.5</c:v>
                </c:pt>
                <c:pt idx="117">
                  <c:v>11.9</c:v>
                </c:pt>
                <c:pt idx="118">
                  <c:v>11.7</c:v>
                </c:pt>
                <c:pt idx="119">
                  <c:v>11.6</c:v>
                </c:pt>
                <c:pt idx="120">
                  <c:v>11.8</c:v>
                </c:pt>
                <c:pt idx="121">
                  <c:v>11.6</c:v>
                </c:pt>
                <c:pt idx="122">
                  <c:v>11.7</c:v>
                </c:pt>
                <c:pt idx="123">
                  <c:v>11.8</c:v>
                </c:pt>
                <c:pt idx="124">
                  <c:v>11.7</c:v>
                </c:pt>
                <c:pt idx="125">
                  <c:v>11.6</c:v>
                </c:pt>
                <c:pt idx="126">
                  <c:v>11.9</c:v>
                </c:pt>
                <c:pt idx="127">
                  <c:v>12.2</c:v>
                </c:pt>
                <c:pt idx="128">
                  <c:v>12.4</c:v>
                </c:pt>
                <c:pt idx="129">
                  <c:v>12.2</c:v>
                </c:pt>
                <c:pt idx="130">
                  <c:v>12.4</c:v>
                </c:pt>
                <c:pt idx="131">
                  <c:v>12.5</c:v>
                </c:pt>
                <c:pt idx="132">
                  <c:v>12.2</c:v>
                </c:pt>
                <c:pt idx="133">
                  <c:v>12.7</c:v>
                </c:pt>
                <c:pt idx="134">
                  <c:v>12.9</c:v>
                </c:pt>
                <c:pt idx="135">
                  <c:v>13.5</c:v>
                </c:pt>
                <c:pt idx="136">
                  <c:v>12.9</c:v>
                </c:pt>
                <c:pt idx="137">
                  <c:v>13.7</c:v>
                </c:pt>
                <c:pt idx="138">
                  <c:v>13.8</c:v>
                </c:pt>
                <c:pt idx="139">
                  <c:v>13.9</c:v>
                </c:pt>
                <c:pt idx="140">
                  <c:v>14</c:v>
                </c:pt>
                <c:pt idx="141">
                  <c:v>14.4</c:v>
                </c:pt>
                <c:pt idx="142">
                  <c:v>14.8</c:v>
                </c:pt>
                <c:pt idx="143">
                  <c:v>15.4</c:v>
                </c:pt>
                <c:pt idx="144">
                  <c:v>16.100000000000001</c:v>
                </c:pt>
                <c:pt idx="145">
                  <c:v>16.7</c:v>
                </c:pt>
                <c:pt idx="146">
                  <c:v>17.100000000000001</c:v>
                </c:pt>
                <c:pt idx="147">
                  <c:v>17.399999999999999</c:v>
                </c:pt>
                <c:pt idx="148">
                  <c:v>17.8</c:v>
                </c:pt>
                <c:pt idx="149">
                  <c:v>18.2</c:v>
                </c:pt>
                <c:pt idx="150">
                  <c:v>18.100000000000001</c:v>
                </c:pt>
                <c:pt idx="151">
                  <c:v>18</c:v>
                </c:pt>
                <c:pt idx="152">
                  <c:v>18.100000000000001</c:v>
                </c:pt>
                <c:pt idx="153">
                  <c:v>18.899999999999999</c:v>
                </c:pt>
                <c:pt idx="154">
                  <c:v>17.899999999999999</c:v>
                </c:pt>
                <c:pt idx="155">
                  <c:v>19</c:v>
                </c:pt>
                <c:pt idx="156">
                  <c:v>18.3</c:v>
                </c:pt>
                <c:pt idx="157">
                  <c:v>18.2</c:v>
                </c:pt>
                <c:pt idx="158">
                  <c:v>17.600000000000001</c:v>
                </c:pt>
                <c:pt idx="159">
                  <c:v>17.600000000000001</c:v>
                </c:pt>
                <c:pt idx="160">
                  <c:v>17.5</c:v>
                </c:pt>
                <c:pt idx="161">
                  <c:v>17.8</c:v>
                </c:pt>
                <c:pt idx="162">
                  <c:v>17.7</c:v>
                </c:pt>
                <c:pt idx="163">
                  <c:v>18</c:v>
                </c:pt>
                <c:pt idx="164">
                  <c:v>18.100000000000001</c:v>
                </c:pt>
                <c:pt idx="165">
                  <c:v>18.100000000000001</c:v>
                </c:pt>
                <c:pt idx="166">
                  <c:v>18.600000000000001</c:v>
                </c:pt>
                <c:pt idx="167">
                  <c:v>18.3</c:v>
                </c:pt>
                <c:pt idx="168">
                  <c:v>18.600000000000001</c:v>
                </c:pt>
                <c:pt idx="169">
                  <c:v>19</c:v>
                </c:pt>
                <c:pt idx="170">
                  <c:v>19</c:v>
                </c:pt>
                <c:pt idx="171">
                  <c:v>19</c:v>
                </c:pt>
                <c:pt idx="172">
                  <c:v>19.5</c:v>
                </c:pt>
                <c:pt idx="173">
                  <c:v>18.8</c:v>
                </c:pt>
                <c:pt idx="174">
                  <c:v>19</c:v>
                </c:pt>
                <c:pt idx="175">
                  <c:v>18.8</c:v>
                </c:pt>
                <c:pt idx="176">
                  <c:v>18.7</c:v>
                </c:pt>
                <c:pt idx="177">
                  <c:v>19.3</c:v>
                </c:pt>
                <c:pt idx="178">
                  <c:v>18</c:v>
                </c:pt>
                <c:pt idx="179">
                  <c:v>17.8</c:v>
                </c:pt>
                <c:pt idx="180">
                  <c:v>17.100000000000001</c:v>
                </c:pt>
                <c:pt idx="181">
                  <c:v>17</c:v>
                </c:pt>
                <c:pt idx="182">
                  <c:v>17.3</c:v>
                </c:pt>
                <c:pt idx="183">
                  <c:v>17.600000000000001</c:v>
                </c:pt>
                <c:pt idx="184">
                  <c:v>17</c:v>
                </c:pt>
                <c:pt idx="185">
                  <c:v>15.9</c:v>
                </c:pt>
                <c:pt idx="186">
                  <c:v>16.5</c:v>
                </c:pt>
                <c:pt idx="187">
                  <c:v>16.2</c:v>
                </c:pt>
                <c:pt idx="188">
                  <c:v>16.2</c:v>
                </c:pt>
                <c:pt idx="189">
                  <c:v>16</c:v>
                </c:pt>
                <c:pt idx="190">
                  <c:v>16.399999999999999</c:v>
                </c:pt>
                <c:pt idx="191">
                  <c:v>16.3</c:v>
                </c:pt>
                <c:pt idx="192">
                  <c:v>16.100000000000001</c:v>
                </c:pt>
                <c:pt idx="193">
                  <c:v>16.399999999999999</c:v>
                </c:pt>
                <c:pt idx="194">
                  <c:v>17.3</c:v>
                </c:pt>
                <c:pt idx="195">
                  <c:v>17.600000000000001</c:v>
                </c:pt>
                <c:pt idx="196">
                  <c:v>17</c:v>
                </c:pt>
                <c:pt idx="197">
                  <c:v>17.600000000000001</c:v>
                </c:pt>
                <c:pt idx="198">
                  <c:v>16.7</c:v>
                </c:pt>
                <c:pt idx="199">
                  <c:v>17.3</c:v>
                </c:pt>
                <c:pt idx="200">
                  <c:v>16.8</c:v>
                </c:pt>
                <c:pt idx="201">
                  <c:v>16.3</c:v>
                </c:pt>
                <c:pt idx="202">
                  <c:v>15.9</c:v>
                </c:pt>
                <c:pt idx="203">
                  <c:v>15.6</c:v>
                </c:pt>
                <c:pt idx="204">
                  <c:v>16</c:v>
                </c:pt>
                <c:pt idx="205">
                  <c:v>15.8</c:v>
                </c:pt>
                <c:pt idx="206">
                  <c:v>15.5</c:v>
                </c:pt>
                <c:pt idx="207">
                  <c:v>15.6</c:v>
                </c:pt>
                <c:pt idx="208">
                  <c:v>15.4</c:v>
                </c:pt>
                <c:pt idx="209">
                  <c:v>15.5</c:v>
                </c:pt>
                <c:pt idx="210">
                  <c:v>16.399999999999999</c:v>
                </c:pt>
                <c:pt idx="211">
                  <c:v>16</c:v>
                </c:pt>
                <c:pt idx="212">
                  <c:v>15.9</c:v>
                </c:pt>
                <c:pt idx="213">
                  <c:v>16.100000000000001</c:v>
                </c:pt>
                <c:pt idx="214">
                  <c:v>15.4</c:v>
                </c:pt>
                <c:pt idx="215">
                  <c:v>15.9</c:v>
                </c:pt>
                <c:pt idx="216">
                  <c:v>15.6</c:v>
                </c:pt>
                <c:pt idx="217">
                  <c:v>15.4</c:v>
                </c:pt>
                <c:pt idx="218">
                  <c:v>14.5</c:v>
                </c:pt>
                <c:pt idx="219">
                  <c:v>14.7</c:v>
                </c:pt>
                <c:pt idx="220">
                  <c:v>14.7</c:v>
                </c:pt>
                <c:pt idx="221">
                  <c:v>14.1</c:v>
                </c:pt>
                <c:pt idx="222">
                  <c:v>14.1</c:v>
                </c:pt>
                <c:pt idx="223">
                  <c:v>13.7</c:v>
                </c:pt>
                <c:pt idx="224">
                  <c:v>14.4</c:v>
                </c:pt>
                <c:pt idx="225">
                  <c:v>14.1</c:v>
                </c:pt>
                <c:pt idx="226">
                  <c:v>14.5</c:v>
                </c:pt>
                <c:pt idx="227">
                  <c:v>14</c:v>
                </c:pt>
                <c:pt idx="228">
                  <c:v>13.4</c:v>
                </c:pt>
                <c:pt idx="229">
                  <c:v>13.8</c:v>
                </c:pt>
                <c:pt idx="230">
                  <c:v>13.4</c:v>
                </c:pt>
                <c:pt idx="231">
                  <c:v>13.3</c:v>
                </c:pt>
                <c:pt idx="232">
                  <c:v>13.4</c:v>
                </c:pt>
                <c:pt idx="233">
                  <c:v>14.3</c:v>
                </c:pt>
                <c:pt idx="234">
                  <c:v>13.6</c:v>
                </c:pt>
                <c:pt idx="235">
                  <c:v>13.1</c:v>
                </c:pt>
                <c:pt idx="236">
                  <c:v>13.1</c:v>
                </c:pt>
                <c:pt idx="237">
                  <c:v>13.3</c:v>
                </c:pt>
                <c:pt idx="238">
                  <c:v>12.9</c:v>
                </c:pt>
                <c:pt idx="239">
                  <c:v>12.9</c:v>
                </c:pt>
                <c:pt idx="240">
                  <c:v>13.1</c:v>
                </c:pt>
                <c:pt idx="241">
                  <c:v>12.6</c:v>
                </c:pt>
                <c:pt idx="242">
                  <c:v>12.7</c:v>
                </c:pt>
                <c:pt idx="243">
                  <c:v>12.4</c:v>
                </c:pt>
                <c:pt idx="244">
                  <c:v>12.6</c:v>
                </c:pt>
                <c:pt idx="245">
                  <c:v>12.3</c:v>
                </c:pt>
                <c:pt idx="246">
                  <c:v>13.4</c:v>
                </c:pt>
                <c:pt idx="247">
                  <c:v>12.9</c:v>
                </c:pt>
                <c:pt idx="248">
                  <c:v>12.2</c:v>
                </c:pt>
                <c:pt idx="249">
                  <c:v>12.7</c:v>
                </c:pt>
                <c:pt idx="250">
                  <c:v>12.4</c:v>
                </c:pt>
                <c:pt idx="251">
                  <c:v>12.5</c:v>
                </c:pt>
                <c:pt idx="252">
                  <c:v>12.7</c:v>
                </c:pt>
                <c:pt idx="253">
                  <c:v>12.8</c:v>
                </c:pt>
                <c:pt idx="254">
                  <c:v>12.8</c:v>
                </c:pt>
                <c:pt idx="255">
                  <c:v>12.4</c:v>
                </c:pt>
                <c:pt idx="256">
                  <c:v>12.1</c:v>
                </c:pt>
                <c:pt idx="257">
                  <c:v>12.7</c:v>
                </c:pt>
                <c:pt idx="258">
                  <c:v>12.9</c:v>
                </c:pt>
                <c:pt idx="259">
                  <c:v>13.3</c:v>
                </c:pt>
                <c:pt idx="260">
                  <c:v>13.2</c:v>
                </c:pt>
                <c:pt idx="261">
                  <c:v>13.3</c:v>
                </c:pt>
                <c:pt idx="262">
                  <c:v>14.3</c:v>
                </c:pt>
                <c:pt idx="263">
                  <c:v>14.5</c:v>
                </c:pt>
                <c:pt idx="264">
                  <c:v>14.7</c:v>
                </c:pt>
                <c:pt idx="265">
                  <c:v>15</c:v>
                </c:pt>
                <c:pt idx="266">
                  <c:v>15.4</c:v>
                </c:pt>
                <c:pt idx="267">
                  <c:v>16.3</c:v>
                </c:pt>
                <c:pt idx="268">
                  <c:v>16.8</c:v>
                </c:pt>
                <c:pt idx="269">
                  <c:v>16.899999999999999</c:v>
                </c:pt>
                <c:pt idx="270">
                  <c:v>16.899999999999999</c:v>
                </c:pt>
                <c:pt idx="271">
                  <c:v>16.5</c:v>
                </c:pt>
                <c:pt idx="272">
                  <c:v>17.600000000000001</c:v>
                </c:pt>
                <c:pt idx="273">
                  <c:v>17.8</c:v>
                </c:pt>
                <c:pt idx="274">
                  <c:v>17.600000000000001</c:v>
                </c:pt>
                <c:pt idx="275">
                  <c:v>18.5</c:v>
                </c:pt>
                <c:pt idx="276">
                  <c:v>18.5</c:v>
                </c:pt>
                <c:pt idx="277">
                  <c:v>18.5</c:v>
                </c:pt>
                <c:pt idx="278">
                  <c:v>18.100000000000001</c:v>
                </c:pt>
                <c:pt idx="279">
                  <c:v>19.399999999999999</c:v>
                </c:pt>
                <c:pt idx="280">
                  <c:v>19</c:v>
                </c:pt>
                <c:pt idx="281">
                  <c:v>19.899999999999999</c:v>
                </c:pt>
                <c:pt idx="282">
                  <c:v>19.7</c:v>
                </c:pt>
                <c:pt idx="283">
                  <c:v>19.2</c:v>
                </c:pt>
                <c:pt idx="284">
                  <c:v>19.5</c:v>
                </c:pt>
                <c:pt idx="285">
                  <c:v>19.3</c:v>
                </c:pt>
                <c:pt idx="286">
                  <c:v>19.899999999999999</c:v>
                </c:pt>
                <c:pt idx="287">
                  <c:v>19.8</c:v>
                </c:pt>
                <c:pt idx="288">
                  <c:v>19.899999999999999</c:v>
                </c:pt>
                <c:pt idx="289">
                  <c:v>20.100000000000001</c:v>
                </c:pt>
                <c:pt idx="290">
                  <c:v>19.8</c:v>
                </c:pt>
                <c:pt idx="291">
                  <c:v>19.600000000000001</c:v>
                </c:pt>
                <c:pt idx="292">
                  <c:v>19.8</c:v>
                </c:pt>
                <c:pt idx="293">
                  <c:v>20.5</c:v>
                </c:pt>
                <c:pt idx="294">
                  <c:v>18.8</c:v>
                </c:pt>
                <c:pt idx="295">
                  <c:v>18.8</c:v>
                </c:pt>
                <c:pt idx="296">
                  <c:v>19.399999999999999</c:v>
                </c:pt>
                <c:pt idx="297">
                  <c:v>19.5</c:v>
                </c:pt>
                <c:pt idx="298">
                  <c:v>19.7</c:v>
                </c:pt>
                <c:pt idx="299">
                  <c:v>19.399999999999999</c:v>
                </c:pt>
                <c:pt idx="300">
                  <c:v>19.5</c:v>
                </c:pt>
                <c:pt idx="301">
                  <c:v>19.100000000000001</c:v>
                </c:pt>
                <c:pt idx="302">
                  <c:v>19.5</c:v>
                </c:pt>
                <c:pt idx="303">
                  <c:v>19.600000000000001</c:v>
                </c:pt>
                <c:pt idx="304">
                  <c:v>18.600000000000001</c:v>
                </c:pt>
                <c:pt idx="305">
                  <c:v>17.899999999999999</c:v>
                </c:pt>
                <c:pt idx="306">
                  <c:v>17.600000000000001</c:v>
                </c:pt>
                <c:pt idx="307">
                  <c:v>18.399999999999999</c:v>
                </c:pt>
                <c:pt idx="308">
                  <c:v>17.899999999999999</c:v>
                </c:pt>
                <c:pt idx="309">
                  <c:v>17.899999999999999</c:v>
                </c:pt>
                <c:pt idx="310">
                  <c:v>17.5</c:v>
                </c:pt>
                <c:pt idx="311">
                  <c:v>17.5</c:v>
                </c:pt>
                <c:pt idx="312">
                  <c:v>16.899999999999999</c:v>
                </c:pt>
                <c:pt idx="313">
                  <c:v>17.8</c:v>
                </c:pt>
                <c:pt idx="314">
                  <c:v>17.100000000000001</c:v>
                </c:pt>
                <c:pt idx="315">
                  <c:v>16.7</c:v>
                </c:pt>
                <c:pt idx="316">
                  <c:v>17.100000000000001</c:v>
                </c:pt>
                <c:pt idx="317">
                  <c:v>16.600000000000001</c:v>
                </c:pt>
                <c:pt idx="318">
                  <c:v>17.100000000000001</c:v>
                </c:pt>
                <c:pt idx="319">
                  <c:v>17.100000000000001</c:v>
                </c:pt>
                <c:pt idx="320">
                  <c:v>17.100000000000001</c:v>
                </c:pt>
                <c:pt idx="321">
                  <c:v>16.3</c:v>
                </c:pt>
                <c:pt idx="322">
                  <c:v>16.2</c:v>
                </c:pt>
                <c:pt idx="323">
                  <c:v>16.100000000000001</c:v>
                </c:pt>
                <c:pt idx="324">
                  <c:v>16.3</c:v>
                </c:pt>
                <c:pt idx="325">
                  <c:v>16.7</c:v>
                </c:pt>
                <c:pt idx="326">
                  <c:v>17.8</c:v>
                </c:pt>
                <c:pt idx="327">
                  <c:v>16.899999999999999</c:v>
                </c:pt>
                <c:pt idx="328">
                  <c:v>16.600000000000001</c:v>
                </c:pt>
                <c:pt idx="329">
                  <c:v>16.5</c:v>
                </c:pt>
                <c:pt idx="330">
                  <c:v>17.2</c:v>
                </c:pt>
                <c:pt idx="331">
                  <c:v>17</c:v>
                </c:pt>
                <c:pt idx="332">
                  <c:v>16.3</c:v>
                </c:pt>
                <c:pt idx="333">
                  <c:v>17</c:v>
                </c:pt>
                <c:pt idx="334">
                  <c:v>17.3</c:v>
                </c:pt>
                <c:pt idx="335">
                  <c:v>16.600000000000001</c:v>
                </c:pt>
                <c:pt idx="336">
                  <c:v>17.5</c:v>
                </c:pt>
                <c:pt idx="337">
                  <c:v>16.899999999999999</c:v>
                </c:pt>
                <c:pt idx="338">
                  <c:v>16.5</c:v>
                </c:pt>
                <c:pt idx="339">
                  <c:v>16.899999999999999</c:v>
                </c:pt>
                <c:pt idx="340">
                  <c:v>16.600000000000001</c:v>
                </c:pt>
                <c:pt idx="341">
                  <c:v>17.100000000000001</c:v>
                </c:pt>
                <c:pt idx="342">
                  <c:v>17</c:v>
                </c:pt>
                <c:pt idx="343">
                  <c:v>17.7</c:v>
                </c:pt>
                <c:pt idx="344">
                  <c:v>18.600000000000001</c:v>
                </c:pt>
                <c:pt idx="345">
                  <c:v>19.899999999999999</c:v>
                </c:pt>
                <c:pt idx="346">
                  <c:v>18.899999999999999</c:v>
                </c:pt>
                <c:pt idx="347">
                  <c:v>19.899999999999999</c:v>
                </c:pt>
                <c:pt idx="348">
                  <c:v>19.8</c:v>
                </c:pt>
                <c:pt idx="349">
                  <c:v>20.2</c:v>
                </c:pt>
                <c:pt idx="350">
                  <c:v>20.9</c:v>
                </c:pt>
                <c:pt idx="351">
                  <c:v>21.7</c:v>
                </c:pt>
                <c:pt idx="352">
                  <c:v>22.4</c:v>
                </c:pt>
                <c:pt idx="353">
                  <c:v>23.9</c:v>
                </c:pt>
                <c:pt idx="354">
                  <c:v>25.1</c:v>
                </c:pt>
                <c:pt idx="355">
                  <c:v>25.3</c:v>
                </c:pt>
                <c:pt idx="356">
                  <c:v>26.6</c:v>
                </c:pt>
                <c:pt idx="357">
                  <c:v>27.5</c:v>
                </c:pt>
                <c:pt idx="358">
                  <c:v>28.9</c:v>
                </c:pt>
                <c:pt idx="359">
                  <c:v>29.7</c:v>
                </c:pt>
                <c:pt idx="360">
                  <c:v>30.3</c:v>
                </c:pt>
                <c:pt idx="361">
                  <c:v>29.8</c:v>
                </c:pt>
                <c:pt idx="362">
                  <c:v>31.6</c:v>
                </c:pt>
                <c:pt idx="363">
                  <c:v>33.299999999999997</c:v>
                </c:pt>
                <c:pt idx="364">
                  <c:v>34</c:v>
                </c:pt>
                <c:pt idx="365">
                  <c:v>34.5</c:v>
                </c:pt>
                <c:pt idx="366">
                  <c:v>33.9</c:v>
                </c:pt>
                <c:pt idx="367">
                  <c:v>33.700000000000003</c:v>
                </c:pt>
                <c:pt idx="368">
                  <c:v>33.4</c:v>
                </c:pt>
                <c:pt idx="369">
                  <c:v>34</c:v>
                </c:pt>
                <c:pt idx="370">
                  <c:v>33.9</c:v>
                </c:pt>
                <c:pt idx="371">
                  <c:v>34.700000000000003</c:v>
                </c:pt>
                <c:pt idx="372">
                  <c:v>37.200000000000003</c:v>
                </c:pt>
                <c:pt idx="373">
                  <c:v>37.4</c:v>
                </c:pt>
                <c:pt idx="374">
                  <c:v>39.1</c:v>
                </c:pt>
                <c:pt idx="375">
                  <c:v>38.700000000000003</c:v>
                </c:pt>
                <c:pt idx="376">
                  <c:v>39.6</c:v>
                </c:pt>
                <c:pt idx="377">
                  <c:v>39.9</c:v>
                </c:pt>
                <c:pt idx="378">
                  <c:v>40.700000000000003</c:v>
                </c:pt>
                <c:pt idx="379">
                  <c:v>40.5</c:v>
                </c:pt>
                <c:pt idx="380">
                  <c:v>40.4</c:v>
                </c:pt>
                <c:pt idx="381">
                  <c:v>38.700000000000003</c:v>
                </c:pt>
                <c:pt idx="382">
                  <c:v>40.200000000000003</c:v>
                </c:pt>
                <c:pt idx="383">
                  <c:v>40.4</c:v>
                </c:pt>
                <c:pt idx="384">
                  <c:v>40.200000000000003</c:v>
                </c:pt>
                <c:pt idx="385">
                  <c:v>39.700000000000003</c:v>
                </c:pt>
                <c:pt idx="386">
                  <c:v>39.299999999999997</c:v>
                </c:pt>
                <c:pt idx="387">
                  <c:v>39.200000000000003</c:v>
                </c:pt>
                <c:pt idx="388">
                  <c:v>39.6</c:v>
                </c:pt>
                <c:pt idx="389">
                  <c:v>40.299999999999997</c:v>
                </c:pt>
                <c:pt idx="390">
                  <c:v>39.299999999999997</c:v>
                </c:pt>
                <c:pt idx="391">
                  <c:v>39.6</c:v>
                </c:pt>
                <c:pt idx="392">
                  <c:v>39.799999999999997</c:v>
                </c:pt>
                <c:pt idx="393">
                  <c:v>39.6</c:v>
                </c:pt>
                <c:pt idx="394">
                  <c:v>39</c:v>
                </c:pt>
                <c:pt idx="395">
                  <c:v>37.6</c:v>
                </c:pt>
                <c:pt idx="396">
                  <c:v>35.6</c:v>
                </c:pt>
                <c:pt idx="397">
                  <c:v>36.4</c:v>
                </c:pt>
                <c:pt idx="398">
                  <c:v>37</c:v>
                </c:pt>
                <c:pt idx="399">
                  <c:v>36.5</c:v>
                </c:pt>
                <c:pt idx="400">
                  <c:v>36.799999999999997</c:v>
                </c:pt>
                <c:pt idx="401">
                  <c:v>36.4</c:v>
                </c:pt>
                <c:pt idx="402">
                  <c:v>37.299999999999997</c:v>
                </c:pt>
                <c:pt idx="403">
                  <c:v>37.6</c:v>
                </c:pt>
                <c:pt idx="404">
                  <c:v>37.4</c:v>
                </c:pt>
                <c:pt idx="405">
                  <c:v>35.1</c:v>
                </c:pt>
                <c:pt idx="406">
                  <c:v>36.6</c:v>
                </c:pt>
                <c:pt idx="407">
                  <c:v>36.5</c:v>
                </c:pt>
                <c:pt idx="408">
                  <c:v>35.1</c:v>
                </c:pt>
                <c:pt idx="409">
                  <c:v>36.5</c:v>
                </c:pt>
                <c:pt idx="410">
                  <c:v>35.299999999999997</c:v>
                </c:pt>
                <c:pt idx="411">
                  <c:v>34.9</c:v>
                </c:pt>
                <c:pt idx="412">
                  <c:v>34.4</c:v>
                </c:pt>
                <c:pt idx="413">
                  <c:v>33.9</c:v>
                </c:pt>
                <c:pt idx="414">
                  <c:v>32.700000000000003</c:v>
                </c:pt>
                <c:pt idx="415">
                  <c:v>32</c:v>
                </c:pt>
                <c:pt idx="416">
                  <c:v>31.9</c:v>
                </c:pt>
                <c:pt idx="417">
                  <c:v>32.299999999999997</c:v>
                </c:pt>
                <c:pt idx="418">
                  <c:v>32.700000000000003</c:v>
                </c:pt>
                <c:pt idx="419">
                  <c:v>32.700000000000003</c:v>
                </c:pt>
                <c:pt idx="420">
                  <c:v>32</c:v>
                </c:pt>
                <c:pt idx="421">
                  <c:v>31.2</c:v>
                </c:pt>
                <c:pt idx="422">
                  <c:v>30.5</c:v>
                </c:pt>
                <c:pt idx="423">
                  <c:v>30.9</c:v>
                </c:pt>
                <c:pt idx="424">
                  <c:v>30.7</c:v>
                </c:pt>
                <c:pt idx="425">
                  <c:v>28.4</c:v>
                </c:pt>
                <c:pt idx="426">
                  <c:v>28.1</c:v>
                </c:pt>
                <c:pt idx="427">
                  <c:v>28.4</c:v>
                </c:pt>
                <c:pt idx="428">
                  <c:v>25.7</c:v>
                </c:pt>
                <c:pt idx="429">
                  <c:v>27.5</c:v>
                </c:pt>
                <c:pt idx="430">
                  <c:v>27.9</c:v>
                </c:pt>
                <c:pt idx="431">
                  <c:v>27.9</c:v>
                </c:pt>
                <c:pt idx="432">
                  <c:v>29.1</c:v>
                </c:pt>
                <c:pt idx="433">
                  <c:v>29.4</c:v>
                </c:pt>
                <c:pt idx="434">
                  <c:v>28.3</c:v>
                </c:pt>
                <c:pt idx="435">
                  <c:v>27.9</c:v>
                </c:pt>
                <c:pt idx="436">
                  <c:v>26.9</c:v>
                </c:pt>
                <c:pt idx="437">
                  <c:v>28</c:v>
                </c:pt>
                <c:pt idx="438">
                  <c:v>27.8</c:v>
                </c:pt>
                <c:pt idx="439">
                  <c:v>27.2</c:v>
                </c:pt>
                <c:pt idx="440">
                  <c:v>26.5</c:v>
                </c:pt>
                <c:pt idx="441">
                  <c:v>26.6</c:v>
                </c:pt>
                <c:pt idx="442">
                  <c:v>25.9</c:v>
                </c:pt>
                <c:pt idx="443">
                  <c:v>26.3</c:v>
                </c:pt>
                <c:pt idx="444">
                  <c:v>25.3</c:v>
                </c:pt>
                <c:pt idx="445">
                  <c:v>25.5</c:v>
                </c:pt>
                <c:pt idx="446">
                  <c:v>25.1</c:v>
                </c:pt>
                <c:pt idx="447">
                  <c:v>24.1</c:v>
                </c:pt>
                <c:pt idx="448">
                  <c:v>24.7</c:v>
                </c:pt>
                <c:pt idx="449">
                  <c:v>24.6</c:v>
                </c:pt>
                <c:pt idx="450">
                  <c:v>24.6</c:v>
                </c:pt>
                <c:pt idx="451">
                  <c:v>24</c:v>
                </c:pt>
                <c:pt idx="452">
                  <c:v>26.1</c:v>
                </c:pt>
                <c:pt idx="453">
                  <c:v>26.2</c:v>
                </c:pt>
                <c:pt idx="454">
                  <c:v>25.7</c:v>
                </c:pt>
                <c:pt idx="455">
                  <c:v>24.2</c:v>
                </c:pt>
                <c:pt idx="456">
                  <c:v>24.2</c:v>
                </c:pt>
                <c:pt idx="457">
                  <c:v>22.9</c:v>
                </c:pt>
                <c:pt idx="458">
                  <c:v>24</c:v>
                </c:pt>
                <c:pt idx="459">
                  <c:v>22.5</c:v>
                </c:pt>
                <c:pt idx="460">
                  <c:v>21.1</c:v>
                </c:pt>
                <c:pt idx="461">
                  <c:v>20.8</c:v>
                </c:pt>
                <c:pt idx="462">
                  <c:v>23.1</c:v>
                </c:pt>
                <c:pt idx="463">
                  <c:v>22.4</c:v>
                </c:pt>
                <c:pt idx="464">
                  <c:v>24.2</c:v>
                </c:pt>
                <c:pt idx="465">
                  <c:v>23.1</c:v>
                </c:pt>
                <c:pt idx="466">
                  <c:v>22.1</c:v>
                </c:pt>
                <c:pt idx="467">
                  <c:v>21.9</c:v>
                </c:pt>
                <c:pt idx="468">
                  <c:v>20.5</c:v>
                </c:pt>
                <c:pt idx="469">
                  <c:v>21.8</c:v>
                </c:pt>
                <c:pt idx="470">
                  <c:v>22.2</c:v>
                </c:pt>
                <c:pt idx="471">
                  <c:v>22.5</c:v>
                </c:pt>
                <c:pt idx="472">
                  <c:v>24</c:v>
                </c:pt>
                <c:pt idx="473">
                  <c:v>21.6</c:v>
                </c:pt>
                <c:pt idx="474">
                  <c:v>19.600000000000001</c:v>
                </c:pt>
                <c:pt idx="475">
                  <c:v>21.9</c:v>
                </c:pt>
                <c:pt idx="476">
                  <c:v>22.5</c:v>
                </c:pt>
                <c:pt idx="477">
                  <c:v>22.4</c:v>
                </c:pt>
                <c:pt idx="478">
                  <c:v>20.3</c:v>
                </c:pt>
                <c:pt idx="479">
                  <c:v>20.7</c:v>
                </c:pt>
                <c:pt idx="480">
                  <c:v>21.9</c:v>
                </c:pt>
                <c:pt idx="481">
                  <c:v>20.6</c:v>
                </c:pt>
                <c:pt idx="482">
                  <c:v>17</c:v>
                </c:pt>
                <c:pt idx="483">
                  <c:v>7.1</c:v>
                </c:pt>
                <c:pt idx="484">
                  <c:v>10.5</c:v>
                </c:pt>
                <c:pt idx="485">
                  <c:v>14.3</c:v>
                </c:pt>
                <c:pt idx="486">
                  <c:v>17</c:v>
                </c:pt>
                <c:pt idx="487">
                  <c:v>19.899999999999999</c:v>
                </c:pt>
                <c:pt idx="488">
                  <c:v>21.5</c:v>
                </c:pt>
                <c:pt idx="489">
                  <c:v>22</c:v>
                </c:pt>
                <c:pt idx="490">
                  <c:v>23.4</c:v>
                </c:pt>
                <c:pt idx="491">
                  <c:v>23.3</c:v>
                </c:pt>
                <c:pt idx="492">
                  <c:v>25.9</c:v>
                </c:pt>
                <c:pt idx="493">
                  <c:v>27.5</c:v>
                </c:pt>
                <c:pt idx="494">
                  <c:v>29.7</c:v>
                </c:pt>
                <c:pt idx="495">
                  <c:v>28.3</c:v>
                </c:pt>
                <c:pt idx="496">
                  <c:v>29.6</c:v>
                </c:pt>
                <c:pt idx="497">
                  <c:v>31.9</c:v>
                </c:pt>
                <c:pt idx="498">
                  <c:v>29.7</c:v>
                </c:pt>
                <c:pt idx="499">
                  <c:v>29.5</c:v>
                </c:pt>
                <c:pt idx="500">
                  <c:v>28.5</c:v>
                </c:pt>
                <c:pt idx="501">
                  <c:v>26.8</c:v>
                </c:pt>
                <c:pt idx="502">
                  <c:v>28.9</c:v>
                </c:pt>
                <c:pt idx="503">
                  <c:v>28.1</c:v>
                </c:pt>
                <c:pt idx="504">
                  <c:v>24.5</c:v>
                </c:pt>
                <c:pt idx="505">
                  <c:v>26.3</c:v>
                </c:pt>
                <c:pt idx="506">
                  <c:v>24.2</c:v>
                </c:pt>
                <c:pt idx="507">
                  <c:v>24.8</c:v>
                </c:pt>
                <c:pt idx="508">
                  <c:v>22.4</c:v>
                </c:pt>
                <c:pt idx="509">
                  <c:v>22.3</c:v>
                </c:pt>
                <c:pt idx="510">
                  <c:v>22.1</c:v>
                </c:pt>
                <c:pt idx="511">
                  <c:v>22.3</c:v>
                </c:pt>
                <c:pt idx="512">
                  <c:v>20.2</c:v>
                </c:pt>
                <c:pt idx="513">
                  <c:v>20.8</c:v>
                </c:pt>
                <c:pt idx="514">
                  <c:v>21.5</c:v>
                </c:pt>
                <c:pt idx="515">
                  <c:v>19.5</c:v>
                </c:pt>
                <c:pt idx="516">
                  <c:v>20.399999999999999</c:v>
                </c:pt>
                <c:pt idx="517">
                  <c:v>19.3</c:v>
                </c:pt>
                <c:pt idx="518">
                  <c:v>19.5</c:v>
                </c:pt>
                <c:pt idx="519">
                  <c:v>20.8</c:v>
                </c:pt>
                <c:pt idx="520">
                  <c:v>21.2</c:v>
                </c:pt>
                <c:pt idx="521">
                  <c:v>20.7</c:v>
                </c:pt>
                <c:pt idx="522">
                  <c:v>20.6</c:v>
                </c:pt>
                <c:pt idx="523">
                  <c:v>20.399999999999999</c:v>
                </c:pt>
                <c:pt idx="524">
                  <c:v>21.4</c:v>
                </c:pt>
                <c:pt idx="525">
                  <c:v>21.6</c:v>
                </c:pt>
                <c:pt idx="526">
                  <c:v>19.5</c:v>
                </c:pt>
                <c:pt idx="527">
                  <c:v>22.3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11-4ED6-8CF3-0942AA0CCD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609837104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613310352"/>
        <c:crosses val="max"/>
        <c:crossBetween val="between"/>
      </c:valAx>
      <c:dateAx>
        <c:axId val="61331035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609837104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1"/>
          <c:order val="0"/>
          <c:tx>
            <c:strRef>
              <c:f>'Labor Market'!$P$2</c:f>
              <c:strCache>
                <c:ptCount val="1"/>
                <c:pt idx="0">
                  <c:v>JOLTS/Unemployment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'Labor Market'!$A$639:$A$914</c:f>
              <c:numCache>
                <c:formatCode>[$-416]mmm\-yy;@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'Labor Market'!$P$639:$P$914</c:f>
              <c:numCache>
                <c:formatCode>0.00</c:formatCode>
                <c:ptCount val="276"/>
                <c:pt idx="0">
                  <c:v>0.86900215839282746</c:v>
                </c:pt>
                <c:pt idx="1">
                  <c:v>0.83708326490392515</c:v>
                </c:pt>
                <c:pt idx="2">
                  <c:v>0.77544373880475492</c:v>
                </c:pt>
                <c:pt idx="3">
                  <c:v>0.73592728432466914</c:v>
                </c:pt>
                <c:pt idx="4">
                  <c:v>0.71072920012849339</c:v>
                </c:pt>
                <c:pt idx="5">
                  <c:v>0.67257865515114124</c:v>
                </c:pt>
                <c:pt idx="6">
                  <c:v>0.67552787482910526</c:v>
                </c:pt>
                <c:pt idx="7">
                  <c:v>0.5714285714285714</c:v>
                </c:pt>
                <c:pt idx="8">
                  <c:v>0.570008401008121</c:v>
                </c:pt>
                <c:pt idx="9">
                  <c:v>0.48180400311931376</c:v>
                </c:pt>
                <c:pt idx="10">
                  <c:v>0.47169811320754718</c:v>
                </c:pt>
                <c:pt idx="11">
                  <c:v>0.44526519738435455</c:v>
                </c:pt>
                <c:pt idx="12">
                  <c:v>0.45208995355658765</c:v>
                </c:pt>
                <c:pt idx="13">
                  <c:v>0.41825928180158245</c:v>
                </c:pt>
                <c:pt idx="14">
                  <c:v>0.43497109826589597</c:v>
                </c:pt>
                <c:pt idx="15">
                  <c:v>0.40365158739388302</c:v>
                </c:pt>
                <c:pt idx="16">
                  <c:v>0.41159661864507679</c:v>
                </c:pt>
                <c:pt idx="17">
                  <c:v>0.4065292505659478</c:v>
                </c:pt>
                <c:pt idx="18">
                  <c:v>0.40131108462455306</c:v>
                </c:pt>
                <c:pt idx="19">
                  <c:v>0.42353082851637763</c:v>
                </c:pt>
                <c:pt idx="20">
                  <c:v>0.40007271845836867</c:v>
                </c:pt>
                <c:pt idx="21">
                  <c:v>0.41880341880341881</c:v>
                </c:pt>
                <c:pt idx="22">
                  <c:v>0.41244131455399063</c:v>
                </c:pt>
                <c:pt idx="23">
                  <c:v>0.36678240740740742</c:v>
                </c:pt>
                <c:pt idx="24">
                  <c:v>0.40387323943661974</c:v>
                </c:pt>
                <c:pt idx="25">
                  <c:v>0.37468090044093755</c:v>
                </c:pt>
                <c:pt idx="26">
                  <c:v>0.36085235211923616</c:v>
                </c:pt>
                <c:pt idx="27">
                  <c:v>0.35150418457362587</c:v>
                </c:pt>
                <c:pt idx="28">
                  <c:v>0.3671988388969521</c:v>
                </c:pt>
                <c:pt idx="29">
                  <c:v>0.36585365853658536</c:v>
                </c:pt>
                <c:pt idx="30">
                  <c:v>0.33081788924647654</c:v>
                </c:pt>
                <c:pt idx="31">
                  <c:v>0.3585881294964029</c:v>
                </c:pt>
                <c:pt idx="32">
                  <c:v>0.34648581997533906</c:v>
                </c:pt>
                <c:pt idx="33">
                  <c:v>0.37849289967934036</c:v>
                </c:pt>
                <c:pt idx="34">
                  <c:v>0.38759328358208955</c:v>
                </c:pt>
                <c:pt idx="35">
                  <c:v>0.41048454971744619</c:v>
                </c:pt>
                <c:pt idx="36">
                  <c:v>0.40908004778972523</c:v>
                </c:pt>
                <c:pt idx="37">
                  <c:v>0.4324721439941227</c:v>
                </c:pt>
                <c:pt idx="38">
                  <c:v>0.41514544812154047</c:v>
                </c:pt>
                <c:pt idx="39">
                  <c:v>0.42974296205630352</c:v>
                </c:pt>
                <c:pt idx="40">
                  <c:v>0.45177788602045788</c:v>
                </c:pt>
                <c:pt idx="41">
                  <c:v>0.4027274921554429</c:v>
                </c:pt>
                <c:pt idx="42">
                  <c:v>0.46878072763028517</c:v>
                </c:pt>
                <c:pt idx="43">
                  <c:v>0.44317897371714643</c:v>
                </c:pt>
                <c:pt idx="44">
                  <c:v>0.4820234641100038</c:v>
                </c:pt>
                <c:pt idx="45">
                  <c:v>0.48914526733655872</c:v>
                </c:pt>
                <c:pt idx="46">
                  <c:v>0.43772062531517902</c:v>
                </c:pt>
                <c:pt idx="47">
                  <c:v>0.51348626165868416</c:v>
                </c:pt>
                <c:pt idx="48">
                  <c:v>0.48869475847893112</c:v>
                </c:pt>
                <c:pt idx="49">
                  <c:v>0.49686716791979951</c:v>
                </c:pt>
                <c:pt idx="50">
                  <c:v>0.52268321054672351</c:v>
                </c:pt>
                <c:pt idx="51">
                  <c:v>0.54210114702815437</c:v>
                </c:pt>
                <c:pt idx="52">
                  <c:v>0.49627499673245329</c:v>
                </c:pt>
                <c:pt idx="53">
                  <c:v>0.53987240829346095</c:v>
                </c:pt>
                <c:pt idx="54">
                  <c:v>0.5746691871455577</c:v>
                </c:pt>
                <c:pt idx="55">
                  <c:v>0.56392103471749488</c:v>
                </c:pt>
                <c:pt idx="56">
                  <c:v>0.57619488944790154</c:v>
                </c:pt>
                <c:pt idx="57">
                  <c:v>0.56138467731114983</c:v>
                </c:pt>
                <c:pt idx="58">
                  <c:v>0.56145915939730373</c:v>
                </c:pt>
                <c:pt idx="59">
                  <c:v>0.5882676191784586</c:v>
                </c:pt>
                <c:pt idx="60">
                  <c:v>0.62245186862967161</c:v>
                </c:pt>
                <c:pt idx="61">
                  <c:v>0.60203229398663693</c:v>
                </c:pt>
                <c:pt idx="62">
                  <c:v>0.66911764705882348</c:v>
                </c:pt>
                <c:pt idx="63">
                  <c:v>0.672752808988764</c:v>
                </c:pt>
                <c:pt idx="64">
                  <c:v>0.63939828080229222</c:v>
                </c:pt>
                <c:pt idx="65">
                  <c:v>0.65904870732752463</c:v>
                </c:pt>
                <c:pt idx="66">
                  <c:v>0.61240418118466899</c:v>
                </c:pt>
                <c:pt idx="67">
                  <c:v>0.66422225356085174</c:v>
                </c:pt>
                <c:pt idx="68">
                  <c:v>0.69183584051409375</c:v>
                </c:pt>
                <c:pt idx="69">
                  <c:v>0.68247361379515381</c:v>
                </c:pt>
                <c:pt idx="70">
                  <c:v>0.67593131548311991</c:v>
                </c:pt>
                <c:pt idx="71">
                  <c:v>0.68322981366459623</c:v>
                </c:pt>
                <c:pt idx="72">
                  <c:v>0.66933670601461492</c:v>
                </c:pt>
                <c:pt idx="73">
                  <c:v>0.67836004042153886</c:v>
                </c:pt>
                <c:pt idx="74">
                  <c:v>0.73718615361759021</c:v>
                </c:pt>
                <c:pt idx="75">
                  <c:v>0.68452554744525551</c:v>
                </c:pt>
                <c:pt idx="76">
                  <c:v>0.68829441324268403</c:v>
                </c:pt>
                <c:pt idx="77">
                  <c:v>0.69623155179825191</c:v>
                </c:pt>
                <c:pt idx="78">
                  <c:v>0.64316687648622184</c:v>
                </c:pt>
                <c:pt idx="79">
                  <c:v>0.64327154379510398</c:v>
                </c:pt>
                <c:pt idx="80">
                  <c:v>0.64881450488145054</c:v>
                </c:pt>
                <c:pt idx="81">
                  <c:v>0.64059693243056515</c:v>
                </c:pt>
                <c:pt idx="82">
                  <c:v>0.64171270718232043</c:v>
                </c:pt>
                <c:pt idx="83">
                  <c:v>0.59450621321124919</c:v>
                </c:pt>
                <c:pt idx="84">
                  <c:v>0.60169160702667535</c:v>
                </c:pt>
                <c:pt idx="85">
                  <c:v>0.57076163798852875</c:v>
                </c:pt>
                <c:pt idx="86">
                  <c:v>0.54014318588596266</c:v>
                </c:pt>
                <c:pt idx="87">
                  <c:v>0.52834882807385097</c:v>
                </c:pt>
                <c:pt idx="88">
                  <c:v>0.49958308516974387</c:v>
                </c:pt>
                <c:pt idx="89">
                  <c:v>0.4466472303206997</c:v>
                </c:pt>
                <c:pt idx="90">
                  <c:v>0.4194919995524225</c:v>
                </c:pt>
                <c:pt idx="91">
                  <c:v>0.38927738927738925</c:v>
                </c:pt>
                <c:pt idx="92">
                  <c:v>0.33937223509585002</c:v>
                </c:pt>
                <c:pt idx="93">
                  <c:v>0.33521937661306334</c:v>
                </c:pt>
                <c:pt idx="94">
                  <c:v>0.30660466881761245</c:v>
                </c:pt>
                <c:pt idx="95">
                  <c:v>0.27875243664717347</c:v>
                </c:pt>
                <c:pt idx="96">
                  <c:v>0.22706916569912092</c:v>
                </c:pt>
                <c:pt idx="97">
                  <c:v>0.2220499302217398</c:v>
                </c:pt>
                <c:pt idx="98">
                  <c:v>0.18873826903023982</c:v>
                </c:pt>
                <c:pt idx="99">
                  <c:v>0.16566808633508986</c:v>
                </c:pt>
                <c:pt idx="100">
                  <c:v>0.17580522794675496</c:v>
                </c:pt>
                <c:pt idx="101">
                  <c:v>0.1701910654790236</c:v>
                </c:pt>
                <c:pt idx="102">
                  <c:v>0.15286624203821655</c:v>
                </c:pt>
                <c:pt idx="103">
                  <c:v>0.15782368030241664</c:v>
                </c:pt>
                <c:pt idx="104">
                  <c:v>0.16570057965220866</c:v>
                </c:pt>
                <c:pt idx="105">
                  <c:v>0.15672225117248567</c:v>
                </c:pt>
                <c:pt idx="106">
                  <c:v>0.1644654707930876</c:v>
                </c:pt>
                <c:pt idx="107">
                  <c:v>0.17008875347728175</c:v>
                </c:pt>
                <c:pt idx="108">
                  <c:v>0.18855509770038548</c:v>
                </c:pt>
                <c:pt idx="109">
                  <c:v>0.17640442003573084</c:v>
                </c:pt>
                <c:pt idx="110">
                  <c:v>0.17622681226154455</c:v>
                </c:pt>
                <c:pt idx="111">
                  <c:v>0.20574225122349102</c:v>
                </c:pt>
                <c:pt idx="112">
                  <c:v>0.20122567176240824</c:v>
                </c:pt>
                <c:pt idx="113">
                  <c:v>0.19351941412187371</c:v>
                </c:pt>
                <c:pt idx="114">
                  <c:v>0.21237596471885337</c:v>
                </c:pt>
                <c:pt idx="115">
                  <c:v>0.2047378481703987</c:v>
                </c:pt>
                <c:pt idx="116">
                  <c:v>0.20015090198230331</c:v>
                </c:pt>
                <c:pt idx="117">
                  <c:v>0.22285753651143567</c:v>
                </c:pt>
                <c:pt idx="118">
                  <c:v>0.21291691532391752</c:v>
                </c:pt>
                <c:pt idx="119">
                  <c:v>0.21313074993030387</c:v>
                </c:pt>
                <c:pt idx="120">
                  <c:v>0.22150859915792478</c:v>
                </c:pt>
                <c:pt idx="121">
                  <c:v>0.23342981186685963</c:v>
                </c:pt>
                <c:pt idx="122">
                  <c:v>0.23738807599912645</c:v>
                </c:pt>
                <c:pt idx="123">
                  <c:v>0.2335029017697213</c:v>
                </c:pt>
                <c:pt idx="124">
                  <c:v>0.2294478527607362</c:v>
                </c:pt>
                <c:pt idx="125">
                  <c:v>0.24745738432889272</c:v>
                </c:pt>
                <c:pt idx="126">
                  <c:v>0.26324202572113636</c:v>
                </c:pt>
                <c:pt idx="127">
                  <c:v>0.24091764365320598</c:v>
                </c:pt>
                <c:pt idx="128">
                  <c:v>0.27057642672784626</c:v>
                </c:pt>
                <c:pt idx="129">
                  <c:v>0.26622039134912462</c:v>
                </c:pt>
                <c:pt idx="130">
                  <c:v>0.26800481130657045</c:v>
                </c:pt>
                <c:pt idx="131">
                  <c:v>0.28778736729550142</c:v>
                </c:pt>
                <c:pt idx="132">
                  <c:v>0.30546221770727516</c:v>
                </c:pt>
                <c:pt idx="133">
                  <c:v>0.28221337703894483</c:v>
                </c:pt>
                <c:pt idx="134">
                  <c:v>0.31298670652088412</c:v>
                </c:pt>
                <c:pt idx="135">
                  <c:v>0.29993673888976752</c:v>
                </c:pt>
                <c:pt idx="136">
                  <c:v>0.30292259083728279</c:v>
                </c:pt>
                <c:pt idx="137">
                  <c:v>0.30814686416640402</c:v>
                </c:pt>
                <c:pt idx="138">
                  <c:v>0.29511694058154236</c:v>
                </c:pt>
                <c:pt idx="139">
                  <c:v>0.30542859433886616</c:v>
                </c:pt>
                <c:pt idx="140">
                  <c:v>0.32042921997523732</c:v>
                </c:pt>
                <c:pt idx="141">
                  <c:v>0.31136588584625535</c:v>
                </c:pt>
                <c:pt idx="142">
                  <c:v>0.32303206997084549</c:v>
                </c:pt>
                <c:pt idx="143">
                  <c:v>0.32281671816555535</c:v>
                </c:pt>
                <c:pt idx="144">
                  <c:v>0.31456980194050199</c:v>
                </c:pt>
                <c:pt idx="145">
                  <c:v>0.33506276150627617</c:v>
                </c:pt>
                <c:pt idx="146">
                  <c:v>0.34870390965865344</c:v>
                </c:pt>
                <c:pt idx="147">
                  <c:v>0.33911564625850338</c:v>
                </c:pt>
                <c:pt idx="148">
                  <c:v>0.35567187231851727</c:v>
                </c:pt>
                <c:pt idx="149">
                  <c:v>0.35316143306952602</c:v>
                </c:pt>
                <c:pt idx="150">
                  <c:v>0.34274371415968241</c:v>
                </c:pt>
                <c:pt idx="151">
                  <c:v>0.36217749800514232</c:v>
                </c:pt>
                <c:pt idx="152">
                  <c:v>0.366282165039929</c:v>
                </c:pt>
                <c:pt idx="153">
                  <c:v>0.3791307471264368</c:v>
                </c:pt>
                <c:pt idx="154">
                  <c:v>0.38184852136831371</c:v>
                </c:pt>
                <c:pt idx="155">
                  <c:v>0.39609765474817377</c:v>
                </c:pt>
                <c:pt idx="156">
                  <c:v>0.40452852381885906</c:v>
                </c:pt>
                <c:pt idx="157">
                  <c:v>0.42255290366218956</c:v>
                </c:pt>
                <c:pt idx="158">
                  <c:v>0.42273603082851635</c:v>
                </c:pt>
                <c:pt idx="159">
                  <c:v>0.47062461348175633</c:v>
                </c:pt>
                <c:pt idx="160">
                  <c:v>0.48148899482706159</c:v>
                </c:pt>
                <c:pt idx="161">
                  <c:v>0.52663847780126849</c:v>
                </c:pt>
                <c:pt idx="162">
                  <c:v>0.50437135720233139</c:v>
                </c:pt>
                <c:pt idx="163">
                  <c:v>0.55724554641108448</c:v>
                </c:pt>
                <c:pt idx="164">
                  <c:v>0.53055495573310296</c:v>
                </c:pt>
                <c:pt idx="165">
                  <c:v>0.55750834260289206</c:v>
                </c:pt>
                <c:pt idx="166">
                  <c:v>0.53278327832783279</c:v>
                </c:pt>
                <c:pt idx="167">
                  <c:v>0.58850521968567171</c:v>
                </c:pt>
                <c:pt idx="168">
                  <c:v>0.6014631401238042</c:v>
                </c:pt>
                <c:pt idx="169">
                  <c:v>0.63565530875683218</c:v>
                </c:pt>
                <c:pt idx="170">
                  <c:v>0.61186142102172636</c:v>
                </c:pt>
                <c:pt idx="171">
                  <c:v>0.65473684210526317</c:v>
                </c:pt>
                <c:pt idx="172">
                  <c:v>0.62972605841068596</c:v>
                </c:pt>
                <c:pt idx="173">
                  <c:v>0.63635261307141988</c:v>
                </c:pt>
                <c:pt idx="174">
                  <c:v>0.74152075425492836</c:v>
                </c:pt>
                <c:pt idx="175">
                  <c:v>0.68405905905905906</c:v>
                </c:pt>
                <c:pt idx="176">
                  <c:v>0.69406854685721509</c:v>
                </c:pt>
                <c:pt idx="177">
                  <c:v>0.72873011865690485</c:v>
                </c:pt>
                <c:pt idx="178">
                  <c:v>0.71350000000000002</c:v>
                </c:pt>
                <c:pt idx="179">
                  <c:v>0.73921841406348809</c:v>
                </c:pt>
                <c:pt idx="180">
                  <c:v>0.7882522617018487</c:v>
                </c:pt>
                <c:pt idx="181">
                  <c:v>0.74915606336016616</c:v>
                </c:pt>
                <c:pt idx="182">
                  <c:v>0.76987815601055143</c:v>
                </c:pt>
                <c:pt idx="183">
                  <c:v>0.71935044006446014</c:v>
                </c:pt>
                <c:pt idx="184">
                  <c:v>0.75496602195504448</c:v>
                </c:pt>
                <c:pt idx="185">
                  <c:v>0.74147727272727271</c:v>
                </c:pt>
                <c:pt idx="186">
                  <c:v>0.78026436330323257</c:v>
                </c:pt>
                <c:pt idx="187">
                  <c:v>0.72931654676258995</c:v>
                </c:pt>
                <c:pt idx="188">
                  <c:v>0.73783477932855523</c:v>
                </c:pt>
                <c:pt idx="189">
                  <c:v>0.71578543080271417</c:v>
                </c:pt>
                <c:pt idx="190">
                  <c:v>0.79054680259499532</c:v>
                </c:pt>
                <c:pt idx="191">
                  <c:v>0.79297965696051054</c:v>
                </c:pt>
                <c:pt idx="192">
                  <c:v>0.75214247455811467</c:v>
                </c:pt>
                <c:pt idx="193">
                  <c:v>0.80268329041875597</c:v>
                </c:pt>
                <c:pt idx="194">
                  <c:v>0.82157500353456803</c:v>
                </c:pt>
                <c:pt idx="195">
                  <c:v>0.85921850754690365</c:v>
                </c:pt>
                <c:pt idx="196">
                  <c:v>0.8322857142857143</c:v>
                </c:pt>
                <c:pt idx="197">
                  <c:v>0.91735777680779862</c:v>
                </c:pt>
                <c:pt idx="198">
                  <c:v>0.90510737086477078</c:v>
                </c:pt>
                <c:pt idx="199">
                  <c:v>0.886190341711381</c:v>
                </c:pt>
                <c:pt idx="200">
                  <c:v>0.92208929092500724</c:v>
                </c:pt>
                <c:pt idx="201">
                  <c:v>0.95641791044776114</c:v>
                </c:pt>
                <c:pt idx="202">
                  <c:v>0.92574549749040447</c:v>
                </c:pt>
                <c:pt idx="203">
                  <c:v>0.95536791314837155</c:v>
                </c:pt>
                <c:pt idx="204">
                  <c:v>1.020342117429496</c:v>
                </c:pt>
                <c:pt idx="205">
                  <c:v>0.99559337486704147</c:v>
                </c:pt>
                <c:pt idx="206">
                  <c:v>1.053461063040791</c:v>
                </c:pt>
                <c:pt idx="207">
                  <c:v>1.0647159002941631</c:v>
                </c:pt>
                <c:pt idx="208">
                  <c:v>1.1323434473854099</c:v>
                </c:pt>
                <c:pt idx="209">
                  <c:v>1.121451838064216</c:v>
                </c:pt>
                <c:pt idx="210">
                  <c:v>1.1606133979015334</c:v>
                </c:pt>
                <c:pt idx="211">
                  <c:v>1.1708901884340481</c:v>
                </c:pt>
                <c:pt idx="212">
                  <c:v>1.2203194467314342</c:v>
                </c:pt>
                <c:pt idx="213">
                  <c:v>1.1759781033649976</c:v>
                </c:pt>
                <c:pt idx="214">
                  <c:v>1.2418642681929681</c:v>
                </c:pt>
                <c:pt idx="215">
                  <c:v>1.17217091876663</c:v>
                </c:pt>
                <c:pt idx="216">
                  <c:v>1.1674173008231092</c:v>
                </c:pt>
                <c:pt idx="217">
                  <c:v>1.156500408830744</c:v>
                </c:pt>
                <c:pt idx="218">
                  <c:v>1.186832740213523</c:v>
                </c:pt>
                <c:pt idx="219">
                  <c:v>1.2165454237861615</c:v>
                </c:pt>
                <c:pt idx="220">
                  <c:v>1.2306009089378893</c:v>
                </c:pt>
                <c:pt idx="221">
                  <c:v>1.208157048569978</c:v>
                </c:pt>
                <c:pt idx="222">
                  <c:v>1.1736018641810919</c:v>
                </c:pt>
                <c:pt idx="223">
                  <c:v>1.1991305801705401</c:v>
                </c:pt>
                <c:pt idx="224">
                  <c:v>1.2398268398268397</c:v>
                </c:pt>
                <c:pt idx="225">
                  <c:v>1.2296457948631863</c:v>
                </c:pt>
                <c:pt idx="226">
                  <c:v>1.170529521231602</c:v>
                </c:pt>
                <c:pt idx="227">
                  <c:v>1.1429301533219762</c:v>
                </c:pt>
                <c:pt idx="228">
                  <c:v>1.2377670572019297</c:v>
                </c:pt>
                <c:pt idx="229">
                  <c:v>1.2254730203223545</c:v>
                </c:pt>
                <c:pt idx="230">
                  <c:v>0.80651447661469933</c:v>
                </c:pt>
                <c:pt idx="231">
                  <c:v>0.20329718004338396</c:v>
                </c:pt>
                <c:pt idx="232">
                  <c:v>0.26653612875495486</c:v>
                </c:pt>
                <c:pt idx="233">
                  <c:v>0.34719700408533816</c:v>
                </c:pt>
                <c:pt idx="234">
                  <c:v>0.39904435187454057</c:v>
                </c:pt>
                <c:pt idx="235">
                  <c:v>0.47037940980696696</c:v>
                </c:pt>
                <c:pt idx="236">
                  <c:v>0.51686641796968014</c:v>
                </c:pt>
                <c:pt idx="237">
                  <c:v>0.61496844003606854</c:v>
                </c:pt>
                <c:pt idx="238">
                  <c:v>0.63894052044609662</c:v>
                </c:pt>
                <c:pt idx="239">
                  <c:v>0.63492357572950442</c:v>
                </c:pt>
                <c:pt idx="240">
                  <c:v>0.70654849827671096</c:v>
                </c:pt>
                <c:pt idx="241">
                  <c:v>0.77739931877379287</c:v>
                </c:pt>
                <c:pt idx="242">
                  <c:v>0.86480642504118621</c:v>
                </c:pt>
                <c:pt idx="243">
                  <c:v>0.95388723426106603</c:v>
                </c:pt>
                <c:pt idx="244">
                  <c:v>1.0629793669655396</c:v>
                </c:pt>
                <c:pt idx="245">
                  <c:v>1.059002944888515</c:v>
                </c:pt>
                <c:pt idx="246">
                  <c:v>1.2502297794117647</c:v>
                </c:pt>
                <c:pt idx="247">
                  <c:v>1.3166746756367131</c:v>
                </c:pt>
                <c:pt idx="248">
                  <c:v>1.4174807867656636</c:v>
                </c:pt>
                <c:pt idx="249">
                  <c:v>1.547719537100068</c:v>
                </c:pt>
                <c:pt idx="250">
                  <c:v>1.656637168141593</c:v>
                </c:pt>
                <c:pt idx="251">
                  <c:v>1.8685416337494074</c:v>
                </c:pt>
                <c:pt idx="252">
                  <c:v>1.7642451236369221</c:v>
                </c:pt>
                <c:pt idx="253">
                  <c:v>1.8496492346938775</c:v>
                </c:pt>
                <c:pt idx="254">
                  <c:v>2.013898191560616</c:v>
                </c:pt>
                <c:pt idx="255">
                  <c:v>1.969671581769437</c:v>
                </c:pt>
                <c:pt idx="256">
                  <c:v>1.9138651948486369</c:v>
                </c:pt>
                <c:pt idx="257">
                  <c:v>1.8437342304457527</c:v>
                </c:pt>
                <c:pt idx="258">
                  <c:v>1.9902063658621896</c:v>
                </c:pt>
                <c:pt idx="259">
                  <c:v>1.6937385816309583</c:v>
                </c:pt>
                <c:pt idx="260">
                  <c:v>1.8811091854419411</c:v>
                </c:pt>
                <c:pt idx="261">
                  <c:v>1.7298860069387081</c:v>
                </c:pt>
                <c:pt idx="262">
                  <c:v>1.7909999999999999</c:v>
                </c:pt>
                <c:pt idx="263">
                  <c:v>1.9632995456134219</c:v>
                </c:pt>
                <c:pt idx="264">
                  <c:v>1.8551106427818758</c:v>
                </c:pt>
                <c:pt idx="265">
                  <c:v>1.6730121293800539</c:v>
                </c:pt>
                <c:pt idx="266">
                  <c:v>1.6689501626990924</c:v>
                </c:pt>
                <c:pt idx="267">
                  <c:v>1.8105263157894738</c:v>
                </c:pt>
                <c:pt idx="268">
                  <c:v>1.5763934426229509</c:v>
                </c:pt>
                <c:pt idx="269">
                  <c:v>1.538526103743495</c:v>
                </c:pt>
                <c:pt idx="270">
                  <c:v>1.5379310344827586</c:v>
                </c:pt>
                <c:pt idx="271">
                  <c:v>1.4944138473642801</c:v>
                </c:pt>
                <c:pt idx="272">
                  <c:v>1.4609375</c:v>
                </c:pt>
                <c:pt idx="273">
                  <c:v>1.3618461538461539</c:v>
                </c:pt>
                <c:pt idx="274">
                  <c:v>1.3952380952380952</c:v>
                </c:pt>
                <c:pt idx="275">
                  <c:v>1.3952380952380952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3B4-4A0B-A6D1-F8DE41A6BD7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2"/>
          <c:order val="1"/>
          <c:tx>
            <c:strRef>
              <c:f>'Labor Market'!$G$2</c:f>
              <c:strCache>
                <c:ptCount val="1"/>
                <c:pt idx="0">
                  <c:v>Wage Growth Tracker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'Labor Market'!$G$638:$G$914</c:f>
              <c:numCache>
                <c:formatCode>#,##0.00</c:formatCode>
                <c:ptCount val="277"/>
                <c:pt idx="0">
                  <c:v>5.4</c:v>
                </c:pt>
                <c:pt idx="1">
                  <c:v>5.4</c:v>
                </c:pt>
                <c:pt idx="2">
                  <c:v>5.3</c:v>
                </c:pt>
                <c:pt idx="3">
                  <c:v>5.3</c:v>
                </c:pt>
                <c:pt idx="4">
                  <c:v>5.3</c:v>
                </c:pt>
                <c:pt idx="5">
                  <c:v>5.0999999999999996</c:v>
                </c:pt>
                <c:pt idx="6">
                  <c:v>5.2</c:v>
                </c:pt>
                <c:pt idx="7">
                  <c:v>5.0999999999999996</c:v>
                </c:pt>
                <c:pt idx="8">
                  <c:v>5.2</c:v>
                </c:pt>
                <c:pt idx="9">
                  <c:v>5</c:v>
                </c:pt>
                <c:pt idx="10">
                  <c:v>5</c:v>
                </c:pt>
                <c:pt idx="11">
                  <c:v>5</c:v>
                </c:pt>
                <c:pt idx="12">
                  <c:v>5</c:v>
                </c:pt>
                <c:pt idx="13">
                  <c:v>4.9000000000000004</c:v>
                </c:pt>
                <c:pt idx="14">
                  <c:v>4.7</c:v>
                </c:pt>
                <c:pt idx="15">
                  <c:v>4.5999999999999996</c:v>
                </c:pt>
                <c:pt idx="16">
                  <c:v>4.3</c:v>
                </c:pt>
                <c:pt idx="17">
                  <c:v>4.4000000000000004</c:v>
                </c:pt>
                <c:pt idx="18">
                  <c:v>4.2</c:v>
                </c:pt>
                <c:pt idx="19">
                  <c:v>4.0999999999999996</c:v>
                </c:pt>
                <c:pt idx="20">
                  <c:v>4</c:v>
                </c:pt>
                <c:pt idx="21">
                  <c:v>3.9</c:v>
                </c:pt>
                <c:pt idx="22">
                  <c:v>3.8</c:v>
                </c:pt>
                <c:pt idx="23">
                  <c:v>3.5</c:v>
                </c:pt>
                <c:pt idx="24">
                  <c:v>3.6</c:v>
                </c:pt>
                <c:pt idx="25">
                  <c:v>3.7</c:v>
                </c:pt>
                <c:pt idx="26">
                  <c:v>3.9</c:v>
                </c:pt>
                <c:pt idx="27">
                  <c:v>3.7</c:v>
                </c:pt>
                <c:pt idx="28">
                  <c:v>3.5</c:v>
                </c:pt>
                <c:pt idx="29">
                  <c:v>3.5</c:v>
                </c:pt>
                <c:pt idx="30">
                  <c:v>3.6</c:v>
                </c:pt>
                <c:pt idx="31">
                  <c:v>3.7</c:v>
                </c:pt>
                <c:pt idx="32">
                  <c:v>3.5</c:v>
                </c:pt>
                <c:pt idx="33">
                  <c:v>3.5</c:v>
                </c:pt>
                <c:pt idx="34">
                  <c:v>3.4</c:v>
                </c:pt>
                <c:pt idx="35">
                  <c:v>3.4</c:v>
                </c:pt>
                <c:pt idx="36">
                  <c:v>3.3</c:v>
                </c:pt>
                <c:pt idx="37">
                  <c:v>3.3</c:v>
                </c:pt>
                <c:pt idx="38">
                  <c:v>3.4</c:v>
                </c:pt>
                <c:pt idx="39">
                  <c:v>3.4</c:v>
                </c:pt>
                <c:pt idx="40">
                  <c:v>3.4</c:v>
                </c:pt>
                <c:pt idx="41">
                  <c:v>3.4</c:v>
                </c:pt>
                <c:pt idx="42">
                  <c:v>3.3</c:v>
                </c:pt>
                <c:pt idx="43">
                  <c:v>3.4</c:v>
                </c:pt>
                <c:pt idx="44">
                  <c:v>3.5</c:v>
                </c:pt>
                <c:pt idx="45">
                  <c:v>3.7</c:v>
                </c:pt>
                <c:pt idx="46">
                  <c:v>3.7</c:v>
                </c:pt>
                <c:pt idx="47">
                  <c:v>3.7</c:v>
                </c:pt>
                <c:pt idx="48">
                  <c:v>3.5</c:v>
                </c:pt>
                <c:pt idx="49">
                  <c:v>3.6</c:v>
                </c:pt>
                <c:pt idx="50">
                  <c:v>3.5</c:v>
                </c:pt>
                <c:pt idx="51">
                  <c:v>3.6</c:v>
                </c:pt>
                <c:pt idx="52">
                  <c:v>3.5</c:v>
                </c:pt>
                <c:pt idx="53">
                  <c:v>3.6</c:v>
                </c:pt>
                <c:pt idx="54">
                  <c:v>3.8</c:v>
                </c:pt>
                <c:pt idx="55">
                  <c:v>4</c:v>
                </c:pt>
                <c:pt idx="56">
                  <c:v>4</c:v>
                </c:pt>
                <c:pt idx="57">
                  <c:v>4.0999999999999996</c:v>
                </c:pt>
                <c:pt idx="58">
                  <c:v>4</c:v>
                </c:pt>
                <c:pt idx="59">
                  <c:v>4.2</c:v>
                </c:pt>
                <c:pt idx="60">
                  <c:v>4.0999999999999996</c:v>
                </c:pt>
                <c:pt idx="61">
                  <c:v>4</c:v>
                </c:pt>
                <c:pt idx="62">
                  <c:v>3.8</c:v>
                </c:pt>
                <c:pt idx="63">
                  <c:v>3.8</c:v>
                </c:pt>
                <c:pt idx="64">
                  <c:v>3.8</c:v>
                </c:pt>
                <c:pt idx="65">
                  <c:v>3.9</c:v>
                </c:pt>
                <c:pt idx="66">
                  <c:v>3.8</c:v>
                </c:pt>
                <c:pt idx="67">
                  <c:v>3.7</c:v>
                </c:pt>
                <c:pt idx="68">
                  <c:v>3.8</c:v>
                </c:pt>
                <c:pt idx="69">
                  <c:v>3.8</c:v>
                </c:pt>
                <c:pt idx="70">
                  <c:v>3.8</c:v>
                </c:pt>
                <c:pt idx="71">
                  <c:v>3.9</c:v>
                </c:pt>
                <c:pt idx="72">
                  <c:v>4</c:v>
                </c:pt>
                <c:pt idx="73">
                  <c:v>4.2</c:v>
                </c:pt>
                <c:pt idx="74">
                  <c:v>4.0999999999999996</c:v>
                </c:pt>
                <c:pt idx="75">
                  <c:v>4.3</c:v>
                </c:pt>
                <c:pt idx="76">
                  <c:v>4.0999999999999996</c:v>
                </c:pt>
                <c:pt idx="77">
                  <c:v>4.0999999999999996</c:v>
                </c:pt>
                <c:pt idx="78">
                  <c:v>4</c:v>
                </c:pt>
                <c:pt idx="79">
                  <c:v>4.2</c:v>
                </c:pt>
                <c:pt idx="80">
                  <c:v>4.3</c:v>
                </c:pt>
                <c:pt idx="81">
                  <c:v>4.4000000000000004</c:v>
                </c:pt>
                <c:pt idx="82">
                  <c:v>4.3</c:v>
                </c:pt>
                <c:pt idx="83">
                  <c:v>4.3</c:v>
                </c:pt>
                <c:pt idx="84">
                  <c:v>4.0999999999999996</c:v>
                </c:pt>
                <c:pt idx="85">
                  <c:v>3.9</c:v>
                </c:pt>
                <c:pt idx="86">
                  <c:v>3.9</c:v>
                </c:pt>
                <c:pt idx="87">
                  <c:v>4</c:v>
                </c:pt>
                <c:pt idx="88">
                  <c:v>4.0999999999999996</c:v>
                </c:pt>
                <c:pt idx="89">
                  <c:v>4.0999999999999996</c:v>
                </c:pt>
                <c:pt idx="90">
                  <c:v>4.0999999999999996</c:v>
                </c:pt>
                <c:pt idx="91">
                  <c:v>4.0999999999999996</c:v>
                </c:pt>
                <c:pt idx="92">
                  <c:v>4</c:v>
                </c:pt>
                <c:pt idx="93">
                  <c:v>4</c:v>
                </c:pt>
                <c:pt idx="94">
                  <c:v>4</c:v>
                </c:pt>
                <c:pt idx="95">
                  <c:v>4</c:v>
                </c:pt>
                <c:pt idx="96">
                  <c:v>3.8</c:v>
                </c:pt>
                <c:pt idx="97">
                  <c:v>3.7</c:v>
                </c:pt>
                <c:pt idx="98">
                  <c:v>3.4</c:v>
                </c:pt>
                <c:pt idx="99">
                  <c:v>3.3</c:v>
                </c:pt>
                <c:pt idx="100">
                  <c:v>3.2</c:v>
                </c:pt>
                <c:pt idx="101">
                  <c:v>3.3</c:v>
                </c:pt>
                <c:pt idx="102">
                  <c:v>3.1</c:v>
                </c:pt>
                <c:pt idx="103">
                  <c:v>3</c:v>
                </c:pt>
                <c:pt idx="104">
                  <c:v>2.5</c:v>
                </c:pt>
                <c:pt idx="105">
                  <c:v>2.2999999999999998</c:v>
                </c:pt>
                <c:pt idx="106">
                  <c:v>2.1</c:v>
                </c:pt>
                <c:pt idx="107">
                  <c:v>2.1</c:v>
                </c:pt>
                <c:pt idx="108">
                  <c:v>1.7</c:v>
                </c:pt>
                <c:pt idx="109">
                  <c:v>1.6</c:v>
                </c:pt>
                <c:pt idx="110">
                  <c:v>1.7</c:v>
                </c:pt>
                <c:pt idx="111">
                  <c:v>1.9</c:v>
                </c:pt>
                <c:pt idx="112">
                  <c:v>1.9</c:v>
                </c:pt>
                <c:pt idx="113">
                  <c:v>1.6</c:v>
                </c:pt>
                <c:pt idx="114">
                  <c:v>1.7</c:v>
                </c:pt>
                <c:pt idx="115">
                  <c:v>1.8</c:v>
                </c:pt>
                <c:pt idx="116">
                  <c:v>2</c:v>
                </c:pt>
                <c:pt idx="117">
                  <c:v>1.9</c:v>
                </c:pt>
                <c:pt idx="118">
                  <c:v>1.7</c:v>
                </c:pt>
                <c:pt idx="119">
                  <c:v>1.7</c:v>
                </c:pt>
                <c:pt idx="120">
                  <c:v>1.7</c:v>
                </c:pt>
                <c:pt idx="121">
                  <c:v>1.9</c:v>
                </c:pt>
                <c:pt idx="122">
                  <c:v>1.9</c:v>
                </c:pt>
                <c:pt idx="123">
                  <c:v>1.9</c:v>
                </c:pt>
                <c:pt idx="124">
                  <c:v>1.9</c:v>
                </c:pt>
                <c:pt idx="125">
                  <c:v>2</c:v>
                </c:pt>
                <c:pt idx="126">
                  <c:v>2</c:v>
                </c:pt>
                <c:pt idx="127">
                  <c:v>2.1</c:v>
                </c:pt>
                <c:pt idx="128">
                  <c:v>2.2000000000000002</c:v>
                </c:pt>
                <c:pt idx="129">
                  <c:v>2.1</c:v>
                </c:pt>
                <c:pt idx="130">
                  <c:v>2.2000000000000002</c:v>
                </c:pt>
                <c:pt idx="131">
                  <c:v>2</c:v>
                </c:pt>
                <c:pt idx="132">
                  <c:v>2</c:v>
                </c:pt>
                <c:pt idx="133">
                  <c:v>1.9</c:v>
                </c:pt>
                <c:pt idx="134">
                  <c:v>1.9</c:v>
                </c:pt>
                <c:pt idx="135">
                  <c:v>2</c:v>
                </c:pt>
                <c:pt idx="136">
                  <c:v>2.2000000000000002</c:v>
                </c:pt>
                <c:pt idx="137">
                  <c:v>2.1</c:v>
                </c:pt>
                <c:pt idx="138">
                  <c:v>2.2999999999999998</c:v>
                </c:pt>
                <c:pt idx="139">
                  <c:v>2.1</c:v>
                </c:pt>
                <c:pt idx="140">
                  <c:v>2.1</c:v>
                </c:pt>
                <c:pt idx="141">
                  <c:v>2.1</c:v>
                </c:pt>
                <c:pt idx="142">
                  <c:v>2.1</c:v>
                </c:pt>
                <c:pt idx="143">
                  <c:v>2.2999999999999998</c:v>
                </c:pt>
                <c:pt idx="144">
                  <c:v>2.2999999999999998</c:v>
                </c:pt>
                <c:pt idx="145">
                  <c:v>2.2999999999999998</c:v>
                </c:pt>
                <c:pt idx="146">
                  <c:v>2.2999999999999998</c:v>
                </c:pt>
                <c:pt idx="147">
                  <c:v>2.2000000000000002</c:v>
                </c:pt>
                <c:pt idx="148">
                  <c:v>2.2000000000000002</c:v>
                </c:pt>
                <c:pt idx="149">
                  <c:v>2.2000000000000002</c:v>
                </c:pt>
                <c:pt idx="150">
                  <c:v>2.1</c:v>
                </c:pt>
                <c:pt idx="151">
                  <c:v>2.2999999999999998</c:v>
                </c:pt>
                <c:pt idx="152">
                  <c:v>2.2999999999999998</c:v>
                </c:pt>
                <c:pt idx="153">
                  <c:v>2.4</c:v>
                </c:pt>
                <c:pt idx="154">
                  <c:v>2.2000000000000002</c:v>
                </c:pt>
                <c:pt idx="155">
                  <c:v>2</c:v>
                </c:pt>
                <c:pt idx="156">
                  <c:v>2.2000000000000002</c:v>
                </c:pt>
                <c:pt idx="157">
                  <c:v>2.2999999999999998</c:v>
                </c:pt>
                <c:pt idx="158">
                  <c:v>2.5</c:v>
                </c:pt>
                <c:pt idx="159">
                  <c:v>2.4</c:v>
                </c:pt>
                <c:pt idx="160">
                  <c:v>2.2999999999999998</c:v>
                </c:pt>
                <c:pt idx="161">
                  <c:v>2.2999999999999998</c:v>
                </c:pt>
                <c:pt idx="162">
                  <c:v>2.2999999999999998</c:v>
                </c:pt>
                <c:pt idx="163">
                  <c:v>2.4</c:v>
                </c:pt>
                <c:pt idx="164">
                  <c:v>2.4</c:v>
                </c:pt>
                <c:pt idx="165">
                  <c:v>2.6</c:v>
                </c:pt>
                <c:pt idx="166">
                  <c:v>2.8</c:v>
                </c:pt>
                <c:pt idx="167">
                  <c:v>2.9</c:v>
                </c:pt>
                <c:pt idx="168">
                  <c:v>2.9</c:v>
                </c:pt>
                <c:pt idx="169">
                  <c:v>3</c:v>
                </c:pt>
                <c:pt idx="170">
                  <c:v>3</c:v>
                </c:pt>
                <c:pt idx="171">
                  <c:v>3.2</c:v>
                </c:pt>
                <c:pt idx="172">
                  <c:v>3.3</c:v>
                </c:pt>
                <c:pt idx="173">
                  <c:v>3.3</c:v>
                </c:pt>
                <c:pt idx="174">
                  <c:v>3.2</c:v>
                </c:pt>
                <c:pt idx="175">
                  <c:v>3.1</c:v>
                </c:pt>
                <c:pt idx="176">
                  <c:v>3.1</c:v>
                </c:pt>
                <c:pt idx="177">
                  <c:v>3</c:v>
                </c:pt>
                <c:pt idx="178">
                  <c:v>2.9</c:v>
                </c:pt>
                <c:pt idx="179">
                  <c:v>3.1</c:v>
                </c:pt>
                <c:pt idx="180">
                  <c:v>3.1</c:v>
                </c:pt>
                <c:pt idx="181">
                  <c:v>3.1</c:v>
                </c:pt>
                <c:pt idx="182">
                  <c:v>3.2</c:v>
                </c:pt>
                <c:pt idx="183">
                  <c:v>3.2</c:v>
                </c:pt>
                <c:pt idx="184">
                  <c:v>3.4</c:v>
                </c:pt>
                <c:pt idx="185">
                  <c:v>3.5</c:v>
                </c:pt>
                <c:pt idx="186">
                  <c:v>3.6</c:v>
                </c:pt>
                <c:pt idx="187">
                  <c:v>3.4</c:v>
                </c:pt>
                <c:pt idx="188">
                  <c:v>3.3</c:v>
                </c:pt>
                <c:pt idx="189">
                  <c:v>3.6</c:v>
                </c:pt>
                <c:pt idx="190">
                  <c:v>3.9</c:v>
                </c:pt>
                <c:pt idx="191">
                  <c:v>3.9</c:v>
                </c:pt>
                <c:pt idx="192">
                  <c:v>3.5</c:v>
                </c:pt>
                <c:pt idx="193">
                  <c:v>3.2</c:v>
                </c:pt>
                <c:pt idx="194">
                  <c:v>3.2</c:v>
                </c:pt>
                <c:pt idx="195">
                  <c:v>3.4</c:v>
                </c:pt>
                <c:pt idx="196">
                  <c:v>3.5</c:v>
                </c:pt>
                <c:pt idx="197">
                  <c:v>3.4</c:v>
                </c:pt>
                <c:pt idx="198">
                  <c:v>3.2</c:v>
                </c:pt>
                <c:pt idx="199">
                  <c:v>3.3</c:v>
                </c:pt>
                <c:pt idx="200">
                  <c:v>3.4</c:v>
                </c:pt>
                <c:pt idx="201">
                  <c:v>3.6</c:v>
                </c:pt>
                <c:pt idx="202">
                  <c:v>3.4</c:v>
                </c:pt>
                <c:pt idx="203">
                  <c:v>3.2</c:v>
                </c:pt>
                <c:pt idx="204">
                  <c:v>2.9</c:v>
                </c:pt>
                <c:pt idx="205">
                  <c:v>3</c:v>
                </c:pt>
                <c:pt idx="206">
                  <c:v>2.9</c:v>
                </c:pt>
                <c:pt idx="207">
                  <c:v>3.3</c:v>
                </c:pt>
                <c:pt idx="208">
                  <c:v>3.3</c:v>
                </c:pt>
                <c:pt idx="209">
                  <c:v>3.2</c:v>
                </c:pt>
                <c:pt idx="210">
                  <c:v>3.2</c:v>
                </c:pt>
                <c:pt idx="211">
                  <c:v>3.3</c:v>
                </c:pt>
                <c:pt idx="212">
                  <c:v>3.5</c:v>
                </c:pt>
                <c:pt idx="213">
                  <c:v>3.5</c:v>
                </c:pt>
                <c:pt idx="214">
                  <c:v>3.7</c:v>
                </c:pt>
                <c:pt idx="215">
                  <c:v>3.9</c:v>
                </c:pt>
                <c:pt idx="216">
                  <c:v>3.8</c:v>
                </c:pt>
                <c:pt idx="217">
                  <c:v>3.8</c:v>
                </c:pt>
                <c:pt idx="218">
                  <c:v>3.4</c:v>
                </c:pt>
                <c:pt idx="219">
                  <c:v>3.5</c:v>
                </c:pt>
                <c:pt idx="220">
                  <c:v>3.6</c:v>
                </c:pt>
                <c:pt idx="221">
                  <c:v>3.7</c:v>
                </c:pt>
                <c:pt idx="222">
                  <c:v>3.9</c:v>
                </c:pt>
                <c:pt idx="223">
                  <c:v>3.9</c:v>
                </c:pt>
                <c:pt idx="224">
                  <c:v>3.7</c:v>
                </c:pt>
                <c:pt idx="225">
                  <c:v>3.6</c:v>
                </c:pt>
                <c:pt idx="226">
                  <c:v>3.5</c:v>
                </c:pt>
                <c:pt idx="227">
                  <c:v>3.7</c:v>
                </c:pt>
                <c:pt idx="228">
                  <c:v>3.7</c:v>
                </c:pt>
                <c:pt idx="229">
                  <c:v>3.8</c:v>
                </c:pt>
                <c:pt idx="230">
                  <c:v>3.7</c:v>
                </c:pt>
                <c:pt idx="231">
                  <c:v>3.5</c:v>
                </c:pt>
                <c:pt idx="232">
                  <c:v>3.3</c:v>
                </c:pt>
                <c:pt idx="233">
                  <c:v>3.5</c:v>
                </c:pt>
                <c:pt idx="234">
                  <c:v>3.8</c:v>
                </c:pt>
                <c:pt idx="235">
                  <c:v>3.9</c:v>
                </c:pt>
                <c:pt idx="236">
                  <c:v>3.5</c:v>
                </c:pt>
                <c:pt idx="237">
                  <c:v>3.5</c:v>
                </c:pt>
                <c:pt idx="238">
                  <c:v>3.5</c:v>
                </c:pt>
                <c:pt idx="239">
                  <c:v>3.7</c:v>
                </c:pt>
                <c:pt idx="240">
                  <c:v>3.4</c:v>
                </c:pt>
                <c:pt idx="241">
                  <c:v>3.4</c:v>
                </c:pt>
                <c:pt idx="242">
                  <c:v>3.4</c:v>
                </c:pt>
                <c:pt idx="243">
                  <c:v>3.4</c:v>
                </c:pt>
                <c:pt idx="244">
                  <c:v>3.2</c:v>
                </c:pt>
                <c:pt idx="245">
                  <c:v>3</c:v>
                </c:pt>
                <c:pt idx="246">
                  <c:v>3.2</c:v>
                </c:pt>
                <c:pt idx="247">
                  <c:v>3.7</c:v>
                </c:pt>
                <c:pt idx="248">
                  <c:v>3.9</c:v>
                </c:pt>
                <c:pt idx="249">
                  <c:v>4.2</c:v>
                </c:pt>
                <c:pt idx="250">
                  <c:v>4.0999999999999996</c:v>
                </c:pt>
                <c:pt idx="251">
                  <c:v>4.3</c:v>
                </c:pt>
                <c:pt idx="252">
                  <c:v>4.5</c:v>
                </c:pt>
                <c:pt idx="253">
                  <c:v>5.0999999999999996</c:v>
                </c:pt>
                <c:pt idx="254">
                  <c:v>5.8</c:v>
                </c:pt>
                <c:pt idx="255">
                  <c:v>6</c:v>
                </c:pt>
                <c:pt idx="256">
                  <c:v>6</c:v>
                </c:pt>
                <c:pt idx="257">
                  <c:v>6.1</c:v>
                </c:pt>
                <c:pt idx="258">
                  <c:v>6.7</c:v>
                </c:pt>
                <c:pt idx="259">
                  <c:v>6.7</c:v>
                </c:pt>
                <c:pt idx="260">
                  <c:v>6.7</c:v>
                </c:pt>
                <c:pt idx="261">
                  <c:v>6.3</c:v>
                </c:pt>
                <c:pt idx="262">
                  <c:v>6.4</c:v>
                </c:pt>
                <c:pt idx="263">
                  <c:v>6.4</c:v>
                </c:pt>
                <c:pt idx="264">
                  <c:v>6.1</c:v>
                </c:pt>
                <c:pt idx="265">
                  <c:v>6.1</c:v>
                </c:pt>
                <c:pt idx="266">
                  <c:v>6.1</c:v>
                </c:pt>
                <c:pt idx="267">
                  <c:v>6.4</c:v>
                </c:pt>
                <c:pt idx="268">
                  <c:v>6.1</c:v>
                </c:pt>
                <c:pt idx="269">
                  <c:v>6</c:v>
                </c:pt>
                <c:pt idx="270">
                  <c:v>5.6</c:v>
                </c:pt>
                <c:pt idx="271">
                  <c:v>5.7</c:v>
                </c:pt>
                <c:pt idx="272">
                  <c:v>5.3</c:v>
                </c:pt>
                <c:pt idx="273">
                  <c:v>5.2</c:v>
                </c:pt>
                <c:pt idx="274">
                  <c:v>5.2</c:v>
                </c:pt>
                <c:pt idx="275">
                  <c:v>5.2</c:v>
                </c:pt>
                <c:pt idx="276">
                  <c:v>5.2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AE-404C-BD7A-850F82BF03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49016271"/>
        <c:axId val="916949263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2.1"/>
          <c:min val="0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  <c:majorUnit val="0.25"/>
      </c:valAx>
      <c:valAx>
        <c:axId val="916949263"/>
        <c:scaling>
          <c:orientation val="minMax"/>
          <c:min val="1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049016271"/>
        <c:crosses val="max"/>
        <c:crossBetween val="between"/>
      </c:valAx>
      <c:catAx>
        <c:axId val="1049016271"/>
        <c:scaling>
          <c:orientation val="minMax"/>
        </c:scaling>
        <c:delete val="1"/>
        <c:axPos val="b"/>
        <c:majorTickMark val="out"/>
        <c:minorTickMark val="none"/>
        <c:tickLblPos val="nextTo"/>
        <c:crossAx val="916949263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'Labor Market'!$M$2</c:f>
              <c:strCache>
                <c:ptCount val="1"/>
                <c:pt idx="0">
                  <c:v>Payroll</c:v>
                </c:pt>
              </c:strCache>
            </c:strRef>
          </c:tx>
          <c:spPr>
            <a:solidFill>
              <a:schemeClr val="tx2"/>
            </a:solidFill>
            <a:ln w="25400"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'Labor Market'!$A$879:$A$914</c:f>
              <c:numCache>
                <c:formatCode>[$-416]mmm\-yy;@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'Labor Market'!$M$879:$M$914</c:f>
              <c:numCache>
                <c:formatCode>#,##0</c:formatCode>
                <c:ptCount val="36"/>
                <c:pt idx="0">
                  <c:v>494</c:v>
                </c:pt>
                <c:pt idx="1">
                  <c:v>575</c:v>
                </c:pt>
                <c:pt idx="2">
                  <c:v>784</c:v>
                </c:pt>
                <c:pt idx="3">
                  <c:v>286</c:v>
                </c:pt>
                <c:pt idx="4">
                  <c:v>482</c:v>
                </c:pt>
                <c:pt idx="5">
                  <c:v>693</c:v>
                </c:pt>
                <c:pt idx="6">
                  <c:v>769</c:v>
                </c:pt>
                <c:pt idx="7">
                  <c:v>663</c:v>
                </c:pt>
                <c:pt idx="8">
                  <c:v>557</c:v>
                </c:pt>
                <c:pt idx="9">
                  <c:v>781</c:v>
                </c:pt>
                <c:pt idx="10">
                  <c:v>614</c:v>
                </c:pt>
                <c:pt idx="11">
                  <c:v>569</c:v>
                </c:pt>
                <c:pt idx="12">
                  <c:v>364</c:v>
                </c:pt>
                <c:pt idx="13">
                  <c:v>904</c:v>
                </c:pt>
                <c:pt idx="14">
                  <c:v>414</c:v>
                </c:pt>
                <c:pt idx="15">
                  <c:v>254</c:v>
                </c:pt>
                <c:pt idx="16">
                  <c:v>364</c:v>
                </c:pt>
                <c:pt idx="17">
                  <c:v>370</c:v>
                </c:pt>
                <c:pt idx="18">
                  <c:v>568</c:v>
                </c:pt>
                <c:pt idx="19">
                  <c:v>352</c:v>
                </c:pt>
                <c:pt idx="20">
                  <c:v>350</c:v>
                </c:pt>
                <c:pt idx="21">
                  <c:v>324</c:v>
                </c:pt>
                <c:pt idx="22">
                  <c:v>290</c:v>
                </c:pt>
                <c:pt idx="23">
                  <c:v>239</c:v>
                </c:pt>
                <c:pt idx="24">
                  <c:v>472</c:v>
                </c:pt>
                <c:pt idx="25">
                  <c:v>326</c:v>
                </c:pt>
                <c:pt idx="26">
                  <c:v>165</c:v>
                </c:pt>
                <c:pt idx="27">
                  <c:v>294</c:v>
                </c:pt>
                <c:pt idx="28">
                  <c:v>306</c:v>
                </c:pt>
                <c:pt idx="29">
                  <c:v>185</c:v>
                </c:pt>
                <c:pt idx="30">
                  <c:v>157</c:v>
                </c:pt>
                <c:pt idx="31">
                  <c:v>227</c:v>
                </c:pt>
                <c:pt idx="32">
                  <c:v>297</c:v>
                </c:pt>
                <c:pt idx="33">
                  <c:v>150</c:v>
                </c:pt>
                <c:pt idx="34">
                  <c:v>173</c:v>
                </c:pt>
                <c:pt idx="35">
                  <c:v>216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BBA-4172-942F-7FF9964470F4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1228998512"/>
        <c:axId val="1229000176"/>
      </c:barChart>
      <c:lineChart>
        <c:grouping val="standard"/>
        <c:varyColors val="0"/>
        <c:ser>
          <c:idx val="0"/>
          <c:order val="1"/>
          <c:tx>
            <c:strRef>
              <c:f>'Labor Market'!$N$2</c:f>
              <c:strCache>
                <c:ptCount val="1"/>
                <c:pt idx="0">
                  <c:v>3 Month Average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'Labor Market'!$A$879:$A$914</c:f>
              <c:numCache>
                <c:formatCode>[$-416]mmm\-yy;@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'Labor Market'!$N$879:$N$914</c:f>
              <c:numCache>
                <c:formatCode>#,##0</c:formatCode>
                <c:ptCount val="36"/>
                <c:pt idx="0">
                  <c:v>163.33333333333334</c:v>
                </c:pt>
                <c:pt idx="1">
                  <c:v>267</c:v>
                </c:pt>
                <c:pt idx="2">
                  <c:v>617.66666666666663</c:v>
                </c:pt>
                <c:pt idx="3">
                  <c:v>548.33333333333337</c:v>
                </c:pt>
                <c:pt idx="4">
                  <c:v>517.33333333333337</c:v>
                </c:pt>
                <c:pt idx="5">
                  <c:v>487</c:v>
                </c:pt>
                <c:pt idx="6">
                  <c:v>648</c:v>
                </c:pt>
                <c:pt idx="7">
                  <c:v>708.33333333333337</c:v>
                </c:pt>
                <c:pt idx="8">
                  <c:v>663</c:v>
                </c:pt>
                <c:pt idx="9">
                  <c:v>667</c:v>
                </c:pt>
                <c:pt idx="10">
                  <c:v>650.66666666666663</c:v>
                </c:pt>
                <c:pt idx="11">
                  <c:v>654.66666666666663</c:v>
                </c:pt>
                <c:pt idx="12">
                  <c:v>515.66666666666663</c:v>
                </c:pt>
                <c:pt idx="13">
                  <c:v>612.33333333333337</c:v>
                </c:pt>
                <c:pt idx="14">
                  <c:v>560.66666666666663</c:v>
                </c:pt>
                <c:pt idx="15">
                  <c:v>524</c:v>
                </c:pt>
                <c:pt idx="16">
                  <c:v>344</c:v>
                </c:pt>
                <c:pt idx="17">
                  <c:v>329.33333333333331</c:v>
                </c:pt>
                <c:pt idx="18">
                  <c:v>434</c:v>
                </c:pt>
                <c:pt idx="19">
                  <c:v>430</c:v>
                </c:pt>
                <c:pt idx="20">
                  <c:v>423.33333333333331</c:v>
                </c:pt>
                <c:pt idx="21">
                  <c:v>342</c:v>
                </c:pt>
                <c:pt idx="22">
                  <c:v>321.33333333333331</c:v>
                </c:pt>
                <c:pt idx="23">
                  <c:v>284.33333333333331</c:v>
                </c:pt>
                <c:pt idx="24">
                  <c:v>333.66666666666669</c:v>
                </c:pt>
                <c:pt idx="25">
                  <c:v>345.66666666666669</c:v>
                </c:pt>
                <c:pt idx="26">
                  <c:v>321</c:v>
                </c:pt>
                <c:pt idx="27">
                  <c:v>261.66666666666669</c:v>
                </c:pt>
                <c:pt idx="28">
                  <c:v>255</c:v>
                </c:pt>
                <c:pt idx="29">
                  <c:v>261.66666666666669</c:v>
                </c:pt>
                <c:pt idx="30">
                  <c:v>216</c:v>
                </c:pt>
                <c:pt idx="31">
                  <c:v>189.66666666666666</c:v>
                </c:pt>
                <c:pt idx="32">
                  <c:v>227</c:v>
                </c:pt>
                <c:pt idx="33">
                  <c:v>224.66666666666666</c:v>
                </c:pt>
                <c:pt idx="34">
                  <c:v>206.66666666666666</c:v>
                </c:pt>
                <c:pt idx="35">
                  <c:v>179.66666666666666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BBA-4172-942F-7FF9964470F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1"/>
          <c:order val="0"/>
          <c:tx>
            <c:strRef>
              <c:f>'Labor Market'!$P$2</c:f>
              <c:strCache>
                <c:ptCount val="1"/>
                <c:pt idx="0">
                  <c:v>JOLTS/Unemployment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tx2">
                  <a:lumMod val="60000"/>
                  <a:lumOff val="40000"/>
                </a:schemeClr>
              </a:solidFill>
              <a:ln w="9525">
                <a:noFill/>
              </a:ln>
              <a:effectLst/>
            </c:spPr>
          </c:marker>
          <c:dLbls>
            <c:delete val="1"/>
          </c:dLbls>
          <c:trendline>
            <c:spPr>
              <a:ln w="38100" cap="rnd">
                <a:solidFill>
                  <a:srgbClr val="0000FF"/>
                </a:solidFill>
                <a:prstDash val="sysDot"/>
              </a:ln>
              <a:effectLst/>
            </c:spPr>
            <c:trendlineType val="exp"/>
            <c:dispRSqr val="0"/>
            <c:dispEq val="0"/>
          </c:trendline>
          <c:xVal>
            <c:numRef>
              <c:f>'Labor Market'!$P$723:$P$914</c:f>
              <c:numCache>
                <c:formatCode>0.00</c:formatCode>
                <c:ptCount val="192"/>
                <c:pt idx="0">
                  <c:v>0.60169160702667535</c:v>
                </c:pt>
                <c:pt idx="1">
                  <c:v>0.57076163798852875</c:v>
                </c:pt>
                <c:pt idx="2">
                  <c:v>0.54014318588596266</c:v>
                </c:pt>
                <c:pt idx="3">
                  <c:v>0.52834882807385097</c:v>
                </c:pt>
                <c:pt idx="4">
                  <c:v>0.49958308516974387</c:v>
                </c:pt>
                <c:pt idx="5">
                  <c:v>0.4466472303206997</c:v>
                </c:pt>
                <c:pt idx="6">
                  <c:v>0.4194919995524225</c:v>
                </c:pt>
                <c:pt idx="7">
                  <c:v>0.38927738927738925</c:v>
                </c:pt>
                <c:pt idx="8">
                  <c:v>0.33937223509585002</c:v>
                </c:pt>
                <c:pt idx="9">
                  <c:v>0.33521937661306334</c:v>
                </c:pt>
                <c:pt idx="10">
                  <c:v>0.30660466881761245</c:v>
                </c:pt>
                <c:pt idx="11">
                  <c:v>0.27875243664717347</c:v>
                </c:pt>
                <c:pt idx="12">
                  <c:v>0.22706916569912092</c:v>
                </c:pt>
                <c:pt idx="13">
                  <c:v>0.2220499302217398</c:v>
                </c:pt>
                <c:pt idx="14">
                  <c:v>0.18873826903023982</c:v>
                </c:pt>
                <c:pt idx="15">
                  <c:v>0.16566808633508986</c:v>
                </c:pt>
                <c:pt idx="16">
                  <c:v>0.17580522794675496</c:v>
                </c:pt>
                <c:pt idx="17">
                  <c:v>0.1701910654790236</c:v>
                </c:pt>
                <c:pt idx="18">
                  <c:v>0.15286624203821655</c:v>
                </c:pt>
                <c:pt idx="19">
                  <c:v>0.15782368030241664</c:v>
                </c:pt>
                <c:pt idx="20">
                  <c:v>0.16570057965220866</c:v>
                </c:pt>
                <c:pt idx="21">
                  <c:v>0.15672225117248567</c:v>
                </c:pt>
                <c:pt idx="22">
                  <c:v>0.1644654707930876</c:v>
                </c:pt>
                <c:pt idx="23">
                  <c:v>0.17008875347728175</c:v>
                </c:pt>
                <c:pt idx="24">
                  <c:v>0.18855509770038548</c:v>
                </c:pt>
                <c:pt idx="25">
                  <c:v>0.17640442003573084</c:v>
                </c:pt>
                <c:pt idx="26">
                  <c:v>0.17622681226154455</c:v>
                </c:pt>
                <c:pt idx="27">
                  <c:v>0.20574225122349102</c:v>
                </c:pt>
                <c:pt idx="28">
                  <c:v>0.20122567176240824</c:v>
                </c:pt>
                <c:pt idx="29">
                  <c:v>0.19351941412187371</c:v>
                </c:pt>
                <c:pt idx="30">
                  <c:v>0.21237596471885337</c:v>
                </c:pt>
                <c:pt idx="31">
                  <c:v>0.2047378481703987</c:v>
                </c:pt>
                <c:pt idx="32">
                  <c:v>0.20015090198230331</c:v>
                </c:pt>
                <c:pt idx="33">
                  <c:v>0.22285753651143567</c:v>
                </c:pt>
                <c:pt idx="34">
                  <c:v>0.21291691532391752</c:v>
                </c:pt>
                <c:pt idx="35">
                  <c:v>0.21313074993030387</c:v>
                </c:pt>
                <c:pt idx="36">
                  <c:v>0.22150859915792478</c:v>
                </c:pt>
                <c:pt idx="37">
                  <c:v>0.23342981186685963</c:v>
                </c:pt>
                <c:pt idx="38">
                  <c:v>0.23738807599912645</c:v>
                </c:pt>
                <c:pt idx="39">
                  <c:v>0.2335029017697213</c:v>
                </c:pt>
                <c:pt idx="40">
                  <c:v>0.2294478527607362</c:v>
                </c:pt>
                <c:pt idx="41">
                  <c:v>0.24745738432889272</c:v>
                </c:pt>
                <c:pt idx="42">
                  <c:v>0.26324202572113636</c:v>
                </c:pt>
                <c:pt idx="43">
                  <c:v>0.24091764365320598</c:v>
                </c:pt>
                <c:pt idx="44">
                  <c:v>0.27057642672784626</c:v>
                </c:pt>
                <c:pt idx="45">
                  <c:v>0.26622039134912462</c:v>
                </c:pt>
                <c:pt idx="46">
                  <c:v>0.26800481130657045</c:v>
                </c:pt>
                <c:pt idx="47">
                  <c:v>0.28778736729550142</c:v>
                </c:pt>
                <c:pt idx="48">
                  <c:v>0.30546221770727516</c:v>
                </c:pt>
                <c:pt idx="49">
                  <c:v>0.28221337703894483</c:v>
                </c:pt>
                <c:pt idx="50">
                  <c:v>0.31298670652088412</c:v>
                </c:pt>
                <c:pt idx="51">
                  <c:v>0.29993673888976752</c:v>
                </c:pt>
                <c:pt idx="52">
                  <c:v>0.30292259083728279</c:v>
                </c:pt>
                <c:pt idx="53">
                  <c:v>0.30814686416640402</c:v>
                </c:pt>
                <c:pt idx="54">
                  <c:v>0.29511694058154236</c:v>
                </c:pt>
                <c:pt idx="55">
                  <c:v>0.30542859433886616</c:v>
                </c:pt>
                <c:pt idx="56">
                  <c:v>0.32042921997523732</c:v>
                </c:pt>
                <c:pt idx="57">
                  <c:v>0.31136588584625535</c:v>
                </c:pt>
                <c:pt idx="58">
                  <c:v>0.32303206997084549</c:v>
                </c:pt>
                <c:pt idx="59">
                  <c:v>0.32281671816555535</c:v>
                </c:pt>
                <c:pt idx="60">
                  <c:v>0.31456980194050199</c:v>
                </c:pt>
                <c:pt idx="61">
                  <c:v>0.33506276150627617</c:v>
                </c:pt>
                <c:pt idx="62">
                  <c:v>0.34870390965865344</c:v>
                </c:pt>
                <c:pt idx="63">
                  <c:v>0.33911564625850338</c:v>
                </c:pt>
                <c:pt idx="64">
                  <c:v>0.35567187231851727</c:v>
                </c:pt>
                <c:pt idx="65">
                  <c:v>0.35316143306952602</c:v>
                </c:pt>
                <c:pt idx="66">
                  <c:v>0.34274371415968241</c:v>
                </c:pt>
                <c:pt idx="67">
                  <c:v>0.36217749800514232</c:v>
                </c:pt>
                <c:pt idx="68">
                  <c:v>0.366282165039929</c:v>
                </c:pt>
                <c:pt idx="69">
                  <c:v>0.3791307471264368</c:v>
                </c:pt>
                <c:pt idx="70">
                  <c:v>0.38184852136831371</c:v>
                </c:pt>
                <c:pt idx="71">
                  <c:v>0.39609765474817377</c:v>
                </c:pt>
                <c:pt idx="72">
                  <c:v>0.40452852381885906</c:v>
                </c:pt>
                <c:pt idx="73">
                  <c:v>0.42255290366218956</c:v>
                </c:pt>
                <c:pt idx="74">
                  <c:v>0.42273603082851635</c:v>
                </c:pt>
                <c:pt idx="75">
                  <c:v>0.47062461348175633</c:v>
                </c:pt>
                <c:pt idx="76">
                  <c:v>0.48148899482706159</c:v>
                </c:pt>
                <c:pt idx="77">
                  <c:v>0.52663847780126849</c:v>
                </c:pt>
                <c:pt idx="78">
                  <c:v>0.50437135720233139</c:v>
                </c:pt>
                <c:pt idx="79">
                  <c:v>0.55724554641108448</c:v>
                </c:pt>
                <c:pt idx="80">
                  <c:v>0.53055495573310296</c:v>
                </c:pt>
                <c:pt idx="81">
                  <c:v>0.55750834260289206</c:v>
                </c:pt>
                <c:pt idx="82">
                  <c:v>0.53278327832783279</c:v>
                </c:pt>
                <c:pt idx="83">
                  <c:v>0.58850521968567171</c:v>
                </c:pt>
                <c:pt idx="84">
                  <c:v>0.6014631401238042</c:v>
                </c:pt>
                <c:pt idx="85">
                  <c:v>0.63565530875683218</c:v>
                </c:pt>
                <c:pt idx="86">
                  <c:v>0.61186142102172636</c:v>
                </c:pt>
                <c:pt idx="87">
                  <c:v>0.65473684210526317</c:v>
                </c:pt>
                <c:pt idx="88">
                  <c:v>0.62972605841068596</c:v>
                </c:pt>
                <c:pt idx="89">
                  <c:v>0.63635261307141988</c:v>
                </c:pt>
                <c:pt idx="90">
                  <c:v>0.74152075425492836</c:v>
                </c:pt>
                <c:pt idx="91">
                  <c:v>0.68405905905905906</c:v>
                </c:pt>
                <c:pt idx="92">
                  <c:v>0.69406854685721509</c:v>
                </c:pt>
                <c:pt idx="93">
                  <c:v>0.72873011865690485</c:v>
                </c:pt>
                <c:pt idx="94">
                  <c:v>0.71350000000000002</c:v>
                </c:pt>
                <c:pt idx="95">
                  <c:v>0.73921841406348809</c:v>
                </c:pt>
                <c:pt idx="96">
                  <c:v>0.7882522617018487</c:v>
                </c:pt>
                <c:pt idx="97">
                  <c:v>0.74915606336016616</c:v>
                </c:pt>
                <c:pt idx="98">
                  <c:v>0.76987815601055143</c:v>
                </c:pt>
                <c:pt idx="99">
                  <c:v>0.71935044006446014</c:v>
                </c:pt>
                <c:pt idx="100">
                  <c:v>0.75496602195504448</c:v>
                </c:pt>
                <c:pt idx="101">
                  <c:v>0.74147727272727271</c:v>
                </c:pt>
                <c:pt idx="102">
                  <c:v>0.78026436330323257</c:v>
                </c:pt>
                <c:pt idx="103">
                  <c:v>0.72931654676258995</c:v>
                </c:pt>
                <c:pt idx="104">
                  <c:v>0.73783477932855523</c:v>
                </c:pt>
                <c:pt idx="105">
                  <c:v>0.71578543080271417</c:v>
                </c:pt>
                <c:pt idx="106">
                  <c:v>0.79054680259499532</c:v>
                </c:pt>
                <c:pt idx="107">
                  <c:v>0.79297965696051054</c:v>
                </c:pt>
                <c:pt idx="108">
                  <c:v>0.75214247455811467</c:v>
                </c:pt>
                <c:pt idx="109">
                  <c:v>0.80268329041875597</c:v>
                </c:pt>
                <c:pt idx="110">
                  <c:v>0.82157500353456803</c:v>
                </c:pt>
                <c:pt idx="111">
                  <c:v>0.85921850754690365</c:v>
                </c:pt>
                <c:pt idx="112">
                  <c:v>0.8322857142857143</c:v>
                </c:pt>
                <c:pt idx="113">
                  <c:v>0.91735777680779862</c:v>
                </c:pt>
                <c:pt idx="114">
                  <c:v>0.90510737086477078</c:v>
                </c:pt>
                <c:pt idx="115">
                  <c:v>0.886190341711381</c:v>
                </c:pt>
                <c:pt idx="116">
                  <c:v>0.92208929092500724</c:v>
                </c:pt>
                <c:pt idx="117">
                  <c:v>0.95641791044776114</c:v>
                </c:pt>
                <c:pt idx="118">
                  <c:v>0.92574549749040447</c:v>
                </c:pt>
                <c:pt idx="119">
                  <c:v>0.95536791314837155</c:v>
                </c:pt>
                <c:pt idx="120">
                  <c:v>1.020342117429496</c:v>
                </c:pt>
                <c:pt idx="121">
                  <c:v>0.99559337486704147</c:v>
                </c:pt>
                <c:pt idx="122">
                  <c:v>1.053461063040791</c:v>
                </c:pt>
                <c:pt idx="123">
                  <c:v>1.0647159002941631</c:v>
                </c:pt>
                <c:pt idx="124">
                  <c:v>1.1323434473854099</c:v>
                </c:pt>
                <c:pt idx="125">
                  <c:v>1.121451838064216</c:v>
                </c:pt>
                <c:pt idx="126">
                  <c:v>1.1606133979015334</c:v>
                </c:pt>
                <c:pt idx="127">
                  <c:v>1.1708901884340481</c:v>
                </c:pt>
                <c:pt idx="128">
                  <c:v>1.2203194467314342</c:v>
                </c:pt>
                <c:pt idx="129">
                  <c:v>1.1759781033649976</c:v>
                </c:pt>
                <c:pt idx="130">
                  <c:v>1.2418642681929681</c:v>
                </c:pt>
                <c:pt idx="131">
                  <c:v>1.17217091876663</c:v>
                </c:pt>
                <c:pt idx="132">
                  <c:v>1.1674173008231092</c:v>
                </c:pt>
                <c:pt idx="133">
                  <c:v>1.156500408830744</c:v>
                </c:pt>
                <c:pt idx="134">
                  <c:v>1.186832740213523</c:v>
                </c:pt>
                <c:pt idx="135">
                  <c:v>1.2165454237861615</c:v>
                </c:pt>
                <c:pt idx="136">
                  <c:v>1.2306009089378893</c:v>
                </c:pt>
                <c:pt idx="137">
                  <c:v>1.208157048569978</c:v>
                </c:pt>
                <c:pt idx="138">
                  <c:v>1.1736018641810919</c:v>
                </c:pt>
                <c:pt idx="139">
                  <c:v>1.1991305801705401</c:v>
                </c:pt>
                <c:pt idx="140">
                  <c:v>1.2398268398268397</c:v>
                </c:pt>
                <c:pt idx="141">
                  <c:v>1.2296457948631863</c:v>
                </c:pt>
                <c:pt idx="142">
                  <c:v>1.170529521231602</c:v>
                </c:pt>
                <c:pt idx="143">
                  <c:v>1.1429301533219762</c:v>
                </c:pt>
                <c:pt idx="144">
                  <c:v>1.2377670572019297</c:v>
                </c:pt>
                <c:pt idx="145">
                  <c:v>1.2254730203223545</c:v>
                </c:pt>
                <c:pt idx="146">
                  <c:v>0.80651447661469933</c:v>
                </c:pt>
                <c:pt idx="147">
                  <c:v>0.20329718004338396</c:v>
                </c:pt>
                <c:pt idx="148">
                  <c:v>0.26653612875495486</c:v>
                </c:pt>
                <c:pt idx="149">
                  <c:v>0.34719700408533816</c:v>
                </c:pt>
                <c:pt idx="150">
                  <c:v>0.39904435187454057</c:v>
                </c:pt>
                <c:pt idx="151">
                  <c:v>0.47037940980696696</c:v>
                </c:pt>
                <c:pt idx="152">
                  <c:v>0.51686641796968014</c:v>
                </c:pt>
                <c:pt idx="153">
                  <c:v>0.61496844003606854</c:v>
                </c:pt>
                <c:pt idx="154">
                  <c:v>0.63894052044609662</c:v>
                </c:pt>
                <c:pt idx="155">
                  <c:v>0.63492357572950442</c:v>
                </c:pt>
                <c:pt idx="156">
                  <c:v>0.70654849827671096</c:v>
                </c:pt>
                <c:pt idx="157">
                  <c:v>0.77739931877379287</c:v>
                </c:pt>
                <c:pt idx="158">
                  <c:v>0.86480642504118621</c:v>
                </c:pt>
                <c:pt idx="159">
                  <c:v>0.95388723426106603</c:v>
                </c:pt>
                <c:pt idx="160">
                  <c:v>1.0629793669655396</c:v>
                </c:pt>
                <c:pt idx="161">
                  <c:v>1.059002944888515</c:v>
                </c:pt>
                <c:pt idx="162">
                  <c:v>1.2502297794117647</c:v>
                </c:pt>
                <c:pt idx="163">
                  <c:v>1.3166746756367131</c:v>
                </c:pt>
                <c:pt idx="164">
                  <c:v>1.4174807867656636</c:v>
                </c:pt>
                <c:pt idx="165">
                  <c:v>1.547719537100068</c:v>
                </c:pt>
                <c:pt idx="166">
                  <c:v>1.656637168141593</c:v>
                </c:pt>
                <c:pt idx="167">
                  <c:v>1.8685416337494074</c:v>
                </c:pt>
                <c:pt idx="168">
                  <c:v>1.7642451236369221</c:v>
                </c:pt>
                <c:pt idx="169">
                  <c:v>1.8496492346938775</c:v>
                </c:pt>
                <c:pt idx="170">
                  <c:v>2.013898191560616</c:v>
                </c:pt>
                <c:pt idx="171">
                  <c:v>1.969671581769437</c:v>
                </c:pt>
                <c:pt idx="172">
                  <c:v>1.9138651948486369</c:v>
                </c:pt>
                <c:pt idx="173">
                  <c:v>1.8437342304457527</c:v>
                </c:pt>
                <c:pt idx="174">
                  <c:v>1.9902063658621896</c:v>
                </c:pt>
                <c:pt idx="175">
                  <c:v>1.6937385816309583</c:v>
                </c:pt>
                <c:pt idx="176">
                  <c:v>1.8811091854419411</c:v>
                </c:pt>
                <c:pt idx="177">
                  <c:v>1.7298860069387081</c:v>
                </c:pt>
                <c:pt idx="178">
                  <c:v>1.7909999999999999</c:v>
                </c:pt>
                <c:pt idx="179">
                  <c:v>1.9632995456134219</c:v>
                </c:pt>
                <c:pt idx="180">
                  <c:v>1.8551106427818758</c:v>
                </c:pt>
                <c:pt idx="181">
                  <c:v>1.6730121293800539</c:v>
                </c:pt>
                <c:pt idx="182">
                  <c:v>1.6689501626990924</c:v>
                </c:pt>
                <c:pt idx="183">
                  <c:v>1.8105263157894738</c:v>
                </c:pt>
                <c:pt idx="184">
                  <c:v>1.5763934426229509</c:v>
                </c:pt>
                <c:pt idx="185">
                  <c:v>1.538526103743495</c:v>
                </c:pt>
                <c:pt idx="186">
                  <c:v>1.5379310344827586</c:v>
                </c:pt>
                <c:pt idx="187">
                  <c:v>1.4944138473642801</c:v>
                </c:pt>
                <c:pt idx="188">
                  <c:v>1.4609375</c:v>
                </c:pt>
                <c:pt idx="189">
                  <c:v>1.3618461538461539</c:v>
                </c:pt>
                <c:pt idx="190">
                  <c:v>1.3952380952380952</c:v>
                </c:pt>
                <c:pt idx="191">
                  <c:v>1.3952380952380952</c:v>
                </c:pt>
              </c:numCache>
            </c:numRef>
          </c:xVal>
          <c:yVal>
            <c:numRef>
              <c:f>'Labor Market'!$F$723:$F$911</c:f>
              <c:numCache>
                <c:formatCode>#,##0.00</c:formatCode>
                <c:ptCount val="189"/>
                <c:pt idx="0">
                  <c:v>2.9626000000000001</c:v>
                </c:pt>
                <c:pt idx="1">
                  <c:v>2.80464</c:v>
                </c:pt>
                <c:pt idx="2">
                  <c:v>3.0390700000000002</c:v>
                </c:pt>
                <c:pt idx="3">
                  <c:v>2.8873899999999999</c:v>
                </c:pt>
                <c:pt idx="4">
                  <c:v>3.0230299999999999</c:v>
                </c:pt>
                <c:pt idx="5">
                  <c:v>2.6730299999999998</c:v>
                </c:pt>
                <c:pt idx="6">
                  <c:v>3.10263</c:v>
                </c:pt>
                <c:pt idx="7">
                  <c:v>3.3333300000000001</c:v>
                </c:pt>
                <c:pt idx="8">
                  <c:v>3.2319399999999998</c:v>
                </c:pt>
                <c:pt idx="9">
                  <c:v>3.3238400000000001</c:v>
                </c:pt>
                <c:pt idx="10">
                  <c:v>3.5511400000000002</c:v>
                </c:pt>
                <c:pt idx="11">
                  <c:v>3.6372200000000001</c:v>
                </c:pt>
                <c:pt idx="12">
                  <c:v>3.5849099999999998</c:v>
                </c:pt>
                <c:pt idx="13">
                  <c:v>3.4336799999999998</c:v>
                </c:pt>
                <c:pt idx="14">
                  <c:v>3.2771499999999998</c:v>
                </c:pt>
                <c:pt idx="15">
                  <c:v>3.3208600000000001</c:v>
                </c:pt>
                <c:pt idx="16">
                  <c:v>2.9809000000000001</c:v>
                </c:pt>
                <c:pt idx="17">
                  <c:v>2.9288699999999999</c:v>
                </c:pt>
                <c:pt idx="18">
                  <c:v>2.68519</c:v>
                </c:pt>
                <c:pt idx="19">
                  <c:v>2.4424000000000001</c:v>
                </c:pt>
                <c:pt idx="20">
                  <c:v>2.4861900000000001</c:v>
                </c:pt>
                <c:pt idx="21">
                  <c:v>2.4816199999999999</c:v>
                </c:pt>
                <c:pt idx="22">
                  <c:v>2.1947899999999998</c:v>
                </c:pt>
                <c:pt idx="23">
                  <c:v>1.91431</c:v>
                </c:pt>
                <c:pt idx="24">
                  <c:v>2.0491799999999998</c:v>
                </c:pt>
                <c:pt idx="25">
                  <c:v>2.0918600000000001</c:v>
                </c:pt>
                <c:pt idx="26">
                  <c:v>1.81324</c:v>
                </c:pt>
                <c:pt idx="27">
                  <c:v>1.81077</c:v>
                </c:pt>
                <c:pt idx="28">
                  <c:v>1.8995899999999999</c:v>
                </c:pt>
                <c:pt idx="29">
                  <c:v>1.76152</c:v>
                </c:pt>
                <c:pt idx="30">
                  <c:v>1.8485100000000001</c:v>
                </c:pt>
                <c:pt idx="31">
                  <c:v>1.7543899999999999</c:v>
                </c:pt>
                <c:pt idx="32">
                  <c:v>1.8418699999999999</c:v>
                </c:pt>
                <c:pt idx="33">
                  <c:v>1.97309</c:v>
                </c:pt>
                <c:pt idx="34">
                  <c:v>1.7002200000000001</c:v>
                </c:pt>
                <c:pt idx="35">
                  <c:v>1.78891</c:v>
                </c:pt>
                <c:pt idx="36">
                  <c:v>2.0080300000000002</c:v>
                </c:pt>
                <c:pt idx="37">
                  <c:v>1.8708199999999999</c:v>
                </c:pt>
                <c:pt idx="38">
                  <c:v>1.8254699999999999</c:v>
                </c:pt>
                <c:pt idx="39">
                  <c:v>1.8674999999999999</c:v>
                </c:pt>
                <c:pt idx="40">
                  <c:v>1.9973399999999999</c:v>
                </c:pt>
                <c:pt idx="41">
                  <c:v>2.13049</c:v>
                </c:pt>
                <c:pt idx="42">
                  <c:v>2.2576399999999999</c:v>
                </c:pt>
                <c:pt idx="43">
                  <c:v>1.98939</c:v>
                </c:pt>
                <c:pt idx="44">
                  <c:v>1.9850000000000001</c:v>
                </c:pt>
                <c:pt idx="45">
                  <c:v>2.0228700000000002</c:v>
                </c:pt>
                <c:pt idx="46">
                  <c:v>2.0237599999999998</c:v>
                </c:pt>
                <c:pt idx="47">
                  <c:v>2.0210900000000001</c:v>
                </c:pt>
                <c:pt idx="48">
                  <c:v>1.70604</c:v>
                </c:pt>
                <c:pt idx="49">
                  <c:v>1.79274</c:v>
                </c:pt>
                <c:pt idx="50">
                  <c:v>2.1425399999999999</c:v>
                </c:pt>
                <c:pt idx="51">
                  <c:v>2.0951499999999998</c:v>
                </c:pt>
                <c:pt idx="52">
                  <c:v>1.82768</c:v>
                </c:pt>
                <c:pt idx="53">
                  <c:v>1.95567</c:v>
                </c:pt>
                <c:pt idx="54">
                  <c:v>1.7316</c:v>
                </c:pt>
                <c:pt idx="55">
                  <c:v>1.8205499999999999</c:v>
                </c:pt>
                <c:pt idx="56">
                  <c:v>1.9463699999999999</c:v>
                </c:pt>
                <c:pt idx="57">
                  <c:v>1.55172</c:v>
                </c:pt>
                <c:pt idx="58">
                  <c:v>1.89737</c:v>
                </c:pt>
                <c:pt idx="59">
                  <c:v>2.19638</c:v>
                </c:pt>
                <c:pt idx="60">
                  <c:v>2.1505399999999999</c:v>
                </c:pt>
                <c:pt idx="61">
                  <c:v>2.14777</c:v>
                </c:pt>
                <c:pt idx="62">
                  <c:v>1.8835599999999999</c:v>
                </c:pt>
                <c:pt idx="63">
                  <c:v>2.0521600000000002</c:v>
                </c:pt>
                <c:pt idx="64">
                  <c:v>2.09402</c:v>
                </c:pt>
                <c:pt idx="65">
                  <c:v>2.1312899999999999</c:v>
                </c:pt>
                <c:pt idx="66">
                  <c:v>2.0425499999999999</c:v>
                </c:pt>
                <c:pt idx="67">
                  <c:v>2.2562799999999998</c:v>
                </c:pt>
                <c:pt idx="68">
                  <c:v>2.07891</c:v>
                </c:pt>
                <c:pt idx="69">
                  <c:v>2.2495799999999999</c:v>
                </c:pt>
                <c:pt idx="70">
                  <c:v>2.2429100000000002</c:v>
                </c:pt>
                <c:pt idx="71">
                  <c:v>1.8963300000000001</c:v>
                </c:pt>
                <c:pt idx="72">
                  <c:v>2.0210499999999998</c:v>
                </c:pt>
                <c:pt idx="73">
                  <c:v>2.3128700000000002</c:v>
                </c:pt>
                <c:pt idx="74">
                  <c:v>2.1848700000000001</c:v>
                </c:pt>
                <c:pt idx="75">
                  <c:v>1.9690000000000001</c:v>
                </c:pt>
                <c:pt idx="76">
                  <c:v>2.1347800000000001</c:v>
                </c:pt>
                <c:pt idx="77">
                  <c:v>2.0868099999999998</c:v>
                </c:pt>
                <c:pt idx="78">
                  <c:v>2.08507</c:v>
                </c:pt>
                <c:pt idx="79">
                  <c:v>2.16486</c:v>
                </c:pt>
                <c:pt idx="80">
                  <c:v>2.0365799999999998</c:v>
                </c:pt>
                <c:pt idx="81">
                  <c:v>2.0340400000000001</c:v>
                </c:pt>
                <c:pt idx="82">
                  <c:v>2.0695399999999999</c:v>
                </c:pt>
                <c:pt idx="83">
                  <c:v>1.81969</c:v>
                </c:pt>
                <c:pt idx="84">
                  <c:v>2.1461000000000001</c:v>
                </c:pt>
                <c:pt idx="85">
                  <c:v>1.8906700000000001</c:v>
                </c:pt>
                <c:pt idx="86">
                  <c:v>2.2203900000000001</c:v>
                </c:pt>
                <c:pt idx="87">
                  <c:v>2.2596500000000002</c:v>
                </c:pt>
                <c:pt idx="88">
                  <c:v>2.3360699999999999</c:v>
                </c:pt>
                <c:pt idx="89">
                  <c:v>2.0850399999999998</c:v>
                </c:pt>
                <c:pt idx="90">
                  <c:v>2.12418</c:v>
                </c:pt>
                <c:pt idx="91">
                  <c:v>2.2412399999999999</c:v>
                </c:pt>
                <c:pt idx="92">
                  <c:v>2.2810600000000001</c:v>
                </c:pt>
                <c:pt idx="93">
                  <c:v>2.48169</c:v>
                </c:pt>
                <c:pt idx="94">
                  <c:v>2.3925399999999999</c:v>
                </c:pt>
                <c:pt idx="95">
                  <c:v>2.5182799999999999</c:v>
                </c:pt>
                <c:pt idx="96">
                  <c:v>2.5454500000000002</c:v>
                </c:pt>
                <c:pt idx="97">
                  <c:v>2.3799899999999998</c:v>
                </c:pt>
                <c:pt idx="98">
                  <c:v>2.3732899999999999</c:v>
                </c:pt>
                <c:pt idx="99">
                  <c:v>2.57131</c:v>
                </c:pt>
                <c:pt idx="100">
                  <c:v>2.44293</c:v>
                </c:pt>
                <c:pt idx="101">
                  <c:v>2.6031200000000001</c:v>
                </c:pt>
                <c:pt idx="102">
                  <c:v>2.76</c:v>
                </c:pt>
                <c:pt idx="103">
                  <c:v>2.5109599999999999</c:v>
                </c:pt>
                <c:pt idx="104">
                  <c:v>2.6284299999999998</c:v>
                </c:pt>
                <c:pt idx="105">
                  <c:v>2.77888</c:v>
                </c:pt>
                <c:pt idx="106">
                  <c:v>2.5742600000000002</c:v>
                </c:pt>
                <c:pt idx="107">
                  <c:v>2.69414</c:v>
                </c:pt>
                <c:pt idx="108">
                  <c:v>2.4428700000000001</c:v>
                </c:pt>
                <c:pt idx="109">
                  <c:v>2.6792799999999999</c:v>
                </c:pt>
                <c:pt idx="110">
                  <c:v>2.5933199999999998</c:v>
                </c:pt>
                <c:pt idx="111">
                  <c:v>2.50685</c:v>
                </c:pt>
                <c:pt idx="112">
                  <c:v>2.46286</c:v>
                </c:pt>
                <c:pt idx="113">
                  <c:v>2.4980500000000001</c:v>
                </c:pt>
                <c:pt idx="114">
                  <c:v>2.6080199999999998</c:v>
                </c:pt>
                <c:pt idx="115">
                  <c:v>2.5661</c:v>
                </c:pt>
                <c:pt idx="116">
                  <c:v>2.7939500000000002</c:v>
                </c:pt>
                <c:pt idx="117">
                  <c:v>2.3174999999999999</c:v>
                </c:pt>
                <c:pt idx="118">
                  <c:v>2.3938199999999998</c:v>
                </c:pt>
                <c:pt idx="119">
                  <c:v>2.6620400000000002</c:v>
                </c:pt>
                <c:pt idx="120">
                  <c:v>2.80769</c:v>
                </c:pt>
                <c:pt idx="121">
                  <c:v>2.6477400000000002</c:v>
                </c:pt>
                <c:pt idx="122">
                  <c:v>2.8724599999999998</c:v>
                </c:pt>
                <c:pt idx="123">
                  <c:v>2.8658800000000002</c:v>
                </c:pt>
                <c:pt idx="124">
                  <c:v>2.9378099999999998</c:v>
                </c:pt>
                <c:pt idx="125">
                  <c:v>2.93222</c:v>
                </c:pt>
                <c:pt idx="126">
                  <c:v>2.7693500000000002</c:v>
                </c:pt>
                <c:pt idx="127">
                  <c:v>3.1084200000000002</c:v>
                </c:pt>
                <c:pt idx="128">
                  <c:v>3.1332599999999999</c:v>
                </c:pt>
                <c:pt idx="129">
                  <c:v>3.2842600000000002</c:v>
                </c:pt>
                <c:pt idx="130">
                  <c:v>3.4690799999999999</c:v>
                </c:pt>
                <c:pt idx="131">
                  <c:v>3.57009</c:v>
                </c:pt>
                <c:pt idx="132">
                  <c:v>3.2173600000000002</c:v>
                </c:pt>
                <c:pt idx="133">
                  <c:v>3.5514000000000001</c:v>
                </c:pt>
                <c:pt idx="134">
                  <c:v>3.4624000000000001</c:v>
                </c:pt>
                <c:pt idx="135">
                  <c:v>3.1203599999999998</c:v>
                </c:pt>
                <c:pt idx="136">
                  <c:v>3.2616800000000001</c:v>
                </c:pt>
                <c:pt idx="137">
                  <c:v>3.3666299999999998</c:v>
                </c:pt>
                <c:pt idx="138">
                  <c:v>3.4329999999999998</c:v>
                </c:pt>
                <c:pt idx="139">
                  <c:v>3.4191199999999999</c:v>
                </c:pt>
                <c:pt idx="140">
                  <c:v>3.1112700000000002</c:v>
                </c:pt>
                <c:pt idx="141">
                  <c:v>3.21637</c:v>
                </c:pt>
                <c:pt idx="142">
                  <c:v>3.3163299999999998</c:v>
                </c:pt>
                <c:pt idx="143">
                  <c:v>2.9390399999999999</c:v>
                </c:pt>
                <c:pt idx="144">
                  <c:v>3.0445799999999998</c:v>
                </c:pt>
                <c:pt idx="145">
                  <c:v>3.0685899999999999</c:v>
                </c:pt>
                <c:pt idx="146">
                  <c:v>3.6343999999999999</c:v>
                </c:pt>
                <c:pt idx="147">
                  <c:v>8.1051900000000003</c:v>
                </c:pt>
                <c:pt idx="148">
                  <c:v>6.67624</c:v>
                </c:pt>
                <c:pt idx="149">
                  <c:v>5.1181099999999997</c:v>
                </c:pt>
                <c:pt idx="150">
                  <c:v>4.8893599999999999</c:v>
                </c:pt>
                <c:pt idx="151">
                  <c:v>4.79915</c:v>
                </c:pt>
                <c:pt idx="152">
                  <c:v>4.7923299999999998</c:v>
                </c:pt>
                <c:pt idx="153">
                  <c:v>4.6033999999999997</c:v>
                </c:pt>
                <c:pt idx="154">
                  <c:v>4.5502599999999997</c:v>
                </c:pt>
                <c:pt idx="155">
                  <c:v>5.4635199999999999</c:v>
                </c:pt>
                <c:pt idx="156">
                  <c:v>5.2409400000000002</c:v>
                </c:pt>
                <c:pt idx="157">
                  <c:v>5.2539400000000001</c:v>
                </c:pt>
                <c:pt idx="158">
                  <c:v>4.3402799999999999</c:v>
                </c:pt>
                <c:pt idx="159">
                  <c:v>0.63312000000000002</c:v>
                </c:pt>
                <c:pt idx="160">
                  <c:v>2.2207300000000001</c:v>
                </c:pt>
                <c:pt idx="161">
                  <c:v>3.9496099999999998</c:v>
                </c:pt>
                <c:pt idx="162">
                  <c:v>4.3212000000000002</c:v>
                </c:pt>
                <c:pt idx="163">
                  <c:v>4.40977</c:v>
                </c:pt>
                <c:pt idx="164">
                  <c:v>4.87805</c:v>
                </c:pt>
                <c:pt idx="165">
                  <c:v>5.4163800000000002</c:v>
                </c:pt>
                <c:pt idx="166">
                  <c:v>5.39811</c:v>
                </c:pt>
                <c:pt idx="167">
                  <c:v>5.0133700000000001</c:v>
                </c:pt>
                <c:pt idx="168">
                  <c:v>5.7152399999999997</c:v>
                </c:pt>
                <c:pt idx="169">
                  <c:v>5.2579000000000002</c:v>
                </c:pt>
                <c:pt idx="170">
                  <c:v>5.9234600000000004</c:v>
                </c:pt>
                <c:pt idx="171">
                  <c:v>5.76159</c:v>
                </c:pt>
                <c:pt idx="172">
                  <c:v>5.5299500000000004</c:v>
                </c:pt>
                <c:pt idx="173">
                  <c:v>5.4045199999999998</c:v>
                </c:pt>
                <c:pt idx="174">
                  <c:v>5.4468399999999999</c:v>
                </c:pt>
                <c:pt idx="175">
                  <c:v>5.3606199999999999</c:v>
                </c:pt>
                <c:pt idx="176">
                  <c:v>5.0710600000000001</c:v>
                </c:pt>
                <c:pt idx="177">
                  <c:v>4.8811799999999996</c:v>
                </c:pt>
                <c:pt idx="178">
                  <c:v>4.9935999999999998</c:v>
                </c:pt>
                <c:pt idx="179">
                  <c:v>4.7740299999999998</c:v>
                </c:pt>
                <c:pt idx="180">
                  <c:v>4.3945600000000002</c:v>
                </c:pt>
                <c:pt idx="181">
                  <c:v>4.6158700000000001</c:v>
                </c:pt>
                <c:pt idx="182">
                  <c:v>4.3</c:v>
                </c:pt>
                <c:pt idx="183">
                  <c:v>4.4000000000000004</c:v>
                </c:pt>
                <c:pt idx="184">
                  <c:v>4.4000000000000004</c:v>
                </c:pt>
                <c:pt idx="185">
                  <c:v>4.4000000000000004</c:v>
                </c:pt>
                <c:pt idx="186">
                  <c:v>4.4000000000000004</c:v>
                </c:pt>
                <c:pt idx="187">
                  <c:v>4.3</c:v>
                </c:pt>
                <c:pt idx="188">
                  <c:v>4.3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554-4886-91CF-07E8B07512A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28998512"/>
        <c:axId val="1229000176"/>
      </c:scatterChart>
      <c:valAx>
        <c:axId val="1228998512"/>
        <c:scaling>
          <c:orientation val="minMax"/>
          <c:max val="2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r>
                  <a:rPr lang="pt-BR"/>
                  <a:t>JOLTS/Unemployment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 Nova" panose="020B05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.00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crossBetween val="midCat"/>
      </c:valAx>
      <c:valAx>
        <c:axId val="1229000176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r>
                  <a:rPr lang="pt-BR"/>
                  <a:t>Inflação</a:t>
                </a:r>
                <a:r>
                  <a:rPr lang="pt-BR" baseline="0"/>
                  <a:t> Salarial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1" i="0" u="none" strike="noStrike" kern="1200" baseline="0">
                  <a:solidFill>
                    <a:sysClr val="windowText" lastClr="000000"/>
                  </a:solidFill>
                  <a:latin typeface="Arial Nova" panose="020B05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0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80" b="1" i="0" u="none" strike="noStrike" kern="1200" spc="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r>
              <a:rPr lang="pt-BR"/>
              <a:t>Initial</a:t>
            </a:r>
            <a:r>
              <a:rPr lang="pt-BR" baseline="0"/>
              <a:t> Claims</a:t>
            </a:r>
            <a:endParaRPr lang="pt-BR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80" b="1" i="0" u="none" strike="noStrike" kern="1200" spc="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9"/>
          <c:order val="0"/>
          <c:tx>
            <c:v>2013</c:v>
          </c:tx>
          <c:spPr>
            <a:ln w="28575" cap="rnd">
              <a:solidFill>
                <a:schemeClr val="accent4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Market'!$K$783:$K$794</c:f>
              <c:numCache>
                <c:formatCode>#,##0</c:formatCode>
                <c:ptCount val="12"/>
                <c:pt idx="0">
                  <c:v>366000</c:v>
                </c:pt>
                <c:pt idx="1">
                  <c:v>342000</c:v>
                </c:pt>
                <c:pt idx="2">
                  <c:v>375000</c:v>
                </c:pt>
                <c:pt idx="3">
                  <c:v>331000</c:v>
                </c:pt>
                <c:pt idx="4">
                  <c:v>353000</c:v>
                </c:pt>
                <c:pt idx="5">
                  <c:v>340000</c:v>
                </c:pt>
                <c:pt idx="6">
                  <c:v>334000</c:v>
                </c:pt>
                <c:pt idx="7">
                  <c:v>325000</c:v>
                </c:pt>
                <c:pt idx="8">
                  <c:v>319000</c:v>
                </c:pt>
                <c:pt idx="9">
                  <c:v>347000</c:v>
                </c:pt>
                <c:pt idx="10">
                  <c:v>312000</c:v>
                </c:pt>
                <c:pt idx="11">
                  <c:v>332000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D9A-49E6-B72D-1D6244DBB86F}"/>
            </c:ext>
          </c:extLst>
        </c:ser>
        <c:ser>
          <c:idx val="5"/>
          <c:order val="1"/>
          <c:tx>
            <c:v>2014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Market'!$K$795:$K$806</c:f>
              <c:numCache>
                <c:formatCode>#,##0</c:formatCode>
                <c:ptCount val="12"/>
                <c:pt idx="0">
                  <c:v>340000</c:v>
                </c:pt>
                <c:pt idx="1">
                  <c:v>341000</c:v>
                </c:pt>
                <c:pt idx="2">
                  <c:v>330000</c:v>
                </c:pt>
                <c:pt idx="3">
                  <c:v>345000</c:v>
                </c:pt>
                <c:pt idx="4">
                  <c:v>312000</c:v>
                </c:pt>
                <c:pt idx="5">
                  <c:v>308000</c:v>
                </c:pt>
                <c:pt idx="6">
                  <c:v>303000</c:v>
                </c:pt>
                <c:pt idx="7">
                  <c:v>303000</c:v>
                </c:pt>
                <c:pt idx="8">
                  <c:v>290000</c:v>
                </c:pt>
                <c:pt idx="9">
                  <c:v>291000</c:v>
                </c:pt>
                <c:pt idx="10">
                  <c:v>291000</c:v>
                </c:pt>
                <c:pt idx="11">
                  <c:v>285000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9A-49E6-B72D-1D6244DBB86F}"/>
            </c:ext>
          </c:extLst>
        </c:ser>
        <c:ser>
          <c:idx val="1"/>
          <c:order val="2"/>
          <c:tx>
            <c:v>2015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'Labor Market'!$A$879:$A$914</c:f>
              <c:numCache>
                <c:formatCode>[$-416]mmm\-yy;@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'Labor Market'!$K$807:$K$818</c:f>
              <c:numCache>
                <c:formatCode>#,##0</c:formatCode>
                <c:ptCount val="12"/>
                <c:pt idx="0">
                  <c:v>281000</c:v>
                </c:pt>
                <c:pt idx="1">
                  <c:v>317000</c:v>
                </c:pt>
                <c:pt idx="2">
                  <c:v>269000</c:v>
                </c:pt>
                <c:pt idx="3">
                  <c:v>269000</c:v>
                </c:pt>
                <c:pt idx="4">
                  <c:v>275000</c:v>
                </c:pt>
                <c:pt idx="5">
                  <c:v>275000</c:v>
                </c:pt>
                <c:pt idx="6">
                  <c:v>269000</c:v>
                </c:pt>
                <c:pt idx="7">
                  <c:v>279000</c:v>
                </c:pt>
                <c:pt idx="8">
                  <c:v>272000</c:v>
                </c:pt>
                <c:pt idx="9">
                  <c:v>275000</c:v>
                </c:pt>
                <c:pt idx="10">
                  <c:v>265000</c:v>
                </c:pt>
                <c:pt idx="11">
                  <c:v>276000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D9A-49E6-B72D-1D6244DBB86F}"/>
            </c:ext>
          </c:extLst>
        </c:ser>
        <c:ser>
          <c:idx val="0"/>
          <c:order val="3"/>
          <c:tx>
            <c:v>2016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'Labor Market'!$A$879:$A$914</c:f>
              <c:numCache>
                <c:formatCode>[$-416]mmm\-yy;@</c:formatCode>
                <c:ptCount val="36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  <c:pt idx="12">
                  <c:v>44562</c:v>
                </c:pt>
                <c:pt idx="13">
                  <c:v>44593</c:v>
                </c:pt>
                <c:pt idx="14">
                  <c:v>44621</c:v>
                </c:pt>
                <c:pt idx="15">
                  <c:v>44652</c:v>
                </c:pt>
                <c:pt idx="16">
                  <c:v>44682</c:v>
                </c:pt>
                <c:pt idx="17">
                  <c:v>44713</c:v>
                </c:pt>
                <c:pt idx="18">
                  <c:v>44743</c:v>
                </c:pt>
                <c:pt idx="19">
                  <c:v>44774</c:v>
                </c:pt>
                <c:pt idx="20">
                  <c:v>44805</c:v>
                </c:pt>
                <c:pt idx="21">
                  <c:v>44835</c:v>
                </c:pt>
                <c:pt idx="22">
                  <c:v>44866</c:v>
                </c:pt>
                <c:pt idx="23">
                  <c:v>44896</c:v>
                </c:pt>
                <c:pt idx="24">
                  <c:v>44927</c:v>
                </c:pt>
                <c:pt idx="25">
                  <c:v>44958</c:v>
                </c:pt>
                <c:pt idx="26">
                  <c:v>44986</c:v>
                </c:pt>
                <c:pt idx="27">
                  <c:v>45017</c:v>
                </c:pt>
                <c:pt idx="28">
                  <c:v>45047</c:v>
                </c:pt>
                <c:pt idx="29">
                  <c:v>45078</c:v>
                </c:pt>
                <c:pt idx="30">
                  <c:v>45108</c:v>
                </c:pt>
                <c:pt idx="31">
                  <c:v>45139</c:v>
                </c:pt>
                <c:pt idx="32">
                  <c:v>45170</c:v>
                </c:pt>
                <c:pt idx="33">
                  <c:v>45200</c:v>
                </c:pt>
                <c:pt idx="34">
                  <c:v>45231</c:v>
                </c:pt>
                <c:pt idx="35">
                  <c:v>45261</c:v>
                </c:pt>
              </c:numCache>
            </c:numRef>
          </c:cat>
          <c:val>
            <c:numRef>
              <c:f>'Labor Market'!$L$819:$L$830</c:f>
              <c:numCache>
                <c:formatCode>#,##0.00</c:formatCode>
                <c:ptCount val="12"/>
                <c:pt idx="0">
                  <c:v>29.1</c:v>
                </c:pt>
                <c:pt idx="1">
                  <c:v>29.4</c:v>
                </c:pt>
                <c:pt idx="2">
                  <c:v>28.3</c:v>
                </c:pt>
                <c:pt idx="3">
                  <c:v>27.9</c:v>
                </c:pt>
                <c:pt idx="4">
                  <c:v>26.9</c:v>
                </c:pt>
                <c:pt idx="5">
                  <c:v>28</c:v>
                </c:pt>
                <c:pt idx="6">
                  <c:v>27.8</c:v>
                </c:pt>
                <c:pt idx="7">
                  <c:v>27.2</c:v>
                </c:pt>
                <c:pt idx="8">
                  <c:v>26.5</c:v>
                </c:pt>
                <c:pt idx="9">
                  <c:v>26.6</c:v>
                </c:pt>
                <c:pt idx="10">
                  <c:v>25.9</c:v>
                </c:pt>
                <c:pt idx="11">
                  <c:v>26.3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D9A-49E6-B72D-1D6244DBB86F}"/>
            </c:ext>
          </c:extLst>
        </c:ser>
        <c:ser>
          <c:idx val="2"/>
          <c:order val="4"/>
          <c:tx>
            <c:v>2017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Market'!$K$831:$K$842</c:f>
              <c:numCache>
                <c:formatCode>#,##0</c:formatCode>
                <c:ptCount val="12"/>
                <c:pt idx="0">
                  <c:v>241000</c:v>
                </c:pt>
                <c:pt idx="1">
                  <c:v>221000</c:v>
                </c:pt>
                <c:pt idx="2">
                  <c:v>236000</c:v>
                </c:pt>
                <c:pt idx="3">
                  <c:v>232000</c:v>
                </c:pt>
                <c:pt idx="4">
                  <c:v>253000</c:v>
                </c:pt>
                <c:pt idx="5">
                  <c:v>247000</c:v>
                </c:pt>
                <c:pt idx="6">
                  <c:v>245000</c:v>
                </c:pt>
                <c:pt idx="7">
                  <c:v>247000</c:v>
                </c:pt>
                <c:pt idx="8">
                  <c:v>260000</c:v>
                </c:pt>
                <c:pt idx="9">
                  <c:v>241000</c:v>
                </c:pt>
                <c:pt idx="10">
                  <c:v>243000</c:v>
                </c:pt>
                <c:pt idx="11">
                  <c:v>248000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9A-49E6-B72D-1D6244DBB86F}"/>
            </c:ext>
          </c:extLst>
        </c:ser>
        <c:ser>
          <c:idx val="3"/>
          <c:order val="5"/>
          <c:tx>
            <c:v>2018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Market'!$K$843:$K$854</c:f>
              <c:numCache>
                <c:formatCode>#,##0</c:formatCode>
                <c:ptCount val="12"/>
                <c:pt idx="0">
                  <c:v>228000</c:v>
                </c:pt>
                <c:pt idx="1">
                  <c:v>216000</c:v>
                </c:pt>
                <c:pt idx="2">
                  <c:v>232000</c:v>
                </c:pt>
                <c:pt idx="3">
                  <c:v>209000</c:v>
                </c:pt>
                <c:pt idx="4">
                  <c:v>222000</c:v>
                </c:pt>
                <c:pt idx="5">
                  <c:v>228000</c:v>
                </c:pt>
                <c:pt idx="6">
                  <c:v>207000</c:v>
                </c:pt>
                <c:pt idx="7">
                  <c:v>211000</c:v>
                </c:pt>
                <c:pt idx="8">
                  <c:v>210000</c:v>
                </c:pt>
                <c:pt idx="9">
                  <c:v>216000</c:v>
                </c:pt>
                <c:pt idx="10">
                  <c:v>237000</c:v>
                </c:pt>
                <c:pt idx="11">
                  <c:v>238000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D9A-49E6-B72D-1D6244DBB86F}"/>
            </c:ext>
          </c:extLst>
        </c:ser>
        <c:ser>
          <c:idx val="4"/>
          <c:order val="6"/>
          <c:tx>
            <c:v>2019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Market'!$K$855:$K$866</c:f>
              <c:numCache>
                <c:formatCode>#,##0</c:formatCode>
                <c:ptCount val="12"/>
                <c:pt idx="0">
                  <c:v>235000</c:v>
                </c:pt>
                <c:pt idx="1">
                  <c:v>225000</c:v>
                </c:pt>
                <c:pt idx="2">
                  <c:v>206000</c:v>
                </c:pt>
                <c:pt idx="3">
                  <c:v>225000</c:v>
                </c:pt>
                <c:pt idx="4">
                  <c:v>221000</c:v>
                </c:pt>
                <c:pt idx="5">
                  <c:v>223000</c:v>
                </c:pt>
                <c:pt idx="6">
                  <c:v>200000</c:v>
                </c:pt>
                <c:pt idx="7">
                  <c:v>207000</c:v>
                </c:pt>
                <c:pt idx="8">
                  <c:v>209000</c:v>
                </c:pt>
                <c:pt idx="9">
                  <c:v>217000</c:v>
                </c:pt>
                <c:pt idx="10">
                  <c:v>229000</c:v>
                </c:pt>
                <c:pt idx="11">
                  <c:v>233000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D9A-49E6-B72D-1D6244DBB86F}"/>
            </c:ext>
          </c:extLst>
        </c:ser>
        <c:ser>
          <c:idx val="6"/>
          <c:order val="7"/>
          <c:tx>
            <c:v>2021</c:v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Market'!$K$879:$K$890</c:f>
              <c:numCache>
                <c:formatCode>#,##0</c:formatCode>
                <c:ptCount val="12"/>
                <c:pt idx="0">
                  <c:v>803000</c:v>
                </c:pt>
                <c:pt idx="1">
                  <c:v>704000</c:v>
                </c:pt>
                <c:pt idx="2">
                  <c:v>658000</c:v>
                </c:pt>
                <c:pt idx="3">
                  <c:v>574000</c:v>
                </c:pt>
                <c:pt idx="4">
                  <c:v>427000</c:v>
                </c:pt>
                <c:pt idx="5">
                  <c:v>372000</c:v>
                </c:pt>
                <c:pt idx="6">
                  <c:v>365000</c:v>
                </c:pt>
                <c:pt idx="7">
                  <c:v>343000</c:v>
                </c:pt>
                <c:pt idx="8">
                  <c:v>356000</c:v>
                </c:pt>
                <c:pt idx="9">
                  <c:v>264000</c:v>
                </c:pt>
                <c:pt idx="10">
                  <c:v>225000</c:v>
                </c:pt>
                <c:pt idx="11">
                  <c:v>203000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D9A-49E6-B72D-1D6244DBB86F}"/>
            </c:ext>
          </c:extLst>
        </c:ser>
        <c:ser>
          <c:idx val="7"/>
          <c:order val="8"/>
          <c:tx>
            <c:v>2022</c:v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Market'!$K$891:$K$902</c:f>
              <c:numCache>
                <c:formatCode>#,##0</c:formatCode>
                <c:ptCount val="12"/>
                <c:pt idx="0">
                  <c:v>233000</c:v>
                </c:pt>
                <c:pt idx="1">
                  <c:v>213000</c:v>
                </c:pt>
                <c:pt idx="2">
                  <c:v>214000</c:v>
                </c:pt>
                <c:pt idx="3">
                  <c:v>218000</c:v>
                </c:pt>
                <c:pt idx="4">
                  <c:v>202000</c:v>
                </c:pt>
                <c:pt idx="5">
                  <c:v>213000</c:v>
                </c:pt>
                <c:pt idx="6">
                  <c:v>218000</c:v>
                </c:pt>
                <c:pt idx="7">
                  <c:v>206000</c:v>
                </c:pt>
                <c:pt idx="8">
                  <c:v>182000</c:v>
                </c:pt>
                <c:pt idx="9">
                  <c:v>204000</c:v>
                </c:pt>
                <c:pt idx="10">
                  <c:v>213000</c:v>
                </c:pt>
                <c:pt idx="11">
                  <c:v>206000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D9A-49E6-B72D-1D6244DBB86F}"/>
            </c:ext>
          </c:extLst>
        </c:ser>
        <c:ser>
          <c:idx val="8"/>
          <c:order val="9"/>
          <c:tx>
            <c:v>2023</c:v>
          </c:tx>
          <c:spPr>
            <a:ln w="57150" cap="rnd">
              <a:solidFill>
                <a:schemeClr val="accent3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'Labor Market'!$K$903:$K$914</c:f>
              <c:numCache>
                <c:formatCode>#,##0</c:formatCode>
                <c:ptCount val="12"/>
                <c:pt idx="0">
                  <c:v>199000</c:v>
                </c:pt>
                <c:pt idx="1">
                  <c:v>221000</c:v>
                </c:pt>
                <c:pt idx="2">
                  <c:v>246000</c:v>
                </c:pt>
                <c:pt idx="3">
                  <c:v>242000</c:v>
                </c:pt>
                <c:pt idx="4">
                  <c:v>233000</c:v>
                </c:pt>
                <c:pt idx="5">
                  <c:v>236000</c:v>
                </c:pt>
                <c:pt idx="6">
                  <c:v>227000</c:v>
                </c:pt>
                <c:pt idx="7">
                  <c:v>229000</c:v>
                </c:pt>
                <c:pt idx="8">
                  <c:v>209000</c:v>
                </c:pt>
                <c:pt idx="9">
                  <c:v>220000</c:v>
                </c:pt>
                <c:pt idx="10">
                  <c:v>219000</c:v>
                </c:pt>
                <c:pt idx="11">
                  <c:v>203000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9A-49E6-B72D-1D6244DBB86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0"/>
      </c:catAx>
      <c:valAx>
        <c:axId val="1229000176"/>
        <c:scaling>
          <c:orientation val="minMax"/>
          <c:max val="400000"/>
          <c:min val="180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Inflation!$Q$2</c:f>
              <c:strCache>
                <c:ptCount val="1"/>
                <c:pt idx="0">
                  <c:v>Monthly Durable Goods CPI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Activity'!$A$531:$A$554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Inflation!$Q$903:$Q$926</c:f>
              <c:numCache>
                <c:formatCode>0.00%</c:formatCode>
                <c:ptCount val="24"/>
                <c:pt idx="0">
                  <c:v>1.0942634308563237E-2</c:v>
                </c:pt>
                <c:pt idx="1">
                  <c:v>4.9578232571254599E-3</c:v>
                </c:pt>
                <c:pt idx="2">
                  <c:v>-4.4501597693087369E-3</c:v>
                </c:pt>
                <c:pt idx="3">
                  <c:v>-3.8359467351400944E-4</c:v>
                </c:pt>
                <c:pt idx="4">
                  <c:v>1.5193045657451165E-3</c:v>
                </c:pt>
                <c:pt idx="5">
                  <c:v>4.6761127271590652E-3</c:v>
                </c:pt>
                <c:pt idx="6">
                  <c:v>3.3000731619994284E-3</c:v>
                </c:pt>
                <c:pt idx="7">
                  <c:v>3.0099452314089614E-3</c:v>
                </c:pt>
                <c:pt idx="8">
                  <c:v>-1.1988181972868439E-3</c:v>
                </c:pt>
                <c:pt idx="9">
                  <c:v>-6.4039523304346702E-3</c:v>
                </c:pt>
                <c:pt idx="10">
                  <c:v>-8.4481576158116356E-3</c:v>
                </c:pt>
                <c:pt idx="11">
                  <c:v>-8.4886974565346884E-3</c:v>
                </c:pt>
                <c:pt idx="12">
                  <c:v>-5.628309604591708E-4</c:v>
                </c:pt>
                <c:pt idx="13">
                  <c:v>-4.4417300538557303E-4</c:v>
                </c:pt>
                <c:pt idx="14">
                  <c:v>3.7374723260408249E-3</c:v>
                </c:pt>
                <c:pt idx="15">
                  <c:v>7.7554311735128501E-3</c:v>
                </c:pt>
                <c:pt idx="16">
                  <c:v>2.7299898802100042E-3</c:v>
                </c:pt>
                <c:pt idx="17">
                  <c:v>-3.1528465588596122E-3</c:v>
                </c:pt>
                <c:pt idx="18">
                  <c:v>-2.5506600323345063E-3</c:v>
                </c:pt>
                <c:pt idx="19">
                  <c:v>-2.7538888845176634E-3</c:v>
                </c:pt>
                <c:pt idx="20">
                  <c:v>-3.5741618866523828E-3</c:v>
                </c:pt>
                <c:pt idx="21">
                  <c:v>-4.9885184891915735E-3</c:v>
                </c:pt>
                <c:pt idx="22">
                  <c:v>-3.7243355085150309E-3</c:v>
                </c:pt>
                <c:pt idx="23">
                  <c:v>-4.9044667390887309E-3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C3-4511-9AC0-E2818151828C}"/>
            </c:ext>
          </c:extLst>
        </c:ser>
        <c:ser>
          <c:idx val="0"/>
          <c:order val="1"/>
          <c:tx>
            <c:strRef>
              <c:f>Inflation!$N$2</c:f>
              <c:strCache>
                <c:ptCount val="1"/>
                <c:pt idx="0">
                  <c:v>Monthly Core-Services CPI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Activity'!$A$531:$A$554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Inflation!$N$903:$N$926</c:f>
              <c:numCache>
                <c:formatCode>0.00%</c:formatCode>
                <c:ptCount val="24"/>
                <c:pt idx="0">
                  <c:v>4.1673024901158762E-3</c:v>
                </c:pt>
                <c:pt idx="1">
                  <c:v>5.3077001715815531E-3</c:v>
                </c:pt>
                <c:pt idx="2">
                  <c:v>5.8898221235239578E-3</c:v>
                </c:pt>
                <c:pt idx="3">
                  <c:v>6.2460552308662987E-3</c:v>
                </c:pt>
                <c:pt idx="4">
                  <c:v>6.4788189324884726E-3</c:v>
                </c:pt>
                <c:pt idx="5">
                  <c:v>6.4209268257149343E-3</c:v>
                </c:pt>
                <c:pt idx="6">
                  <c:v>3.8467415284564321E-3</c:v>
                </c:pt>
                <c:pt idx="7">
                  <c:v>6.0697824705322478E-3</c:v>
                </c:pt>
                <c:pt idx="8">
                  <c:v>7.6735031891090877E-3</c:v>
                </c:pt>
                <c:pt idx="9">
                  <c:v>5.0547621179952706E-3</c:v>
                </c:pt>
                <c:pt idx="10">
                  <c:v>4.9245074837314107E-3</c:v>
                </c:pt>
                <c:pt idx="11">
                  <c:v>6.0948257876070056E-3</c:v>
                </c:pt>
                <c:pt idx="12">
                  <c:v>5.4539280465137896E-3</c:v>
                </c:pt>
                <c:pt idx="13">
                  <c:v>6.2184020356759184E-3</c:v>
                </c:pt>
                <c:pt idx="14">
                  <c:v>4.4991839464196826E-3</c:v>
                </c:pt>
                <c:pt idx="15">
                  <c:v>3.5862864080764556E-3</c:v>
                </c:pt>
                <c:pt idx="16">
                  <c:v>3.9547089247817802E-3</c:v>
                </c:pt>
                <c:pt idx="17">
                  <c:v>2.5442329454117285E-3</c:v>
                </c:pt>
                <c:pt idx="18">
                  <c:v>3.5200597955638013E-3</c:v>
                </c:pt>
                <c:pt idx="19">
                  <c:v>3.8700586296267492E-3</c:v>
                </c:pt>
                <c:pt idx="20">
                  <c:v>5.7200437149704797E-3</c:v>
                </c:pt>
                <c:pt idx="21">
                  <c:v>3.3671460259701025E-3</c:v>
                </c:pt>
                <c:pt idx="22">
                  <c:v>4.7071272613461446E-3</c:v>
                </c:pt>
                <c:pt idx="23">
                  <c:v>4.3587258576527343E-3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C9B-4068-A719-B19098F68923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3"/>
          <c:order val="2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74-4F39-BD68-C9D70C8326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95378368"/>
        <c:axId val="2129538400"/>
      </c:areaChart>
      <c:lineChart>
        <c:grouping val="standard"/>
        <c:varyColors val="0"/>
        <c:ser>
          <c:idx val="1"/>
          <c:order val="0"/>
          <c:tx>
            <c:strRef>
              <c:f>Inflation!$D$2</c:f>
              <c:strCache>
                <c:ptCount val="1"/>
                <c:pt idx="0">
                  <c:v>Annual CPI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numRef>
              <c:f>Inflation!$A$639:$A$926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Inflation!$D$639:$D$926</c:f>
              <c:numCache>
                <c:formatCode>0.00%</c:formatCode>
                <c:ptCount val="288"/>
                <c:pt idx="0">
                  <c:v>2.7929568913175551E-2</c:v>
                </c:pt>
                <c:pt idx="1">
                  <c:v>3.2179720704310855E-2</c:v>
                </c:pt>
                <c:pt idx="2">
                  <c:v>3.762135922330101E-2</c:v>
                </c:pt>
                <c:pt idx="3">
                  <c:v>3.0138637733574392E-2</c:v>
                </c:pt>
                <c:pt idx="4">
                  <c:v>3.1325301204819134E-2</c:v>
                </c:pt>
                <c:pt idx="5">
                  <c:v>3.7349397590361377E-2</c:v>
                </c:pt>
                <c:pt idx="6">
                  <c:v>3.5992801439711952E-2</c:v>
                </c:pt>
                <c:pt idx="7">
                  <c:v>3.3512866546977715E-2</c:v>
                </c:pt>
                <c:pt idx="8">
                  <c:v>3.4564958283670899E-2</c:v>
                </c:pt>
                <c:pt idx="9">
                  <c:v>3.4503271861986873E-2</c:v>
                </c:pt>
                <c:pt idx="10">
                  <c:v>3.444180522565321E-2</c:v>
                </c:pt>
                <c:pt idx="11">
                  <c:v>3.4360189573459543E-2</c:v>
                </c:pt>
                <c:pt idx="12">
                  <c:v>3.7212049616065945E-2</c:v>
                </c:pt>
                <c:pt idx="13">
                  <c:v>3.529411764705892E-2</c:v>
                </c:pt>
                <c:pt idx="14">
                  <c:v>2.9824561403508643E-2</c:v>
                </c:pt>
                <c:pt idx="15">
                  <c:v>3.2182562902282053E-2</c:v>
                </c:pt>
                <c:pt idx="16">
                  <c:v>3.5630841121495394E-2</c:v>
                </c:pt>
                <c:pt idx="17">
                  <c:v>3.1939605110336888E-2</c:v>
                </c:pt>
                <c:pt idx="18">
                  <c:v>2.7214823393167498E-2</c:v>
                </c:pt>
                <c:pt idx="19">
                  <c:v>2.7214823393167498E-2</c:v>
                </c:pt>
                <c:pt idx="20">
                  <c:v>2.5921658986175045E-2</c:v>
                </c:pt>
                <c:pt idx="21">
                  <c:v>2.1276595744680771E-2</c:v>
                </c:pt>
                <c:pt idx="22">
                  <c:v>1.8943742824339971E-2</c:v>
                </c:pt>
                <c:pt idx="23">
                  <c:v>1.6036655211913109E-2</c:v>
                </c:pt>
                <c:pt idx="24">
                  <c:v>1.1958997722095743E-2</c:v>
                </c:pt>
                <c:pt idx="25">
                  <c:v>1.1363636363636465E-2</c:v>
                </c:pt>
                <c:pt idx="26">
                  <c:v>1.3628620102214661E-2</c:v>
                </c:pt>
                <c:pt idx="27">
                  <c:v>1.6439909297052191E-2</c:v>
                </c:pt>
                <c:pt idx="28">
                  <c:v>1.2408347433727984E-2</c:v>
                </c:pt>
                <c:pt idx="29">
                  <c:v>1.0692177827799743E-2</c:v>
                </c:pt>
                <c:pt idx="30">
                  <c:v>1.465614430665152E-2</c:v>
                </c:pt>
                <c:pt idx="31">
                  <c:v>1.7474633596392231E-2</c:v>
                </c:pt>
                <c:pt idx="32">
                  <c:v>1.516002245929271E-2</c:v>
                </c:pt>
                <c:pt idx="33">
                  <c:v>2.0270270270270174E-2</c:v>
                </c:pt>
                <c:pt idx="34">
                  <c:v>2.2535211267605604E-2</c:v>
                </c:pt>
                <c:pt idx="35">
                  <c:v>2.4802705749718212E-2</c:v>
                </c:pt>
                <c:pt idx="36">
                  <c:v>2.7574563871693991E-2</c:v>
                </c:pt>
                <c:pt idx="37">
                  <c:v>3.1460674157303359E-2</c:v>
                </c:pt>
                <c:pt idx="38">
                  <c:v>3.0252100840336249E-2</c:v>
                </c:pt>
                <c:pt idx="39">
                  <c:v>2.175125488008911E-2</c:v>
                </c:pt>
                <c:pt idx="40">
                  <c:v>1.8941504178273005E-2</c:v>
                </c:pt>
                <c:pt idx="41">
                  <c:v>1.9487750556792971E-2</c:v>
                </c:pt>
                <c:pt idx="42">
                  <c:v>2.0555555555555438E-2</c:v>
                </c:pt>
                <c:pt idx="43">
                  <c:v>2.2160664819944609E-2</c:v>
                </c:pt>
                <c:pt idx="44">
                  <c:v>2.3783185840707821E-2</c:v>
                </c:pt>
                <c:pt idx="45">
                  <c:v>2.0419426048565281E-2</c:v>
                </c:pt>
                <c:pt idx="46">
                  <c:v>1.9283746556473913E-2</c:v>
                </c:pt>
                <c:pt idx="47">
                  <c:v>2.0352035203520247E-2</c:v>
                </c:pt>
                <c:pt idx="48">
                  <c:v>2.0262869660460092E-2</c:v>
                </c:pt>
                <c:pt idx="49">
                  <c:v>1.6884531590413809E-2</c:v>
                </c:pt>
                <c:pt idx="50">
                  <c:v>1.7400761283306032E-2</c:v>
                </c:pt>
                <c:pt idx="51">
                  <c:v>2.2925764192139875E-2</c:v>
                </c:pt>
                <c:pt idx="52">
                  <c:v>2.8977583378895444E-2</c:v>
                </c:pt>
                <c:pt idx="53">
                  <c:v>3.1676679410158393E-2</c:v>
                </c:pt>
                <c:pt idx="54">
                  <c:v>2.9395753946652281E-2</c:v>
                </c:pt>
                <c:pt idx="55">
                  <c:v>2.5474254742547275E-2</c:v>
                </c:pt>
                <c:pt idx="56">
                  <c:v>2.5391680172879516E-2</c:v>
                </c:pt>
                <c:pt idx="57">
                  <c:v>3.1909140075716547E-2</c:v>
                </c:pt>
                <c:pt idx="58">
                  <c:v>3.6216216216216068E-2</c:v>
                </c:pt>
                <c:pt idx="59">
                  <c:v>3.3423180592991875E-2</c:v>
                </c:pt>
                <c:pt idx="60">
                  <c:v>2.8448738593666034E-2</c:v>
                </c:pt>
                <c:pt idx="61">
                  <c:v>3.0530262453133394E-2</c:v>
                </c:pt>
                <c:pt idx="62">
                  <c:v>3.2068412613575736E-2</c:v>
                </c:pt>
                <c:pt idx="63">
                  <c:v>3.3617929562433257E-2</c:v>
                </c:pt>
                <c:pt idx="64">
                  <c:v>2.8692879914984148E-2</c:v>
                </c:pt>
                <c:pt idx="65">
                  <c:v>2.541026998411855E-2</c:v>
                </c:pt>
                <c:pt idx="66">
                  <c:v>3.0671602326811209E-2</c:v>
                </c:pt>
                <c:pt idx="67">
                  <c:v>3.6469344608879517E-2</c:v>
                </c:pt>
                <c:pt idx="68">
                  <c:v>4.7418335089568053E-2</c:v>
                </c:pt>
                <c:pt idx="69">
                  <c:v>4.3501048218029359E-2</c:v>
                </c:pt>
                <c:pt idx="70">
                  <c:v>3.3385498174230532E-2</c:v>
                </c:pt>
                <c:pt idx="71">
                  <c:v>3.3385498174230532E-2</c:v>
                </c:pt>
                <c:pt idx="72">
                  <c:v>4.0187891440501167E-2</c:v>
                </c:pt>
                <c:pt idx="73">
                  <c:v>3.6382536382536301E-2</c:v>
                </c:pt>
                <c:pt idx="74">
                  <c:v>3.4179181771103018E-2</c:v>
                </c:pt>
                <c:pt idx="75">
                  <c:v>3.6138358286009309E-2</c:v>
                </c:pt>
                <c:pt idx="76">
                  <c:v>3.9772727272727293E-2</c:v>
                </c:pt>
                <c:pt idx="77">
                  <c:v>4.1817243159525175E-2</c:v>
                </c:pt>
                <c:pt idx="78">
                  <c:v>4.1046690610569536E-2</c:v>
                </c:pt>
                <c:pt idx="79">
                  <c:v>3.9265680775114831E-2</c:v>
                </c:pt>
                <c:pt idx="80">
                  <c:v>2.0120724346076369E-2</c:v>
                </c:pt>
                <c:pt idx="81">
                  <c:v>1.4063284781516971E-2</c:v>
                </c:pt>
                <c:pt idx="82">
                  <c:v>1.9687026754164672E-2</c:v>
                </c:pt>
                <c:pt idx="83">
                  <c:v>2.5239777889954462E-2</c:v>
                </c:pt>
                <c:pt idx="84">
                  <c:v>2.0757651781234232E-2</c:v>
                </c:pt>
                <c:pt idx="85">
                  <c:v>2.4202607823470279E-2</c:v>
                </c:pt>
                <c:pt idx="86">
                  <c:v>2.7981972959439272E-2</c:v>
                </c:pt>
                <c:pt idx="87">
                  <c:v>2.5929247633283525E-2</c:v>
                </c:pt>
                <c:pt idx="88">
                  <c:v>2.7098857426726131E-2</c:v>
                </c:pt>
                <c:pt idx="89">
                  <c:v>2.692765113974227E-2</c:v>
                </c:pt>
                <c:pt idx="90">
                  <c:v>2.3178905864958077E-2</c:v>
                </c:pt>
                <c:pt idx="91">
                  <c:v>1.8974484789008761E-2</c:v>
                </c:pt>
                <c:pt idx="92">
                  <c:v>2.8338264299802685E-2</c:v>
                </c:pt>
                <c:pt idx="93">
                  <c:v>3.610698365527476E-2</c:v>
                </c:pt>
                <c:pt idx="94">
                  <c:v>4.373267326732666E-2</c:v>
                </c:pt>
                <c:pt idx="95">
                  <c:v>4.1088133924175319E-2</c:v>
                </c:pt>
                <c:pt idx="96">
                  <c:v>4.294695655165981E-2</c:v>
                </c:pt>
                <c:pt idx="97">
                  <c:v>4.1429592706119678E-2</c:v>
                </c:pt>
                <c:pt idx="98">
                  <c:v>3.9749035501344343E-2</c:v>
                </c:pt>
                <c:pt idx="99">
                  <c:v>3.9037609759888126E-2</c:v>
                </c:pt>
                <c:pt idx="100">
                  <c:v>4.088413823123993E-2</c:v>
                </c:pt>
                <c:pt idx="101">
                  <c:v>4.9359661059478643E-2</c:v>
                </c:pt>
                <c:pt idx="102">
                  <c:v>5.4975120783418374E-2</c:v>
                </c:pt>
                <c:pt idx="103">
                  <c:v>5.3080171620912386E-2</c:v>
                </c:pt>
                <c:pt idx="104">
                  <c:v>4.9533198751360752E-2</c:v>
                </c:pt>
                <c:pt idx="105">
                  <c:v>3.7310578899565128E-2</c:v>
                </c:pt>
                <c:pt idx="106">
                  <c:v>1.0999174706166848E-2</c:v>
                </c:pt>
                <c:pt idx="107">
                  <c:v>-2.2228002553859039E-4</c:v>
                </c:pt>
                <c:pt idx="108">
                  <c:v>-1.1358601902212717E-3</c:v>
                </c:pt>
                <c:pt idx="109">
                  <c:v>8.4631406715107715E-5</c:v>
                </c:pt>
                <c:pt idx="110">
                  <c:v>-4.4647876766238381E-3</c:v>
                </c:pt>
                <c:pt idx="111">
                  <c:v>-5.7632442437670628E-3</c:v>
                </c:pt>
                <c:pt idx="112">
                  <c:v>-1.0157614958551719E-2</c:v>
                </c:pt>
                <c:pt idx="113">
                  <c:v>-1.2291746182109153E-2</c:v>
                </c:pt>
                <c:pt idx="114">
                  <c:v>-1.9587610037622771E-2</c:v>
                </c:pt>
                <c:pt idx="115">
                  <c:v>-1.4838355663267633E-2</c:v>
                </c:pt>
                <c:pt idx="116">
                  <c:v>-1.3779428628864721E-2</c:v>
                </c:pt>
                <c:pt idx="117">
                  <c:v>-2.2396829420033848E-3</c:v>
                </c:pt>
                <c:pt idx="118">
                  <c:v>1.9145871744709275E-2</c:v>
                </c:pt>
                <c:pt idx="119">
                  <c:v>2.8141231232083674E-2</c:v>
                </c:pt>
                <c:pt idx="120">
                  <c:v>2.6211113889767157E-2</c:v>
                </c:pt>
                <c:pt idx="121">
                  <c:v>2.151336357866529E-2</c:v>
                </c:pt>
                <c:pt idx="122">
                  <c:v>2.2861714393279886E-2</c:v>
                </c:pt>
                <c:pt idx="123">
                  <c:v>2.2067707525304403E-2</c:v>
                </c:pt>
                <c:pt idx="124">
                  <c:v>2.0035489292185682E-2</c:v>
                </c:pt>
                <c:pt idx="125">
                  <c:v>1.1215605940686268E-2</c:v>
                </c:pt>
                <c:pt idx="126">
                  <c:v>1.3407784804821077E-2</c:v>
                </c:pt>
                <c:pt idx="127">
                  <c:v>1.1501775395112546E-2</c:v>
                </c:pt>
                <c:pt idx="128">
                  <c:v>1.1183122472331775E-2</c:v>
                </c:pt>
                <c:pt idx="129">
                  <c:v>1.1666951489314625E-2</c:v>
                </c:pt>
                <c:pt idx="130">
                  <c:v>1.084544776600338E-2</c:v>
                </c:pt>
                <c:pt idx="131">
                  <c:v>1.4377930222179369E-2</c:v>
                </c:pt>
                <c:pt idx="132">
                  <c:v>1.7007834915029774E-2</c:v>
                </c:pt>
                <c:pt idx="133">
                  <c:v>2.1248981733331451E-2</c:v>
                </c:pt>
                <c:pt idx="134">
                  <c:v>2.6192415103541089E-2</c:v>
                </c:pt>
                <c:pt idx="135">
                  <c:v>3.0772344447868694E-2</c:v>
                </c:pt>
                <c:pt idx="136">
                  <c:v>3.4589718808964998E-2</c:v>
                </c:pt>
                <c:pt idx="137">
                  <c:v>3.5023181506360412E-2</c:v>
                </c:pt>
                <c:pt idx="138">
                  <c:v>3.5798809769996165E-2</c:v>
                </c:pt>
                <c:pt idx="139">
                  <c:v>3.7549960307080799E-2</c:v>
                </c:pt>
                <c:pt idx="140">
                  <c:v>3.8126216928186851E-2</c:v>
                </c:pt>
                <c:pt idx="141">
                  <c:v>3.5222681306640524E-2</c:v>
                </c:pt>
                <c:pt idx="142">
                  <c:v>3.4514322145817289E-2</c:v>
                </c:pt>
                <c:pt idx="143">
                  <c:v>3.0620668384193861E-2</c:v>
                </c:pt>
                <c:pt idx="144">
                  <c:v>3.0087663379855023E-2</c:v>
                </c:pt>
                <c:pt idx="145">
                  <c:v>2.8981784423473878E-2</c:v>
                </c:pt>
                <c:pt idx="146">
                  <c:v>2.5828752813320977E-2</c:v>
                </c:pt>
                <c:pt idx="147">
                  <c:v>2.2731633741348567E-2</c:v>
                </c:pt>
                <c:pt idx="148">
                  <c:v>1.7379429374660749E-2</c:v>
                </c:pt>
                <c:pt idx="149">
                  <c:v>1.6538704482976341E-2</c:v>
                </c:pt>
                <c:pt idx="150">
                  <c:v>1.4175114798464783E-2</c:v>
                </c:pt>
                <c:pt idx="151">
                  <c:v>1.6859349154821235E-2</c:v>
                </c:pt>
                <c:pt idx="152">
                  <c:v>1.9497168982819613E-2</c:v>
                </c:pt>
                <c:pt idx="153">
                  <c:v>2.1556780595369363E-2</c:v>
                </c:pt>
                <c:pt idx="154">
                  <c:v>1.7960197033926262E-2</c:v>
                </c:pt>
                <c:pt idx="155">
                  <c:v>1.7595049796895523E-2</c:v>
                </c:pt>
                <c:pt idx="156">
                  <c:v>1.6840617620982989E-2</c:v>
                </c:pt>
                <c:pt idx="157">
                  <c:v>2.0181404902574807E-2</c:v>
                </c:pt>
                <c:pt idx="158">
                  <c:v>1.5187472411246183E-2</c:v>
                </c:pt>
                <c:pt idx="159">
                  <c:v>1.1388080475768669E-2</c:v>
                </c:pt>
                <c:pt idx="160">
                  <c:v>1.3903888279197085E-2</c:v>
                </c:pt>
                <c:pt idx="161">
                  <c:v>1.7157935271568725E-2</c:v>
                </c:pt>
                <c:pt idx="162">
                  <c:v>1.8854718054158059E-2</c:v>
                </c:pt>
                <c:pt idx="163">
                  <c:v>1.538809488600279E-2</c:v>
                </c:pt>
                <c:pt idx="164">
                  <c:v>1.0947341081747997E-2</c:v>
                </c:pt>
                <c:pt idx="165">
                  <c:v>8.7679914349114707E-3</c:v>
                </c:pt>
                <c:pt idx="166">
                  <c:v>1.2328701961954458E-2</c:v>
                </c:pt>
                <c:pt idx="167">
                  <c:v>1.5128383667573297E-2</c:v>
                </c:pt>
                <c:pt idx="168">
                  <c:v>1.557758795574915E-2</c:v>
                </c:pt>
                <c:pt idx="169">
                  <c:v>1.1204746347724948E-2</c:v>
                </c:pt>
                <c:pt idx="170">
                  <c:v>1.6126949139408042E-2</c:v>
                </c:pt>
                <c:pt idx="171">
                  <c:v>2.0151253036061689E-2</c:v>
                </c:pt>
                <c:pt idx="172">
                  <c:v>2.1669476870798121E-2</c:v>
                </c:pt>
                <c:pt idx="173">
                  <c:v>2.0589816945944195E-2</c:v>
                </c:pt>
                <c:pt idx="174">
                  <c:v>1.9742378703305974E-2</c:v>
                </c:pt>
                <c:pt idx="175">
                  <c:v>1.7150983482969062E-2</c:v>
                </c:pt>
                <c:pt idx="176">
                  <c:v>1.6840509711232077E-2</c:v>
                </c:pt>
                <c:pt idx="177">
                  <c:v>1.6095417021513292E-2</c:v>
                </c:pt>
                <c:pt idx="178">
                  <c:v>1.231524989320798E-2</c:v>
                </c:pt>
                <c:pt idx="179">
                  <c:v>6.5312139196231911E-3</c:v>
                </c:pt>
                <c:pt idx="180">
                  <c:v>-2.2993097820542818E-3</c:v>
                </c:pt>
                <c:pt idx="181">
                  <c:v>-8.7031462935205361E-4</c:v>
                </c:pt>
                <c:pt idx="182">
                  <c:v>-2.2031284423873476E-4</c:v>
                </c:pt>
                <c:pt idx="183">
                  <c:v>-1.0403098939391064E-3</c:v>
                </c:pt>
                <c:pt idx="184">
                  <c:v>3.5033218244295838E-4</c:v>
                </c:pt>
                <c:pt idx="185">
                  <c:v>1.7957180975505249E-3</c:v>
                </c:pt>
                <c:pt idx="186">
                  <c:v>2.2568611104094582E-3</c:v>
                </c:pt>
                <c:pt idx="187">
                  <c:v>2.413037985344868E-3</c:v>
                </c:pt>
                <c:pt idx="188">
                  <c:v>8.8429616341700878E-5</c:v>
                </c:pt>
                <c:pt idx="189">
                  <c:v>1.2761656067050708E-3</c:v>
                </c:pt>
                <c:pt idx="190">
                  <c:v>4.3631821691851869E-3</c:v>
                </c:pt>
                <c:pt idx="191">
                  <c:v>6.3872475153647912E-3</c:v>
                </c:pt>
                <c:pt idx="192">
                  <c:v>1.2375025026943876E-2</c:v>
                </c:pt>
                <c:pt idx="193">
                  <c:v>8.4727757901266187E-3</c:v>
                </c:pt>
                <c:pt idx="194">
                  <c:v>8.9161609655219465E-3</c:v>
                </c:pt>
                <c:pt idx="195">
                  <c:v>1.1726257503534843E-2</c:v>
                </c:pt>
                <c:pt idx="196">
                  <c:v>1.0784764621246223E-2</c:v>
                </c:pt>
                <c:pt idx="197">
                  <c:v>1.0792865347959424E-2</c:v>
                </c:pt>
                <c:pt idx="198">
                  <c:v>8.6836334305182561E-3</c:v>
                </c:pt>
                <c:pt idx="199">
                  <c:v>1.0553158595656864E-2</c:v>
                </c:pt>
                <c:pt idx="200">
                  <c:v>1.5486446201652182E-2</c:v>
                </c:pt>
                <c:pt idx="201">
                  <c:v>1.685924966243646E-2</c:v>
                </c:pt>
                <c:pt idx="202">
                  <c:v>1.6843334719788938E-2</c:v>
                </c:pt>
                <c:pt idx="203">
                  <c:v>2.0507989115119862E-2</c:v>
                </c:pt>
                <c:pt idx="204">
                  <c:v>2.5103933482571117E-2</c:v>
                </c:pt>
                <c:pt idx="205">
                  <c:v>2.8103616813294208E-2</c:v>
                </c:pt>
                <c:pt idx="206">
                  <c:v>2.44119623655914E-2</c:v>
                </c:pt>
                <c:pt idx="207">
                  <c:v>2.176223471915395E-2</c:v>
                </c:pt>
                <c:pt idx="208">
                  <c:v>1.8563431667619756E-2</c:v>
                </c:pt>
                <c:pt idx="209">
                  <c:v>1.6405658099591269E-2</c:v>
                </c:pt>
                <c:pt idx="210">
                  <c:v>1.7251073506566073E-2</c:v>
                </c:pt>
                <c:pt idx="211">
                  <c:v>1.9281215572969801E-2</c:v>
                </c:pt>
                <c:pt idx="212">
                  <c:v>2.1805652303711787E-2</c:v>
                </c:pt>
                <c:pt idx="213">
                  <c:v>2.020757753132485E-2</c:v>
                </c:pt>
                <c:pt idx="214">
                  <c:v>2.172493864295566E-2</c:v>
                </c:pt>
                <c:pt idx="215">
                  <c:v>2.1299307195522532E-2</c:v>
                </c:pt>
                <c:pt idx="216">
                  <c:v>2.151318868063945E-2</c:v>
                </c:pt>
                <c:pt idx="217">
                  <c:v>2.263468931091861E-2</c:v>
                </c:pt>
                <c:pt idx="218">
                  <c:v>2.3309497646499366E-2</c:v>
                </c:pt>
                <c:pt idx="219">
                  <c:v>2.4709963021052994E-2</c:v>
                </c:pt>
                <c:pt idx="220">
                  <c:v>2.7819216078424969E-2</c:v>
                </c:pt>
                <c:pt idx="221">
                  <c:v>2.8075506935940187E-2</c:v>
                </c:pt>
                <c:pt idx="222">
                  <c:v>2.8541247855619289E-2</c:v>
                </c:pt>
                <c:pt idx="223">
                  <c:v>2.6429238568742575E-2</c:v>
                </c:pt>
                <c:pt idx="224">
                  <c:v>2.3320551058088279E-2</c:v>
                </c:pt>
                <c:pt idx="225">
                  <c:v>2.492032470218053E-2</c:v>
                </c:pt>
                <c:pt idx="226">
                  <c:v>2.1473285776677731E-2</c:v>
                </c:pt>
                <c:pt idx="227">
                  <c:v>2.0023809043401064E-2</c:v>
                </c:pt>
                <c:pt idx="228">
                  <c:v>1.5506772911568323E-2</c:v>
                </c:pt>
                <c:pt idx="229">
                  <c:v>1.5200638001995781E-2</c:v>
                </c:pt>
                <c:pt idx="230">
                  <c:v>1.8531355052749277E-2</c:v>
                </c:pt>
                <c:pt idx="231">
                  <c:v>1.9917914533603476E-2</c:v>
                </c:pt>
                <c:pt idx="232">
                  <c:v>1.793518134549732E-2</c:v>
                </c:pt>
                <c:pt idx="233">
                  <c:v>1.6496824928889486E-2</c:v>
                </c:pt>
                <c:pt idx="234">
                  <c:v>1.7797574975916941E-2</c:v>
                </c:pt>
                <c:pt idx="235">
                  <c:v>1.7467804166683365E-2</c:v>
                </c:pt>
                <c:pt idx="236">
                  <c:v>1.7166173636500748E-2</c:v>
                </c:pt>
                <c:pt idx="237">
                  <c:v>1.769183295618193E-2</c:v>
                </c:pt>
                <c:pt idx="238">
                  <c:v>2.0622025859679871E-2</c:v>
                </c:pt>
                <c:pt idx="239">
                  <c:v>2.3139887722685382E-2</c:v>
                </c:pt>
                <c:pt idx="240">
                  <c:v>2.500415482870233E-2</c:v>
                </c:pt>
                <c:pt idx="241">
                  <c:v>2.3393151798896117E-2</c:v>
                </c:pt>
                <c:pt idx="242">
                  <c:v>1.5428674833400269E-2</c:v>
                </c:pt>
                <c:pt idx="243">
                  <c:v>3.4520455622992774E-3</c:v>
                </c:pt>
                <c:pt idx="244">
                  <c:v>2.2640918171490387E-3</c:v>
                </c:pt>
                <c:pt idx="245">
                  <c:v>7.1602412613311905E-3</c:v>
                </c:pt>
                <c:pt idx="246">
                  <c:v>1.014138490721006E-2</c:v>
                </c:pt>
                <c:pt idx="247">
                  <c:v>1.3090732995129972E-2</c:v>
                </c:pt>
                <c:pt idx="248">
                  <c:v>1.3714811450580955E-2</c:v>
                </c:pt>
                <c:pt idx="249">
                  <c:v>1.1825348696179461E-2</c:v>
                </c:pt>
                <c:pt idx="250">
                  <c:v>1.1675581742648378E-2</c:v>
                </c:pt>
                <c:pt idx="251">
                  <c:v>1.3220373062765134E-2</c:v>
                </c:pt>
                <c:pt idx="252">
                  <c:v>1.3947814404891901E-2</c:v>
                </c:pt>
                <c:pt idx="253">
                  <c:v>1.693359254459037E-2</c:v>
                </c:pt>
                <c:pt idx="254">
                  <c:v>2.6305186654475898E-2</c:v>
                </c:pt>
                <c:pt idx="255">
                  <c:v>4.1305468347312857E-2</c:v>
                </c:pt>
                <c:pt idx="256">
                  <c:v>4.9150343145684561E-2</c:v>
                </c:pt>
                <c:pt idx="257">
                  <c:v>5.2816106713984512E-2</c:v>
                </c:pt>
                <c:pt idx="258">
                  <c:v>5.2215055095672147E-2</c:v>
                </c:pt>
                <c:pt idx="259">
                  <c:v>5.1882919382755466E-2</c:v>
                </c:pt>
                <c:pt idx="260">
                  <c:v>5.3836302873910391E-2</c:v>
                </c:pt>
                <c:pt idx="261">
                  <c:v>6.2377538553744616E-2</c:v>
                </c:pt>
                <c:pt idx="262">
                  <c:v>6.8623879944634814E-2</c:v>
                </c:pt>
                <c:pt idx="263">
                  <c:v>7.1944587555097472E-2</c:v>
                </c:pt>
                <c:pt idx="264">
                  <c:v>7.595278888254331E-2</c:v>
                </c:pt>
                <c:pt idx="265">
                  <c:v>7.954847176810631E-2</c:v>
                </c:pt>
                <c:pt idx="266">
                  <c:v>8.5152162588613578E-2</c:v>
                </c:pt>
                <c:pt idx="267">
                  <c:v>8.2277721528480896E-2</c:v>
                </c:pt>
                <c:pt idx="268">
                  <c:v>8.5023319575032286E-2</c:v>
                </c:pt>
                <c:pt idx="269">
                  <c:v>8.9329868901052878E-2</c:v>
                </c:pt>
                <c:pt idx="270">
                  <c:v>8.4131820255810119E-2</c:v>
                </c:pt>
                <c:pt idx="271">
                  <c:v>8.2273610144024678E-2</c:v>
                </c:pt>
                <c:pt idx="272">
                  <c:v>8.2148539565299661E-2</c:v>
                </c:pt>
                <c:pt idx="273">
                  <c:v>7.7624926768937064E-2</c:v>
                </c:pt>
                <c:pt idx="274">
                  <c:v>7.135348084575055E-2</c:v>
                </c:pt>
                <c:pt idx="275">
                  <c:v>6.444940492084017E-2</c:v>
                </c:pt>
                <c:pt idx="276">
                  <c:v>6.3471562178210261E-2</c:v>
                </c:pt>
                <c:pt idx="277">
                  <c:v>5.9864375812515469E-2</c:v>
                </c:pt>
                <c:pt idx="278">
                  <c:v>4.9869204652974952E-2</c:v>
                </c:pt>
                <c:pt idx="279">
                  <c:v>4.9571915138369782E-2</c:v>
                </c:pt>
                <c:pt idx="280">
                  <c:v>4.1288435392834222E-2</c:v>
                </c:pt>
                <c:pt idx="281">
                  <c:v>3.0920034743899372E-2</c:v>
                </c:pt>
                <c:pt idx="282">
                  <c:v>3.299075444289068E-2</c:v>
                </c:pt>
                <c:pt idx="283">
                  <c:v>3.7075037247731313E-2</c:v>
                </c:pt>
                <c:pt idx="284">
                  <c:v>3.6899025086076342E-2</c:v>
                </c:pt>
                <c:pt idx="285">
                  <c:v>3.232355773909612E-2</c:v>
                </c:pt>
                <c:pt idx="286">
                  <c:v>3.1209184254415545E-2</c:v>
                </c:pt>
                <c:pt idx="287">
                  <c:v>3.2977691561590694E-2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DAB-4313-A0D0-7BC82E5D94EA}"/>
            </c:ext>
          </c:extLst>
        </c:ser>
        <c:ser>
          <c:idx val="0"/>
          <c:order val="1"/>
          <c:tx>
            <c:strRef>
              <c:f>Inflation!$G$2</c:f>
              <c:strCache>
                <c:ptCount val="1"/>
                <c:pt idx="0">
                  <c:v>Annual Core-CPI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val>
            <c:numRef>
              <c:f>Inflation!$G$639:$G$926</c:f>
              <c:numCache>
                <c:formatCode>0.00%</c:formatCode>
                <c:ptCount val="288"/>
                <c:pt idx="0">
                  <c:v>2.1070615034168627E-2</c:v>
                </c:pt>
                <c:pt idx="1">
                  <c:v>2.1640091116173155E-2</c:v>
                </c:pt>
                <c:pt idx="2">
                  <c:v>2.4473534433693933E-2</c:v>
                </c:pt>
                <c:pt idx="3">
                  <c:v>2.2688598979013097E-2</c:v>
                </c:pt>
                <c:pt idx="4">
                  <c:v>2.3796033994334165E-2</c:v>
                </c:pt>
                <c:pt idx="5">
                  <c:v>2.5481313703284325E-2</c:v>
                </c:pt>
                <c:pt idx="6">
                  <c:v>2.4844720496894457E-2</c:v>
                </c:pt>
                <c:pt idx="7">
                  <c:v>2.5944726452340694E-2</c:v>
                </c:pt>
                <c:pt idx="8">
                  <c:v>2.5309336332958399E-2</c:v>
                </c:pt>
                <c:pt idx="9">
                  <c:v>2.5266704098820814E-2</c:v>
                </c:pt>
                <c:pt idx="10">
                  <c:v>2.6345291479820565E-2</c:v>
                </c:pt>
                <c:pt idx="11">
                  <c:v>2.5741466144376224E-2</c:v>
                </c:pt>
                <c:pt idx="12">
                  <c:v>2.5655326268823275E-2</c:v>
                </c:pt>
                <c:pt idx="13">
                  <c:v>2.7870680044593144E-2</c:v>
                </c:pt>
                <c:pt idx="14">
                  <c:v>2.6111111111110974E-2</c:v>
                </c:pt>
                <c:pt idx="15">
                  <c:v>2.6622296173044901E-2</c:v>
                </c:pt>
                <c:pt idx="16">
                  <c:v>2.5456557830658699E-2</c:v>
                </c:pt>
                <c:pt idx="17">
                  <c:v>2.7056874654886931E-2</c:v>
                </c:pt>
                <c:pt idx="18">
                  <c:v>2.6997245179063434E-2</c:v>
                </c:pt>
                <c:pt idx="19">
                  <c:v>2.6388125343595359E-2</c:v>
                </c:pt>
                <c:pt idx="20">
                  <c:v>2.6330224904004274E-2</c:v>
                </c:pt>
                <c:pt idx="21">
                  <c:v>2.6286966046002336E-2</c:v>
                </c:pt>
                <c:pt idx="22">
                  <c:v>2.7307482250136461E-2</c:v>
                </c:pt>
                <c:pt idx="23">
                  <c:v>2.7823240589198051E-2</c:v>
                </c:pt>
                <c:pt idx="24">
                  <c:v>2.6101141924959048E-2</c:v>
                </c:pt>
                <c:pt idx="25">
                  <c:v>2.5488069414316694E-2</c:v>
                </c:pt>
                <c:pt idx="26">
                  <c:v>2.4363833243096877E-2</c:v>
                </c:pt>
                <c:pt idx="27">
                  <c:v>2.485143165856285E-2</c:v>
                </c:pt>
                <c:pt idx="28">
                  <c:v>2.5364274150026844E-2</c:v>
                </c:pt>
                <c:pt idx="29">
                  <c:v>2.2580645161290214E-2</c:v>
                </c:pt>
                <c:pt idx="30">
                  <c:v>2.1995708154506355E-2</c:v>
                </c:pt>
                <c:pt idx="31">
                  <c:v>2.3567220139260936E-2</c:v>
                </c:pt>
                <c:pt idx="32">
                  <c:v>2.2447888829502993E-2</c:v>
                </c:pt>
                <c:pt idx="33">
                  <c:v>2.1878335112059721E-2</c:v>
                </c:pt>
                <c:pt idx="34">
                  <c:v>2.0202020202020332E-2</c:v>
                </c:pt>
                <c:pt idx="35">
                  <c:v>1.9639065817409707E-2</c:v>
                </c:pt>
                <c:pt idx="36">
                  <c:v>1.9607843137255054E-2</c:v>
                </c:pt>
                <c:pt idx="37">
                  <c:v>1.7979904812268632E-2</c:v>
                </c:pt>
                <c:pt idx="38">
                  <c:v>1.744186046511631E-2</c:v>
                </c:pt>
                <c:pt idx="39">
                  <c:v>1.4760147601476037E-2</c:v>
                </c:pt>
                <c:pt idx="40">
                  <c:v>1.5263157894736867E-2</c:v>
                </c:pt>
                <c:pt idx="41">
                  <c:v>1.4721345951629994E-2</c:v>
                </c:pt>
                <c:pt idx="42">
                  <c:v>1.5223097112860851E-2</c:v>
                </c:pt>
                <c:pt idx="43">
                  <c:v>1.3082155939298845E-2</c:v>
                </c:pt>
                <c:pt idx="44">
                  <c:v>1.2545739675901668E-2</c:v>
                </c:pt>
                <c:pt idx="45">
                  <c:v>1.3054830287206221E-2</c:v>
                </c:pt>
                <c:pt idx="46">
                  <c:v>1.0943199583116181E-2</c:v>
                </c:pt>
                <c:pt idx="47">
                  <c:v>1.0931806350858997E-2</c:v>
                </c:pt>
                <c:pt idx="48">
                  <c:v>1.1434511434511352E-2</c:v>
                </c:pt>
                <c:pt idx="49">
                  <c:v>1.2467532467532516E-2</c:v>
                </c:pt>
                <c:pt idx="50">
                  <c:v>1.558441558441559E-2</c:v>
                </c:pt>
                <c:pt idx="51">
                  <c:v>1.7662337662337713E-2</c:v>
                </c:pt>
                <c:pt idx="52">
                  <c:v>1.7107309486780631E-2</c:v>
                </c:pt>
                <c:pt idx="53">
                  <c:v>1.865284974093262E-2</c:v>
                </c:pt>
                <c:pt idx="54">
                  <c:v>1.7580144777662898E-2</c:v>
                </c:pt>
                <c:pt idx="55">
                  <c:v>1.7045454545454586E-2</c:v>
                </c:pt>
                <c:pt idx="56">
                  <c:v>1.961796592669085E-2</c:v>
                </c:pt>
                <c:pt idx="57">
                  <c:v>2.0103092783505083E-2</c:v>
                </c:pt>
                <c:pt idx="58">
                  <c:v>2.2164948453608391E-2</c:v>
                </c:pt>
                <c:pt idx="59">
                  <c:v>2.2657054582904346E-2</c:v>
                </c:pt>
                <c:pt idx="60">
                  <c:v>2.2610483042137641E-2</c:v>
                </c:pt>
                <c:pt idx="61">
                  <c:v>2.308876346844535E-2</c:v>
                </c:pt>
                <c:pt idx="62">
                  <c:v>2.3529411764705799E-2</c:v>
                </c:pt>
                <c:pt idx="63">
                  <c:v>2.1949974476773715E-2</c:v>
                </c:pt>
                <c:pt idx="64">
                  <c:v>2.1916411824668858E-2</c:v>
                </c:pt>
                <c:pt idx="65">
                  <c:v>2.0345879959308144E-2</c:v>
                </c:pt>
                <c:pt idx="66">
                  <c:v>2.0833333333333259E-2</c:v>
                </c:pt>
                <c:pt idx="67">
                  <c:v>2.1330624682579957E-2</c:v>
                </c:pt>
                <c:pt idx="68">
                  <c:v>1.9240506329113893E-2</c:v>
                </c:pt>
                <c:pt idx="69">
                  <c:v>2.0717534108135371E-2</c:v>
                </c:pt>
                <c:pt idx="70">
                  <c:v>2.1180030257186067E-2</c:v>
                </c:pt>
                <c:pt idx="71">
                  <c:v>2.1148036253776592E-2</c:v>
                </c:pt>
                <c:pt idx="72">
                  <c:v>2.1105527638190846E-2</c:v>
                </c:pt>
                <c:pt idx="73">
                  <c:v>2.106318956870612E-2</c:v>
                </c:pt>
                <c:pt idx="74">
                  <c:v>2.0989505247376306E-2</c:v>
                </c:pt>
                <c:pt idx="75">
                  <c:v>2.2977022977023198E-2</c:v>
                </c:pt>
                <c:pt idx="76">
                  <c:v>2.4438902743142199E-2</c:v>
                </c:pt>
                <c:pt idx="77">
                  <c:v>2.6420737786640114E-2</c:v>
                </c:pt>
                <c:pt idx="78">
                  <c:v>2.6879044300647026E-2</c:v>
                </c:pt>
                <c:pt idx="79">
                  <c:v>2.8344107409249197E-2</c:v>
                </c:pt>
                <c:pt idx="80">
                  <c:v>2.9309488325881761E-2</c:v>
                </c:pt>
                <c:pt idx="81">
                  <c:v>2.7722772277227747E-2</c:v>
                </c:pt>
                <c:pt idx="82">
                  <c:v>2.6172839506172885E-2</c:v>
                </c:pt>
                <c:pt idx="83">
                  <c:v>2.6134122287968298E-2</c:v>
                </c:pt>
                <c:pt idx="84">
                  <c:v>2.6574803149606252E-2</c:v>
                </c:pt>
                <c:pt idx="85">
                  <c:v>2.7185658153241699E-2</c:v>
                </c:pt>
                <c:pt idx="86">
                  <c:v>2.5051395007342103E-2</c:v>
                </c:pt>
                <c:pt idx="87">
                  <c:v>2.4155273437499902E-2</c:v>
                </c:pt>
                <c:pt idx="88">
                  <c:v>2.2677702044790582E-2</c:v>
                </c:pt>
                <c:pt idx="89">
                  <c:v>2.181641573579407E-2</c:v>
                </c:pt>
                <c:pt idx="90">
                  <c:v>2.1682016480853106E-2</c:v>
                </c:pt>
                <c:pt idx="91">
                  <c:v>2.0884912959380886E-2</c:v>
                </c:pt>
                <c:pt idx="92">
                  <c:v>2.101351351351366E-2</c:v>
                </c:pt>
                <c:pt idx="93">
                  <c:v>2.1565510597302495E-2</c:v>
                </c:pt>
                <c:pt idx="94">
                  <c:v>2.3387872954764077E-2</c:v>
                </c:pt>
                <c:pt idx="95">
                  <c:v>2.4353676117251366E-2</c:v>
                </c:pt>
                <c:pt idx="96">
                  <c:v>2.4789069990412305E-2</c:v>
                </c:pt>
                <c:pt idx="97">
                  <c:v>2.2970808329547898E-2</c:v>
                </c:pt>
                <c:pt idx="98">
                  <c:v>2.3885243866334172E-2</c:v>
                </c:pt>
                <c:pt idx="99">
                  <c:v>2.294669292051843E-2</c:v>
                </c:pt>
                <c:pt idx="100">
                  <c:v>2.3222157689781087E-2</c:v>
                </c:pt>
                <c:pt idx="101">
                  <c:v>2.3917259211376996E-2</c:v>
                </c:pt>
                <c:pt idx="102">
                  <c:v>2.4633136122748311E-2</c:v>
                </c:pt>
                <c:pt idx="103">
                  <c:v>2.4981171756213394E-2</c:v>
                </c:pt>
                <c:pt idx="104">
                  <c:v>2.4386208722122937E-2</c:v>
                </c:pt>
                <c:pt idx="105">
                  <c:v>2.2213629955157854E-2</c:v>
                </c:pt>
                <c:pt idx="106">
                  <c:v>2.0158939151697641E-2</c:v>
                </c:pt>
                <c:pt idx="107">
                  <c:v>1.7624596562335837E-2</c:v>
                </c:pt>
                <c:pt idx="108">
                  <c:v>1.6723503187990874E-2</c:v>
                </c:pt>
                <c:pt idx="109">
                  <c:v>1.800980653363804E-2</c:v>
                </c:pt>
                <c:pt idx="110">
                  <c:v>1.7876130957932945E-2</c:v>
                </c:pt>
                <c:pt idx="111">
                  <c:v>1.9323266219239299E-2</c:v>
                </c:pt>
                <c:pt idx="112">
                  <c:v>1.8461309413034588E-2</c:v>
                </c:pt>
                <c:pt idx="113">
                  <c:v>1.7119726678550107E-2</c:v>
                </c:pt>
                <c:pt idx="114">
                  <c:v>1.5270992984974363E-2</c:v>
                </c:pt>
                <c:pt idx="115">
                  <c:v>1.4339650543224725E-2</c:v>
                </c:pt>
                <c:pt idx="116">
                  <c:v>1.4798373886199645E-2</c:v>
                </c:pt>
                <c:pt idx="117">
                  <c:v>1.7127331771131127E-2</c:v>
                </c:pt>
                <c:pt idx="118">
                  <c:v>1.7142435710104209E-2</c:v>
                </c:pt>
                <c:pt idx="119">
                  <c:v>1.8236717759594345E-2</c:v>
                </c:pt>
                <c:pt idx="120">
                  <c:v>1.5123351706495702E-2</c:v>
                </c:pt>
                <c:pt idx="121">
                  <c:v>1.3494526888039982E-2</c:v>
                </c:pt>
                <c:pt idx="122">
                  <c:v>1.1592051426555505E-2</c:v>
                </c:pt>
                <c:pt idx="123">
                  <c:v>9.6750889321739475E-3</c:v>
                </c:pt>
                <c:pt idx="124">
                  <c:v>9.4013814274749308E-3</c:v>
                </c:pt>
                <c:pt idx="125">
                  <c:v>9.5019898499397737E-3</c:v>
                </c:pt>
                <c:pt idx="126">
                  <c:v>9.5775393021166888E-3</c:v>
                </c:pt>
                <c:pt idx="127">
                  <c:v>9.1710099500672548E-3</c:v>
                </c:pt>
                <c:pt idx="128">
                  <c:v>8.1438704983631816E-3</c:v>
                </c:pt>
                <c:pt idx="129">
                  <c:v>6.0271835501879423E-3</c:v>
                </c:pt>
                <c:pt idx="130">
                  <c:v>6.7205641104655101E-3</c:v>
                </c:pt>
                <c:pt idx="131">
                  <c:v>6.6189486646655027E-3</c:v>
                </c:pt>
                <c:pt idx="132">
                  <c:v>9.8353374155271123E-3</c:v>
                </c:pt>
                <c:pt idx="133">
                  <c:v>1.1244455921461061E-2</c:v>
                </c:pt>
                <c:pt idx="134">
                  <c:v>1.2097851736773357E-2</c:v>
                </c:pt>
                <c:pt idx="135">
                  <c:v>1.3155392125784537E-2</c:v>
                </c:pt>
                <c:pt idx="136">
                  <c:v>1.4540961794335727E-2</c:v>
                </c:pt>
                <c:pt idx="137">
                  <c:v>1.5836776766096738E-2</c:v>
                </c:pt>
                <c:pt idx="138">
                  <c:v>1.741483445742964E-2</c:v>
                </c:pt>
                <c:pt idx="139">
                  <c:v>1.9651571719433658E-2</c:v>
                </c:pt>
                <c:pt idx="140">
                  <c:v>1.9877227562006272E-2</c:v>
                </c:pt>
                <c:pt idx="141">
                  <c:v>2.1079204796465634E-2</c:v>
                </c:pt>
                <c:pt idx="142">
                  <c:v>2.138204538395394E-2</c:v>
                </c:pt>
                <c:pt idx="143">
                  <c:v>2.2766626338585061E-2</c:v>
                </c:pt>
                <c:pt idx="144">
                  <c:v>2.2773481506083826E-2</c:v>
                </c:pt>
                <c:pt idx="145">
                  <c:v>2.1598204405657295E-2</c:v>
                </c:pt>
                <c:pt idx="146">
                  <c:v>2.2483374654291177E-2</c:v>
                </c:pt>
                <c:pt idx="147">
                  <c:v>2.3144278518015149E-2</c:v>
                </c:pt>
                <c:pt idx="148">
                  <c:v>2.2522582803613078E-2</c:v>
                </c:pt>
                <c:pt idx="149">
                  <c:v>2.192285611289857E-2</c:v>
                </c:pt>
                <c:pt idx="150">
                  <c:v>2.109955687378462E-2</c:v>
                </c:pt>
                <c:pt idx="151">
                  <c:v>1.9352524993137443E-2</c:v>
                </c:pt>
                <c:pt idx="152">
                  <c:v>2.0082434834909124E-2</c:v>
                </c:pt>
                <c:pt idx="153">
                  <c:v>1.9946491483669337E-2</c:v>
                </c:pt>
                <c:pt idx="154">
                  <c:v>1.9528512686261434E-2</c:v>
                </c:pt>
                <c:pt idx="155">
                  <c:v>1.8996943778720743E-2</c:v>
                </c:pt>
                <c:pt idx="156">
                  <c:v>1.9098022178631435E-2</c:v>
                </c:pt>
                <c:pt idx="157">
                  <c:v>1.9887385214485631E-2</c:v>
                </c:pt>
                <c:pt idx="158">
                  <c:v>1.8890221377988237E-2</c:v>
                </c:pt>
                <c:pt idx="159">
                  <c:v>1.715558856294086E-2</c:v>
                </c:pt>
                <c:pt idx="160">
                  <c:v>1.6455519491850756E-2</c:v>
                </c:pt>
                <c:pt idx="161">
                  <c:v>1.6230952474272975E-2</c:v>
                </c:pt>
                <c:pt idx="162">
                  <c:v>1.7002217680567089E-2</c:v>
                </c:pt>
                <c:pt idx="163">
                  <c:v>1.7821076909044331E-2</c:v>
                </c:pt>
                <c:pt idx="164">
                  <c:v>1.7519368418314363E-2</c:v>
                </c:pt>
                <c:pt idx="165">
                  <c:v>1.6868377311448191E-2</c:v>
                </c:pt>
                <c:pt idx="166">
                  <c:v>1.7416677473738762E-2</c:v>
                </c:pt>
                <c:pt idx="167">
                  <c:v>1.7408566188369834E-2</c:v>
                </c:pt>
                <c:pt idx="168">
                  <c:v>1.6070344358370292E-2</c:v>
                </c:pt>
                <c:pt idx="169">
                  <c:v>1.5548073904948723E-2</c:v>
                </c:pt>
                <c:pt idx="170">
                  <c:v>1.6456609706435588E-2</c:v>
                </c:pt>
                <c:pt idx="171">
                  <c:v>1.8210555250137483E-2</c:v>
                </c:pt>
                <c:pt idx="172">
                  <c:v>1.9455269618362525E-2</c:v>
                </c:pt>
                <c:pt idx="173">
                  <c:v>1.9228626526676562E-2</c:v>
                </c:pt>
                <c:pt idx="174">
                  <c:v>1.8449632290063356E-2</c:v>
                </c:pt>
                <c:pt idx="175">
                  <c:v>1.7363956028949801E-2</c:v>
                </c:pt>
                <c:pt idx="176">
                  <c:v>1.7409458883681284E-2</c:v>
                </c:pt>
                <c:pt idx="177">
                  <c:v>1.817632310436279E-2</c:v>
                </c:pt>
                <c:pt idx="178">
                  <c:v>1.7415947552462452E-2</c:v>
                </c:pt>
                <c:pt idx="179">
                  <c:v>1.6224195046636636E-2</c:v>
                </c:pt>
                <c:pt idx="180">
                  <c:v>1.6316255652417011E-2</c:v>
                </c:pt>
                <c:pt idx="181">
                  <c:v>1.6880834938713285E-2</c:v>
                </c:pt>
                <c:pt idx="182">
                  <c:v>1.7453777073428434E-2</c:v>
                </c:pt>
                <c:pt idx="183">
                  <c:v>1.802827832894649E-2</c:v>
                </c:pt>
                <c:pt idx="184">
                  <c:v>1.7509440952473199E-2</c:v>
                </c:pt>
                <c:pt idx="185">
                  <c:v>1.7772676244655061E-2</c:v>
                </c:pt>
                <c:pt idx="186">
                  <c:v>1.8346312894897077E-2</c:v>
                </c:pt>
                <c:pt idx="187">
                  <c:v>1.8506323273421277E-2</c:v>
                </c:pt>
                <c:pt idx="188">
                  <c:v>1.8970961446650891E-2</c:v>
                </c:pt>
                <c:pt idx="189">
                  <c:v>1.9135335359607986E-2</c:v>
                </c:pt>
                <c:pt idx="190">
                  <c:v>1.9974275238246353E-2</c:v>
                </c:pt>
                <c:pt idx="191">
                  <c:v>2.0715072792840905E-2</c:v>
                </c:pt>
                <c:pt idx="192">
                  <c:v>2.1450225385824639E-2</c:v>
                </c:pt>
                <c:pt idx="193">
                  <c:v>2.2225738220941649E-2</c:v>
                </c:pt>
                <c:pt idx="194">
                  <c:v>2.142426948557663E-2</c:v>
                </c:pt>
                <c:pt idx="195">
                  <c:v>2.1566547612141829E-2</c:v>
                </c:pt>
                <c:pt idx="196">
                  <c:v>2.2545595974976074E-2</c:v>
                </c:pt>
                <c:pt idx="197">
                  <c:v>2.2622116465067066E-2</c:v>
                </c:pt>
                <c:pt idx="198">
                  <c:v>2.1701399624842965E-2</c:v>
                </c:pt>
                <c:pt idx="199">
                  <c:v>2.3087345614186683E-2</c:v>
                </c:pt>
                <c:pt idx="200">
                  <c:v>2.2711206825691832E-2</c:v>
                </c:pt>
                <c:pt idx="201">
                  <c:v>2.2045551507991146E-2</c:v>
                </c:pt>
                <c:pt idx="202">
                  <c:v>2.1454219398053587E-2</c:v>
                </c:pt>
                <c:pt idx="203">
                  <c:v>2.1971236613002709E-2</c:v>
                </c:pt>
                <c:pt idx="204">
                  <c:v>2.2502092221020176E-2</c:v>
                </c:pt>
                <c:pt idx="205">
                  <c:v>2.2353468290497336E-2</c:v>
                </c:pt>
                <c:pt idx="206">
                  <c:v>2.0458454819387351E-2</c:v>
                </c:pt>
                <c:pt idx="207">
                  <c:v>1.8965650108902388E-2</c:v>
                </c:pt>
                <c:pt idx="208">
                  <c:v>1.7370931912259246E-2</c:v>
                </c:pt>
                <c:pt idx="209">
                  <c:v>1.6991193342490218E-2</c:v>
                </c:pt>
                <c:pt idx="210">
                  <c:v>1.6769627444729984E-2</c:v>
                </c:pt>
                <c:pt idx="211">
                  <c:v>1.6552412618799472E-2</c:v>
                </c:pt>
                <c:pt idx="212">
                  <c:v>1.5953898457655935E-2</c:v>
                </c:pt>
                <c:pt idx="213">
                  <c:v>1.7596390813271245E-2</c:v>
                </c:pt>
                <c:pt idx="214">
                  <c:v>1.7376072726981162E-2</c:v>
                </c:pt>
                <c:pt idx="215">
                  <c:v>1.770166453265043E-2</c:v>
                </c:pt>
                <c:pt idx="216">
                  <c:v>1.8912671130328462E-2</c:v>
                </c:pt>
                <c:pt idx="217">
                  <c:v>1.8777042048143899E-2</c:v>
                </c:pt>
                <c:pt idx="218">
                  <c:v>2.1227843662331214E-2</c:v>
                </c:pt>
                <c:pt idx="219">
                  <c:v>2.1506446361258869E-2</c:v>
                </c:pt>
                <c:pt idx="220">
                  <c:v>2.272998448872432E-2</c:v>
                </c:pt>
                <c:pt idx="221">
                  <c:v>2.2455173071270318E-2</c:v>
                </c:pt>
                <c:pt idx="222">
                  <c:v>2.2675952933706389E-2</c:v>
                </c:pt>
                <c:pt idx="223">
                  <c:v>2.1208941334864617E-2</c:v>
                </c:pt>
                <c:pt idx="224">
                  <c:v>2.1976804898501623E-2</c:v>
                </c:pt>
                <c:pt idx="225">
                  <c:v>2.1264091256912421E-2</c:v>
                </c:pt>
                <c:pt idx="226">
                  <c:v>2.2153843729315836E-2</c:v>
                </c:pt>
                <c:pt idx="227">
                  <c:v>2.2485295505299874E-2</c:v>
                </c:pt>
                <c:pt idx="228">
                  <c:v>2.1480854532060611E-2</c:v>
                </c:pt>
                <c:pt idx="229">
                  <c:v>2.0945520529034756E-2</c:v>
                </c:pt>
                <c:pt idx="230">
                  <c:v>2.0548559922894061E-2</c:v>
                </c:pt>
                <c:pt idx="231">
                  <c:v>2.0831547363909131E-2</c:v>
                </c:pt>
                <c:pt idx="232">
                  <c:v>2.0062610589356211E-2</c:v>
                </c:pt>
                <c:pt idx="233">
                  <c:v>2.1212203621614689E-2</c:v>
                </c:pt>
                <c:pt idx="234">
                  <c:v>2.1785105879339683E-2</c:v>
                </c:pt>
                <c:pt idx="235">
                  <c:v>2.3591362242187497E-2</c:v>
                </c:pt>
                <c:pt idx="236">
                  <c:v>2.3443305672529169E-2</c:v>
                </c:pt>
                <c:pt idx="237">
                  <c:v>2.3262280962625281E-2</c:v>
                </c:pt>
                <c:pt idx="238">
                  <c:v>2.3300274823754075E-2</c:v>
                </c:pt>
                <c:pt idx="239">
                  <c:v>2.2536846840957692E-2</c:v>
                </c:pt>
                <c:pt idx="240">
                  <c:v>2.2786033772431269E-2</c:v>
                </c:pt>
                <c:pt idx="241">
                  <c:v>2.3809979813611104E-2</c:v>
                </c:pt>
                <c:pt idx="242">
                  <c:v>2.1232177473933023E-2</c:v>
                </c:pt>
                <c:pt idx="243">
                  <c:v>1.4486059791736672E-2</c:v>
                </c:pt>
                <c:pt idx="244">
                  <c:v>1.2466451140661361E-2</c:v>
                </c:pt>
                <c:pt idx="245">
                  <c:v>1.1766764691336418E-2</c:v>
                </c:pt>
                <c:pt idx="246">
                  <c:v>1.5339159099626576E-2</c:v>
                </c:pt>
                <c:pt idx="247">
                  <c:v>1.7024339426081836E-2</c:v>
                </c:pt>
                <c:pt idx="248">
                  <c:v>1.7067221329299276E-2</c:v>
                </c:pt>
                <c:pt idx="249">
                  <c:v>1.6214992073676937E-2</c:v>
                </c:pt>
                <c:pt idx="250">
                  <c:v>1.6637537478718212E-2</c:v>
                </c:pt>
                <c:pt idx="251">
                  <c:v>1.6331733878852672E-2</c:v>
                </c:pt>
                <c:pt idx="252">
                  <c:v>1.4090898862076484E-2</c:v>
                </c:pt>
                <c:pt idx="253">
                  <c:v>1.2885219037499507E-2</c:v>
                </c:pt>
                <c:pt idx="254">
                  <c:v>1.6608633793852468E-2</c:v>
                </c:pt>
                <c:pt idx="255">
                  <c:v>2.9514130586105969E-2</c:v>
                </c:pt>
                <c:pt idx="256">
                  <c:v>3.7955522754486548E-2</c:v>
                </c:pt>
                <c:pt idx="257">
                  <c:v>4.4083142822765042E-2</c:v>
                </c:pt>
                <c:pt idx="258">
                  <c:v>4.1780125078548114E-2</c:v>
                </c:pt>
                <c:pt idx="259">
                  <c:v>3.9438445407104838E-2</c:v>
                </c:pt>
                <c:pt idx="260">
                  <c:v>4.0221166216748871E-2</c:v>
                </c:pt>
                <c:pt idx="261">
                  <c:v>4.5877965799521636E-2</c:v>
                </c:pt>
                <c:pt idx="262">
                  <c:v>4.9792331262203504E-2</c:v>
                </c:pt>
                <c:pt idx="263">
                  <c:v>5.5226868245105809E-2</c:v>
                </c:pt>
                <c:pt idx="264">
                  <c:v>6.0687987040605407E-2</c:v>
                </c:pt>
                <c:pt idx="265">
                  <c:v>6.4345262940157522E-2</c:v>
                </c:pt>
                <c:pt idx="266">
                  <c:v>6.4524207626525554E-2</c:v>
                </c:pt>
                <c:pt idx="267">
                  <c:v>6.1381868684099894E-2</c:v>
                </c:pt>
                <c:pt idx="268">
                  <c:v>6.0209538044069699E-2</c:v>
                </c:pt>
                <c:pt idx="269">
                  <c:v>5.8849162333078908E-2</c:v>
                </c:pt>
                <c:pt idx="270">
                  <c:v>5.8893013837327146E-2</c:v>
                </c:pt>
                <c:pt idx="271">
                  <c:v>6.3005049147665249E-2</c:v>
                </c:pt>
                <c:pt idx="272">
                  <c:v>6.6429554431556292E-2</c:v>
                </c:pt>
                <c:pt idx="273">
                  <c:v>6.3017600181825895E-2</c:v>
                </c:pt>
                <c:pt idx="274">
                  <c:v>5.9719771299499014E-2</c:v>
                </c:pt>
                <c:pt idx="275">
                  <c:v>5.7038566865245555E-2</c:v>
                </c:pt>
                <c:pt idx="276">
                  <c:v>5.5475745488019257E-2</c:v>
                </c:pt>
                <c:pt idx="277">
                  <c:v>5.5259988825148376E-2</c:v>
                </c:pt>
                <c:pt idx="278">
                  <c:v>5.6025684493125727E-2</c:v>
                </c:pt>
                <c:pt idx="279">
                  <c:v>5.5366550738610742E-2</c:v>
                </c:pt>
                <c:pt idx="280">
                  <c:v>5.3286387386185297E-2</c:v>
                </c:pt>
                <c:pt idx="281">
                  <c:v>4.8609434148365604E-2</c:v>
                </c:pt>
                <c:pt idx="282">
                  <c:v>4.7049249809273386E-2</c:v>
                </c:pt>
                <c:pt idx="283">
                  <c:v>4.3898475925282954E-2</c:v>
                </c:pt>
                <c:pt idx="284">
                  <c:v>4.1302008788659972E-2</c:v>
                </c:pt>
                <c:pt idx="285">
                  <c:v>4.0196035853046652E-2</c:v>
                </c:pt>
                <c:pt idx="286">
                  <c:v>3.9931925891141251E-2</c:v>
                </c:pt>
                <c:pt idx="287">
                  <c:v>3.8996881841703912E-2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DAB-4313-A0D0-7BC82E5D94E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9.0000000000000024E-2"/>
          <c:min val="-2.0000000000000004E-2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129538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295378368"/>
        <c:crosses val="max"/>
        <c:crossBetween val="between"/>
      </c:valAx>
      <c:catAx>
        <c:axId val="295378368"/>
        <c:scaling>
          <c:orientation val="minMax"/>
        </c:scaling>
        <c:delete val="1"/>
        <c:axPos val="b"/>
        <c:majorTickMark val="out"/>
        <c:minorTickMark val="none"/>
        <c:tickLblPos val="nextTo"/>
        <c:crossAx val="2129538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'Housing Market'!$B$2</c:f>
              <c:strCache>
                <c:ptCount val="1"/>
                <c:pt idx="0">
                  <c:v>30y Mortgage Rate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Market'!$A$126:$A$758</c:f>
              <c:numCache>
                <c:formatCode>[$-416]mmm\-yy;@</c:formatCode>
                <c:ptCount val="633"/>
                <c:pt idx="0">
                  <c:v>26024</c:v>
                </c:pt>
                <c:pt idx="1">
                  <c:v>26054</c:v>
                </c:pt>
                <c:pt idx="2">
                  <c:v>26085</c:v>
                </c:pt>
                <c:pt idx="3">
                  <c:v>26115</c:v>
                </c:pt>
                <c:pt idx="4">
                  <c:v>26146</c:v>
                </c:pt>
                <c:pt idx="5">
                  <c:v>26177</c:v>
                </c:pt>
                <c:pt idx="6">
                  <c:v>26207</c:v>
                </c:pt>
                <c:pt idx="7">
                  <c:v>26238</c:v>
                </c:pt>
                <c:pt idx="8">
                  <c:v>26268</c:v>
                </c:pt>
                <c:pt idx="9">
                  <c:v>26299</c:v>
                </c:pt>
                <c:pt idx="10">
                  <c:v>26330</c:v>
                </c:pt>
                <c:pt idx="11">
                  <c:v>26359</c:v>
                </c:pt>
                <c:pt idx="12">
                  <c:v>26390</c:v>
                </c:pt>
                <c:pt idx="13">
                  <c:v>26420</c:v>
                </c:pt>
                <c:pt idx="14">
                  <c:v>26451</c:v>
                </c:pt>
                <c:pt idx="15">
                  <c:v>26481</c:v>
                </c:pt>
                <c:pt idx="16">
                  <c:v>26512</c:v>
                </c:pt>
                <c:pt idx="17">
                  <c:v>26543</c:v>
                </c:pt>
                <c:pt idx="18">
                  <c:v>26573</c:v>
                </c:pt>
                <c:pt idx="19">
                  <c:v>26604</c:v>
                </c:pt>
                <c:pt idx="20">
                  <c:v>26634</c:v>
                </c:pt>
                <c:pt idx="21">
                  <c:v>26665</c:v>
                </c:pt>
                <c:pt idx="22">
                  <c:v>26696</c:v>
                </c:pt>
                <c:pt idx="23">
                  <c:v>26724</c:v>
                </c:pt>
                <c:pt idx="24">
                  <c:v>26755</c:v>
                </c:pt>
                <c:pt idx="25">
                  <c:v>26785</c:v>
                </c:pt>
                <c:pt idx="26">
                  <c:v>26816</c:v>
                </c:pt>
                <c:pt idx="27">
                  <c:v>26846</c:v>
                </c:pt>
                <c:pt idx="28">
                  <c:v>26877</c:v>
                </c:pt>
                <c:pt idx="29">
                  <c:v>26908</c:v>
                </c:pt>
                <c:pt idx="30">
                  <c:v>26938</c:v>
                </c:pt>
                <c:pt idx="31">
                  <c:v>26969</c:v>
                </c:pt>
                <c:pt idx="32">
                  <c:v>26999</c:v>
                </c:pt>
                <c:pt idx="33">
                  <c:v>27030</c:v>
                </c:pt>
                <c:pt idx="34">
                  <c:v>27061</c:v>
                </c:pt>
                <c:pt idx="35">
                  <c:v>27089</c:v>
                </c:pt>
                <c:pt idx="36">
                  <c:v>27120</c:v>
                </c:pt>
                <c:pt idx="37">
                  <c:v>27150</c:v>
                </c:pt>
                <c:pt idx="38">
                  <c:v>27181</c:v>
                </c:pt>
                <c:pt idx="39">
                  <c:v>27211</c:v>
                </c:pt>
                <c:pt idx="40">
                  <c:v>27242</c:v>
                </c:pt>
                <c:pt idx="41">
                  <c:v>27273</c:v>
                </c:pt>
                <c:pt idx="42">
                  <c:v>27303</c:v>
                </c:pt>
                <c:pt idx="43">
                  <c:v>27334</c:v>
                </c:pt>
                <c:pt idx="44">
                  <c:v>27364</c:v>
                </c:pt>
                <c:pt idx="45">
                  <c:v>27395</c:v>
                </c:pt>
                <c:pt idx="46">
                  <c:v>27426</c:v>
                </c:pt>
                <c:pt idx="47">
                  <c:v>27454</c:v>
                </c:pt>
                <c:pt idx="48">
                  <c:v>27485</c:v>
                </c:pt>
                <c:pt idx="49">
                  <c:v>27515</c:v>
                </c:pt>
                <c:pt idx="50">
                  <c:v>27546</c:v>
                </c:pt>
                <c:pt idx="51">
                  <c:v>27576</c:v>
                </c:pt>
                <c:pt idx="52">
                  <c:v>27607</c:v>
                </c:pt>
                <c:pt idx="53">
                  <c:v>27638</c:v>
                </c:pt>
                <c:pt idx="54">
                  <c:v>27668</c:v>
                </c:pt>
                <c:pt idx="55">
                  <c:v>27699</c:v>
                </c:pt>
                <c:pt idx="56">
                  <c:v>27729</c:v>
                </c:pt>
                <c:pt idx="57">
                  <c:v>27760</c:v>
                </c:pt>
                <c:pt idx="58">
                  <c:v>27791</c:v>
                </c:pt>
                <c:pt idx="59">
                  <c:v>27820</c:v>
                </c:pt>
                <c:pt idx="60">
                  <c:v>27851</c:v>
                </c:pt>
                <c:pt idx="61">
                  <c:v>27881</c:v>
                </c:pt>
                <c:pt idx="62">
                  <c:v>27912</c:v>
                </c:pt>
                <c:pt idx="63">
                  <c:v>27942</c:v>
                </c:pt>
                <c:pt idx="64">
                  <c:v>27973</c:v>
                </c:pt>
                <c:pt idx="65">
                  <c:v>28004</c:v>
                </c:pt>
                <c:pt idx="66">
                  <c:v>28034</c:v>
                </c:pt>
                <c:pt idx="67">
                  <c:v>28065</c:v>
                </c:pt>
                <c:pt idx="68">
                  <c:v>28095</c:v>
                </c:pt>
                <c:pt idx="69">
                  <c:v>28126</c:v>
                </c:pt>
                <c:pt idx="70">
                  <c:v>28157</c:v>
                </c:pt>
                <c:pt idx="71">
                  <c:v>28185</c:v>
                </c:pt>
                <c:pt idx="72">
                  <c:v>28216</c:v>
                </c:pt>
                <c:pt idx="73">
                  <c:v>28246</c:v>
                </c:pt>
                <c:pt idx="74">
                  <c:v>28277</c:v>
                </c:pt>
                <c:pt idx="75">
                  <c:v>28307</c:v>
                </c:pt>
                <c:pt idx="76">
                  <c:v>28338</c:v>
                </c:pt>
                <c:pt idx="77">
                  <c:v>28369</c:v>
                </c:pt>
                <c:pt idx="78">
                  <c:v>28399</c:v>
                </c:pt>
                <c:pt idx="79">
                  <c:v>28430</c:v>
                </c:pt>
                <c:pt idx="80">
                  <c:v>28460</c:v>
                </c:pt>
                <c:pt idx="81">
                  <c:v>28491</c:v>
                </c:pt>
                <c:pt idx="82">
                  <c:v>28522</c:v>
                </c:pt>
                <c:pt idx="83">
                  <c:v>28550</c:v>
                </c:pt>
                <c:pt idx="84">
                  <c:v>28581</c:v>
                </c:pt>
                <c:pt idx="85">
                  <c:v>28611</c:v>
                </c:pt>
                <c:pt idx="86">
                  <c:v>28642</c:v>
                </c:pt>
                <c:pt idx="87">
                  <c:v>28672</c:v>
                </c:pt>
                <c:pt idx="88">
                  <c:v>28703</c:v>
                </c:pt>
                <c:pt idx="89">
                  <c:v>28734</c:v>
                </c:pt>
                <c:pt idx="90">
                  <c:v>28764</c:v>
                </c:pt>
                <c:pt idx="91">
                  <c:v>28795</c:v>
                </c:pt>
                <c:pt idx="92">
                  <c:v>28825</c:v>
                </c:pt>
                <c:pt idx="93">
                  <c:v>28856</c:v>
                </c:pt>
                <c:pt idx="94">
                  <c:v>28887</c:v>
                </c:pt>
                <c:pt idx="95">
                  <c:v>28915</c:v>
                </c:pt>
                <c:pt idx="96">
                  <c:v>28946</c:v>
                </c:pt>
                <c:pt idx="97">
                  <c:v>28976</c:v>
                </c:pt>
                <c:pt idx="98">
                  <c:v>29007</c:v>
                </c:pt>
                <c:pt idx="99">
                  <c:v>29037</c:v>
                </c:pt>
                <c:pt idx="100">
                  <c:v>29068</c:v>
                </c:pt>
                <c:pt idx="101">
                  <c:v>29099</c:v>
                </c:pt>
                <c:pt idx="102">
                  <c:v>29129</c:v>
                </c:pt>
                <c:pt idx="103">
                  <c:v>29160</c:v>
                </c:pt>
                <c:pt idx="104">
                  <c:v>29190</c:v>
                </c:pt>
                <c:pt idx="105">
                  <c:v>29221</c:v>
                </c:pt>
                <c:pt idx="106">
                  <c:v>29252</c:v>
                </c:pt>
                <c:pt idx="107">
                  <c:v>29281</c:v>
                </c:pt>
                <c:pt idx="108">
                  <c:v>29312</c:v>
                </c:pt>
                <c:pt idx="109">
                  <c:v>29342</c:v>
                </c:pt>
                <c:pt idx="110">
                  <c:v>29373</c:v>
                </c:pt>
                <c:pt idx="111">
                  <c:v>29403</c:v>
                </c:pt>
                <c:pt idx="112">
                  <c:v>29434</c:v>
                </c:pt>
                <c:pt idx="113">
                  <c:v>29465</c:v>
                </c:pt>
                <c:pt idx="114">
                  <c:v>29495</c:v>
                </c:pt>
                <c:pt idx="115">
                  <c:v>29526</c:v>
                </c:pt>
                <c:pt idx="116">
                  <c:v>29556</c:v>
                </c:pt>
                <c:pt idx="117">
                  <c:v>29587</c:v>
                </c:pt>
                <c:pt idx="118">
                  <c:v>29618</c:v>
                </c:pt>
                <c:pt idx="119">
                  <c:v>29646</c:v>
                </c:pt>
                <c:pt idx="120">
                  <c:v>29677</c:v>
                </c:pt>
                <c:pt idx="121">
                  <c:v>29707</c:v>
                </c:pt>
                <c:pt idx="122">
                  <c:v>29738</c:v>
                </c:pt>
                <c:pt idx="123">
                  <c:v>29768</c:v>
                </c:pt>
                <c:pt idx="124">
                  <c:v>29799</c:v>
                </c:pt>
                <c:pt idx="125">
                  <c:v>29830</c:v>
                </c:pt>
                <c:pt idx="126">
                  <c:v>29860</c:v>
                </c:pt>
                <c:pt idx="127">
                  <c:v>29891</c:v>
                </c:pt>
                <c:pt idx="128">
                  <c:v>29921</c:v>
                </c:pt>
                <c:pt idx="129">
                  <c:v>29952</c:v>
                </c:pt>
                <c:pt idx="130">
                  <c:v>29983</c:v>
                </c:pt>
                <c:pt idx="131">
                  <c:v>30011</c:v>
                </c:pt>
                <c:pt idx="132">
                  <c:v>30042</c:v>
                </c:pt>
                <c:pt idx="133">
                  <c:v>30072</c:v>
                </c:pt>
                <c:pt idx="134">
                  <c:v>30103</c:v>
                </c:pt>
                <c:pt idx="135">
                  <c:v>30133</c:v>
                </c:pt>
                <c:pt idx="136">
                  <c:v>30164</c:v>
                </c:pt>
                <c:pt idx="137">
                  <c:v>30195</c:v>
                </c:pt>
                <c:pt idx="138">
                  <c:v>30225</c:v>
                </c:pt>
                <c:pt idx="139">
                  <c:v>30256</c:v>
                </c:pt>
                <c:pt idx="140">
                  <c:v>30286</c:v>
                </c:pt>
                <c:pt idx="141">
                  <c:v>30317</c:v>
                </c:pt>
                <c:pt idx="142">
                  <c:v>30348</c:v>
                </c:pt>
                <c:pt idx="143">
                  <c:v>30376</c:v>
                </c:pt>
                <c:pt idx="144">
                  <c:v>30407</c:v>
                </c:pt>
                <c:pt idx="145">
                  <c:v>30437</c:v>
                </c:pt>
                <c:pt idx="146">
                  <c:v>30468</c:v>
                </c:pt>
                <c:pt idx="147">
                  <c:v>30498</c:v>
                </c:pt>
                <c:pt idx="148">
                  <c:v>30529</c:v>
                </c:pt>
                <c:pt idx="149">
                  <c:v>30560</c:v>
                </c:pt>
                <c:pt idx="150">
                  <c:v>30590</c:v>
                </c:pt>
                <c:pt idx="151">
                  <c:v>30621</c:v>
                </c:pt>
                <c:pt idx="152">
                  <c:v>30651</c:v>
                </c:pt>
                <c:pt idx="153">
                  <c:v>30682</c:v>
                </c:pt>
                <c:pt idx="154">
                  <c:v>30713</c:v>
                </c:pt>
                <c:pt idx="155">
                  <c:v>30742</c:v>
                </c:pt>
                <c:pt idx="156">
                  <c:v>30773</c:v>
                </c:pt>
                <c:pt idx="157">
                  <c:v>30803</c:v>
                </c:pt>
                <c:pt idx="158">
                  <c:v>30834</c:v>
                </c:pt>
                <c:pt idx="159">
                  <c:v>30864</c:v>
                </c:pt>
                <c:pt idx="160">
                  <c:v>30895</c:v>
                </c:pt>
                <c:pt idx="161">
                  <c:v>30926</c:v>
                </c:pt>
                <c:pt idx="162">
                  <c:v>30956</c:v>
                </c:pt>
                <c:pt idx="163">
                  <c:v>30987</c:v>
                </c:pt>
                <c:pt idx="164">
                  <c:v>31017</c:v>
                </c:pt>
                <c:pt idx="165">
                  <c:v>31048</c:v>
                </c:pt>
                <c:pt idx="166">
                  <c:v>31079</c:v>
                </c:pt>
                <c:pt idx="167">
                  <c:v>31107</c:v>
                </c:pt>
                <c:pt idx="168">
                  <c:v>31138</c:v>
                </c:pt>
                <c:pt idx="169">
                  <c:v>31168</c:v>
                </c:pt>
                <c:pt idx="170">
                  <c:v>31199</c:v>
                </c:pt>
                <c:pt idx="171">
                  <c:v>31229</c:v>
                </c:pt>
                <c:pt idx="172">
                  <c:v>31260</c:v>
                </c:pt>
                <c:pt idx="173">
                  <c:v>31291</c:v>
                </c:pt>
                <c:pt idx="174">
                  <c:v>31321</c:v>
                </c:pt>
                <c:pt idx="175">
                  <c:v>31352</c:v>
                </c:pt>
                <c:pt idx="176">
                  <c:v>31382</c:v>
                </c:pt>
                <c:pt idx="177">
                  <c:v>31413</c:v>
                </c:pt>
                <c:pt idx="178">
                  <c:v>31444</c:v>
                </c:pt>
                <c:pt idx="179">
                  <c:v>31472</c:v>
                </c:pt>
                <c:pt idx="180">
                  <c:v>31503</c:v>
                </c:pt>
                <c:pt idx="181">
                  <c:v>31533</c:v>
                </c:pt>
                <c:pt idx="182">
                  <c:v>31564</c:v>
                </c:pt>
                <c:pt idx="183">
                  <c:v>31594</c:v>
                </c:pt>
                <c:pt idx="184">
                  <c:v>31625</c:v>
                </c:pt>
                <c:pt idx="185">
                  <c:v>31656</c:v>
                </c:pt>
                <c:pt idx="186">
                  <c:v>31686</c:v>
                </c:pt>
                <c:pt idx="187">
                  <c:v>31717</c:v>
                </c:pt>
                <c:pt idx="188">
                  <c:v>31747</c:v>
                </c:pt>
                <c:pt idx="189">
                  <c:v>31778</c:v>
                </c:pt>
                <c:pt idx="190">
                  <c:v>31809</c:v>
                </c:pt>
                <c:pt idx="191">
                  <c:v>31837</c:v>
                </c:pt>
                <c:pt idx="192">
                  <c:v>31868</c:v>
                </c:pt>
                <c:pt idx="193">
                  <c:v>31898</c:v>
                </c:pt>
                <c:pt idx="194">
                  <c:v>31929</c:v>
                </c:pt>
                <c:pt idx="195">
                  <c:v>31959</c:v>
                </c:pt>
                <c:pt idx="196">
                  <c:v>31990</c:v>
                </c:pt>
                <c:pt idx="197">
                  <c:v>32021</c:v>
                </c:pt>
                <c:pt idx="198">
                  <c:v>32051</c:v>
                </c:pt>
                <c:pt idx="199">
                  <c:v>32082</c:v>
                </c:pt>
                <c:pt idx="200">
                  <c:v>32112</c:v>
                </c:pt>
                <c:pt idx="201">
                  <c:v>32143</c:v>
                </c:pt>
                <c:pt idx="202">
                  <c:v>32174</c:v>
                </c:pt>
                <c:pt idx="203">
                  <c:v>32203</c:v>
                </c:pt>
                <c:pt idx="204">
                  <c:v>32234</c:v>
                </c:pt>
                <c:pt idx="205">
                  <c:v>32264</c:v>
                </c:pt>
                <c:pt idx="206">
                  <c:v>32295</c:v>
                </c:pt>
                <c:pt idx="207">
                  <c:v>32325</c:v>
                </c:pt>
                <c:pt idx="208">
                  <c:v>32356</c:v>
                </c:pt>
                <c:pt idx="209">
                  <c:v>32387</c:v>
                </c:pt>
                <c:pt idx="210">
                  <c:v>32417</c:v>
                </c:pt>
                <c:pt idx="211">
                  <c:v>32448</c:v>
                </c:pt>
                <c:pt idx="212">
                  <c:v>32478</c:v>
                </c:pt>
                <c:pt idx="213">
                  <c:v>32509</c:v>
                </c:pt>
                <c:pt idx="214">
                  <c:v>32540</c:v>
                </c:pt>
                <c:pt idx="215">
                  <c:v>32568</c:v>
                </c:pt>
                <c:pt idx="216">
                  <c:v>32599</c:v>
                </c:pt>
                <c:pt idx="217">
                  <c:v>32629</c:v>
                </c:pt>
                <c:pt idx="218">
                  <c:v>32660</c:v>
                </c:pt>
                <c:pt idx="219">
                  <c:v>32690</c:v>
                </c:pt>
                <c:pt idx="220">
                  <c:v>32721</c:v>
                </c:pt>
                <c:pt idx="221">
                  <c:v>32752</c:v>
                </c:pt>
                <c:pt idx="222">
                  <c:v>32782</c:v>
                </c:pt>
                <c:pt idx="223">
                  <c:v>32813</c:v>
                </c:pt>
                <c:pt idx="224">
                  <c:v>32843</c:v>
                </c:pt>
                <c:pt idx="225">
                  <c:v>32874</c:v>
                </c:pt>
                <c:pt idx="226">
                  <c:v>32905</c:v>
                </c:pt>
                <c:pt idx="227">
                  <c:v>32933</c:v>
                </c:pt>
                <c:pt idx="228">
                  <c:v>32964</c:v>
                </c:pt>
                <c:pt idx="229">
                  <c:v>32994</c:v>
                </c:pt>
                <c:pt idx="230">
                  <c:v>33025</c:v>
                </c:pt>
                <c:pt idx="231">
                  <c:v>33055</c:v>
                </c:pt>
                <c:pt idx="232">
                  <c:v>33086</c:v>
                </c:pt>
                <c:pt idx="233">
                  <c:v>33117</c:v>
                </c:pt>
                <c:pt idx="234">
                  <c:v>33147</c:v>
                </c:pt>
                <c:pt idx="235">
                  <c:v>33178</c:v>
                </c:pt>
                <c:pt idx="236">
                  <c:v>33208</c:v>
                </c:pt>
                <c:pt idx="237">
                  <c:v>33239</c:v>
                </c:pt>
                <c:pt idx="238">
                  <c:v>33270</c:v>
                </c:pt>
                <c:pt idx="239">
                  <c:v>33298</c:v>
                </c:pt>
                <c:pt idx="240">
                  <c:v>33329</c:v>
                </c:pt>
                <c:pt idx="241">
                  <c:v>33359</c:v>
                </c:pt>
                <c:pt idx="242">
                  <c:v>33390</c:v>
                </c:pt>
                <c:pt idx="243">
                  <c:v>33420</c:v>
                </c:pt>
                <c:pt idx="244">
                  <c:v>33451</c:v>
                </c:pt>
                <c:pt idx="245">
                  <c:v>33482</c:v>
                </c:pt>
                <c:pt idx="246">
                  <c:v>33512</c:v>
                </c:pt>
                <c:pt idx="247">
                  <c:v>33543</c:v>
                </c:pt>
                <c:pt idx="248">
                  <c:v>33573</c:v>
                </c:pt>
                <c:pt idx="249">
                  <c:v>33604</c:v>
                </c:pt>
                <c:pt idx="250">
                  <c:v>33635</c:v>
                </c:pt>
                <c:pt idx="251">
                  <c:v>33664</c:v>
                </c:pt>
                <c:pt idx="252">
                  <c:v>33695</c:v>
                </c:pt>
                <c:pt idx="253">
                  <c:v>33725</c:v>
                </c:pt>
                <c:pt idx="254">
                  <c:v>33756</c:v>
                </c:pt>
                <c:pt idx="255">
                  <c:v>33786</c:v>
                </c:pt>
                <c:pt idx="256">
                  <c:v>33817</c:v>
                </c:pt>
                <c:pt idx="257">
                  <c:v>33848</c:v>
                </c:pt>
                <c:pt idx="258">
                  <c:v>33878</c:v>
                </c:pt>
                <c:pt idx="259">
                  <c:v>33909</c:v>
                </c:pt>
                <c:pt idx="260">
                  <c:v>33939</c:v>
                </c:pt>
                <c:pt idx="261">
                  <c:v>33970</c:v>
                </c:pt>
                <c:pt idx="262">
                  <c:v>34001</c:v>
                </c:pt>
                <c:pt idx="263">
                  <c:v>34029</c:v>
                </c:pt>
                <c:pt idx="264">
                  <c:v>34060</c:v>
                </c:pt>
                <c:pt idx="265">
                  <c:v>34090</c:v>
                </c:pt>
                <c:pt idx="266">
                  <c:v>34121</c:v>
                </c:pt>
                <c:pt idx="267">
                  <c:v>34151</c:v>
                </c:pt>
                <c:pt idx="268">
                  <c:v>34182</c:v>
                </c:pt>
                <c:pt idx="269">
                  <c:v>34213</c:v>
                </c:pt>
                <c:pt idx="270">
                  <c:v>34243</c:v>
                </c:pt>
                <c:pt idx="271">
                  <c:v>34274</c:v>
                </c:pt>
                <c:pt idx="272">
                  <c:v>34304</c:v>
                </c:pt>
                <c:pt idx="273">
                  <c:v>34335</c:v>
                </c:pt>
                <c:pt idx="274">
                  <c:v>34366</c:v>
                </c:pt>
                <c:pt idx="275">
                  <c:v>34394</c:v>
                </c:pt>
                <c:pt idx="276">
                  <c:v>34425</c:v>
                </c:pt>
                <c:pt idx="277">
                  <c:v>34455</c:v>
                </c:pt>
                <c:pt idx="278">
                  <c:v>34486</c:v>
                </c:pt>
                <c:pt idx="279">
                  <c:v>34516</c:v>
                </c:pt>
                <c:pt idx="280">
                  <c:v>34547</c:v>
                </c:pt>
                <c:pt idx="281">
                  <c:v>34578</c:v>
                </c:pt>
                <c:pt idx="282">
                  <c:v>34608</c:v>
                </c:pt>
                <c:pt idx="283">
                  <c:v>34639</c:v>
                </c:pt>
                <c:pt idx="284">
                  <c:v>34669</c:v>
                </c:pt>
                <c:pt idx="285">
                  <c:v>34700</c:v>
                </c:pt>
                <c:pt idx="286">
                  <c:v>34731</c:v>
                </c:pt>
                <c:pt idx="287">
                  <c:v>34759</c:v>
                </c:pt>
                <c:pt idx="288">
                  <c:v>34790</c:v>
                </c:pt>
                <c:pt idx="289">
                  <c:v>34820</c:v>
                </c:pt>
                <c:pt idx="290">
                  <c:v>34851</c:v>
                </c:pt>
                <c:pt idx="291">
                  <c:v>34881</c:v>
                </c:pt>
                <c:pt idx="292">
                  <c:v>34912</c:v>
                </c:pt>
                <c:pt idx="293">
                  <c:v>34943</c:v>
                </c:pt>
                <c:pt idx="294">
                  <c:v>34973</c:v>
                </c:pt>
                <c:pt idx="295">
                  <c:v>35004</c:v>
                </c:pt>
                <c:pt idx="296">
                  <c:v>35034</c:v>
                </c:pt>
                <c:pt idx="297">
                  <c:v>35065</c:v>
                </c:pt>
                <c:pt idx="298">
                  <c:v>35096</c:v>
                </c:pt>
                <c:pt idx="299">
                  <c:v>35125</c:v>
                </c:pt>
                <c:pt idx="300">
                  <c:v>35156</c:v>
                </c:pt>
                <c:pt idx="301">
                  <c:v>35186</c:v>
                </c:pt>
                <c:pt idx="302">
                  <c:v>35217</c:v>
                </c:pt>
                <c:pt idx="303">
                  <c:v>35247</c:v>
                </c:pt>
                <c:pt idx="304">
                  <c:v>35278</c:v>
                </c:pt>
                <c:pt idx="305">
                  <c:v>35309</c:v>
                </c:pt>
                <c:pt idx="306">
                  <c:v>35339</c:v>
                </c:pt>
                <c:pt idx="307">
                  <c:v>35370</c:v>
                </c:pt>
                <c:pt idx="308">
                  <c:v>35400</c:v>
                </c:pt>
                <c:pt idx="309">
                  <c:v>35431</c:v>
                </c:pt>
                <c:pt idx="310">
                  <c:v>35462</c:v>
                </c:pt>
                <c:pt idx="311">
                  <c:v>35490</c:v>
                </c:pt>
                <c:pt idx="312">
                  <c:v>35521</c:v>
                </c:pt>
                <c:pt idx="313">
                  <c:v>35551</c:v>
                </c:pt>
                <c:pt idx="314">
                  <c:v>35582</c:v>
                </c:pt>
                <c:pt idx="315">
                  <c:v>35612</c:v>
                </c:pt>
                <c:pt idx="316">
                  <c:v>35643</c:v>
                </c:pt>
                <c:pt idx="317">
                  <c:v>35674</c:v>
                </c:pt>
                <c:pt idx="318">
                  <c:v>35704</c:v>
                </c:pt>
                <c:pt idx="319">
                  <c:v>35735</c:v>
                </c:pt>
                <c:pt idx="320">
                  <c:v>35765</c:v>
                </c:pt>
                <c:pt idx="321">
                  <c:v>35796</c:v>
                </c:pt>
                <c:pt idx="322">
                  <c:v>35827</c:v>
                </c:pt>
                <c:pt idx="323">
                  <c:v>35855</c:v>
                </c:pt>
                <c:pt idx="324">
                  <c:v>35886</c:v>
                </c:pt>
                <c:pt idx="325">
                  <c:v>35916</c:v>
                </c:pt>
                <c:pt idx="326">
                  <c:v>35947</c:v>
                </c:pt>
                <c:pt idx="327">
                  <c:v>35977</c:v>
                </c:pt>
                <c:pt idx="328">
                  <c:v>36008</c:v>
                </c:pt>
                <c:pt idx="329">
                  <c:v>36039</c:v>
                </c:pt>
                <c:pt idx="330">
                  <c:v>36069</c:v>
                </c:pt>
                <c:pt idx="331">
                  <c:v>36100</c:v>
                </c:pt>
                <c:pt idx="332">
                  <c:v>36130</c:v>
                </c:pt>
                <c:pt idx="333">
                  <c:v>36161</c:v>
                </c:pt>
                <c:pt idx="334">
                  <c:v>36192</c:v>
                </c:pt>
                <c:pt idx="335">
                  <c:v>36220</c:v>
                </c:pt>
                <c:pt idx="336">
                  <c:v>36251</c:v>
                </c:pt>
                <c:pt idx="337">
                  <c:v>36281</c:v>
                </c:pt>
                <c:pt idx="338">
                  <c:v>36312</c:v>
                </c:pt>
                <c:pt idx="339">
                  <c:v>36342</c:v>
                </c:pt>
                <c:pt idx="340">
                  <c:v>36373</c:v>
                </c:pt>
                <c:pt idx="341">
                  <c:v>36404</c:v>
                </c:pt>
                <c:pt idx="342">
                  <c:v>36434</c:v>
                </c:pt>
                <c:pt idx="343">
                  <c:v>36465</c:v>
                </c:pt>
                <c:pt idx="344">
                  <c:v>36495</c:v>
                </c:pt>
                <c:pt idx="345">
                  <c:v>36526</c:v>
                </c:pt>
                <c:pt idx="346">
                  <c:v>36557</c:v>
                </c:pt>
                <c:pt idx="347">
                  <c:v>36586</c:v>
                </c:pt>
                <c:pt idx="348">
                  <c:v>36617</c:v>
                </c:pt>
                <c:pt idx="349">
                  <c:v>36647</c:v>
                </c:pt>
                <c:pt idx="350">
                  <c:v>36678</c:v>
                </c:pt>
                <c:pt idx="351">
                  <c:v>36708</c:v>
                </c:pt>
                <c:pt idx="352">
                  <c:v>36739</c:v>
                </c:pt>
                <c:pt idx="353">
                  <c:v>36770</c:v>
                </c:pt>
                <c:pt idx="354">
                  <c:v>36800</c:v>
                </c:pt>
                <c:pt idx="355">
                  <c:v>36831</c:v>
                </c:pt>
                <c:pt idx="356">
                  <c:v>36861</c:v>
                </c:pt>
                <c:pt idx="357">
                  <c:v>36892</c:v>
                </c:pt>
                <c:pt idx="358">
                  <c:v>36923</c:v>
                </c:pt>
                <c:pt idx="359">
                  <c:v>36951</c:v>
                </c:pt>
                <c:pt idx="360">
                  <c:v>36982</c:v>
                </c:pt>
                <c:pt idx="361">
                  <c:v>37012</c:v>
                </c:pt>
                <c:pt idx="362">
                  <c:v>37043</c:v>
                </c:pt>
                <c:pt idx="363">
                  <c:v>37073</c:v>
                </c:pt>
                <c:pt idx="364">
                  <c:v>37104</c:v>
                </c:pt>
                <c:pt idx="365">
                  <c:v>37135</c:v>
                </c:pt>
                <c:pt idx="366">
                  <c:v>37165</c:v>
                </c:pt>
                <c:pt idx="367">
                  <c:v>37196</c:v>
                </c:pt>
                <c:pt idx="368">
                  <c:v>37226</c:v>
                </c:pt>
                <c:pt idx="369">
                  <c:v>37257</c:v>
                </c:pt>
                <c:pt idx="370">
                  <c:v>37288</c:v>
                </c:pt>
                <c:pt idx="371">
                  <c:v>37316</c:v>
                </c:pt>
                <c:pt idx="372">
                  <c:v>37347</c:v>
                </c:pt>
                <c:pt idx="373">
                  <c:v>37377</c:v>
                </c:pt>
                <c:pt idx="374">
                  <c:v>37408</c:v>
                </c:pt>
                <c:pt idx="375">
                  <c:v>37438</c:v>
                </c:pt>
                <c:pt idx="376">
                  <c:v>37469</c:v>
                </c:pt>
                <c:pt idx="377">
                  <c:v>37500</c:v>
                </c:pt>
                <c:pt idx="378">
                  <c:v>37530</c:v>
                </c:pt>
                <c:pt idx="379">
                  <c:v>37561</c:v>
                </c:pt>
                <c:pt idx="380">
                  <c:v>37591</c:v>
                </c:pt>
                <c:pt idx="381">
                  <c:v>37622</c:v>
                </c:pt>
                <c:pt idx="382">
                  <c:v>37653</c:v>
                </c:pt>
                <c:pt idx="383">
                  <c:v>37681</c:v>
                </c:pt>
                <c:pt idx="384">
                  <c:v>37712</c:v>
                </c:pt>
                <c:pt idx="385">
                  <c:v>37742</c:v>
                </c:pt>
                <c:pt idx="386">
                  <c:v>37773</c:v>
                </c:pt>
                <c:pt idx="387">
                  <c:v>37803</c:v>
                </c:pt>
                <c:pt idx="388">
                  <c:v>37834</c:v>
                </c:pt>
                <c:pt idx="389">
                  <c:v>37865</c:v>
                </c:pt>
                <c:pt idx="390">
                  <c:v>37895</c:v>
                </c:pt>
                <c:pt idx="391">
                  <c:v>37926</c:v>
                </c:pt>
                <c:pt idx="392">
                  <c:v>37956</c:v>
                </c:pt>
                <c:pt idx="393">
                  <c:v>37987</c:v>
                </c:pt>
                <c:pt idx="394">
                  <c:v>38018</c:v>
                </c:pt>
                <c:pt idx="395">
                  <c:v>38047</c:v>
                </c:pt>
                <c:pt idx="396">
                  <c:v>38078</c:v>
                </c:pt>
                <c:pt idx="397">
                  <c:v>38108</c:v>
                </c:pt>
                <c:pt idx="398">
                  <c:v>38139</c:v>
                </c:pt>
                <c:pt idx="399">
                  <c:v>38169</c:v>
                </c:pt>
                <c:pt idx="400">
                  <c:v>38200</c:v>
                </c:pt>
                <c:pt idx="401">
                  <c:v>38231</c:v>
                </c:pt>
                <c:pt idx="402">
                  <c:v>38261</c:v>
                </c:pt>
                <c:pt idx="403">
                  <c:v>38292</c:v>
                </c:pt>
                <c:pt idx="404">
                  <c:v>38322</c:v>
                </c:pt>
                <c:pt idx="405">
                  <c:v>38353</c:v>
                </c:pt>
                <c:pt idx="406">
                  <c:v>38384</c:v>
                </c:pt>
                <c:pt idx="407">
                  <c:v>38412</c:v>
                </c:pt>
                <c:pt idx="408">
                  <c:v>38443</c:v>
                </c:pt>
                <c:pt idx="409">
                  <c:v>38473</c:v>
                </c:pt>
                <c:pt idx="410">
                  <c:v>38504</c:v>
                </c:pt>
                <c:pt idx="411">
                  <c:v>38534</c:v>
                </c:pt>
                <c:pt idx="412">
                  <c:v>38565</c:v>
                </c:pt>
                <c:pt idx="413">
                  <c:v>38596</c:v>
                </c:pt>
                <c:pt idx="414">
                  <c:v>38626</c:v>
                </c:pt>
                <c:pt idx="415">
                  <c:v>38657</c:v>
                </c:pt>
                <c:pt idx="416">
                  <c:v>38687</c:v>
                </c:pt>
                <c:pt idx="417">
                  <c:v>38718</c:v>
                </c:pt>
                <c:pt idx="418">
                  <c:v>38749</c:v>
                </c:pt>
                <c:pt idx="419">
                  <c:v>38777</c:v>
                </c:pt>
                <c:pt idx="420">
                  <c:v>38808</c:v>
                </c:pt>
                <c:pt idx="421">
                  <c:v>38838</c:v>
                </c:pt>
                <c:pt idx="422">
                  <c:v>38869</c:v>
                </c:pt>
                <c:pt idx="423">
                  <c:v>38899</c:v>
                </c:pt>
                <c:pt idx="424">
                  <c:v>38930</c:v>
                </c:pt>
                <c:pt idx="425">
                  <c:v>38961</c:v>
                </c:pt>
                <c:pt idx="426">
                  <c:v>38991</c:v>
                </c:pt>
                <c:pt idx="427">
                  <c:v>39022</c:v>
                </c:pt>
                <c:pt idx="428">
                  <c:v>39052</c:v>
                </c:pt>
                <c:pt idx="429">
                  <c:v>39083</c:v>
                </c:pt>
                <c:pt idx="430">
                  <c:v>39114</c:v>
                </c:pt>
                <c:pt idx="431">
                  <c:v>39142</c:v>
                </c:pt>
                <c:pt idx="432">
                  <c:v>39173</c:v>
                </c:pt>
                <c:pt idx="433">
                  <c:v>39203</c:v>
                </c:pt>
                <c:pt idx="434">
                  <c:v>39234</c:v>
                </c:pt>
                <c:pt idx="435">
                  <c:v>39264</c:v>
                </c:pt>
                <c:pt idx="436">
                  <c:v>39295</c:v>
                </c:pt>
                <c:pt idx="437">
                  <c:v>39326</c:v>
                </c:pt>
                <c:pt idx="438">
                  <c:v>39356</c:v>
                </c:pt>
                <c:pt idx="439">
                  <c:v>39387</c:v>
                </c:pt>
                <c:pt idx="440">
                  <c:v>39417</c:v>
                </c:pt>
                <c:pt idx="441">
                  <c:v>39448</c:v>
                </c:pt>
                <c:pt idx="442">
                  <c:v>39479</c:v>
                </c:pt>
                <c:pt idx="443">
                  <c:v>39508</c:v>
                </c:pt>
                <c:pt idx="444">
                  <c:v>39539</c:v>
                </c:pt>
                <c:pt idx="445">
                  <c:v>39569</c:v>
                </c:pt>
                <c:pt idx="446">
                  <c:v>39600</c:v>
                </c:pt>
                <c:pt idx="447">
                  <c:v>39630</c:v>
                </c:pt>
                <c:pt idx="448">
                  <c:v>39661</c:v>
                </c:pt>
                <c:pt idx="449">
                  <c:v>39692</c:v>
                </c:pt>
                <c:pt idx="450">
                  <c:v>39722</c:v>
                </c:pt>
                <c:pt idx="451">
                  <c:v>39753</c:v>
                </c:pt>
                <c:pt idx="452">
                  <c:v>39783</c:v>
                </c:pt>
                <c:pt idx="453">
                  <c:v>39814</c:v>
                </c:pt>
                <c:pt idx="454">
                  <c:v>39845</c:v>
                </c:pt>
                <c:pt idx="455">
                  <c:v>39873</c:v>
                </c:pt>
                <c:pt idx="456">
                  <c:v>39904</c:v>
                </c:pt>
                <c:pt idx="457">
                  <c:v>39934</c:v>
                </c:pt>
                <c:pt idx="458">
                  <c:v>39965</c:v>
                </c:pt>
                <c:pt idx="459">
                  <c:v>39995</c:v>
                </c:pt>
                <c:pt idx="460">
                  <c:v>40026</c:v>
                </c:pt>
                <c:pt idx="461">
                  <c:v>40057</c:v>
                </c:pt>
                <c:pt idx="462">
                  <c:v>40087</c:v>
                </c:pt>
                <c:pt idx="463">
                  <c:v>40118</c:v>
                </c:pt>
                <c:pt idx="464">
                  <c:v>40148</c:v>
                </c:pt>
                <c:pt idx="465">
                  <c:v>40179</c:v>
                </c:pt>
                <c:pt idx="466">
                  <c:v>40210</c:v>
                </c:pt>
                <c:pt idx="467">
                  <c:v>40238</c:v>
                </c:pt>
                <c:pt idx="468">
                  <c:v>40269</c:v>
                </c:pt>
                <c:pt idx="469">
                  <c:v>40299</c:v>
                </c:pt>
                <c:pt idx="470">
                  <c:v>40330</c:v>
                </c:pt>
                <c:pt idx="471">
                  <c:v>40360</c:v>
                </c:pt>
                <c:pt idx="472">
                  <c:v>40391</c:v>
                </c:pt>
                <c:pt idx="473">
                  <c:v>40422</c:v>
                </c:pt>
                <c:pt idx="474">
                  <c:v>40452</c:v>
                </c:pt>
                <c:pt idx="475">
                  <c:v>40483</c:v>
                </c:pt>
                <c:pt idx="476">
                  <c:v>40513</c:v>
                </c:pt>
                <c:pt idx="477">
                  <c:v>40544</c:v>
                </c:pt>
                <c:pt idx="478">
                  <c:v>40575</c:v>
                </c:pt>
                <c:pt idx="479">
                  <c:v>40603</c:v>
                </c:pt>
                <c:pt idx="480">
                  <c:v>40634</c:v>
                </c:pt>
                <c:pt idx="481">
                  <c:v>40664</c:v>
                </c:pt>
                <c:pt idx="482">
                  <c:v>40695</c:v>
                </c:pt>
                <c:pt idx="483">
                  <c:v>40725</c:v>
                </c:pt>
                <c:pt idx="484">
                  <c:v>40756</c:v>
                </c:pt>
                <c:pt idx="485">
                  <c:v>40787</c:v>
                </c:pt>
                <c:pt idx="486">
                  <c:v>40817</c:v>
                </c:pt>
                <c:pt idx="487">
                  <c:v>40848</c:v>
                </c:pt>
                <c:pt idx="488">
                  <c:v>40878</c:v>
                </c:pt>
                <c:pt idx="489">
                  <c:v>40909</c:v>
                </c:pt>
                <c:pt idx="490">
                  <c:v>40940</c:v>
                </c:pt>
                <c:pt idx="491">
                  <c:v>40969</c:v>
                </c:pt>
                <c:pt idx="492">
                  <c:v>41000</c:v>
                </c:pt>
                <c:pt idx="493">
                  <c:v>41030</c:v>
                </c:pt>
                <c:pt idx="494">
                  <c:v>41061</c:v>
                </c:pt>
                <c:pt idx="495">
                  <c:v>41091</c:v>
                </c:pt>
                <c:pt idx="496">
                  <c:v>41122</c:v>
                </c:pt>
                <c:pt idx="497">
                  <c:v>41153</c:v>
                </c:pt>
                <c:pt idx="498">
                  <c:v>41183</c:v>
                </c:pt>
                <c:pt idx="499">
                  <c:v>41214</c:v>
                </c:pt>
                <c:pt idx="500">
                  <c:v>41244</c:v>
                </c:pt>
                <c:pt idx="501">
                  <c:v>41275</c:v>
                </c:pt>
                <c:pt idx="502">
                  <c:v>41306</c:v>
                </c:pt>
                <c:pt idx="503">
                  <c:v>41334</c:v>
                </c:pt>
                <c:pt idx="504">
                  <c:v>41365</c:v>
                </c:pt>
                <c:pt idx="505">
                  <c:v>41395</c:v>
                </c:pt>
                <c:pt idx="506">
                  <c:v>41426</c:v>
                </c:pt>
                <c:pt idx="507">
                  <c:v>41456</c:v>
                </c:pt>
                <c:pt idx="508">
                  <c:v>41487</c:v>
                </c:pt>
                <c:pt idx="509">
                  <c:v>41518</c:v>
                </c:pt>
                <c:pt idx="510">
                  <c:v>41548</c:v>
                </c:pt>
                <c:pt idx="511">
                  <c:v>41579</c:v>
                </c:pt>
                <c:pt idx="512">
                  <c:v>41609</c:v>
                </c:pt>
                <c:pt idx="513">
                  <c:v>41640</c:v>
                </c:pt>
                <c:pt idx="514">
                  <c:v>41671</c:v>
                </c:pt>
                <c:pt idx="515">
                  <c:v>41699</c:v>
                </c:pt>
                <c:pt idx="516">
                  <c:v>41730</c:v>
                </c:pt>
                <c:pt idx="517">
                  <c:v>41760</c:v>
                </c:pt>
                <c:pt idx="518">
                  <c:v>41791</c:v>
                </c:pt>
                <c:pt idx="519">
                  <c:v>41821</c:v>
                </c:pt>
                <c:pt idx="520">
                  <c:v>41852</c:v>
                </c:pt>
                <c:pt idx="521">
                  <c:v>41883</c:v>
                </c:pt>
                <c:pt idx="522">
                  <c:v>41913</c:v>
                </c:pt>
                <c:pt idx="523">
                  <c:v>41944</c:v>
                </c:pt>
                <c:pt idx="524">
                  <c:v>41974</c:v>
                </c:pt>
                <c:pt idx="525">
                  <c:v>42005</c:v>
                </c:pt>
                <c:pt idx="526">
                  <c:v>42036</c:v>
                </c:pt>
                <c:pt idx="527">
                  <c:v>42064</c:v>
                </c:pt>
                <c:pt idx="528">
                  <c:v>42095</c:v>
                </c:pt>
                <c:pt idx="529">
                  <c:v>42125</c:v>
                </c:pt>
                <c:pt idx="530">
                  <c:v>42156</c:v>
                </c:pt>
                <c:pt idx="531">
                  <c:v>42186</c:v>
                </c:pt>
                <c:pt idx="532">
                  <c:v>42217</c:v>
                </c:pt>
                <c:pt idx="533">
                  <c:v>42248</c:v>
                </c:pt>
                <c:pt idx="534">
                  <c:v>42278</c:v>
                </c:pt>
                <c:pt idx="535">
                  <c:v>42309</c:v>
                </c:pt>
                <c:pt idx="536">
                  <c:v>42339</c:v>
                </c:pt>
                <c:pt idx="537">
                  <c:v>42370</c:v>
                </c:pt>
                <c:pt idx="538">
                  <c:v>42401</c:v>
                </c:pt>
                <c:pt idx="539">
                  <c:v>42430</c:v>
                </c:pt>
                <c:pt idx="540">
                  <c:v>42461</c:v>
                </c:pt>
                <c:pt idx="541">
                  <c:v>42491</c:v>
                </c:pt>
                <c:pt idx="542">
                  <c:v>42522</c:v>
                </c:pt>
                <c:pt idx="543">
                  <c:v>42552</c:v>
                </c:pt>
                <c:pt idx="544">
                  <c:v>42583</c:v>
                </c:pt>
                <c:pt idx="545">
                  <c:v>42614</c:v>
                </c:pt>
                <c:pt idx="546">
                  <c:v>42644</c:v>
                </c:pt>
                <c:pt idx="547">
                  <c:v>42675</c:v>
                </c:pt>
                <c:pt idx="548">
                  <c:v>42705</c:v>
                </c:pt>
                <c:pt idx="549">
                  <c:v>42736</c:v>
                </c:pt>
                <c:pt idx="550">
                  <c:v>42767</c:v>
                </c:pt>
                <c:pt idx="551">
                  <c:v>42795</c:v>
                </c:pt>
                <c:pt idx="552">
                  <c:v>42826</c:v>
                </c:pt>
                <c:pt idx="553">
                  <c:v>42856</c:v>
                </c:pt>
                <c:pt idx="554">
                  <c:v>42887</c:v>
                </c:pt>
                <c:pt idx="555">
                  <c:v>42917</c:v>
                </c:pt>
                <c:pt idx="556">
                  <c:v>42948</c:v>
                </c:pt>
                <c:pt idx="557">
                  <c:v>42979</c:v>
                </c:pt>
                <c:pt idx="558">
                  <c:v>43009</c:v>
                </c:pt>
                <c:pt idx="559">
                  <c:v>43040</c:v>
                </c:pt>
                <c:pt idx="560">
                  <c:v>43070</c:v>
                </c:pt>
                <c:pt idx="561">
                  <c:v>43101</c:v>
                </c:pt>
                <c:pt idx="562">
                  <c:v>43132</c:v>
                </c:pt>
                <c:pt idx="563">
                  <c:v>43160</c:v>
                </c:pt>
                <c:pt idx="564">
                  <c:v>43191</c:v>
                </c:pt>
                <c:pt idx="565">
                  <c:v>43221</c:v>
                </c:pt>
                <c:pt idx="566">
                  <c:v>43252</c:v>
                </c:pt>
                <c:pt idx="567">
                  <c:v>43282</c:v>
                </c:pt>
                <c:pt idx="568">
                  <c:v>43313</c:v>
                </c:pt>
                <c:pt idx="569">
                  <c:v>43344</c:v>
                </c:pt>
                <c:pt idx="570">
                  <c:v>43374</c:v>
                </c:pt>
                <c:pt idx="571">
                  <c:v>43405</c:v>
                </c:pt>
                <c:pt idx="572">
                  <c:v>43435</c:v>
                </c:pt>
                <c:pt idx="573">
                  <c:v>43466</c:v>
                </c:pt>
                <c:pt idx="574">
                  <c:v>43497</c:v>
                </c:pt>
                <c:pt idx="575">
                  <c:v>43525</c:v>
                </c:pt>
                <c:pt idx="576">
                  <c:v>43556</c:v>
                </c:pt>
                <c:pt idx="577">
                  <c:v>43586</c:v>
                </c:pt>
                <c:pt idx="578">
                  <c:v>43617</c:v>
                </c:pt>
                <c:pt idx="579">
                  <c:v>43647</c:v>
                </c:pt>
                <c:pt idx="580">
                  <c:v>43678</c:v>
                </c:pt>
                <c:pt idx="581">
                  <c:v>43709</c:v>
                </c:pt>
                <c:pt idx="582">
                  <c:v>43739</c:v>
                </c:pt>
                <c:pt idx="583">
                  <c:v>43770</c:v>
                </c:pt>
                <c:pt idx="584">
                  <c:v>43800</c:v>
                </c:pt>
                <c:pt idx="585">
                  <c:v>43831</c:v>
                </c:pt>
                <c:pt idx="586">
                  <c:v>43862</c:v>
                </c:pt>
                <c:pt idx="587">
                  <c:v>43891</c:v>
                </c:pt>
                <c:pt idx="588">
                  <c:v>43922</c:v>
                </c:pt>
                <c:pt idx="589">
                  <c:v>43952</c:v>
                </c:pt>
                <c:pt idx="590">
                  <c:v>43983</c:v>
                </c:pt>
                <c:pt idx="591">
                  <c:v>44013</c:v>
                </c:pt>
                <c:pt idx="592">
                  <c:v>44044</c:v>
                </c:pt>
                <c:pt idx="593">
                  <c:v>44075</c:v>
                </c:pt>
                <c:pt idx="594">
                  <c:v>44105</c:v>
                </c:pt>
                <c:pt idx="595">
                  <c:v>44136</c:v>
                </c:pt>
                <c:pt idx="596">
                  <c:v>44166</c:v>
                </c:pt>
                <c:pt idx="597">
                  <c:v>44197</c:v>
                </c:pt>
                <c:pt idx="598">
                  <c:v>44228</c:v>
                </c:pt>
                <c:pt idx="599">
                  <c:v>44256</c:v>
                </c:pt>
                <c:pt idx="600">
                  <c:v>44287</c:v>
                </c:pt>
                <c:pt idx="601">
                  <c:v>44317</c:v>
                </c:pt>
                <c:pt idx="602">
                  <c:v>44348</c:v>
                </c:pt>
                <c:pt idx="603">
                  <c:v>44378</c:v>
                </c:pt>
                <c:pt idx="604">
                  <c:v>44409</c:v>
                </c:pt>
                <c:pt idx="605">
                  <c:v>44440</c:v>
                </c:pt>
                <c:pt idx="606">
                  <c:v>44470</c:v>
                </c:pt>
                <c:pt idx="607">
                  <c:v>44501</c:v>
                </c:pt>
                <c:pt idx="608">
                  <c:v>44531</c:v>
                </c:pt>
                <c:pt idx="609">
                  <c:v>44562</c:v>
                </c:pt>
                <c:pt idx="610">
                  <c:v>44593</c:v>
                </c:pt>
                <c:pt idx="611">
                  <c:v>44621</c:v>
                </c:pt>
                <c:pt idx="612">
                  <c:v>44652</c:v>
                </c:pt>
                <c:pt idx="613">
                  <c:v>44682</c:v>
                </c:pt>
                <c:pt idx="614">
                  <c:v>44713</c:v>
                </c:pt>
                <c:pt idx="615">
                  <c:v>44743</c:v>
                </c:pt>
                <c:pt idx="616">
                  <c:v>44774</c:v>
                </c:pt>
                <c:pt idx="617">
                  <c:v>44805</c:v>
                </c:pt>
                <c:pt idx="618">
                  <c:v>44835</c:v>
                </c:pt>
                <c:pt idx="619">
                  <c:v>44866</c:v>
                </c:pt>
                <c:pt idx="620">
                  <c:v>44896</c:v>
                </c:pt>
                <c:pt idx="621">
                  <c:v>44927</c:v>
                </c:pt>
                <c:pt idx="622">
                  <c:v>44958</c:v>
                </c:pt>
                <c:pt idx="623">
                  <c:v>44986</c:v>
                </c:pt>
                <c:pt idx="624">
                  <c:v>45017</c:v>
                </c:pt>
                <c:pt idx="625">
                  <c:v>45047</c:v>
                </c:pt>
                <c:pt idx="626">
                  <c:v>45078</c:v>
                </c:pt>
                <c:pt idx="627">
                  <c:v>45108</c:v>
                </c:pt>
                <c:pt idx="628">
                  <c:v>45139</c:v>
                </c:pt>
                <c:pt idx="629">
                  <c:v>45170</c:v>
                </c:pt>
                <c:pt idx="630">
                  <c:v>45200</c:v>
                </c:pt>
                <c:pt idx="631">
                  <c:v>45231</c:v>
                </c:pt>
                <c:pt idx="632">
                  <c:v>45261</c:v>
                </c:pt>
              </c:numCache>
            </c:numRef>
          </c:cat>
          <c:val>
            <c:numRef>
              <c:f>'Housing Market'!$B$126:$B$758</c:f>
              <c:numCache>
                <c:formatCode>0.00</c:formatCode>
                <c:ptCount val="633"/>
                <c:pt idx="0">
                  <c:v>7.29</c:v>
                </c:pt>
                <c:pt idx="1">
                  <c:v>7.46</c:v>
                </c:pt>
                <c:pt idx="2">
                  <c:v>7.54</c:v>
                </c:pt>
                <c:pt idx="3">
                  <c:v>7.69</c:v>
                </c:pt>
                <c:pt idx="4">
                  <c:v>7.69</c:v>
                </c:pt>
                <c:pt idx="5">
                  <c:v>7.67</c:v>
                </c:pt>
                <c:pt idx="6">
                  <c:v>7.63</c:v>
                </c:pt>
                <c:pt idx="7">
                  <c:v>7.51</c:v>
                </c:pt>
                <c:pt idx="8">
                  <c:v>7.48</c:v>
                </c:pt>
                <c:pt idx="9">
                  <c:v>7.4</c:v>
                </c:pt>
                <c:pt idx="10">
                  <c:v>7.31</c:v>
                </c:pt>
                <c:pt idx="11">
                  <c:v>7.23</c:v>
                </c:pt>
                <c:pt idx="12">
                  <c:v>7.33</c:v>
                </c:pt>
                <c:pt idx="13">
                  <c:v>7.4</c:v>
                </c:pt>
                <c:pt idx="14">
                  <c:v>7.38</c:v>
                </c:pt>
                <c:pt idx="15">
                  <c:v>7.4</c:v>
                </c:pt>
                <c:pt idx="16">
                  <c:v>7.42</c:v>
                </c:pt>
                <c:pt idx="17">
                  <c:v>7.43</c:v>
                </c:pt>
                <c:pt idx="18">
                  <c:v>7.42</c:v>
                </c:pt>
                <c:pt idx="19">
                  <c:v>7.44</c:v>
                </c:pt>
                <c:pt idx="20">
                  <c:v>7.45</c:v>
                </c:pt>
                <c:pt idx="21">
                  <c:v>7.43</c:v>
                </c:pt>
                <c:pt idx="22">
                  <c:v>7.45</c:v>
                </c:pt>
                <c:pt idx="23">
                  <c:v>7.49</c:v>
                </c:pt>
                <c:pt idx="24">
                  <c:v>7.56</c:v>
                </c:pt>
                <c:pt idx="25">
                  <c:v>7.7</c:v>
                </c:pt>
                <c:pt idx="26">
                  <c:v>7.76</c:v>
                </c:pt>
                <c:pt idx="27">
                  <c:v>8.18</c:v>
                </c:pt>
                <c:pt idx="28">
                  <c:v>8.66</c:v>
                </c:pt>
                <c:pt idx="29">
                  <c:v>8.85</c:v>
                </c:pt>
                <c:pt idx="30">
                  <c:v>8.68</c:v>
                </c:pt>
                <c:pt idx="31">
                  <c:v>8.5500000000000007</c:v>
                </c:pt>
                <c:pt idx="32">
                  <c:v>8.56</c:v>
                </c:pt>
                <c:pt idx="33">
                  <c:v>8.52</c:v>
                </c:pt>
                <c:pt idx="34">
                  <c:v>8.42</c:v>
                </c:pt>
                <c:pt idx="35">
                  <c:v>8.41</c:v>
                </c:pt>
                <c:pt idx="36">
                  <c:v>8.73</c:v>
                </c:pt>
                <c:pt idx="37">
                  <c:v>9.0299999999999994</c:v>
                </c:pt>
                <c:pt idx="38">
                  <c:v>9.1</c:v>
                </c:pt>
                <c:pt idx="39">
                  <c:v>9.42</c:v>
                </c:pt>
                <c:pt idx="40">
                  <c:v>9.74</c:v>
                </c:pt>
                <c:pt idx="41">
                  <c:v>10.029999999999999</c:v>
                </c:pt>
                <c:pt idx="42">
                  <c:v>9.94</c:v>
                </c:pt>
                <c:pt idx="43">
                  <c:v>9.7200000000000006</c:v>
                </c:pt>
                <c:pt idx="44">
                  <c:v>9.56</c:v>
                </c:pt>
                <c:pt idx="45">
                  <c:v>9.2899999999999991</c:v>
                </c:pt>
                <c:pt idx="46">
                  <c:v>9.02</c:v>
                </c:pt>
                <c:pt idx="47">
                  <c:v>8.86</c:v>
                </c:pt>
                <c:pt idx="48">
                  <c:v>8.84</c:v>
                </c:pt>
                <c:pt idx="49">
                  <c:v>8.89</c:v>
                </c:pt>
                <c:pt idx="50">
                  <c:v>8.9</c:v>
                </c:pt>
                <c:pt idx="51">
                  <c:v>8.89</c:v>
                </c:pt>
                <c:pt idx="52">
                  <c:v>9.02</c:v>
                </c:pt>
                <c:pt idx="53">
                  <c:v>9.14</c:v>
                </c:pt>
                <c:pt idx="54">
                  <c:v>9.24</c:v>
                </c:pt>
                <c:pt idx="55">
                  <c:v>9.11</c:v>
                </c:pt>
                <c:pt idx="56">
                  <c:v>9.09</c:v>
                </c:pt>
                <c:pt idx="57">
                  <c:v>8.9</c:v>
                </c:pt>
                <c:pt idx="58">
                  <c:v>8.75</c:v>
                </c:pt>
                <c:pt idx="59">
                  <c:v>8.75</c:v>
                </c:pt>
                <c:pt idx="60">
                  <c:v>8.75</c:v>
                </c:pt>
                <c:pt idx="61">
                  <c:v>8.7799999999999994</c:v>
                </c:pt>
                <c:pt idx="62">
                  <c:v>8.9</c:v>
                </c:pt>
                <c:pt idx="63">
                  <c:v>8.98</c:v>
                </c:pt>
                <c:pt idx="64">
                  <c:v>9</c:v>
                </c:pt>
                <c:pt idx="65">
                  <c:v>8.9700000000000006</c:v>
                </c:pt>
                <c:pt idx="66">
                  <c:v>8.9</c:v>
                </c:pt>
                <c:pt idx="67">
                  <c:v>8.8000000000000007</c:v>
                </c:pt>
                <c:pt idx="68">
                  <c:v>8.7799999999999994</c:v>
                </c:pt>
                <c:pt idx="69">
                  <c:v>8.73</c:v>
                </c:pt>
                <c:pt idx="70">
                  <c:v>8.65</c:v>
                </c:pt>
                <c:pt idx="71">
                  <c:v>8.6999999999999993</c:v>
                </c:pt>
                <c:pt idx="72">
                  <c:v>8.7799999999999994</c:v>
                </c:pt>
                <c:pt idx="73">
                  <c:v>8.85</c:v>
                </c:pt>
                <c:pt idx="74">
                  <c:v>8.8800000000000008</c:v>
                </c:pt>
                <c:pt idx="75">
                  <c:v>8.93</c:v>
                </c:pt>
                <c:pt idx="76">
                  <c:v>8.93</c:v>
                </c:pt>
                <c:pt idx="77">
                  <c:v>8.9</c:v>
                </c:pt>
                <c:pt idx="78">
                  <c:v>8.9</c:v>
                </c:pt>
                <c:pt idx="79">
                  <c:v>8.93</c:v>
                </c:pt>
                <c:pt idx="80">
                  <c:v>9</c:v>
                </c:pt>
                <c:pt idx="81">
                  <c:v>9.0500000000000007</c:v>
                </c:pt>
                <c:pt idx="82">
                  <c:v>9.15</c:v>
                </c:pt>
                <c:pt idx="83">
                  <c:v>9.25</c:v>
                </c:pt>
                <c:pt idx="84">
                  <c:v>9.43</c:v>
                </c:pt>
                <c:pt idx="85">
                  <c:v>9.68</c:v>
                </c:pt>
                <c:pt idx="86">
                  <c:v>9.73</c:v>
                </c:pt>
                <c:pt idx="87">
                  <c:v>9.75</c:v>
                </c:pt>
                <c:pt idx="88">
                  <c:v>9.8000000000000007</c:v>
                </c:pt>
                <c:pt idx="89">
                  <c:v>9.7799999999999994</c:v>
                </c:pt>
                <c:pt idx="90">
                  <c:v>9.8800000000000008</c:v>
                </c:pt>
                <c:pt idx="91">
                  <c:v>10.28</c:v>
                </c:pt>
                <c:pt idx="92">
                  <c:v>10.38</c:v>
                </c:pt>
                <c:pt idx="93">
                  <c:v>10.4</c:v>
                </c:pt>
                <c:pt idx="94">
                  <c:v>10.4</c:v>
                </c:pt>
                <c:pt idx="95">
                  <c:v>10.45</c:v>
                </c:pt>
                <c:pt idx="96">
                  <c:v>10.53</c:v>
                </c:pt>
                <c:pt idx="97">
                  <c:v>10.75</c:v>
                </c:pt>
                <c:pt idx="98">
                  <c:v>11.1</c:v>
                </c:pt>
                <c:pt idx="99">
                  <c:v>11.08</c:v>
                </c:pt>
                <c:pt idx="100">
                  <c:v>11.13</c:v>
                </c:pt>
                <c:pt idx="101">
                  <c:v>11.35</c:v>
                </c:pt>
                <c:pt idx="102">
                  <c:v>12</c:v>
                </c:pt>
                <c:pt idx="103">
                  <c:v>12.9</c:v>
                </c:pt>
                <c:pt idx="104">
                  <c:v>12.9</c:v>
                </c:pt>
                <c:pt idx="105">
                  <c:v>12.89</c:v>
                </c:pt>
                <c:pt idx="106">
                  <c:v>13.59</c:v>
                </c:pt>
                <c:pt idx="107">
                  <c:v>16.03</c:v>
                </c:pt>
                <c:pt idx="108">
                  <c:v>16.25</c:v>
                </c:pt>
                <c:pt idx="109">
                  <c:v>13.2</c:v>
                </c:pt>
                <c:pt idx="110">
                  <c:v>12.35</c:v>
                </c:pt>
                <c:pt idx="111">
                  <c:v>12.18</c:v>
                </c:pt>
                <c:pt idx="112">
                  <c:v>12.95</c:v>
                </c:pt>
                <c:pt idx="113">
                  <c:v>13.43</c:v>
                </c:pt>
                <c:pt idx="114">
                  <c:v>14</c:v>
                </c:pt>
                <c:pt idx="115">
                  <c:v>14.28</c:v>
                </c:pt>
                <c:pt idx="116">
                  <c:v>14.95</c:v>
                </c:pt>
                <c:pt idx="117">
                  <c:v>15.07</c:v>
                </c:pt>
                <c:pt idx="118">
                  <c:v>15.3</c:v>
                </c:pt>
                <c:pt idx="119">
                  <c:v>15.4</c:v>
                </c:pt>
                <c:pt idx="120">
                  <c:v>15.77</c:v>
                </c:pt>
                <c:pt idx="121">
                  <c:v>16.8</c:v>
                </c:pt>
                <c:pt idx="122">
                  <c:v>16.62</c:v>
                </c:pt>
                <c:pt idx="123">
                  <c:v>17.11</c:v>
                </c:pt>
                <c:pt idx="124">
                  <c:v>17.48</c:v>
                </c:pt>
                <c:pt idx="125">
                  <c:v>18.36</c:v>
                </c:pt>
                <c:pt idx="126">
                  <c:v>18.440000000000001</c:v>
                </c:pt>
                <c:pt idx="127">
                  <c:v>17.21</c:v>
                </c:pt>
                <c:pt idx="128">
                  <c:v>17.04</c:v>
                </c:pt>
                <c:pt idx="129">
                  <c:v>17.59</c:v>
                </c:pt>
                <c:pt idx="130">
                  <c:v>17.52</c:v>
                </c:pt>
                <c:pt idx="131">
                  <c:v>17.04</c:v>
                </c:pt>
                <c:pt idx="132">
                  <c:v>16.809999999999999</c:v>
                </c:pt>
                <c:pt idx="133">
                  <c:v>16.63</c:v>
                </c:pt>
                <c:pt idx="134">
                  <c:v>16.73</c:v>
                </c:pt>
                <c:pt idx="135">
                  <c:v>16.649999999999999</c:v>
                </c:pt>
                <c:pt idx="136">
                  <c:v>15.88</c:v>
                </c:pt>
                <c:pt idx="137">
                  <c:v>15.19</c:v>
                </c:pt>
                <c:pt idx="138">
                  <c:v>14.15</c:v>
                </c:pt>
                <c:pt idx="139">
                  <c:v>13.77</c:v>
                </c:pt>
                <c:pt idx="140">
                  <c:v>13.57</c:v>
                </c:pt>
                <c:pt idx="141">
                  <c:v>13.1</c:v>
                </c:pt>
                <c:pt idx="142">
                  <c:v>12.98</c:v>
                </c:pt>
                <c:pt idx="143">
                  <c:v>12.86</c:v>
                </c:pt>
                <c:pt idx="144">
                  <c:v>12.73</c:v>
                </c:pt>
                <c:pt idx="145">
                  <c:v>12.68</c:v>
                </c:pt>
                <c:pt idx="146">
                  <c:v>12.96</c:v>
                </c:pt>
                <c:pt idx="147">
                  <c:v>13.65</c:v>
                </c:pt>
                <c:pt idx="148">
                  <c:v>13.78</c:v>
                </c:pt>
                <c:pt idx="149">
                  <c:v>13.65</c:v>
                </c:pt>
                <c:pt idx="150">
                  <c:v>13.43</c:v>
                </c:pt>
                <c:pt idx="151">
                  <c:v>13.43</c:v>
                </c:pt>
                <c:pt idx="152">
                  <c:v>13.43</c:v>
                </c:pt>
                <c:pt idx="153">
                  <c:v>13.29</c:v>
                </c:pt>
                <c:pt idx="154">
                  <c:v>13.25</c:v>
                </c:pt>
                <c:pt idx="155">
                  <c:v>13.55</c:v>
                </c:pt>
                <c:pt idx="156">
                  <c:v>13.73</c:v>
                </c:pt>
                <c:pt idx="157">
                  <c:v>14.08</c:v>
                </c:pt>
                <c:pt idx="158">
                  <c:v>14.5</c:v>
                </c:pt>
                <c:pt idx="159">
                  <c:v>14.67</c:v>
                </c:pt>
                <c:pt idx="160">
                  <c:v>14.38</c:v>
                </c:pt>
                <c:pt idx="161">
                  <c:v>14.26</c:v>
                </c:pt>
                <c:pt idx="162">
                  <c:v>14.05</c:v>
                </c:pt>
                <c:pt idx="163">
                  <c:v>13.42</c:v>
                </c:pt>
                <c:pt idx="164">
                  <c:v>13.14</c:v>
                </c:pt>
                <c:pt idx="165">
                  <c:v>12.96</c:v>
                </c:pt>
                <c:pt idx="166">
                  <c:v>12.94</c:v>
                </c:pt>
                <c:pt idx="167">
                  <c:v>13.29</c:v>
                </c:pt>
                <c:pt idx="168">
                  <c:v>13.12</c:v>
                </c:pt>
                <c:pt idx="169">
                  <c:v>12.71</c:v>
                </c:pt>
                <c:pt idx="170">
                  <c:v>12.15</c:v>
                </c:pt>
                <c:pt idx="171">
                  <c:v>12.03</c:v>
                </c:pt>
                <c:pt idx="172">
                  <c:v>12.11</c:v>
                </c:pt>
                <c:pt idx="173">
                  <c:v>12.17</c:v>
                </c:pt>
                <c:pt idx="174">
                  <c:v>12.07</c:v>
                </c:pt>
                <c:pt idx="175">
                  <c:v>11.58</c:v>
                </c:pt>
                <c:pt idx="176">
                  <c:v>11.09</c:v>
                </c:pt>
                <c:pt idx="177">
                  <c:v>10.89</c:v>
                </c:pt>
                <c:pt idx="178">
                  <c:v>10.51</c:v>
                </c:pt>
                <c:pt idx="179">
                  <c:v>10.1</c:v>
                </c:pt>
                <c:pt idx="180">
                  <c:v>9.86</c:v>
                </c:pt>
                <c:pt idx="181">
                  <c:v>10.38</c:v>
                </c:pt>
                <c:pt idx="182">
                  <c:v>10.62</c:v>
                </c:pt>
                <c:pt idx="183">
                  <c:v>10.4</c:v>
                </c:pt>
                <c:pt idx="184">
                  <c:v>9.93</c:v>
                </c:pt>
                <c:pt idx="185">
                  <c:v>10.1</c:v>
                </c:pt>
                <c:pt idx="186">
                  <c:v>9.89</c:v>
                </c:pt>
                <c:pt idx="187">
                  <c:v>9.5</c:v>
                </c:pt>
                <c:pt idx="188">
                  <c:v>9.2899999999999991</c:v>
                </c:pt>
                <c:pt idx="189">
                  <c:v>9.08</c:v>
                </c:pt>
                <c:pt idx="190">
                  <c:v>9.07</c:v>
                </c:pt>
                <c:pt idx="191">
                  <c:v>9.0299999999999994</c:v>
                </c:pt>
                <c:pt idx="192">
                  <c:v>10.37</c:v>
                </c:pt>
                <c:pt idx="193">
                  <c:v>10.7</c:v>
                </c:pt>
                <c:pt idx="194">
                  <c:v>10.35</c:v>
                </c:pt>
                <c:pt idx="195">
                  <c:v>10.27</c:v>
                </c:pt>
                <c:pt idx="196">
                  <c:v>10.33</c:v>
                </c:pt>
                <c:pt idx="197">
                  <c:v>11.02</c:v>
                </c:pt>
                <c:pt idx="198">
                  <c:v>10.97</c:v>
                </c:pt>
                <c:pt idx="199">
                  <c:v>10.55</c:v>
                </c:pt>
                <c:pt idx="200">
                  <c:v>10.61</c:v>
                </c:pt>
                <c:pt idx="201">
                  <c:v>10.16</c:v>
                </c:pt>
                <c:pt idx="202">
                  <c:v>9.8699999999999992</c:v>
                </c:pt>
                <c:pt idx="203">
                  <c:v>9.99</c:v>
                </c:pt>
                <c:pt idx="204">
                  <c:v>10.28</c:v>
                </c:pt>
                <c:pt idx="205">
                  <c:v>10.58</c:v>
                </c:pt>
                <c:pt idx="206">
                  <c:v>10.4</c:v>
                </c:pt>
                <c:pt idx="207">
                  <c:v>10.49</c:v>
                </c:pt>
                <c:pt idx="208">
                  <c:v>10.67</c:v>
                </c:pt>
                <c:pt idx="209">
                  <c:v>10.42</c:v>
                </c:pt>
                <c:pt idx="210">
                  <c:v>10.220000000000001</c:v>
                </c:pt>
                <c:pt idx="211">
                  <c:v>10.39</c:v>
                </c:pt>
                <c:pt idx="212">
                  <c:v>10.77</c:v>
                </c:pt>
                <c:pt idx="213">
                  <c:v>10.6</c:v>
                </c:pt>
                <c:pt idx="214">
                  <c:v>10.78</c:v>
                </c:pt>
                <c:pt idx="215">
                  <c:v>11.19</c:v>
                </c:pt>
                <c:pt idx="216">
                  <c:v>11.03</c:v>
                </c:pt>
                <c:pt idx="217">
                  <c:v>10.5</c:v>
                </c:pt>
                <c:pt idx="218">
                  <c:v>10.07</c:v>
                </c:pt>
                <c:pt idx="219">
                  <c:v>9.81</c:v>
                </c:pt>
                <c:pt idx="220">
                  <c:v>10.210000000000001</c:v>
                </c:pt>
                <c:pt idx="221">
                  <c:v>10.16</c:v>
                </c:pt>
                <c:pt idx="222">
                  <c:v>9.82</c:v>
                </c:pt>
                <c:pt idx="223">
                  <c:v>9.74</c:v>
                </c:pt>
                <c:pt idx="224">
                  <c:v>9.7799999999999994</c:v>
                </c:pt>
                <c:pt idx="225">
                  <c:v>10.050000000000001</c:v>
                </c:pt>
                <c:pt idx="226">
                  <c:v>10.31</c:v>
                </c:pt>
                <c:pt idx="227">
                  <c:v>10.220000000000001</c:v>
                </c:pt>
                <c:pt idx="228">
                  <c:v>10.56</c:v>
                </c:pt>
                <c:pt idx="229">
                  <c:v>10.33</c:v>
                </c:pt>
                <c:pt idx="230">
                  <c:v>10.15</c:v>
                </c:pt>
                <c:pt idx="231">
                  <c:v>9.98</c:v>
                </c:pt>
                <c:pt idx="232">
                  <c:v>10.24</c:v>
                </c:pt>
                <c:pt idx="233">
                  <c:v>10.220000000000001</c:v>
                </c:pt>
                <c:pt idx="234">
                  <c:v>10.17</c:v>
                </c:pt>
                <c:pt idx="235">
                  <c:v>9.9</c:v>
                </c:pt>
                <c:pt idx="236">
                  <c:v>9.68</c:v>
                </c:pt>
                <c:pt idx="237">
                  <c:v>9.61</c:v>
                </c:pt>
                <c:pt idx="238">
                  <c:v>9.2899999999999991</c:v>
                </c:pt>
                <c:pt idx="239">
                  <c:v>9.52</c:v>
                </c:pt>
                <c:pt idx="240">
                  <c:v>9.5299999999999994</c:v>
                </c:pt>
                <c:pt idx="241">
                  <c:v>9.4499999999999993</c:v>
                </c:pt>
                <c:pt idx="242">
                  <c:v>9.67</c:v>
                </c:pt>
                <c:pt idx="243">
                  <c:v>9.5</c:v>
                </c:pt>
                <c:pt idx="244">
                  <c:v>9.15</c:v>
                </c:pt>
                <c:pt idx="245">
                  <c:v>8.92</c:v>
                </c:pt>
                <c:pt idx="246">
                  <c:v>8.91</c:v>
                </c:pt>
                <c:pt idx="247">
                  <c:v>8.6999999999999993</c:v>
                </c:pt>
                <c:pt idx="248">
                  <c:v>8.35</c:v>
                </c:pt>
                <c:pt idx="249">
                  <c:v>8.68</c:v>
                </c:pt>
                <c:pt idx="250">
                  <c:v>8.83</c:v>
                </c:pt>
                <c:pt idx="251">
                  <c:v>8.98</c:v>
                </c:pt>
                <c:pt idx="252">
                  <c:v>8.85</c:v>
                </c:pt>
                <c:pt idx="253">
                  <c:v>8.6</c:v>
                </c:pt>
                <c:pt idx="254">
                  <c:v>8.43</c:v>
                </c:pt>
                <c:pt idx="255">
                  <c:v>8.0500000000000007</c:v>
                </c:pt>
                <c:pt idx="256">
                  <c:v>8.01</c:v>
                </c:pt>
                <c:pt idx="257">
                  <c:v>8.02</c:v>
                </c:pt>
                <c:pt idx="258">
                  <c:v>8.2100000000000009</c:v>
                </c:pt>
                <c:pt idx="259">
                  <c:v>8.2899999999999991</c:v>
                </c:pt>
                <c:pt idx="260">
                  <c:v>8.14</c:v>
                </c:pt>
                <c:pt idx="261">
                  <c:v>7.86</c:v>
                </c:pt>
                <c:pt idx="262">
                  <c:v>7.53</c:v>
                </c:pt>
                <c:pt idx="263">
                  <c:v>7.5</c:v>
                </c:pt>
                <c:pt idx="264">
                  <c:v>7.43</c:v>
                </c:pt>
                <c:pt idx="265">
                  <c:v>7.5</c:v>
                </c:pt>
                <c:pt idx="266">
                  <c:v>7.34</c:v>
                </c:pt>
                <c:pt idx="267">
                  <c:v>7.25</c:v>
                </c:pt>
                <c:pt idx="268">
                  <c:v>6.97</c:v>
                </c:pt>
                <c:pt idx="269">
                  <c:v>6.95</c:v>
                </c:pt>
                <c:pt idx="270">
                  <c:v>6.86</c:v>
                </c:pt>
                <c:pt idx="271">
                  <c:v>7.31</c:v>
                </c:pt>
                <c:pt idx="272">
                  <c:v>7.13</c:v>
                </c:pt>
                <c:pt idx="273">
                  <c:v>6.97</c:v>
                </c:pt>
                <c:pt idx="274">
                  <c:v>7.32</c:v>
                </c:pt>
                <c:pt idx="275">
                  <c:v>7.8</c:v>
                </c:pt>
                <c:pt idx="276">
                  <c:v>8.32</c:v>
                </c:pt>
                <c:pt idx="277">
                  <c:v>8.5299999999999994</c:v>
                </c:pt>
                <c:pt idx="278">
                  <c:v>8.4600000000000009</c:v>
                </c:pt>
                <c:pt idx="279">
                  <c:v>8.57</c:v>
                </c:pt>
                <c:pt idx="280">
                  <c:v>8.56</c:v>
                </c:pt>
                <c:pt idx="281">
                  <c:v>8.82</c:v>
                </c:pt>
                <c:pt idx="282">
                  <c:v>9.0299999999999994</c:v>
                </c:pt>
                <c:pt idx="283">
                  <c:v>9.25</c:v>
                </c:pt>
                <c:pt idx="284">
                  <c:v>9.18</c:v>
                </c:pt>
                <c:pt idx="285">
                  <c:v>9.1300000000000008</c:v>
                </c:pt>
                <c:pt idx="286">
                  <c:v>8.73</c:v>
                </c:pt>
                <c:pt idx="287">
                  <c:v>8.3800000000000008</c:v>
                </c:pt>
                <c:pt idx="288">
                  <c:v>8.26</c:v>
                </c:pt>
                <c:pt idx="289">
                  <c:v>7.85</c:v>
                </c:pt>
                <c:pt idx="290">
                  <c:v>7.53</c:v>
                </c:pt>
                <c:pt idx="291">
                  <c:v>7.79</c:v>
                </c:pt>
                <c:pt idx="292">
                  <c:v>7.88</c:v>
                </c:pt>
                <c:pt idx="293">
                  <c:v>7.62</c:v>
                </c:pt>
                <c:pt idx="294">
                  <c:v>7.45</c:v>
                </c:pt>
                <c:pt idx="295">
                  <c:v>7.35</c:v>
                </c:pt>
                <c:pt idx="296">
                  <c:v>7.11</c:v>
                </c:pt>
                <c:pt idx="297">
                  <c:v>7</c:v>
                </c:pt>
                <c:pt idx="298">
                  <c:v>7.32</c:v>
                </c:pt>
                <c:pt idx="299">
                  <c:v>7.69</c:v>
                </c:pt>
                <c:pt idx="300">
                  <c:v>7.92</c:v>
                </c:pt>
                <c:pt idx="301">
                  <c:v>8.0299999999999994</c:v>
                </c:pt>
                <c:pt idx="302">
                  <c:v>8.2899999999999991</c:v>
                </c:pt>
                <c:pt idx="303">
                  <c:v>8.19</c:v>
                </c:pt>
                <c:pt idx="304">
                  <c:v>8.09</c:v>
                </c:pt>
                <c:pt idx="305">
                  <c:v>8.16</c:v>
                </c:pt>
                <c:pt idx="306">
                  <c:v>7.86</c:v>
                </c:pt>
                <c:pt idx="307">
                  <c:v>7.52</c:v>
                </c:pt>
                <c:pt idx="308">
                  <c:v>7.64</c:v>
                </c:pt>
                <c:pt idx="309">
                  <c:v>7.88</c:v>
                </c:pt>
                <c:pt idx="310">
                  <c:v>7.65</c:v>
                </c:pt>
                <c:pt idx="311">
                  <c:v>7.97</c:v>
                </c:pt>
                <c:pt idx="312">
                  <c:v>8.08</c:v>
                </c:pt>
                <c:pt idx="313">
                  <c:v>7.94</c:v>
                </c:pt>
                <c:pt idx="314">
                  <c:v>7.58</c:v>
                </c:pt>
                <c:pt idx="315">
                  <c:v>7.43</c:v>
                </c:pt>
                <c:pt idx="316">
                  <c:v>7.58</c:v>
                </c:pt>
                <c:pt idx="317">
                  <c:v>7.28</c:v>
                </c:pt>
                <c:pt idx="318">
                  <c:v>7.21</c:v>
                </c:pt>
                <c:pt idx="319">
                  <c:v>7.17</c:v>
                </c:pt>
                <c:pt idx="320">
                  <c:v>6.99</c:v>
                </c:pt>
                <c:pt idx="321">
                  <c:v>7.12</c:v>
                </c:pt>
                <c:pt idx="322">
                  <c:v>7.09</c:v>
                </c:pt>
                <c:pt idx="323">
                  <c:v>7.08</c:v>
                </c:pt>
                <c:pt idx="324">
                  <c:v>7.15</c:v>
                </c:pt>
                <c:pt idx="325">
                  <c:v>7.07</c:v>
                </c:pt>
                <c:pt idx="326">
                  <c:v>6.96</c:v>
                </c:pt>
                <c:pt idx="327">
                  <c:v>6.97</c:v>
                </c:pt>
                <c:pt idx="328">
                  <c:v>6.92</c:v>
                </c:pt>
                <c:pt idx="329">
                  <c:v>6.64</c:v>
                </c:pt>
                <c:pt idx="330">
                  <c:v>6.83</c:v>
                </c:pt>
                <c:pt idx="331">
                  <c:v>6.78</c:v>
                </c:pt>
                <c:pt idx="332">
                  <c:v>6.83</c:v>
                </c:pt>
                <c:pt idx="333">
                  <c:v>6.74</c:v>
                </c:pt>
                <c:pt idx="334">
                  <c:v>6.89</c:v>
                </c:pt>
                <c:pt idx="335">
                  <c:v>6.98</c:v>
                </c:pt>
                <c:pt idx="336">
                  <c:v>6.93</c:v>
                </c:pt>
                <c:pt idx="337">
                  <c:v>7.23</c:v>
                </c:pt>
                <c:pt idx="338">
                  <c:v>7.63</c:v>
                </c:pt>
                <c:pt idx="339">
                  <c:v>7.7</c:v>
                </c:pt>
                <c:pt idx="340">
                  <c:v>7.8</c:v>
                </c:pt>
                <c:pt idx="341">
                  <c:v>7.76</c:v>
                </c:pt>
                <c:pt idx="342">
                  <c:v>7.96</c:v>
                </c:pt>
                <c:pt idx="343">
                  <c:v>7.75</c:v>
                </c:pt>
                <c:pt idx="344">
                  <c:v>8.06</c:v>
                </c:pt>
                <c:pt idx="345">
                  <c:v>8.25</c:v>
                </c:pt>
                <c:pt idx="346">
                  <c:v>8.31</c:v>
                </c:pt>
                <c:pt idx="347">
                  <c:v>8.23</c:v>
                </c:pt>
                <c:pt idx="348">
                  <c:v>8.1300000000000008</c:v>
                </c:pt>
                <c:pt idx="349">
                  <c:v>8.6199999999999992</c:v>
                </c:pt>
                <c:pt idx="350">
                  <c:v>8.2200000000000006</c:v>
                </c:pt>
                <c:pt idx="351">
                  <c:v>8.1300000000000008</c:v>
                </c:pt>
                <c:pt idx="352">
                  <c:v>7.99</c:v>
                </c:pt>
                <c:pt idx="353">
                  <c:v>7.88</c:v>
                </c:pt>
                <c:pt idx="354">
                  <c:v>7.68</c:v>
                </c:pt>
                <c:pt idx="355">
                  <c:v>7.73</c:v>
                </c:pt>
                <c:pt idx="356">
                  <c:v>7.13</c:v>
                </c:pt>
                <c:pt idx="357">
                  <c:v>7.15</c:v>
                </c:pt>
                <c:pt idx="358">
                  <c:v>7.12</c:v>
                </c:pt>
                <c:pt idx="359">
                  <c:v>6.91</c:v>
                </c:pt>
                <c:pt idx="360">
                  <c:v>7.12</c:v>
                </c:pt>
                <c:pt idx="361">
                  <c:v>7.2</c:v>
                </c:pt>
                <c:pt idx="362">
                  <c:v>7.11</c:v>
                </c:pt>
                <c:pt idx="363">
                  <c:v>7.03</c:v>
                </c:pt>
                <c:pt idx="364">
                  <c:v>6.92</c:v>
                </c:pt>
                <c:pt idx="365">
                  <c:v>6.72</c:v>
                </c:pt>
                <c:pt idx="366">
                  <c:v>6.64</c:v>
                </c:pt>
                <c:pt idx="367">
                  <c:v>7.02</c:v>
                </c:pt>
                <c:pt idx="368">
                  <c:v>7.16</c:v>
                </c:pt>
                <c:pt idx="369">
                  <c:v>6.96</c:v>
                </c:pt>
                <c:pt idx="370">
                  <c:v>6.81</c:v>
                </c:pt>
                <c:pt idx="371">
                  <c:v>7.18</c:v>
                </c:pt>
                <c:pt idx="372">
                  <c:v>6.88</c:v>
                </c:pt>
                <c:pt idx="373">
                  <c:v>6.76</c:v>
                </c:pt>
                <c:pt idx="374">
                  <c:v>6.55</c:v>
                </c:pt>
                <c:pt idx="375">
                  <c:v>6.34</c:v>
                </c:pt>
                <c:pt idx="376">
                  <c:v>6.22</c:v>
                </c:pt>
                <c:pt idx="377">
                  <c:v>5.99</c:v>
                </c:pt>
                <c:pt idx="378">
                  <c:v>6.31</c:v>
                </c:pt>
                <c:pt idx="379">
                  <c:v>6.13</c:v>
                </c:pt>
                <c:pt idx="380">
                  <c:v>5.93</c:v>
                </c:pt>
                <c:pt idx="381">
                  <c:v>5.9</c:v>
                </c:pt>
                <c:pt idx="382">
                  <c:v>5.79</c:v>
                </c:pt>
                <c:pt idx="383">
                  <c:v>5.91</c:v>
                </c:pt>
                <c:pt idx="384">
                  <c:v>5.79</c:v>
                </c:pt>
                <c:pt idx="385">
                  <c:v>5.31</c:v>
                </c:pt>
                <c:pt idx="386">
                  <c:v>5.24</c:v>
                </c:pt>
                <c:pt idx="387">
                  <c:v>5.94</c:v>
                </c:pt>
                <c:pt idx="388">
                  <c:v>6.32</c:v>
                </c:pt>
                <c:pt idx="389">
                  <c:v>5.98</c:v>
                </c:pt>
                <c:pt idx="390">
                  <c:v>5.94</c:v>
                </c:pt>
                <c:pt idx="391">
                  <c:v>5.89</c:v>
                </c:pt>
                <c:pt idx="392">
                  <c:v>5.85</c:v>
                </c:pt>
                <c:pt idx="393">
                  <c:v>5.68</c:v>
                </c:pt>
                <c:pt idx="394">
                  <c:v>5.58</c:v>
                </c:pt>
                <c:pt idx="395">
                  <c:v>5.4</c:v>
                </c:pt>
                <c:pt idx="396">
                  <c:v>6.01</c:v>
                </c:pt>
                <c:pt idx="397">
                  <c:v>6.32</c:v>
                </c:pt>
                <c:pt idx="398">
                  <c:v>6.25</c:v>
                </c:pt>
                <c:pt idx="399">
                  <c:v>6.08</c:v>
                </c:pt>
                <c:pt idx="400">
                  <c:v>5.82</c:v>
                </c:pt>
                <c:pt idx="401">
                  <c:v>5.72</c:v>
                </c:pt>
                <c:pt idx="402">
                  <c:v>5.64</c:v>
                </c:pt>
                <c:pt idx="403">
                  <c:v>5.72</c:v>
                </c:pt>
                <c:pt idx="404">
                  <c:v>5.81</c:v>
                </c:pt>
                <c:pt idx="405">
                  <c:v>5.66</c:v>
                </c:pt>
                <c:pt idx="406">
                  <c:v>5.69</c:v>
                </c:pt>
                <c:pt idx="407">
                  <c:v>6.04</c:v>
                </c:pt>
                <c:pt idx="408">
                  <c:v>5.78</c:v>
                </c:pt>
                <c:pt idx="409">
                  <c:v>5.65</c:v>
                </c:pt>
                <c:pt idx="410">
                  <c:v>5.53</c:v>
                </c:pt>
                <c:pt idx="411">
                  <c:v>5.77</c:v>
                </c:pt>
                <c:pt idx="412">
                  <c:v>5.77</c:v>
                </c:pt>
                <c:pt idx="413">
                  <c:v>5.91</c:v>
                </c:pt>
                <c:pt idx="414">
                  <c:v>6.15</c:v>
                </c:pt>
                <c:pt idx="415">
                  <c:v>6.28</c:v>
                </c:pt>
                <c:pt idx="416">
                  <c:v>6.22</c:v>
                </c:pt>
                <c:pt idx="417">
                  <c:v>6.12</c:v>
                </c:pt>
                <c:pt idx="418">
                  <c:v>6.26</c:v>
                </c:pt>
                <c:pt idx="419">
                  <c:v>6.35</c:v>
                </c:pt>
                <c:pt idx="420">
                  <c:v>6.58</c:v>
                </c:pt>
                <c:pt idx="421">
                  <c:v>6.62</c:v>
                </c:pt>
                <c:pt idx="422">
                  <c:v>6.78</c:v>
                </c:pt>
                <c:pt idx="423">
                  <c:v>6.72</c:v>
                </c:pt>
                <c:pt idx="424">
                  <c:v>6.44</c:v>
                </c:pt>
                <c:pt idx="425">
                  <c:v>6.31</c:v>
                </c:pt>
                <c:pt idx="426">
                  <c:v>6.4</c:v>
                </c:pt>
                <c:pt idx="427">
                  <c:v>6.14</c:v>
                </c:pt>
                <c:pt idx="428">
                  <c:v>6.18</c:v>
                </c:pt>
                <c:pt idx="429">
                  <c:v>6.25</c:v>
                </c:pt>
                <c:pt idx="430">
                  <c:v>6.22</c:v>
                </c:pt>
                <c:pt idx="431">
                  <c:v>6.16</c:v>
                </c:pt>
                <c:pt idx="432">
                  <c:v>6.16</c:v>
                </c:pt>
                <c:pt idx="433">
                  <c:v>6.42</c:v>
                </c:pt>
                <c:pt idx="434">
                  <c:v>6.67</c:v>
                </c:pt>
                <c:pt idx="435">
                  <c:v>6.69</c:v>
                </c:pt>
                <c:pt idx="436">
                  <c:v>6.45</c:v>
                </c:pt>
                <c:pt idx="437">
                  <c:v>6.42</c:v>
                </c:pt>
                <c:pt idx="438">
                  <c:v>6.33</c:v>
                </c:pt>
                <c:pt idx="439">
                  <c:v>6.1</c:v>
                </c:pt>
                <c:pt idx="440">
                  <c:v>6.17</c:v>
                </c:pt>
                <c:pt idx="441">
                  <c:v>5.68</c:v>
                </c:pt>
                <c:pt idx="442">
                  <c:v>6.24</c:v>
                </c:pt>
                <c:pt idx="443">
                  <c:v>5.85</c:v>
                </c:pt>
                <c:pt idx="444">
                  <c:v>6.03</c:v>
                </c:pt>
                <c:pt idx="445">
                  <c:v>6.08</c:v>
                </c:pt>
                <c:pt idx="446">
                  <c:v>6.45</c:v>
                </c:pt>
                <c:pt idx="447">
                  <c:v>6.52</c:v>
                </c:pt>
                <c:pt idx="448">
                  <c:v>6.4</c:v>
                </c:pt>
                <c:pt idx="449">
                  <c:v>6.09</c:v>
                </c:pt>
                <c:pt idx="450">
                  <c:v>6.46</c:v>
                </c:pt>
                <c:pt idx="451">
                  <c:v>5.97</c:v>
                </c:pt>
                <c:pt idx="452">
                  <c:v>5.0999999999999996</c:v>
                </c:pt>
                <c:pt idx="453">
                  <c:v>5.0999999999999996</c:v>
                </c:pt>
                <c:pt idx="454">
                  <c:v>5.07</c:v>
                </c:pt>
                <c:pt idx="455">
                  <c:v>4.8499999999999996</c:v>
                </c:pt>
                <c:pt idx="456">
                  <c:v>4.78</c:v>
                </c:pt>
                <c:pt idx="457">
                  <c:v>4.91</c:v>
                </c:pt>
                <c:pt idx="458">
                  <c:v>5.42</c:v>
                </c:pt>
                <c:pt idx="459">
                  <c:v>5.25</c:v>
                </c:pt>
                <c:pt idx="460">
                  <c:v>5.14</c:v>
                </c:pt>
                <c:pt idx="461">
                  <c:v>5.04</c:v>
                </c:pt>
                <c:pt idx="462">
                  <c:v>5.03</c:v>
                </c:pt>
                <c:pt idx="463">
                  <c:v>4.78</c:v>
                </c:pt>
                <c:pt idx="464">
                  <c:v>5.14</c:v>
                </c:pt>
                <c:pt idx="465">
                  <c:v>4.9800000000000004</c:v>
                </c:pt>
                <c:pt idx="466">
                  <c:v>5.05</c:v>
                </c:pt>
                <c:pt idx="467">
                  <c:v>4.99</c:v>
                </c:pt>
                <c:pt idx="468">
                  <c:v>5.0599999999999996</c:v>
                </c:pt>
                <c:pt idx="469">
                  <c:v>4.78</c:v>
                </c:pt>
                <c:pt idx="470">
                  <c:v>4.6900000000000004</c:v>
                </c:pt>
                <c:pt idx="471">
                  <c:v>4.54</c:v>
                </c:pt>
                <c:pt idx="472">
                  <c:v>4.3600000000000003</c:v>
                </c:pt>
                <c:pt idx="473">
                  <c:v>4.32</c:v>
                </c:pt>
                <c:pt idx="474">
                  <c:v>4.2300000000000004</c:v>
                </c:pt>
                <c:pt idx="475">
                  <c:v>4.4000000000000004</c:v>
                </c:pt>
                <c:pt idx="476">
                  <c:v>4.8600000000000003</c:v>
                </c:pt>
                <c:pt idx="477">
                  <c:v>4.8</c:v>
                </c:pt>
                <c:pt idx="478">
                  <c:v>4.95</c:v>
                </c:pt>
                <c:pt idx="479">
                  <c:v>4.8600000000000003</c:v>
                </c:pt>
                <c:pt idx="480">
                  <c:v>4.78</c:v>
                </c:pt>
                <c:pt idx="481">
                  <c:v>4.5999999999999996</c:v>
                </c:pt>
                <c:pt idx="482">
                  <c:v>4.51</c:v>
                </c:pt>
                <c:pt idx="483">
                  <c:v>4.55</c:v>
                </c:pt>
                <c:pt idx="484">
                  <c:v>4.22</c:v>
                </c:pt>
                <c:pt idx="485">
                  <c:v>4.01</c:v>
                </c:pt>
                <c:pt idx="486">
                  <c:v>4.0999999999999996</c:v>
                </c:pt>
                <c:pt idx="487">
                  <c:v>3.98</c:v>
                </c:pt>
                <c:pt idx="488">
                  <c:v>3.95</c:v>
                </c:pt>
                <c:pt idx="489">
                  <c:v>3.98</c:v>
                </c:pt>
                <c:pt idx="490">
                  <c:v>3.95</c:v>
                </c:pt>
                <c:pt idx="491">
                  <c:v>3.99</c:v>
                </c:pt>
                <c:pt idx="492">
                  <c:v>3.88</c:v>
                </c:pt>
                <c:pt idx="493">
                  <c:v>3.75</c:v>
                </c:pt>
                <c:pt idx="494">
                  <c:v>3.66</c:v>
                </c:pt>
                <c:pt idx="495">
                  <c:v>3.49</c:v>
                </c:pt>
                <c:pt idx="496">
                  <c:v>3.59</c:v>
                </c:pt>
                <c:pt idx="497">
                  <c:v>3.4</c:v>
                </c:pt>
                <c:pt idx="498">
                  <c:v>3.41</c:v>
                </c:pt>
                <c:pt idx="499">
                  <c:v>3.32</c:v>
                </c:pt>
                <c:pt idx="500">
                  <c:v>3.35</c:v>
                </c:pt>
                <c:pt idx="501">
                  <c:v>3.53</c:v>
                </c:pt>
                <c:pt idx="502">
                  <c:v>3.51</c:v>
                </c:pt>
                <c:pt idx="503">
                  <c:v>3.57</c:v>
                </c:pt>
                <c:pt idx="504">
                  <c:v>3.4</c:v>
                </c:pt>
                <c:pt idx="505">
                  <c:v>3.81</c:v>
                </c:pt>
                <c:pt idx="506">
                  <c:v>4.46</c:v>
                </c:pt>
                <c:pt idx="507">
                  <c:v>4.3099999999999996</c:v>
                </c:pt>
                <c:pt idx="508">
                  <c:v>4.51</c:v>
                </c:pt>
                <c:pt idx="509">
                  <c:v>4.32</c:v>
                </c:pt>
                <c:pt idx="510">
                  <c:v>4.0999999999999996</c:v>
                </c:pt>
                <c:pt idx="511">
                  <c:v>4.29</c:v>
                </c:pt>
                <c:pt idx="512">
                  <c:v>4.4800000000000004</c:v>
                </c:pt>
                <c:pt idx="513">
                  <c:v>4.32</c:v>
                </c:pt>
                <c:pt idx="514">
                  <c:v>4.37</c:v>
                </c:pt>
                <c:pt idx="515">
                  <c:v>4.4000000000000004</c:v>
                </c:pt>
                <c:pt idx="516">
                  <c:v>4.33</c:v>
                </c:pt>
                <c:pt idx="517">
                  <c:v>4.12</c:v>
                </c:pt>
                <c:pt idx="518">
                  <c:v>4.1399999999999997</c:v>
                </c:pt>
                <c:pt idx="519">
                  <c:v>4.12</c:v>
                </c:pt>
                <c:pt idx="520">
                  <c:v>4.0999999999999996</c:v>
                </c:pt>
                <c:pt idx="521">
                  <c:v>4.2</c:v>
                </c:pt>
                <c:pt idx="522">
                  <c:v>3.98</c:v>
                </c:pt>
                <c:pt idx="523">
                  <c:v>3.97</c:v>
                </c:pt>
                <c:pt idx="524">
                  <c:v>3.87</c:v>
                </c:pt>
                <c:pt idx="525">
                  <c:v>3.66</c:v>
                </c:pt>
                <c:pt idx="526">
                  <c:v>3.8</c:v>
                </c:pt>
                <c:pt idx="527">
                  <c:v>3.69</c:v>
                </c:pt>
                <c:pt idx="528">
                  <c:v>3.68</c:v>
                </c:pt>
                <c:pt idx="529">
                  <c:v>3.87</c:v>
                </c:pt>
                <c:pt idx="530">
                  <c:v>4.0199999999999996</c:v>
                </c:pt>
                <c:pt idx="531">
                  <c:v>3.98</c:v>
                </c:pt>
                <c:pt idx="532">
                  <c:v>3.84</c:v>
                </c:pt>
                <c:pt idx="533">
                  <c:v>3.86</c:v>
                </c:pt>
                <c:pt idx="534">
                  <c:v>3.76</c:v>
                </c:pt>
                <c:pt idx="535">
                  <c:v>3.95</c:v>
                </c:pt>
                <c:pt idx="536">
                  <c:v>4.01</c:v>
                </c:pt>
                <c:pt idx="537">
                  <c:v>3.79</c:v>
                </c:pt>
                <c:pt idx="538">
                  <c:v>3.62</c:v>
                </c:pt>
                <c:pt idx="539">
                  <c:v>3.71</c:v>
                </c:pt>
                <c:pt idx="540">
                  <c:v>3.66</c:v>
                </c:pt>
                <c:pt idx="541">
                  <c:v>3.64</c:v>
                </c:pt>
                <c:pt idx="542">
                  <c:v>3.48</c:v>
                </c:pt>
                <c:pt idx="543">
                  <c:v>3.48</c:v>
                </c:pt>
                <c:pt idx="544">
                  <c:v>3.43</c:v>
                </c:pt>
                <c:pt idx="545">
                  <c:v>3.42</c:v>
                </c:pt>
                <c:pt idx="546">
                  <c:v>3.47</c:v>
                </c:pt>
                <c:pt idx="547">
                  <c:v>4.03</c:v>
                </c:pt>
                <c:pt idx="548">
                  <c:v>4.32</c:v>
                </c:pt>
                <c:pt idx="549">
                  <c:v>4.1900000000000004</c:v>
                </c:pt>
                <c:pt idx="550">
                  <c:v>4.16</c:v>
                </c:pt>
                <c:pt idx="551">
                  <c:v>4.1399999999999997</c:v>
                </c:pt>
                <c:pt idx="552">
                  <c:v>4.03</c:v>
                </c:pt>
                <c:pt idx="553">
                  <c:v>3.95</c:v>
                </c:pt>
                <c:pt idx="554">
                  <c:v>3.88</c:v>
                </c:pt>
                <c:pt idx="555">
                  <c:v>3.92</c:v>
                </c:pt>
                <c:pt idx="556">
                  <c:v>3.82</c:v>
                </c:pt>
                <c:pt idx="557">
                  <c:v>3.83</c:v>
                </c:pt>
                <c:pt idx="558">
                  <c:v>3.94</c:v>
                </c:pt>
                <c:pt idx="559">
                  <c:v>3.9</c:v>
                </c:pt>
                <c:pt idx="560">
                  <c:v>3.99</c:v>
                </c:pt>
                <c:pt idx="561">
                  <c:v>4.1500000000000004</c:v>
                </c:pt>
                <c:pt idx="562">
                  <c:v>4.4000000000000004</c:v>
                </c:pt>
                <c:pt idx="563">
                  <c:v>4.4400000000000004</c:v>
                </c:pt>
                <c:pt idx="564">
                  <c:v>4.58</c:v>
                </c:pt>
                <c:pt idx="565">
                  <c:v>4.5599999999999996</c:v>
                </c:pt>
                <c:pt idx="566">
                  <c:v>4.55</c:v>
                </c:pt>
                <c:pt idx="567">
                  <c:v>4.54</c:v>
                </c:pt>
                <c:pt idx="568">
                  <c:v>4.5199999999999996</c:v>
                </c:pt>
                <c:pt idx="569">
                  <c:v>4.72</c:v>
                </c:pt>
                <c:pt idx="570">
                  <c:v>4.8600000000000003</c:v>
                </c:pt>
                <c:pt idx="571">
                  <c:v>4.8099999999999996</c:v>
                </c:pt>
                <c:pt idx="572">
                  <c:v>4.55</c:v>
                </c:pt>
                <c:pt idx="573">
                  <c:v>4.46</c:v>
                </c:pt>
                <c:pt idx="574">
                  <c:v>4.3499999999999996</c:v>
                </c:pt>
                <c:pt idx="575">
                  <c:v>4.0599999999999996</c:v>
                </c:pt>
                <c:pt idx="576">
                  <c:v>4.2</c:v>
                </c:pt>
                <c:pt idx="577">
                  <c:v>3.99</c:v>
                </c:pt>
                <c:pt idx="578">
                  <c:v>3.73</c:v>
                </c:pt>
                <c:pt idx="579">
                  <c:v>3.75</c:v>
                </c:pt>
                <c:pt idx="580">
                  <c:v>3.58</c:v>
                </c:pt>
                <c:pt idx="581">
                  <c:v>3.64</c:v>
                </c:pt>
                <c:pt idx="582">
                  <c:v>3.78</c:v>
                </c:pt>
                <c:pt idx="583">
                  <c:v>3.68</c:v>
                </c:pt>
                <c:pt idx="584">
                  <c:v>3.74</c:v>
                </c:pt>
                <c:pt idx="585">
                  <c:v>3.51</c:v>
                </c:pt>
                <c:pt idx="586">
                  <c:v>3.45</c:v>
                </c:pt>
                <c:pt idx="587">
                  <c:v>3.5</c:v>
                </c:pt>
                <c:pt idx="588">
                  <c:v>3.23</c:v>
                </c:pt>
                <c:pt idx="589">
                  <c:v>3.15</c:v>
                </c:pt>
                <c:pt idx="590">
                  <c:v>3.13</c:v>
                </c:pt>
                <c:pt idx="591">
                  <c:v>2.99</c:v>
                </c:pt>
                <c:pt idx="592">
                  <c:v>2.91</c:v>
                </c:pt>
                <c:pt idx="593">
                  <c:v>2.9</c:v>
                </c:pt>
                <c:pt idx="594">
                  <c:v>2.81</c:v>
                </c:pt>
                <c:pt idx="595">
                  <c:v>2.72</c:v>
                </c:pt>
                <c:pt idx="596">
                  <c:v>2.67</c:v>
                </c:pt>
                <c:pt idx="597">
                  <c:v>2.73</c:v>
                </c:pt>
                <c:pt idx="598">
                  <c:v>2.97</c:v>
                </c:pt>
                <c:pt idx="599">
                  <c:v>3.17</c:v>
                </c:pt>
                <c:pt idx="600">
                  <c:v>2.98</c:v>
                </c:pt>
                <c:pt idx="601">
                  <c:v>2.95</c:v>
                </c:pt>
                <c:pt idx="602">
                  <c:v>3.02</c:v>
                </c:pt>
                <c:pt idx="603">
                  <c:v>2.8</c:v>
                </c:pt>
                <c:pt idx="604">
                  <c:v>2.87</c:v>
                </c:pt>
                <c:pt idx="605">
                  <c:v>3.01</c:v>
                </c:pt>
                <c:pt idx="606">
                  <c:v>3.14</c:v>
                </c:pt>
                <c:pt idx="607">
                  <c:v>3.1</c:v>
                </c:pt>
                <c:pt idx="608">
                  <c:v>3.11</c:v>
                </c:pt>
                <c:pt idx="609">
                  <c:v>3.55</c:v>
                </c:pt>
                <c:pt idx="610">
                  <c:v>3.89</c:v>
                </c:pt>
                <c:pt idx="611">
                  <c:v>4.67</c:v>
                </c:pt>
                <c:pt idx="612">
                  <c:v>5.0999999999999996</c:v>
                </c:pt>
                <c:pt idx="613">
                  <c:v>5.0999999999999996</c:v>
                </c:pt>
                <c:pt idx="614">
                  <c:v>5.7</c:v>
                </c:pt>
                <c:pt idx="615">
                  <c:v>5.3</c:v>
                </c:pt>
                <c:pt idx="616">
                  <c:v>5.55</c:v>
                </c:pt>
                <c:pt idx="617">
                  <c:v>6.7</c:v>
                </c:pt>
                <c:pt idx="618">
                  <c:v>7.08</c:v>
                </c:pt>
                <c:pt idx="619">
                  <c:v>6.58</c:v>
                </c:pt>
                <c:pt idx="620">
                  <c:v>6.42</c:v>
                </c:pt>
                <c:pt idx="621">
                  <c:v>6.13</c:v>
                </c:pt>
                <c:pt idx="622">
                  <c:v>6.5</c:v>
                </c:pt>
                <c:pt idx="623">
                  <c:v>6.32</c:v>
                </c:pt>
                <c:pt idx="624">
                  <c:v>6.43</c:v>
                </c:pt>
                <c:pt idx="625">
                  <c:v>6.57</c:v>
                </c:pt>
                <c:pt idx="626">
                  <c:v>6.71</c:v>
                </c:pt>
                <c:pt idx="627">
                  <c:v>6.81</c:v>
                </c:pt>
                <c:pt idx="628">
                  <c:v>7.18</c:v>
                </c:pt>
                <c:pt idx="629">
                  <c:v>7.31</c:v>
                </c:pt>
                <c:pt idx="630">
                  <c:v>7.79</c:v>
                </c:pt>
                <c:pt idx="631">
                  <c:v>7.22</c:v>
                </c:pt>
                <c:pt idx="632">
                  <c:v>6.61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2BB-45E7-940E-7751B5E555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2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Inflation!$C$2</c:f>
              <c:strCache>
                <c:ptCount val="1"/>
                <c:pt idx="0">
                  <c:v>Monthly CPI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Inflation!$A$903:$A$926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Inflation!$C$903:$C$926</c:f>
              <c:numCache>
                <c:formatCode>0.00%</c:formatCode>
                <c:ptCount val="24"/>
                <c:pt idx="0">
                  <c:v>6.0949776956569224E-3</c:v>
                </c:pt>
                <c:pt idx="1">
                  <c:v>7.1160902904823242E-3</c:v>
                </c:pt>
                <c:pt idx="2">
                  <c:v>1.0055865921787532E-2</c:v>
                </c:pt>
                <c:pt idx="3">
                  <c:v>3.9621250069572511E-3</c:v>
                </c:pt>
                <c:pt idx="4">
                  <c:v>9.2061633132485277E-3</c:v>
                </c:pt>
                <c:pt idx="5">
                  <c:v>1.1879094167570825E-2</c:v>
                </c:pt>
                <c:pt idx="6">
                  <c:v>-3.3929589316261666E-4</c:v>
                </c:pt>
                <c:pt idx="7">
                  <c:v>2.348724493259402E-3</c:v>
                </c:pt>
                <c:pt idx="8">
                  <c:v>4.1277258566978503E-3</c:v>
                </c:pt>
                <c:pt idx="9">
                  <c:v>4.8830002124511385E-3</c:v>
                </c:pt>
                <c:pt idx="10">
                  <c:v>2.0504250185411355E-3</c:v>
                </c:pt>
                <c:pt idx="11">
                  <c:v>1.3128018272057229E-3</c:v>
                </c:pt>
                <c:pt idx="12">
                  <c:v>5.1707414963710896E-3</c:v>
                </c:pt>
                <c:pt idx="13">
                  <c:v>3.700055900125232E-3</c:v>
                </c:pt>
                <c:pt idx="14">
                  <c:v>5.3041956187338535E-4</c:v>
                </c:pt>
                <c:pt idx="15">
                  <c:v>3.6778349149129141E-3</c:v>
                </c:pt>
                <c:pt idx="16">
                  <c:v>1.2412600109599214E-3</c:v>
                </c:pt>
                <c:pt idx="17">
                  <c:v>1.8035305676999958E-3</c:v>
                </c:pt>
                <c:pt idx="18">
                  <c:v>1.6686358983810656E-3</c:v>
                </c:pt>
                <c:pt idx="19">
                  <c:v>6.3118535360837669E-3</c:v>
                </c:pt>
                <c:pt idx="20">
                  <c:v>3.9573055059440865E-3</c:v>
                </c:pt>
                <c:pt idx="21">
                  <c:v>4.4880821904458301E-4</c:v>
                </c:pt>
                <c:pt idx="22">
                  <c:v>9.687308001129491E-4</c:v>
                </c:pt>
                <c:pt idx="23">
                  <c:v>3.0300373152507554E-3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B7D-45B0-9E7D-7262F1F7A671}"/>
            </c:ext>
          </c:extLst>
        </c:ser>
        <c:ser>
          <c:idx val="0"/>
          <c:order val="1"/>
          <c:tx>
            <c:strRef>
              <c:f>Inflation!$F$2</c:f>
              <c:strCache>
                <c:ptCount val="1"/>
                <c:pt idx="0">
                  <c:v>Monthly Core-CPI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Inflation!$A$903:$A$926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Inflation!$F$903:$F$926</c:f>
              <c:numCache>
                <c:formatCode>0.00%</c:formatCode>
                <c:ptCount val="24"/>
                <c:pt idx="0">
                  <c:v>5.6067294779325039E-3</c:v>
                </c:pt>
                <c:pt idx="1">
                  <c:v>4.7246785126502377E-3</c:v>
                </c:pt>
                <c:pt idx="2">
                  <c:v>3.1199353107962402E-3</c:v>
                </c:pt>
                <c:pt idx="3">
                  <c:v>4.7189720667299984E-3</c:v>
                </c:pt>
                <c:pt idx="4">
                  <c:v>6.3393133845250915E-3</c:v>
                </c:pt>
                <c:pt idx="5">
                  <c:v>6.0427509230081E-3</c:v>
                </c:pt>
                <c:pt idx="6">
                  <c:v>3.0882568014776179E-3</c:v>
                </c:pt>
                <c:pt idx="7">
                  <c:v>5.8116470289055755E-3</c:v>
                </c:pt>
                <c:pt idx="8">
                  <c:v>5.7308715307158309E-3</c:v>
                </c:pt>
                <c:pt idx="9">
                  <c:v>3.3317802902068649E-3</c:v>
                </c:pt>
                <c:pt idx="10">
                  <c:v>3.1002261695167732E-3</c:v>
                </c:pt>
                <c:pt idx="11">
                  <c:v>3.9931925891139031E-3</c:v>
                </c:pt>
                <c:pt idx="12">
                  <c:v>4.1199495787169749E-3</c:v>
                </c:pt>
                <c:pt idx="13">
                  <c:v>4.5192962055089492E-3</c:v>
                </c:pt>
                <c:pt idx="14">
                  <c:v>3.847798204360986E-3</c:v>
                </c:pt>
                <c:pt idx="15">
                  <c:v>4.0918621412657785E-3</c:v>
                </c:pt>
                <c:pt idx="16">
                  <c:v>4.3557843837789267E-3</c:v>
                </c:pt>
                <c:pt idx="17">
                  <c:v>1.5755756536202092E-3</c:v>
                </c:pt>
                <c:pt idx="18">
                  <c:v>1.5958016146138121E-3</c:v>
                </c:pt>
                <c:pt idx="19">
                  <c:v>2.784965074595025E-3</c:v>
                </c:pt>
                <c:pt idx="20">
                  <c:v>3.2293378888526014E-3</c:v>
                </c:pt>
                <c:pt idx="21">
                  <c:v>2.2661357556952311E-3</c:v>
                </c:pt>
                <c:pt idx="22">
                  <c:v>2.8455349830582843E-3</c:v>
                </c:pt>
                <c:pt idx="23">
                  <c:v>3.0904624805045966E-3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6EE-4D80-930F-A6262988BEE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8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3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D1-425B-B687-2463FFF0AD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471728"/>
        <c:axId val="2129535520"/>
      </c:areaChart>
      <c:lineChart>
        <c:grouping val="standard"/>
        <c:varyColors val="0"/>
        <c:ser>
          <c:idx val="1"/>
          <c:order val="0"/>
          <c:tx>
            <c:strRef>
              <c:f>Inflation!$R$2</c:f>
              <c:strCache>
                <c:ptCount val="1"/>
                <c:pt idx="0">
                  <c:v>Annual Durable Goods CPI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Inflation!$A$639:$A$926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Inflation!$R$639:$R$926</c:f>
              <c:numCache>
                <c:formatCode>0.00%</c:formatCode>
                <c:ptCount val="288"/>
                <c:pt idx="0">
                  <c:v>-1.104972375690616E-2</c:v>
                </c:pt>
                <c:pt idx="1">
                  <c:v>-8.7163232963550774E-3</c:v>
                </c:pt>
                <c:pt idx="2">
                  <c:v>-3.1771247021445959E-3</c:v>
                </c:pt>
                <c:pt idx="3">
                  <c:v>-3.9714058776807448E-3</c:v>
                </c:pt>
                <c:pt idx="4">
                  <c:v>7.9554494828948386E-4</c:v>
                </c:pt>
                <c:pt idx="5">
                  <c:v>-2.3847376788552754E-3</c:v>
                </c:pt>
                <c:pt idx="6">
                  <c:v>-3.9714058776807448E-3</c:v>
                </c:pt>
                <c:pt idx="7">
                  <c:v>-5.5555555555555358E-3</c:v>
                </c:pt>
                <c:pt idx="8">
                  <c:v>-6.3441712926248783E-3</c:v>
                </c:pt>
                <c:pt idx="9">
                  <c:v>-7.1371927042029881E-3</c:v>
                </c:pt>
                <c:pt idx="10">
                  <c:v>-3.9745627980921627E-3</c:v>
                </c:pt>
                <c:pt idx="11">
                  <c:v>0</c:v>
                </c:pt>
                <c:pt idx="12">
                  <c:v>1.5961691939345712E-3</c:v>
                </c:pt>
                <c:pt idx="13">
                  <c:v>4.7961630695443347E-3</c:v>
                </c:pt>
                <c:pt idx="14">
                  <c:v>-7.9681274900389454E-4</c:v>
                </c:pt>
                <c:pt idx="15">
                  <c:v>-1.5948963317384823E-3</c:v>
                </c:pt>
                <c:pt idx="16">
                  <c:v>-7.9491255961844365E-3</c:v>
                </c:pt>
                <c:pt idx="17">
                  <c:v>-7.171314741035939E-3</c:v>
                </c:pt>
                <c:pt idx="18">
                  <c:v>-7.9744816586921896E-3</c:v>
                </c:pt>
                <c:pt idx="19">
                  <c:v>-8.7789305666400308E-3</c:v>
                </c:pt>
                <c:pt idx="20">
                  <c:v>-1.1173184357541777E-2</c:v>
                </c:pt>
                <c:pt idx="21">
                  <c:v>-1.0383386581469645E-2</c:v>
                </c:pt>
                <c:pt idx="22">
                  <c:v>-1.0375099760574602E-2</c:v>
                </c:pt>
                <c:pt idx="23">
                  <c:v>-1.195219123505975E-2</c:v>
                </c:pt>
                <c:pt idx="24">
                  <c:v>-1.8326693227091573E-2</c:v>
                </c:pt>
                <c:pt idx="25">
                  <c:v>-2.7048528241845671E-2</c:v>
                </c:pt>
                <c:pt idx="26">
                  <c:v>-2.7910685805422664E-2</c:v>
                </c:pt>
                <c:pt idx="27">
                  <c:v>-2.7955271565495154E-2</c:v>
                </c:pt>
                <c:pt idx="28">
                  <c:v>-2.5641025641025661E-2</c:v>
                </c:pt>
                <c:pt idx="29">
                  <c:v>-2.5682182985553692E-2</c:v>
                </c:pt>
                <c:pt idx="30">
                  <c:v>-2.4919614147909996E-2</c:v>
                </c:pt>
                <c:pt idx="31">
                  <c:v>-2.3349436392914646E-2</c:v>
                </c:pt>
                <c:pt idx="32">
                  <c:v>-2.25988700564973E-2</c:v>
                </c:pt>
                <c:pt idx="33">
                  <c:v>-2.4213075060532718E-2</c:v>
                </c:pt>
                <c:pt idx="34">
                  <c:v>-2.9032258064516037E-2</c:v>
                </c:pt>
                <c:pt idx="35">
                  <c:v>-3.2258064516129004E-2</c:v>
                </c:pt>
                <c:pt idx="36">
                  <c:v>-3.0032467532467577E-2</c:v>
                </c:pt>
                <c:pt idx="37">
                  <c:v>-2.4529844644317289E-2</c:v>
                </c:pt>
                <c:pt idx="38">
                  <c:v>-2.1328958162428302E-2</c:v>
                </c:pt>
                <c:pt idx="39">
                  <c:v>-2.2185702547247388E-2</c:v>
                </c:pt>
                <c:pt idx="40">
                  <c:v>-2.631578947368407E-2</c:v>
                </c:pt>
                <c:pt idx="41">
                  <c:v>-2.8006589785832037E-2</c:v>
                </c:pt>
                <c:pt idx="42">
                  <c:v>-3.0502885408079217E-2</c:v>
                </c:pt>
                <c:pt idx="43">
                  <c:v>-3.3800494641384904E-2</c:v>
                </c:pt>
                <c:pt idx="44">
                  <c:v>-4.0462427745664664E-2</c:v>
                </c:pt>
                <c:pt idx="45">
                  <c:v>-4.4665012406947979E-2</c:v>
                </c:pt>
                <c:pt idx="46">
                  <c:v>-4.401993355481737E-2</c:v>
                </c:pt>
                <c:pt idx="47">
                  <c:v>-4.2499999999999982E-2</c:v>
                </c:pt>
                <c:pt idx="48">
                  <c:v>-3.9330543933054463E-2</c:v>
                </c:pt>
                <c:pt idx="49">
                  <c:v>-3.6881810561609329E-2</c:v>
                </c:pt>
                <c:pt idx="50">
                  <c:v>-3.7720033528918728E-2</c:v>
                </c:pt>
                <c:pt idx="51">
                  <c:v>-3.6134453781512588E-2</c:v>
                </c:pt>
                <c:pt idx="52">
                  <c:v>-3.125E-2</c:v>
                </c:pt>
                <c:pt idx="53">
                  <c:v>-2.9661016949152574E-2</c:v>
                </c:pt>
                <c:pt idx="54">
                  <c:v>-2.8061224489795866E-2</c:v>
                </c:pt>
                <c:pt idx="55">
                  <c:v>-2.7303754266211677E-2</c:v>
                </c:pt>
                <c:pt idx="56">
                  <c:v>-1.3769363166953652E-2</c:v>
                </c:pt>
                <c:pt idx="57">
                  <c:v>-4.3290043290042934E-3</c:v>
                </c:pt>
                <c:pt idx="58">
                  <c:v>2.6064291920071536E-3</c:v>
                </c:pt>
                <c:pt idx="59">
                  <c:v>5.2219321148825326E-3</c:v>
                </c:pt>
                <c:pt idx="60">
                  <c:v>7.8397212543555028E-3</c:v>
                </c:pt>
                <c:pt idx="61">
                  <c:v>6.0922541340295844E-3</c:v>
                </c:pt>
                <c:pt idx="62">
                  <c:v>5.2264808362370019E-3</c:v>
                </c:pt>
                <c:pt idx="63">
                  <c:v>5.2310374891020306E-3</c:v>
                </c:pt>
                <c:pt idx="64">
                  <c:v>6.9747166521358928E-3</c:v>
                </c:pt>
                <c:pt idx="65">
                  <c:v>7.8602620087335762E-3</c:v>
                </c:pt>
                <c:pt idx="66">
                  <c:v>6.1242344706911034E-3</c:v>
                </c:pt>
                <c:pt idx="67">
                  <c:v>6.1403508771931126E-3</c:v>
                </c:pt>
                <c:pt idx="68">
                  <c:v>4.3630017452007674E-3</c:v>
                </c:pt>
                <c:pt idx="69">
                  <c:v>8.6956521739134374E-4</c:v>
                </c:pt>
                <c:pt idx="70">
                  <c:v>-3.4662045060659397E-3</c:v>
                </c:pt>
                <c:pt idx="71">
                  <c:v>-4.3290043290042934E-3</c:v>
                </c:pt>
                <c:pt idx="72">
                  <c:v>-6.0501296456353382E-3</c:v>
                </c:pt>
                <c:pt idx="73">
                  <c:v>-6.0553633217992342E-3</c:v>
                </c:pt>
                <c:pt idx="74">
                  <c:v>-5.199306759098854E-3</c:v>
                </c:pt>
                <c:pt idx="75">
                  <c:v>-3.4692107545533091E-3</c:v>
                </c:pt>
                <c:pt idx="76">
                  <c:v>-6.0606060606060996E-3</c:v>
                </c:pt>
                <c:pt idx="77">
                  <c:v>-6.9324090121317683E-3</c:v>
                </c:pt>
                <c:pt idx="78">
                  <c:v>-2.6086956521739202E-3</c:v>
                </c:pt>
                <c:pt idx="79">
                  <c:v>-1.7436791630339732E-3</c:v>
                </c:pt>
                <c:pt idx="80">
                  <c:v>-6.9504778453518545E-3</c:v>
                </c:pt>
                <c:pt idx="81">
                  <c:v>-9.5569070373587861E-3</c:v>
                </c:pt>
                <c:pt idx="82">
                  <c:v>-1.2173913043478257E-2</c:v>
                </c:pt>
                <c:pt idx="83">
                  <c:v>-1.3913043478260834E-2</c:v>
                </c:pt>
                <c:pt idx="84">
                  <c:v>-1.6704347826086985E-2</c:v>
                </c:pt>
                <c:pt idx="85">
                  <c:v>-1.6779808529155837E-2</c:v>
                </c:pt>
                <c:pt idx="86">
                  <c:v>-1.6236933797909359E-2</c:v>
                </c:pt>
                <c:pt idx="87">
                  <c:v>-1.8233246301131434E-2</c:v>
                </c:pt>
                <c:pt idx="88">
                  <c:v>-1.9738675958188123E-2</c:v>
                </c:pt>
                <c:pt idx="89">
                  <c:v>-1.9502617801047117E-2</c:v>
                </c:pt>
                <c:pt idx="90">
                  <c:v>-2.2737576285963401E-2</c:v>
                </c:pt>
                <c:pt idx="91">
                  <c:v>-2.0812227074235801E-2</c:v>
                </c:pt>
                <c:pt idx="92">
                  <c:v>-1.9107611548556447E-2</c:v>
                </c:pt>
                <c:pt idx="93">
                  <c:v>-1.6789473684210576E-2</c:v>
                </c:pt>
                <c:pt idx="94">
                  <c:v>-1.1919014084507018E-2</c:v>
                </c:pt>
                <c:pt idx="95">
                  <c:v>-1.0194003527336903E-2</c:v>
                </c:pt>
                <c:pt idx="96">
                  <c:v>-7.5168687377850096E-3</c:v>
                </c:pt>
                <c:pt idx="97">
                  <c:v>-8.8251956236943263E-3</c:v>
                </c:pt>
                <c:pt idx="98">
                  <c:v>-9.3061556988028871E-3</c:v>
                </c:pt>
                <c:pt idx="99">
                  <c:v>-1.1098798812109512E-2</c:v>
                </c:pt>
                <c:pt idx="100">
                  <c:v>-1.1187729930509871E-2</c:v>
                </c:pt>
                <c:pt idx="101">
                  <c:v>-1.1275753125973398E-2</c:v>
                </c:pt>
                <c:pt idx="102">
                  <c:v>-9.6795489419404523E-3</c:v>
                </c:pt>
                <c:pt idx="103">
                  <c:v>-1.246019782905361E-2</c:v>
                </c:pt>
                <c:pt idx="104">
                  <c:v>-1.5822897713082873E-2</c:v>
                </c:pt>
                <c:pt idx="105">
                  <c:v>-1.9708081294720126E-2</c:v>
                </c:pt>
                <c:pt idx="106">
                  <c:v>-2.5265933752650405E-2</c:v>
                </c:pt>
                <c:pt idx="107">
                  <c:v>-2.8286589929083061E-2</c:v>
                </c:pt>
                <c:pt idx="108">
                  <c:v>-2.8548770816811952E-2</c:v>
                </c:pt>
                <c:pt idx="109">
                  <c:v>-2.4594775619557807E-2</c:v>
                </c:pt>
                <c:pt idx="110">
                  <c:v>-2.3425839031148143E-2</c:v>
                </c:pt>
                <c:pt idx="111">
                  <c:v>-1.926438553871257E-2</c:v>
                </c:pt>
                <c:pt idx="112">
                  <c:v>-1.460345989665246E-2</c:v>
                </c:pt>
                <c:pt idx="113">
                  <c:v>-1.0036184269743731E-2</c:v>
                </c:pt>
                <c:pt idx="114">
                  <c:v>-9.7561415045898103E-3</c:v>
                </c:pt>
                <c:pt idx="115">
                  <c:v>-1.4369580924855407E-2</c:v>
                </c:pt>
                <c:pt idx="116">
                  <c:v>-8.6549092820503715E-3</c:v>
                </c:pt>
                <c:pt idx="117">
                  <c:v>7.3445762079415999E-3</c:v>
                </c:pt>
                <c:pt idx="118">
                  <c:v>1.5985741705511369E-2</c:v>
                </c:pt>
                <c:pt idx="119">
                  <c:v>2.2077767284929717E-2</c:v>
                </c:pt>
                <c:pt idx="120">
                  <c:v>2.6681953680348425E-2</c:v>
                </c:pt>
                <c:pt idx="121">
                  <c:v>2.3713388450938844E-2</c:v>
                </c:pt>
                <c:pt idx="122">
                  <c:v>2.2139039390833393E-2</c:v>
                </c:pt>
                <c:pt idx="123">
                  <c:v>1.8216884208986928E-2</c:v>
                </c:pt>
                <c:pt idx="124">
                  <c:v>1.4190606475148249E-2</c:v>
                </c:pt>
                <c:pt idx="125">
                  <c:v>9.1468681523507733E-3</c:v>
                </c:pt>
                <c:pt idx="126">
                  <c:v>1.0561842727702553E-2</c:v>
                </c:pt>
                <c:pt idx="127">
                  <c:v>1.9334915558650856E-2</c:v>
                </c:pt>
                <c:pt idx="128">
                  <c:v>1.7332955470028333E-2</c:v>
                </c:pt>
                <c:pt idx="129">
                  <c:v>4.6709551516026515E-3</c:v>
                </c:pt>
                <c:pt idx="130">
                  <c:v>-1.3854028913539151E-3</c:v>
                </c:pt>
                <c:pt idx="131">
                  <c:v>-3.9739139015222413E-3</c:v>
                </c:pt>
                <c:pt idx="132">
                  <c:v>-7.3972162166991984E-3</c:v>
                </c:pt>
                <c:pt idx="133">
                  <c:v>-3.6669021831484683E-3</c:v>
                </c:pt>
                <c:pt idx="134">
                  <c:v>6.2677399425159486E-4</c:v>
                </c:pt>
                <c:pt idx="135">
                  <c:v>6.5082542617844741E-3</c:v>
                </c:pt>
                <c:pt idx="136">
                  <c:v>1.2103663471395354E-2</c:v>
                </c:pt>
                <c:pt idx="137">
                  <c:v>1.7416140338231578E-2</c:v>
                </c:pt>
                <c:pt idx="138">
                  <c:v>1.9075482738443617E-2</c:v>
                </c:pt>
                <c:pt idx="139">
                  <c:v>1.8581612563938865E-2</c:v>
                </c:pt>
                <c:pt idx="140">
                  <c:v>1.7406072805369988E-2</c:v>
                </c:pt>
                <c:pt idx="141">
                  <c:v>1.6996250033722626E-2</c:v>
                </c:pt>
                <c:pt idx="142">
                  <c:v>1.821539570289632E-2</c:v>
                </c:pt>
                <c:pt idx="143">
                  <c:v>1.7562188158581904E-2</c:v>
                </c:pt>
                <c:pt idx="144">
                  <c:v>1.6542760967004577E-2</c:v>
                </c:pt>
                <c:pt idx="145">
                  <c:v>1.4317645263507428E-2</c:v>
                </c:pt>
                <c:pt idx="146">
                  <c:v>1.0729018460354567E-2</c:v>
                </c:pt>
                <c:pt idx="147">
                  <c:v>8.1875100337134299E-3</c:v>
                </c:pt>
                <c:pt idx="148">
                  <c:v>4.7888975762313546E-3</c:v>
                </c:pt>
                <c:pt idx="149">
                  <c:v>1.0538247639964027E-3</c:v>
                </c:pt>
                <c:pt idx="150">
                  <c:v>-6.4485353874410567E-4</c:v>
                </c:pt>
                <c:pt idx="151">
                  <c:v>-4.4128289764001627E-3</c:v>
                </c:pt>
                <c:pt idx="152">
                  <c:v>-7.057057057056948E-3</c:v>
                </c:pt>
                <c:pt idx="153">
                  <c:v>-6.7556215790822716E-3</c:v>
                </c:pt>
                <c:pt idx="154">
                  <c:v>-5.556194537588377E-3</c:v>
                </c:pt>
                <c:pt idx="155">
                  <c:v>-5.2662323868866157E-3</c:v>
                </c:pt>
                <c:pt idx="156">
                  <c:v>-3.9577135571611244E-3</c:v>
                </c:pt>
                <c:pt idx="157">
                  <c:v>-5.4603702785938069E-3</c:v>
                </c:pt>
                <c:pt idx="158">
                  <c:v>-6.5780154401869906E-3</c:v>
                </c:pt>
                <c:pt idx="159">
                  <c:v>-9.076433121019245E-3</c:v>
                </c:pt>
                <c:pt idx="160">
                  <c:v>-1.0717033185664526E-2</c:v>
                </c:pt>
                <c:pt idx="161">
                  <c:v>-1.1137551861713946E-2</c:v>
                </c:pt>
                <c:pt idx="162">
                  <c:v>-1.2755124590076994E-2</c:v>
                </c:pt>
                <c:pt idx="163">
                  <c:v>-1.0504760385085965E-2</c:v>
                </c:pt>
                <c:pt idx="164">
                  <c:v>-6.3066508926268305E-3</c:v>
                </c:pt>
                <c:pt idx="165">
                  <c:v>-5.3860603416809871E-3</c:v>
                </c:pt>
                <c:pt idx="166">
                  <c:v>-6.423544693458072E-3</c:v>
                </c:pt>
                <c:pt idx="167">
                  <c:v>-6.7978182918256858E-3</c:v>
                </c:pt>
                <c:pt idx="168">
                  <c:v>-1.0631394614967538E-2</c:v>
                </c:pt>
                <c:pt idx="169">
                  <c:v>-1.1799357531211419E-2</c:v>
                </c:pt>
                <c:pt idx="170">
                  <c:v>-1.2779723551586741E-2</c:v>
                </c:pt>
                <c:pt idx="171">
                  <c:v>-1.2560929883764449E-2</c:v>
                </c:pt>
                <c:pt idx="172">
                  <c:v>-1.3237515530171051E-2</c:v>
                </c:pt>
                <c:pt idx="173">
                  <c:v>-1.4161492905834572E-2</c:v>
                </c:pt>
                <c:pt idx="174">
                  <c:v>-1.3161664637203585E-2</c:v>
                </c:pt>
                <c:pt idx="175">
                  <c:v>-1.2712661595936203E-2</c:v>
                </c:pt>
                <c:pt idx="176">
                  <c:v>-1.4116657118304232E-2</c:v>
                </c:pt>
                <c:pt idx="177">
                  <c:v>-1.3157659189774629E-2</c:v>
                </c:pt>
                <c:pt idx="178">
                  <c:v>-1.6843217493306639E-2</c:v>
                </c:pt>
                <c:pt idx="179">
                  <c:v>-1.9520716685330397E-2</c:v>
                </c:pt>
                <c:pt idx="180">
                  <c:v>-2.0880315540740879E-2</c:v>
                </c:pt>
                <c:pt idx="181">
                  <c:v>-1.682079727697583E-2</c:v>
                </c:pt>
                <c:pt idx="182">
                  <c:v>-1.3170841796434241E-2</c:v>
                </c:pt>
                <c:pt idx="183">
                  <c:v>-1.021635158715084E-2</c:v>
                </c:pt>
                <c:pt idx="184">
                  <c:v>-8.4512400586966852E-3</c:v>
                </c:pt>
                <c:pt idx="185">
                  <c:v>-7.0236572019709564E-3</c:v>
                </c:pt>
                <c:pt idx="186">
                  <c:v>-8.855177920121915E-3</c:v>
                </c:pt>
                <c:pt idx="187">
                  <c:v>-1.0390011070579463E-2</c:v>
                </c:pt>
                <c:pt idx="188">
                  <c:v>-8.9617287873973162E-3</c:v>
                </c:pt>
                <c:pt idx="189">
                  <c:v>-1.1401153720567381E-2</c:v>
                </c:pt>
                <c:pt idx="190">
                  <c:v>-9.3901417173668511E-3</c:v>
                </c:pt>
                <c:pt idx="191">
                  <c:v>-8.2871918571715275E-3</c:v>
                </c:pt>
                <c:pt idx="192">
                  <c:v>-6.8363049083751681E-3</c:v>
                </c:pt>
                <c:pt idx="193">
                  <c:v>-8.4718596876860452E-3</c:v>
                </c:pt>
                <c:pt idx="194">
                  <c:v>-1.0785246441509022E-2</c:v>
                </c:pt>
                <c:pt idx="195">
                  <c:v>-1.4048612950665507E-2</c:v>
                </c:pt>
                <c:pt idx="196">
                  <c:v>-1.6187822591696044E-2</c:v>
                </c:pt>
                <c:pt idx="197">
                  <c:v>-1.9511080648846213E-2</c:v>
                </c:pt>
                <c:pt idx="198">
                  <c:v>-1.9616997125647684E-2</c:v>
                </c:pt>
                <c:pt idx="199">
                  <c:v>-1.9641105110171697E-2</c:v>
                </c:pt>
                <c:pt idx="200">
                  <c:v>-2.1951845201011455E-2</c:v>
                </c:pt>
                <c:pt idx="201">
                  <c:v>-2.2175329143538702E-2</c:v>
                </c:pt>
                <c:pt idx="202">
                  <c:v>-2.2323357697788815E-2</c:v>
                </c:pt>
                <c:pt idx="203">
                  <c:v>-2.1485364707616639E-2</c:v>
                </c:pt>
                <c:pt idx="204">
                  <c:v>-1.5670042131717077E-2</c:v>
                </c:pt>
                <c:pt idx="205">
                  <c:v>-1.67190097912433E-2</c:v>
                </c:pt>
                <c:pt idx="206">
                  <c:v>-1.9086899026235282E-2</c:v>
                </c:pt>
                <c:pt idx="207">
                  <c:v>-1.8797654230630179E-2</c:v>
                </c:pt>
                <c:pt idx="208">
                  <c:v>-1.8580594839033182E-2</c:v>
                </c:pt>
                <c:pt idx="209">
                  <c:v>-1.8780874266008052E-2</c:v>
                </c:pt>
                <c:pt idx="210">
                  <c:v>-2.1942315054295669E-2</c:v>
                </c:pt>
                <c:pt idx="211">
                  <c:v>-2.2017490529860129E-2</c:v>
                </c:pt>
                <c:pt idx="212">
                  <c:v>-2.0561675659472312E-2</c:v>
                </c:pt>
                <c:pt idx="213">
                  <c:v>-2.158043873970239E-2</c:v>
                </c:pt>
                <c:pt idx="214">
                  <c:v>-1.7999379331747223E-2</c:v>
                </c:pt>
                <c:pt idx="215">
                  <c:v>-1.3266545519598494E-2</c:v>
                </c:pt>
                <c:pt idx="216">
                  <c:v>-1.713974618908165E-2</c:v>
                </c:pt>
                <c:pt idx="217">
                  <c:v>-1.6496007515265365E-2</c:v>
                </c:pt>
                <c:pt idx="218">
                  <c:v>-1.0521056253712024E-2</c:v>
                </c:pt>
                <c:pt idx="219">
                  <c:v>-1.2265130771409671E-2</c:v>
                </c:pt>
                <c:pt idx="220">
                  <c:v>-1.4144873784203038E-2</c:v>
                </c:pt>
                <c:pt idx="221">
                  <c:v>-1.2092139634291232E-2</c:v>
                </c:pt>
                <c:pt idx="222">
                  <c:v>-4.3246236240918057E-3</c:v>
                </c:pt>
                <c:pt idx="223">
                  <c:v>-3.4238387161561468E-3</c:v>
                </c:pt>
                <c:pt idx="224">
                  <c:v>-6.6279636944441833E-3</c:v>
                </c:pt>
                <c:pt idx="225">
                  <c:v>-1.160359807437894E-3</c:v>
                </c:pt>
                <c:pt idx="226">
                  <c:v>1.216207157426874E-3</c:v>
                </c:pt>
                <c:pt idx="227">
                  <c:v>-7.7291551365488154E-4</c:v>
                </c:pt>
                <c:pt idx="228">
                  <c:v>3.495368159679213E-3</c:v>
                </c:pt>
                <c:pt idx="229">
                  <c:v>4.1167593176303363E-3</c:v>
                </c:pt>
                <c:pt idx="230">
                  <c:v>4.0778604571396482E-3</c:v>
                </c:pt>
                <c:pt idx="231">
                  <c:v>3.5655906166653928E-3</c:v>
                </c:pt>
                <c:pt idx="232">
                  <c:v>3.0327168728465637E-3</c:v>
                </c:pt>
                <c:pt idx="233">
                  <c:v>4.6249110594027698E-3</c:v>
                </c:pt>
                <c:pt idx="234">
                  <c:v>4.3625834164302546E-3</c:v>
                </c:pt>
                <c:pt idx="235">
                  <c:v>5.8251681813383804E-3</c:v>
                </c:pt>
                <c:pt idx="236">
                  <c:v>8.520757914195487E-3</c:v>
                </c:pt>
                <c:pt idx="237">
                  <c:v>4.8772526090421486E-3</c:v>
                </c:pt>
                <c:pt idx="238">
                  <c:v>-3.634624581539958E-4</c:v>
                </c:pt>
                <c:pt idx="239">
                  <c:v>-4.7652243666261862E-3</c:v>
                </c:pt>
                <c:pt idx="240">
                  <c:v>-8.7174997144923161E-3</c:v>
                </c:pt>
                <c:pt idx="241">
                  <c:v>-5.6409036860880502E-3</c:v>
                </c:pt>
                <c:pt idx="242">
                  <c:v>-5.7218769274565151E-3</c:v>
                </c:pt>
                <c:pt idx="243">
                  <c:v>-7.1439457441133669E-3</c:v>
                </c:pt>
                <c:pt idx="244">
                  <c:v>-4.6884119678892722E-3</c:v>
                </c:pt>
                <c:pt idx="245">
                  <c:v>-9.6762152694698234E-3</c:v>
                </c:pt>
                <c:pt idx="246">
                  <c:v>-1.6897213391757759E-3</c:v>
                </c:pt>
                <c:pt idx="247">
                  <c:v>1.5046274210475996E-2</c:v>
                </c:pt>
                <c:pt idx="248">
                  <c:v>2.9632741124020257E-2</c:v>
                </c:pt>
                <c:pt idx="249">
                  <c:v>3.3898628959059707E-2</c:v>
                </c:pt>
                <c:pt idx="250">
                  <c:v>3.5373928352725015E-2</c:v>
                </c:pt>
                <c:pt idx="251">
                  <c:v>3.8131608743211309E-2</c:v>
                </c:pt>
                <c:pt idx="252">
                  <c:v>3.4879032258064546E-2</c:v>
                </c:pt>
                <c:pt idx="253">
                  <c:v>3.3539968622048777E-2</c:v>
                </c:pt>
                <c:pt idx="254">
                  <c:v>3.790727415014028E-2</c:v>
                </c:pt>
                <c:pt idx="255">
                  <c:v>7.4140875338181589E-2</c:v>
                </c:pt>
                <c:pt idx="256">
                  <c:v>0.10352518193091909</c:v>
                </c:pt>
                <c:pt idx="257">
                  <c:v>0.1459331993196229</c:v>
                </c:pt>
                <c:pt idx="258">
                  <c:v>0.14247327251515673</c:v>
                </c:pt>
                <c:pt idx="259">
                  <c:v>0.12745918204291873</c:v>
                </c:pt>
                <c:pt idx="260">
                  <c:v>0.117585973500969</c:v>
                </c:pt>
                <c:pt idx="261">
                  <c:v>0.13217450768391981</c:v>
                </c:pt>
                <c:pt idx="262">
                  <c:v>0.14891552458667934</c:v>
                </c:pt>
                <c:pt idx="263">
                  <c:v>0.16732290742383915</c:v>
                </c:pt>
                <c:pt idx="264">
                  <c:v>0.18446466839219622</c:v>
                </c:pt>
                <c:pt idx="265">
                  <c:v>0.18763768303744977</c:v>
                </c:pt>
                <c:pt idx="266">
                  <c:v>0.17456829174099342</c:v>
                </c:pt>
                <c:pt idx="267">
                  <c:v>0.14047623300762746</c:v>
                </c:pt>
                <c:pt idx="268">
                  <c:v>0.11404975956512642</c:v>
                </c:pt>
                <c:pt idx="269">
                  <c:v>8.3577910467901306E-2</c:v>
                </c:pt>
                <c:pt idx="270">
                  <c:v>7.8955077716304167E-2</c:v>
                </c:pt>
                <c:pt idx="271">
                  <c:v>7.7926084020442321E-2</c:v>
                </c:pt>
                <c:pt idx="272">
                  <c:v>7.1381756336333924E-2</c:v>
                </c:pt>
                <c:pt idx="273">
                  <c:v>4.7308106696268393E-2</c:v>
                </c:pt>
                <c:pt idx="274">
                  <c:v>2.336655325241499E-2</c:v>
                </c:pt>
                <c:pt idx="275">
                  <c:v>-1.1639415653826868E-3</c:v>
                </c:pt>
                <c:pt idx="276">
                  <c:v>-1.2531622766825734E-2</c:v>
                </c:pt>
                <c:pt idx="277">
                  <c:v>-1.7839607201309393E-2</c:v>
                </c:pt>
                <c:pt idx="278">
                  <c:v>-9.7620930177940712E-3</c:v>
                </c:pt>
                <c:pt idx="279">
                  <c:v>-1.6994283029211354E-3</c:v>
                </c:pt>
                <c:pt idx="280">
                  <c:v>-4.926339495168186E-4</c:v>
                </c:pt>
                <c:pt idx="281">
                  <c:v>-8.2813156706775803E-3</c:v>
                </c:pt>
                <c:pt idx="282">
                  <c:v>-1.4064512125114392E-2</c:v>
                </c:pt>
                <c:pt idx="283">
                  <c:v>-1.9730227234055819E-2</c:v>
                </c:pt>
                <c:pt idx="284">
                  <c:v>-2.206149962443571E-2</c:v>
                </c:pt>
                <c:pt idx="285">
                  <c:v>-2.0668370846062878E-2</c:v>
                </c:pt>
                <c:pt idx="286">
                  <c:v>-1.6002766686578407E-2</c:v>
                </c:pt>
                <c:pt idx="287">
                  <c:v>-1.244569870311063E-2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02-4A0F-8182-0E1FC031C09F}"/>
            </c:ext>
          </c:extLst>
        </c:ser>
        <c:ser>
          <c:idx val="0"/>
          <c:order val="1"/>
          <c:tx>
            <c:strRef>
              <c:f>Inflation!$L$2</c:f>
              <c:strCache>
                <c:ptCount val="1"/>
                <c:pt idx="0">
                  <c:v>Annual Services CPI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Inflation!$A$639:$A$926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Inflation!$L$639:$L$926</c:f>
              <c:numCache>
                <c:formatCode>0.00%</c:formatCode>
                <c:ptCount val="288"/>
                <c:pt idx="0">
                  <c:v>2.8938906752411508E-2</c:v>
                </c:pt>
                <c:pt idx="1">
                  <c:v>2.9962546816479474E-2</c:v>
                </c:pt>
                <c:pt idx="2">
                  <c:v>3.0416221985058556E-2</c:v>
                </c:pt>
                <c:pt idx="3">
                  <c:v>2.9803086748270369E-2</c:v>
                </c:pt>
                <c:pt idx="4">
                  <c:v>3.1366294524189264E-2</c:v>
                </c:pt>
                <c:pt idx="5">
                  <c:v>3.5050451407328653E-2</c:v>
                </c:pt>
                <c:pt idx="6">
                  <c:v>3.5997882477501131E-2</c:v>
                </c:pt>
                <c:pt idx="7">
                  <c:v>3.6978341257263514E-2</c:v>
                </c:pt>
                <c:pt idx="8">
                  <c:v>3.7407797681770161E-2</c:v>
                </c:pt>
                <c:pt idx="9">
                  <c:v>3.9432176656151396E-2</c:v>
                </c:pt>
                <c:pt idx="10">
                  <c:v>3.7716081718176975E-2</c:v>
                </c:pt>
                <c:pt idx="11">
                  <c:v>3.9748953974895418E-2</c:v>
                </c:pt>
                <c:pt idx="12">
                  <c:v>4.4791666666666563E-2</c:v>
                </c:pt>
                <c:pt idx="13">
                  <c:v>4.5194805194805232E-2</c:v>
                </c:pt>
                <c:pt idx="14">
                  <c:v>4.4018643190056883E-2</c:v>
                </c:pt>
                <c:pt idx="15">
                  <c:v>4.3927648578811374E-2</c:v>
                </c:pt>
                <c:pt idx="16">
                  <c:v>4.4845360824742109E-2</c:v>
                </c:pt>
                <c:pt idx="17">
                  <c:v>4.4125192406362146E-2</c:v>
                </c:pt>
                <c:pt idx="18">
                  <c:v>4.1389882473173323E-2</c:v>
                </c:pt>
                <c:pt idx="19">
                  <c:v>4.1263372389200192E-2</c:v>
                </c:pt>
                <c:pt idx="20">
                  <c:v>3.8598273235144642E-2</c:v>
                </c:pt>
                <c:pt idx="21">
                  <c:v>3.591299949418314E-2</c:v>
                </c:pt>
                <c:pt idx="22">
                  <c:v>3.7859666834931804E-2</c:v>
                </c:pt>
                <c:pt idx="23">
                  <c:v>3.6720321931589472E-2</c:v>
                </c:pt>
                <c:pt idx="24">
                  <c:v>3.0907278165503538E-2</c:v>
                </c:pt>
                <c:pt idx="25">
                  <c:v>3.1312127236580611E-2</c:v>
                </c:pt>
                <c:pt idx="26">
                  <c:v>3.125E-2</c:v>
                </c:pt>
                <c:pt idx="27">
                  <c:v>3.2178217821782207E-2</c:v>
                </c:pt>
                <c:pt idx="28">
                  <c:v>3.1080414405525447E-2</c:v>
                </c:pt>
                <c:pt idx="29">
                  <c:v>2.8501228501228493E-2</c:v>
                </c:pt>
                <c:pt idx="30">
                  <c:v>2.9931305201177594E-2</c:v>
                </c:pt>
                <c:pt idx="31">
                  <c:v>3.0332681017612551E-2</c:v>
                </c:pt>
                <c:pt idx="32">
                  <c:v>3.2273838630806795E-2</c:v>
                </c:pt>
                <c:pt idx="33">
                  <c:v>3.3691406249999778E-2</c:v>
                </c:pt>
                <c:pt idx="34">
                  <c:v>3.3073929961089599E-2</c:v>
                </c:pt>
                <c:pt idx="35">
                  <c:v>3.3478893740902516E-2</c:v>
                </c:pt>
                <c:pt idx="36">
                  <c:v>3.3365570599612981E-2</c:v>
                </c:pt>
                <c:pt idx="37">
                  <c:v>3.2289156626505999E-2</c:v>
                </c:pt>
                <c:pt idx="38">
                  <c:v>3.4151034151034043E-2</c:v>
                </c:pt>
                <c:pt idx="39">
                  <c:v>3.1654676258992875E-2</c:v>
                </c:pt>
                <c:pt idx="40">
                  <c:v>3.3492822966507241E-2</c:v>
                </c:pt>
                <c:pt idx="41">
                  <c:v>3.296703296703285E-2</c:v>
                </c:pt>
                <c:pt idx="42">
                  <c:v>3.2872796569795248E-2</c:v>
                </c:pt>
                <c:pt idx="43">
                  <c:v>3.1339031339031376E-2</c:v>
                </c:pt>
                <c:pt idx="44">
                  <c:v>3.1738512553292297E-2</c:v>
                </c:pt>
                <c:pt idx="45">
                  <c:v>3.1648559282002831E-2</c:v>
                </c:pt>
                <c:pt idx="46">
                  <c:v>2.9190207156308823E-2</c:v>
                </c:pt>
                <c:pt idx="47">
                  <c:v>2.8169014084507005E-2</c:v>
                </c:pt>
                <c:pt idx="48">
                  <c:v>2.8076743097800616E-2</c:v>
                </c:pt>
                <c:pt idx="49">
                  <c:v>2.7544351073762963E-2</c:v>
                </c:pt>
                <c:pt idx="50">
                  <c:v>2.6976744186046675E-2</c:v>
                </c:pt>
                <c:pt idx="51">
                  <c:v>2.9288702928870425E-2</c:v>
                </c:pt>
                <c:pt idx="52">
                  <c:v>2.7314814814814792E-2</c:v>
                </c:pt>
                <c:pt idx="53">
                  <c:v>3.0064754856614195E-2</c:v>
                </c:pt>
                <c:pt idx="54">
                  <c:v>2.9520295202951852E-2</c:v>
                </c:pt>
                <c:pt idx="55">
                  <c:v>2.9926335174953911E-2</c:v>
                </c:pt>
                <c:pt idx="56">
                  <c:v>2.9384756657483857E-2</c:v>
                </c:pt>
                <c:pt idx="57">
                  <c:v>2.8388278388278287E-2</c:v>
                </c:pt>
                <c:pt idx="58">
                  <c:v>3.1107044830741115E-2</c:v>
                </c:pt>
                <c:pt idx="59">
                  <c:v>3.1050228310502304E-2</c:v>
                </c:pt>
                <c:pt idx="60">
                  <c:v>2.9585798816567976E-2</c:v>
                </c:pt>
                <c:pt idx="61">
                  <c:v>3.0895047705588485E-2</c:v>
                </c:pt>
                <c:pt idx="62">
                  <c:v>3.2608695652173836E-2</c:v>
                </c:pt>
                <c:pt idx="63">
                  <c:v>3.2068654019873577E-2</c:v>
                </c:pt>
                <c:pt idx="64">
                  <c:v>3.1545741324921162E-2</c:v>
                </c:pt>
                <c:pt idx="65">
                  <c:v>2.8738212842388977E-2</c:v>
                </c:pt>
                <c:pt idx="66">
                  <c:v>3.0017921146953563E-2</c:v>
                </c:pt>
                <c:pt idx="67">
                  <c:v>2.9950827000447156E-2</c:v>
                </c:pt>
                <c:pt idx="68">
                  <c:v>3.211418376449604E-2</c:v>
                </c:pt>
                <c:pt idx="69">
                  <c:v>3.7845057880676825E-2</c:v>
                </c:pt>
                <c:pt idx="70">
                  <c:v>3.9041703637976877E-2</c:v>
                </c:pt>
                <c:pt idx="71">
                  <c:v>3.8086802480070903E-2</c:v>
                </c:pt>
                <c:pt idx="72">
                  <c:v>4.1114058355437688E-2</c:v>
                </c:pt>
                <c:pt idx="73">
                  <c:v>3.9665050683120207E-2</c:v>
                </c:pt>
                <c:pt idx="74">
                  <c:v>3.7280701754385914E-2</c:v>
                </c:pt>
                <c:pt idx="75">
                  <c:v>3.7636761487964909E-2</c:v>
                </c:pt>
                <c:pt idx="76">
                  <c:v>3.8881607688947106E-2</c:v>
                </c:pt>
                <c:pt idx="77">
                  <c:v>4.103011785246613E-2</c:v>
                </c:pt>
                <c:pt idx="78">
                  <c:v>4.0452370595911225E-2</c:v>
                </c:pt>
                <c:pt idx="79">
                  <c:v>4.123263888888884E-2</c:v>
                </c:pt>
                <c:pt idx="80">
                  <c:v>4.019014693171985E-2</c:v>
                </c:pt>
                <c:pt idx="81">
                  <c:v>3.3891033891033873E-2</c:v>
                </c:pt>
                <c:pt idx="82">
                  <c:v>3.2023911187019749E-2</c:v>
                </c:pt>
                <c:pt idx="83">
                  <c:v>3.4129692832764569E-2</c:v>
                </c:pt>
                <c:pt idx="84">
                  <c:v>3.2755838641189028E-2</c:v>
                </c:pt>
                <c:pt idx="85">
                  <c:v>3.472233997456553E-2</c:v>
                </c:pt>
                <c:pt idx="86">
                  <c:v>3.4854122621564398E-2</c:v>
                </c:pt>
                <c:pt idx="87">
                  <c:v>3.4647827920708529E-2</c:v>
                </c:pt>
                <c:pt idx="88">
                  <c:v>3.4045416316232036E-2</c:v>
                </c:pt>
                <c:pt idx="89">
                  <c:v>3.4150943396226374E-2</c:v>
                </c:pt>
                <c:pt idx="90">
                  <c:v>3.2880434782608825E-2</c:v>
                </c:pt>
                <c:pt idx="91">
                  <c:v>3.1700708628595198E-2</c:v>
                </c:pt>
                <c:pt idx="92">
                  <c:v>3.1358537598670466E-2</c:v>
                </c:pt>
                <c:pt idx="93">
                  <c:v>3.3419087136929537E-2</c:v>
                </c:pt>
                <c:pt idx="94">
                  <c:v>3.3587091435664185E-2</c:v>
                </c:pt>
                <c:pt idx="95">
                  <c:v>3.3605610561056043E-2</c:v>
                </c:pt>
                <c:pt idx="96">
                  <c:v>3.3057307556308313E-2</c:v>
                </c:pt>
                <c:pt idx="97">
                  <c:v>3.1693098065885161E-2</c:v>
                </c:pt>
                <c:pt idx="98">
                  <c:v>3.3406471278034644E-2</c:v>
                </c:pt>
                <c:pt idx="99">
                  <c:v>3.3732140309398195E-2</c:v>
                </c:pt>
                <c:pt idx="100">
                  <c:v>3.5710218954354778E-2</c:v>
                </c:pt>
                <c:pt idx="101">
                  <c:v>3.7276247237933102E-2</c:v>
                </c:pt>
                <c:pt idx="102">
                  <c:v>4.051160625746264E-2</c:v>
                </c:pt>
                <c:pt idx="103">
                  <c:v>4.0625441910264515E-2</c:v>
                </c:pt>
                <c:pt idx="104">
                  <c:v>3.7599497276916694E-2</c:v>
                </c:pt>
                <c:pt idx="105">
                  <c:v>3.476354525524572E-2</c:v>
                </c:pt>
                <c:pt idx="106">
                  <c:v>3.2035321714207976E-2</c:v>
                </c:pt>
                <c:pt idx="107">
                  <c:v>2.9703128367644993E-2</c:v>
                </c:pt>
                <c:pt idx="108">
                  <c:v>2.8652280162703825E-2</c:v>
                </c:pt>
                <c:pt idx="109">
                  <c:v>2.7117822949882298E-2</c:v>
                </c:pt>
                <c:pt idx="110">
                  <c:v>2.3031089004780236E-2</c:v>
                </c:pt>
                <c:pt idx="111">
                  <c:v>2.0142750108442575E-2</c:v>
                </c:pt>
                <c:pt idx="112">
                  <c:v>1.5341000561495566E-2</c:v>
                </c:pt>
                <c:pt idx="113">
                  <c:v>1.1128092276783352E-2</c:v>
                </c:pt>
                <c:pt idx="114">
                  <c:v>6.5078537697316197E-3</c:v>
                </c:pt>
                <c:pt idx="115">
                  <c:v>6.6974685510172716E-3</c:v>
                </c:pt>
                <c:pt idx="116">
                  <c:v>7.5354644346268262E-3</c:v>
                </c:pt>
                <c:pt idx="117">
                  <c:v>8.9208108275906639E-3</c:v>
                </c:pt>
                <c:pt idx="118">
                  <c:v>9.2777547212987699E-3</c:v>
                </c:pt>
                <c:pt idx="119">
                  <c:v>8.9035148921656759E-3</c:v>
                </c:pt>
                <c:pt idx="120">
                  <c:v>5.3394621072304638E-3</c:v>
                </c:pt>
                <c:pt idx="121">
                  <c:v>5.0801063961400938E-3</c:v>
                </c:pt>
                <c:pt idx="122">
                  <c:v>6.1759886219581173E-3</c:v>
                </c:pt>
                <c:pt idx="123">
                  <c:v>7.6305189835252918E-3</c:v>
                </c:pt>
                <c:pt idx="124">
                  <c:v>9.0802215140921572E-3</c:v>
                </c:pt>
                <c:pt idx="125">
                  <c:v>9.6719575083306086E-3</c:v>
                </c:pt>
                <c:pt idx="126">
                  <c:v>1.0736356363551858E-2</c:v>
                </c:pt>
                <c:pt idx="127">
                  <c:v>9.39892396397779E-3</c:v>
                </c:pt>
                <c:pt idx="128">
                  <c:v>9.0974595700572536E-3</c:v>
                </c:pt>
                <c:pt idx="129">
                  <c:v>7.9381256946819967E-3</c:v>
                </c:pt>
                <c:pt idx="130">
                  <c:v>8.4430831664827899E-3</c:v>
                </c:pt>
                <c:pt idx="131">
                  <c:v>9.4050752060241827E-3</c:v>
                </c:pt>
                <c:pt idx="132">
                  <c:v>1.2800529570916597E-2</c:v>
                </c:pt>
                <c:pt idx="133">
                  <c:v>1.4351655960303189E-2</c:v>
                </c:pt>
                <c:pt idx="134">
                  <c:v>1.4488634181192506E-2</c:v>
                </c:pt>
                <c:pt idx="135">
                  <c:v>1.4550853179474466E-2</c:v>
                </c:pt>
                <c:pt idx="136">
                  <c:v>1.5053730473839844E-2</c:v>
                </c:pt>
                <c:pt idx="137">
                  <c:v>1.568219060600029E-2</c:v>
                </c:pt>
                <c:pt idx="138">
                  <c:v>1.6965873243475871E-2</c:v>
                </c:pt>
                <c:pt idx="139">
                  <c:v>1.8981973238780148E-2</c:v>
                </c:pt>
                <c:pt idx="140">
                  <c:v>2.0005040399566187E-2</c:v>
                </c:pt>
                <c:pt idx="141">
                  <c:v>2.0776495278069129E-2</c:v>
                </c:pt>
                <c:pt idx="142">
                  <c:v>2.0650889828893737E-2</c:v>
                </c:pt>
                <c:pt idx="143">
                  <c:v>2.1809213155560947E-2</c:v>
                </c:pt>
                <c:pt idx="144">
                  <c:v>2.1967707735627506E-2</c:v>
                </c:pt>
                <c:pt idx="145">
                  <c:v>2.0223662405527421E-2</c:v>
                </c:pt>
                <c:pt idx="146">
                  <c:v>2.062745632567764E-2</c:v>
                </c:pt>
                <c:pt idx="147">
                  <c:v>2.1326073393454825E-2</c:v>
                </c:pt>
                <c:pt idx="148">
                  <c:v>2.0777014271690541E-2</c:v>
                </c:pt>
                <c:pt idx="149">
                  <c:v>2.1380859757844428E-2</c:v>
                </c:pt>
                <c:pt idx="150">
                  <c:v>2.0416450470367886E-2</c:v>
                </c:pt>
                <c:pt idx="151">
                  <c:v>2.0176984513855079E-2</c:v>
                </c:pt>
                <c:pt idx="152">
                  <c:v>2.0844330140047829E-2</c:v>
                </c:pt>
                <c:pt idx="153">
                  <c:v>2.138905502392352E-2</c:v>
                </c:pt>
                <c:pt idx="154">
                  <c:v>2.2230602361954954E-2</c:v>
                </c:pt>
                <c:pt idx="155">
                  <c:v>2.2252600917072263E-2</c:v>
                </c:pt>
                <c:pt idx="156">
                  <c:v>2.2982821447162793E-2</c:v>
                </c:pt>
                <c:pt idx="157">
                  <c:v>2.4985689541098921E-2</c:v>
                </c:pt>
                <c:pt idx="158">
                  <c:v>2.465110067442744E-2</c:v>
                </c:pt>
                <c:pt idx="159">
                  <c:v>2.357601673423293E-2</c:v>
                </c:pt>
                <c:pt idx="160">
                  <c:v>2.438203452395471E-2</c:v>
                </c:pt>
                <c:pt idx="161">
                  <c:v>2.3933775225497778E-2</c:v>
                </c:pt>
                <c:pt idx="162">
                  <c:v>2.4871772196674913E-2</c:v>
                </c:pt>
                <c:pt idx="163">
                  <c:v>2.4523010537690348E-2</c:v>
                </c:pt>
                <c:pt idx="164">
                  <c:v>2.4588270239942034E-2</c:v>
                </c:pt>
                <c:pt idx="165">
                  <c:v>2.3839673256673466E-2</c:v>
                </c:pt>
                <c:pt idx="166">
                  <c:v>2.3920404115668203E-2</c:v>
                </c:pt>
                <c:pt idx="167">
                  <c:v>2.3517237107241407E-2</c:v>
                </c:pt>
                <c:pt idx="168">
                  <c:v>2.401852275907701E-2</c:v>
                </c:pt>
                <c:pt idx="169">
                  <c:v>2.3832663659177022E-2</c:v>
                </c:pt>
                <c:pt idx="170">
                  <c:v>2.6559790302201014E-2</c:v>
                </c:pt>
                <c:pt idx="171">
                  <c:v>2.6422109934785665E-2</c:v>
                </c:pt>
                <c:pt idx="172">
                  <c:v>2.7885396544565122E-2</c:v>
                </c:pt>
                <c:pt idx="173">
                  <c:v>2.7638308685450363E-2</c:v>
                </c:pt>
                <c:pt idx="174">
                  <c:v>2.7291814972208561E-2</c:v>
                </c:pt>
                <c:pt idx="175">
                  <c:v>2.5977333959955828E-2</c:v>
                </c:pt>
                <c:pt idx="176">
                  <c:v>2.5025411960085231E-2</c:v>
                </c:pt>
                <c:pt idx="177">
                  <c:v>2.5511517179256149E-2</c:v>
                </c:pt>
                <c:pt idx="178">
                  <c:v>2.5227230569467629E-2</c:v>
                </c:pt>
                <c:pt idx="179">
                  <c:v>2.5159225464681967E-2</c:v>
                </c:pt>
                <c:pt idx="180">
                  <c:v>2.4331893415303396E-2</c:v>
                </c:pt>
                <c:pt idx="181">
                  <c:v>2.3451446544444865E-2</c:v>
                </c:pt>
                <c:pt idx="182">
                  <c:v>2.0903355046677286E-2</c:v>
                </c:pt>
                <c:pt idx="183">
                  <c:v>2.2570460007470539E-2</c:v>
                </c:pt>
                <c:pt idx="184">
                  <c:v>2.0602224267417979E-2</c:v>
                </c:pt>
                <c:pt idx="185">
                  <c:v>2.1767113630225765E-2</c:v>
                </c:pt>
                <c:pt idx="186">
                  <c:v>2.201005834117864E-2</c:v>
                </c:pt>
                <c:pt idx="187">
                  <c:v>2.2686583864831578E-2</c:v>
                </c:pt>
                <c:pt idx="188">
                  <c:v>2.3524030336466772E-2</c:v>
                </c:pt>
                <c:pt idx="189">
                  <c:v>2.4413283000979558E-2</c:v>
                </c:pt>
                <c:pt idx="190">
                  <c:v>2.5107514161250455E-2</c:v>
                </c:pt>
                <c:pt idx="191">
                  <c:v>2.4566082553705515E-2</c:v>
                </c:pt>
                <c:pt idx="192">
                  <c:v>2.4866243450780257E-2</c:v>
                </c:pt>
                <c:pt idx="193">
                  <c:v>2.5741566850897568E-2</c:v>
                </c:pt>
                <c:pt idx="194">
                  <c:v>2.6265243375824587E-2</c:v>
                </c:pt>
                <c:pt idx="195">
                  <c:v>2.6655593194639282E-2</c:v>
                </c:pt>
                <c:pt idx="196">
                  <c:v>2.8636036662387232E-2</c:v>
                </c:pt>
                <c:pt idx="197">
                  <c:v>2.8882824434031784E-2</c:v>
                </c:pt>
                <c:pt idx="198">
                  <c:v>2.9028634828882849E-2</c:v>
                </c:pt>
                <c:pt idx="199">
                  <c:v>3.0368719056867111E-2</c:v>
                </c:pt>
                <c:pt idx="200">
                  <c:v>3.0120255863539391E-2</c:v>
                </c:pt>
                <c:pt idx="201">
                  <c:v>2.9367431447071768E-2</c:v>
                </c:pt>
                <c:pt idx="202">
                  <c:v>2.9390401194759219E-2</c:v>
                </c:pt>
                <c:pt idx="203">
                  <c:v>3.048821822717529E-2</c:v>
                </c:pt>
                <c:pt idx="204">
                  <c:v>3.0805382742764342E-2</c:v>
                </c:pt>
                <c:pt idx="205">
                  <c:v>3.1560088667856423E-2</c:v>
                </c:pt>
                <c:pt idx="206">
                  <c:v>2.8767340014070886E-2</c:v>
                </c:pt>
                <c:pt idx="207">
                  <c:v>2.8000993561986709E-2</c:v>
                </c:pt>
                <c:pt idx="208">
                  <c:v>2.6922034510795889E-2</c:v>
                </c:pt>
                <c:pt idx="209">
                  <c:v>2.6196997954819334E-2</c:v>
                </c:pt>
                <c:pt idx="210">
                  <c:v>2.5238020758804547E-2</c:v>
                </c:pt>
                <c:pt idx="211">
                  <c:v>2.5312423263006423E-2</c:v>
                </c:pt>
                <c:pt idx="212">
                  <c:v>2.540453181610447E-2</c:v>
                </c:pt>
                <c:pt idx="213">
                  <c:v>2.6245504548339404E-2</c:v>
                </c:pt>
                <c:pt idx="214">
                  <c:v>2.5425433346852211E-2</c:v>
                </c:pt>
                <c:pt idx="215">
                  <c:v>2.5852967006219973E-2</c:v>
                </c:pt>
                <c:pt idx="216">
                  <c:v>2.5889638568443729E-2</c:v>
                </c:pt>
                <c:pt idx="217">
                  <c:v>2.5979505529189817E-2</c:v>
                </c:pt>
                <c:pt idx="218">
                  <c:v>2.8777661074736782E-2</c:v>
                </c:pt>
                <c:pt idx="219">
                  <c:v>2.8211323711878844E-2</c:v>
                </c:pt>
                <c:pt idx="220">
                  <c:v>2.8848942194591887E-2</c:v>
                </c:pt>
                <c:pt idx="221">
                  <c:v>2.8382767466130776E-2</c:v>
                </c:pt>
                <c:pt idx="222">
                  <c:v>2.8693566344134558E-2</c:v>
                </c:pt>
                <c:pt idx="223">
                  <c:v>2.7752425707646466E-2</c:v>
                </c:pt>
                <c:pt idx="224">
                  <c:v>2.7265240209931374E-2</c:v>
                </c:pt>
                <c:pt idx="225">
                  <c:v>2.6817578623239635E-2</c:v>
                </c:pt>
                <c:pt idx="226">
                  <c:v>2.7164860606450292E-2</c:v>
                </c:pt>
                <c:pt idx="227">
                  <c:v>2.7974875515811792E-2</c:v>
                </c:pt>
                <c:pt idx="228">
                  <c:v>2.6850916345871001E-2</c:v>
                </c:pt>
                <c:pt idx="229">
                  <c:v>2.5694648117213559E-2</c:v>
                </c:pt>
                <c:pt idx="230">
                  <c:v>2.5876710324604035E-2</c:v>
                </c:pt>
                <c:pt idx="231">
                  <c:v>2.6630676405207998E-2</c:v>
                </c:pt>
                <c:pt idx="232">
                  <c:v>2.5433632186165012E-2</c:v>
                </c:pt>
                <c:pt idx="233">
                  <c:v>2.6028181125537841E-2</c:v>
                </c:pt>
                <c:pt idx="234">
                  <c:v>2.6293452983847665E-2</c:v>
                </c:pt>
                <c:pt idx="235">
                  <c:v>2.6870766508059862E-2</c:v>
                </c:pt>
                <c:pt idx="236">
                  <c:v>2.7544511062134625E-2</c:v>
                </c:pt>
                <c:pt idx="237">
                  <c:v>2.8231397077736808E-2</c:v>
                </c:pt>
                <c:pt idx="238">
                  <c:v>2.8953975419330202E-2</c:v>
                </c:pt>
                <c:pt idx="239">
                  <c:v>2.7544196723765735E-2</c:v>
                </c:pt>
                <c:pt idx="240">
                  <c:v>2.9215785180064957E-2</c:v>
                </c:pt>
                <c:pt idx="241">
                  <c:v>2.994616838231634E-2</c:v>
                </c:pt>
                <c:pt idx="242">
                  <c:v>2.6888854441171839E-2</c:v>
                </c:pt>
                <c:pt idx="243">
                  <c:v>2.0474131264576867E-2</c:v>
                </c:pt>
                <c:pt idx="244">
                  <c:v>1.8693984446901402E-2</c:v>
                </c:pt>
                <c:pt idx="245">
                  <c:v>1.8432015381581568E-2</c:v>
                </c:pt>
                <c:pt idx="246">
                  <c:v>2.1195612071722048E-2</c:v>
                </c:pt>
                <c:pt idx="247">
                  <c:v>2.0270477475543558E-2</c:v>
                </c:pt>
                <c:pt idx="248">
                  <c:v>1.8835595481415224E-2</c:v>
                </c:pt>
                <c:pt idx="249">
                  <c:v>1.6980176574312056E-2</c:v>
                </c:pt>
                <c:pt idx="250">
                  <c:v>1.7259581303793681E-2</c:v>
                </c:pt>
                <c:pt idx="251">
                  <c:v>1.6585570189683763E-2</c:v>
                </c:pt>
                <c:pt idx="252">
                  <c:v>1.3393032718691744E-2</c:v>
                </c:pt>
                <c:pt idx="253">
                  <c:v>1.3754643474692019E-2</c:v>
                </c:pt>
                <c:pt idx="254">
                  <c:v>1.7740313927474771E-2</c:v>
                </c:pt>
                <c:pt idx="255">
                  <c:v>2.60711416923054E-2</c:v>
                </c:pt>
                <c:pt idx="256">
                  <c:v>3.0505052342449712E-2</c:v>
                </c:pt>
                <c:pt idx="257">
                  <c:v>3.1837132328470297E-2</c:v>
                </c:pt>
                <c:pt idx="258">
                  <c:v>3.0094836670179204E-2</c:v>
                </c:pt>
                <c:pt idx="259">
                  <c:v>3.0039074241058117E-2</c:v>
                </c:pt>
                <c:pt idx="260">
                  <c:v>3.1941474665449388E-2</c:v>
                </c:pt>
                <c:pt idx="261">
                  <c:v>3.6483081353491542E-2</c:v>
                </c:pt>
                <c:pt idx="262">
                  <c:v>3.7956095226701736E-2</c:v>
                </c:pt>
                <c:pt idx="263">
                  <c:v>4.0584401042677687E-2</c:v>
                </c:pt>
                <c:pt idx="264">
                  <c:v>4.5714268655290713E-2</c:v>
                </c:pt>
                <c:pt idx="265">
                  <c:v>4.8086397151846816E-2</c:v>
                </c:pt>
                <c:pt idx="266">
                  <c:v>5.1112581170516647E-2</c:v>
                </c:pt>
                <c:pt idx="267">
                  <c:v>5.3694764642281179E-2</c:v>
                </c:pt>
                <c:pt idx="268">
                  <c:v>5.7430076873516089E-2</c:v>
                </c:pt>
                <c:pt idx="269">
                  <c:v>6.2167019988330185E-2</c:v>
                </c:pt>
                <c:pt idx="270">
                  <c:v>6.2613621085735316E-2</c:v>
                </c:pt>
                <c:pt idx="271">
                  <c:v>6.8095735554167813E-2</c:v>
                </c:pt>
                <c:pt idx="272">
                  <c:v>7.3651126244106857E-2</c:v>
                </c:pt>
                <c:pt idx="273">
                  <c:v>7.2374552126926783E-2</c:v>
                </c:pt>
                <c:pt idx="274">
                  <c:v>7.223722161872459E-2</c:v>
                </c:pt>
                <c:pt idx="275">
                  <c:v>7.5104950085939981E-2</c:v>
                </c:pt>
                <c:pt idx="276">
                  <c:v>7.636067773384525E-2</c:v>
                </c:pt>
                <c:pt idx="277">
                  <c:v>7.6074083120556857E-2</c:v>
                </c:pt>
                <c:pt idx="278">
                  <c:v>7.2435504855656641E-2</c:v>
                </c:pt>
                <c:pt idx="279">
                  <c:v>6.7996142221923073E-2</c:v>
                </c:pt>
                <c:pt idx="280">
                  <c:v>6.301087833514174E-2</c:v>
                </c:pt>
                <c:pt idx="281">
                  <c:v>5.7476721941416287E-2</c:v>
                </c:pt>
                <c:pt idx="282">
                  <c:v>5.7084074824861109E-2</c:v>
                </c:pt>
                <c:pt idx="283">
                  <c:v>5.3951861869245832E-2</c:v>
                </c:pt>
                <c:pt idx="284">
                  <c:v>5.1644223263075606E-2</c:v>
                </c:pt>
                <c:pt idx="285">
                  <c:v>5.0697786138196976E-2</c:v>
                </c:pt>
                <c:pt idx="286">
                  <c:v>5.1816479048481634E-2</c:v>
                </c:pt>
                <c:pt idx="287">
                  <c:v>4.9477811318136E-2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5-4DC0-A2DA-E8289648B340}"/>
            </c:ext>
          </c:extLst>
        </c:ser>
        <c:ser>
          <c:idx val="3"/>
          <c:order val="2"/>
          <c:tx>
            <c:strRef>
              <c:f>Inflation!$O$2</c:f>
              <c:strCache>
                <c:ptCount val="1"/>
                <c:pt idx="0">
                  <c:v>Annual Core-Services CPI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val>
            <c:numRef>
              <c:f>Inflation!$O$639:$O$926</c:f>
              <c:numCache>
                <c:formatCode>0.00%</c:formatCode>
                <c:ptCount val="288"/>
                <c:pt idx="0">
                  <c:v>2.9989658738365899E-2</c:v>
                </c:pt>
                <c:pt idx="1">
                  <c:v>2.994321115126497E-2</c:v>
                </c:pt>
                <c:pt idx="2">
                  <c:v>3.0895983522142068E-2</c:v>
                </c:pt>
                <c:pt idx="3">
                  <c:v>2.9774127310061571E-2</c:v>
                </c:pt>
                <c:pt idx="4">
                  <c:v>3.1266017426960557E-2</c:v>
                </c:pt>
                <c:pt idx="5">
                  <c:v>3.3794162826420893E-2</c:v>
                </c:pt>
                <c:pt idx="6">
                  <c:v>3.3690658499234249E-2</c:v>
                </c:pt>
                <c:pt idx="7">
                  <c:v>3.5677879714576921E-2</c:v>
                </c:pt>
                <c:pt idx="8">
                  <c:v>3.5078800203355298E-2</c:v>
                </c:pt>
                <c:pt idx="9">
                  <c:v>3.4989858012170361E-2</c:v>
                </c:pt>
                <c:pt idx="10">
                  <c:v>3.4360788276907472E-2</c:v>
                </c:pt>
                <c:pt idx="11">
                  <c:v>3.4291477559253547E-2</c:v>
                </c:pt>
                <c:pt idx="12">
                  <c:v>3.4136546184738936E-2</c:v>
                </c:pt>
                <c:pt idx="13">
                  <c:v>3.5588972431077615E-2</c:v>
                </c:pt>
                <c:pt idx="14">
                  <c:v>3.546453546453554E-2</c:v>
                </c:pt>
                <c:pt idx="15">
                  <c:v>3.5892323030907392E-2</c:v>
                </c:pt>
                <c:pt idx="16">
                  <c:v>3.5785288270377746E-2</c:v>
                </c:pt>
                <c:pt idx="17">
                  <c:v>3.7147102526003062E-2</c:v>
                </c:pt>
                <c:pt idx="18">
                  <c:v>3.6543209876543248E-2</c:v>
                </c:pt>
                <c:pt idx="19">
                  <c:v>3.7401574803149762E-2</c:v>
                </c:pt>
                <c:pt idx="20">
                  <c:v>3.7328094302554016E-2</c:v>
                </c:pt>
                <c:pt idx="21">
                  <c:v>3.7236648701616915E-2</c:v>
                </c:pt>
                <c:pt idx="22">
                  <c:v>3.9081582804103565E-2</c:v>
                </c:pt>
                <c:pt idx="23">
                  <c:v>3.998049731838127E-2</c:v>
                </c:pt>
                <c:pt idx="24">
                  <c:v>3.9805825242718473E-2</c:v>
                </c:pt>
                <c:pt idx="25">
                  <c:v>4.0658276863504428E-2</c:v>
                </c:pt>
                <c:pt idx="26">
                  <c:v>3.9073806078147477E-2</c:v>
                </c:pt>
                <c:pt idx="27">
                  <c:v>3.9461020211742026E-2</c:v>
                </c:pt>
                <c:pt idx="28">
                  <c:v>3.9347408829174535E-2</c:v>
                </c:pt>
                <c:pt idx="29">
                  <c:v>3.629417382999045E-2</c:v>
                </c:pt>
                <c:pt idx="30">
                  <c:v>3.7160552644116107E-2</c:v>
                </c:pt>
                <c:pt idx="31">
                  <c:v>3.6527514231498914E-2</c:v>
                </c:pt>
                <c:pt idx="32">
                  <c:v>3.6931818181818343E-2</c:v>
                </c:pt>
                <c:pt idx="33">
                  <c:v>3.6844591402928728E-2</c:v>
                </c:pt>
                <c:pt idx="34">
                  <c:v>3.5260930888575404E-2</c:v>
                </c:pt>
                <c:pt idx="35">
                  <c:v>3.4692920768869984E-2</c:v>
                </c:pt>
                <c:pt idx="36">
                  <c:v>3.408029878618124E-2</c:v>
                </c:pt>
                <c:pt idx="37">
                  <c:v>3.1627906976744224E-2</c:v>
                </c:pt>
                <c:pt idx="38">
                  <c:v>3.0640668523676862E-2</c:v>
                </c:pt>
                <c:pt idx="39">
                  <c:v>2.8703703703703676E-2</c:v>
                </c:pt>
                <c:pt idx="40">
                  <c:v>3.000923361034169E-2</c:v>
                </c:pt>
                <c:pt idx="41">
                  <c:v>2.9032258064516148E-2</c:v>
                </c:pt>
                <c:pt idx="42">
                  <c:v>2.893890675241173E-2</c:v>
                </c:pt>
                <c:pt idx="43">
                  <c:v>2.7002288329519564E-2</c:v>
                </c:pt>
                <c:pt idx="44">
                  <c:v>2.6940639269406486E-2</c:v>
                </c:pt>
                <c:pt idx="45">
                  <c:v>2.8246013667425851E-2</c:v>
                </c:pt>
                <c:pt idx="46">
                  <c:v>2.6339691189827485E-2</c:v>
                </c:pt>
                <c:pt idx="47">
                  <c:v>2.6280018124150484E-2</c:v>
                </c:pt>
                <c:pt idx="48">
                  <c:v>2.5282167042889325E-2</c:v>
                </c:pt>
                <c:pt idx="49">
                  <c:v>2.5247971145175852E-2</c:v>
                </c:pt>
                <c:pt idx="50">
                  <c:v>2.8378378378378422E-2</c:v>
                </c:pt>
                <c:pt idx="51">
                  <c:v>3.0603060306030549E-2</c:v>
                </c:pt>
                <c:pt idx="52">
                  <c:v>2.8686687584043025E-2</c:v>
                </c:pt>
                <c:pt idx="53">
                  <c:v>3.0004478280340363E-2</c:v>
                </c:pt>
                <c:pt idx="54">
                  <c:v>2.9017857142857206E-2</c:v>
                </c:pt>
                <c:pt idx="55">
                  <c:v>2.8966131907308457E-2</c:v>
                </c:pt>
                <c:pt idx="56">
                  <c:v>2.9791018230324484E-2</c:v>
                </c:pt>
                <c:pt idx="57">
                  <c:v>2.7913159060700021E-2</c:v>
                </c:pt>
                <c:pt idx="58">
                  <c:v>2.8761061946902755E-2</c:v>
                </c:pt>
                <c:pt idx="59">
                  <c:v>2.8256070640176656E-2</c:v>
                </c:pt>
                <c:pt idx="60">
                  <c:v>2.8181417877586989E-2</c:v>
                </c:pt>
                <c:pt idx="61">
                  <c:v>2.9903254177660488E-2</c:v>
                </c:pt>
                <c:pt idx="62">
                  <c:v>3.0661410424879465E-2</c:v>
                </c:pt>
                <c:pt idx="63">
                  <c:v>2.8820960698690001E-2</c:v>
                </c:pt>
                <c:pt idx="64">
                  <c:v>2.7886710239651391E-2</c:v>
                </c:pt>
                <c:pt idx="65">
                  <c:v>2.6956521739130324E-2</c:v>
                </c:pt>
                <c:pt idx="66">
                  <c:v>2.7331887201735405E-2</c:v>
                </c:pt>
                <c:pt idx="67">
                  <c:v>2.6851450844521452E-2</c:v>
                </c:pt>
                <c:pt idx="68">
                  <c:v>2.5043177892918767E-2</c:v>
                </c:pt>
                <c:pt idx="69">
                  <c:v>2.7155172413793061E-2</c:v>
                </c:pt>
                <c:pt idx="70">
                  <c:v>2.8817204301075261E-2</c:v>
                </c:pt>
                <c:pt idx="71">
                  <c:v>2.9626449119793952E-2</c:v>
                </c:pt>
                <c:pt idx="72">
                  <c:v>2.9122055674518199E-2</c:v>
                </c:pt>
                <c:pt idx="73">
                  <c:v>2.9461998292058089E-2</c:v>
                </c:pt>
                <c:pt idx="74">
                  <c:v>2.84742881427964E-2</c:v>
                </c:pt>
                <c:pt idx="75">
                  <c:v>3.056027164685915E-2</c:v>
                </c:pt>
                <c:pt idx="76">
                  <c:v>3.3064857990674046E-2</c:v>
                </c:pt>
                <c:pt idx="77">
                  <c:v>3.5139712108382737E-2</c:v>
                </c:pt>
                <c:pt idx="78">
                  <c:v>3.5472972972972805E-2</c:v>
                </c:pt>
                <c:pt idx="79">
                  <c:v>3.7536904259805937E-2</c:v>
                </c:pt>
                <c:pt idx="80">
                  <c:v>3.8753159224936828E-2</c:v>
                </c:pt>
                <c:pt idx="81">
                  <c:v>3.8187159043222785E-2</c:v>
                </c:pt>
                <c:pt idx="82">
                  <c:v>3.6789297658862852E-2</c:v>
                </c:pt>
                <c:pt idx="83">
                  <c:v>3.669724770642202E-2</c:v>
                </c:pt>
                <c:pt idx="84">
                  <c:v>3.7794423637120156E-2</c:v>
                </c:pt>
                <c:pt idx="85">
                  <c:v>3.7917876399834016E-2</c:v>
                </c:pt>
                <c:pt idx="86">
                  <c:v>3.61239669421487E-2</c:v>
                </c:pt>
                <c:pt idx="87">
                  <c:v>3.5358319604612776E-2</c:v>
                </c:pt>
                <c:pt idx="88">
                  <c:v>3.4021337710299582E-2</c:v>
                </c:pt>
                <c:pt idx="89">
                  <c:v>3.3321063394682993E-2</c:v>
                </c:pt>
                <c:pt idx="90">
                  <c:v>3.2915986949429099E-2</c:v>
                </c:pt>
                <c:pt idx="91">
                  <c:v>3.2008130081300878E-2</c:v>
                </c:pt>
                <c:pt idx="92">
                  <c:v>3.2506082725060947E-2</c:v>
                </c:pt>
                <c:pt idx="93">
                  <c:v>3.2251414713015292E-2</c:v>
                </c:pt>
                <c:pt idx="94">
                  <c:v>3.2919354838709669E-2</c:v>
                </c:pt>
                <c:pt idx="95">
                  <c:v>3.3519710378117518E-2</c:v>
                </c:pt>
                <c:pt idx="96">
                  <c:v>3.3546928006030763E-2</c:v>
                </c:pt>
                <c:pt idx="97">
                  <c:v>3.1633378889235342E-2</c:v>
                </c:pt>
                <c:pt idx="98">
                  <c:v>3.3125682972936277E-2</c:v>
                </c:pt>
                <c:pt idx="99">
                  <c:v>3.1477614018338373E-2</c:v>
                </c:pt>
                <c:pt idx="100">
                  <c:v>3.1897964609847174E-2</c:v>
                </c:pt>
                <c:pt idx="101">
                  <c:v>3.2507807335927286E-2</c:v>
                </c:pt>
                <c:pt idx="102">
                  <c:v>3.2747531300464816E-2</c:v>
                </c:pt>
                <c:pt idx="103">
                  <c:v>3.2898209347944185E-2</c:v>
                </c:pt>
                <c:pt idx="104">
                  <c:v>3.2201432745781799E-2</c:v>
                </c:pt>
                <c:pt idx="105">
                  <c:v>3.0394041796702354E-2</c:v>
                </c:pt>
                <c:pt idx="106">
                  <c:v>2.8606673849565167E-2</c:v>
                </c:pt>
                <c:pt idx="107">
                  <c:v>2.6279224544920377E-2</c:v>
                </c:pt>
                <c:pt idx="108">
                  <c:v>2.5350342194701669E-2</c:v>
                </c:pt>
                <c:pt idx="109">
                  <c:v>2.5162884745000946E-2</c:v>
                </c:pt>
                <c:pt idx="110">
                  <c:v>2.3030480837528122E-2</c:v>
                </c:pt>
                <c:pt idx="111">
                  <c:v>2.3050698424206706E-2</c:v>
                </c:pt>
                <c:pt idx="112">
                  <c:v>2.0951509254736989E-2</c:v>
                </c:pt>
                <c:pt idx="113">
                  <c:v>1.8155332362186583E-2</c:v>
                </c:pt>
                <c:pt idx="114">
                  <c:v>1.6145126450404446E-2</c:v>
                </c:pt>
                <c:pt idx="115">
                  <c:v>1.5921380793666673E-2</c:v>
                </c:pt>
                <c:pt idx="116">
                  <c:v>1.4668112550653589E-2</c:v>
                </c:pt>
                <c:pt idx="117">
                  <c:v>1.4972961264113183E-2</c:v>
                </c:pt>
                <c:pt idx="118">
                  <c:v>1.3601930988417221E-2</c:v>
                </c:pt>
                <c:pt idx="119">
                  <c:v>1.3466825947626937E-2</c:v>
                </c:pt>
                <c:pt idx="120">
                  <c:v>9.2968874157151049E-3</c:v>
                </c:pt>
                <c:pt idx="121">
                  <c:v>8.6490285429277058E-3</c:v>
                </c:pt>
                <c:pt idx="122">
                  <c:v>8.0712717064004291E-3</c:v>
                </c:pt>
                <c:pt idx="123">
                  <c:v>8.440297804165553E-3</c:v>
                </c:pt>
                <c:pt idx="124">
                  <c:v>8.949927865691043E-3</c:v>
                </c:pt>
                <c:pt idx="125">
                  <c:v>9.8533110438410176E-3</c:v>
                </c:pt>
                <c:pt idx="126">
                  <c:v>1.0199858533869177E-2</c:v>
                </c:pt>
                <c:pt idx="127">
                  <c:v>8.5885563492629213E-3</c:v>
                </c:pt>
                <c:pt idx="128">
                  <c:v>8.5761427982149474E-3</c:v>
                </c:pt>
                <c:pt idx="129">
                  <c:v>7.8665273830784699E-3</c:v>
                </c:pt>
                <c:pt idx="130">
                  <c:v>9.7088469199777538E-3</c:v>
                </c:pt>
                <c:pt idx="131">
                  <c:v>1.0140849286772946E-2</c:v>
                </c:pt>
                <c:pt idx="132">
                  <c:v>1.405118861508825E-2</c:v>
                </c:pt>
                <c:pt idx="133">
                  <c:v>1.515679377245327E-2</c:v>
                </c:pt>
                <c:pt idx="134">
                  <c:v>1.572881457441988E-2</c:v>
                </c:pt>
                <c:pt idx="135">
                  <c:v>1.5430968098865794E-2</c:v>
                </c:pt>
                <c:pt idx="136">
                  <c:v>1.5422638536809252E-2</c:v>
                </c:pt>
                <c:pt idx="137">
                  <c:v>1.6035762621498639E-2</c:v>
                </c:pt>
                <c:pt idx="138">
                  <c:v>1.7415334880204414E-2</c:v>
                </c:pt>
                <c:pt idx="139">
                  <c:v>1.9587701766726529E-2</c:v>
                </c:pt>
                <c:pt idx="140">
                  <c:v>2.0073840799830434E-2</c:v>
                </c:pt>
                <c:pt idx="141">
                  <c:v>2.1112110022215358E-2</c:v>
                </c:pt>
                <c:pt idx="142">
                  <c:v>2.0866321305007318E-2</c:v>
                </c:pt>
                <c:pt idx="143">
                  <c:v>2.2756403132478287E-2</c:v>
                </c:pt>
                <c:pt idx="144">
                  <c:v>2.3095379814926265E-2</c:v>
                </c:pt>
                <c:pt idx="145">
                  <c:v>2.2218614039684281E-2</c:v>
                </c:pt>
                <c:pt idx="146">
                  <c:v>2.32610418087007E-2</c:v>
                </c:pt>
                <c:pt idx="147">
                  <c:v>2.4550695400563871E-2</c:v>
                </c:pt>
                <c:pt idx="148">
                  <c:v>2.4769839402317917E-2</c:v>
                </c:pt>
                <c:pt idx="149">
                  <c:v>2.5029906720388517E-2</c:v>
                </c:pt>
                <c:pt idx="150">
                  <c:v>2.4621579573533392E-2</c:v>
                </c:pt>
                <c:pt idx="151">
                  <c:v>2.3978653194720367E-2</c:v>
                </c:pt>
                <c:pt idx="152">
                  <c:v>2.4876437912784821E-2</c:v>
                </c:pt>
                <c:pt idx="153">
                  <c:v>2.4921325014097606E-2</c:v>
                </c:pt>
                <c:pt idx="154">
                  <c:v>2.4871411135650279E-2</c:v>
                </c:pt>
                <c:pt idx="155">
                  <c:v>2.4477614102698775E-2</c:v>
                </c:pt>
                <c:pt idx="156">
                  <c:v>2.4680740349939168E-2</c:v>
                </c:pt>
                <c:pt idx="157">
                  <c:v>2.5937691780080208E-2</c:v>
                </c:pt>
                <c:pt idx="158">
                  <c:v>2.5465755743390606E-2</c:v>
                </c:pt>
                <c:pt idx="159">
                  <c:v>2.341265706350093E-2</c:v>
                </c:pt>
                <c:pt idx="160">
                  <c:v>2.3019435205815064E-2</c:v>
                </c:pt>
                <c:pt idx="161">
                  <c:v>2.278268029427033E-2</c:v>
                </c:pt>
                <c:pt idx="162">
                  <c:v>2.3579765702873345E-2</c:v>
                </c:pt>
                <c:pt idx="163">
                  <c:v>2.406236966216424E-2</c:v>
                </c:pt>
                <c:pt idx="164">
                  <c:v>2.3799616617054431E-2</c:v>
                </c:pt>
                <c:pt idx="165">
                  <c:v>2.3236249400990561E-2</c:v>
                </c:pt>
                <c:pt idx="166">
                  <c:v>2.3927582821477111E-2</c:v>
                </c:pt>
                <c:pt idx="167">
                  <c:v>2.3486195717119296E-2</c:v>
                </c:pt>
                <c:pt idx="168">
                  <c:v>2.2918988305990817E-2</c:v>
                </c:pt>
                <c:pt idx="169">
                  <c:v>2.2502155210330832E-2</c:v>
                </c:pt>
                <c:pt idx="170">
                  <c:v>2.3277539351965526E-2</c:v>
                </c:pt>
                <c:pt idx="171">
                  <c:v>2.5401383998005844E-2</c:v>
                </c:pt>
                <c:pt idx="172">
                  <c:v>2.6895843050884327E-2</c:v>
                </c:pt>
                <c:pt idx="173">
                  <c:v>2.6503417932859374E-2</c:v>
                </c:pt>
                <c:pt idx="174">
                  <c:v>2.5895197573481576E-2</c:v>
                </c:pt>
                <c:pt idx="175">
                  <c:v>2.4642236772942638E-2</c:v>
                </c:pt>
                <c:pt idx="176">
                  <c:v>2.4246803277834461E-2</c:v>
                </c:pt>
                <c:pt idx="177">
                  <c:v>2.5039807674295034E-2</c:v>
                </c:pt>
                <c:pt idx="178">
                  <c:v>2.5036864732393305E-2</c:v>
                </c:pt>
                <c:pt idx="179">
                  <c:v>2.440498808248992E-2</c:v>
                </c:pt>
                <c:pt idx="180">
                  <c:v>2.4846326487694137E-2</c:v>
                </c:pt>
                <c:pt idx="181">
                  <c:v>2.4474345297498257E-2</c:v>
                </c:pt>
                <c:pt idx="182">
                  <c:v>2.4367977046052092E-2</c:v>
                </c:pt>
                <c:pt idx="183">
                  <c:v>2.4943333949640767E-2</c:v>
                </c:pt>
                <c:pt idx="184">
                  <c:v>2.4261797913977423E-2</c:v>
                </c:pt>
                <c:pt idx="185">
                  <c:v>2.5201946322684243E-2</c:v>
                </c:pt>
                <c:pt idx="186">
                  <c:v>2.5969651605879163E-2</c:v>
                </c:pt>
                <c:pt idx="187">
                  <c:v>2.6172923390521241E-2</c:v>
                </c:pt>
                <c:pt idx="188">
                  <c:v>2.6999894862863805E-2</c:v>
                </c:pt>
                <c:pt idx="189">
                  <c:v>2.7951224960149457E-2</c:v>
                </c:pt>
                <c:pt idx="190">
                  <c:v>2.8609346665450897E-2</c:v>
                </c:pt>
                <c:pt idx="191">
                  <c:v>2.9215491224224843E-2</c:v>
                </c:pt>
                <c:pt idx="192">
                  <c:v>2.9643085410569592E-2</c:v>
                </c:pt>
                <c:pt idx="193">
                  <c:v>3.062458431585946E-2</c:v>
                </c:pt>
                <c:pt idx="194">
                  <c:v>3.0395421924105159E-2</c:v>
                </c:pt>
                <c:pt idx="195">
                  <c:v>3.0412865336883366E-2</c:v>
                </c:pt>
                <c:pt idx="196">
                  <c:v>3.1712847187489457E-2</c:v>
                </c:pt>
                <c:pt idx="197">
                  <c:v>3.2235533589213272E-2</c:v>
                </c:pt>
                <c:pt idx="198">
                  <c:v>3.129466461948649E-2</c:v>
                </c:pt>
                <c:pt idx="199">
                  <c:v>3.2345209796923902E-2</c:v>
                </c:pt>
                <c:pt idx="200">
                  <c:v>3.1484673760129978E-2</c:v>
                </c:pt>
                <c:pt idx="201">
                  <c:v>3.0427539524195302E-2</c:v>
                </c:pt>
                <c:pt idx="202">
                  <c:v>3.0364512030571333E-2</c:v>
                </c:pt>
                <c:pt idx="203">
                  <c:v>3.1066218027056003E-2</c:v>
                </c:pt>
                <c:pt idx="204">
                  <c:v>3.0955756954018865E-2</c:v>
                </c:pt>
                <c:pt idx="205">
                  <c:v>3.1220361190148038E-2</c:v>
                </c:pt>
                <c:pt idx="206">
                  <c:v>2.8484284868861787E-2</c:v>
                </c:pt>
                <c:pt idx="207">
                  <c:v>2.7080476315524793E-2</c:v>
                </c:pt>
                <c:pt idx="208">
                  <c:v>2.571900420462736E-2</c:v>
                </c:pt>
                <c:pt idx="209">
                  <c:v>2.4784600810687119E-2</c:v>
                </c:pt>
                <c:pt idx="210">
                  <c:v>2.4409144988584819E-2</c:v>
                </c:pt>
                <c:pt idx="211">
                  <c:v>2.4917902406485615E-2</c:v>
                </c:pt>
                <c:pt idx="212">
                  <c:v>2.5522814296873975E-2</c:v>
                </c:pt>
                <c:pt idx="213">
                  <c:v>2.6595948622915033E-2</c:v>
                </c:pt>
                <c:pt idx="214">
                  <c:v>2.548685988121635E-2</c:v>
                </c:pt>
                <c:pt idx="215">
                  <c:v>2.5630678008649488E-2</c:v>
                </c:pt>
                <c:pt idx="216">
                  <c:v>2.6255161508063507E-2</c:v>
                </c:pt>
                <c:pt idx="217">
                  <c:v>2.5973615509579551E-2</c:v>
                </c:pt>
                <c:pt idx="218">
                  <c:v>2.8969516089257574E-2</c:v>
                </c:pt>
                <c:pt idx="219">
                  <c:v>2.9248368076160824E-2</c:v>
                </c:pt>
                <c:pt idx="220">
                  <c:v>3.0310764102224885E-2</c:v>
                </c:pt>
                <c:pt idx="221">
                  <c:v>3.036667651849112E-2</c:v>
                </c:pt>
                <c:pt idx="222">
                  <c:v>3.0921492493274805E-2</c:v>
                </c:pt>
                <c:pt idx="223">
                  <c:v>2.9600055069869846E-2</c:v>
                </c:pt>
                <c:pt idx="224">
                  <c:v>2.9576673326673353E-2</c:v>
                </c:pt>
                <c:pt idx="225">
                  <c:v>2.8583522147250129E-2</c:v>
                </c:pt>
                <c:pt idx="226">
                  <c:v>2.9026214319226362E-2</c:v>
                </c:pt>
                <c:pt idx="227">
                  <c:v>2.889390798935465E-2</c:v>
                </c:pt>
                <c:pt idx="228">
                  <c:v>2.7778978637730933E-2</c:v>
                </c:pt>
                <c:pt idx="229">
                  <c:v>2.7601843408827875E-2</c:v>
                </c:pt>
                <c:pt idx="230">
                  <c:v>2.748716436070664E-2</c:v>
                </c:pt>
                <c:pt idx="231">
                  <c:v>2.8251602416659027E-2</c:v>
                </c:pt>
                <c:pt idx="232">
                  <c:v>2.7305893901816036E-2</c:v>
                </c:pt>
                <c:pt idx="233">
                  <c:v>2.7775065302834134E-2</c:v>
                </c:pt>
                <c:pt idx="234">
                  <c:v>2.7817021483899085E-2</c:v>
                </c:pt>
                <c:pt idx="235">
                  <c:v>2.8779470846730382E-2</c:v>
                </c:pt>
                <c:pt idx="236">
                  <c:v>2.9051468492452992E-2</c:v>
                </c:pt>
                <c:pt idx="237">
                  <c:v>2.9716661421897328E-2</c:v>
                </c:pt>
                <c:pt idx="238">
                  <c:v>3.0354269012557777E-2</c:v>
                </c:pt>
                <c:pt idx="239">
                  <c:v>2.9807915252655137E-2</c:v>
                </c:pt>
                <c:pt idx="240">
                  <c:v>3.1159302723847482E-2</c:v>
                </c:pt>
                <c:pt idx="241">
                  <c:v>3.1659951555267796E-2</c:v>
                </c:pt>
                <c:pt idx="242">
                  <c:v>2.8725475244238297E-2</c:v>
                </c:pt>
                <c:pt idx="243">
                  <c:v>2.1835350540738929E-2</c:v>
                </c:pt>
                <c:pt idx="244">
                  <c:v>1.9819723274034917E-2</c:v>
                </c:pt>
                <c:pt idx="245">
                  <c:v>1.9331603356234739E-2</c:v>
                </c:pt>
                <c:pt idx="246">
                  <c:v>2.2359939330742318E-2</c:v>
                </c:pt>
                <c:pt idx="247">
                  <c:v>2.140764022639452E-2</c:v>
                </c:pt>
                <c:pt idx="248">
                  <c:v>1.9073296500920822E-2</c:v>
                </c:pt>
                <c:pt idx="249">
                  <c:v>1.7231398523106956E-2</c:v>
                </c:pt>
                <c:pt idx="250">
                  <c:v>1.7067066773726491E-2</c:v>
                </c:pt>
                <c:pt idx="251">
                  <c:v>1.606470326791265E-2</c:v>
                </c:pt>
                <c:pt idx="252">
                  <c:v>1.3038702365031352E-2</c:v>
                </c:pt>
                <c:pt idx="253">
                  <c:v>1.2742018440330405E-2</c:v>
                </c:pt>
                <c:pt idx="254">
                  <c:v>1.6531352012860046E-2</c:v>
                </c:pt>
                <c:pt idx="255">
                  <c:v>2.4623251985534278E-2</c:v>
                </c:pt>
                <c:pt idx="256">
                  <c:v>2.8836554908840295E-2</c:v>
                </c:pt>
                <c:pt idx="257">
                  <c:v>3.0129588689170594E-2</c:v>
                </c:pt>
                <c:pt idx="258">
                  <c:v>2.7883378342354437E-2</c:v>
                </c:pt>
                <c:pt idx="259">
                  <c:v>2.7148025716442481E-2</c:v>
                </c:pt>
                <c:pt idx="260">
                  <c:v>2.9139969003724175E-2</c:v>
                </c:pt>
                <c:pt idx="261">
                  <c:v>3.256175380517834E-2</c:v>
                </c:pt>
                <c:pt idx="262">
                  <c:v>3.4350815118738387E-2</c:v>
                </c:pt>
                <c:pt idx="263">
                  <c:v>3.7236032530806984E-2</c:v>
                </c:pt>
                <c:pt idx="264">
                  <c:v>4.0965359349294239E-2</c:v>
                </c:pt>
                <c:pt idx="265">
                  <c:v>4.39742684823341E-2</c:v>
                </c:pt>
                <c:pt idx="266">
                  <c:v>4.6585644838432971E-2</c:v>
                </c:pt>
                <c:pt idx="267">
                  <c:v>4.9105654927230402E-2</c:v>
                </c:pt>
                <c:pt idx="268">
                  <c:v>5.1630658363241766E-2</c:v>
                </c:pt>
                <c:pt idx="269">
                  <c:v>5.4803894124599628E-2</c:v>
                </c:pt>
                <c:pt idx="270">
                  <c:v>5.5643726796320792E-2</c:v>
                </c:pt>
                <c:pt idx="271">
                  <c:v>6.0798292590903191E-2</c:v>
                </c:pt>
                <c:pt idx="272">
                  <c:v>6.663182796423972E-2</c:v>
                </c:pt>
                <c:pt idx="273">
                  <c:v>6.7467722306928213E-2</c:v>
                </c:pt>
                <c:pt idx="274">
                  <c:v>6.8113697393784811E-2</c:v>
                </c:pt>
                <c:pt idx="275">
                  <c:v>7.0339182909065601E-2</c:v>
                </c:pt>
                <c:pt idx="276">
                  <c:v>7.1710593572736903E-2</c:v>
                </c:pt>
                <c:pt idx="277">
                  <c:v>7.2681449396451159E-2</c:v>
                </c:pt>
                <c:pt idx="278">
                  <c:v>7.1198472093576104E-2</c:v>
                </c:pt>
                <c:pt idx="279">
                  <c:v>6.8367017218017967E-2</c:v>
                </c:pt>
                <c:pt idx="280">
                  <c:v>6.5687700148113093E-2</c:v>
                </c:pt>
                <c:pt idx="281">
                  <c:v>6.1582712984830312E-2</c:v>
                </c:pt>
                <c:pt idx="282">
                  <c:v>6.1237242241199752E-2</c:v>
                </c:pt>
                <c:pt idx="283">
                  <c:v>5.8916897367226717E-2</c:v>
                </c:pt>
                <c:pt idx="284">
                  <c:v>5.6864098282065845E-2</c:v>
                </c:pt>
                <c:pt idx="285">
                  <c:v>5.5089487657281611E-2</c:v>
                </c:pt>
                <c:pt idx="286">
                  <c:v>5.4861255998330805E-2</c:v>
                </c:pt>
                <c:pt idx="287">
                  <c:v>5.304100555502278E-2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F83-4F8A-BDCD-67AA29D035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0.1"/>
          <c:min val="-5.000000000000001E-2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1295355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31471728"/>
        <c:crosses val="max"/>
        <c:crossBetween val="between"/>
      </c:valAx>
      <c:catAx>
        <c:axId val="431471728"/>
        <c:scaling>
          <c:orientation val="minMax"/>
        </c:scaling>
        <c:delete val="1"/>
        <c:axPos val="b"/>
        <c:majorTickMark val="out"/>
        <c:minorTickMark val="none"/>
        <c:tickLblPos val="nextTo"/>
        <c:crossAx val="212953552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Inflation!$U$2</c:f>
              <c:strCache>
                <c:ptCount val="1"/>
                <c:pt idx="0">
                  <c:v>Monthly PCE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Activity'!$A$531:$A$554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Inflation!$U$903:$U$926</c:f>
              <c:numCache>
                <c:formatCode>0.00%</c:formatCode>
                <c:ptCount val="24"/>
                <c:pt idx="0">
                  <c:v>5.2476835352814888E-3</c:v>
                </c:pt>
                <c:pt idx="1">
                  <c:v>5.9116007409443228E-3</c:v>
                </c:pt>
                <c:pt idx="2">
                  <c:v>8.3703390427856128E-3</c:v>
                </c:pt>
                <c:pt idx="3">
                  <c:v>2.9970466420845554E-3</c:v>
                </c:pt>
                <c:pt idx="4">
                  <c:v>5.7235449389749782E-3</c:v>
                </c:pt>
                <c:pt idx="5">
                  <c:v>9.0864993156973828E-3</c:v>
                </c:pt>
                <c:pt idx="6">
                  <c:v>1.3734495042694306E-4</c:v>
                </c:pt>
                <c:pt idx="7">
                  <c:v>3.252911742239073E-3</c:v>
                </c:pt>
                <c:pt idx="8">
                  <c:v>3.6273419454186939E-3</c:v>
                </c:pt>
                <c:pt idx="9">
                  <c:v>4.5007415994682276E-3</c:v>
                </c:pt>
                <c:pt idx="10">
                  <c:v>2.2233159654452272E-3</c:v>
                </c:pt>
                <c:pt idx="11">
                  <c:v>2.0659757501861886E-3</c:v>
                </c:pt>
                <c:pt idx="12">
                  <c:v>5.6021225538243069E-3</c:v>
                </c:pt>
                <c:pt idx="13">
                  <c:v>3.1509692381377352E-3</c:v>
                </c:pt>
                <c:pt idx="14">
                  <c:v>1.2061715779070337E-3</c:v>
                </c:pt>
                <c:pt idx="15">
                  <c:v>3.0368945034719985E-3</c:v>
                </c:pt>
                <c:pt idx="16">
                  <c:v>1.059277856088281E-3</c:v>
                </c:pt>
                <c:pt idx="17">
                  <c:v>1.6747208798533197E-3</c:v>
                </c:pt>
                <c:pt idx="18">
                  <c:v>1.264338177190405E-3</c:v>
                </c:pt>
                <c:pt idx="19">
                  <c:v>3.5722296528291064E-3</c:v>
                </c:pt>
                <c:pt idx="20">
                  <c:v>3.8409642144647815E-3</c:v>
                </c:pt>
                <c:pt idx="21">
                  <c:v>3.4634319311943607E-4</c:v>
                </c:pt>
                <c:pt idx="22">
                  <c:v>-7.1717679644545118E-4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C45-4A67-82F5-8D5C0A13544A}"/>
            </c:ext>
          </c:extLst>
        </c:ser>
        <c:ser>
          <c:idx val="1"/>
          <c:order val="1"/>
          <c:tx>
            <c:strRef>
              <c:f>Inflation!$X$2</c:f>
              <c:strCache>
                <c:ptCount val="1"/>
                <c:pt idx="0">
                  <c:v>Core-PCE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'Economic Activity'!$A$531:$A$554</c:f>
              <c:numCache>
                <c:formatCode>[$-416]mmm\-yy;@</c:formatCode>
                <c:ptCount val="24"/>
                <c:pt idx="0">
                  <c:v>44562</c:v>
                </c:pt>
                <c:pt idx="1">
                  <c:v>44593</c:v>
                </c:pt>
                <c:pt idx="2">
                  <c:v>44621</c:v>
                </c:pt>
                <c:pt idx="3">
                  <c:v>44652</c:v>
                </c:pt>
                <c:pt idx="4">
                  <c:v>44682</c:v>
                </c:pt>
                <c:pt idx="5">
                  <c:v>44713</c:v>
                </c:pt>
                <c:pt idx="6">
                  <c:v>44743</c:v>
                </c:pt>
                <c:pt idx="7">
                  <c:v>44774</c:v>
                </c:pt>
                <c:pt idx="8">
                  <c:v>44805</c:v>
                </c:pt>
                <c:pt idx="9">
                  <c:v>44835</c:v>
                </c:pt>
                <c:pt idx="10">
                  <c:v>44866</c:v>
                </c:pt>
                <c:pt idx="11">
                  <c:v>44896</c:v>
                </c:pt>
                <c:pt idx="12">
                  <c:v>44927</c:v>
                </c:pt>
                <c:pt idx="13">
                  <c:v>44958</c:v>
                </c:pt>
                <c:pt idx="14">
                  <c:v>44986</c:v>
                </c:pt>
                <c:pt idx="15">
                  <c:v>45017</c:v>
                </c:pt>
                <c:pt idx="16">
                  <c:v>45047</c:v>
                </c:pt>
                <c:pt idx="17">
                  <c:v>45078</c:v>
                </c:pt>
                <c:pt idx="18">
                  <c:v>45108</c:v>
                </c:pt>
                <c:pt idx="19">
                  <c:v>45139</c:v>
                </c:pt>
                <c:pt idx="20">
                  <c:v>45170</c:v>
                </c:pt>
                <c:pt idx="21">
                  <c:v>45200</c:v>
                </c:pt>
                <c:pt idx="22">
                  <c:v>45231</c:v>
                </c:pt>
                <c:pt idx="23">
                  <c:v>45261</c:v>
                </c:pt>
              </c:numCache>
            </c:numRef>
          </c:cat>
          <c:val>
            <c:numRef>
              <c:f>Inflation!$X$903:$X$926</c:f>
              <c:numCache>
                <c:formatCode>0.00%</c:formatCode>
                <c:ptCount val="24"/>
                <c:pt idx="0">
                  <c:v>4.7287475548696278E-3</c:v>
                </c:pt>
                <c:pt idx="1">
                  <c:v>4.1349253837978939E-3</c:v>
                </c:pt>
                <c:pt idx="2">
                  <c:v>3.9489131594860893E-3</c:v>
                </c:pt>
                <c:pt idx="3">
                  <c:v>3.2600992204110391E-3</c:v>
                </c:pt>
                <c:pt idx="4">
                  <c:v>3.6027126306865664E-3</c:v>
                </c:pt>
                <c:pt idx="5">
                  <c:v>5.6398254381642143E-3</c:v>
                </c:pt>
                <c:pt idx="6">
                  <c:v>2.0735452374078811E-3</c:v>
                </c:pt>
                <c:pt idx="7">
                  <c:v>5.4481638640053731E-3</c:v>
                </c:pt>
                <c:pt idx="8">
                  <c:v>4.5850049497213607E-3</c:v>
                </c:pt>
                <c:pt idx="9">
                  <c:v>3.4662794115103424E-3</c:v>
                </c:pt>
                <c:pt idx="10">
                  <c:v>2.8426955645335372E-3</c:v>
                </c:pt>
                <c:pt idx="11">
                  <c:v>3.8740046556773322E-3</c:v>
                </c:pt>
                <c:pt idx="12">
                  <c:v>5.0741006948009648E-3</c:v>
                </c:pt>
                <c:pt idx="13">
                  <c:v>3.5926818263083415E-3</c:v>
                </c:pt>
                <c:pt idx="14">
                  <c:v>3.359262998057444E-3</c:v>
                </c:pt>
                <c:pt idx="15">
                  <c:v>3.0690147870713336E-3</c:v>
                </c:pt>
                <c:pt idx="16">
                  <c:v>2.8826216685491346E-3</c:v>
                </c:pt>
                <c:pt idx="17">
                  <c:v>1.722920728837396E-3</c:v>
                </c:pt>
                <c:pt idx="18">
                  <c:v>1.1997751470353979E-3</c:v>
                </c:pt>
                <c:pt idx="19">
                  <c:v>9.804578822110166E-4</c:v>
                </c:pt>
                <c:pt idx="20">
                  <c:v>3.290107074986004E-3</c:v>
                </c:pt>
                <c:pt idx="21">
                  <c:v>1.4852889638024003E-3</c:v>
                </c:pt>
                <c:pt idx="22">
                  <c:v>5.832361273121478E-4</c:v>
                </c:pt>
                <c:pt idx="23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C45-4A67-82F5-8D5C0A135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axId val="1228998512"/>
        <c:axId val="1229000176"/>
      </c:bar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2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F9-420B-B585-E98FD6718B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375680"/>
        <c:axId val="2129526400"/>
      </c:areaChart>
      <c:lineChart>
        <c:grouping val="standard"/>
        <c:varyColors val="0"/>
        <c:ser>
          <c:idx val="0"/>
          <c:order val="0"/>
          <c:tx>
            <c:strRef>
              <c:f>Inflation!$V$2</c:f>
              <c:strCache>
                <c:ptCount val="1"/>
                <c:pt idx="0">
                  <c:v>Annual PCE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Inflation!$A$639:$A$926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Inflation!$V$639:$V$926</c:f>
              <c:numCache>
                <c:formatCode>0.00%</c:formatCode>
                <c:ptCount val="288"/>
                <c:pt idx="0">
                  <c:v>2.1891369506148672E-2</c:v>
                </c:pt>
                <c:pt idx="1">
                  <c:v>2.5687379130580945E-2</c:v>
                </c:pt>
                <c:pt idx="2">
                  <c:v>2.930879964151667E-2</c:v>
                </c:pt>
                <c:pt idx="3">
                  <c:v>2.3509901473026895E-2</c:v>
                </c:pt>
                <c:pt idx="4">
                  <c:v>2.3689488050804952E-2</c:v>
                </c:pt>
                <c:pt idx="5">
                  <c:v>2.6842647509258688E-2</c:v>
                </c:pt>
                <c:pt idx="6">
                  <c:v>2.6688143077328919E-2</c:v>
                </c:pt>
                <c:pt idx="7">
                  <c:v>2.4754670954149738E-2</c:v>
                </c:pt>
                <c:pt idx="8">
                  <c:v>2.5480961785462775E-2</c:v>
                </c:pt>
                <c:pt idx="9">
                  <c:v>2.5148561265149194E-2</c:v>
                </c:pt>
                <c:pt idx="10">
                  <c:v>2.5663277956855968E-2</c:v>
                </c:pt>
                <c:pt idx="11">
                  <c:v>2.4847793521432404E-2</c:v>
                </c:pt>
                <c:pt idx="12">
                  <c:v>2.7014432367977514E-2</c:v>
                </c:pt>
                <c:pt idx="13">
                  <c:v>2.5371971963765949E-2</c:v>
                </c:pt>
                <c:pt idx="14">
                  <c:v>2.1087000884293827E-2</c:v>
                </c:pt>
                <c:pt idx="15">
                  <c:v>2.3732367518108921E-2</c:v>
                </c:pt>
                <c:pt idx="16">
                  <c:v>2.5576491395143286E-2</c:v>
                </c:pt>
                <c:pt idx="17">
                  <c:v>2.3917346855763633E-2</c:v>
                </c:pt>
                <c:pt idx="18">
                  <c:v>2.1017325092305805E-2</c:v>
                </c:pt>
                <c:pt idx="19">
                  <c:v>2.0964644142072553E-2</c:v>
                </c:pt>
                <c:pt idx="20">
                  <c:v>1.3130959435436296E-2</c:v>
                </c:pt>
                <c:pt idx="21">
                  <c:v>1.5318816994607021E-2</c:v>
                </c:pt>
                <c:pt idx="22">
                  <c:v>1.3215681534308521E-2</c:v>
                </c:pt>
                <c:pt idx="23">
                  <c:v>1.0620750693969505E-2</c:v>
                </c:pt>
                <c:pt idx="24">
                  <c:v>6.6593711631879327E-3</c:v>
                </c:pt>
                <c:pt idx="25">
                  <c:v>6.7956507834985302E-3</c:v>
                </c:pt>
                <c:pt idx="26">
                  <c:v>9.4330824062354157E-3</c:v>
                </c:pt>
                <c:pt idx="27">
                  <c:v>1.1877053213986466E-2</c:v>
                </c:pt>
                <c:pt idx="28">
                  <c:v>9.8826026397822453E-3</c:v>
                </c:pt>
                <c:pt idx="29">
                  <c:v>9.3620064090680355E-3</c:v>
                </c:pt>
                <c:pt idx="30">
                  <c:v>1.1921635118487872E-2</c:v>
                </c:pt>
                <c:pt idx="31">
                  <c:v>1.402946319749887E-2</c:v>
                </c:pt>
                <c:pt idx="32">
                  <c:v>1.9328166748640685E-2</c:v>
                </c:pt>
                <c:pt idx="33">
                  <c:v>1.7604514385630265E-2</c:v>
                </c:pt>
                <c:pt idx="34">
                  <c:v>1.9299850214074654E-2</c:v>
                </c:pt>
                <c:pt idx="35">
                  <c:v>2.1336730225707701E-2</c:v>
                </c:pt>
                <c:pt idx="36">
                  <c:v>2.3465153584070197E-2</c:v>
                </c:pt>
                <c:pt idx="37">
                  <c:v>2.6046216151830226E-2</c:v>
                </c:pt>
                <c:pt idx="38">
                  <c:v>2.5896545807320148E-2</c:v>
                </c:pt>
                <c:pt idx="39">
                  <c:v>1.9886961093585676E-2</c:v>
                </c:pt>
                <c:pt idx="40">
                  <c:v>1.8048075660055396E-2</c:v>
                </c:pt>
                <c:pt idx="41">
                  <c:v>1.788127254837657E-2</c:v>
                </c:pt>
                <c:pt idx="42">
                  <c:v>1.8627361145654664E-2</c:v>
                </c:pt>
                <c:pt idx="43">
                  <c:v>2.0067151797029004E-2</c:v>
                </c:pt>
                <c:pt idx="44">
                  <c:v>2.1413387931821459E-2</c:v>
                </c:pt>
                <c:pt idx="45">
                  <c:v>1.9682118170812668E-2</c:v>
                </c:pt>
                <c:pt idx="46">
                  <c:v>1.996176703902619E-2</c:v>
                </c:pt>
                <c:pt idx="47">
                  <c:v>2.1228774473502909E-2</c:v>
                </c:pt>
                <c:pt idx="48">
                  <c:v>2.2124065750443789E-2</c:v>
                </c:pt>
                <c:pt idx="49">
                  <c:v>2.000619147124838E-2</c:v>
                </c:pt>
                <c:pt idx="50">
                  <c:v>1.8964297201672586E-2</c:v>
                </c:pt>
                <c:pt idx="51">
                  <c:v>2.2592244145734686E-2</c:v>
                </c:pt>
                <c:pt idx="52">
                  <c:v>2.7095375722543169E-2</c:v>
                </c:pt>
                <c:pt idx="53">
                  <c:v>2.890910965613247E-2</c:v>
                </c:pt>
                <c:pt idx="54">
                  <c:v>2.684537884239746E-2</c:v>
                </c:pt>
                <c:pt idx="55">
                  <c:v>2.3911679196711111E-2</c:v>
                </c:pt>
                <c:pt idx="56">
                  <c:v>2.2739169847937557E-2</c:v>
                </c:pt>
                <c:pt idx="57">
                  <c:v>2.700011489410592E-2</c:v>
                </c:pt>
                <c:pt idx="58">
                  <c:v>2.9656262749897966E-2</c:v>
                </c:pt>
                <c:pt idx="59">
                  <c:v>2.7937154125055708E-2</c:v>
                </c:pt>
                <c:pt idx="60">
                  <c:v>2.5320305668554699E-2</c:v>
                </c:pt>
                <c:pt idx="61">
                  <c:v>2.5987328806100551E-2</c:v>
                </c:pt>
                <c:pt idx="62">
                  <c:v>2.7475094382504839E-2</c:v>
                </c:pt>
                <c:pt idx="63">
                  <c:v>2.8445038187180138E-2</c:v>
                </c:pt>
                <c:pt idx="64">
                  <c:v>2.5689663835988252E-2</c:v>
                </c:pt>
                <c:pt idx="65">
                  <c:v>2.3411957760769653E-2</c:v>
                </c:pt>
                <c:pt idx="66">
                  <c:v>2.6794318252925331E-2</c:v>
                </c:pt>
                <c:pt idx="67">
                  <c:v>3.0408025417156592E-2</c:v>
                </c:pt>
                <c:pt idx="68">
                  <c:v>3.8300209727354373E-2</c:v>
                </c:pt>
                <c:pt idx="69">
                  <c:v>3.5513623707239539E-2</c:v>
                </c:pt>
                <c:pt idx="70">
                  <c:v>2.9384085787166558E-2</c:v>
                </c:pt>
                <c:pt idx="71">
                  <c:v>2.8836276778752667E-2</c:v>
                </c:pt>
                <c:pt idx="72">
                  <c:v>3.2469378422139039E-2</c:v>
                </c:pt>
                <c:pt idx="73">
                  <c:v>3.0222353695212645E-2</c:v>
                </c:pt>
                <c:pt idx="74">
                  <c:v>2.9136712749615823E-2</c:v>
                </c:pt>
                <c:pt idx="75">
                  <c:v>3.102827101944805E-2</c:v>
                </c:pt>
                <c:pt idx="76">
                  <c:v>3.3215348626437491E-2</c:v>
                </c:pt>
                <c:pt idx="77">
                  <c:v>3.5116279069767442E-2</c:v>
                </c:pt>
                <c:pt idx="78">
                  <c:v>3.4273456353752785E-2</c:v>
                </c:pt>
                <c:pt idx="79">
                  <c:v>3.3358825885866361E-2</c:v>
                </c:pt>
                <c:pt idx="80">
                  <c:v>2.0800269321406217E-2</c:v>
                </c:pt>
                <c:pt idx="81">
                  <c:v>1.6769701698577499E-2</c:v>
                </c:pt>
                <c:pt idx="82">
                  <c:v>1.9246731063020883E-2</c:v>
                </c:pt>
                <c:pt idx="83">
                  <c:v>2.2867522344251823E-2</c:v>
                </c:pt>
                <c:pt idx="84">
                  <c:v>2.133263102449301E-2</c:v>
                </c:pt>
                <c:pt idx="85">
                  <c:v>2.389213246554367E-2</c:v>
                </c:pt>
                <c:pt idx="86">
                  <c:v>2.5648986220237591E-2</c:v>
                </c:pt>
                <c:pt idx="87">
                  <c:v>2.3307779164438047E-2</c:v>
                </c:pt>
                <c:pt idx="88">
                  <c:v>2.352983013477794E-2</c:v>
                </c:pt>
                <c:pt idx="89">
                  <c:v>2.3176341212501006E-2</c:v>
                </c:pt>
                <c:pt idx="90">
                  <c:v>2.1247260128685497E-2</c:v>
                </c:pt>
                <c:pt idx="91">
                  <c:v>1.8737151248164441E-2</c:v>
                </c:pt>
                <c:pt idx="92">
                  <c:v>2.5346870509528552E-2</c:v>
                </c:pt>
                <c:pt idx="93">
                  <c:v>3.0884748884323798E-2</c:v>
                </c:pt>
                <c:pt idx="94">
                  <c:v>3.5996270550330056E-2</c:v>
                </c:pt>
                <c:pt idx="95">
                  <c:v>3.4716342082980578E-2</c:v>
                </c:pt>
                <c:pt idx="96">
                  <c:v>3.3874068170097082E-2</c:v>
                </c:pt>
                <c:pt idx="97">
                  <c:v>3.2729227281756534E-2</c:v>
                </c:pt>
                <c:pt idx="98">
                  <c:v>3.1911425710759778E-2</c:v>
                </c:pt>
                <c:pt idx="99">
                  <c:v>3.1395186768258698E-2</c:v>
                </c:pt>
                <c:pt idx="100">
                  <c:v>3.2821439325504409E-2</c:v>
                </c:pt>
                <c:pt idx="101">
                  <c:v>3.8114389395462744E-2</c:v>
                </c:pt>
                <c:pt idx="102">
                  <c:v>4.1356550235976952E-2</c:v>
                </c:pt>
                <c:pt idx="103">
                  <c:v>3.9806273062730657E-2</c:v>
                </c:pt>
                <c:pt idx="104">
                  <c:v>3.6678383532060543E-2</c:v>
                </c:pt>
                <c:pt idx="105">
                  <c:v>2.6718431480336147E-2</c:v>
                </c:pt>
                <c:pt idx="106">
                  <c:v>9.2502933436620083E-3</c:v>
                </c:pt>
                <c:pt idx="107">
                  <c:v>1.2956901254774777E-3</c:v>
                </c:pt>
                <c:pt idx="108">
                  <c:v>-1.1110355304627673E-3</c:v>
                </c:pt>
                <c:pt idx="109">
                  <c:v>-1.3124844425335125E-3</c:v>
                </c:pt>
                <c:pt idx="110">
                  <c:v>-5.2575167823095681E-3</c:v>
                </c:pt>
                <c:pt idx="111">
                  <c:v>-5.6757395916621212E-3</c:v>
                </c:pt>
                <c:pt idx="112">
                  <c:v>-8.8921282798835044E-3</c:v>
                </c:pt>
                <c:pt idx="113">
                  <c:v>-1.018624689681269E-2</c:v>
                </c:pt>
                <c:pt idx="114">
                  <c:v>-1.4660091971854472E-2</c:v>
                </c:pt>
                <c:pt idx="115">
                  <c:v>-1.1001197711041022E-2</c:v>
                </c:pt>
                <c:pt idx="116">
                  <c:v>-1.0227486786264395E-2</c:v>
                </c:pt>
                <c:pt idx="117">
                  <c:v>1.3385238313023962E-4</c:v>
                </c:pt>
                <c:pt idx="118">
                  <c:v>1.4606120122357291E-2</c:v>
                </c:pt>
                <c:pt idx="119">
                  <c:v>2.0897182682921178E-2</c:v>
                </c:pt>
                <c:pt idx="120">
                  <c:v>2.301720615608116E-2</c:v>
                </c:pt>
                <c:pt idx="121">
                  <c:v>2.1163301837627158E-2</c:v>
                </c:pt>
                <c:pt idx="122">
                  <c:v>2.3727160339801934E-2</c:v>
                </c:pt>
                <c:pt idx="123">
                  <c:v>2.2821224304887089E-2</c:v>
                </c:pt>
                <c:pt idx="124">
                  <c:v>2.2084695713170399E-2</c:v>
                </c:pt>
                <c:pt idx="125">
                  <c:v>1.5622188231059875E-2</c:v>
                </c:pt>
                <c:pt idx="126">
                  <c:v>1.6373900721981194E-2</c:v>
                </c:pt>
                <c:pt idx="127">
                  <c:v>1.4823951558645243E-2</c:v>
                </c:pt>
                <c:pt idx="128">
                  <c:v>1.4195512964040979E-2</c:v>
                </c:pt>
                <c:pt idx="129">
                  <c:v>1.3584198610352205E-2</c:v>
                </c:pt>
                <c:pt idx="130">
                  <c:v>1.3071968137772894E-2</c:v>
                </c:pt>
                <c:pt idx="131">
                  <c:v>1.477668197333748E-2</c:v>
                </c:pt>
                <c:pt idx="132">
                  <c:v>1.5598650927487467E-2</c:v>
                </c:pt>
                <c:pt idx="133">
                  <c:v>1.8450307320212023E-2</c:v>
                </c:pt>
                <c:pt idx="134">
                  <c:v>2.1105460830258993E-2</c:v>
                </c:pt>
                <c:pt idx="135">
                  <c:v>2.4880965563060631E-2</c:v>
                </c:pt>
                <c:pt idx="136">
                  <c:v>2.7662471357885243E-2</c:v>
                </c:pt>
                <c:pt idx="137">
                  <c:v>2.7884519551278464E-2</c:v>
                </c:pt>
                <c:pt idx="138">
                  <c:v>2.8756998384562582E-2</c:v>
                </c:pt>
                <c:pt idx="139">
                  <c:v>2.9767297960266115E-2</c:v>
                </c:pt>
                <c:pt idx="140">
                  <c:v>3.0190303779583205E-2</c:v>
                </c:pt>
                <c:pt idx="141">
                  <c:v>2.6936323323907052E-2</c:v>
                </c:pt>
                <c:pt idx="142">
                  <c:v>2.6992598449408156E-2</c:v>
                </c:pt>
                <c:pt idx="143">
                  <c:v>2.5266248849541872E-2</c:v>
                </c:pt>
                <c:pt idx="144">
                  <c:v>2.569312446745764E-2</c:v>
                </c:pt>
                <c:pt idx="145">
                  <c:v>2.5131540246413397E-2</c:v>
                </c:pt>
                <c:pt idx="146">
                  <c:v>2.2980274721697835E-2</c:v>
                </c:pt>
                <c:pt idx="147">
                  <c:v>1.9998487418563693E-2</c:v>
                </c:pt>
                <c:pt idx="148">
                  <c:v>1.5769404769598871E-2</c:v>
                </c:pt>
                <c:pt idx="149">
                  <c:v>1.5460196726963193E-2</c:v>
                </c:pt>
                <c:pt idx="150">
                  <c:v>1.4100261354958565E-2</c:v>
                </c:pt>
                <c:pt idx="151">
                  <c:v>1.5118674621228401E-2</c:v>
                </c:pt>
                <c:pt idx="152">
                  <c:v>1.6779710051753494E-2</c:v>
                </c:pt>
                <c:pt idx="153">
                  <c:v>1.9768774978838444E-2</c:v>
                </c:pt>
                <c:pt idx="154">
                  <c:v>1.6991017964071764E-2</c:v>
                </c:pt>
                <c:pt idx="155">
                  <c:v>1.6243828413875505E-2</c:v>
                </c:pt>
                <c:pt idx="156">
                  <c:v>1.4708075063369241E-2</c:v>
                </c:pt>
                <c:pt idx="157">
                  <c:v>1.6046076681118793E-2</c:v>
                </c:pt>
                <c:pt idx="158">
                  <c:v>1.2769929150227011E-2</c:v>
                </c:pt>
                <c:pt idx="159">
                  <c:v>1.0412253198881505E-2</c:v>
                </c:pt>
                <c:pt idx="160">
                  <c:v>1.2290301372187118E-2</c:v>
                </c:pt>
                <c:pt idx="161">
                  <c:v>1.5055063976064709E-2</c:v>
                </c:pt>
                <c:pt idx="162">
                  <c:v>1.5951128457492025E-2</c:v>
                </c:pt>
                <c:pt idx="163">
                  <c:v>1.4047883304264985E-2</c:v>
                </c:pt>
                <c:pt idx="164">
                  <c:v>1.1412854478201728E-2</c:v>
                </c:pt>
                <c:pt idx="165">
                  <c:v>9.761069199571093E-3</c:v>
                </c:pt>
                <c:pt idx="166">
                  <c:v>1.1954704602088029E-2</c:v>
                </c:pt>
                <c:pt idx="167">
                  <c:v>1.3881001955959427E-2</c:v>
                </c:pt>
                <c:pt idx="168">
                  <c:v>1.4054054054054133E-2</c:v>
                </c:pt>
                <c:pt idx="169">
                  <c:v>1.0939820528374389E-2</c:v>
                </c:pt>
                <c:pt idx="170">
                  <c:v>1.3897034182305701E-2</c:v>
                </c:pt>
                <c:pt idx="171">
                  <c:v>1.6731138157687786E-2</c:v>
                </c:pt>
                <c:pt idx="172">
                  <c:v>1.7661662878033946E-2</c:v>
                </c:pt>
                <c:pt idx="173">
                  <c:v>1.6514586142380772E-2</c:v>
                </c:pt>
                <c:pt idx="174">
                  <c:v>1.6692416903290486E-2</c:v>
                </c:pt>
                <c:pt idx="175">
                  <c:v>1.5062438759980923E-2</c:v>
                </c:pt>
                <c:pt idx="176">
                  <c:v>1.4972493123280861E-2</c:v>
                </c:pt>
                <c:pt idx="177">
                  <c:v>1.3329448612426242E-2</c:v>
                </c:pt>
                <c:pt idx="178">
                  <c:v>1.0857594081832067E-2</c:v>
                </c:pt>
                <c:pt idx="179">
                  <c:v>7.3225880058913617E-3</c:v>
                </c:pt>
                <c:pt idx="180">
                  <c:v>4.1401867224211131E-4</c:v>
                </c:pt>
                <c:pt idx="181">
                  <c:v>1.7070142768467189E-3</c:v>
                </c:pt>
                <c:pt idx="182">
                  <c:v>1.9934927438929329E-3</c:v>
                </c:pt>
                <c:pt idx="183">
                  <c:v>1.1032406404982709E-3</c:v>
                </c:pt>
                <c:pt idx="184">
                  <c:v>1.8528621573490334E-3</c:v>
                </c:pt>
                <c:pt idx="185">
                  <c:v>2.7042867572208973E-3</c:v>
                </c:pt>
                <c:pt idx="186">
                  <c:v>2.197328295222345E-3</c:v>
                </c:pt>
                <c:pt idx="187">
                  <c:v>2.3927130079379744E-3</c:v>
                </c:pt>
                <c:pt idx="188">
                  <c:v>6.5699649944050975E-4</c:v>
                </c:pt>
                <c:pt idx="189">
                  <c:v>9.5498233796109666E-4</c:v>
                </c:pt>
                <c:pt idx="190">
                  <c:v>2.5387754262984341E-3</c:v>
                </c:pt>
                <c:pt idx="191">
                  <c:v>3.4596375617792496E-3</c:v>
                </c:pt>
                <c:pt idx="192">
                  <c:v>8.7114863326918091E-3</c:v>
                </c:pt>
                <c:pt idx="193">
                  <c:v>6.4033049315774804E-3</c:v>
                </c:pt>
                <c:pt idx="194">
                  <c:v>6.8551047336302684E-3</c:v>
                </c:pt>
                <c:pt idx="195">
                  <c:v>9.2590685315261378E-3</c:v>
                </c:pt>
                <c:pt idx="196">
                  <c:v>8.4868535966382552E-3</c:v>
                </c:pt>
                <c:pt idx="197">
                  <c:v>8.2960744903399775E-3</c:v>
                </c:pt>
                <c:pt idx="198">
                  <c:v>7.5508426822394892E-3</c:v>
                </c:pt>
                <c:pt idx="199">
                  <c:v>8.8821046592633124E-3</c:v>
                </c:pt>
                <c:pt idx="200">
                  <c:v>1.2197749212634612E-2</c:v>
                </c:pt>
                <c:pt idx="201">
                  <c:v>1.4270032930845167E-2</c:v>
                </c:pt>
                <c:pt idx="202">
                  <c:v>1.3974040886628902E-2</c:v>
                </c:pt>
                <c:pt idx="203">
                  <c:v>1.6571581021178838E-2</c:v>
                </c:pt>
                <c:pt idx="204">
                  <c:v>2.0052104701731244E-2</c:v>
                </c:pt>
                <c:pt idx="205">
                  <c:v>2.1971368464261953E-2</c:v>
                </c:pt>
                <c:pt idx="206">
                  <c:v>1.9063610209576698E-2</c:v>
                </c:pt>
                <c:pt idx="207">
                  <c:v>1.76747318686028E-2</c:v>
                </c:pt>
                <c:pt idx="208">
                  <c:v>1.557772049759043E-2</c:v>
                </c:pt>
                <c:pt idx="209">
                  <c:v>1.4655479277905004E-2</c:v>
                </c:pt>
                <c:pt idx="210">
                  <c:v>1.4856317748266346E-2</c:v>
                </c:pt>
                <c:pt idx="211">
                  <c:v>1.5719087318108338E-2</c:v>
                </c:pt>
                <c:pt idx="212">
                  <c:v>1.757444307056133E-2</c:v>
                </c:pt>
                <c:pt idx="213">
                  <c:v>1.6820407007323013E-2</c:v>
                </c:pt>
                <c:pt idx="214">
                  <c:v>1.7937129048240186E-2</c:v>
                </c:pt>
                <c:pt idx="215">
                  <c:v>1.7664099484208329E-2</c:v>
                </c:pt>
                <c:pt idx="216">
                  <c:v>1.7576494957315614E-2</c:v>
                </c:pt>
                <c:pt idx="217">
                  <c:v>1.8376076958608545E-2</c:v>
                </c:pt>
                <c:pt idx="218">
                  <c:v>1.9982920580700281E-2</c:v>
                </c:pt>
                <c:pt idx="219">
                  <c:v>2.0466282276259795E-2</c:v>
                </c:pt>
                <c:pt idx="220">
                  <c:v>2.2662065367869744E-2</c:v>
                </c:pt>
                <c:pt idx="221">
                  <c:v>2.2683078403463952E-2</c:v>
                </c:pt>
                <c:pt idx="222">
                  <c:v>2.3386070559001215E-2</c:v>
                </c:pt>
                <c:pt idx="223">
                  <c:v>2.1804112889519889E-2</c:v>
                </c:pt>
                <c:pt idx="224">
                  <c:v>2.0099601593625449E-2</c:v>
                </c:pt>
                <c:pt idx="225">
                  <c:v>2.0530980493578932E-2</c:v>
                </c:pt>
                <c:pt idx="226">
                  <c:v>1.9418922274646144E-2</c:v>
                </c:pt>
                <c:pt idx="227">
                  <c:v>1.8646908878110713E-2</c:v>
                </c:pt>
                <c:pt idx="228">
                  <c:v>1.4970503661103418E-2</c:v>
                </c:pt>
                <c:pt idx="229">
                  <c:v>1.4258105229943974E-2</c:v>
                </c:pt>
                <c:pt idx="230">
                  <c:v>1.5090027973680975E-2</c:v>
                </c:pt>
                <c:pt idx="231">
                  <c:v>1.5771475738458607E-2</c:v>
                </c:pt>
                <c:pt idx="232">
                  <c:v>1.4567249683640426E-2</c:v>
                </c:pt>
                <c:pt idx="233">
                  <c:v>1.4113634358858818E-2</c:v>
                </c:pt>
                <c:pt idx="234">
                  <c:v>1.4402224463220925E-2</c:v>
                </c:pt>
                <c:pt idx="235">
                  <c:v>1.4216108328115151E-2</c:v>
                </c:pt>
                <c:pt idx="236">
                  <c:v>1.3044582007069039E-2</c:v>
                </c:pt>
                <c:pt idx="237">
                  <c:v>1.3314489010185726E-2</c:v>
                </c:pt>
                <c:pt idx="238">
                  <c:v>1.3319692097827129E-2</c:v>
                </c:pt>
                <c:pt idx="239">
                  <c:v>1.539420258809554E-2</c:v>
                </c:pt>
                <c:pt idx="240">
                  <c:v>1.6979184921237511E-2</c:v>
                </c:pt>
                <c:pt idx="241">
                  <c:v>1.6420057941708421E-2</c:v>
                </c:pt>
                <c:pt idx="242">
                  <c:v>1.1469492314857943E-2</c:v>
                </c:pt>
                <c:pt idx="243">
                  <c:v>4.1114045525341147E-3</c:v>
                </c:pt>
                <c:pt idx="244">
                  <c:v>4.4862993831338294E-3</c:v>
                </c:pt>
                <c:pt idx="245">
                  <c:v>7.0552532642627064E-3</c:v>
                </c:pt>
                <c:pt idx="246">
                  <c:v>9.0050961315728539E-3</c:v>
                </c:pt>
                <c:pt idx="247">
                  <c:v>1.1653370119909967E-2</c:v>
                </c:pt>
                <c:pt idx="248">
                  <c:v>1.2471808315823951E-2</c:v>
                </c:pt>
                <c:pt idx="249">
                  <c:v>1.1186887390463696E-2</c:v>
                </c:pt>
                <c:pt idx="250">
                  <c:v>1.1538794388299634E-2</c:v>
                </c:pt>
                <c:pt idx="251">
                  <c:v>1.3664870255652994E-2</c:v>
                </c:pt>
                <c:pt idx="252">
                  <c:v>1.615003159164452E-2</c:v>
                </c:pt>
                <c:pt idx="253">
                  <c:v>1.885204350030123E-2</c:v>
                </c:pt>
                <c:pt idx="254">
                  <c:v>2.713022122450548E-2</c:v>
                </c:pt>
                <c:pt idx="255">
                  <c:v>3.7246136652664852E-2</c:v>
                </c:pt>
                <c:pt idx="256">
                  <c:v>4.1553566272018339E-2</c:v>
                </c:pt>
                <c:pt idx="257">
                  <c:v>4.3724028061689735E-2</c:v>
                </c:pt>
                <c:pt idx="258">
                  <c:v>4.5331496733339138E-2</c:v>
                </c:pt>
                <c:pt idx="259">
                  <c:v>4.6448426131650011E-2</c:v>
                </c:pt>
                <c:pt idx="260">
                  <c:v>4.8054222831467541E-2</c:v>
                </c:pt>
                <c:pt idx="261">
                  <c:v>5.4069479852364877E-2</c:v>
                </c:pt>
                <c:pt idx="262">
                  <c:v>5.9859121457836117E-2</c:v>
                </c:pt>
                <c:pt idx="263">
                  <c:v>6.1802908038256721E-2</c:v>
                </c:pt>
                <c:pt idx="264">
                  <c:v>6.2970464930048431E-2</c:v>
                </c:pt>
                <c:pt idx="265">
                  <c:v>6.547004374683163E-2</c:v>
                </c:pt>
                <c:pt idx="266">
                  <c:v>6.8929445388825616E-2</c:v>
                </c:pt>
                <c:pt idx="267">
                  <c:v>6.6197915699132359E-2</c:v>
                </c:pt>
                <c:pt idx="268">
                  <c:v>6.6899553633313902E-2</c:v>
                </c:pt>
                <c:pt idx="269">
                  <c:v>7.116914164865995E-2</c:v>
                </c:pt>
                <c:pt idx="270">
                  <c:v>6.6169472913616412E-2</c:v>
                </c:pt>
                <c:pt idx="271">
                  <c:v>6.5154000364497922E-2</c:v>
                </c:pt>
                <c:pt idx="272">
                  <c:v>6.556096497602093E-2</c:v>
                </c:pt>
                <c:pt idx="273">
                  <c:v>6.3479171178976168E-2</c:v>
                </c:pt>
                <c:pt idx="274">
                  <c:v>5.928570147272505E-2</c:v>
                </c:pt>
                <c:pt idx="275">
                  <c:v>5.4419101924447544E-2</c:v>
                </c:pt>
                <c:pt idx="276">
                  <c:v>5.47908782316604E-2</c:v>
                </c:pt>
                <c:pt idx="277">
                  <c:v>5.1896102065271066E-2</c:v>
                </c:pt>
                <c:pt idx="278">
                  <c:v>4.4422697167223024E-2</c:v>
                </c:pt>
                <c:pt idx="279">
                  <c:v>4.4464190819677896E-2</c:v>
                </c:pt>
                <c:pt idx="280">
                  <c:v>3.9620255357483147E-2</c:v>
                </c:pt>
                <c:pt idx="281">
                  <c:v>3.1984205330700899E-2</c:v>
                </c:pt>
                <c:pt idx="282">
                  <c:v>3.314708482460893E-2</c:v>
                </c:pt>
                <c:pt idx="283">
                  <c:v>3.3475917529301125E-2</c:v>
                </c:pt>
                <c:pt idx="284">
                  <c:v>3.3695893073290462E-2</c:v>
                </c:pt>
                <c:pt idx="285">
                  <c:v>2.9420749817552272E-2</c:v>
                </c:pt>
                <c:pt idx="286">
                  <c:v>2.6400460610986887E-2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7A-4B1F-A10D-018267841ACA}"/>
            </c:ext>
          </c:extLst>
        </c:ser>
        <c:ser>
          <c:idx val="1"/>
          <c:order val="1"/>
          <c:tx>
            <c:strRef>
              <c:f>Inflation!$Y$2</c:f>
              <c:strCache>
                <c:ptCount val="1"/>
                <c:pt idx="0">
                  <c:v>Core-PCE 12M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Inflation!$A$639:$A$926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Inflation!$Y$639:$Y$926</c:f>
              <c:numCache>
                <c:formatCode>0.00%</c:formatCode>
                <c:ptCount val="288"/>
                <c:pt idx="0">
                  <c:v>1.538671768242672E-2</c:v>
                </c:pt>
                <c:pt idx="1">
                  <c:v>1.7223703096165721E-2</c:v>
                </c:pt>
                <c:pt idx="2">
                  <c:v>1.9008704920945085E-2</c:v>
                </c:pt>
                <c:pt idx="3">
                  <c:v>1.70653581408029E-2</c:v>
                </c:pt>
                <c:pt idx="4">
                  <c:v>1.7185265881391798E-2</c:v>
                </c:pt>
                <c:pt idx="5">
                  <c:v>1.7421128562484789E-2</c:v>
                </c:pt>
                <c:pt idx="6">
                  <c:v>1.7919734804227927E-2</c:v>
                </c:pt>
                <c:pt idx="7">
                  <c:v>1.8725727166562622E-2</c:v>
                </c:pt>
                <c:pt idx="8">
                  <c:v>1.8500209921854971E-2</c:v>
                </c:pt>
                <c:pt idx="9">
                  <c:v>1.8184768059705814E-2</c:v>
                </c:pt>
                <c:pt idx="10">
                  <c:v>1.9004781586838382E-2</c:v>
                </c:pt>
                <c:pt idx="11">
                  <c:v>1.8710878480466153E-2</c:v>
                </c:pt>
                <c:pt idx="12">
                  <c:v>2.0052216510106913E-2</c:v>
                </c:pt>
                <c:pt idx="13">
                  <c:v>2.0358798629308561E-2</c:v>
                </c:pt>
                <c:pt idx="14">
                  <c:v>1.932464327861827E-2</c:v>
                </c:pt>
                <c:pt idx="15">
                  <c:v>2.0276880603615766E-2</c:v>
                </c:pt>
                <c:pt idx="16">
                  <c:v>1.9425144249434201E-2</c:v>
                </c:pt>
                <c:pt idx="17">
                  <c:v>2.0921957353452481E-2</c:v>
                </c:pt>
                <c:pt idx="18">
                  <c:v>2.1221221221221276E-2</c:v>
                </c:pt>
                <c:pt idx="19">
                  <c:v>2.0420948801002314E-2</c:v>
                </c:pt>
                <c:pt idx="20">
                  <c:v>1.2167067803146026E-2</c:v>
                </c:pt>
                <c:pt idx="21">
                  <c:v>1.7873267116375269E-2</c:v>
                </c:pt>
                <c:pt idx="22">
                  <c:v>1.8146631142217151E-2</c:v>
                </c:pt>
                <c:pt idx="23">
                  <c:v>1.738727405151308E-2</c:v>
                </c:pt>
                <c:pt idx="24">
                  <c:v>1.4182806480552923E-2</c:v>
                </c:pt>
                <c:pt idx="25">
                  <c:v>1.4328987225075585E-2</c:v>
                </c:pt>
                <c:pt idx="26">
                  <c:v>1.4485126761304645E-2</c:v>
                </c:pt>
                <c:pt idx="27">
                  <c:v>1.5696834362275203E-2</c:v>
                </c:pt>
                <c:pt idx="28">
                  <c:v>1.6586121762882877E-2</c:v>
                </c:pt>
                <c:pt idx="29">
                  <c:v>1.5933331586257538E-2</c:v>
                </c:pt>
                <c:pt idx="30">
                  <c:v>1.5382604718028992E-2</c:v>
                </c:pt>
                <c:pt idx="31">
                  <c:v>1.6877196190874244E-2</c:v>
                </c:pt>
                <c:pt idx="32">
                  <c:v>2.4356919519693099E-2</c:v>
                </c:pt>
                <c:pt idx="33">
                  <c:v>1.8055156938972639E-2</c:v>
                </c:pt>
                <c:pt idx="34">
                  <c:v>1.6976956125504428E-2</c:v>
                </c:pt>
                <c:pt idx="35">
                  <c:v>1.7688863435205926E-2</c:v>
                </c:pt>
                <c:pt idx="36">
                  <c:v>1.7809056731407091E-2</c:v>
                </c:pt>
                <c:pt idx="37">
                  <c:v>1.7268690436001988E-2</c:v>
                </c:pt>
                <c:pt idx="38">
                  <c:v>1.7689015691868759E-2</c:v>
                </c:pt>
                <c:pt idx="39">
                  <c:v>1.5984481086324109E-2</c:v>
                </c:pt>
                <c:pt idx="40">
                  <c:v>1.63155107155315E-2</c:v>
                </c:pt>
                <c:pt idx="41">
                  <c:v>1.5270719942218847E-2</c:v>
                </c:pt>
                <c:pt idx="42">
                  <c:v>1.5741646501570505E-2</c:v>
                </c:pt>
                <c:pt idx="43">
                  <c:v>1.4888560601194811E-2</c:v>
                </c:pt>
                <c:pt idx="44">
                  <c:v>1.4646283281178007E-2</c:v>
                </c:pt>
                <c:pt idx="45">
                  <c:v>1.5659037904610651E-2</c:v>
                </c:pt>
                <c:pt idx="46">
                  <c:v>1.6053460327213998E-2</c:v>
                </c:pt>
                <c:pt idx="47">
                  <c:v>1.6371007968076556E-2</c:v>
                </c:pt>
                <c:pt idx="48">
                  <c:v>1.8289877300613711E-2</c:v>
                </c:pt>
                <c:pt idx="49">
                  <c:v>1.8532700260376789E-2</c:v>
                </c:pt>
                <c:pt idx="50">
                  <c:v>1.8604888243239692E-2</c:v>
                </c:pt>
                <c:pt idx="51">
                  <c:v>2.0124489250391342E-2</c:v>
                </c:pt>
                <c:pt idx="52">
                  <c:v>2.0057452271398324E-2</c:v>
                </c:pt>
                <c:pt idx="53">
                  <c:v>2.1100637719454252E-2</c:v>
                </c:pt>
                <c:pt idx="54">
                  <c:v>1.9755433060888228E-2</c:v>
                </c:pt>
                <c:pt idx="55">
                  <c:v>1.899903802339109E-2</c:v>
                </c:pt>
                <c:pt idx="56">
                  <c:v>1.9490861288773198E-2</c:v>
                </c:pt>
                <c:pt idx="57">
                  <c:v>1.9820842795861715E-2</c:v>
                </c:pt>
                <c:pt idx="58">
                  <c:v>2.0625440983771837E-2</c:v>
                </c:pt>
                <c:pt idx="59">
                  <c:v>2.0662665005599656E-2</c:v>
                </c:pt>
                <c:pt idx="60">
                  <c:v>2.1714300058992553E-2</c:v>
                </c:pt>
                <c:pt idx="61">
                  <c:v>2.1754385964912304E-2</c:v>
                </c:pt>
                <c:pt idx="62">
                  <c:v>2.255610878975145E-2</c:v>
                </c:pt>
                <c:pt idx="63">
                  <c:v>2.1075091712210892E-2</c:v>
                </c:pt>
                <c:pt idx="64">
                  <c:v>2.1768927877186872E-2</c:v>
                </c:pt>
                <c:pt idx="65">
                  <c:v>2.0863658418243558E-2</c:v>
                </c:pt>
                <c:pt idx="66">
                  <c:v>2.1149688098019315E-2</c:v>
                </c:pt>
                <c:pt idx="67">
                  <c:v>2.1588721197441041E-2</c:v>
                </c:pt>
                <c:pt idx="68">
                  <c:v>2.1932652251537288E-2</c:v>
                </c:pt>
                <c:pt idx="69">
                  <c:v>2.2652200269698497E-2</c:v>
                </c:pt>
                <c:pt idx="70">
                  <c:v>2.3060304919449548E-2</c:v>
                </c:pt>
                <c:pt idx="71">
                  <c:v>2.2808812832114889E-2</c:v>
                </c:pt>
                <c:pt idx="72">
                  <c:v>2.1424798221152175E-2</c:v>
                </c:pt>
                <c:pt idx="73">
                  <c:v>2.1377060439560447E-2</c:v>
                </c:pt>
                <c:pt idx="74">
                  <c:v>2.1679288449539369E-2</c:v>
                </c:pt>
                <c:pt idx="75">
                  <c:v>2.362185479830381E-2</c:v>
                </c:pt>
                <c:pt idx="76">
                  <c:v>2.4085659581214447E-2</c:v>
                </c:pt>
                <c:pt idx="77">
                  <c:v>2.5957882421760781E-2</c:v>
                </c:pt>
                <c:pt idx="78">
                  <c:v>2.5457554517134051E-2</c:v>
                </c:pt>
                <c:pt idx="79">
                  <c:v>2.6713519691645482E-2</c:v>
                </c:pt>
                <c:pt idx="80">
                  <c:v>2.6060054595086424E-2</c:v>
                </c:pt>
                <c:pt idx="81">
                  <c:v>2.4969151484357965E-2</c:v>
                </c:pt>
                <c:pt idx="82">
                  <c:v>2.2842180203443752E-2</c:v>
                </c:pt>
                <c:pt idx="83">
                  <c:v>2.3156016827589498E-2</c:v>
                </c:pt>
                <c:pt idx="84">
                  <c:v>2.5004510193036289E-2</c:v>
                </c:pt>
                <c:pt idx="85">
                  <c:v>2.5564668163642779E-2</c:v>
                </c:pt>
                <c:pt idx="86">
                  <c:v>2.3769893065417991E-2</c:v>
                </c:pt>
                <c:pt idx="87">
                  <c:v>2.2109736879805109E-2</c:v>
                </c:pt>
                <c:pt idx="88">
                  <c:v>2.0756424607616619E-2</c:v>
                </c:pt>
                <c:pt idx="89">
                  <c:v>1.9872662913073214E-2</c:v>
                </c:pt>
                <c:pt idx="90">
                  <c:v>2.0411069445103625E-2</c:v>
                </c:pt>
                <c:pt idx="91">
                  <c:v>1.9848413074372351E-2</c:v>
                </c:pt>
                <c:pt idx="92">
                  <c:v>2.1023258013787016E-2</c:v>
                </c:pt>
                <c:pt idx="93">
                  <c:v>2.1835091943441132E-2</c:v>
                </c:pt>
                <c:pt idx="94">
                  <c:v>2.3358422008824098E-2</c:v>
                </c:pt>
                <c:pt idx="95">
                  <c:v>2.4033930254476976E-2</c:v>
                </c:pt>
                <c:pt idx="96">
                  <c:v>2.1930442128977656E-2</c:v>
                </c:pt>
                <c:pt idx="97">
                  <c:v>2.072405395279131E-2</c:v>
                </c:pt>
                <c:pt idx="98">
                  <c:v>2.1697429059349238E-2</c:v>
                </c:pt>
                <c:pt idx="99">
                  <c:v>2.0837226686600596E-2</c:v>
                </c:pt>
                <c:pt idx="100">
                  <c:v>2.148931950488242E-2</c:v>
                </c:pt>
                <c:pt idx="101">
                  <c:v>2.2140952025996308E-2</c:v>
                </c:pt>
                <c:pt idx="102">
                  <c:v>2.2444992324510471E-2</c:v>
                </c:pt>
                <c:pt idx="103">
                  <c:v>2.2179385944539831E-2</c:v>
                </c:pt>
                <c:pt idx="104">
                  <c:v>2.0439832775532407E-2</c:v>
                </c:pt>
                <c:pt idx="105">
                  <c:v>1.6344021437811884E-2</c:v>
                </c:pt>
                <c:pt idx="106">
                  <c:v>1.3902658335831042E-2</c:v>
                </c:pt>
                <c:pt idx="107">
                  <c:v>1.1378278877128389E-2</c:v>
                </c:pt>
                <c:pt idx="108">
                  <c:v>9.0592814577521441E-3</c:v>
                </c:pt>
                <c:pt idx="109">
                  <c:v>8.8783867489503621E-3</c:v>
                </c:pt>
                <c:pt idx="110">
                  <c:v>7.6245864291519805E-3</c:v>
                </c:pt>
                <c:pt idx="111">
                  <c:v>9.2791762013728629E-3</c:v>
                </c:pt>
                <c:pt idx="112">
                  <c:v>8.2230267590994721E-3</c:v>
                </c:pt>
                <c:pt idx="113">
                  <c:v>7.2014585232451633E-3</c:v>
                </c:pt>
                <c:pt idx="114">
                  <c:v>6.2558292954797423E-3</c:v>
                </c:pt>
                <c:pt idx="115">
                  <c:v>6.5094403926113653E-3</c:v>
                </c:pt>
                <c:pt idx="116">
                  <c:v>7.2518044396023829E-3</c:v>
                </c:pt>
                <c:pt idx="117">
                  <c:v>1.2398995351797337E-2</c:v>
                </c:pt>
                <c:pt idx="118">
                  <c:v>1.3734764416954759E-2</c:v>
                </c:pt>
                <c:pt idx="119">
                  <c:v>1.5095155217327072E-2</c:v>
                </c:pt>
                <c:pt idx="120">
                  <c:v>1.690903711795344E-2</c:v>
                </c:pt>
                <c:pt idx="121">
                  <c:v>1.6986538111697369E-2</c:v>
                </c:pt>
                <c:pt idx="122">
                  <c:v>1.7769698346872698E-2</c:v>
                </c:pt>
                <c:pt idx="123">
                  <c:v>1.6029746856967897E-2</c:v>
                </c:pt>
                <c:pt idx="124">
                  <c:v>1.6368558773887321E-2</c:v>
                </c:pt>
                <c:pt idx="125">
                  <c:v>1.555570639876902E-2</c:v>
                </c:pt>
                <c:pt idx="126">
                  <c:v>1.4705882352941124E-2</c:v>
                </c:pt>
                <c:pt idx="127">
                  <c:v>1.4176232237384179E-2</c:v>
                </c:pt>
                <c:pt idx="128">
                  <c:v>1.2968283476987308E-2</c:v>
                </c:pt>
                <c:pt idx="129">
                  <c:v>1.0787813475225283E-2</c:v>
                </c:pt>
                <c:pt idx="130">
                  <c:v>1.1215791834903621E-2</c:v>
                </c:pt>
                <c:pt idx="131">
                  <c:v>1.0567483975077341E-2</c:v>
                </c:pt>
                <c:pt idx="132">
                  <c:v>1.1234446334258408E-2</c:v>
                </c:pt>
                <c:pt idx="133">
                  <c:v>1.2119043892404369E-2</c:v>
                </c:pt>
                <c:pt idx="134">
                  <c:v>1.2145703792183493E-2</c:v>
                </c:pt>
                <c:pt idx="135">
                  <c:v>1.3947001394700065E-2</c:v>
                </c:pt>
                <c:pt idx="136">
                  <c:v>1.5235611430609364E-2</c:v>
                </c:pt>
                <c:pt idx="137">
                  <c:v>1.5863290518787654E-2</c:v>
                </c:pt>
                <c:pt idx="138">
                  <c:v>1.7344517595160758E-2</c:v>
                </c:pt>
                <c:pt idx="139">
                  <c:v>1.8396305158310478E-2</c:v>
                </c:pt>
                <c:pt idx="140">
                  <c:v>1.8508219696126815E-2</c:v>
                </c:pt>
                <c:pt idx="141">
                  <c:v>1.744721966171725E-2</c:v>
                </c:pt>
                <c:pt idx="142">
                  <c:v>1.8278615794143915E-2</c:v>
                </c:pt>
                <c:pt idx="143">
                  <c:v>1.9749609110768507E-2</c:v>
                </c:pt>
                <c:pt idx="144">
                  <c:v>2.0614792192271914E-2</c:v>
                </c:pt>
                <c:pt idx="145">
                  <c:v>2.0258477852645562E-2</c:v>
                </c:pt>
                <c:pt idx="146">
                  <c:v>2.0448454233624069E-2</c:v>
                </c:pt>
                <c:pt idx="147">
                  <c:v>1.9653370013755112E-2</c:v>
                </c:pt>
                <c:pt idx="148">
                  <c:v>1.826744683887549E-2</c:v>
                </c:pt>
                <c:pt idx="149">
                  <c:v>1.8192584794552102E-2</c:v>
                </c:pt>
                <c:pt idx="150">
                  <c:v>1.7738650548584145E-2</c:v>
                </c:pt>
                <c:pt idx="151">
                  <c:v>1.6359225422913903E-2</c:v>
                </c:pt>
                <c:pt idx="152">
                  <c:v>1.6916020530741482E-2</c:v>
                </c:pt>
                <c:pt idx="153">
                  <c:v>1.8894492108193051E-2</c:v>
                </c:pt>
                <c:pt idx="154">
                  <c:v>1.7830690135935745E-2</c:v>
                </c:pt>
                <c:pt idx="155">
                  <c:v>1.6898651587646807E-2</c:v>
                </c:pt>
                <c:pt idx="156">
                  <c:v>1.5915867078657886E-2</c:v>
                </c:pt>
                <c:pt idx="157">
                  <c:v>1.5601316530249987E-2</c:v>
                </c:pt>
                <c:pt idx="158">
                  <c:v>1.4807449119659477E-2</c:v>
                </c:pt>
                <c:pt idx="159">
                  <c:v>1.3770626261318197E-2</c:v>
                </c:pt>
                <c:pt idx="160">
                  <c:v>1.3929168238908884E-2</c:v>
                </c:pt>
                <c:pt idx="161">
                  <c:v>1.4636510500807942E-2</c:v>
                </c:pt>
                <c:pt idx="162">
                  <c:v>1.4879607514040272E-2</c:v>
                </c:pt>
                <c:pt idx="163">
                  <c:v>1.5332509004892136E-2</c:v>
                </c:pt>
                <c:pt idx="164">
                  <c:v>1.5292260440941341E-2</c:v>
                </c:pt>
                <c:pt idx="165">
                  <c:v>1.4548181477315403E-2</c:v>
                </c:pt>
                <c:pt idx="166">
                  <c:v>1.5142597249719225E-2</c:v>
                </c:pt>
                <c:pt idx="167">
                  <c:v>1.5473618923369736E-2</c:v>
                </c:pt>
                <c:pt idx="168">
                  <c:v>1.4524615006989983E-2</c:v>
                </c:pt>
                <c:pt idx="169">
                  <c:v>1.3901177975587542E-2</c:v>
                </c:pt>
                <c:pt idx="170">
                  <c:v>1.4474230756941431E-2</c:v>
                </c:pt>
                <c:pt idx="171">
                  <c:v>1.5712658483877373E-2</c:v>
                </c:pt>
                <c:pt idx="172">
                  <c:v>1.6236562569778901E-2</c:v>
                </c:pt>
                <c:pt idx="173">
                  <c:v>1.5635448842467259E-2</c:v>
                </c:pt>
                <c:pt idx="174">
                  <c:v>1.6103213221808854E-2</c:v>
                </c:pt>
                <c:pt idx="175">
                  <c:v>1.5397485995065185E-2</c:v>
                </c:pt>
                <c:pt idx="176">
                  <c:v>1.5548480585553692E-2</c:v>
                </c:pt>
                <c:pt idx="177">
                  <c:v>1.4709143321753215E-2</c:v>
                </c:pt>
                <c:pt idx="178">
                  <c:v>1.392578536791067E-2</c:v>
                </c:pt>
                <c:pt idx="179">
                  <c:v>1.3563462895293865E-2</c:v>
                </c:pt>
                <c:pt idx="180">
                  <c:v>1.2097113523521053E-2</c:v>
                </c:pt>
                <c:pt idx="181">
                  <c:v>1.2774816263445121E-2</c:v>
                </c:pt>
                <c:pt idx="182">
                  <c:v>1.2808398950131306E-2</c:v>
                </c:pt>
                <c:pt idx="183">
                  <c:v>1.2943728841981805E-2</c:v>
                </c:pt>
                <c:pt idx="184">
                  <c:v>1.2472011216439594E-2</c:v>
                </c:pt>
                <c:pt idx="185">
                  <c:v>1.2541543864049709E-2</c:v>
                </c:pt>
                <c:pt idx="186">
                  <c:v>1.1789500041732737E-2</c:v>
                </c:pt>
                <c:pt idx="187">
                  <c:v>1.2212546279397163E-2</c:v>
                </c:pt>
                <c:pt idx="188">
                  <c:v>1.2321248164310905E-2</c:v>
                </c:pt>
                <c:pt idx="189">
                  <c:v>1.1779886779886617E-2</c:v>
                </c:pt>
                <c:pt idx="190">
                  <c:v>1.1967020513407034E-2</c:v>
                </c:pt>
                <c:pt idx="191">
                  <c:v>1.1917006929942131E-2</c:v>
                </c:pt>
                <c:pt idx="192">
                  <c:v>1.4062402560957699E-2</c:v>
                </c:pt>
                <c:pt idx="193">
                  <c:v>1.4658859681907055E-2</c:v>
                </c:pt>
                <c:pt idx="194">
                  <c:v>1.4574479112677619E-2</c:v>
                </c:pt>
                <c:pt idx="195">
                  <c:v>1.5199486797450534E-2</c:v>
                </c:pt>
                <c:pt idx="196">
                  <c:v>1.5687328193787042E-2</c:v>
                </c:pt>
                <c:pt idx="197">
                  <c:v>1.5524039553270974E-2</c:v>
                </c:pt>
                <c:pt idx="198">
                  <c:v>1.5993318072140106E-2</c:v>
                </c:pt>
                <c:pt idx="199">
                  <c:v>1.6969584569733076E-2</c:v>
                </c:pt>
                <c:pt idx="200">
                  <c:v>1.6852545372237682E-2</c:v>
                </c:pt>
                <c:pt idx="201">
                  <c:v>1.7824083597317797E-2</c:v>
                </c:pt>
                <c:pt idx="202">
                  <c:v>1.7188591624542893E-2</c:v>
                </c:pt>
                <c:pt idx="203">
                  <c:v>1.770093227647962E-2</c:v>
                </c:pt>
                <c:pt idx="204">
                  <c:v>1.863334939067518E-2</c:v>
                </c:pt>
                <c:pt idx="205">
                  <c:v>1.8672751084554351E-2</c:v>
                </c:pt>
                <c:pt idx="206">
                  <c:v>1.6786546242183897E-2</c:v>
                </c:pt>
                <c:pt idx="207">
                  <c:v>1.6368213459441172E-2</c:v>
                </c:pt>
                <c:pt idx="208">
                  <c:v>1.545521142810613E-2</c:v>
                </c:pt>
                <c:pt idx="209">
                  <c:v>1.5764438029800987E-2</c:v>
                </c:pt>
                <c:pt idx="210">
                  <c:v>1.5031107592688553E-2</c:v>
                </c:pt>
                <c:pt idx="211">
                  <c:v>1.4335937104241969E-2</c:v>
                </c:pt>
                <c:pt idx="212">
                  <c:v>1.4225873687192525E-2</c:v>
                </c:pt>
                <c:pt idx="213">
                  <c:v>1.5410111053849596E-2</c:v>
                </c:pt>
                <c:pt idx="214">
                  <c:v>1.5453764961365524E-2</c:v>
                </c:pt>
                <c:pt idx="215">
                  <c:v>1.5768765133171936E-2</c:v>
                </c:pt>
                <c:pt idx="216">
                  <c:v>1.6320370277204788E-2</c:v>
                </c:pt>
                <c:pt idx="217">
                  <c:v>1.6442181175359671E-2</c:v>
                </c:pt>
                <c:pt idx="218">
                  <c:v>1.9091831710527529E-2</c:v>
                </c:pt>
                <c:pt idx="219">
                  <c:v>1.8842192874261698E-2</c:v>
                </c:pt>
                <c:pt idx="220">
                  <c:v>1.9809023776840462E-2</c:v>
                </c:pt>
                <c:pt idx="221">
                  <c:v>1.9362198184856405E-2</c:v>
                </c:pt>
                <c:pt idx="222">
                  <c:v>1.9958004199579937E-2</c:v>
                </c:pt>
                <c:pt idx="223">
                  <c:v>1.8957629996604108E-2</c:v>
                </c:pt>
                <c:pt idx="224">
                  <c:v>1.9602952913008842E-2</c:v>
                </c:pt>
                <c:pt idx="225">
                  <c:v>1.8709073900841755E-2</c:v>
                </c:pt>
                <c:pt idx="226">
                  <c:v>2.0102451882429095E-2</c:v>
                </c:pt>
                <c:pt idx="227">
                  <c:v>2.0380799141860972E-2</c:v>
                </c:pt>
                <c:pt idx="228">
                  <c:v>1.8523468670488041E-2</c:v>
                </c:pt>
                <c:pt idx="229">
                  <c:v>1.7401529674499594E-2</c:v>
                </c:pt>
                <c:pt idx="230">
                  <c:v>1.6071939182993322E-2</c:v>
                </c:pt>
                <c:pt idx="231">
                  <c:v>1.6456368969114843E-2</c:v>
                </c:pt>
                <c:pt idx="232">
                  <c:v>1.5730005895067789E-2</c:v>
                </c:pt>
                <c:pt idx="233">
                  <c:v>1.6825035338464023E-2</c:v>
                </c:pt>
                <c:pt idx="234">
                  <c:v>1.6665686332176577E-2</c:v>
                </c:pt>
                <c:pt idx="235">
                  <c:v>1.7595279171894518E-2</c:v>
                </c:pt>
                <c:pt idx="236">
                  <c:v>1.647668900738708E-2</c:v>
                </c:pt>
                <c:pt idx="237">
                  <c:v>1.6431236934138393E-2</c:v>
                </c:pt>
                <c:pt idx="238">
                  <c:v>1.4723663169390333E-2</c:v>
                </c:pt>
                <c:pt idx="239">
                  <c:v>1.5028957998734604E-2</c:v>
                </c:pt>
                <c:pt idx="240">
                  <c:v>1.552324112055059E-2</c:v>
                </c:pt>
                <c:pt idx="241">
                  <c:v>1.6559989898891736E-2</c:v>
                </c:pt>
                <c:pt idx="242">
                  <c:v>1.4915234500092023E-2</c:v>
                </c:pt>
                <c:pt idx="243">
                  <c:v>9.3247090264731991E-3</c:v>
                </c:pt>
                <c:pt idx="244">
                  <c:v>9.5085170389144213E-3</c:v>
                </c:pt>
                <c:pt idx="245">
                  <c:v>9.0842391829011326E-3</c:v>
                </c:pt>
                <c:pt idx="246">
                  <c:v>1.1638670858002298E-2</c:v>
                </c:pt>
                <c:pt idx="247">
                  <c:v>1.3659438787797074E-2</c:v>
                </c:pt>
                <c:pt idx="248">
                  <c:v>1.4448112889718923E-2</c:v>
                </c:pt>
                <c:pt idx="249">
                  <c:v>1.3666769183453775E-2</c:v>
                </c:pt>
                <c:pt idx="250">
                  <c:v>1.4279399611784926E-2</c:v>
                </c:pt>
                <c:pt idx="251">
                  <c:v>1.5535246789861956E-2</c:v>
                </c:pt>
                <c:pt idx="252">
                  <c:v>1.7152428810720322E-2</c:v>
                </c:pt>
                <c:pt idx="253">
                  <c:v>1.7532293816402866E-2</c:v>
                </c:pt>
                <c:pt idx="254">
                  <c:v>2.2555600175931723E-2</c:v>
                </c:pt>
                <c:pt idx="255">
                  <c:v>3.2205454876867101E-2</c:v>
                </c:pt>
                <c:pt idx="256">
                  <c:v>3.6439768502548819E-2</c:v>
                </c:pt>
                <c:pt idx="257">
                  <c:v>3.9492188621121915E-2</c:v>
                </c:pt>
                <c:pt idx="258">
                  <c:v>4.0099892291708406E-2</c:v>
                </c:pt>
                <c:pt idx="259">
                  <c:v>4.0188541181613413E-2</c:v>
                </c:pt>
                <c:pt idx="260">
                  <c:v>4.0743903596166531E-2</c:v>
                </c:pt>
                <c:pt idx="261">
                  <c:v>4.5008059163743175E-2</c:v>
                </c:pt>
                <c:pt idx="262">
                  <c:v>4.9511141427921679E-2</c:v>
                </c:pt>
                <c:pt idx="263">
                  <c:v>5.238009801792276E-2</c:v>
                </c:pt>
                <c:pt idx="264">
                  <c:v>5.3694938221649169E-2</c:v>
                </c:pt>
                <c:pt idx="265">
                  <c:v>5.5747002319270766E-2</c:v>
                </c:pt>
                <c:pt idx="266">
                  <c:v>5.5495815606152687E-2</c:v>
                </c:pt>
                <c:pt idx="267">
                  <c:v>5.2549398665353131E-2</c:v>
                </c:pt>
                <c:pt idx="268">
                  <c:v>5.0745606330951265E-2</c:v>
                </c:pt>
                <c:pt idx="269">
                  <c:v>5.1925820256776056E-2</c:v>
                </c:pt>
                <c:pt idx="270">
                  <c:v>4.9615102639296138E-2</c:v>
                </c:pt>
                <c:pt idx="271">
                  <c:v>5.207476840431946E-2</c:v>
                </c:pt>
                <c:pt idx="272">
                  <c:v>5.4720834396995155E-2</c:v>
                </c:pt>
                <c:pt idx="273">
                  <c:v>5.3258571726684689E-2</c:v>
                </c:pt>
                <c:pt idx="274">
                  <c:v>5.0903609019841367E-2</c:v>
                </c:pt>
                <c:pt idx="275">
                  <c:v>4.8651364786533424E-2</c:v>
                </c:pt>
                <c:pt idx="276">
                  <c:v>4.901181534834298E-2</c:v>
                </c:pt>
                <c:pt idx="277">
                  <c:v>4.8445337792166088E-2</c:v>
                </c:pt>
                <c:pt idx="278">
                  <c:v>4.7829553508150324E-2</c:v>
                </c:pt>
                <c:pt idx="279">
                  <c:v>4.7629980220401213E-2</c:v>
                </c:pt>
                <c:pt idx="280">
                  <c:v>4.6878299429858439E-2</c:v>
                </c:pt>
                <c:pt idx="281">
                  <c:v>4.2800773423624427E-2</c:v>
                </c:pt>
                <c:pt idx="282">
                  <c:v>4.1891490736375214E-2</c:v>
                </c:pt>
                <c:pt idx="283">
                  <c:v>3.726184893798079E-2</c:v>
                </c:pt>
                <c:pt idx="284">
                  <c:v>3.5924831008073532E-2</c:v>
                </c:pt>
                <c:pt idx="285">
                  <c:v>3.3879762591849216E-2</c:v>
                </c:pt>
                <c:pt idx="286">
                  <c:v>3.1550374945239934E-2</c:v>
                </c:pt>
                <c:pt idx="28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7A-4B1F-A10D-018267841A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129526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31375680"/>
        <c:crosses val="max"/>
        <c:crossBetween val="between"/>
      </c:valAx>
      <c:catAx>
        <c:axId val="4313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129526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Recession!$B$758:$B$913</c:f>
              <c:numCache>
                <c:formatCode>General</c:formatCode>
                <c:ptCount val="15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BE4-4AB4-924C-A15FCEE5C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06876767"/>
        <c:axId val="1216140447"/>
      </c:areaChart>
      <c:lineChart>
        <c:grouping val="standard"/>
        <c:varyColors val="0"/>
        <c:ser>
          <c:idx val="0"/>
          <c:order val="0"/>
          <c:tx>
            <c:strRef>
              <c:f>Inflation!$AE$2</c:f>
              <c:strCache>
                <c:ptCount val="1"/>
                <c:pt idx="0">
                  <c:v>Annual PPI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Inflation!$A$769:$A$926</c:f>
              <c:numCache>
                <c:formatCode>[$-416]mmm\-yy;@</c:formatCode>
                <c:ptCount val="158"/>
                <c:pt idx="0">
                  <c:v>40483</c:v>
                </c:pt>
                <c:pt idx="1">
                  <c:v>40513</c:v>
                </c:pt>
                <c:pt idx="2">
                  <c:v>40544</c:v>
                </c:pt>
                <c:pt idx="3">
                  <c:v>40575</c:v>
                </c:pt>
                <c:pt idx="4">
                  <c:v>40603</c:v>
                </c:pt>
                <c:pt idx="5">
                  <c:v>40634</c:v>
                </c:pt>
                <c:pt idx="6">
                  <c:v>40664</c:v>
                </c:pt>
                <c:pt idx="7">
                  <c:v>40695</c:v>
                </c:pt>
                <c:pt idx="8">
                  <c:v>40725</c:v>
                </c:pt>
                <c:pt idx="9">
                  <c:v>40756</c:v>
                </c:pt>
                <c:pt idx="10">
                  <c:v>40787</c:v>
                </c:pt>
                <c:pt idx="11">
                  <c:v>40817</c:v>
                </c:pt>
                <c:pt idx="12">
                  <c:v>40848</c:v>
                </c:pt>
                <c:pt idx="13">
                  <c:v>40878</c:v>
                </c:pt>
                <c:pt idx="14">
                  <c:v>40909</c:v>
                </c:pt>
                <c:pt idx="15">
                  <c:v>40940</c:v>
                </c:pt>
                <c:pt idx="16">
                  <c:v>40969</c:v>
                </c:pt>
                <c:pt idx="17">
                  <c:v>41000</c:v>
                </c:pt>
                <c:pt idx="18">
                  <c:v>41030</c:v>
                </c:pt>
                <c:pt idx="19">
                  <c:v>41061</c:v>
                </c:pt>
                <c:pt idx="20">
                  <c:v>41091</c:v>
                </c:pt>
                <c:pt idx="21">
                  <c:v>41122</c:v>
                </c:pt>
                <c:pt idx="22">
                  <c:v>41153</c:v>
                </c:pt>
                <c:pt idx="23">
                  <c:v>41183</c:v>
                </c:pt>
                <c:pt idx="24">
                  <c:v>41214</c:v>
                </c:pt>
                <c:pt idx="25">
                  <c:v>41244</c:v>
                </c:pt>
                <c:pt idx="26">
                  <c:v>41275</c:v>
                </c:pt>
                <c:pt idx="27">
                  <c:v>41306</c:v>
                </c:pt>
                <c:pt idx="28">
                  <c:v>41334</c:v>
                </c:pt>
                <c:pt idx="29">
                  <c:v>41365</c:v>
                </c:pt>
                <c:pt idx="30">
                  <c:v>41395</c:v>
                </c:pt>
                <c:pt idx="31">
                  <c:v>41426</c:v>
                </c:pt>
                <c:pt idx="32">
                  <c:v>41456</c:v>
                </c:pt>
                <c:pt idx="33">
                  <c:v>41487</c:v>
                </c:pt>
                <c:pt idx="34">
                  <c:v>41518</c:v>
                </c:pt>
                <c:pt idx="35">
                  <c:v>41548</c:v>
                </c:pt>
                <c:pt idx="36">
                  <c:v>41579</c:v>
                </c:pt>
                <c:pt idx="37">
                  <c:v>41609</c:v>
                </c:pt>
                <c:pt idx="38">
                  <c:v>41640</c:v>
                </c:pt>
                <c:pt idx="39">
                  <c:v>41671</c:v>
                </c:pt>
                <c:pt idx="40">
                  <c:v>41699</c:v>
                </c:pt>
                <c:pt idx="41">
                  <c:v>41730</c:v>
                </c:pt>
                <c:pt idx="42">
                  <c:v>41760</c:v>
                </c:pt>
                <c:pt idx="43">
                  <c:v>41791</c:v>
                </c:pt>
                <c:pt idx="44">
                  <c:v>41821</c:v>
                </c:pt>
                <c:pt idx="45">
                  <c:v>41852</c:v>
                </c:pt>
                <c:pt idx="46">
                  <c:v>41883</c:v>
                </c:pt>
                <c:pt idx="47">
                  <c:v>41913</c:v>
                </c:pt>
                <c:pt idx="48">
                  <c:v>41944</c:v>
                </c:pt>
                <c:pt idx="49">
                  <c:v>41974</c:v>
                </c:pt>
                <c:pt idx="50">
                  <c:v>42005</c:v>
                </c:pt>
                <c:pt idx="51">
                  <c:v>42036</c:v>
                </c:pt>
                <c:pt idx="52">
                  <c:v>42064</c:v>
                </c:pt>
                <c:pt idx="53">
                  <c:v>42095</c:v>
                </c:pt>
                <c:pt idx="54">
                  <c:v>42125</c:v>
                </c:pt>
                <c:pt idx="55">
                  <c:v>42156</c:v>
                </c:pt>
                <c:pt idx="56">
                  <c:v>42186</c:v>
                </c:pt>
                <c:pt idx="57">
                  <c:v>42217</c:v>
                </c:pt>
                <c:pt idx="58">
                  <c:v>42248</c:v>
                </c:pt>
                <c:pt idx="59">
                  <c:v>42278</c:v>
                </c:pt>
                <c:pt idx="60">
                  <c:v>42309</c:v>
                </c:pt>
                <c:pt idx="61">
                  <c:v>42339</c:v>
                </c:pt>
                <c:pt idx="62">
                  <c:v>42370</c:v>
                </c:pt>
                <c:pt idx="63">
                  <c:v>42401</c:v>
                </c:pt>
                <c:pt idx="64">
                  <c:v>42430</c:v>
                </c:pt>
                <c:pt idx="65">
                  <c:v>42461</c:v>
                </c:pt>
                <c:pt idx="66">
                  <c:v>42491</c:v>
                </c:pt>
                <c:pt idx="67">
                  <c:v>42522</c:v>
                </c:pt>
                <c:pt idx="68">
                  <c:v>42552</c:v>
                </c:pt>
                <c:pt idx="69">
                  <c:v>42583</c:v>
                </c:pt>
                <c:pt idx="70">
                  <c:v>42614</c:v>
                </c:pt>
                <c:pt idx="71">
                  <c:v>42644</c:v>
                </c:pt>
                <c:pt idx="72">
                  <c:v>42675</c:v>
                </c:pt>
                <c:pt idx="73">
                  <c:v>42705</c:v>
                </c:pt>
                <c:pt idx="74">
                  <c:v>42736</c:v>
                </c:pt>
                <c:pt idx="75">
                  <c:v>42767</c:v>
                </c:pt>
                <c:pt idx="76">
                  <c:v>42795</c:v>
                </c:pt>
                <c:pt idx="77">
                  <c:v>42826</c:v>
                </c:pt>
                <c:pt idx="78">
                  <c:v>42856</c:v>
                </c:pt>
                <c:pt idx="79">
                  <c:v>42887</c:v>
                </c:pt>
                <c:pt idx="80">
                  <c:v>42917</c:v>
                </c:pt>
                <c:pt idx="81">
                  <c:v>42948</c:v>
                </c:pt>
                <c:pt idx="82">
                  <c:v>42979</c:v>
                </c:pt>
                <c:pt idx="83">
                  <c:v>43009</c:v>
                </c:pt>
                <c:pt idx="84">
                  <c:v>43040</c:v>
                </c:pt>
                <c:pt idx="85">
                  <c:v>43070</c:v>
                </c:pt>
                <c:pt idx="86">
                  <c:v>43101</c:v>
                </c:pt>
                <c:pt idx="87">
                  <c:v>43132</c:v>
                </c:pt>
                <c:pt idx="88">
                  <c:v>43160</c:v>
                </c:pt>
                <c:pt idx="89">
                  <c:v>43191</c:v>
                </c:pt>
                <c:pt idx="90">
                  <c:v>43221</c:v>
                </c:pt>
                <c:pt idx="91">
                  <c:v>43252</c:v>
                </c:pt>
                <c:pt idx="92">
                  <c:v>43282</c:v>
                </c:pt>
                <c:pt idx="93">
                  <c:v>43313</c:v>
                </c:pt>
                <c:pt idx="94">
                  <c:v>43344</c:v>
                </c:pt>
                <c:pt idx="95">
                  <c:v>43374</c:v>
                </c:pt>
                <c:pt idx="96">
                  <c:v>43405</c:v>
                </c:pt>
                <c:pt idx="97">
                  <c:v>43435</c:v>
                </c:pt>
                <c:pt idx="98">
                  <c:v>43466</c:v>
                </c:pt>
                <c:pt idx="99">
                  <c:v>43497</c:v>
                </c:pt>
                <c:pt idx="100">
                  <c:v>43525</c:v>
                </c:pt>
                <c:pt idx="101">
                  <c:v>43556</c:v>
                </c:pt>
                <c:pt idx="102">
                  <c:v>43586</c:v>
                </c:pt>
                <c:pt idx="103">
                  <c:v>43617</c:v>
                </c:pt>
                <c:pt idx="104">
                  <c:v>43647</c:v>
                </c:pt>
                <c:pt idx="105">
                  <c:v>43678</c:v>
                </c:pt>
                <c:pt idx="106">
                  <c:v>43709</c:v>
                </c:pt>
                <c:pt idx="107">
                  <c:v>43739</c:v>
                </c:pt>
                <c:pt idx="108">
                  <c:v>43770</c:v>
                </c:pt>
                <c:pt idx="109">
                  <c:v>43800</c:v>
                </c:pt>
                <c:pt idx="110">
                  <c:v>43831</c:v>
                </c:pt>
                <c:pt idx="111">
                  <c:v>43862</c:v>
                </c:pt>
                <c:pt idx="112">
                  <c:v>43891</c:v>
                </c:pt>
                <c:pt idx="113">
                  <c:v>43922</c:v>
                </c:pt>
                <c:pt idx="114">
                  <c:v>43952</c:v>
                </c:pt>
                <c:pt idx="115">
                  <c:v>43983</c:v>
                </c:pt>
                <c:pt idx="116">
                  <c:v>44013</c:v>
                </c:pt>
                <c:pt idx="117">
                  <c:v>44044</c:v>
                </c:pt>
                <c:pt idx="118">
                  <c:v>44075</c:v>
                </c:pt>
                <c:pt idx="119">
                  <c:v>44105</c:v>
                </c:pt>
                <c:pt idx="120">
                  <c:v>44136</c:v>
                </c:pt>
                <c:pt idx="121">
                  <c:v>44166</c:v>
                </c:pt>
                <c:pt idx="122">
                  <c:v>44197</c:v>
                </c:pt>
                <c:pt idx="123">
                  <c:v>44228</c:v>
                </c:pt>
                <c:pt idx="124">
                  <c:v>44256</c:v>
                </c:pt>
                <c:pt idx="125">
                  <c:v>44287</c:v>
                </c:pt>
                <c:pt idx="126">
                  <c:v>44317</c:v>
                </c:pt>
                <c:pt idx="127">
                  <c:v>44348</c:v>
                </c:pt>
                <c:pt idx="128">
                  <c:v>44378</c:v>
                </c:pt>
                <c:pt idx="129">
                  <c:v>44409</c:v>
                </c:pt>
                <c:pt idx="130">
                  <c:v>44440</c:v>
                </c:pt>
                <c:pt idx="131">
                  <c:v>44470</c:v>
                </c:pt>
                <c:pt idx="132">
                  <c:v>44501</c:v>
                </c:pt>
                <c:pt idx="133">
                  <c:v>44531</c:v>
                </c:pt>
                <c:pt idx="134">
                  <c:v>44562</c:v>
                </c:pt>
                <c:pt idx="135">
                  <c:v>44593</c:v>
                </c:pt>
                <c:pt idx="136">
                  <c:v>44621</c:v>
                </c:pt>
                <c:pt idx="137">
                  <c:v>44652</c:v>
                </c:pt>
                <c:pt idx="138">
                  <c:v>44682</c:v>
                </c:pt>
                <c:pt idx="139">
                  <c:v>44713</c:v>
                </c:pt>
                <c:pt idx="140">
                  <c:v>44743</c:v>
                </c:pt>
                <c:pt idx="141">
                  <c:v>44774</c:v>
                </c:pt>
                <c:pt idx="142">
                  <c:v>44805</c:v>
                </c:pt>
                <c:pt idx="143">
                  <c:v>44835</c:v>
                </c:pt>
                <c:pt idx="144">
                  <c:v>44866</c:v>
                </c:pt>
                <c:pt idx="145">
                  <c:v>44896</c:v>
                </c:pt>
                <c:pt idx="146">
                  <c:v>44927</c:v>
                </c:pt>
                <c:pt idx="147">
                  <c:v>44958</c:v>
                </c:pt>
                <c:pt idx="148">
                  <c:v>44986</c:v>
                </c:pt>
                <c:pt idx="149">
                  <c:v>45017</c:v>
                </c:pt>
                <c:pt idx="150">
                  <c:v>45047</c:v>
                </c:pt>
                <c:pt idx="151">
                  <c:v>45078</c:v>
                </c:pt>
                <c:pt idx="152">
                  <c:v>45108</c:v>
                </c:pt>
                <c:pt idx="153">
                  <c:v>45139</c:v>
                </c:pt>
                <c:pt idx="154">
                  <c:v>45170</c:v>
                </c:pt>
                <c:pt idx="155">
                  <c:v>45200</c:v>
                </c:pt>
                <c:pt idx="156">
                  <c:v>45231</c:v>
                </c:pt>
                <c:pt idx="157">
                  <c:v>45261</c:v>
                </c:pt>
              </c:numCache>
            </c:numRef>
          </c:cat>
          <c:val>
            <c:numRef>
              <c:f>Inflation!$AE$769:$AE$926</c:f>
              <c:numCache>
                <c:formatCode>0.00%</c:formatCode>
                <c:ptCount val="158"/>
                <c:pt idx="0">
                  <c:v>2.5948103792415189E-2</c:v>
                </c:pt>
                <c:pt idx="1">
                  <c:v>2.7916251246261181E-2</c:v>
                </c:pt>
                <c:pt idx="2">
                  <c:v>2.4703557312252933E-2</c:v>
                </c:pt>
                <c:pt idx="3">
                  <c:v>3.2673267326732702E-2</c:v>
                </c:pt>
                <c:pt idx="4">
                  <c:v>3.8575667655786461E-2</c:v>
                </c:pt>
                <c:pt idx="5">
                  <c:v>4.0433925049309538E-2</c:v>
                </c:pt>
                <c:pt idx="6">
                  <c:v>4.1338582677165281E-2</c:v>
                </c:pt>
                <c:pt idx="7">
                  <c:v>4.4378698224851965E-2</c:v>
                </c:pt>
                <c:pt idx="8">
                  <c:v>4.4291338582677087E-2</c:v>
                </c:pt>
                <c:pt idx="9">
                  <c:v>4.4204322200392943E-2</c:v>
                </c:pt>
                <c:pt idx="10">
                  <c:v>4.5053868756121496E-2</c:v>
                </c:pt>
                <c:pt idx="11">
                  <c:v>3.707317073170735E-2</c:v>
                </c:pt>
                <c:pt idx="12">
                  <c:v>3.696498054474695E-2</c:v>
                </c:pt>
                <c:pt idx="13">
                  <c:v>3.2977691561590694E-2</c:v>
                </c:pt>
                <c:pt idx="14">
                  <c:v>3.0858244937319146E-2</c:v>
                </c:pt>
                <c:pt idx="15">
                  <c:v>2.7804410354745901E-2</c:v>
                </c:pt>
                <c:pt idx="16">
                  <c:v>2.2857142857142909E-2</c:v>
                </c:pt>
                <c:pt idx="17">
                  <c:v>2.0853080568720372E-2</c:v>
                </c:pt>
                <c:pt idx="18">
                  <c:v>1.7013232514177634E-2</c:v>
                </c:pt>
                <c:pt idx="19">
                  <c:v>1.3220018885741203E-2</c:v>
                </c:pt>
                <c:pt idx="20">
                  <c:v>1.0367577756833279E-2</c:v>
                </c:pt>
                <c:pt idx="21">
                  <c:v>1.1288805268109048E-2</c:v>
                </c:pt>
                <c:pt idx="22">
                  <c:v>1.4058106841611906E-2</c:v>
                </c:pt>
                <c:pt idx="23">
                  <c:v>1.8814675446848561E-2</c:v>
                </c:pt>
                <c:pt idx="24">
                  <c:v>1.6885553470919357E-2</c:v>
                </c:pt>
                <c:pt idx="25">
                  <c:v>1.7840375586854584E-2</c:v>
                </c:pt>
                <c:pt idx="26">
                  <c:v>1.6838166510757757E-2</c:v>
                </c:pt>
                <c:pt idx="27">
                  <c:v>1.585820895522394E-2</c:v>
                </c:pt>
                <c:pt idx="28">
                  <c:v>1.3966480446927276E-2</c:v>
                </c:pt>
                <c:pt idx="29">
                  <c:v>9.2850510677808806E-3</c:v>
                </c:pt>
                <c:pt idx="30">
                  <c:v>9.2936802973977439E-3</c:v>
                </c:pt>
                <c:pt idx="31">
                  <c:v>1.5843429636533068E-2</c:v>
                </c:pt>
                <c:pt idx="32">
                  <c:v>1.8656716417910557E-2</c:v>
                </c:pt>
                <c:pt idx="33">
                  <c:v>1.6744186046511622E-2</c:v>
                </c:pt>
                <c:pt idx="34">
                  <c:v>1.0166358595194103E-2</c:v>
                </c:pt>
                <c:pt idx="35">
                  <c:v>1.1080332409972415E-2</c:v>
                </c:pt>
                <c:pt idx="36">
                  <c:v>1.1992619926199266E-2</c:v>
                </c:pt>
                <c:pt idx="37">
                  <c:v>1.2915129151291449E-2</c:v>
                </c:pt>
                <c:pt idx="38">
                  <c:v>1.2879484820607079E-2</c:v>
                </c:pt>
                <c:pt idx="39">
                  <c:v>1.2855831037649201E-2</c:v>
                </c:pt>
                <c:pt idx="40">
                  <c:v>1.6528925619834656E-2</c:v>
                </c:pt>
                <c:pt idx="41">
                  <c:v>1.9319227230910618E-2</c:v>
                </c:pt>
                <c:pt idx="42">
                  <c:v>2.2099447513812098E-2</c:v>
                </c:pt>
                <c:pt idx="43">
                  <c:v>1.7431192660550598E-2</c:v>
                </c:pt>
                <c:pt idx="44">
                  <c:v>1.9230769230769162E-2</c:v>
                </c:pt>
                <c:pt idx="45">
                  <c:v>1.8298261665141702E-2</c:v>
                </c:pt>
                <c:pt idx="46">
                  <c:v>1.6468435498627532E-2</c:v>
                </c:pt>
                <c:pt idx="47">
                  <c:v>1.6438356164383494E-2</c:v>
                </c:pt>
                <c:pt idx="48">
                  <c:v>1.2762078395624377E-2</c:v>
                </c:pt>
                <c:pt idx="49">
                  <c:v>9.1074681238616506E-3</c:v>
                </c:pt>
                <c:pt idx="50">
                  <c:v>0</c:v>
                </c:pt>
                <c:pt idx="51">
                  <c:v>-6.346328195829587E-3</c:v>
                </c:pt>
                <c:pt idx="52">
                  <c:v>-8.1300813008130524E-3</c:v>
                </c:pt>
                <c:pt idx="53">
                  <c:v>-1.0830324909747335E-2</c:v>
                </c:pt>
                <c:pt idx="54">
                  <c:v>-9.009009009009028E-3</c:v>
                </c:pt>
                <c:pt idx="55">
                  <c:v>-5.4102795311091745E-3</c:v>
                </c:pt>
                <c:pt idx="56">
                  <c:v>-7.1877807726864473E-3</c:v>
                </c:pt>
                <c:pt idx="57">
                  <c:v>-8.9847259658580869E-3</c:v>
                </c:pt>
                <c:pt idx="58">
                  <c:v>-1.080108010801073E-2</c:v>
                </c:pt>
                <c:pt idx="59">
                  <c:v>-1.5274034141958714E-2</c:v>
                </c:pt>
                <c:pt idx="60">
                  <c:v>-1.2601260126012481E-2</c:v>
                </c:pt>
                <c:pt idx="61">
                  <c:v>-1.0830324909747335E-2</c:v>
                </c:pt>
                <c:pt idx="62">
                  <c:v>-9.0826521344222755E-4</c:v>
                </c:pt>
                <c:pt idx="63">
                  <c:v>9.1240875912412811E-4</c:v>
                </c:pt>
                <c:pt idx="64">
                  <c:v>-9.1074681238612065E-4</c:v>
                </c:pt>
                <c:pt idx="65">
                  <c:v>2.7372262773723843E-3</c:v>
                </c:pt>
                <c:pt idx="66">
                  <c:v>9.0909090909074841E-4</c:v>
                </c:pt>
                <c:pt idx="67">
                  <c:v>2.7198549410698547E-3</c:v>
                </c:pt>
                <c:pt idx="68">
                  <c:v>0</c:v>
                </c:pt>
                <c:pt idx="69">
                  <c:v>0</c:v>
                </c:pt>
                <c:pt idx="70">
                  <c:v>6.3694267515923553E-3</c:v>
                </c:pt>
                <c:pt idx="71">
                  <c:v>1.1861313868613221E-2</c:v>
                </c:pt>
                <c:pt idx="72">
                  <c:v>1.2762078395624377E-2</c:v>
                </c:pt>
                <c:pt idx="73">
                  <c:v>1.642335766423364E-2</c:v>
                </c:pt>
                <c:pt idx="74">
                  <c:v>1.7272727272727328E-2</c:v>
                </c:pt>
                <c:pt idx="75">
                  <c:v>2.0054694621695512E-2</c:v>
                </c:pt>
                <c:pt idx="76">
                  <c:v>2.1877848678213185E-2</c:v>
                </c:pt>
                <c:pt idx="77">
                  <c:v>2.4567788898999021E-2</c:v>
                </c:pt>
                <c:pt idx="78">
                  <c:v>2.1798365122615904E-2</c:v>
                </c:pt>
                <c:pt idx="79">
                  <c:v>1.8083182640144635E-2</c:v>
                </c:pt>
                <c:pt idx="80">
                  <c:v>1.9909502262443368E-2</c:v>
                </c:pt>
                <c:pt idx="81">
                  <c:v>2.5385312783318126E-2</c:v>
                </c:pt>
                <c:pt idx="82">
                  <c:v>2.6220614828209809E-2</c:v>
                </c:pt>
                <c:pt idx="83">
                  <c:v>2.7051397655545539E-2</c:v>
                </c:pt>
                <c:pt idx="84">
                  <c:v>2.8802880288028909E-2</c:v>
                </c:pt>
                <c:pt idx="85">
                  <c:v>2.6929982046678624E-2</c:v>
                </c:pt>
                <c:pt idx="86">
                  <c:v>2.5915996425379673E-2</c:v>
                </c:pt>
                <c:pt idx="87">
                  <c:v>2.8596961572832758E-2</c:v>
                </c:pt>
                <c:pt idx="88">
                  <c:v>2.8545941123996554E-2</c:v>
                </c:pt>
                <c:pt idx="89">
                  <c:v>2.5754884547069423E-2</c:v>
                </c:pt>
                <c:pt idx="90">
                  <c:v>3.0222222222222372E-2</c:v>
                </c:pt>
                <c:pt idx="91">
                  <c:v>3.2859680284191839E-2</c:v>
                </c:pt>
                <c:pt idx="92">
                  <c:v>3.2830523513753374E-2</c:v>
                </c:pt>
                <c:pt idx="93">
                  <c:v>3.0061892130857748E-2</c:v>
                </c:pt>
                <c:pt idx="94">
                  <c:v>2.8193832599118895E-2</c:v>
                </c:pt>
                <c:pt idx="95">
                  <c:v>3.1606672519754131E-2</c:v>
                </c:pt>
                <c:pt idx="96">
                  <c:v>2.7121609798775204E-2</c:v>
                </c:pt>
                <c:pt idx="97">
                  <c:v>2.6223776223776252E-2</c:v>
                </c:pt>
                <c:pt idx="98">
                  <c:v>1.9163763066202044E-2</c:v>
                </c:pt>
                <c:pt idx="99">
                  <c:v>1.8245004344048743E-2</c:v>
                </c:pt>
                <c:pt idx="100">
                  <c:v>1.9947961838681749E-2</c:v>
                </c:pt>
                <c:pt idx="101">
                  <c:v>2.3376623376623495E-2</c:v>
                </c:pt>
                <c:pt idx="102">
                  <c:v>2.070750647109576E-2</c:v>
                </c:pt>
                <c:pt idx="103">
                  <c:v>1.6337059329320835E-2</c:v>
                </c:pt>
                <c:pt idx="104">
                  <c:v>1.7182130584192379E-2</c:v>
                </c:pt>
                <c:pt idx="105">
                  <c:v>1.8025751072961338E-2</c:v>
                </c:pt>
                <c:pt idx="106">
                  <c:v>1.3710368466152589E-2</c:v>
                </c:pt>
                <c:pt idx="107">
                  <c:v>1.0212765957446912E-2</c:v>
                </c:pt>
                <c:pt idx="108">
                  <c:v>1.0221465076660996E-2</c:v>
                </c:pt>
                <c:pt idx="109">
                  <c:v>1.3628620102214661E-2</c:v>
                </c:pt>
                <c:pt idx="110">
                  <c:v>1.9658119658119588E-2</c:v>
                </c:pt>
                <c:pt idx="111">
                  <c:v>1.1945392491467421E-2</c:v>
                </c:pt>
                <c:pt idx="112">
                  <c:v>3.4013605442178019E-3</c:v>
                </c:pt>
                <c:pt idx="113">
                  <c:v>-1.3536379018612599E-2</c:v>
                </c:pt>
                <c:pt idx="114">
                  <c:v>-9.2983939137785132E-3</c:v>
                </c:pt>
                <c:pt idx="115">
                  <c:v>-5.9221658206429773E-3</c:v>
                </c:pt>
                <c:pt idx="116">
                  <c:v>-1.6891891891892552E-3</c:v>
                </c:pt>
                <c:pt idx="117">
                  <c:v>-1.6863406408093029E-3</c:v>
                </c:pt>
                <c:pt idx="118">
                  <c:v>3.3812341504648735E-3</c:v>
                </c:pt>
                <c:pt idx="119">
                  <c:v>5.8972198820557153E-3</c:v>
                </c:pt>
                <c:pt idx="120">
                  <c:v>7.5885328836424737E-3</c:v>
                </c:pt>
                <c:pt idx="121">
                  <c:v>8.4033613445377853E-3</c:v>
                </c:pt>
                <c:pt idx="122">
                  <c:v>1.6764459346185978E-2</c:v>
                </c:pt>
                <c:pt idx="123">
                  <c:v>2.8667790893760481E-2</c:v>
                </c:pt>
                <c:pt idx="124">
                  <c:v>4.067796610169494E-2</c:v>
                </c:pt>
                <c:pt idx="125">
                  <c:v>6.4322469982847297E-2</c:v>
                </c:pt>
                <c:pt idx="126">
                  <c:v>6.8259385665528916E-2</c:v>
                </c:pt>
                <c:pt idx="127">
                  <c:v>7.4042553191489446E-2</c:v>
                </c:pt>
                <c:pt idx="128">
                  <c:v>7.8282571912013488E-2</c:v>
                </c:pt>
                <c:pt idx="129">
                  <c:v>8.6233108108108247E-2</c:v>
                </c:pt>
                <c:pt idx="130">
                  <c:v>8.85425442291492E-2</c:v>
                </c:pt>
                <c:pt idx="131">
                  <c:v>8.9003350083751931E-2</c:v>
                </c:pt>
                <c:pt idx="132">
                  <c:v>0.10001673640167352</c:v>
                </c:pt>
                <c:pt idx="133">
                  <c:v>0.10203333333333342</c:v>
                </c:pt>
                <c:pt idx="134">
                  <c:v>0.10179719703215162</c:v>
                </c:pt>
                <c:pt idx="135">
                  <c:v>0.1055983606557378</c:v>
                </c:pt>
                <c:pt idx="136">
                  <c:v>0.1159201954397393</c:v>
                </c:pt>
                <c:pt idx="137">
                  <c:v>0.11082191780821926</c:v>
                </c:pt>
                <c:pt idx="138">
                  <c:v>0.10938498402555918</c:v>
                </c:pt>
                <c:pt idx="139">
                  <c:v>0.11058637083993661</c:v>
                </c:pt>
                <c:pt idx="140">
                  <c:v>9.6568931292319471E-2</c:v>
                </c:pt>
                <c:pt idx="141">
                  <c:v>8.6921701267397289E-2</c:v>
                </c:pt>
                <c:pt idx="142">
                  <c:v>8.4985682222738168E-2</c:v>
                </c:pt>
                <c:pt idx="143">
                  <c:v>8.1621509378821289E-2</c:v>
                </c:pt>
                <c:pt idx="144">
                  <c:v>7.3966162553631865E-2</c:v>
                </c:pt>
                <c:pt idx="145">
                  <c:v>6.4101206860046611E-2</c:v>
                </c:pt>
                <c:pt idx="146">
                  <c:v>5.7449419370286137E-2</c:v>
                </c:pt>
                <c:pt idx="147">
                  <c:v>4.7500426295381759E-2</c:v>
                </c:pt>
                <c:pt idx="148">
                  <c:v>2.708067282081239E-2</c:v>
                </c:pt>
                <c:pt idx="149">
                  <c:v>2.2995509709618167E-2</c:v>
                </c:pt>
                <c:pt idx="150">
                  <c:v>1.1994672234421744E-2</c:v>
                </c:pt>
                <c:pt idx="151">
                  <c:v>3.6530722908758584E-3</c:v>
                </c:pt>
                <c:pt idx="152">
                  <c:v>1.2628701855310176E-2</c:v>
                </c:pt>
                <c:pt idx="153">
                  <c:v>2.0337794819335064E-2</c:v>
                </c:pt>
                <c:pt idx="154">
                  <c:v>2.1435042192437415E-2</c:v>
                </c:pt>
                <c:pt idx="155">
                  <c:v>1.348122866894208E-2</c:v>
                </c:pt>
                <c:pt idx="156">
                  <c:v>#N/A</c:v>
                </c:pt>
                <c:pt idx="15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E4-4AB4-924C-A15FCEE5C9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216140447"/>
        <c:scaling>
          <c:orientation val="minMax"/>
          <c:max val="1"/>
        </c:scaling>
        <c:delete val="0"/>
        <c:axPos val="r"/>
        <c:numFmt formatCode="General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06876767"/>
        <c:crosses val="max"/>
        <c:crossBetween val="between"/>
      </c:valAx>
      <c:catAx>
        <c:axId val="1306876767"/>
        <c:scaling>
          <c:orientation val="minMax"/>
        </c:scaling>
        <c:delete val="1"/>
        <c:axPos val="b"/>
        <c:majorTickMark val="out"/>
        <c:minorTickMark val="none"/>
        <c:tickLblPos val="nextTo"/>
        <c:crossAx val="121614044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D2-4CCB-A3D8-AC342FC0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09844847"/>
        <c:axId val="1216139487"/>
      </c:areaChart>
      <c:lineChart>
        <c:grouping val="standard"/>
        <c:varyColors val="0"/>
        <c:ser>
          <c:idx val="0"/>
          <c:order val="0"/>
          <c:tx>
            <c:strRef>
              <c:f>Inflation!$AB$2</c:f>
              <c:strCache>
                <c:ptCount val="1"/>
                <c:pt idx="0">
                  <c:v>Trimmed Mean PCE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Inflation!$A$639:$A$926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Inflation!$AB$639:$AB$926</c:f>
              <c:numCache>
                <c:formatCode>0.00</c:formatCode>
                <c:ptCount val="288"/>
                <c:pt idx="0">
                  <c:v>2</c:v>
                </c:pt>
                <c:pt idx="1">
                  <c:v>2.12</c:v>
                </c:pt>
                <c:pt idx="2">
                  <c:v>2.2400000000000002</c:v>
                </c:pt>
                <c:pt idx="3">
                  <c:v>2.1800000000000002</c:v>
                </c:pt>
                <c:pt idx="4">
                  <c:v>2.2200000000000002</c:v>
                </c:pt>
                <c:pt idx="5">
                  <c:v>2.27</c:v>
                </c:pt>
                <c:pt idx="6">
                  <c:v>2.2999999999999998</c:v>
                </c:pt>
                <c:pt idx="7">
                  <c:v>2.3199999999999998</c:v>
                </c:pt>
                <c:pt idx="8">
                  <c:v>2.39</c:v>
                </c:pt>
                <c:pt idx="9">
                  <c:v>2.42</c:v>
                </c:pt>
                <c:pt idx="10">
                  <c:v>2.4500000000000002</c:v>
                </c:pt>
                <c:pt idx="11">
                  <c:v>2.5</c:v>
                </c:pt>
                <c:pt idx="12">
                  <c:v>2.52</c:v>
                </c:pt>
                <c:pt idx="13">
                  <c:v>2.54</c:v>
                </c:pt>
                <c:pt idx="14">
                  <c:v>2.5</c:v>
                </c:pt>
                <c:pt idx="15">
                  <c:v>2.59</c:v>
                </c:pt>
                <c:pt idx="16">
                  <c:v>2.59</c:v>
                </c:pt>
                <c:pt idx="17">
                  <c:v>2.67</c:v>
                </c:pt>
                <c:pt idx="18">
                  <c:v>2.63</c:v>
                </c:pt>
                <c:pt idx="19">
                  <c:v>2.65</c:v>
                </c:pt>
                <c:pt idx="20">
                  <c:v>2.5299999999999998</c:v>
                </c:pt>
                <c:pt idx="21">
                  <c:v>2.5</c:v>
                </c:pt>
                <c:pt idx="22">
                  <c:v>2.4700000000000002</c:v>
                </c:pt>
                <c:pt idx="23">
                  <c:v>2.37</c:v>
                </c:pt>
                <c:pt idx="24">
                  <c:v>2.2400000000000002</c:v>
                </c:pt>
                <c:pt idx="25">
                  <c:v>2.23</c:v>
                </c:pt>
                <c:pt idx="26">
                  <c:v>2.2200000000000002</c:v>
                </c:pt>
                <c:pt idx="27">
                  <c:v>2.17</c:v>
                </c:pt>
                <c:pt idx="28">
                  <c:v>2.11</c:v>
                </c:pt>
                <c:pt idx="29">
                  <c:v>2.0099999999999998</c:v>
                </c:pt>
                <c:pt idx="30">
                  <c:v>2.0299999999999998</c:v>
                </c:pt>
                <c:pt idx="31">
                  <c:v>2</c:v>
                </c:pt>
                <c:pt idx="32">
                  <c:v>2.0699999999999998</c:v>
                </c:pt>
                <c:pt idx="33">
                  <c:v>2.08</c:v>
                </c:pt>
                <c:pt idx="34">
                  <c:v>2.06</c:v>
                </c:pt>
                <c:pt idx="35">
                  <c:v>2.1</c:v>
                </c:pt>
                <c:pt idx="36">
                  <c:v>2.08</c:v>
                </c:pt>
                <c:pt idx="37">
                  <c:v>2.0099999999999998</c:v>
                </c:pt>
                <c:pt idx="38">
                  <c:v>1.99</c:v>
                </c:pt>
                <c:pt idx="39">
                  <c:v>1.84</c:v>
                </c:pt>
                <c:pt idx="40">
                  <c:v>1.82</c:v>
                </c:pt>
                <c:pt idx="41">
                  <c:v>1.74</c:v>
                </c:pt>
                <c:pt idx="42">
                  <c:v>1.77</c:v>
                </c:pt>
                <c:pt idx="43">
                  <c:v>1.8</c:v>
                </c:pt>
                <c:pt idx="44">
                  <c:v>1.75</c:v>
                </c:pt>
                <c:pt idx="45">
                  <c:v>1.73</c:v>
                </c:pt>
                <c:pt idx="46">
                  <c:v>1.74</c:v>
                </c:pt>
                <c:pt idx="47">
                  <c:v>1.74</c:v>
                </c:pt>
                <c:pt idx="48">
                  <c:v>1.81</c:v>
                </c:pt>
                <c:pt idx="49">
                  <c:v>1.88</c:v>
                </c:pt>
                <c:pt idx="50">
                  <c:v>1.88</c:v>
                </c:pt>
                <c:pt idx="51">
                  <c:v>2.11</c:v>
                </c:pt>
                <c:pt idx="52">
                  <c:v>2.21</c:v>
                </c:pt>
                <c:pt idx="53">
                  <c:v>2.33</c:v>
                </c:pt>
                <c:pt idx="54">
                  <c:v>2.2599999999999998</c:v>
                </c:pt>
                <c:pt idx="55">
                  <c:v>2.2000000000000002</c:v>
                </c:pt>
                <c:pt idx="56">
                  <c:v>2.19</c:v>
                </c:pt>
                <c:pt idx="57">
                  <c:v>2.21</c:v>
                </c:pt>
                <c:pt idx="58">
                  <c:v>2.25</c:v>
                </c:pt>
                <c:pt idx="59">
                  <c:v>2.27</c:v>
                </c:pt>
                <c:pt idx="60">
                  <c:v>2.37</c:v>
                </c:pt>
                <c:pt idx="61">
                  <c:v>2.38</c:v>
                </c:pt>
                <c:pt idx="62">
                  <c:v>2.39</c:v>
                </c:pt>
                <c:pt idx="63">
                  <c:v>2.29</c:v>
                </c:pt>
                <c:pt idx="64">
                  <c:v>2.25</c:v>
                </c:pt>
                <c:pt idx="65">
                  <c:v>2.1800000000000002</c:v>
                </c:pt>
                <c:pt idx="66">
                  <c:v>2.25</c:v>
                </c:pt>
                <c:pt idx="67">
                  <c:v>2.29</c:v>
                </c:pt>
                <c:pt idx="68">
                  <c:v>2.39</c:v>
                </c:pt>
                <c:pt idx="69">
                  <c:v>2.4500000000000002</c:v>
                </c:pt>
                <c:pt idx="70">
                  <c:v>2.46</c:v>
                </c:pt>
                <c:pt idx="71">
                  <c:v>2.44</c:v>
                </c:pt>
                <c:pt idx="72">
                  <c:v>2.39</c:v>
                </c:pt>
                <c:pt idx="73">
                  <c:v>2.34</c:v>
                </c:pt>
                <c:pt idx="74">
                  <c:v>2.38</c:v>
                </c:pt>
                <c:pt idx="75">
                  <c:v>2.4700000000000002</c:v>
                </c:pt>
                <c:pt idx="76">
                  <c:v>2.61</c:v>
                </c:pt>
                <c:pt idx="77">
                  <c:v>2.78</c:v>
                </c:pt>
                <c:pt idx="78">
                  <c:v>2.79</c:v>
                </c:pt>
                <c:pt idx="79">
                  <c:v>2.86</c:v>
                </c:pt>
                <c:pt idx="80">
                  <c:v>2.78</c:v>
                </c:pt>
                <c:pt idx="81">
                  <c:v>2.71</c:v>
                </c:pt>
                <c:pt idx="82">
                  <c:v>2.57</c:v>
                </c:pt>
                <c:pt idx="83">
                  <c:v>2.67</c:v>
                </c:pt>
                <c:pt idx="84">
                  <c:v>2.71</c:v>
                </c:pt>
                <c:pt idx="85">
                  <c:v>2.82</c:v>
                </c:pt>
                <c:pt idx="86">
                  <c:v>2.77</c:v>
                </c:pt>
                <c:pt idx="87">
                  <c:v>2.66</c:v>
                </c:pt>
                <c:pt idx="88">
                  <c:v>2.5099999999999998</c:v>
                </c:pt>
                <c:pt idx="89">
                  <c:v>2.41</c:v>
                </c:pt>
                <c:pt idx="90">
                  <c:v>2.35</c:v>
                </c:pt>
                <c:pt idx="91">
                  <c:v>2.2999999999999998</c:v>
                </c:pt>
                <c:pt idx="92">
                  <c:v>2.38</c:v>
                </c:pt>
                <c:pt idx="93">
                  <c:v>2.4700000000000002</c:v>
                </c:pt>
                <c:pt idx="94">
                  <c:v>2.66</c:v>
                </c:pt>
                <c:pt idx="95">
                  <c:v>2.63</c:v>
                </c:pt>
                <c:pt idx="96">
                  <c:v>2.56</c:v>
                </c:pt>
                <c:pt idx="97">
                  <c:v>2.44</c:v>
                </c:pt>
                <c:pt idx="98">
                  <c:v>2.48</c:v>
                </c:pt>
                <c:pt idx="99">
                  <c:v>2.5099999999999998</c:v>
                </c:pt>
                <c:pt idx="100">
                  <c:v>2.5499999999999998</c:v>
                </c:pt>
                <c:pt idx="101">
                  <c:v>2.6</c:v>
                </c:pt>
                <c:pt idx="102">
                  <c:v>2.69</c:v>
                </c:pt>
                <c:pt idx="103">
                  <c:v>2.64</c:v>
                </c:pt>
                <c:pt idx="104">
                  <c:v>2.57</c:v>
                </c:pt>
                <c:pt idx="105">
                  <c:v>2.44</c:v>
                </c:pt>
                <c:pt idx="106">
                  <c:v>2.35</c:v>
                </c:pt>
                <c:pt idx="107">
                  <c:v>2.21</c:v>
                </c:pt>
                <c:pt idx="108">
                  <c:v>2.2200000000000002</c:v>
                </c:pt>
                <c:pt idx="109">
                  <c:v>2.2200000000000002</c:v>
                </c:pt>
                <c:pt idx="110">
                  <c:v>2.14</c:v>
                </c:pt>
                <c:pt idx="111">
                  <c:v>2.08</c:v>
                </c:pt>
                <c:pt idx="112">
                  <c:v>1.99</c:v>
                </c:pt>
                <c:pt idx="113">
                  <c:v>1.86</c:v>
                </c:pt>
                <c:pt idx="114">
                  <c:v>1.62</c:v>
                </c:pt>
                <c:pt idx="115">
                  <c:v>1.6</c:v>
                </c:pt>
                <c:pt idx="116">
                  <c:v>1.48</c:v>
                </c:pt>
                <c:pt idx="117">
                  <c:v>1.5</c:v>
                </c:pt>
                <c:pt idx="118">
                  <c:v>1.38</c:v>
                </c:pt>
                <c:pt idx="119">
                  <c:v>1.36</c:v>
                </c:pt>
                <c:pt idx="120">
                  <c:v>1.2</c:v>
                </c:pt>
                <c:pt idx="121">
                  <c:v>1.08</c:v>
                </c:pt>
                <c:pt idx="122">
                  <c:v>1</c:v>
                </c:pt>
                <c:pt idx="123">
                  <c:v>0.93</c:v>
                </c:pt>
                <c:pt idx="124">
                  <c:v>0.88</c:v>
                </c:pt>
                <c:pt idx="125">
                  <c:v>0.81</c:v>
                </c:pt>
                <c:pt idx="126">
                  <c:v>0.85</c:v>
                </c:pt>
                <c:pt idx="127">
                  <c:v>0.85</c:v>
                </c:pt>
                <c:pt idx="128">
                  <c:v>0.88</c:v>
                </c:pt>
                <c:pt idx="129">
                  <c:v>0.8</c:v>
                </c:pt>
                <c:pt idx="130">
                  <c:v>0.85</c:v>
                </c:pt>
                <c:pt idx="131">
                  <c:v>0.89</c:v>
                </c:pt>
                <c:pt idx="132">
                  <c:v>1</c:v>
                </c:pt>
                <c:pt idx="133">
                  <c:v>1.1599999999999999</c:v>
                </c:pt>
                <c:pt idx="134">
                  <c:v>1.29</c:v>
                </c:pt>
                <c:pt idx="135">
                  <c:v>1.42</c:v>
                </c:pt>
                <c:pt idx="136">
                  <c:v>1.56</c:v>
                </c:pt>
                <c:pt idx="137">
                  <c:v>1.62</c:v>
                </c:pt>
                <c:pt idx="138">
                  <c:v>1.7</c:v>
                </c:pt>
                <c:pt idx="139">
                  <c:v>1.79</c:v>
                </c:pt>
                <c:pt idx="140">
                  <c:v>1.84</c:v>
                </c:pt>
                <c:pt idx="141">
                  <c:v>1.93</c:v>
                </c:pt>
                <c:pt idx="142">
                  <c:v>1.99</c:v>
                </c:pt>
                <c:pt idx="143">
                  <c:v>2.06</c:v>
                </c:pt>
                <c:pt idx="144">
                  <c:v>2.09</c:v>
                </c:pt>
                <c:pt idx="145">
                  <c:v>2.02</c:v>
                </c:pt>
                <c:pt idx="146">
                  <c:v>2.02</c:v>
                </c:pt>
                <c:pt idx="147">
                  <c:v>1.99</c:v>
                </c:pt>
                <c:pt idx="148">
                  <c:v>1.92</c:v>
                </c:pt>
                <c:pt idx="149">
                  <c:v>1.9</c:v>
                </c:pt>
                <c:pt idx="150">
                  <c:v>1.84</c:v>
                </c:pt>
                <c:pt idx="151">
                  <c:v>1.79</c:v>
                </c:pt>
                <c:pt idx="152">
                  <c:v>1.79</c:v>
                </c:pt>
                <c:pt idx="153">
                  <c:v>1.78</c:v>
                </c:pt>
                <c:pt idx="154">
                  <c:v>1.7</c:v>
                </c:pt>
                <c:pt idx="155">
                  <c:v>1.62</c:v>
                </c:pt>
                <c:pt idx="156">
                  <c:v>1.57</c:v>
                </c:pt>
                <c:pt idx="157">
                  <c:v>1.61</c:v>
                </c:pt>
                <c:pt idx="158">
                  <c:v>1.56</c:v>
                </c:pt>
                <c:pt idx="159">
                  <c:v>1.42</c:v>
                </c:pt>
                <c:pt idx="160">
                  <c:v>1.4</c:v>
                </c:pt>
                <c:pt idx="161">
                  <c:v>1.5</c:v>
                </c:pt>
                <c:pt idx="162">
                  <c:v>1.55</c:v>
                </c:pt>
                <c:pt idx="163">
                  <c:v>1.54</c:v>
                </c:pt>
                <c:pt idx="164">
                  <c:v>1.52</c:v>
                </c:pt>
                <c:pt idx="165">
                  <c:v>1.52</c:v>
                </c:pt>
                <c:pt idx="166">
                  <c:v>1.59</c:v>
                </c:pt>
                <c:pt idx="167">
                  <c:v>1.65</c:v>
                </c:pt>
                <c:pt idx="168">
                  <c:v>1.63</c:v>
                </c:pt>
                <c:pt idx="169">
                  <c:v>1.57</c:v>
                </c:pt>
                <c:pt idx="170">
                  <c:v>1.59</c:v>
                </c:pt>
                <c:pt idx="171">
                  <c:v>1.72</c:v>
                </c:pt>
                <c:pt idx="172">
                  <c:v>1.77</c:v>
                </c:pt>
                <c:pt idx="173">
                  <c:v>1.72</c:v>
                </c:pt>
                <c:pt idx="174">
                  <c:v>1.73</c:v>
                </c:pt>
                <c:pt idx="175">
                  <c:v>1.69</c:v>
                </c:pt>
                <c:pt idx="176">
                  <c:v>1.7</c:v>
                </c:pt>
                <c:pt idx="177">
                  <c:v>1.68</c:v>
                </c:pt>
                <c:pt idx="178">
                  <c:v>1.64</c:v>
                </c:pt>
                <c:pt idx="179">
                  <c:v>1.6</c:v>
                </c:pt>
                <c:pt idx="180">
                  <c:v>1.49</c:v>
                </c:pt>
                <c:pt idx="181">
                  <c:v>1.55</c:v>
                </c:pt>
                <c:pt idx="182">
                  <c:v>1.55</c:v>
                </c:pt>
                <c:pt idx="183">
                  <c:v>1.57</c:v>
                </c:pt>
                <c:pt idx="184">
                  <c:v>1.55</c:v>
                </c:pt>
                <c:pt idx="185">
                  <c:v>1.57</c:v>
                </c:pt>
                <c:pt idx="186">
                  <c:v>1.55</c:v>
                </c:pt>
                <c:pt idx="187">
                  <c:v>1.57</c:v>
                </c:pt>
                <c:pt idx="188">
                  <c:v>1.56</c:v>
                </c:pt>
                <c:pt idx="189">
                  <c:v>1.52</c:v>
                </c:pt>
                <c:pt idx="190">
                  <c:v>1.49</c:v>
                </c:pt>
                <c:pt idx="191">
                  <c:v>1.48</c:v>
                </c:pt>
                <c:pt idx="192">
                  <c:v>1.6</c:v>
                </c:pt>
                <c:pt idx="193">
                  <c:v>1.59</c:v>
                </c:pt>
                <c:pt idx="194">
                  <c:v>1.62</c:v>
                </c:pt>
                <c:pt idx="195">
                  <c:v>1.64</c:v>
                </c:pt>
                <c:pt idx="196">
                  <c:v>1.68</c:v>
                </c:pt>
                <c:pt idx="197">
                  <c:v>1.66</c:v>
                </c:pt>
                <c:pt idx="198">
                  <c:v>1.67</c:v>
                </c:pt>
                <c:pt idx="199">
                  <c:v>1.71</c:v>
                </c:pt>
                <c:pt idx="200">
                  <c:v>1.74</c:v>
                </c:pt>
                <c:pt idx="201">
                  <c:v>1.82</c:v>
                </c:pt>
                <c:pt idx="202">
                  <c:v>1.85</c:v>
                </c:pt>
                <c:pt idx="203">
                  <c:v>1.91</c:v>
                </c:pt>
                <c:pt idx="204">
                  <c:v>1.95</c:v>
                </c:pt>
                <c:pt idx="205">
                  <c:v>1.91</c:v>
                </c:pt>
                <c:pt idx="206">
                  <c:v>1.84</c:v>
                </c:pt>
                <c:pt idx="207">
                  <c:v>1.78</c:v>
                </c:pt>
                <c:pt idx="208">
                  <c:v>1.68</c:v>
                </c:pt>
                <c:pt idx="209">
                  <c:v>1.68</c:v>
                </c:pt>
                <c:pt idx="210">
                  <c:v>1.64</c:v>
                </c:pt>
                <c:pt idx="211">
                  <c:v>1.64</c:v>
                </c:pt>
                <c:pt idx="212">
                  <c:v>1.63</c:v>
                </c:pt>
                <c:pt idx="213">
                  <c:v>1.63</c:v>
                </c:pt>
                <c:pt idx="214">
                  <c:v>1.65</c:v>
                </c:pt>
                <c:pt idx="215">
                  <c:v>1.66</c:v>
                </c:pt>
                <c:pt idx="216">
                  <c:v>1.72</c:v>
                </c:pt>
                <c:pt idx="217">
                  <c:v>1.75</c:v>
                </c:pt>
                <c:pt idx="218">
                  <c:v>1.79</c:v>
                </c:pt>
                <c:pt idx="219">
                  <c:v>1.76</c:v>
                </c:pt>
                <c:pt idx="220">
                  <c:v>1.86</c:v>
                </c:pt>
                <c:pt idx="221">
                  <c:v>1.9</c:v>
                </c:pt>
                <c:pt idx="222">
                  <c:v>1.93</c:v>
                </c:pt>
                <c:pt idx="223">
                  <c:v>1.93</c:v>
                </c:pt>
                <c:pt idx="224">
                  <c:v>1.94</c:v>
                </c:pt>
                <c:pt idx="225">
                  <c:v>1.96</c:v>
                </c:pt>
                <c:pt idx="226">
                  <c:v>2.02</c:v>
                </c:pt>
                <c:pt idx="227">
                  <c:v>2.02</c:v>
                </c:pt>
                <c:pt idx="228">
                  <c:v>1.92</c:v>
                </c:pt>
                <c:pt idx="229">
                  <c:v>1.96</c:v>
                </c:pt>
                <c:pt idx="230">
                  <c:v>2</c:v>
                </c:pt>
                <c:pt idx="231">
                  <c:v>2.12</c:v>
                </c:pt>
                <c:pt idx="232">
                  <c:v>2.02</c:v>
                </c:pt>
                <c:pt idx="233">
                  <c:v>2</c:v>
                </c:pt>
                <c:pt idx="234">
                  <c:v>2.04</c:v>
                </c:pt>
                <c:pt idx="235">
                  <c:v>2.04</c:v>
                </c:pt>
                <c:pt idx="236">
                  <c:v>2.0099999999999998</c:v>
                </c:pt>
                <c:pt idx="237">
                  <c:v>2.02</c:v>
                </c:pt>
                <c:pt idx="238">
                  <c:v>1.93</c:v>
                </c:pt>
                <c:pt idx="239">
                  <c:v>1.93</c:v>
                </c:pt>
                <c:pt idx="240">
                  <c:v>1.98</c:v>
                </c:pt>
                <c:pt idx="241">
                  <c:v>1.98</c:v>
                </c:pt>
                <c:pt idx="242">
                  <c:v>1.88</c:v>
                </c:pt>
                <c:pt idx="243">
                  <c:v>1.74</c:v>
                </c:pt>
                <c:pt idx="244">
                  <c:v>1.82</c:v>
                </c:pt>
                <c:pt idx="245">
                  <c:v>1.8</c:v>
                </c:pt>
                <c:pt idx="246">
                  <c:v>1.85</c:v>
                </c:pt>
                <c:pt idx="247">
                  <c:v>1.87</c:v>
                </c:pt>
                <c:pt idx="248">
                  <c:v>1.86</c:v>
                </c:pt>
                <c:pt idx="249">
                  <c:v>1.79</c:v>
                </c:pt>
                <c:pt idx="250">
                  <c:v>1.72</c:v>
                </c:pt>
                <c:pt idx="251">
                  <c:v>1.71</c:v>
                </c:pt>
                <c:pt idx="252">
                  <c:v>1.7</c:v>
                </c:pt>
                <c:pt idx="253">
                  <c:v>1.71</c:v>
                </c:pt>
                <c:pt idx="254">
                  <c:v>1.81</c:v>
                </c:pt>
                <c:pt idx="255">
                  <c:v>1.94</c:v>
                </c:pt>
                <c:pt idx="256">
                  <c:v>2.0099999999999998</c:v>
                </c:pt>
                <c:pt idx="257">
                  <c:v>2.08</c:v>
                </c:pt>
                <c:pt idx="258">
                  <c:v>2.13</c:v>
                </c:pt>
                <c:pt idx="259">
                  <c:v>2.2200000000000002</c:v>
                </c:pt>
                <c:pt idx="260">
                  <c:v>2.46</c:v>
                </c:pt>
                <c:pt idx="261">
                  <c:v>2.75</c:v>
                </c:pt>
                <c:pt idx="262">
                  <c:v>3.06</c:v>
                </c:pt>
                <c:pt idx="263">
                  <c:v>3.33</c:v>
                </c:pt>
                <c:pt idx="264">
                  <c:v>3.71</c:v>
                </c:pt>
                <c:pt idx="265">
                  <c:v>3.91</c:v>
                </c:pt>
                <c:pt idx="266">
                  <c:v>3.99</c:v>
                </c:pt>
                <c:pt idx="267">
                  <c:v>4.03</c:v>
                </c:pt>
                <c:pt idx="268">
                  <c:v>4.24</c:v>
                </c:pt>
                <c:pt idx="269">
                  <c:v>4.63</c:v>
                </c:pt>
                <c:pt idx="270">
                  <c:v>4.72</c:v>
                </c:pt>
                <c:pt idx="271">
                  <c:v>4.95</c:v>
                </c:pt>
                <c:pt idx="272">
                  <c:v>4.9800000000000004</c:v>
                </c:pt>
                <c:pt idx="273">
                  <c:v>4.9800000000000004</c:v>
                </c:pt>
                <c:pt idx="274">
                  <c:v>4.92</c:v>
                </c:pt>
                <c:pt idx="275">
                  <c:v>4.8600000000000003</c:v>
                </c:pt>
                <c:pt idx="276">
                  <c:v>4.78</c:v>
                </c:pt>
                <c:pt idx="277">
                  <c:v>4.75</c:v>
                </c:pt>
                <c:pt idx="278">
                  <c:v>4.82</c:v>
                </c:pt>
                <c:pt idx="279">
                  <c:v>4.88</c:v>
                </c:pt>
                <c:pt idx="280">
                  <c:v>4.7</c:v>
                </c:pt>
                <c:pt idx="281">
                  <c:v>4.33</c:v>
                </c:pt>
                <c:pt idx="282">
                  <c:v>4.18</c:v>
                </c:pt>
                <c:pt idx="283">
                  <c:v>3.89</c:v>
                </c:pt>
                <c:pt idx="284">
                  <c:v>3.8</c:v>
                </c:pt>
                <c:pt idx="285">
                  <c:v>3.6</c:v>
                </c:pt>
                <c:pt idx="286">
                  <c:v>3.41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D2-4CCB-A3D8-AC342FC020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216139487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09844847"/>
        <c:crosses val="max"/>
        <c:crossBetween val="between"/>
      </c:valAx>
      <c:catAx>
        <c:axId val="1209844847"/>
        <c:scaling>
          <c:orientation val="minMax"/>
        </c:scaling>
        <c:delete val="1"/>
        <c:axPos val="b"/>
        <c:majorTickMark val="out"/>
        <c:minorTickMark val="none"/>
        <c:tickLblPos val="nextTo"/>
        <c:crossAx val="121613948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2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Recession!$B$806:$B$913</c:f>
              <c:numCache>
                <c:formatCode>General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E2-49B3-9F47-97A2A6CAE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375680"/>
        <c:axId val="2129526400"/>
      </c:areaChart>
      <c:lineChart>
        <c:grouping val="standard"/>
        <c:varyColors val="0"/>
        <c:ser>
          <c:idx val="0"/>
          <c:order val="0"/>
          <c:tx>
            <c:strRef>
              <c:f>Inflation!$H$2</c:f>
              <c:strCache>
                <c:ptCount val="1"/>
                <c:pt idx="0">
                  <c:v>Core-CPI 3M Annualized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Inflation!$A$819:$A$926</c:f>
              <c:numCache>
                <c:formatCode>[$-416]mmm\-yy;@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Inflation!$H$819:$H$926</c:f>
              <c:numCache>
                <c:formatCode>0.00%</c:formatCode>
                <c:ptCount val="108"/>
                <c:pt idx="0">
                  <c:v>1.035970667460262E-2</c:v>
                </c:pt>
                <c:pt idx="1">
                  <c:v>1.1916064257930792E-2</c:v>
                </c:pt>
                <c:pt idx="2">
                  <c:v>1.9521019066112366E-2</c:v>
                </c:pt>
                <c:pt idx="3">
                  <c:v>2.5550227282661098E-2</c:v>
                </c:pt>
                <c:pt idx="4">
                  <c:v>2.5197029541297766E-2</c:v>
                </c:pt>
                <c:pt idx="5">
                  <c:v>2.1710220442821893E-2</c:v>
                </c:pt>
                <c:pt idx="6">
                  <c:v>2.0169912028828563E-2</c:v>
                </c:pt>
                <c:pt idx="7">
                  <c:v>1.8657288406515704E-2</c:v>
                </c:pt>
                <c:pt idx="8">
                  <c:v>2.0654571739609828E-2</c:v>
                </c:pt>
                <c:pt idx="9">
                  <c:v>1.9806435733428884E-2</c:v>
                </c:pt>
                <c:pt idx="10">
                  <c:v>2.3412326697968666E-2</c:v>
                </c:pt>
                <c:pt idx="11">
                  <c:v>2.0203588035898612E-2</c:v>
                </c:pt>
                <c:pt idx="12">
                  <c:v>1.9446485514878376E-2</c:v>
                </c:pt>
                <c:pt idx="13">
                  <c:v>2.0747896490213691E-2</c:v>
                </c:pt>
                <c:pt idx="14">
                  <c:v>2.2302376870046103E-2</c:v>
                </c:pt>
                <c:pt idx="15">
                  <c:v>2.6006466982752663E-2</c:v>
                </c:pt>
                <c:pt idx="16">
                  <c:v>2.6450738670936502E-2</c:v>
                </c:pt>
                <c:pt idx="17">
                  <c:v>2.640751261275831E-2</c:v>
                </c:pt>
                <c:pt idx="18">
                  <c:v>2.0699811057971473E-2</c:v>
                </c:pt>
                <c:pt idx="19">
                  <c:v>2.0779905996456627E-2</c:v>
                </c:pt>
                <c:pt idx="20">
                  <c:v>2.1003765343028391E-2</c:v>
                </c:pt>
                <c:pt idx="21">
                  <c:v>2.1156150077377589E-2</c:v>
                </c:pt>
                <c:pt idx="22">
                  <c:v>1.7011573623902265E-2</c:v>
                </c:pt>
                <c:pt idx="23">
                  <c:v>1.7303628499400148E-2</c:v>
                </c:pt>
                <c:pt idx="24">
                  <c:v>2.1236092970606357E-2</c:v>
                </c:pt>
                <c:pt idx="25">
                  <c:v>2.4273572758203521E-2</c:v>
                </c:pt>
                <c:pt idx="26">
                  <c:v>1.637439597334911E-2</c:v>
                </c:pt>
                <c:pt idx="27">
                  <c:v>1.2130561027013265E-2</c:v>
                </c:pt>
                <c:pt idx="28">
                  <c:v>6.8825386373507769E-3</c:v>
                </c:pt>
                <c:pt idx="29">
                  <c:v>1.2770347426749318E-2</c:v>
                </c:pt>
                <c:pt idx="30">
                  <c:v>1.2056859247372209E-2</c:v>
                </c:pt>
                <c:pt idx="31">
                  <c:v>1.7555400987562031E-2</c:v>
                </c:pt>
                <c:pt idx="32">
                  <c:v>1.6915667466266271E-2</c:v>
                </c:pt>
                <c:pt idx="33">
                  <c:v>2.4415121163140263E-2</c:v>
                </c:pt>
                <c:pt idx="34">
                  <c:v>2.0259910354643473E-2</c:v>
                </c:pt>
                <c:pt idx="35">
                  <c:v>2.4193388145119066E-2</c:v>
                </c:pt>
                <c:pt idx="36">
                  <c:v>2.6421445815090649E-2</c:v>
                </c:pt>
                <c:pt idx="37">
                  <c:v>2.9792562119533628E-2</c:v>
                </c:pt>
                <c:pt idx="38">
                  <c:v>3.0231462780514917E-2</c:v>
                </c:pt>
                <c:pt idx="39">
                  <c:v>2.2309916232908122E-2</c:v>
                </c:pt>
                <c:pt idx="40">
                  <c:v>2.2390453081075457E-2</c:v>
                </c:pt>
                <c:pt idx="41">
                  <c:v>1.758164217298841E-2</c:v>
                </c:pt>
                <c:pt idx="42">
                  <c:v>1.6640221716952119E-2</c:v>
                </c:pt>
                <c:pt idx="43">
                  <c:v>1.1593322070116763E-2</c:v>
                </c:pt>
                <c:pt idx="44">
                  <c:v>1.5040718433981581E-2</c:v>
                </c:pt>
                <c:pt idx="45">
                  <c:v>1.8878200242610887E-2</c:v>
                </c:pt>
                <c:pt idx="46">
                  <c:v>2.396233952542115E-2</c:v>
                </c:pt>
                <c:pt idx="47">
                  <c:v>2.6184623613001001E-2</c:v>
                </c:pt>
                <c:pt idx="48">
                  <c:v>2.7267412551575276E-2</c:v>
                </c:pt>
                <c:pt idx="49">
                  <c:v>2.5049165873441304E-2</c:v>
                </c:pt>
                <c:pt idx="50">
                  <c:v>2.2629623782481012E-2</c:v>
                </c:pt>
                <c:pt idx="51">
                  <c:v>1.9761485428634096E-2</c:v>
                </c:pt>
                <c:pt idx="52">
                  <c:v>1.8923464057619022E-2</c:v>
                </c:pt>
                <c:pt idx="53">
                  <c:v>2.0185709753958392E-2</c:v>
                </c:pt>
                <c:pt idx="54">
                  <c:v>2.038020142770236E-2</c:v>
                </c:pt>
                <c:pt idx="55">
                  <c:v>2.5428581798347949E-2</c:v>
                </c:pt>
                <c:pt idx="56">
                  <c:v>2.3783947096551294E-2</c:v>
                </c:pt>
                <c:pt idx="57">
                  <c:v>2.4665789051914189E-2</c:v>
                </c:pt>
                <c:pt idx="58">
                  <c:v>2.2822496679650861E-2</c:v>
                </c:pt>
                <c:pt idx="59">
                  <c:v>2.2633070534351596E-2</c:v>
                </c:pt>
                <c:pt idx="60">
                  <c:v>2.5401989689050275E-2</c:v>
                </c:pt>
                <c:pt idx="61">
                  <c:v>2.7045312463057414E-2</c:v>
                </c:pt>
                <c:pt idx="62">
                  <c:v>1.7527586707547282E-2</c:v>
                </c:pt>
                <c:pt idx="63">
                  <c:v>-1.2785462338357867E-2</c:v>
                </c:pt>
                <c:pt idx="64">
                  <c:v>-2.5606924009629051E-2</c:v>
                </c:pt>
                <c:pt idx="65">
                  <c:v>-1.7025271236133399E-2</c:v>
                </c:pt>
                <c:pt idx="66">
                  <c:v>2.378480109433978E-2</c:v>
                </c:pt>
                <c:pt idx="67">
                  <c:v>4.3461809680304775E-2</c:v>
                </c:pt>
                <c:pt idx="68">
                  <c:v>4.4756252667181862E-2</c:v>
                </c:pt>
                <c:pt idx="69">
                  <c:v>2.8132069756362732E-2</c:v>
                </c:pt>
                <c:pt idx="70">
                  <c:v>2.129982777438677E-2</c:v>
                </c:pt>
                <c:pt idx="71">
                  <c:v>1.9736267473962066E-2</c:v>
                </c:pt>
                <c:pt idx="72">
                  <c:v>1.7020839922600395E-2</c:v>
                </c:pt>
                <c:pt idx="73">
                  <c:v>1.2230109218995366E-2</c:v>
                </c:pt>
                <c:pt idx="74">
                  <c:v>1.8611148426876056E-2</c:v>
                </c:pt>
                <c:pt idx="75">
                  <c:v>4.766854448709168E-2</c:v>
                </c:pt>
                <c:pt idx="76">
                  <c:v>7.2387774434346852E-2</c:v>
                </c:pt>
                <c:pt idx="77">
                  <c:v>8.9923654674556097E-2</c:v>
                </c:pt>
                <c:pt idx="78">
                  <c:v>7.1336303108243904E-2</c:v>
                </c:pt>
                <c:pt idx="79">
                  <c:v>4.9211410410765488E-2</c:v>
                </c:pt>
                <c:pt idx="80">
                  <c:v>2.9875404264157801E-2</c:v>
                </c:pt>
                <c:pt idx="81">
                  <c:v>4.389718584843294E-2</c:v>
                </c:pt>
                <c:pt idx="82">
                  <c:v>6.110119543282444E-2</c:v>
                </c:pt>
                <c:pt idx="83">
                  <c:v>7.7255455516787919E-2</c:v>
                </c:pt>
                <c:pt idx="84">
                  <c:v>7.3473726576808396E-2</c:v>
                </c:pt>
                <c:pt idx="85">
                  <c:v>6.7485016447402124E-2</c:v>
                </c:pt>
                <c:pt idx="86">
                  <c:v>5.3805373205515927E-2</c:v>
                </c:pt>
                <c:pt idx="87">
                  <c:v>5.0254343560705905E-2</c:v>
                </c:pt>
                <c:pt idx="88">
                  <c:v>5.671288304820532E-2</c:v>
                </c:pt>
                <c:pt idx="89">
                  <c:v>6.840414549705276E-2</c:v>
                </c:pt>
                <c:pt idx="90">
                  <c:v>6.1881284436043238E-2</c:v>
                </c:pt>
                <c:pt idx="91">
                  <c:v>5.9770619013565174E-2</c:v>
                </c:pt>
                <c:pt idx="92">
                  <c:v>5.8523101444396097E-2</c:v>
                </c:pt>
                <c:pt idx="93">
                  <c:v>5.9497195399313085E-2</c:v>
                </c:pt>
                <c:pt idx="94">
                  <c:v>4.8651511961757876E-2</c:v>
                </c:pt>
                <c:pt idx="95">
                  <c:v>4.1700796195350165E-2</c:v>
                </c:pt>
                <c:pt idx="96">
                  <c:v>4.4853473349390605E-2</c:v>
                </c:pt>
                <c:pt idx="97">
                  <c:v>5.0529753493359308E-2</c:v>
                </c:pt>
                <c:pt idx="98">
                  <c:v>4.994817595434764E-2</c:v>
                </c:pt>
                <c:pt idx="99">
                  <c:v>4.9835826204542855E-2</c:v>
                </c:pt>
                <c:pt idx="100">
                  <c:v>4.9181778917622765E-2</c:v>
                </c:pt>
                <c:pt idx="101">
                  <c:v>4.0092888714659658E-2</c:v>
                </c:pt>
                <c:pt idx="102">
                  <c:v>3.0108646608051792E-2</c:v>
                </c:pt>
                <c:pt idx="103">
                  <c:v>2.3825369371316185E-2</c:v>
                </c:pt>
                <c:pt idx="104">
                  <c:v>3.0440418312245754E-2</c:v>
                </c:pt>
                <c:pt idx="105">
                  <c:v>3.312175487657143E-2</c:v>
                </c:pt>
                <c:pt idx="106">
                  <c:v>3.3364034510424467E-2</c:v>
                </c:pt>
                <c:pt idx="107">
                  <c:v>3.2808532877032448E-2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AE2-49B3-9F47-97A2A6CAE780}"/>
            </c:ext>
          </c:extLst>
        </c:ser>
        <c:ser>
          <c:idx val="1"/>
          <c:order val="1"/>
          <c:tx>
            <c:strRef>
              <c:f>Inflation!$I$2</c:f>
              <c:strCache>
                <c:ptCount val="1"/>
                <c:pt idx="0">
                  <c:v>Core-CPI 6M Annualized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Inflation!$A$819:$A$926</c:f>
              <c:numCache>
                <c:formatCode>[$-416]mmm\-yy;@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Inflation!$I$819:$I$926</c:f>
              <c:numCache>
                <c:formatCode>0.00%</c:formatCode>
                <c:ptCount val="108"/>
                <c:pt idx="0">
                  <c:v>1.3531514889691731E-2</c:v>
                </c:pt>
                <c:pt idx="1">
                  <c:v>1.4778957959071803E-2</c:v>
                </c:pt>
                <c:pt idx="2">
                  <c:v>1.6437570290794845E-2</c:v>
                </c:pt>
                <c:pt idx="3">
                  <c:v>1.7954966978631859E-2</c:v>
                </c:pt>
                <c:pt idx="4">
                  <c:v>1.8556546899614279E-2</c:v>
                </c:pt>
                <c:pt idx="5">
                  <c:v>2.0615619754467129E-2</c:v>
                </c:pt>
                <c:pt idx="6">
                  <c:v>2.286006965574483E-2</c:v>
                </c:pt>
                <c:pt idx="7">
                  <c:v>2.1927158973906735E-2</c:v>
                </c:pt>
                <c:pt idx="8">
                  <c:v>2.118239609121586E-2</c:v>
                </c:pt>
                <c:pt idx="9">
                  <c:v>1.9988173881128724E-2</c:v>
                </c:pt>
                <c:pt idx="10">
                  <c:v>2.1034807552242185E-2</c:v>
                </c:pt>
                <c:pt idx="11">
                  <c:v>2.042907988775422E-2</c:v>
                </c:pt>
                <c:pt idx="12">
                  <c:v>1.962646062415363E-2</c:v>
                </c:pt>
                <c:pt idx="13">
                  <c:v>2.2080111594091179E-2</c:v>
                </c:pt>
                <c:pt idx="14">
                  <c:v>2.1252982452972358E-2</c:v>
                </c:pt>
                <c:pt idx="15">
                  <c:v>2.2726476248815519E-2</c:v>
                </c:pt>
                <c:pt idx="16">
                  <c:v>2.3599317580575097E-2</c:v>
                </c:pt>
                <c:pt idx="17">
                  <c:v>2.4354944741402207E-2</c:v>
                </c:pt>
                <c:pt idx="18">
                  <c:v>2.3353139020362068E-2</c:v>
                </c:pt>
                <c:pt idx="19">
                  <c:v>2.3615322333696565E-2</c:v>
                </c:pt>
                <c:pt idx="20">
                  <c:v>2.3705638977893351E-2</c:v>
                </c:pt>
                <c:pt idx="21">
                  <c:v>2.0927980567674531E-2</c:v>
                </c:pt>
                <c:pt idx="22">
                  <c:v>1.8895739810179446E-2</c:v>
                </c:pt>
                <c:pt idx="23">
                  <c:v>1.9153696921214269E-2</c:v>
                </c:pt>
                <c:pt idx="24">
                  <c:v>2.1196121523991973E-2</c:v>
                </c:pt>
                <c:pt idx="25">
                  <c:v>2.0642573191052893E-2</c:v>
                </c:pt>
                <c:pt idx="26">
                  <c:v>1.6839012236374629E-2</c:v>
                </c:pt>
                <c:pt idx="27">
                  <c:v>1.6683326998809811E-2</c:v>
                </c:pt>
                <c:pt idx="28">
                  <c:v>1.5578055697777149E-2</c:v>
                </c:pt>
                <c:pt idx="29">
                  <c:v>1.4572371700049214E-2</c:v>
                </c:pt>
                <c:pt idx="30">
                  <c:v>1.2093710137192737E-2</c:v>
                </c:pt>
                <c:pt idx="31">
                  <c:v>1.2218969812456404E-2</c:v>
                </c:pt>
                <c:pt idx="32">
                  <c:v>1.4843007446507794E-2</c:v>
                </c:pt>
                <c:pt idx="33">
                  <c:v>1.8235990205256236E-2</c:v>
                </c:pt>
                <c:pt idx="34">
                  <c:v>1.8907655671102752E-2</c:v>
                </c:pt>
                <c:pt idx="35">
                  <c:v>2.0554527805692668E-2</c:v>
                </c:pt>
                <c:pt idx="36">
                  <c:v>2.5418283489115456E-2</c:v>
                </c:pt>
                <c:pt idx="37">
                  <c:v>2.502623623708855E-2</c:v>
                </c:pt>
                <c:pt idx="38">
                  <c:v>2.7212425462816991E-2</c:v>
                </c:pt>
                <c:pt idx="39">
                  <c:v>2.4365681023999386E-2</c:v>
                </c:pt>
                <c:pt idx="40">
                  <c:v>2.6091507600304542E-2</c:v>
                </c:pt>
                <c:pt idx="41">
                  <c:v>2.3906552476751664E-2</c:v>
                </c:pt>
                <c:pt idx="42">
                  <c:v>1.9475068974930121E-2</c:v>
                </c:pt>
                <c:pt idx="43">
                  <c:v>1.699188757559611E-2</c:v>
                </c:pt>
                <c:pt idx="44">
                  <c:v>1.6311180303484996E-2</c:v>
                </c:pt>
                <c:pt idx="45">
                  <c:v>1.7759210979781503E-2</c:v>
                </c:pt>
                <c:pt idx="46">
                  <c:v>1.7777830797768956E-2</c:v>
                </c:pt>
                <c:pt idx="47">
                  <c:v>2.0612671023491291E-2</c:v>
                </c:pt>
                <c:pt idx="48">
                  <c:v>2.3072806397093082E-2</c:v>
                </c:pt>
                <c:pt idx="49">
                  <c:v>2.4505752699431227E-2</c:v>
                </c:pt>
                <c:pt idx="50">
                  <c:v>2.4407123697741007E-2</c:v>
                </c:pt>
                <c:pt idx="51">
                  <c:v>2.3514448990104686E-2</c:v>
                </c:pt>
                <c:pt idx="52">
                  <c:v>2.1986314965530163E-2</c:v>
                </c:pt>
                <c:pt idx="53">
                  <c:v>2.1407666768219702E-2</c:v>
                </c:pt>
                <c:pt idx="54">
                  <c:v>2.0070843428168228E-2</c:v>
                </c:pt>
                <c:pt idx="55">
                  <c:v>2.2176022927983485E-2</c:v>
                </c:pt>
                <c:pt idx="56">
                  <c:v>2.1984828425254843E-2</c:v>
                </c:pt>
                <c:pt idx="57">
                  <c:v>2.2522995239808274E-2</c:v>
                </c:pt>
                <c:pt idx="58">
                  <c:v>2.4125539238999405E-2</c:v>
                </c:pt>
                <c:pt idx="59">
                  <c:v>2.3208508815451445E-2</c:v>
                </c:pt>
                <c:pt idx="60">
                  <c:v>2.5033889370482232E-2</c:v>
                </c:pt>
                <c:pt idx="61">
                  <c:v>2.4933904571354137E-2</c:v>
                </c:pt>
                <c:pt idx="62">
                  <c:v>2.0080328620949439E-2</c:v>
                </c:pt>
                <c:pt idx="63">
                  <c:v>6.308263675346204E-3</c:v>
                </c:pt>
                <c:pt idx="64">
                  <c:v>7.1919422671418154E-4</c:v>
                </c:pt>
                <c:pt idx="65">
                  <c:v>2.5115773570694166E-4</c:v>
                </c:pt>
                <c:pt idx="66">
                  <c:v>5.4996693779909567E-3</c:v>
                </c:pt>
                <c:pt idx="67">
                  <c:v>8.9274428353378621E-3</c:v>
                </c:pt>
                <c:pt idx="68">
                  <c:v>1.3865490715524231E-2</c:v>
                </c:pt>
                <c:pt idx="69">
                  <c:v>2.5958435425351256E-2</c:v>
                </c:pt>
                <c:pt idx="70">
                  <c:v>3.2380818727345773E-2</c:v>
                </c:pt>
                <c:pt idx="71">
                  <c:v>3.2246260070571964E-2</c:v>
                </c:pt>
                <c:pt idx="72">
                  <c:v>2.2576454839481563E-2</c:v>
                </c:pt>
                <c:pt idx="73">
                  <c:v>1.6764968496691068E-2</c:v>
                </c:pt>
                <c:pt idx="74">
                  <c:v>1.9173707950419061E-2</c:v>
                </c:pt>
                <c:pt idx="75">
                  <c:v>3.2344692204846037E-2</c:v>
                </c:pt>
                <c:pt idx="76">
                  <c:v>4.2308941826671109E-2</c:v>
                </c:pt>
                <c:pt idx="77">
                  <c:v>5.4267401550716077E-2</c:v>
                </c:pt>
                <c:pt idx="78">
                  <c:v>5.9502423797667792E-2</c:v>
                </c:pt>
                <c:pt idx="79">
                  <c:v>6.079959242255617E-2</c:v>
                </c:pt>
                <c:pt idx="80">
                  <c:v>5.9899529469356949E-2</c:v>
                </c:pt>
                <c:pt idx="81">
                  <c:v>5.7616744478338422E-2</c:v>
                </c:pt>
                <c:pt idx="82">
                  <c:v>5.5156302921794964E-2</c:v>
                </c:pt>
                <c:pt idx="83">
                  <c:v>5.356542989047286E-2</c:v>
                </c:pt>
                <c:pt idx="84">
                  <c:v>5.8685456212620668E-2</c:v>
                </c:pt>
                <c:pt idx="85">
                  <c:v>6.4293105940113282E-2</c:v>
                </c:pt>
                <c:pt idx="86">
                  <c:v>6.5530414361151923E-2</c:v>
                </c:pt>
                <c:pt idx="87">
                  <c:v>6.1864035068757151E-2</c:v>
                </c:pt>
                <c:pt idx="88">
                  <c:v>6.2098949747803722E-2</c:v>
                </c:pt>
                <c:pt idx="89">
                  <c:v>6.1104759351284343E-2</c:v>
                </c:pt>
                <c:pt idx="90">
                  <c:v>5.6067813998374572E-2</c:v>
                </c:pt>
                <c:pt idx="91">
                  <c:v>5.8241751030885247E-2</c:v>
                </c:pt>
                <c:pt idx="92">
                  <c:v>6.3463623470724428E-2</c:v>
                </c:pt>
                <c:pt idx="93">
                  <c:v>6.0689239917678162E-2</c:v>
                </c:pt>
                <c:pt idx="94">
                  <c:v>5.4211065487661525E-2</c:v>
                </c:pt>
                <c:pt idx="95">
                  <c:v>5.0111948819873131E-2</c:v>
                </c:pt>
                <c:pt idx="96">
                  <c:v>5.2175334374351845E-2</c:v>
                </c:pt>
                <c:pt idx="97">
                  <c:v>4.9590632727558592E-2</c:v>
                </c:pt>
                <c:pt idx="98">
                  <c:v>4.5824486074848902E-2</c:v>
                </c:pt>
                <c:pt idx="99">
                  <c:v>4.734464977696673E-2</c:v>
                </c:pt>
                <c:pt idx="100">
                  <c:v>4.9855766205491037E-2</c:v>
                </c:pt>
                <c:pt idx="101">
                  <c:v>4.5020532334503649E-2</c:v>
                </c:pt>
                <c:pt idx="102">
                  <c:v>3.9972236406297323E-2</c:v>
                </c:pt>
                <c:pt idx="103">
                  <c:v>3.6503574144469475E-2</c:v>
                </c:pt>
                <c:pt idx="104">
                  <c:v>3.5266653513452706E-2</c:v>
                </c:pt>
                <c:pt idx="105">
                  <c:v>3.1615200742311611E-2</c:v>
                </c:pt>
                <c:pt idx="106">
                  <c:v>2.8594701940870326E-2</c:v>
                </c:pt>
                <c:pt idx="107">
                  <c:v>3.1624475594639101E-2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AE2-49B3-9F47-97A2A6CAE7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7.0000000000000007E-2"/>
          <c:min val="-2.0000000000000004E-2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129526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31375680"/>
        <c:crosses val="max"/>
        <c:crossBetween val="between"/>
      </c:valAx>
      <c:catAx>
        <c:axId val="4313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129526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2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Recession!$B$806:$B$913</c:f>
              <c:numCache>
                <c:formatCode>General</c:formatCode>
                <c:ptCount val="10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1</c:v>
                </c:pt>
                <c:pt idx="62">
                  <c:v>1</c:v>
                </c:pt>
                <c:pt idx="63">
                  <c:v>1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E5D-4DCD-A8E5-ECD99136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375680"/>
        <c:axId val="2129526400"/>
      </c:areaChart>
      <c:lineChart>
        <c:grouping val="standard"/>
        <c:varyColors val="0"/>
        <c:ser>
          <c:idx val="0"/>
          <c:order val="0"/>
          <c:tx>
            <c:strRef>
              <c:f>Inflation!$Z$2</c:f>
              <c:strCache>
                <c:ptCount val="1"/>
                <c:pt idx="0">
                  <c:v>Core-PCE 3M Annualized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Inflation!$A$819:$A$926</c:f>
              <c:numCache>
                <c:formatCode>[$-416]mmm\-yy;@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Inflation!$Z$819:$Z$926</c:f>
              <c:numCache>
                <c:formatCode>0.00%</c:formatCode>
                <c:ptCount val="108"/>
                <c:pt idx="0">
                  <c:v>4.9115693436778685E-3</c:v>
                </c:pt>
                <c:pt idx="1">
                  <c:v>5.9465798497635447E-3</c:v>
                </c:pt>
                <c:pt idx="2">
                  <c:v>9.1814496205762097E-3</c:v>
                </c:pt>
                <c:pt idx="3">
                  <c:v>1.8016542995566098E-2</c:v>
                </c:pt>
                <c:pt idx="4">
                  <c:v>1.8327105631676943E-2</c:v>
                </c:pt>
                <c:pt idx="5">
                  <c:v>1.7059307137936131E-2</c:v>
                </c:pt>
                <c:pt idx="6">
                  <c:v>1.3642358896601259E-2</c:v>
                </c:pt>
                <c:pt idx="7">
                  <c:v>1.1975881741426164E-2</c:v>
                </c:pt>
                <c:pt idx="8">
                  <c:v>1.2950673912252242E-2</c:v>
                </c:pt>
                <c:pt idx="9">
                  <c:v>1.0304015967954605E-2</c:v>
                </c:pt>
                <c:pt idx="10">
                  <c:v>1.1365394314405641E-2</c:v>
                </c:pt>
                <c:pt idx="11">
                  <c:v>8.2257025101641901E-3</c:v>
                </c:pt>
                <c:pt idx="12">
                  <c:v>1.393165157044951E-2</c:v>
                </c:pt>
                <c:pt idx="13">
                  <c:v>1.6581620859517976E-2</c:v>
                </c:pt>
                <c:pt idx="14">
                  <c:v>1.968116872418868E-2</c:v>
                </c:pt>
                <c:pt idx="15">
                  <c:v>2.2507489984479712E-2</c:v>
                </c:pt>
                <c:pt idx="16">
                  <c:v>2.2387116199219292E-2</c:v>
                </c:pt>
                <c:pt idx="17">
                  <c:v>2.080863051444215E-2</c:v>
                </c:pt>
                <c:pt idx="18">
                  <c:v>1.6773268873142122E-2</c:v>
                </c:pt>
                <c:pt idx="19">
                  <c:v>1.7028980615567235E-2</c:v>
                </c:pt>
                <c:pt idx="20">
                  <c:v>1.8186601280115511E-2</c:v>
                </c:pt>
                <c:pt idx="21">
                  <c:v>1.7512697580829517E-2</c:v>
                </c:pt>
                <c:pt idx="22">
                  <c:v>1.222726585347278E-2</c:v>
                </c:pt>
                <c:pt idx="23">
                  <c:v>1.1564639981346936E-2</c:v>
                </c:pt>
                <c:pt idx="24">
                  <c:v>1.7118816530597769E-2</c:v>
                </c:pt>
                <c:pt idx="25">
                  <c:v>2.2423902058216427E-2</c:v>
                </c:pt>
                <c:pt idx="26">
                  <c:v>1.6090264349941208E-2</c:v>
                </c:pt>
                <c:pt idx="27">
                  <c:v>1.3595595501253221E-2</c:v>
                </c:pt>
                <c:pt idx="28">
                  <c:v>9.7209202046384391E-3</c:v>
                </c:pt>
                <c:pt idx="29">
                  <c:v>1.677890796721293E-2</c:v>
                </c:pt>
                <c:pt idx="30">
                  <c:v>1.1501309423843864E-2</c:v>
                </c:pt>
                <c:pt idx="31">
                  <c:v>1.2611988845558031E-2</c:v>
                </c:pt>
                <c:pt idx="32">
                  <c:v>1.2115657189776918E-2</c:v>
                </c:pt>
                <c:pt idx="33">
                  <c:v>1.9010256972796569E-2</c:v>
                </c:pt>
                <c:pt idx="34">
                  <c:v>1.6641209400114043E-2</c:v>
                </c:pt>
                <c:pt idx="35">
                  <c:v>1.7655457556704057E-2</c:v>
                </c:pt>
                <c:pt idx="36">
                  <c:v>2.0711100682549777E-2</c:v>
                </c:pt>
                <c:pt idx="37">
                  <c:v>2.6324412421685039E-2</c:v>
                </c:pt>
                <c:pt idx="38">
                  <c:v>2.9171266379190541E-2</c:v>
                </c:pt>
                <c:pt idx="39">
                  <c:v>2.351676521491175E-2</c:v>
                </c:pt>
                <c:pt idx="40">
                  <c:v>2.2960669073451179E-2</c:v>
                </c:pt>
                <c:pt idx="41">
                  <c:v>1.7840960152330609E-2</c:v>
                </c:pt>
                <c:pt idx="42">
                  <c:v>1.5884882281330448E-2</c:v>
                </c:pt>
                <c:pt idx="43">
                  <c:v>9.2692800091942473E-3</c:v>
                </c:pt>
                <c:pt idx="44">
                  <c:v>1.3064240687785222E-2</c:v>
                </c:pt>
                <c:pt idx="45">
                  <c:v>1.410379764641867E-2</c:v>
                </c:pt>
                <c:pt idx="46">
                  <c:v>2.1136003963295735E-2</c:v>
                </c:pt>
                <c:pt idx="47">
                  <c:v>2.0706953247398907E-2</c:v>
                </c:pt>
                <c:pt idx="48">
                  <c:v>1.9973614437414966E-2</c:v>
                </c:pt>
                <c:pt idx="49">
                  <c:v>1.5698635703984998E-2</c:v>
                </c:pt>
                <c:pt idx="50">
                  <c:v>1.2213621618070825E-2</c:v>
                </c:pt>
                <c:pt idx="51">
                  <c:v>1.537960804245575E-2</c:v>
                </c:pt>
                <c:pt idx="52">
                  <c:v>1.6374561785834629E-2</c:v>
                </c:pt>
                <c:pt idx="53">
                  <c:v>2.080984932603247E-2</c:v>
                </c:pt>
                <c:pt idx="54">
                  <c:v>1.6709970946292785E-2</c:v>
                </c:pt>
                <c:pt idx="55">
                  <c:v>1.6615566146829686E-2</c:v>
                </c:pt>
                <c:pt idx="56">
                  <c:v>1.1689202998910631E-2</c:v>
                </c:pt>
                <c:pt idx="57">
                  <c:v>1.3177290758534355E-2</c:v>
                </c:pt>
                <c:pt idx="58">
                  <c:v>9.8193687482064362E-3</c:v>
                </c:pt>
                <c:pt idx="59">
                  <c:v>1.5001018924330367E-2</c:v>
                </c:pt>
                <c:pt idx="60">
                  <c:v>1.6397392611758654E-2</c:v>
                </c:pt>
                <c:pt idx="61">
                  <c:v>2.2941585203195558E-2</c:v>
                </c:pt>
                <c:pt idx="62">
                  <c:v>1.1773505510168647E-2</c:v>
                </c:pt>
                <c:pt idx="63">
                  <c:v>-9.0926535907431827E-3</c:v>
                </c:pt>
                <c:pt idx="64">
                  <c:v>-1.145532508881697E-2</c:v>
                </c:pt>
                <c:pt idx="65">
                  <c:v>-2.2269924290911902E-3</c:v>
                </c:pt>
                <c:pt idx="66">
                  <c:v>2.5892177506496417E-2</c:v>
                </c:pt>
                <c:pt idx="67">
                  <c:v>3.3066746031285454E-2</c:v>
                </c:pt>
                <c:pt idx="68">
                  <c:v>3.2939366974962248E-2</c:v>
                </c:pt>
                <c:pt idx="69">
                  <c:v>2.1204405075518018E-2</c:v>
                </c:pt>
                <c:pt idx="70">
                  <c:v>1.226621621226176E-2</c:v>
                </c:pt>
                <c:pt idx="71">
                  <c:v>1.929614690559589E-2</c:v>
                </c:pt>
                <c:pt idx="72">
                  <c:v>3.0159842524295932E-2</c:v>
                </c:pt>
                <c:pt idx="73">
                  <c:v>3.5782673868106407E-2</c:v>
                </c:pt>
                <c:pt idx="74">
                  <c:v>3.9384088237748749E-2</c:v>
                </c:pt>
                <c:pt idx="75">
                  <c:v>4.9758211024960808E-2</c:v>
                </c:pt>
                <c:pt idx="76">
                  <c:v>6.2327793715572177E-2</c:v>
                </c:pt>
                <c:pt idx="77">
                  <c:v>6.3622632066405949E-2</c:v>
                </c:pt>
                <c:pt idx="78">
                  <c:v>5.6466874734104167E-2</c:v>
                </c:pt>
                <c:pt idx="79">
                  <c:v>4.7554600957212756E-2</c:v>
                </c:pt>
                <c:pt idx="80">
                  <c:v>3.7767307158405927E-2</c:v>
                </c:pt>
                <c:pt idx="81">
                  <c:v>4.0086562145927651E-2</c:v>
                </c:pt>
                <c:pt idx="82">
                  <c:v>4.8056368417464412E-2</c:v>
                </c:pt>
                <c:pt idx="83">
                  <c:v>6.3917805564491559E-2</c:v>
                </c:pt>
                <c:pt idx="84">
                  <c:v>6.3395138513994809E-2</c:v>
                </c:pt>
                <c:pt idx="85">
                  <c:v>5.9575004452137037E-2</c:v>
                </c:pt>
                <c:pt idx="86">
                  <c:v>5.1250344392614444E-2</c:v>
                </c:pt>
                <c:pt idx="87">
                  <c:v>4.5375751054780089E-2</c:v>
                </c:pt>
                <c:pt idx="88">
                  <c:v>4.3246900042334779E-2</c:v>
                </c:pt>
                <c:pt idx="89">
                  <c:v>5.0010549157047279E-2</c:v>
                </c:pt>
                <c:pt idx="90">
                  <c:v>4.5264333225034648E-2</c:v>
                </c:pt>
                <c:pt idx="91">
                  <c:v>5.2646138158309874E-2</c:v>
                </c:pt>
                <c:pt idx="92">
                  <c:v>4.842685620453846E-2</c:v>
                </c:pt>
                <c:pt idx="93">
                  <c:v>5.3997792900948305E-2</c:v>
                </c:pt>
                <c:pt idx="94">
                  <c:v>4.3575919703060961E-2</c:v>
                </c:pt>
                <c:pt idx="95">
                  <c:v>4.0731918526884847E-2</c:v>
                </c:pt>
                <c:pt idx="96">
                  <c:v>4.7163203660047337E-2</c:v>
                </c:pt>
                <c:pt idx="97">
                  <c:v>5.0163148707146554E-2</c:v>
                </c:pt>
                <c:pt idx="98">
                  <c:v>4.8104182076667001E-2</c:v>
                </c:pt>
                <c:pt idx="99">
                  <c:v>4.0083838445748476E-2</c:v>
                </c:pt>
                <c:pt idx="100">
                  <c:v>3.7243597814711649E-2</c:v>
                </c:pt>
                <c:pt idx="101">
                  <c:v>3.0698228737831457E-2</c:v>
                </c:pt>
                <c:pt idx="102">
                  <c:v>2.3221270177687714E-2</c:v>
                </c:pt>
                <c:pt idx="103">
                  <c:v>1.5612615032335242E-2</c:v>
                </c:pt>
                <c:pt idx="104">
                  <c:v>2.1881360416929674E-2</c:v>
                </c:pt>
                <c:pt idx="105">
                  <c:v>2.3023415683997683E-2</c:v>
                </c:pt>
                <c:pt idx="106">
                  <c:v>2.1434528664402208E-2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5D-4DCD-A8E5-ECD9913613BD}"/>
            </c:ext>
          </c:extLst>
        </c:ser>
        <c:ser>
          <c:idx val="1"/>
          <c:order val="1"/>
          <c:tx>
            <c:strRef>
              <c:f>Inflation!$AA$2</c:f>
              <c:strCache>
                <c:ptCount val="1"/>
                <c:pt idx="0">
                  <c:v>Core-PCE 6M Annualized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Inflation!$A$819:$A$926</c:f>
              <c:numCache>
                <c:formatCode>[$-416]mmm\-yy;@</c:formatCode>
                <c:ptCount val="108"/>
                <c:pt idx="0">
                  <c:v>42005</c:v>
                </c:pt>
                <c:pt idx="1">
                  <c:v>42036</c:v>
                </c:pt>
                <c:pt idx="2">
                  <c:v>42064</c:v>
                </c:pt>
                <c:pt idx="3">
                  <c:v>42095</c:v>
                </c:pt>
                <c:pt idx="4">
                  <c:v>42125</c:v>
                </c:pt>
                <c:pt idx="5">
                  <c:v>42156</c:v>
                </c:pt>
                <c:pt idx="6">
                  <c:v>42186</c:v>
                </c:pt>
                <c:pt idx="7">
                  <c:v>42217</c:v>
                </c:pt>
                <c:pt idx="8">
                  <c:v>42248</c:v>
                </c:pt>
                <c:pt idx="9">
                  <c:v>42278</c:v>
                </c:pt>
                <c:pt idx="10">
                  <c:v>42309</c:v>
                </c:pt>
                <c:pt idx="11">
                  <c:v>42339</c:v>
                </c:pt>
                <c:pt idx="12">
                  <c:v>42370</c:v>
                </c:pt>
                <c:pt idx="13">
                  <c:v>42401</c:v>
                </c:pt>
                <c:pt idx="14">
                  <c:v>42430</c:v>
                </c:pt>
                <c:pt idx="15">
                  <c:v>42461</c:v>
                </c:pt>
                <c:pt idx="16">
                  <c:v>42491</c:v>
                </c:pt>
                <c:pt idx="17">
                  <c:v>42522</c:v>
                </c:pt>
                <c:pt idx="18">
                  <c:v>42552</c:v>
                </c:pt>
                <c:pt idx="19">
                  <c:v>42583</c:v>
                </c:pt>
                <c:pt idx="20">
                  <c:v>42614</c:v>
                </c:pt>
                <c:pt idx="21">
                  <c:v>42644</c:v>
                </c:pt>
                <c:pt idx="22">
                  <c:v>42675</c:v>
                </c:pt>
                <c:pt idx="23">
                  <c:v>42705</c:v>
                </c:pt>
                <c:pt idx="24">
                  <c:v>42736</c:v>
                </c:pt>
                <c:pt idx="25">
                  <c:v>42767</c:v>
                </c:pt>
                <c:pt idx="26">
                  <c:v>42795</c:v>
                </c:pt>
                <c:pt idx="27">
                  <c:v>42826</c:v>
                </c:pt>
                <c:pt idx="28">
                  <c:v>42856</c:v>
                </c:pt>
                <c:pt idx="29">
                  <c:v>42887</c:v>
                </c:pt>
                <c:pt idx="30">
                  <c:v>42917</c:v>
                </c:pt>
                <c:pt idx="31">
                  <c:v>42948</c:v>
                </c:pt>
                <c:pt idx="32">
                  <c:v>42979</c:v>
                </c:pt>
                <c:pt idx="33">
                  <c:v>43009</c:v>
                </c:pt>
                <c:pt idx="34">
                  <c:v>43040</c:v>
                </c:pt>
                <c:pt idx="35">
                  <c:v>43070</c:v>
                </c:pt>
                <c:pt idx="36">
                  <c:v>43101</c:v>
                </c:pt>
                <c:pt idx="37">
                  <c:v>43132</c:v>
                </c:pt>
                <c:pt idx="38">
                  <c:v>43160</c:v>
                </c:pt>
                <c:pt idx="39">
                  <c:v>43191</c:v>
                </c:pt>
                <c:pt idx="40">
                  <c:v>43221</c:v>
                </c:pt>
                <c:pt idx="41">
                  <c:v>43252</c:v>
                </c:pt>
                <c:pt idx="42">
                  <c:v>43282</c:v>
                </c:pt>
                <c:pt idx="43">
                  <c:v>43313</c:v>
                </c:pt>
                <c:pt idx="44">
                  <c:v>43344</c:v>
                </c:pt>
                <c:pt idx="45">
                  <c:v>43374</c:v>
                </c:pt>
                <c:pt idx="46">
                  <c:v>43405</c:v>
                </c:pt>
                <c:pt idx="47">
                  <c:v>43435</c:v>
                </c:pt>
                <c:pt idx="48">
                  <c:v>43466</c:v>
                </c:pt>
                <c:pt idx="49">
                  <c:v>43497</c:v>
                </c:pt>
                <c:pt idx="50">
                  <c:v>43525</c:v>
                </c:pt>
                <c:pt idx="51">
                  <c:v>43556</c:v>
                </c:pt>
                <c:pt idx="52">
                  <c:v>43586</c:v>
                </c:pt>
                <c:pt idx="53">
                  <c:v>43617</c:v>
                </c:pt>
                <c:pt idx="54">
                  <c:v>43647</c:v>
                </c:pt>
                <c:pt idx="55">
                  <c:v>43678</c:v>
                </c:pt>
                <c:pt idx="56">
                  <c:v>43709</c:v>
                </c:pt>
                <c:pt idx="57">
                  <c:v>43739</c:v>
                </c:pt>
                <c:pt idx="58">
                  <c:v>43770</c:v>
                </c:pt>
                <c:pt idx="59">
                  <c:v>43800</c:v>
                </c:pt>
                <c:pt idx="60">
                  <c:v>43831</c:v>
                </c:pt>
                <c:pt idx="61">
                  <c:v>43862</c:v>
                </c:pt>
                <c:pt idx="62">
                  <c:v>43891</c:v>
                </c:pt>
                <c:pt idx="63">
                  <c:v>43922</c:v>
                </c:pt>
                <c:pt idx="64">
                  <c:v>43952</c:v>
                </c:pt>
                <c:pt idx="65">
                  <c:v>43983</c:v>
                </c:pt>
                <c:pt idx="66">
                  <c:v>44013</c:v>
                </c:pt>
                <c:pt idx="67">
                  <c:v>44044</c:v>
                </c:pt>
                <c:pt idx="68">
                  <c:v>44075</c:v>
                </c:pt>
                <c:pt idx="69">
                  <c:v>44105</c:v>
                </c:pt>
                <c:pt idx="70">
                  <c:v>44136</c:v>
                </c:pt>
                <c:pt idx="71">
                  <c:v>44166</c:v>
                </c:pt>
                <c:pt idx="72">
                  <c:v>44197</c:v>
                </c:pt>
                <c:pt idx="73">
                  <c:v>44228</c:v>
                </c:pt>
                <c:pt idx="74">
                  <c:v>44256</c:v>
                </c:pt>
                <c:pt idx="75">
                  <c:v>44287</c:v>
                </c:pt>
                <c:pt idx="76">
                  <c:v>44317</c:v>
                </c:pt>
                <c:pt idx="77">
                  <c:v>44348</c:v>
                </c:pt>
                <c:pt idx="78">
                  <c:v>44378</c:v>
                </c:pt>
                <c:pt idx="79">
                  <c:v>44409</c:v>
                </c:pt>
                <c:pt idx="80">
                  <c:v>44440</c:v>
                </c:pt>
                <c:pt idx="81">
                  <c:v>44470</c:v>
                </c:pt>
                <c:pt idx="82">
                  <c:v>44501</c:v>
                </c:pt>
                <c:pt idx="83">
                  <c:v>44531</c:v>
                </c:pt>
                <c:pt idx="84">
                  <c:v>44562</c:v>
                </c:pt>
                <c:pt idx="85">
                  <c:v>44593</c:v>
                </c:pt>
                <c:pt idx="86">
                  <c:v>44621</c:v>
                </c:pt>
                <c:pt idx="87">
                  <c:v>44652</c:v>
                </c:pt>
                <c:pt idx="88">
                  <c:v>44682</c:v>
                </c:pt>
                <c:pt idx="89">
                  <c:v>44713</c:v>
                </c:pt>
                <c:pt idx="90">
                  <c:v>44743</c:v>
                </c:pt>
                <c:pt idx="91">
                  <c:v>44774</c:v>
                </c:pt>
                <c:pt idx="92">
                  <c:v>44805</c:v>
                </c:pt>
                <c:pt idx="93">
                  <c:v>44835</c:v>
                </c:pt>
                <c:pt idx="94">
                  <c:v>44866</c:v>
                </c:pt>
                <c:pt idx="95">
                  <c:v>44896</c:v>
                </c:pt>
                <c:pt idx="96">
                  <c:v>44927</c:v>
                </c:pt>
                <c:pt idx="97">
                  <c:v>44958</c:v>
                </c:pt>
                <c:pt idx="98">
                  <c:v>44986</c:v>
                </c:pt>
                <c:pt idx="99">
                  <c:v>45017</c:v>
                </c:pt>
                <c:pt idx="100">
                  <c:v>45047</c:v>
                </c:pt>
                <c:pt idx="101">
                  <c:v>45078</c:v>
                </c:pt>
                <c:pt idx="102">
                  <c:v>45108</c:v>
                </c:pt>
                <c:pt idx="103">
                  <c:v>45139</c:v>
                </c:pt>
                <c:pt idx="104">
                  <c:v>45170</c:v>
                </c:pt>
                <c:pt idx="105">
                  <c:v>45200</c:v>
                </c:pt>
                <c:pt idx="106">
                  <c:v>45231</c:v>
                </c:pt>
                <c:pt idx="107">
                  <c:v>45261</c:v>
                </c:pt>
              </c:numCache>
            </c:numRef>
          </c:cat>
          <c:val>
            <c:numRef>
              <c:f>Inflation!$AA$819:$AA$926</c:f>
              <c:numCache>
                <c:formatCode>0.00%</c:formatCode>
                <c:ptCount val="108"/>
                <c:pt idx="0">
                  <c:v>7.6266379095488723E-3</c:v>
                </c:pt>
                <c:pt idx="1">
                  <c:v>9.1411516767103684E-3</c:v>
                </c:pt>
                <c:pt idx="2">
                  <c:v>9.5027223059438448E-3</c:v>
                </c:pt>
                <c:pt idx="3">
                  <c:v>1.1464056169621983E-2</c:v>
                </c:pt>
                <c:pt idx="4">
                  <c:v>1.2136842740720244E-2</c:v>
                </c:pt>
                <c:pt idx="5">
                  <c:v>1.312037837925617E-2</c:v>
                </c:pt>
                <c:pt idx="6">
                  <c:v>1.5829450946083679E-2</c:v>
                </c:pt>
                <c:pt idx="7">
                  <c:v>1.5151493686551554E-2</c:v>
                </c:pt>
                <c:pt idx="8">
                  <c:v>1.5004990525094186E-2</c:v>
                </c:pt>
                <c:pt idx="9">
                  <c:v>1.1973187432277932E-2</c:v>
                </c:pt>
                <c:pt idx="10">
                  <c:v>1.1670638027915903E-2</c:v>
                </c:pt>
                <c:pt idx="11">
                  <c:v>1.0588188211208216E-2</c:v>
                </c:pt>
                <c:pt idx="12">
                  <c:v>1.2117833769202058E-2</c:v>
                </c:pt>
                <c:pt idx="13">
                  <c:v>1.3973507586961809E-2</c:v>
                </c:pt>
                <c:pt idx="14">
                  <c:v>1.3953435617176435E-2</c:v>
                </c:pt>
                <c:pt idx="15">
                  <c:v>1.8219570777464611E-2</c:v>
                </c:pt>
                <c:pt idx="16">
                  <c:v>1.9484368529368634E-2</c:v>
                </c:pt>
                <c:pt idx="17">
                  <c:v>2.0244899619315415E-2</c:v>
                </c:pt>
                <c:pt idx="18">
                  <c:v>1.9640379428810917E-2</c:v>
                </c:pt>
                <c:pt idx="19">
                  <c:v>1.9708048407393264E-2</c:v>
                </c:pt>
                <c:pt idx="20">
                  <c:v>1.949761589727883E-2</c:v>
                </c:pt>
                <c:pt idx="21">
                  <c:v>1.714298322698582E-2</c:v>
                </c:pt>
                <c:pt idx="22">
                  <c:v>1.4628123234520007E-2</c:v>
                </c:pt>
                <c:pt idx="23">
                  <c:v>1.4875620630731223E-2</c:v>
                </c:pt>
                <c:pt idx="24">
                  <c:v>1.7315757055713643E-2</c:v>
                </c:pt>
                <c:pt idx="25">
                  <c:v>1.7325583955844603E-2</c:v>
                </c:pt>
                <c:pt idx="26">
                  <c:v>1.3827452165644072E-2</c:v>
                </c:pt>
                <c:pt idx="27">
                  <c:v>1.5357206015925495E-2</c:v>
                </c:pt>
                <c:pt idx="28">
                  <c:v>1.6072411131427433E-2</c:v>
                </c:pt>
                <c:pt idx="29">
                  <c:v>1.6434586158577069E-2</c:v>
                </c:pt>
                <c:pt idx="30">
                  <c:v>1.2548452462548543E-2</c:v>
                </c:pt>
                <c:pt idx="31">
                  <c:v>1.1166454525098235E-2</c:v>
                </c:pt>
                <c:pt idx="32">
                  <c:v>1.4447282578494924E-2</c:v>
                </c:pt>
                <c:pt idx="33">
                  <c:v>1.5255783198320216E-2</c:v>
                </c:pt>
                <c:pt idx="34">
                  <c:v>1.4626599122836037E-2</c:v>
                </c:pt>
                <c:pt idx="35">
                  <c:v>1.4885557373240488E-2</c:v>
                </c:pt>
                <c:pt idx="36">
                  <c:v>1.9860678827673173E-2</c:v>
                </c:pt>
                <c:pt idx="37">
                  <c:v>2.1482810910899541E-2</c:v>
                </c:pt>
                <c:pt idx="38">
                  <c:v>2.3413361967947299E-2</c:v>
                </c:pt>
                <c:pt idx="39">
                  <c:v>2.2113932948730763E-2</c:v>
                </c:pt>
                <c:pt idx="40">
                  <c:v>2.4642540747568109E-2</c:v>
                </c:pt>
                <c:pt idx="41">
                  <c:v>2.3506113265760575E-2</c:v>
                </c:pt>
                <c:pt idx="42">
                  <c:v>1.9700823748121099E-2</c:v>
                </c:pt>
                <c:pt idx="43">
                  <c:v>1.6114974541322713E-2</c:v>
                </c:pt>
                <c:pt idx="44">
                  <c:v>1.5452600420057916E-2</c:v>
                </c:pt>
                <c:pt idx="45">
                  <c:v>1.4994339963874559E-2</c:v>
                </c:pt>
                <c:pt idx="46">
                  <c:v>1.5202641986244991E-2</c:v>
                </c:pt>
                <c:pt idx="47">
                  <c:v>1.6885596967592065E-2</c:v>
                </c:pt>
                <c:pt idx="48">
                  <c:v>1.7038706041916818E-2</c:v>
                </c:pt>
                <c:pt idx="49">
                  <c:v>1.8417319833640367E-2</c:v>
                </c:pt>
                <c:pt idx="50">
                  <c:v>1.6460287432734866E-2</c:v>
                </c:pt>
                <c:pt idx="51">
                  <c:v>1.7676611239935358E-2</c:v>
                </c:pt>
                <c:pt idx="52">
                  <c:v>1.6036598744909814E-2</c:v>
                </c:pt>
                <c:pt idx="53">
                  <c:v>1.6511735472051647E-2</c:v>
                </c:pt>
                <c:pt idx="54">
                  <c:v>1.6044789494374267E-2</c:v>
                </c:pt>
                <c:pt idx="55">
                  <c:v>1.6495063966332157E-2</c:v>
                </c:pt>
                <c:pt idx="56">
                  <c:v>1.624952616247155E-2</c:v>
                </c:pt>
                <c:pt idx="57">
                  <c:v>1.494363085241357E-2</c:v>
                </c:pt>
                <c:pt idx="58">
                  <c:v>1.3217467447518061E-2</c:v>
                </c:pt>
                <c:pt idx="59">
                  <c:v>1.3345110961620499E-2</c:v>
                </c:pt>
                <c:pt idx="60">
                  <c:v>1.4787341685146504E-2</c:v>
                </c:pt>
                <c:pt idx="61">
                  <c:v>1.6380476975700997E-2</c:v>
                </c:pt>
                <c:pt idx="62">
                  <c:v>1.3387262217249507E-2</c:v>
                </c:pt>
                <c:pt idx="63">
                  <c:v>3.6523695105077358E-3</c:v>
                </c:pt>
                <c:pt idx="64">
                  <c:v>5.743130057189294E-3</c:v>
                </c:pt>
                <c:pt idx="65">
                  <c:v>4.7732565405387284E-3</c:v>
                </c:pt>
                <c:pt idx="66">
                  <c:v>8.3997619578766169E-3</c:v>
                </c:pt>
                <c:pt idx="67">
                  <c:v>1.0805710471234242E-2</c:v>
                </c:pt>
                <c:pt idx="68">
                  <c:v>1.5356187272935529E-2</c:v>
                </c:pt>
                <c:pt idx="69">
                  <c:v>2.3548291291007217E-2</c:v>
                </c:pt>
                <c:pt idx="70">
                  <c:v>2.2666481121773607E-2</c:v>
                </c:pt>
                <c:pt idx="71">
                  <c:v>2.6117756940279069E-2</c:v>
                </c:pt>
                <c:pt idx="72">
                  <c:v>2.5682123799906975E-2</c:v>
                </c:pt>
                <c:pt idx="73">
                  <c:v>2.4024445040184084E-2</c:v>
                </c:pt>
                <c:pt idx="74">
                  <c:v>2.9340117571672319E-2</c:v>
                </c:pt>
                <c:pt idx="75">
                  <c:v>3.995902677462837E-2</c:v>
                </c:pt>
                <c:pt idx="76">
                  <c:v>4.9055233791839292E-2</c:v>
                </c:pt>
                <c:pt idx="77">
                  <c:v>5.1503360152077349E-2</c:v>
                </c:pt>
                <c:pt idx="78">
                  <c:v>5.3112542879532487E-2</c:v>
                </c:pt>
                <c:pt idx="79">
                  <c:v>5.4941197336392467E-2</c:v>
                </c:pt>
                <c:pt idx="80">
                  <c:v>5.0694969612405938E-2</c:v>
                </c:pt>
                <c:pt idx="81">
                  <c:v>4.8276718440015909E-2</c:v>
                </c:pt>
                <c:pt idx="82">
                  <c:v>4.7805484687338584E-2</c:v>
                </c:pt>
                <c:pt idx="83">
                  <c:v>5.0842556361448743E-2</c:v>
                </c:pt>
                <c:pt idx="84">
                  <c:v>5.174085032996123E-2</c:v>
                </c:pt>
                <c:pt idx="85">
                  <c:v>5.3815686434800725E-2</c:v>
                </c:pt>
                <c:pt idx="86">
                  <c:v>5.7584074978553002E-2</c:v>
                </c:pt>
                <c:pt idx="87">
                  <c:v>5.4385444784387449E-2</c:v>
                </c:pt>
                <c:pt idx="88">
                  <c:v>5.1410952247235908E-2</c:v>
                </c:pt>
                <c:pt idx="89">
                  <c:v>5.0630446774830862E-2</c:v>
                </c:pt>
                <c:pt idx="90">
                  <c:v>4.5320042139907368E-2</c:v>
                </c:pt>
                <c:pt idx="91">
                  <c:v>4.7946519100322327E-2</c:v>
                </c:pt>
                <c:pt idx="92">
                  <c:v>4.921870268079287E-2</c:v>
                </c:pt>
                <c:pt idx="93">
                  <c:v>4.9631063062991476E-2</c:v>
                </c:pt>
                <c:pt idx="94">
                  <c:v>4.8111028930685418E-2</c:v>
                </c:pt>
                <c:pt idx="95">
                  <c:v>4.4579387365711654E-2</c:v>
                </c:pt>
                <c:pt idx="96">
                  <c:v>5.0580498280497821E-2</c:v>
                </c:pt>
                <c:pt idx="97">
                  <c:v>4.6869534205103758E-2</c:v>
                </c:pt>
                <c:pt idx="98">
                  <c:v>4.4418050301775924E-2</c:v>
                </c:pt>
                <c:pt idx="99">
                  <c:v>4.3623521052897907E-2</c:v>
                </c:pt>
                <c:pt idx="100">
                  <c:v>4.3703373260929101E-2</c:v>
                </c:pt>
                <c:pt idx="101">
                  <c:v>3.9401205407249229E-2</c:v>
                </c:pt>
                <c:pt idx="102">
                  <c:v>3.1652554311718095E-2</c:v>
                </c:pt>
                <c:pt idx="103">
                  <c:v>2.6428106423523445E-2</c:v>
                </c:pt>
                <c:pt idx="104">
                  <c:v>2.6289794577380565E-2</c:v>
                </c:pt>
                <c:pt idx="105">
                  <c:v>2.3122342930842699E-2</c:v>
                </c:pt>
                <c:pt idx="106">
                  <c:v>1.8523571848368725E-2</c:v>
                </c:pt>
                <c:pt idx="107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E5D-4DCD-A8E5-ECD9913613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129526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31375680"/>
        <c:crosses val="max"/>
        <c:crossBetween val="between"/>
      </c:valAx>
      <c:catAx>
        <c:axId val="4313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129526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2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E76-4745-B429-195594D6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31375680"/>
        <c:axId val="2129526400"/>
      </c:areaChart>
      <c:lineChart>
        <c:grouping val="standard"/>
        <c:varyColors val="0"/>
        <c:ser>
          <c:idx val="0"/>
          <c:order val="0"/>
          <c:tx>
            <c:strRef>
              <c:f>Inflation!$AF$2</c:f>
              <c:strCache>
                <c:ptCount val="1"/>
                <c:pt idx="0">
                  <c:v>U. Michigan One-Year Inflation Expectations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Inflation!$A$639:$A$938</c:f>
              <c:numCache>
                <c:formatCode>[$-416]mmm\-yy;@</c:formatCode>
                <c:ptCount val="300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  <c:pt idx="288">
                  <c:v>45292</c:v>
                </c:pt>
                <c:pt idx="289">
                  <c:v>45323</c:v>
                </c:pt>
                <c:pt idx="290">
                  <c:v>45352</c:v>
                </c:pt>
                <c:pt idx="291">
                  <c:v>45383</c:v>
                </c:pt>
                <c:pt idx="292">
                  <c:v>45413</c:v>
                </c:pt>
                <c:pt idx="293">
                  <c:v>45444</c:v>
                </c:pt>
                <c:pt idx="294">
                  <c:v>45474</c:v>
                </c:pt>
                <c:pt idx="295">
                  <c:v>45505</c:v>
                </c:pt>
                <c:pt idx="296">
                  <c:v>45536</c:v>
                </c:pt>
                <c:pt idx="297">
                  <c:v>45566</c:v>
                </c:pt>
                <c:pt idx="298">
                  <c:v>45597</c:v>
                </c:pt>
                <c:pt idx="299">
                  <c:v>45627</c:v>
                </c:pt>
              </c:numCache>
            </c:numRef>
          </c:cat>
          <c:val>
            <c:numRef>
              <c:f>Inflation!$AF$639:$AF$938</c:f>
              <c:numCache>
                <c:formatCode>0.00</c:formatCode>
                <c:ptCount val="300"/>
                <c:pt idx="0">
                  <c:v>3</c:v>
                </c:pt>
                <c:pt idx="1">
                  <c:v>2.9</c:v>
                </c:pt>
                <c:pt idx="2">
                  <c:v>3.2</c:v>
                </c:pt>
                <c:pt idx="3">
                  <c:v>3.2</c:v>
                </c:pt>
                <c:pt idx="4">
                  <c:v>3</c:v>
                </c:pt>
                <c:pt idx="5">
                  <c:v>2.9</c:v>
                </c:pt>
                <c:pt idx="6">
                  <c:v>3</c:v>
                </c:pt>
                <c:pt idx="7">
                  <c:v>2.7</c:v>
                </c:pt>
                <c:pt idx="8">
                  <c:v>2.9</c:v>
                </c:pt>
                <c:pt idx="9">
                  <c:v>3.2</c:v>
                </c:pt>
                <c:pt idx="10">
                  <c:v>2.9</c:v>
                </c:pt>
                <c:pt idx="11">
                  <c:v>2.8</c:v>
                </c:pt>
                <c:pt idx="12">
                  <c:v>3</c:v>
                </c:pt>
                <c:pt idx="13">
                  <c:v>2.8</c:v>
                </c:pt>
                <c:pt idx="14">
                  <c:v>2.8</c:v>
                </c:pt>
                <c:pt idx="15">
                  <c:v>3.1</c:v>
                </c:pt>
                <c:pt idx="16">
                  <c:v>3.2</c:v>
                </c:pt>
                <c:pt idx="17">
                  <c:v>3</c:v>
                </c:pt>
                <c:pt idx="18">
                  <c:v>2.6</c:v>
                </c:pt>
                <c:pt idx="19">
                  <c:v>2.7</c:v>
                </c:pt>
                <c:pt idx="20">
                  <c:v>2.8</c:v>
                </c:pt>
                <c:pt idx="21">
                  <c:v>1</c:v>
                </c:pt>
                <c:pt idx="22">
                  <c:v>0.4</c:v>
                </c:pt>
                <c:pt idx="23">
                  <c:v>1.8</c:v>
                </c:pt>
                <c:pt idx="24">
                  <c:v>1.9</c:v>
                </c:pt>
                <c:pt idx="25">
                  <c:v>2.1</c:v>
                </c:pt>
                <c:pt idx="26">
                  <c:v>2.7</c:v>
                </c:pt>
                <c:pt idx="27">
                  <c:v>2.8</c:v>
                </c:pt>
                <c:pt idx="28">
                  <c:v>2.7</c:v>
                </c:pt>
                <c:pt idx="29">
                  <c:v>2.7</c:v>
                </c:pt>
                <c:pt idx="30">
                  <c:v>2.6</c:v>
                </c:pt>
                <c:pt idx="31">
                  <c:v>2.6</c:v>
                </c:pt>
                <c:pt idx="32">
                  <c:v>2.5</c:v>
                </c:pt>
                <c:pt idx="33">
                  <c:v>2.5</c:v>
                </c:pt>
                <c:pt idx="34">
                  <c:v>2.4</c:v>
                </c:pt>
                <c:pt idx="35">
                  <c:v>2.5</c:v>
                </c:pt>
                <c:pt idx="36">
                  <c:v>2.5</c:v>
                </c:pt>
                <c:pt idx="37">
                  <c:v>2.7</c:v>
                </c:pt>
                <c:pt idx="38">
                  <c:v>3.1</c:v>
                </c:pt>
                <c:pt idx="39">
                  <c:v>2.4</c:v>
                </c:pt>
                <c:pt idx="40">
                  <c:v>2</c:v>
                </c:pt>
                <c:pt idx="41">
                  <c:v>2.1</c:v>
                </c:pt>
                <c:pt idx="42">
                  <c:v>1.7</c:v>
                </c:pt>
                <c:pt idx="43">
                  <c:v>2.5</c:v>
                </c:pt>
                <c:pt idx="44">
                  <c:v>2.8</c:v>
                </c:pt>
                <c:pt idx="45">
                  <c:v>2.6</c:v>
                </c:pt>
                <c:pt idx="46">
                  <c:v>2.7</c:v>
                </c:pt>
                <c:pt idx="47">
                  <c:v>2.6</c:v>
                </c:pt>
                <c:pt idx="48">
                  <c:v>2.7</c:v>
                </c:pt>
                <c:pt idx="49">
                  <c:v>2.6</c:v>
                </c:pt>
                <c:pt idx="50">
                  <c:v>2.9</c:v>
                </c:pt>
                <c:pt idx="51">
                  <c:v>3.2</c:v>
                </c:pt>
                <c:pt idx="52">
                  <c:v>3.3</c:v>
                </c:pt>
                <c:pt idx="53">
                  <c:v>3.3</c:v>
                </c:pt>
                <c:pt idx="54">
                  <c:v>3</c:v>
                </c:pt>
                <c:pt idx="55">
                  <c:v>2.8</c:v>
                </c:pt>
                <c:pt idx="56">
                  <c:v>2.8</c:v>
                </c:pt>
                <c:pt idx="57">
                  <c:v>3.1</c:v>
                </c:pt>
                <c:pt idx="58">
                  <c:v>2.8</c:v>
                </c:pt>
                <c:pt idx="59">
                  <c:v>3</c:v>
                </c:pt>
                <c:pt idx="60">
                  <c:v>2.9</c:v>
                </c:pt>
                <c:pt idx="61">
                  <c:v>2.9</c:v>
                </c:pt>
                <c:pt idx="62">
                  <c:v>3.2</c:v>
                </c:pt>
                <c:pt idx="63">
                  <c:v>3.3</c:v>
                </c:pt>
                <c:pt idx="64">
                  <c:v>3.2</c:v>
                </c:pt>
                <c:pt idx="65">
                  <c:v>3.2</c:v>
                </c:pt>
                <c:pt idx="66">
                  <c:v>3</c:v>
                </c:pt>
                <c:pt idx="67">
                  <c:v>3.1</c:v>
                </c:pt>
                <c:pt idx="68">
                  <c:v>4.3</c:v>
                </c:pt>
                <c:pt idx="69">
                  <c:v>4.5999999999999996</c:v>
                </c:pt>
                <c:pt idx="70">
                  <c:v>3.3</c:v>
                </c:pt>
                <c:pt idx="71">
                  <c:v>3.1</c:v>
                </c:pt>
                <c:pt idx="72">
                  <c:v>3</c:v>
                </c:pt>
                <c:pt idx="73">
                  <c:v>3</c:v>
                </c:pt>
                <c:pt idx="74">
                  <c:v>3</c:v>
                </c:pt>
                <c:pt idx="75">
                  <c:v>3.3</c:v>
                </c:pt>
                <c:pt idx="76">
                  <c:v>4</c:v>
                </c:pt>
                <c:pt idx="77">
                  <c:v>3.3</c:v>
                </c:pt>
                <c:pt idx="78">
                  <c:v>3.2</c:v>
                </c:pt>
                <c:pt idx="79">
                  <c:v>3.8</c:v>
                </c:pt>
                <c:pt idx="80">
                  <c:v>3.1</c:v>
                </c:pt>
                <c:pt idx="81">
                  <c:v>3.1</c:v>
                </c:pt>
                <c:pt idx="82">
                  <c:v>3</c:v>
                </c:pt>
                <c:pt idx="83">
                  <c:v>2.9</c:v>
                </c:pt>
                <c:pt idx="84">
                  <c:v>3</c:v>
                </c:pt>
                <c:pt idx="85">
                  <c:v>3</c:v>
                </c:pt>
                <c:pt idx="86">
                  <c:v>3</c:v>
                </c:pt>
                <c:pt idx="87">
                  <c:v>3.3</c:v>
                </c:pt>
                <c:pt idx="88">
                  <c:v>3.3</c:v>
                </c:pt>
                <c:pt idx="89">
                  <c:v>3.4</c:v>
                </c:pt>
                <c:pt idx="90">
                  <c:v>3.4</c:v>
                </c:pt>
                <c:pt idx="91">
                  <c:v>3.2</c:v>
                </c:pt>
                <c:pt idx="92">
                  <c:v>3.1</c:v>
                </c:pt>
                <c:pt idx="93">
                  <c:v>3.1</c:v>
                </c:pt>
                <c:pt idx="94">
                  <c:v>3.4</c:v>
                </c:pt>
                <c:pt idx="95">
                  <c:v>3.4</c:v>
                </c:pt>
                <c:pt idx="96">
                  <c:v>3.4</c:v>
                </c:pt>
                <c:pt idx="97">
                  <c:v>3.6</c:v>
                </c:pt>
                <c:pt idx="98">
                  <c:v>4.3</c:v>
                </c:pt>
                <c:pt idx="99">
                  <c:v>4.8</c:v>
                </c:pt>
                <c:pt idx="100">
                  <c:v>5.2</c:v>
                </c:pt>
                <c:pt idx="101">
                  <c:v>5.0999999999999996</c:v>
                </c:pt>
                <c:pt idx="102">
                  <c:v>5.0999999999999996</c:v>
                </c:pt>
                <c:pt idx="103">
                  <c:v>4.8</c:v>
                </c:pt>
                <c:pt idx="104">
                  <c:v>4.3</c:v>
                </c:pt>
                <c:pt idx="105">
                  <c:v>3.9</c:v>
                </c:pt>
                <c:pt idx="106">
                  <c:v>2.9</c:v>
                </c:pt>
                <c:pt idx="107">
                  <c:v>1.7</c:v>
                </c:pt>
                <c:pt idx="108">
                  <c:v>2.2000000000000002</c:v>
                </c:pt>
                <c:pt idx="109">
                  <c:v>1.9</c:v>
                </c:pt>
                <c:pt idx="110">
                  <c:v>2</c:v>
                </c:pt>
                <c:pt idx="111">
                  <c:v>2.8</c:v>
                </c:pt>
                <c:pt idx="112">
                  <c:v>2.8</c:v>
                </c:pt>
                <c:pt idx="113">
                  <c:v>3.1</c:v>
                </c:pt>
                <c:pt idx="114">
                  <c:v>2.9</c:v>
                </c:pt>
                <c:pt idx="115">
                  <c:v>2.8</c:v>
                </c:pt>
                <c:pt idx="116">
                  <c:v>2.2000000000000002</c:v>
                </c:pt>
                <c:pt idx="117">
                  <c:v>2.9</c:v>
                </c:pt>
                <c:pt idx="118">
                  <c:v>2.7</c:v>
                </c:pt>
                <c:pt idx="119">
                  <c:v>2.5</c:v>
                </c:pt>
                <c:pt idx="120">
                  <c:v>2.8</c:v>
                </c:pt>
                <c:pt idx="121">
                  <c:v>2.7</c:v>
                </c:pt>
                <c:pt idx="122">
                  <c:v>2.7</c:v>
                </c:pt>
                <c:pt idx="123">
                  <c:v>2.9</c:v>
                </c:pt>
                <c:pt idx="124">
                  <c:v>3.2</c:v>
                </c:pt>
                <c:pt idx="125">
                  <c:v>2.8</c:v>
                </c:pt>
                <c:pt idx="126">
                  <c:v>2.7</c:v>
                </c:pt>
                <c:pt idx="127">
                  <c:v>2.7</c:v>
                </c:pt>
                <c:pt idx="128">
                  <c:v>2.2000000000000002</c:v>
                </c:pt>
                <c:pt idx="129">
                  <c:v>2.7</c:v>
                </c:pt>
                <c:pt idx="130">
                  <c:v>3</c:v>
                </c:pt>
                <c:pt idx="131">
                  <c:v>3</c:v>
                </c:pt>
                <c:pt idx="132">
                  <c:v>3.4</c:v>
                </c:pt>
                <c:pt idx="133">
                  <c:v>3.4</c:v>
                </c:pt>
                <c:pt idx="134">
                  <c:v>4.5999999999999996</c:v>
                </c:pt>
                <c:pt idx="135">
                  <c:v>4.5999999999999996</c:v>
                </c:pt>
                <c:pt idx="136">
                  <c:v>4.0999999999999996</c:v>
                </c:pt>
                <c:pt idx="137">
                  <c:v>3.8</c:v>
                </c:pt>
                <c:pt idx="138">
                  <c:v>3.4</c:v>
                </c:pt>
                <c:pt idx="139">
                  <c:v>3.5</c:v>
                </c:pt>
                <c:pt idx="140">
                  <c:v>3.3</c:v>
                </c:pt>
                <c:pt idx="141">
                  <c:v>3.2</c:v>
                </c:pt>
                <c:pt idx="142">
                  <c:v>3.2</c:v>
                </c:pt>
                <c:pt idx="143">
                  <c:v>3.1</c:v>
                </c:pt>
                <c:pt idx="144">
                  <c:v>3.3</c:v>
                </c:pt>
                <c:pt idx="145">
                  <c:v>3.3</c:v>
                </c:pt>
                <c:pt idx="146">
                  <c:v>3.9</c:v>
                </c:pt>
                <c:pt idx="147">
                  <c:v>3.2</c:v>
                </c:pt>
                <c:pt idx="148">
                  <c:v>3</c:v>
                </c:pt>
                <c:pt idx="149">
                  <c:v>3.1</c:v>
                </c:pt>
                <c:pt idx="150">
                  <c:v>3</c:v>
                </c:pt>
                <c:pt idx="151">
                  <c:v>3.6</c:v>
                </c:pt>
                <c:pt idx="152">
                  <c:v>3.3</c:v>
                </c:pt>
                <c:pt idx="153">
                  <c:v>3.1</c:v>
                </c:pt>
                <c:pt idx="154">
                  <c:v>3.1</c:v>
                </c:pt>
                <c:pt idx="155">
                  <c:v>3.2</c:v>
                </c:pt>
                <c:pt idx="156">
                  <c:v>3.3</c:v>
                </c:pt>
                <c:pt idx="157">
                  <c:v>3.3</c:v>
                </c:pt>
                <c:pt idx="158">
                  <c:v>3.2</c:v>
                </c:pt>
                <c:pt idx="159">
                  <c:v>3.1</c:v>
                </c:pt>
                <c:pt idx="160">
                  <c:v>3.1</c:v>
                </c:pt>
                <c:pt idx="161">
                  <c:v>3</c:v>
                </c:pt>
                <c:pt idx="162">
                  <c:v>3.1</c:v>
                </c:pt>
                <c:pt idx="163">
                  <c:v>3</c:v>
                </c:pt>
                <c:pt idx="164">
                  <c:v>3.3</c:v>
                </c:pt>
                <c:pt idx="165">
                  <c:v>3</c:v>
                </c:pt>
                <c:pt idx="166">
                  <c:v>2.9</c:v>
                </c:pt>
                <c:pt idx="167">
                  <c:v>3</c:v>
                </c:pt>
                <c:pt idx="168">
                  <c:v>3.1</c:v>
                </c:pt>
                <c:pt idx="169">
                  <c:v>3.2</c:v>
                </c:pt>
                <c:pt idx="170">
                  <c:v>3.2</c:v>
                </c:pt>
                <c:pt idx="171">
                  <c:v>3.2</c:v>
                </c:pt>
                <c:pt idx="172">
                  <c:v>3.3</c:v>
                </c:pt>
                <c:pt idx="173">
                  <c:v>3.1</c:v>
                </c:pt>
                <c:pt idx="174">
                  <c:v>3.3</c:v>
                </c:pt>
                <c:pt idx="175">
                  <c:v>3.2</c:v>
                </c:pt>
                <c:pt idx="176">
                  <c:v>3</c:v>
                </c:pt>
                <c:pt idx="177">
                  <c:v>2.9</c:v>
                </c:pt>
                <c:pt idx="178">
                  <c:v>2.8</c:v>
                </c:pt>
                <c:pt idx="179">
                  <c:v>2.8</c:v>
                </c:pt>
                <c:pt idx="180">
                  <c:v>2.5</c:v>
                </c:pt>
                <c:pt idx="181">
                  <c:v>2.8</c:v>
                </c:pt>
                <c:pt idx="182">
                  <c:v>3</c:v>
                </c:pt>
                <c:pt idx="183">
                  <c:v>2.6</c:v>
                </c:pt>
                <c:pt idx="184">
                  <c:v>2.8</c:v>
                </c:pt>
                <c:pt idx="185">
                  <c:v>2.7</c:v>
                </c:pt>
                <c:pt idx="186">
                  <c:v>2.8</c:v>
                </c:pt>
                <c:pt idx="187">
                  <c:v>2.8</c:v>
                </c:pt>
                <c:pt idx="188">
                  <c:v>2.8</c:v>
                </c:pt>
                <c:pt idx="189">
                  <c:v>2.7</c:v>
                </c:pt>
                <c:pt idx="190">
                  <c:v>2.7</c:v>
                </c:pt>
                <c:pt idx="191">
                  <c:v>2.6</c:v>
                </c:pt>
                <c:pt idx="192">
                  <c:v>2.5</c:v>
                </c:pt>
                <c:pt idx="193">
                  <c:v>2.5</c:v>
                </c:pt>
                <c:pt idx="194">
                  <c:v>2.7</c:v>
                </c:pt>
                <c:pt idx="195">
                  <c:v>2.8</c:v>
                </c:pt>
                <c:pt idx="196">
                  <c:v>2.4</c:v>
                </c:pt>
                <c:pt idx="197">
                  <c:v>2.6</c:v>
                </c:pt>
                <c:pt idx="198">
                  <c:v>2.7</c:v>
                </c:pt>
                <c:pt idx="199">
                  <c:v>2.5</c:v>
                </c:pt>
                <c:pt idx="200">
                  <c:v>2.4</c:v>
                </c:pt>
                <c:pt idx="201">
                  <c:v>2.4</c:v>
                </c:pt>
                <c:pt idx="202">
                  <c:v>2.4</c:v>
                </c:pt>
                <c:pt idx="203">
                  <c:v>2.2000000000000002</c:v>
                </c:pt>
                <c:pt idx="204">
                  <c:v>2.6</c:v>
                </c:pt>
                <c:pt idx="205">
                  <c:v>2.7</c:v>
                </c:pt>
                <c:pt idx="206">
                  <c:v>2.5</c:v>
                </c:pt>
                <c:pt idx="207">
                  <c:v>2.5</c:v>
                </c:pt>
                <c:pt idx="208">
                  <c:v>2.6</c:v>
                </c:pt>
                <c:pt idx="209">
                  <c:v>2.6</c:v>
                </c:pt>
                <c:pt idx="210">
                  <c:v>2.6</c:v>
                </c:pt>
                <c:pt idx="211">
                  <c:v>2.6</c:v>
                </c:pt>
                <c:pt idx="212">
                  <c:v>2.7</c:v>
                </c:pt>
                <c:pt idx="213">
                  <c:v>2.4</c:v>
                </c:pt>
                <c:pt idx="214">
                  <c:v>2.5</c:v>
                </c:pt>
                <c:pt idx="215">
                  <c:v>2.7</c:v>
                </c:pt>
                <c:pt idx="216">
                  <c:v>2.7</c:v>
                </c:pt>
                <c:pt idx="217">
                  <c:v>2.7</c:v>
                </c:pt>
                <c:pt idx="218">
                  <c:v>2.8</c:v>
                </c:pt>
                <c:pt idx="219">
                  <c:v>2.7</c:v>
                </c:pt>
                <c:pt idx="220">
                  <c:v>2.8</c:v>
                </c:pt>
                <c:pt idx="221">
                  <c:v>3</c:v>
                </c:pt>
                <c:pt idx="222">
                  <c:v>2.9</c:v>
                </c:pt>
                <c:pt idx="223">
                  <c:v>3</c:v>
                </c:pt>
                <c:pt idx="224">
                  <c:v>2.7</c:v>
                </c:pt>
                <c:pt idx="225">
                  <c:v>2.9</c:v>
                </c:pt>
                <c:pt idx="226">
                  <c:v>2.8</c:v>
                </c:pt>
                <c:pt idx="227">
                  <c:v>2.7</c:v>
                </c:pt>
                <c:pt idx="228">
                  <c:v>2.7</c:v>
                </c:pt>
                <c:pt idx="229">
                  <c:v>2.6</c:v>
                </c:pt>
                <c:pt idx="230">
                  <c:v>2.5</c:v>
                </c:pt>
                <c:pt idx="231">
                  <c:v>2.5</c:v>
                </c:pt>
                <c:pt idx="232">
                  <c:v>2.9</c:v>
                </c:pt>
                <c:pt idx="233">
                  <c:v>2.7</c:v>
                </c:pt>
                <c:pt idx="234">
                  <c:v>2.6</c:v>
                </c:pt>
                <c:pt idx="235">
                  <c:v>2.7</c:v>
                </c:pt>
                <c:pt idx="236">
                  <c:v>2.8</c:v>
                </c:pt>
                <c:pt idx="237">
                  <c:v>2.5</c:v>
                </c:pt>
                <c:pt idx="238">
                  <c:v>2.5</c:v>
                </c:pt>
                <c:pt idx="239">
                  <c:v>2.2999999999999998</c:v>
                </c:pt>
                <c:pt idx="240">
                  <c:v>2.5</c:v>
                </c:pt>
                <c:pt idx="241">
                  <c:v>2.4</c:v>
                </c:pt>
                <c:pt idx="242">
                  <c:v>2.2000000000000002</c:v>
                </c:pt>
                <c:pt idx="243">
                  <c:v>2.1</c:v>
                </c:pt>
                <c:pt idx="244">
                  <c:v>3.2</c:v>
                </c:pt>
                <c:pt idx="245">
                  <c:v>3</c:v>
                </c:pt>
                <c:pt idx="246">
                  <c:v>3</c:v>
                </c:pt>
                <c:pt idx="247">
                  <c:v>3.1</c:v>
                </c:pt>
                <c:pt idx="248">
                  <c:v>2.6</c:v>
                </c:pt>
                <c:pt idx="249">
                  <c:v>2.6</c:v>
                </c:pt>
                <c:pt idx="250">
                  <c:v>2.8</c:v>
                </c:pt>
                <c:pt idx="251">
                  <c:v>2.5</c:v>
                </c:pt>
                <c:pt idx="252">
                  <c:v>3</c:v>
                </c:pt>
                <c:pt idx="253">
                  <c:v>3.3</c:v>
                </c:pt>
                <c:pt idx="254">
                  <c:v>3.1</c:v>
                </c:pt>
                <c:pt idx="255">
                  <c:v>3.4</c:v>
                </c:pt>
                <c:pt idx="256">
                  <c:v>4.5999999999999996</c:v>
                </c:pt>
                <c:pt idx="257">
                  <c:v>4.2</c:v>
                </c:pt>
                <c:pt idx="258">
                  <c:v>4.7</c:v>
                </c:pt>
                <c:pt idx="259">
                  <c:v>4.5999999999999996</c:v>
                </c:pt>
                <c:pt idx="260">
                  <c:v>4.5999999999999996</c:v>
                </c:pt>
                <c:pt idx="261">
                  <c:v>4.8</c:v>
                </c:pt>
                <c:pt idx="262">
                  <c:v>4.9000000000000004</c:v>
                </c:pt>
                <c:pt idx="263">
                  <c:v>4.8</c:v>
                </c:pt>
                <c:pt idx="264">
                  <c:v>4.9000000000000004</c:v>
                </c:pt>
                <c:pt idx="265">
                  <c:v>4.9000000000000004</c:v>
                </c:pt>
                <c:pt idx="266">
                  <c:v>5.4</c:v>
                </c:pt>
                <c:pt idx="267">
                  <c:v>5.4</c:v>
                </c:pt>
                <c:pt idx="268">
                  <c:v>5.3</c:v>
                </c:pt>
                <c:pt idx="269">
                  <c:v>5.3</c:v>
                </c:pt>
                <c:pt idx="270">
                  <c:v>5.2</c:v>
                </c:pt>
                <c:pt idx="271">
                  <c:v>4.8</c:v>
                </c:pt>
                <c:pt idx="272">
                  <c:v>4.7</c:v>
                </c:pt>
                <c:pt idx="273">
                  <c:v>5</c:v>
                </c:pt>
                <c:pt idx="274">
                  <c:v>5</c:v>
                </c:pt>
                <c:pt idx="275">
                  <c:v>4.3</c:v>
                </c:pt>
                <c:pt idx="276">
                  <c:v>3.9</c:v>
                </c:pt>
                <c:pt idx="277">
                  <c:v>4.2</c:v>
                </c:pt>
                <c:pt idx="278">
                  <c:v>3.6</c:v>
                </c:pt>
                <c:pt idx="279">
                  <c:v>4.7</c:v>
                </c:pt>
                <c:pt idx="280">
                  <c:v>4.2</c:v>
                </c:pt>
                <c:pt idx="281">
                  <c:v>3.3</c:v>
                </c:pt>
                <c:pt idx="282">
                  <c:v>3.4</c:v>
                </c:pt>
                <c:pt idx="283">
                  <c:v>3.5</c:v>
                </c:pt>
                <c:pt idx="284">
                  <c:v>3.2</c:v>
                </c:pt>
                <c:pt idx="285">
                  <c:v>4.2</c:v>
                </c:pt>
                <c:pt idx="286">
                  <c:v>4.5</c:v>
                </c:pt>
                <c:pt idx="287">
                  <c:v>3.1</c:v>
                </c:pt>
                <c:pt idx="288">
                  <c:v>2.9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76-4745-B429-195594D60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212952640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31375680"/>
        <c:crosses val="max"/>
        <c:crossBetween val="between"/>
      </c:valAx>
      <c:catAx>
        <c:axId val="431375680"/>
        <c:scaling>
          <c:orientation val="minMax"/>
        </c:scaling>
        <c:delete val="1"/>
        <c:axPos val="b"/>
        <c:majorTickMark val="out"/>
        <c:minorTickMark val="none"/>
        <c:tickLblPos val="nextTo"/>
        <c:crossAx val="21295264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'Monetary Policy + Market'!$B$3</c:f>
              <c:strCache>
                <c:ptCount val="1"/>
                <c:pt idx="0">
                  <c:v>Fed Funds Rate (FFR)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dLbls>
            <c:delete val="1"/>
          </c:dLbls>
          <c:cat>
            <c:numRef>
              <c:f>'Monetary Policy + Market'!$A$424:$A$843</c:f>
              <c:numCache>
                <c:formatCode>[$-416]mmm\-yy;@</c:formatCode>
                <c:ptCount val="420"/>
                <c:pt idx="0">
                  <c:v>32874</c:v>
                </c:pt>
                <c:pt idx="1">
                  <c:v>32905</c:v>
                </c:pt>
                <c:pt idx="2">
                  <c:v>32933</c:v>
                </c:pt>
                <c:pt idx="3">
                  <c:v>32964</c:v>
                </c:pt>
                <c:pt idx="4">
                  <c:v>32994</c:v>
                </c:pt>
                <c:pt idx="5">
                  <c:v>33025</c:v>
                </c:pt>
                <c:pt idx="6">
                  <c:v>33055</c:v>
                </c:pt>
                <c:pt idx="7">
                  <c:v>33086</c:v>
                </c:pt>
                <c:pt idx="8">
                  <c:v>33117</c:v>
                </c:pt>
                <c:pt idx="9">
                  <c:v>33147</c:v>
                </c:pt>
                <c:pt idx="10">
                  <c:v>33178</c:v>
                </c:pt>
                <c:pt idx="11">
                  <c:v>33208</c:v>
                </c:pt>
                <c:pt idx="12">
                  <c:v>33239</c:v>
                </c:pt>
                <c:pt idx="13">
                  <c:v>33270</c:v>
                </c:pt>
                <c:pt idx="14">
                  <c:v>33298</c:v>
                </c:pt>
                <c:pt idx="15">
                  <c:v>33329</c:v>
                </c:pt>
                <c:pt idx="16">
                  <c:v>33359</c:v>
                </c:pt>
                <c:pt idx="17">
                  <c:v>33390</c:v>
                </c:pt>
                <c:pt idx="18">
                  <c:v>33420</c:v>
                </c:pt>
                <c:pt idx="19">
                  <c:v>33451</c:v>
                </c:pt>
                <c:pt idx="20">
                  <c:v>33482</c:v>
                </c:pt>
                <c:pt idx="21">
                  <c:v>33512</c:v>
                </c:pt>
                <c:pt idx="22">
                  <c:v>33543</c:v>
                </c:pt>
                <c:pt idx="23">
                  <c:v>33573</c:v>
                </c:pt>
                <c:pt idx="24">
                  <c:v>33604</c:v>
                </c:pt>
                <c:pt idx="25">
                  <c:v>33635</c:v>
                </c:pt>
                <c:pt idx="26">
                  <c:v>33664</c:v>
                </c:pt>
                <c:pt idx="27">
                  <c:v>33695</c:v>
                </c:pt>
                <c:pt idx="28">
                  <c:v>33725</c:v>
                </c:pt>
                <c:pt idx="29">
                  <c:v>33756</c:v>
                </c:pt>
                <c:pt idx="30">
                  <c:v>33786</c:v>
                </c:pt>
                <c:pt idx="31">
                  <c:v>33817</c:v>
                </c:pt>
                <c:pt idx="32">
                  <c:v>33848</c:v>
                </c:pt>
                <c:pt idx="33">
                  <c:v>33878</c:v>
                </c:pt>
                <c:pt idx="34">
                  <c:v>33909</c:v>
                </c:pt>
                <c:pt idx="35">
                  <c:v>33939</c:v>
                </c:pt>
                <c:pt idx="36">
                  <c:v>33970</c:v>
                </c:pt>
                <c:pt idx="37">
                  <c:v>34001</c:v>
                </c:pt>
                <c:pt idx="38">
                  <c:v>34029</c:v>
                </c:pt>
                <c:pt idx="39">
                  <c:v>34060</c:v>
                </c:pt>
                <c:pt idx="40">
                  <c:v>34090</c:v>
                </c:pt>
                <c:pt idx="41">
                  <c:v>34121</c:v>
                </c:pt>
                <c:pt idx="42">
                  <c:v>34151</c:v>
                </c:pt>
                <c:pt idx="43">
                  <c:v>34182</c:v>
                </c:pt>
                <c:pt idx="44">
                  <c:v>34213</c:v>
                </c:pt>
                <c:pt idx="45">
                  <c:v>34243</c:v>
                </c:pt>
                <c:pt idx="46">
                  <c:v>34274</c:v>
                </c:pt>
                <c:pt idx="47">
                  <c:v>34304</c:v>
                </c:pt>
                <c:pt idx="48">
                  <c:v>34335</c:v>
                </c:pt>
                <c:pt idx="49">
                  <c:v>34366</c:v>
                </c:pt>
                <c:pt idx="50">
                  <c:v>34394</c:v>
                </c:pt>
                <c:pt idx="51">
                  <c:v>34425</c:v>
                </c:pt>
                <c:pt idx="52">
                  <c:v>34455</c:v>
                </c:pt>
                <c:pt idx="53">
                  <c:v>34486</c:v>
                </c:pt>
                <c:pt idx="54">
                  <c:v>34516</c:v>
                </c:pt>
                <c:pt idx="55">
                  <c:v>34547</c:v>
                </c:pt>
                <c:pt idx="56">
                  <c:v>34578</c:v>
                </c:pt>
                <c:pt idx="57">
                  <c:v>34608</c:v>
                </c:pt>
                <c:pt idx="58">
                  <c:v>34639</c:v>
                </c:pt>
                <c:pt idx="59">
                  <c:v>34669</c:v>
                </c:pt>
                <c:pt idx="60">
                  <c:v>34700</c:v>
                </c:pt>
                <c:pt idx="61">
                  <c:v>34731</c:v>
                </c:pt>
                <c:pt idx="62">
                  <c:v>34759</c:v>
                </c:pt>
                <c:pt idx="63">
                  <c:v>34790</c:v>
                </c:pt>
                <c:pt idx="64">
                  <c:v>34820</c:v>
                </c:pt>
                <c:pt idx="65">
                  <c:v>34851</c:v>
                </c:pt>
                <c:pt idx="66">
                  <c:v>34881</c:v>
                </c:pt>
                <c:pt idx="67">
                  <c:v>34912</c:v>
                </c:pt>
                <c:pt idx="68">
                  <c:v>34943</c:v>
                </c:pt>
                <c:pt idx="69">
                  <c:v>34973</c:v>
                </c:pt>
                <c:pt idx="70">
                  <c:v>35004</c:v>
                </c:pt>
                <c:pt idx="71">
                  <c:v>35034</c:v>
                </c:pt>
                <c:pt idx="72">
                  <c:v>35065</c:v>
                </c:pt>
                <c:pt idx="73">
                  <c:v>35096</c:v>
                </c:pt>
                <c:pt idx="74">
                  <c:v>35125</c:v>
                </c:pt>
                <c:pt idx="75">
                  <c:v>35156</c:v>
                </c:pt>
                <c:pt idx="76">
                  <c:v>35186</c:v>
                </c:pt>
                <c:pt idx="77">
                  <c:v>35217</c:v>
                </c:pt>
                <c:pt idx="78">
                  <c:v>35247</c:v>
                </c:pt>
                <c:pt idx="79">
                  <c:v>35278</c:v>
                </c:pt>
                <c:pt idx="80">
                  <c:v>35309</c:v>
                </c:pt>
                <c:pt idx="81">
                  <c:v>35339</c:v>
                </c:pt>
                <c:pt idx="82">
                  <c:v>35370</c:v>
                </c:pt>
                <c:pt idx="83">
                  <c:v>35400</c:v>
                </c:pt>
                <c:pt idx="84">
                  <c:v>35431</c:v>
                </c:pt>
                <c:pt idx="85">
                  <c:v>35462</c:v>
                </c:pt>
                <c:pt idx="86">
                  <c:v>35490</c:v>
                </c:pt>
                <c:pt idx="87">
                  <c:v>35521</c:v>
                </c:pt>
                <c:pt idx="88">
                  <c:v>35551</c:v>
                </c:pt>
                <c:pt idx="89">
                  <c:v>35582</c:v>
                </c:pt>
                <c:pt idx="90">
                  <c:v>35612</c:v>
                </c:pt>
                <c:pt idx="91">
                  <c:v>35643</c:v>
                </c:pt>
                <c:pt idx="92">
                  <c:v>35674</c:v>
                </c:pt>
                <c:pt idx="93">
                  <c:v>35704</c:v>
                </c:pt>
                <c:pt idx="94">
                  <c:v>35735</c:v>
                </c:pt>
                <c:pt idx="95">
                  <c:v>35765</c:v>
                </c:pt>
                <c:pt idx="96">
                  <c:v>35796</c:v>
                </c:pt>
                <c:pt idx="97">
                  <c:v>35827</c:v>
                </c:pt>
                <c:pt idx="98">
                  <c:v>35855</c:v>
                </c:pt>
                <c:pt idx="99">
                  <c:v>35886</c:v>
                </c:pt>
                <c:pt idx="100">
                  <c:v>35916</c:v>
                </c:pt>
                <c:pt idx="101">
                  <c:v>35947</c:v>
                </c:pt>
                <c:pt idx="102">
                  <c:v>35977</c:v>
                </c:pt>
                <c:pt idx="103">
                  <c:v>36008</c:v>
                </c:pt>
                <c:pt idx="104">
                  <c:v>36039</c:v>
                </c:pt>
                <c:pt idx="105">
                  <c:v>36069</c:v>
                </c:pt>
                <c:pt idx="106">
                  <c:v>36100</c:v>
                </c:pt>
                <c:pt idx="107">
                  <c:v>36130</c:v>
                </c:pt>
                <c:pt idx="108">
                  <c:v>36161</c:v>
                </c:pt>
                <c:pt idx="109">
                  <c:v>36192</c:v>
                </c:pt>
                <c:pt idx="110">
                  <c:v>36220</c:v>
                </c:pt>
                <c:pt idx="111">
                  <c:v>36251</c:v>
                </c:pt>
                <c:pt idx="112">
                  <c:v>36281</c:v>
                </c:pt>
                <c:pt idx="113">
                  <c:v>36312</c:v>
                </c:pt>
                <c:pt idx="114">
                  <c:v>36342</c:v>
                </c:pt>
                <c:pt idx="115">
                  <c:v>36373</c:v>
                </c:pt>
                <c:pt idx="116">
                  <c:v>36404</c:v>
                </c:pt>
                <c:pt idx="117">
                  <c:v>36434</c:v>
                </c:pt>
                <c:pt idx="118">
                  <c:v>36465</c:v>
                </c:pt>
                <c:pt idx="119">
                  <c:v>36495</c:v>
                </c:pt>
                <c:pt idx="120">
                  <c:v>36526</c:v>
                </c:pt>
                <c:pt idx="121">
                  <c:v>36557</c:v>
                </c:pt>
                <c:pt idx="122">
                  <c:v>36586</c:v>
                </c:pt>
                <c:pt idx="123">
                  <c:v>36617</c:v>
                </c:pt>
                <c:pt idx="124">
                  <c:v>36647</c:v>
                </c:pt>
                <c:pt idx="125">
                  <c:v>36678</c:v>
                </c:pt>
                <c:pt idx="126">
                  <c:v>36708</c:v>
                </c:pt>
                <c:pt idx="127">
                  <c:v>36739</c:v>
                </c:pt>
                <c:pt idx="128">
                  <c:v>36770</c:v>
                </c:pt>
                <c:pt idx="129">
                  <c:v>36800</c:v>
                </c:pt>
                <c:pt idx="130">
                  <c:v>36831</c:v>
                </c:pt>
                <c:pt idx="131">
                  <c:v>36861</c:v>
                </c:pt>
                <c:pt idx="132">
                  <c:v>36892</c:v>
                </c:pt>
                <c:pt idx="133">
                  <c:v>36923</c:v>
                </c:pt>
                <c:pt idx="134">
                  <c:v>36951</c:v>
                </c:pt>
                <c:pt idx="135">
                  <c:v>36982</c:v>
                </c:pt>
                <c:pt idx="136">
                  <c:v>37012</c:v>
                </c:pt>
                <c:pt idx="137">
                  <c:v>37043</c:v>
                </c:pt>
                <c:pt idx="138">
                  <c:v>37073</c:v>
                </c:pt>
                <c:pt idx="139">
                  <c:v>37104</c:v>
                </c:pt>
                <c:pt idx="140">
                  <c:v>37135</c:v>
                </c:pt>
                <c:pt idx="141">
                  <c:v>37165</c:v>
                </c:pt>
                <c:pt idx="142">
                  <c:v>37196</c:v>
                </c:pt>
                <c:pt idx="143">
                  <c:v>37226</c:v>
                </c:pt>
                <c:pt idx="144">
                  <c:v>37257</c:v>
                </c:pt>
                <c:pt idx="145">
                  <c:v>37288</c:v>
                </c:pt>
                <c:pt idx="146">
                  <c:v>37316</c:v>
                </c:pt>
                <c:pt idx="147">
                  <c:v>37347</c:v>
                </c:pt>
                <c:pt idx="148">
                  <c:v>37377</c:v>
                </c:pt>
                <c:pt idx="149">
                  <c:v>37408</c:v>
                </c:pt>
                <c:pt idx="150">
                  <c:v>37438</c:v>
                </c:pt>
                <c:pt idx="151">
                  <c:v>37469</c:v>
                </c:pt>
                <c:pt idx="152">
                  <c:v>37500</c:v>
                </c:pt>
                <c:pt idx="153">
                  <c:v>37530</c:v>
                </c:pt>
                <c:pt idx="154">
                  <c:v>37561</c:v>
                </c:pt>
                <c:pt idx="155">
                  <c:v>37591</c:v>
                </c:pt>
                <c:pt idx="156">
                  <c:v>37622</c:v>
                </c:pt>
                <c:pt idx="157">
                  <c:v>37653</c:v>
                </c:pt>
                <c:pt idx="158">
                  <c:v>37681</c:v>
                </c:pt>
                <c:pt idx="159">
                  <c:v>37712</c:v>
                </c:pt>
                <c:pt idx="160">
                  <c:v>37742</c:v>
                </c:pt>
                <c:pt idx="161">
                  <c:v>37773</c:v>
                </c:pt>
                <c:pt idx="162">
                  <c:v>37803</c:v>
                </c:pt>
                <c:pt idx="163">
                  <c:v>37834</c:v>
                </c:pt>
                <c:pt idx="164">
                  <c:v>37865</c:v>
                </c:pt>
                <c:pt idx="165">
                  <c:v>37895</c:v>
                </c:pt>
                <c:pt idx="166">
                  <c:v>37926</c:v>
                </c:pt>
                <c:pt idx="167">
                  <c:v>37956</c:v>
                </c:pt>
                <c:pt idx="168">
                  <c:v>37987</c:v>
                </c:pt>
                <c:pt idx="169">
                  <c:v>38018</c:v>
                </c:pt>
                <c:pt idx="170">
                  <c:v>38047</c:v>
                </c:pt>
                <c:pt idx="171">
                  <c:v>38078</c:v>
                </c:pt>
                <c:pt idx="172">
                  <c:v>38108</c:v>
                </c:pt>
                <c:pt idx="173">
                  <c:v>38139</c:v>
                </c:pt>
                <c:pt idx="174">
                  <c:v>38169</c:v>
                </c:pt>
                <c:pt idx="175">
                  <c:v>38200</c:v>
                </c:pt>
                <c:pt idx="176">
                  <c:v>38231</c:v>
                </c:pt>
                <c:pt idx="177">
                  <c:v>38261</c:v>
                </c:pt>
                <c:pt idx="178">
                  <c:v>38292</c:v>
                </c:pt>
                <c:pt idx="179">
                  <c:v>38322</c:v>
                </c:pt>
                <c:pt idx="180">
                  <c:v>38353</c:v>
                </c:pt>
                <c:pt idx="181">
                  <c:v>38384</c:v>
                </c:pt>
                <c:pt idx="182">
                  <c:v>38412</c:v>
                </c:pt>
                <c:pt idx="183">
                  <c:v>38443</c:v>
                </c:pt>
                <c:pt idx="184">
                  <c:v>38473</c:v>
                </c:pt>
                <c:pt idx="185">
                  <c:v>38504</c:v>
                </c:pt>
                <c:pt idx="186">
                  <c:v>38534</c:v>
                </c:pt>
                <c:pt idx="187">
                  <c:v>38565</c:v>
                </c:pt>
                <c:pt idx="188">
                  <c:v>38596</c:v>
                </c:pt>
                <c:pt idx="189">
                  <c:v>38626</c:v>
                </c:pt>
                <c:pt idx="190">
                  <c:v>38657</c:v>
                </c:pt>
                <c:pt idx="191">
                  <c:v>38687</c:v>
                </c:pt>
                <c:pt idx="192">
                  <c:v>38718</c:v>
                </c:pt>
                <c:pt idx="193">
                  <c:v>38749</c:v>
                </c:pt>
                <c:pt idx="194">
                  <c:v>38777</c:v>
                </c:pt>
                <c:pt idx="195">
                  <c:v>38808</c:v>
                </c:pt>
                <c:pt idx="196">
                  <c:v>38838</c:v>
                </c:pt>
                <c:pt idx="197">
                  <c:v>38869</c:v>
                </c:pt>
                <c:pt idx="198">
                  <c:v>38899</c:v>
                </c:pt>
                <c:pt idx="199">
                  <c:v>38930</c:v>
                </c:pt>
                <c:pt idx="200">
                  <c:v>38961</c:v>
                </c:pt>
                <c:pt idx="201">
                  <c:v>38991</c:v>
                </c:pt>
                <c:pt idx="202">
                  <c:v>39022</c:v>
                </c:pt>
                <c:pt idx="203">
                  <c:v>39052</c:v>
                </c:pt>
                <c:pt idx="204">
                  <c:v>39083</c:v>
                </c:pt>
                <c:pt idx="205">
                  <c:v>39114</c:v>
                </c:pt>
                <c:pt idx="206">
                  <c:v>39142</c:v>
                </c:pt>
                <c:pt idx="207">
                  <c:v>39173</c:v>
                </c:pt>
                <c:pt idx="208">
                  <c:v>39203</c:v>
                </c:pt>
                <c:pt idx="209">
                  <c:v>39234</c:v>
                </c:pt>
                <c:pt idx="210">
                  <c:v>39264</c:v>
                </c:pt>
                <c:pt idx="211">
                  <c:v>39295</c:v>
                </c:pt>
                <c:pt idx="212">
                  <c:v>39326</c:v>
                </c:pt>
                <c:pt idx="213">
                  <c:v>39356</c:v>
                </c:pt>
                <c:pt idx="214">
                  <c:v>39387</c:v>
                </c:pt>
                <c:pt idx="215">
                  <c:v>39417</c:v>
                </c:pt>
                <c:pt idx="216">
                  <c:v>39448</c:v>
                </c:pt>
                <c:pt idx="217">
                  <c:v>39479</c:v>
                </c:pt>
                <c:pt idx="218">
                  <c:v>39508</c:v>
                </c:pt>
                <c:pt idx="219">
                  <c:v>39539</c:v>
                </c:pt>
                <c:pt idx="220">
                  <c:v>39569</c:v>
                </c:pt>
                <c:pt idx="221">
                  <c:v>39600</c:v>
                </c:pt>
                <c:pt idx="222">
                  <c:v>39630</c:v>
                </c:pt>
                <c:pt idx="223">
                  <c:v>39661</c:v>
                </c:pt>
                <c:pt idx="224">
                  <c:v>39692</c:v>
                </c:pt>
                <c:pt idx="225">
                  <c:v>39722</c:v>
                </c:pt>
                <c:pt idx="226">
                  <c:v>39753</c:v>
                </c:pt>
                <c:pt idx="227">
                  <c:v>39783</c:v>
                </c:pt>
                <c:pt idx="228">
                  <c:v>39814</c:v>
                </c:pt>
                <c:pt idx="229">
                  <c:v>39845</c:v>
                </c:pt>
                <c:pt idx="230">
                  <c:v>39873</c:v>
                </c:pt>
                <c:pt idx="231">
                  <c:v>39904</c:v>
                </c:pt>
                <c:pt idx="232">
                  <c:v>39934</c:v>
                </c:pt>
                <c:pt idx="233">
                  <c:v>39965</c:v>
                </c:pt>
                <c:pt idx="234">
                  <c:v>39995</c:v>
                </c:pt>
                <c:pt idx="235">
                  <c:v>40026</c:v>
                </c:pt>
                <c:pt idx="236">
                  <c:v>40057</c:v>
                </c:pt>
                <c:pt idx="237">
                  <c:v>40087</c:v>
                </c:pt>
                <c:pt idx="238">
                  <c:v>40118</c:v>
                </c:pt>
                <c:pt idx="239">
                  <c:v>40148</c:v>
                </c:pt>
                <c:pt idx="240">
                  <c:v>40179</c:v>
                </c:pt>
                <c:pt idx="241">
                  <c:v>40210</c:v>
                </c:pt>
                <c:pt idx="242">
                  <c:v>40238</c:v>
                </c:pt>
                <c:pt idx="243">
                  <c:v>40269</c:v>
                </c:pt>
                <c:pt idx="244">
                  <c:v>40299</c:v>
                </c:pt>
                <c:pt idx="245">
                  <c:v>40330</c:v>
                </c:pt>
                <c:pt idx="246">
                  <c:v>40360</c:v>
                </c:pt>
                <c:pt idx="247">
                  <c:v>40391</c:v>
                </c:pt>
                <c:pt idx="248">
                  <c:v>40422</c:v>
                </c:pt>
                <c:pt idx="249">
                  <c:v>40452</c:v>
                </c:pt>
                <c:pt idx="250">
                  <c:v>40483</c:v>
                </c:pt>
                <c:pt idx="251">
                  <c:v>40513</c:v>
                </c:pt>
                <c:pt idx="252">
                  <c:v>40544</c:v>
                </c:pt>
                <c:pt idx="253">
                  <c:v>40575</c:v>
                </c:pt>
                <c:pt idx="254">
                  <c:v>40603</c:v>
                </c:pt>
                <c:pt idx="255">
                  <c:v>40634</c:v>
                </c:pt>
                <c:pt idx="256">
                  <c:v>40664</c:v>
                </c:pt>
                <c:pt idx="257">
                  <c:v>40695</c:v>
                </c:pt>
                <c:pt idx="258">
                  <c:v>40725</c:v>
                </c:pt>
                <c:pt idx="259">
                  <c:v>40756</c:v>
                </c:pt>
                <c:pt idx="260">
                  <c:v>40787</c:v>
                </c:pt>
                <c:pt idx="261">
                  <c:v>40817</c:v>
                </c:pt>
                <c:pt idx="262">
                  <c:v>40848</c:v>
                </c:pt>
                <c:pt idx="263">
                  <c:v>40878</c:v>
                </c:pt>
                <c:pt idx="264">
                  <c:v>40909</c:v>
                </c:pt>
                <c:pt idx="265">
                  <c:v>40940</c:v>
                </c:pt>
                <c:pt idx="266">
                  <c:v>40969</c:v>
                </c:pt>
                <c:pt idx="267">
                  <c:v>41000</c:v>
                </c:pt>
                <c:pt idx="268">
                  <c:v>41030</c:v>
                </c:pt>
                <c:pt idx="269">
                  <c:v>41061</c:v>
                </c:pt>
                <c:pt idx="270">
                  <c:v>41091</c:v>
                </c:pt>
                <c:pt idx="271">
                  <c:v>41122</c:v>
                </c:pt>
                <c:pt idx="272">
                  <c:v>41153</c:v>
                </c:pt>
                <c:pt idx="273">
                  <c:v>41183</c:v>
                </c:pt>
                <c:pt idx="274">
                  <c:v>41214</c:v>
                </c:pt>
                <c:pt idx="275">
                  <c:v>41244</c:v>
                </c:pt>
                <c:pt idx="276">
                  <c:v>41275</c:v>
                </c:pt>
                <c:pt idx="277">
                  <c:v>41306</c:v>
                </c:pt>
                <c:pt idx="278">
                  <c:v>41334</c:v>
                </c:pt>
                <c:pt idx="279">
                  <c:v>41365</c:v>
                </c:pt>
                <c:pt idx="280">
                  <c:v>41395</c:v>
                </c:pt>
                <c:pt idx="281">
                  <c:v>41426</c:v>
                </c:pt>
                <c:pt idx="282">
                  <c:v>41456</c:v>
                </c:pt>
                <c:pt idx="283">
                  <c:v>41487</c:v>
                </c:pt>
                <c:pt idx="284">
                  <c:v>41518</c:v>
                </c:pt>
                <c:pt idx="285">
                  <c:v>41548</c:v>
                </c:pt>
                <c:pt idx="286">
                  <c:v>41579</c:v>
                </c:pt>
                <c:pt idx="287">
                  <c:v>41609</c:v>
                </c:pt>
                <c:pt idx="288">
                  <c:v>41640</c:v>
                </c:pt>
                <c:pt idx="289">
                  <c:v>41671</c:v>
                </c:pt>
                <c:pt idx="290">
                  <c:v>41699</c:v>
                </c:pt>
                <c:pt idx="291">
                  <c:v>41730</c:v>
                </c:pt>
                <c:pt idx="292">
                  <c:v>41760</c:v>
                </c:pt>
                <c:pt idx="293">
                  <c:v>41791</c:v>
                </c:pt>
                <c:pt idx="294">
                  <c:v>41821</c:v>
                </c:pt>
                <c:pt idx="295">
                  <c:v>41852</c:v>
                </c:pt>
                <c:pt idx="296">
                  <c:v>41883</c:v>
                </c:pt>
                <c:pt idx="297">
                  <c:v>41913</c:v>
                </c:pt>
                <c:pt idx="298">
                  <c:v>41944</c:v>
                </c:pt>
                <c:pt idx="299">
                  <c:v>41974</c:v>
                </c:pt>
                <c:pt idx="300">
                  <c:v>42005</c:v>
                </c:pt>
                <c:pt idx="301">
                  <c:v>42036</c:v>
                </c:pt>
                <c:pt idx="302">
                  <c:v>42064</c:v>
                </c:pt>
                <c:pt idx="303">
                  <c:v>42095</c:v>
                </c:pt>
                <c:pt idx="304">
                  <c:v>42125</c:v>
                </c:pt>
                <c:pt idx="305">
                  <c:v>42156</c:v>
                </c:pt>
                <c:pt idx="306">
                  <c:v>42186</c:v>
                </c:pt>
                <c:pt idx="307">
                  <c:v>42217</c:v>
                </c:pt>
                <c:pt idx="308">
                  <c:v>42248</c:v>
                </c:pt>
                <c:pt idx="309">
                  <c:v>42278</c:v>
                </c:pt>
                <c:pt idx="310">
                  <c:v>42309</c:v>
                </c:pt>
                <c:pt idx="311">
                  <c:v>42339</c:v>
                </c:pt>
                <c:pt idx="312">
                  <c:v>42370</c:v>
                </c:pt>
                <c:pt idx="313">
                  <c:v>42401</c:v>
                </c:pt>
                <c:pt idx="314">
                  <c:v>42430</c:v>
                </c:pt>
                <c:pt idx="315">
                  <c:v>42461</c:v>
                </c:pt>
                <c:pt idx="316">
                  <c:v>42491</c:v>
                </c:pt>
                <c:pt idx="317">
                  <c:v>42522</c:v>
                </c:pt>
                <c:pt idx="318">
                  <c:v>42552</c:v>
                </c:pt>
                <c:pt idx="319">
                  <c:v>42583</c:v>
                </c:pt>
                <c:pt idx="320">
                  <c:v>42614</c:v>
                </c:pt>
                <c:pt idx="321">
                  <c:v>42644</c:v>
                </c:pt>
                <c:pt idx="322">
                  <c:v>42675</c:v>
                </c:pt>
                <c:pt idx="323">
                  <c:v>42705</c:v>
                </c:pt>
                <c:pt idx="324">
                  <c:v>42736</c:v>
                </c:pt>
                <c:pt idx="325">
                  <c:v>42767</c:v>
                </c:pt>
                <c:pt idx="326">
                  <c:v>42795</c:v>
                </c:pt>
                <c:pt idx="327">
                  <c:v>42826</c:v>
                </c:pt>
                <c:pt idx="328">
                  <c:v>42856</c:v>
                </c:pt>
                <c:pt idx="329">
                  <c:v>42887</c:v>
                </c:pt>
                <c:pt idx="330">
                  <c:v>42917</c:v>
                </c:pt>
                <c:pt idx="331">
                  <c:v>42948</c:v>
                </c:pt>
                <c:pt idx="332">
                  <c:v>42979</c:v>
                </c:pt>
                <c:pt idx="333">
                  <c:v>43009</c:v>
                </c:pt>
                <c:pt idx="334">
                  <c:v>43040</c:v>
                </c:pt>
                <c:pt idx="335">
                  <c:v>43070</c:v>
                </c:pt>
                <c:pt idx="336">
                  <c:v>43101</c:v>
                </c:pt>
                <c:pt idx="337">
                  <c:v>43132</c:v>
                </c:pt>
                <c:pt idx="338">
                  <c:v>43160</c:v>
                </c:pt>
                <c:pt idx="339">
                  <c:v>43191</c:v>
                </c:pt>
                <c:pt idx="340">
                  <c:v>43221</c:v>
                </c:pt>
                <c:pt idx="341">
                  <c:v>43252</c:v>
                </c:pt>
                <c:pt idx="342">
                  <c:v>43282</c:v>
                </c:pt>
                <c:pt idx="343">
                  <c:v>43313</c:v>
                </c:pt>
                <c:pt idx="344">
                  <c:v>43344</c:v>
                </c:pt>
                <c:pt idx="345">
                  <c:v>43374</c:v>
                </c:pt>
                <c:pt idx="346">
                  <c:v>43405</c:v>
                </c:pt>
                <c:pt idx="347">
                  <c:v>43435</c:v>
                </c:pt>
                <c:pt idx="348">
                  <c:v>43466</c:v>
                </c:pt>
                <c:pt idx="349">
                  <c:v>43497</c:v>
                </c:pt>
                <c:pt idx="350">
                  <c:v>43525</c:v>
                </c:pt>
                <c:pt idx="351">
                  <c:v>43556</c:v>
                </c:pt>
                <c:pt idx="352">
                  <c:v>43586</c:v>
                </c:pt>
                <c:pt idx="353">
                  <c:v>43617</c:v>
                </c:pt>
                <c:pt idx="354">
                  <c:v>43647</c:v>
                </c:pt>
                <c:pt idx="355">
                  <c:v>43678</c:v>
                </c:pt>
                <c:pt idx="356">
                  <c:v>43709</c:v>
                </c:pt>
                <c:pt idx="357">
                  <c:v>43739</c:v>
                </c:pt>
                <c:pt idx="358">
                  <c:v>43770</c:v>
                </c:pt>
                <c:pt idx="359">
                  <c:v>43800</c:v>
                </c:pt>
                <c:pt idx="360">
                  <c:v>43831</c:v>
                </c:pt>
                <c:pt idx="361">
                  <c:v>43862</c:v>
                </c:pt>
                <c:pt idx="362">
                  <c:v>43891</c:v>
                </c:pt>
                <c:pt idx="363">
                  <c:v>43922</c:v>
                </c:pt>
                <c:pt idx="364">
                  <c:v>43952</c:v>
                </c:pt>
                <c:pt idx="365">
                  <c:v>43983</c:v>
                </c:pt>
                <c:pt idx="366">
                  <c:v>44013</c:v>
                </c:pt>
                <c:pt idx="367">
                  <c:v>44044</c:v>
                </c:pt>
                <c:pt idx="368">
                  <c:v>44075</c:v>
                </c:pt>
                <c:pt idx="369">
                  <c:v>44105</c:v>
                </c:pt>
                <c:pt idx="370">
                  <c:v>44136</c:v>
                </c:pt>
                <c:pt idx="371">
                  <c:v>44166</c:v>
                </c:pt>
                <c:pt idx="372">
                  <c:v>44197</c:v>
                </c:pt>
                <c:pt idx="373">
                  <c:v>44228</c:v>
                </c:pt>
                <c:pt idx="374">
                  <c:v>44256</c:v>
                </c:pt>
                <c:pt idx="375">
                  <c:v>44287</c:v>
                </c:pt>
                <c:pt idx="376">
                  <c:v>44317</c:v>
                </c:pt>
                <c:pt idx="377">
                  <c:v>44348</c:v>
                </c:pt>
                <c:pt idx="378">
                  <c:v>44378</c:v>
                </c:pt>
                <c:pt idx="379">
                  <c:v>44409</c:v>
                </c:pt>
                <c:pt idx="380">
                  <c:v>44440</c:v>
                </c:pt>
                <c:pt idx="381">
                  <c:v>44470</c:v>
                </c:pt>
                <c:pt idx="382">
                  <c:v>44501</c:v>
                </c:pt>
                <c:pt idx="383">
                  <c:v>44531</c:v>
                </c:pt>
                <c:pt idx="384">
                  <c:v>44562</c:v>
                </c:pt>
                <c:pt idx="385">
                  <c:v>44593</c:v>
                </c:pt>
                <c:pt idx="386">
                  <c:v>44621</c:v>
                </c:pt>
                <c:pt idx="387">
                  <c:v>44652</c:v>
                </c:pt>
                <c:pt idx="388">
                  <c:v>44682</c:v>
                </c:pt>
                <c:pt idx="389">
                  <c:v>44713</c:v>
                </c:pt>
                <c:pt idx="390">
                  <c:v>44743</c:v>
                </c:pt>
                <c:pt idx="391">
                  <c:v>44774</c:v>
                </c:pt>
                <c:pt idx="392">
                  <c:v>44805</c:v>
                </c:pt>
                <c:pt idx="393">
                  <c:v>44835</c:v>
                </c:pt>
                <c:pt idx="394">
                  <c:v>44866</c:v>
                </c:pt>
                <c:pt idx="395">
                  <c:v>44896</c:v>
                </c:pt>
                <c:pt idx="396">
                  <c:v>44927</c:v>
                </c:pt>
                <c:pt idx="397">
                  <c:v>44958</c:v>
                </c:pt>
                <c:pt idx="398">
                  <c:v>44986</c:v>
                </c:pt>
                <c:pt idx="399">
                  <c:v>45017</c:v>
                </c:pt>
                <c:pt idx="400">
                  <c:v>45047</c:v>
                </c:pt>
                <c:pt idx="401">
                  <c:v>45078</c:v>
                </c:pt>
                <c:pt idx="402">
                  <c:v>45108</c:v>
                </c:pt>
                <c:pt idx="403">
                  <c:v>45139</c:v>
                </c:pt>
                <c:pt idx="404">
                  <c:v>45170</c:v>
                </c:pt>
                <c:pt idx="405">
                  <c:v>45200</c:v>
                </c:pt>
                <c:pt idx="406">
                  <c:v>45231</c:v>
                </c:pt>
                <c:pt idx="407">
                  <c:v>45261</c:v>
                </c:pt>
                <c:pt idx="408">
                  <c:v>45292</c:v>
                </c:pt>
                <c:pt idx="409">
                  <c:v>45323</c:v>
                </c:pt>
                <c:pt idx="410">
                  <c:v>45352</c:v>
                </c:pt>
                <c:pt idx="411">
                  <c:v>45383</c:v>
                </c:pt>
                <c:pt idx="412">
                  <c:v>45413</c:v>
                </c:pt>
                <c:pt idx="413">
                  <c:v>45444</c:v>
                </c:pt>
                <c:pt idx="414">
                  <c:v>45474</c:v>
                </c:pt>
                <c:pt idx="415">
                  <c:v>45505</c:v>
                </c:pt>
                <c:pt idx="416">
                  <c:v>45536</c:v>
                </c:pt>
                <c:pt idx="417">
                  <c:v>45566</c:v>
                </c:pt>
                <c:pt idx="418">
                  <c:v>45597</c:v>
                </c:pt>
                <c:pt idx="419">
                  <c:v>45627</c:v>
                </c:pt>
              </c:numCache>
            </c:numRef>
          </c:cat>
          <c:val>
            <c:numRef>
              <c:f>'Monetary Policy + Market'!$B$424:$B$843</c:f>
              <c:numCache>
                <c:formatCode>0.00</c:formatCode>
                <c:ptCount val="420"/>
                <c:pt idx="0">
                  <c:v>8.26</c:v>
                </c:pt>
                <c:pt idx="1">
                  <c:v>8.2899999999999991</c:v>
                </c:pt>
                <c:pt idx="2">
                  <c:v>8.3000000000000007</c:v>
                </c:pt>
                <c:pt idx="3">
                  <c:v>8.23</c:v>
                </c:pt>
                <c:pt idx="4">
                  <c:v>8.23</c:v>
                </c:pt>
                <c:pt idx="5">
                  <c:v>8.32</c:v>
                </c:pt>
                <c:pt idx="6">
                  <c:v>8.0500000000000007</c:v>
                </c:pt>
                <c:pt idx="7">
                  <c:v>8.06</c:v>
                </c:pt>
                <c:pt idx="8">
                  <c:v>8.0299999999999994</c:v>
                </c:pt>
                <c:pt idx="9">
                  <c:v>9.52</c:v>
                </c:pt>
                <c:pt idx="10">
                  <c:v>7.61</c:v>
                </c:pt>
                <c:pt idx="11">
                  <c:v>5.53</c:v>
                </c:pt>
                <c:pt idx="12">
                  <c:v>8.18</c:v>
                </c:pt>
                <c:pt idx="13">
                  <c:v>6.99</c:v>
                </c:pt>
                <c:pt idx="14">
                  <c:v>5.53</c:v>
                </c:pt>
                <c:pt idx="15">
                  <c:v>5.98</c:v>
                </c:pt>
                <c:pt idx="16">
                  <c:v>5.92</c:v>
                </c:pt>
                <c:pt idx="17">
                  <c:v>6.74</c:v>
                </c:pt>
                <c:pt idx="18">
                  <c:v>5.85</c:v>
                </c:pt>
                <c:pt idx="19">
                  <c:v>5.5</c:v>
                </c:pt>
                <c:pt idx="20">
                  <c:v>5.6</c:v>
                </c:pt>
                <c:pt idx="21">
                  <c:v>5.23</c:v>
                </c:pt>
                <c:pt idx="22">
                  <c:v>4.8600000000000003</c:v>
                </c:pt>
                <c:pt idx="23">
                  <c:v>4.09</c:v>
                </c:pt>
                <c:pt idx="24">
                  <c:v>4.4000000000000004</c:v>
                </c:pt>
                <c:pt idx="25">
                  <c:v>4.13</c:v>
                </c:pt>
                <c:pt idx="26">
                  <c:v>4.07</c:v>
                </c:pt>
                <c:pt idx="27">
                  <c:v>3.85</c:v>
                </c:pt>
                <c:pt idx="28">
                  <c:v>3.8</c:v>
                </c:pt>
                <c:pt idx="29">
                  <c:v>4.53</c:v>
                </c:pt>
                <c:pt idx="30">
                  <c:v>3.37</c:v>
                </c:pt>
                <c:pt idx="31">
                  <c:v>3.51</c:v>
                </c:pt>
                <c:pt idx="32">
                  <c:v>4.47</c:v>
                </c:pt>
                <c:pt idx="33">
                  <c:v>3.04</c:v>
                </c:pt>
                <c:pt idx="34">
                  <c:v>3.45</c:v>
                </c:pt>
                <c:pt idx="35">
                  <c:v>2.66</c:v>
                </c:pt>
                <c:pt idx="36">
                  <c:v>3.02</c:v>
                </c:pt>
                <c:pt idx="37">
                  <c:v>3.18</c:v>
                </c:pt>
                <c:pt idx="38">
                  <c:v>3.83</c:v>
                </c:pt>
                <c:pt idx="39">
                  <c:v>3.01</c:v>
                </c:pt>
                <c:pt idx="40">
                  <c:v>3.02</c:v>
                </c:pt>
                <c:pt idx="41">
                  <c:v>3.92</c:v>
                </c:pt>
                <c:pt idx="42">
                  <c:v>3.07</c:v>
                </c:pt>
                <c:pt idx="43">
                  <c:v>3.19</c:v>
                </c:pt>
                <c:pt idx="44">
                  <c:v>3.99</c:v>
                </c:pt>
                <c:pt idx="45">
                  <c:v>3.03</c:v>
                </c:pt>
                <c:pt idx="46">
                  <c:v>3.16</c:v>
                </c:pt>
                <c:pt idx="47">
                  <c:v>2.85</c:v>
                </c:pt>
                <c:pt idx="48">
                  <c:v>3.68</c:v>
                </c:pt>
                <c:pt idx="49">
                  <c:v>3.49</c:v>
                </c:pt>
                <c:pt idx="50">
                  <c:v>4.18</c:v>
                </c:pt>
                <c:pt idx="51">
                  <c:v>3.73</c:v>
                </c:pt>
                <c:pt idx="52">
                  <c:v>4.5999999999999996</c:v>
                </c:pt>
                <c:pt idx="53">
                  <c:v>5.96</c:v>
                </c:pt>
                <c:pt idx="54">
                  <c:v>4.29</c:v>
                </c:pt>
                <c:pt idx="55">
                  <c:v>4.7</c:v>
                </c:pt>
                <c:pt idx="56">
                  <c:v>5.44</c:v>
                </c:pt>
                <c:pt idx="57">
                  <c:v>4.9000000000000004</c:v>
                </c:pt>
                <c:pt idx="58">
                  <c:v>5.66</c:v>
                </c:pt>
                <c:pt idx="59">
                  <c:v>4.9400000000000004</c:v>
                </c:pt>
                <c:pt idx="60">
                  <c:v>5.86</c:v>
                </c:pt>
                <c:pt idx="61">
                  <c:v>6.1</c:v>
                </c:pt>
                <c:pt idx="62">
                  <c:v>6.3</c:v>
                </c:pt>
                <c:pt idx="63">
                  <c:v>6.06</c:v>
                </c:pt>
                <c:pt idx="64">
                  <c:v>6.17</c:v>
                </c:pt>
                <c:pt idx="65">
                  <c:v>6.11</c:v>
                </c:pt>
                <c:pt idx="66">
                  <c:v>5.97</c:v>
                </c:pt>
                <c:pt idx="67">
                  <c:v>5.93</c:v>
                </c:pt>
                <c:pt idx="68">
                  <c:v>6.2</c:v>
                </c:pt>
                <c:pt idx="69">
                  <c:v>5.97</c:v>
                </c:pt>
                <c:pt idx="70">
                  <c:v>6.11</c:v>
                </c:pt>
                <c:pt idx="71">
                  <c:v>4.7300000000000004</c:v>
                </c:pt>
                <c:pt idx="72">
                  <c:v>5.71</c:v>
                </c:pt>
                <c:pt idx="73">
                  <c:v>6.05</c:v>
                </c:pt>
                <c:pt idx="74">
                  <c:v>5.25</c:v>
                </c:pt>
                <c:pt idx="75">
                  <c:v>5.5</c:v>
                </c:pt>
                <c:pt idx="76">
                  <c:v>5.31</c:v>
                </c:pt>
                <c:pt idx="77">
                  <c:v>5</c:v>
                </c:pt>
                <c:pt idx="78">
                  <c:v>6.75</c:v>
                </c:pt>
                <c:pt idx="79">
                  <c:v>5.28</c:v>
                </c:pt>
                <c:pt idx="80">
                  <c:v>6.09</c:v>
                </c:pt>
                <c:pt idx="81">
                  <c:v>5.63</c:v>
                </c:pt>
                <c:pt idx="82">
                  <c:v>5.44</c:v>
                </c:pt>
                <c:pt idx="83">
                  <c:v>6.26</c:v>
                </c:pt>
                <c:pt idx="84">
                  <c:v>5.37</c:v>
                </c:pt>
                <c:pt idx="85">
                  <c:v>5.5</c:v>
                </c:pt>
                <c:pt idx="86">
                  <c:v>7.07</c:v>
                </c:pt>
                <c:pt idx="87">
                  <c:v>5.82</c:v>
                </c:pt>
                <c:pt idx="88">
                  <c:v>5.58</c:v>
                </c:pt>
                <c:pt idx="89">
                  <c:v>6.87</c:v>
                </c:pt>
                <c:pt idx="90">
                  <c:v>5.96</c:v>
                </c:pt>
                <c:pt idx="91">
                  <c:v>5.52</c:v>
                </c:pt>
                <c:pt idx="92">
                  <c:v>5.81</c:v>
                </c:pt>
                <c:pt idx="93">
                  <c:v>5.56</c:v>
                </c:pt>
                <c:pt idx="94">
                  <c:v>5.5</c:v>
                </c:pt>
                <c:pt idx="95">
                  <c:v>5.84</c:v>
                </c:pt>
                <c:pt idx="96">
                  <c:v>5.48</c:v>
                </c:pt>
                <c:pt idx="97">
                  <c:v>5.57</c:v>
                </c:pt>
                <c:pt idx="98">
                  <c:v>5.88</c:v>
                </c:pt>
                <c:pt idx="99">
                  <c:v>5.59</c:v>
                </c:pt>
                <c:pt idx="100">
                  <c:v>5.63</c:v>
                </c:pt>
                <c:pt idx="101">
                  <c:v>7.06</c:v>
                </c:pt>
                <c:pt idx="102">
                  <c:v>5.63</c:v>
                </c:pt>
                <c:pt idx="103">
                  <c:v>5.89</c:v>
                </c:pt>
                <c:pt idx="104">
                  <c:v>6.14</c:v>
                </c:pt>
                <c:pt idx="105">
                  <c:v>5.35</c:v>
                </c:pt>
                <c:pt idx="106">
                  <c:v>5.1100000000000003</c:v>
                </c:pt>
                <c:pt idx="107">
                  <c:v>4.07</c:v>
                </c:pt>
                <c:pt idx="108">
                  <c:v>4.79</c:v>
                </c:pt>
                <c:pt idx="109">
                  <c:v>4.84</c:v>
                </c:pt>
                <c:pt idx="110">
                  <c:v>4.9800000000000004</c:v>
                </c:pt>
                <c:pt idx="111">
                  <c:v>5.03</c:v>
                </c:pt>
                <c:pt idx="112">
                  <c:v>4.6100000000000003</c:v>
                </c:pt>
                <c:pt idx="113">
                  <c:v>5.12</c:v>
                </c:pt>
                <c:pt idx="114">
                  <c:v>5.07</c:v>
                </c:pt>
                <c:pt idx="115">
                  <c:v>5.57</c:v>
                </c:pt>
                <c:pt idx="116">
                  <c:v>5.51</c:v>
                </c:pt>
                <c:pt idx="117">
                  <c:v>5.27</c:v>
                </c:pt>
                <c:pt idx="118">
                  <c:v>5.63</c:v>
                </c:pt>
                <c:pt idx="119">
                  <c:v>3.99</c:v>
                </c:pt>
                <c:pt idx="120">
                  <c:v>5.87</c:v>
                </c:pt>
                <c:pt idx="121">
                  <c:v>5.85</c:v>
                </c:pt>
                <c:pt idx="122">
                  <c:v>6.17</c:v>
                </c:pt>
                <c:pt idx="123">
                  <c:v>6.06</c:v>
                </c:pt>
                <c:pt idx="124">
                  <c:v>6.83</c:v>
                </c:pt>
                <c:pt idx="125">
                  <c:v>6.86</c:v>
                </c:pt>
                <c:pt idx="126">
                  <c:v>6.64</c:v>
                </c:pt>
                <c:pt idx="127">
                  <c:v>6.65</c:v>
                </c:pt>
                <c:pt idx="128">
                  <c:v>6.6</c:v>
                </c:pt>
                <c:pt idx="129">
                  <c:v>6.59</c:v>
                </c:pt>
                <c:pt idx="130">
                  <c:v>6.62</c:v>
                </c:pt>
                <c:pt idx="131">
                  <c:v>5.41</c:v>
                </c:pt>
                <c:pt idx="132">
                  <c:v>5.74</c:v>
                </c:pt>
                <c:pt idx="133">
                  <c:v>5.59</c:v>
                </c:pt>
                <c:pt idx="134">
                  <c:v>5.29</c:v>
                </c:pt>
                <c:pt idx="135">
                  <c:v>4.67</c:v>
                </c:pt>
                <c:pt idx="136">
                  <c:v>4.24</c:v>
                </c:pt>
                <c:pt idx="137">
                  <c:v>3.95</c:v>
                </c:pt>
                <c:pt idx="138">
                  <c:v>3.82</c:v>
                </c:pt>
                <c:pt idx="139">
                  <c:v>3.66</c:v>
                </c:pt>
                <c:pt idx="140">
                  <c:v>2.75</c:v>
                </c:pt>
                <c:pt idx="141">
                  <c:v>2.66</c:v>
                </c:pt>
                <c:pt idx="142">
                  <c:v>2.06</c:v>
                </c:pt>
                <c:pt idx="143">
                  <c:v>1.52</c:v>
                </c:pt>
                <c:pt idx="144">
                  <c:v>1.85</c:v>
                </c:pt>
                <c:pt idx="145">
                  <c:v>1.83</c:v>
                </c:pt>
                <c:pt idx="146">
                  <c:v>1.74</c:v>
                </c:pt>
                <c:pt idx="147">
                  <c:v>1.82</c:v>
                </c:pt>
                <c:pt idx="148">
                  <c:v>1.79</c:v>
                </c:pt>
                <c:pt idx="149">
                  <c:v>1.73</c:v>
                </c:pt>
                <c:pt idx="150">
                  <c:v>1.76</c:v>
                </c:pt>
                <c:pt idx="151">
                  <c:v>1.81</c:v>
                </c:pt>
                <c:pt idx="152">
                  <c:v>1.85</c:v>
                </c:pt>
                <c:pt idx="153">
                  <c:v>1.82</c:v>
                </c:pt>
                <c:pt idx="154">
                  <c:v>1.23</c:v>
                </c:pt>
                <c:pt idx="155">
                  <c:v>1.1599999999999999</c:v>
                </c:pt>
                <c:pt idx="156">
                  <c:v>1.33</c:v>
                </c:pt>
                <c:pt idx="157">
                  <c:v>1.33</c:v>
                </c:pt>
                <c:pt idx="158">
                  <c:v>1.38</c:v>
                </c:pt>
                <c:pt idx="159">
                  <c:v>1.31</c:v>
                </c:pt>
                <c:pt idx="160">
                  <c:v>1.28</c:v>
                </c:pt>
                <c:pt idx="161">
                  <c:v>1.45</c:v>
                </c:pt>
                <c:pt idx="162">
                  <c:v>1.04</c:v>
                </c:pt>
                <c:pt idx="163">
                  <c:v>1.01</c:v>
                </c:pt>
                <c:pt idx="164">
                  <c:v>1.17</c:v>
                </c:pt>
                <c:pt idx="165">
                  <c:v>1.03</c:v>
                </c:pt>
                <c:pt idx="166">
                  <c:v>1.01</c:v>
                </c:pt>
                <c:pt idx="167">
                  <c:v>0.94</c:v>
                </c:pt>
                <c:pt idx="168">
                  <c:v>1.03</c:v>
                </c:pt>
                <c:pt idx="169">
                  <c:v>1.04</c:v>
                </c:pt>
                <c:pt idx="170">
                  <c:v>1.05</c:v>
                </c:pt>
                <c:pt idx="171">
                  <c:v>1.03</c:v>
                </c:pt>
                <c:pt idx="172">
                  <c:v>1.02</c:v>
                </c:pt>
                <c:pt idx="173">
                  <c:v>1.38</c:v>
                </c:pt>
                <c:pt idx="174">
                  <c:v>1.29</c:v>
                </c:pt>
                <c:pt idx="175">
                  <c:v>1.55</c:v>
                </c:pt>
                <c:pt idx="176">
                  <c:v>1.94</c:v>
                </c:pt>
                <c:pt idx="177">
                  <c:v>1.79</c:v>
                </c:pt>
                <c:pt idx="178">
                  <c:v>2.02</c:v>
                </c:pt>
                <c:pt idx="179">
                  <c:v>1.97</c:v>
                </c:pt>
                <c:pt idx="180">
                  <c:v>2.5</c:v>
                </c:pt>
                <c:pt idx="181">
                  <c:v>2.52</c:v>
                </c:pt>
                <c:pt idx="182">
                  <c:v>2.96</c:v>
                </c:pt>
                <c:pt idx="183">
                  <c:v>2.97</c:v>
                </c:pt>
                <c:pt idx="184">
                  <c:v>3.09</c:v>
                </c:pt>
                <c:pt idx="185">
                  <c:v>3.35</c:v>
                </c:pt>
                <c:pt idx="186">
                  <c:v>3.31</c:v>
                </c:pt>
                <c:pt idx="187">
                  <c:v>3.63</c:v>
                </c:pt>
                <c:pt idx="188">
                  <c:v>3.93</c:v>
                </c:pt>
                <c:pt idx="189">
                  <c:v>4.0199999999999996</c:v>
                </c:pt>
                <c:pt idx="190">
                  <c:v>4.03</c:v>
                </c:pt>
                <c:pt idx="191">
                  <c:v>4.09</c:v>
                </c:pt>
                <c:pt idx="192">
                  <c:v>4.47</c:v>
                </c:pt>
                <c:pt idx="193">
                  <c:v>4.5199999999999996</c:v>
                </c:pt>
                <c:pt idx="194">
                  <c:v>5</c:v>
                </c:pt>
                <c:pt idx="195">
                  <c:v>4.8600000000000003</c:v>
                </c:pt>
                <c:pt idx="196">
                  <c:v>5.05</c:v>
                </c:pt>
                <c:pt idx="197">
                  <c:v>5.05</c:v>
                </c:pt>
                <c:pt idx="198">
                  <c:v>5.31</c:v>
                </c:pt>
                <c:pt idx="199">
                  <c:v>5.31</c:v>
                </c:pt>
                <c:pt idx="200">
                  <c:v>5.34</c:v>
                </c:pt>
                <c:pt idx="201">
                  <c:v>5.31</c:v>
                </c:pt>
                <c:pt idx="202">
                  <c:v>5.31</c:v>
                </c:pt>
                <c:pt idx="203">
                  <c:v>5.17</c:v>
                </c:pt>
                <c:pt idx="204">
                  <c:v>5.33</c:v>
                </c:pt>
                <c:pt idx="205">
                  <c:v>5.41</c:v>
                </c:pt>
                <c:pt idx="206">
                  <c:v>5.3</c:v>
                </c:pt>
                <c:pt idx="207">
                  <c:v>5.29</c:v>
                </c:pt>
                <c:pt idx="208">
                  <c:v>5.28</c:v>
                </c:pt>
                <c:pt idx="209">
                  <c:v>5.31</c:v>
                </c:pt>
                <c:pt idx="210">
                  <c:v>5.28</c:v>
                </c:pt>
                <c:pt idx="211">
                  <c:v>4.96</c:v>
                </c:pt>
                <c:pt idx="212">
                  <c:v>4.58</c:v>
                </c:pt>
                <c:pt idx="213">
                  <c:v>4.5999999999999996</c:v>
                </c:pt>
                <c:pt idx="214">
                  <c:v>4.66</c:v>
                </c:pt>
                <c:pt idx="215">
                  <c:v>3.06</c:v>
                </c:pt>
                <c:pt idx="216">
                  <c:v>3.22</c:v>
                </c:pt>
                <c:pt idx="217">
                  <c:v>3.01</c:v>
                </c:pt>
                <c:pt idx="218">
                  <c:v>2.5099999999999998</c:v>
                </c:pt>
                <c:pt idx="219">
                  <c:v>2.37</c:v>
                </c:pt>
                <c:pt idx="220">
                  <c:v>1.98</c:v>
                </c:pt>
                <c:pt idx="221">
                  <c:v>2.4700000000000002</c:v>
                </c:pt>
                <c:pt idx="222">
                  <c:v>2.09</c:v>
                </c:pt>
                <c:pt idx="223">
                  <c:v>1.94</c:v>
                </c:pt>
                <c:pt idx="224">
                  <c:v>2.0299999999999998</c:v>
                </c:pt>
                <c:pt idx="225">
                  <c:v>0.22</c:v>
                </c:pt>
                <c:pt idx="226">
                  <c:v>0.52</c:v>
                </c:pt>
                <c:pt idx="227">
                  <c:v>0.14000000000000001</c:v>
                </c:pt>
                <c:pt idx="228">
                  <c:v>0.23</c:v>
                </c:pt>
                <c:pt idx="229">
                  <c:v>0.22</c:v>
                </c:pt>
                <c:pt idx="230">
                  <c:v>0.16</c:v>
                </c:pt>
                <c:pt idx="231">
                  <c:v>0.2</c:v>
                </c:pt>
                <c:pt idx="232">
                  <c:v>0.19</c:v>
                </c:pt>
                <c:pt idx="233">
                  <c:v>0.22</c:v>
                </c:pt>
                <c:pt idx="234">
                  <c:v>0.18</c:v>
                </c:pt>
                <c:pt idx="235">
                  <c:v>0.15</c:v>
                </c:pt>
                <c:pt idx="236">
                  <c:v>7.0000000000000007E-2</c:v>
                </c:pt>
                <c:pt idx="237">
                  <c:v>0.11</c:v>
                </c:pt>
                <c:pt idx="238">
                  <c:v>0.13</c:v>
                </c:pt>
                <c:pt idx="239">
                  <c:v>0.05</c:v>
                </c:pt>
                <c:pt idx="240">
                  <c:v>0.12</c:v>
                </c:pt>
                <c:pt idx="241">
                  <c:v>0.13</c:v>
                </c:pt>
                <c:pt idx="242">
                  <c:v>0.09</c:v>
                </c:pt>
                <c:pt idx="243">
                  <c:v>0.2</c:v>
                </c:pt>
                <c:pt idx="244">
                  <c:v>0.19</c:v>
                </c:pt>
                <c:pt idx="245">
                  <c:v>0.09</c:v>
                </c:pt>
                <c:pt idx="246">
                  <c:v>0.18</c:v>
                </c:pt>
                <c:pt idx="247">
                  <c:v>0.21</c:v>
                </c:pt>
                <c:pt idx="248">
                  <c:v>0.15</c:v>
                </c:pt>
                <c:pt idx="249">
                  <c:v>0.2</c:v>
                </c:pt>
                <c:pt idx="250">
                  <c:v>0.2</c:v>
                </c:pt>
                <c:pt idx="251">
                  <c:v>0.13</c:v>
                </c:pt>
                <c:pt idx="252">
                  <c:v>0.17</c:v>
                </c:pt>
                <c:pt idx="253">
                  <c:v>0.16</c:v>
                </c:pt>
                <c:pt idx="254">
                  <c:v>0.1</c:v>
                </c:pt>
                <c:pt idx="255">
                  <c:v>0.09</c:v>
                </c:pt>
                <c:pt idx="256">
                  <c:v>0.1</c:v>
                </c:pt>
                <c:pt idx="257">
                  <c:v>7.0000000000000007E-2</c:v>
                </c:pt>
                <c:pt idx="258">
                  <c:v>0.11</c:v>
                </c:pt>
                <c:pt idx="259">
                  <c:v>0.08</c:v>
                </c:pt>
                <c:pt idx="260">
                  <c:v>0.06</c:v>
                </c:pt>
                <c:pt idx="261">
                  <c:v>0.09</c:v>
                </c:pt>
                <c:pt idx="262">
                  <c:v>0.1</c:v>
                </c:pt>
                <c:pt idx="263">
                  <c:v>0.04</c:v>
                </c:pt>
                <c:pt idx="264">
                  <c:v>0.11</c:v>
                </c:pt>
                <c:pt idx="265">
                  <c:v>0.1</c:v>
                </c:pt>
                <c:pt idx="266">
                  <c:v>0.09</c:v>
                </c:pt>
                <c:pt idx="267">
                  <c:v>0.16</c:v>
                </c:pt>
                <c:pt idx="268">
                  <c:v>0.16</c:v>
                </c:pt>
                <c:pt idx="269">
                  <c:v>0.09</c:v>
                </c:pt>
                <c:pt idx="270">
                  <c:v>0.13</c:v>
                </c:pt>
                <c:pt idx="271">
                  <c:v>0.13</c:v>
                </c:pt>
                <c:pt idx="272">
                  <c:v>0.09</c:v>
                </c:pt>
                <c:pt idx="273">
                  <c:v>0.18</c:v>
                </c:pt>
                <c:pt idx="274">
                  <c:v>0.16</c:v>
                </c:pt>
                <c:pt idx="275">
                  <c:v>0.09</c:v>
                </c:pt>
                <c:pt idx="276">
                  <c:v>0.15</c:v>
                </c:pt>
                <c:pt idx="277">
                  <c:v>0.14000000000000001</c:v>
                </c:pt>
                <c:pt idx="278">
                  <c:v>0.09</c:v>
                </c:pt>
                <c:pt idx="279">
                  <c:v>0.14000000000000001</c:v>
                </c:pt>
                <c:pt idx="280">
                  <c:v>0.09</c:v>
                </c:pt>
                <c:pt idx="281">
                  <c:v>7.0000000000000007E-2</c:v>
                </c:pt>
                <c:pt idx="282">
                  <c:v>0.09</c:v>
                </c:pt>
                <c:pt idx="283">
                  <c:v>7.0000000000000007E-2</c:v>
                </c:pt>
                <c:pt idx="284">
                  <c:v>0.06</c:v>
                </c:pt>
                <c:pt idx="285">
                  <c:v>7.0000000000000007E-2</c:v>
                </c:pt>
                <c:pt idx="286">
                  <c:v>7.0000000000000007E-2</c:v>
                </c:pt>
                <c:pt idx="287">
                  <c:v>7.0000000000000007E-2</c:v>
                </c:pt>
                <c:pt idx="288">
                  <c:v>7.0000000000000007E-2</c:v>
                </c:pt>
                <c:pt idx="289">
                  <c:v>0.06</c:v>
                </c:pt>
                <c:pt idx="290">
                  <c:v>0.06</c:v>
                </c:pt>
                <c:pt idx="291">
                  <c:v>0.09</c:v>
                </c:pt>
                <c:pt idx="292">
                  <c:v>0.08</c:v>
                </c:pt>
                <c:pt idx="293">
                  <c:v>0.09</c:v>
                </c:pt>
                <c:pt idx="294">
                  <c:v>0.08</c:v>
                </c:pt>
                <c:pt idx="295">
                  <c:v>7.0000000000000007E-2</c:v>
                </c:pt>
                <c:pt idx="296">
                  <c:v>7.0000000000000007E-2</c:v>
                </c:pt>
                <c:pt idx="297">
                  <c:v>7.0000000000000007E-2</c:v>
                </c:pt>
                <c:pt idx="298">
                  <c:v>0.08</c:v>
                </c:pt>
                <c:pt idx="299">
                  <c:v>0.06</c:v>
                </c:pt>
                <c:pt idx="300">
                  <c:v>0.06</c:v>
                </c:pt>
                <c:pt idx="301">
                  <c:v>0.06</c:v>
                </c:pt>
                <c:pt idx="302">
                  <c:v>0.06</c:v>
                </c:pt>
                <c:pt idx="303">
                  <c:v>0.08</c:v>
                </c:pt>
                <c:pt idx="304">
                  <c:v>0.08</c:v>
                </c:pt>
                <c:pt idx="305">
                  <c:v>0.08</c:v>
                </c:pt>
                <c:pt idx="306">
                  <c:v>0.08</c:v>
                </c:pt>
                <c:pt idx="307">
                  <c:v>0.08</c:v>
                </c:pt>
                <c:pt idx="308">
                  <c:v>7.0000000000000007E-2</c:v>
                </c:pt>
                <c:pt idx="309">
                  <c:v>7.0000000000000007E-2</c:v>
                </c:pt>
                <c:pt idx="310">
                  <c:v>0.08</c:v>
                </c:pt>
                <c:pt idx="311">
                  <c:v>0.2</c:v>
                </c:pt>
                <c:pt idx="312">
                  <c:v>0.28999999999999998</c:v>
                </c:pt>
                <c:pt idx="313">
                  <c:v>0.28999999999999998</c:v>
                </c:pt>
                <c:pt idx="314">
                  <c:v>0.25</c:v>
                </c:pt>
                <c:pt idx="315">
                  <c:v>0.3</c:v>
                </c:pt>
                <c:pt idx="316">
                  <c:v>0.28999999999999998</c:v>
                </c:pt>
                <c:pt idx="317">
                  <c:v>0.3</c:v>
                </c:pt>
                <c:pt idx="318">
                  <c:v>0.3</c:v>
                </c:pt>
                <c:pt idx="319">
                  <c:v>0.3</c:v>
                </c:pt>
                <c:pt idx="320">
                  <c:v>0.28999999999999998</c:v>
                </c:pt>
                <c:pt idx="321">
                  <c:v>0.31</c:v>
                </c:pt>
                <c:pt idx="322">
                  <c:v>0.31</c:v>
                </c:pt>
                <c:pt idx="323">
                  <c:v>0.55000000000000004</c:v>
                </c:pt>
                <c:pt idx="324">
                  <c:v>0.56000000000000005</c:v>
                </c:pt>
                <c:pt idx="325">
                  <c:v>0.56999999999999995</c:v>
                </c:pt>
                <c:pt idx="326">
                  <c:v>0.82</c:v>
                </c:pt>
                <c:pt idx="327">
                  <c:v>0.83</c:v>
                </c:pt>
                <c:pt idx="328">
                  <c:v>0.83</c:v>
                </c:pt>
                <c:pt idx="329">
                  <c:v>1.06</c:v>
                </c:pt>
                <c:pt idx="330">
                  <c:v>1.07</c:v>
                </c:pt>
                <c:pt idx="331">
                  <c:v>1.07</c:v>
                </c:pt>
                <c:pt idx="332">
                  <c:v>1.06</c:v>
                </c:pt>
                <c:pt idx="333">
                  <c:v>1.07</c:v>
                </c:pt>
                <c:pt idx="334">
                  <c:v>1.07</c:v>
                </c:pt>
                <c:pt idx="335">
                  <c:v>1.33</c:v>
                </c:pt>
                <c:pt idx="336">
                  <c:v>1.34</c:v>
                </c:pt>
                <c:pt idx="337">
                  <c:v>1.35</c:v>
                </c:pt>
                <c:pt idx="338">
                  <c:v>1.67</c:v>
                </c:pt>
                <c:pt idx="339">
                  <c:v>1.69</c:v>
                </c:pt>
                <c:pt idx="340">
                  <c:v>1.7</c:v>
                </c:pt>
                <c:pt idx="341">
                  <c:v>1.91</c:v>
                </c:pt>
                <c:pt idx="342">
                  <c:v>1.91</c:v>
                </c:pt>
                <c:pt idx="343">
                  <c:v>1.91</c:v>
                </c:pt>
                <c:pt idx="344">
                  <c:v>2.1800000000000002</c:v>
                </c:pt>
                <c:pt idx="345">
                  <c:v>2.2000000000000002</c:v>
                </c:pt>
                <c:pt idx="346">
                  <c:v>2.2000000000000002</c:v>
                </c:pt>
                <c:pt idx="347">
                  <c:v>2.4</c:v>
                </c:pt>
                <c:pt idx="348">
                  <c:v>2.4</c:v>
                </c:pt>
                <c:pt idx="349">
                  <c:v>2.4</c:v>
                </c:pt>
                <c:pt idx="350">
                  <c:v>2.4300000000000002</c:v>
                </c:pt>
                <c:pt idx="351">
                  <c:v>2.4500000000000002</c:v>
                </c:pt>
                <c:pt idx="352">
                  <c:v>2.4</c:v>
                </c:pt>
                <c:pt idx="353">
                  <c:v>2.4</c:v>
                </c:pt>
                <c:pt idx="354">
                  <c:v>2.4</c:v>
                </c:pt>
                <c:pt idx="355">
                  <c:v>2.13</c:v>
                </c:pt>
                <c:pt idx="356">
                  <c:v>1.9</c:v>
                </c:pt>
                <c:pt idx="357">
                  <c:v>1.58</c:v>
                </c:pt>
                <c:pt idx="358">
                  <c:v>1.56</c:v>
                </c:pt>
                <c:pt idx="359">
                  <c:v>1.55</c:v>
                </c:pt>
                <c:pt idx="360">
                  <c:v>1.59</c:v>
                </c:pt>
                <c:pt idx="361">
                  <c:v>1.58</c:v>
                </c:pt>
                <c:pt idx="362">
                  <c:v>0.08</c:v>
                </c:pt>
                <c:pt idx="363">
                  <c:v>0.05</c:v>
                </c:pt>
                <c:pt idx="364">
                  <c:v>0.05</c:v>
                </c:pt>
                <c:pt idx="365">
                  <c:v>0.08</c:v>
                </c:pt>
                <c:pt idx="366">
                  <c:v>0.1</c:v>
                </c:pt>
                <c:pt idx="367">
                  <c:v>0.09</c:v>
                </c:pt>
                <c:pt idx="368">
                  <c:v>0.09</c:v>
                </c:pt>
                <c:pt idx="369">
                  <c:v>0.09</c:v>
                </c:pt>
                <c:pt idx="370">
                  <c:v>0.09</c:v>
                </c:pt>
                <c:pt idx="371">
                  <c:v>0.09</c:v>
                </c:pt>
                <c:pt idx="372">
                  <c:v>7.0000000000000007E-2</c:v>
                </c:pt>
                <c:pt idx="373">
                  <c:v>7.0000000000000007E-2</c:v>
                </c:pt>
                <c:pt idx="374">
                  <c:v>0.06</c:v>
                </c:pt>
                <c:pt idx="375">
                  <c:v>0.05</c:v>
                </c:pt>
                <c:pt idx="376">
                  <c:v>0.05</c:v>
                </c:pt>
                <c:pt idx="377">
                  <c:v>0.08</c:v>
                </c:pt>
                <c:pt idx="378">
                  <c:v>7.0000000000000007E-2</c:v>
                </c:pt>
                <c:pt idx="379">
                  <c:v>0.06</c:v>
                </c:pt>
                <c:pt idx="380">
                  <c:v>0.06</c:v>
                </c:pt>
                <c:pt idx="381">
                  <c:v>7.0000000000000007E-2</c:v>
                </c:pt>
                <c:pt idx="382">
                  <c:v>7.0000000000000007E-2</c:v>
                </c:pt>
                <c:pt idx="383">
                  <c:v>7.0000000000000007E-2</c:v>
                </c:pt>
                <c:pt idx="384">
                  <c:v>0.08</c:v>
                </c:pt>
                <c:pt idx="385">
                  <c:v>0.08</c:v>
                </c:pt>
                <c:pt idx="386">
                  <c:v>0.33</c:v>
                </c:pt>
                <c:pt idx="387">
                  <c:v>0.33</c:v>
                </c:pt>
                <c:pt idx="388">
                  <c:v>0.83</c:v>
                </c:pt>
                <c:pt idx="389">
                  <c:v>1.58</c:v>
                </c:pt>
                <c:pt idx="390">
                  <c:v>2.3199999999999998</c:v>
                </c:pt>
                <c:pt idx="391">
                  <c:v>2.33</c:v>
                </c:pt>
                <c:pt idx="392">
                  <c:v>3.08</c:v>
                </c:pt>
                <c:pt idx="393">
                  <c:v>3.08</c:v>
                </c:pt>
                <c:pt idx="394">
                  <c:v>3.83</c:v>
                </c:pt>
                <c:pt idx="395">
                  <c:v>4.33</c:v>
                </c:pt>
                <c:pt idx="396">
                  <c:v>4.33</c:v>
                </c:pt>
                <c:pt idx="397">
                  <c:v>4.57</c:v>
                </c:pt>
                <c:pt idx="398">
                  <c:v>4.83</c:v>
                </c:pt>
                <c:pt idx="399">
                  <c:v>4.83</c:v>
                </c:pt>
                <c:pt idx="400">
                  <c:v>5.08</c:v>
                </c:pt>
                <c:pt idx="401">
                  <c:v>5.08</c:v>
                </c:pt>
                <c:pt idx="402">
                  <c:v>5.33</c:v>
                </c:pt>
                <c:pt idx="403">
                  <c:v>5.33</c:v>
                </c:pt>
                <c:pt idx="404">
                  <c:v>5.33</c:v>
                </c:pt>
                <c:pt idx="405">
                  <c:v>5.33</c:v>
                </c:pt>
                <c:pt idx="406">
                  <c:v>5.33</c:v>
                </c:pt>
                <c:pt idx="407">
                  <c:v>5.33</c:v>
                </c:pt>
                <c:pt idx="408">
                  <c:v>5.33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53E-4B3C-BE03-4E487DF1590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axId val="1228998512"/>
        <c:axId val="1229000176"/>
      </c:areaChart>
      <c:areaChart>
        <c:grouping val="percentStacked"/>
        <c:varyColors val="0"/>
        <c:ser>
          <c:idx val="0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val>
            <c:numRef>
              <c:f>Recession!$B$506:$B$925</c:f>
              <c:numCache>
                <c:formatCode>General</c:formatCode>
                <c:ptCount val="4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1</c:v>
                </c:pt>
                <c:pt idx="9">
                  <c:v>1</c:v>
                </c:pt>
                <c:pt idx="10">
                  <c:v>1</c:v>
                </c:pt>
                <c:pt idx="11">
                  <c:v>1</c:v>
                </c:pt>
                <c:pt idx="12">
                  <c:v>1</c:v>
                </c:pt>
                <c:pt idx="13">
                  <c:v>1</c:v>
                </c:pt>
                <c:pt idx="14">
                  <c:v>1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1</c:v>
                </c:pt>
                <c:pt idx="216">
                  <c:v>1</c:v>
                </c:pt>
                <c:pt idx="217">
                  <c:v>1</c:v>
                </c:pt>
                <c:pt idx="218">
                  <c:v>1</c:v>
                </c:pt>
                <c:pt idx="219">
                  <c:v>1</c:v>
                </c:pt>
                <c:pt idx="220">
                  <c:v>1</c:v>
                </c:pt>
                <c:pt idx="221">
                  <c:v>1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1</c:v>
                </c:pt>
                <c:pt idx="362">
                  <c:v>1</c:v>
                </c:pt>
                <c:pt idx="363">
                  <c:v>1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53E-4B3C-BE03-4E487DF1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5128048"/>
        <c:axId val="1543603808"/>
      </c:area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midCat"/>
      </c:valAx>
      <c:valAx>
        <c:axId val="154360380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5128048"/>
        <c:crosses val="max"/>
        <c:crossBetween val="midCat"/>
      </c:valAx>
      <c:catAx>
        <c:axId val="35128048"/>
        <c:scaling>
          <c:orientation val="minMax"/>
        </c:scaling>
        <c:delete val="1"/>
        <c:axPos val="b"/>
        <c:majorTickMark val="out"/>
        <c:minorTickMark val="none"/>
        <c:tickLblPos val="nextTo"/>
        <c:crossAx val="15436038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2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>
              <a:noFill/>
            </a:ln>
            <a:effectLst/>
          </c:spPr>
          <c:val>
            <c:numRef>
              <c:f>Recession!$B$626:$B$913</c:f>
              <c:numCache>
                <c:formatCode>General</c:formatCode>
                <c:ptCount val="2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1</c:v>
                </c:pt>
                <c:pt idx="15">
                  <c:v>1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1</c:v>
                </c:pt>
                <c:pt idx="21">
                  <c:v>1</c:v>
                </c:pt>
                <c:pt idx="22">
                  <c:v>1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1</c:v>
                </c:pt>
                <c:pt idx="96">
                  <c:v>1</c:v>
                </c:pt>
                <c:pt idx="97">
                  <c:v>1</c:v>
                </c:pt>
                <c:pt idx="98">
                  <c:v>1</c:v>
                </c:pt>
                <c:pt idx="99">
                  <c:v>1</c:v>
                </c:pt>
                <c:pt idx="100">
                  <c:v>1</c:v>
                </c:pt>
                <c:pt idx="101">
                  <c:v>1</c:v>
                </c:pt>
                <c:pt idx="102">
                  <c:v>1</c:v>
                </c:pt>
                <c:pt idx="103">
                  <c:v>1</c:v>
                </c:pt>
                <c:pt idx="104">
                  <c:v>1</c:v>
                </c:pt>
                <c:pt idx="105">
                  <c:v>1</c:v>
                </c:pt>
                <c:pt idx="106">
                  <c:v>1</c:v>
                </c:pt>
                <c:pt idx="107">
                  <c:v>1</c:v>
                </c:pt>
                <c:pt idx="108">
                  <c:v>1</c:v>
                </c:pt>
                <c:pt idx="109">
                  <c:v>1</c:v>
                </c:pt>
                <c:pt idx="110">
                  <c:v>1</c:v>
                </c:pt>
                <c:pt idx="111">
                  <c:v>1</c:v>
                </c:pt>
                <c:pt idx="112">
                  <c:v>1</c:v>
                </c:pt>
                <c:pt idx="113">
                  <c:v>1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1</c:v>
                </c:pt>
                <c:pt idx="242">
                  <c:v>1</c:v>
                </c:pt>
                <c:pt idx="243">
                  <c:v>1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C95-4314-87B1-1D4D44985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90706208"/>
        <c:axId val="1539533376"/>
      </c:areaChart>
      <c:lineChart>
        <c:grouping val="standard"/>
        <c:varyColors val="0"/>
        <c:ser>
          <c:idx val="0"/>
          <c:order val="0"/>
          <c:tx>
            <c:strRef>
              <c:f>'Housing Market'!$H$2</c:f>
              <c:strCache>
                <c:ptCount val="1"/>
                <c:pt idx="0">
                  <c:v>Housing Starts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Market'!$A$471:$A$758</c:f>
              <c:numCache>
                <c:formatCode>[$-416]mmm\-yy;@</c:formatCode>
                <c:ptCount val="288"/>
                <c:pt idx="0">
                  <c:v>36526</c:v>
                </c:pt>
                <c:pt idx="1">
                  <c:v>36557</c:v>
                </c:pt>
                <c:pt idx="2">
                  <c:v>36586</c:v>
                </c:pt>
                <c:pt idx="3">
                  <c:v>36617</c:v>
                </c:pt>
                <c:pt idx="4">
                  <c:v>36647</c:v>
                </c:pt>
                <c:pt idx="5">
                  <c:v>36678</c:v>
                </c:pt>
                <c:pt idx="6">
                  <c:v>36708</c:v>
                </c:pt>
                <c:pt idx="7">
                  <c:v>36739</c:v>
                </c:pt>
                <c:pt idx="8">
                  <c:v>36770</c:v>
                </c:pt>
                <c:pt idx="9">
                  <c:v>36800</c:v>
                </c:pt>
                <c:pt idx="10">
                  <c:v>36831</c:v>
                </c:pt>
                <c:pt idx="11">
                  <c:v>36861</c:v>
                </c:pt>
                <c:pt idx="12">
                  <c:v>36892</c:v>
                </c:pt>
                <c:pt idx="13">
                  <c:v>36923</c:v>
                </c:pt>
                <c:pt idx="14">
                  <c:v>36951</c:v>
                </c:pt>
                <c:pt idx="15">
                  <c:v>36982</c:v>
                </c:pt>
                <c:pt idx="16">
                  <c:v>37012</c:v>
                </c:pt>
                <c:pt idx="17">
                  <c:v>37043</c:v>
                </c:pt>
                <c:pt idx="18">
                  <c:v>37073</c:v>
                </c:pt>
                <c:pt idx="19">
                  <c:v>37104</c:v>
                </c:pt>
                <c:pt idx="20">
                  <c:v>37135</c:v>
                </c:pt>
                <c:pt idx="21">
                  <c:v>37165</c:v>
                </c:pt>
                <c:pt idx="22">
                  <c:v>37196</c:v>
                </c:pt>
                <c:pt idx="23">
                  <c:v>37226</c:v>
                </c:pt>
                <c:pt idx="24">
                  <c:v>37257</c:v>
                </c:pt>
                <c:pt idx="25">
                  <c:v>37288</c:v>
                </c:pt>
                <c:pt idx="26">
                  <c:v>37316</c:v>
                </c:pt>
                <c:pt idx="27">
                  <c:v>37347</c:v>
                </c:pt>
                <c:pt idx="28">
                  <c:v>37377</c:v>
                </c:pt>
                <c:pt idx="29">
                  <c:v>37408</c:v>
                </c:pt>
                <c:pt idx="30">
                  <c:v>37438</c:v>
                </c:pt>
                <c:pt idx="31">
                  <c:v>37469</c:v>
                </c:pt>
                <c:pt idx="32">
                  <c:v>37500</c:v>
                </c:pt>
                <c:pt idx="33">
                  <c:v>37530</c:v>
                </c:pt>
                <c:pt idx="34">
                  <c:v>37561</c:v>
                </c:pt>
                <c:pt idx="35">
                  <c:v>37591</c:v>
                </c:pt>
                <c:pt idx="36">
                  <c:v>37622</c:v>
                </c:pt>
                <c:pt idx="37">
                  <c:v>37653</c:v>
                </c:pt>
                <c:pt idx="38">
                  <c:v>37681</c:v>
                </c:pt>
                <c:pt idx="39">
                  <c:v>37712</c:v>
                </c:pt>
                <c:pt idx="40">
                  <c:v>37742</c:v>
                </c:pt>
                <c:pt idx="41">
                  <c:v>37773</c:v>
                </c:pt>
                <c:pt idx="42">
                  <c:v>37803</c:v>
                </c:pt>
                <c:pt idx="43">
                  <c:v>37834</c:v>
                </c:pt>
                <c:pt idx="44">
                  <c:v>37865</c:v>
                </c:pt>
                <c:pt idx="45">
                  <c:v>37895</c:v>
                </c:pt>
                <c:pt idx="46">
                  <c:v>37926</c:v>
                </c:pt>
                <c:pt idx="47">
                  <c:v>37956</c:v>
                </c:pt>
                <c:pt idx="48">
                  <c:v>37987</c:v>
                </c:pt>
                <c:pt idx="49">
                  <c:v>38018</c:v>
                </c:pt>
                <c:pt idx="50">
                  <c:v>38047</c:v>
                </c:pt>
                <c:pt idx="51">
                  <c:v>38078</c:v>
                </c:pt>
                <c:pt idx="52">
                  <c:v>38108</c:v>
                </c:pt>
                <c:pt idx="53">
                  <c:v>38139</c:v>
                </c:pt>
                <c:pt idx="54">
                  <c:v>38169</c:v>
                </c:pt>
                <c:pt idx="55">
                  <c:v>38200</c:v>
                </c:pt>
                <c:pt idx="56">
                  <c:v>38231</c:v>
                </c:pt>
                <c:pt idx="57">
                  <c:v>38261</c:v>
                </c:pt>
                <c:pt idx="58">
                  <c:v>38292</c:v>
                </c:pt>
                <c:pt idx="59">
                  <c:v>38322</c:v>
                </c:pt>
                <c:pt idx="60">
                  <c:v>38353</c:v>
                </c:pt>
                <c:pt idx="61">
                  <c:v>38384</c:v>
                </c:pt>
                <c:pt idx="62">
                  <c:v>38412</c:v>
                </c:pt>
                <c:pt idx="63">
                  <c:v>38443</c:v>
                </c:pt>
                <c:pt idx="64">
                  <c:v>38473</c:v>
                </c:pt>
                <c:pt idx="65">
                  <c:v>38504</c:v>
                </c:pt>
                <c:pt idx="66">
                  <c:v>38534</c:v>
                </c:pt>
                <c:pt idx="67">
                  <c:v>38565</c:v>
                </c:pt>
                <c:pt idx="68">
                  <c:v>38596</c:v>
                </c:pt>
                <c:pt idx="69">
                  <c:v>38626</c:v>
                </c:pt>
                <c:pt idx="70">
                  <c:v>38657</c:v>
                </c:pt>
                <c:pt idx="71">
                  <c:v>38687</c:v>
                </c:pt>
                <c:pt idx="72">
                  <c:v>38718</c:v>
                </c:pt>
                <c:pt idx="73">
                  <c:v>38749</c:v>
                </c:pt>
                <c:pt idx="74">
                  <c:v>38777</c:v>
                </c:pt>
                <c:pt idx="75">
                  <c:v>38808</c:v>
                </c:pt>
                <c:pt idx="76">
                  <c:v>38838</c:v>
                </c:pt>
                <c:pt idx="77">
                  <c:v>38869</c:v>
                </c:pt>
                <c:pt idx="78">
                  <c:v>38899</c:v>
                </c:pt>
                <c:pt idx="79">
                  <c:v>38930</c:v>
                </c:pt>
                <c:pt idx="80">
                  <c:v>38961</c:v>
                </c:pt>
                <c:pt idx="81">
                  <c:v>38991</c:v>
                </c:pt>
                <c:pt idx="82">
                  <c:v>39022</c:v>
                </c:pt>
                <c:pt idx="83">
                  <c:v>39052</c:v>
                </c:pt>
                <c:pt idx="84">
                  <c:v>39083</c:v>
                </c:pt>
                <c:pt idx="85">
                  <c:v>39114</c:v>
                </c:pt>
                <c:pt idx="86">
                  <c:v>39142</c:v>
                </c:pt>
                <c:pt idx="87">
                  <c:v>39173</c:v>
                </c:pt>
                <c:pt idx="88">
                  <c:v>39203</c:v>
                </c:pt>
                <c:pt idx="89">
                  <c:v>39234</c:v>
                </c:pt>
                <c:pt idx="90">
                  <c:v>39264</c:v>
                </c:pt>
                <c:pt idx="91">
                  <c:v>39295</c:v>
                </c:pt>
                <c:pt idx="92">
                  <c:v>39326</c:v>
                </c:pt>
                <c:pt idx="93">
                  <c:v>39356</c:v>
                </c:pt>
                <c:pt idx="94">
                  <c:v>39387</c:v>
                </c:pt>
                <c:pt idx="95">
                  <c:v>39417</c:v>
                </c:pt>
                <c:pt idx="96">
                  <c:v>39448</c:v>
                </c:pt>
                <c:pt idx="97">
                  <c:v>39479</c:v>
                </c:pt>
                <c:pt idx="98">
                  <c:v>39508</c:v>
                </c:pt>
                <c:pt idx="99">
                  <c:v>39539</c:v>
                </c:pt>
                <c:pt idx="100">
                  <c:v>39569</c:v>
                </c:pt>
                <c:pt idx="101">
                  <c:v>39600</c:v>
                </c:pt>
                <c:pt idx="102">
                  <c:v>39630</c:v>
                </c:pt>
                <c:pt idx="103">
                  <c:v>39661</c:v>
                </c:pt>
                <c:pt idx="104">
                  <c:v>39692</c:v>
                </c:pt>
                <c:pt idx="105">
                  <c:v>39722</c:v>
                </c:pt>
                <c:pt idx="106">
                  <c:v>39753</c:v>
                </c:pt>
                <c:pt idx="107">
                  <c:v>39783</c:v>
                </c:pt>
                <c:pt idx="108">
                  <c:v>39814</c:v>
                </c:pt>
                <c:pt idx="109">
                  <c:v>39845</c:v>
                </c:pt>
                <c:pt idx="110">
                  <c:v>39873</c:v>
                </c:pt>
                <c:pt idx="111">
                  <c:v>39904</c:v>
                </c:pt>
                <c:pt idx="112">
                  <c:v>39934</c:v>
                </c:pt>
                <c:pt idx="113">
                  <c:v>39965</c:v>
                </c:pt>
                <c:pt idx="114">
                  <c:v>39995</c:v>
                </c:pt>
                <c:pt idx="115">
                  <c:v>40026</c:v>
                </c:pt>
                <c:pt idx="116">
                  <c:v>40057</c:v>
                </c:pt>
                <c:pt idx="117">
                  <c:v>40087</c:v>
                </c:pt>
                <c:pt idx="118">
                  <c:v>40118</c:v>
                </c:pt>
                <c:pt idx="119">
                  <c:v>40148</c:v>
                </c:pt>
                <c:pt idx="120">
                  <c:v>40179</c:v>
                </c:pt>
                <c:pt idx="121">
                  <c:v>40210</c:v>
                </c:pt>
                <c:pt idx="122">
                  <c:v>40238</c:v>
                </c:pt>
                <c:pt idx="123">
                  <c:v>40269</c:v>
                </c:pt>
                <c:pt idx="124">
                  <c:v>40299</c:v>
                </c:pt>
                <c:pt idx="125">
                  <c:v>40330</c:v>
                </c:pt>
                <c:pt idx="126">
                  <c:v>40360</c:v>
                </c:pt>
                <c:pt idx="127">
                  <c:v>40391</c:v>
                </c:pt>
                <c:pt idx="128">
                  <c:v>40422</c:v>
                </c:pt>
                <c:pt idx="129">
                  <c:v>40452</c:v>
                </c:pt>
                <c:pt idx="130">
                  <c:v>40483</c:v>
                </c:pt>
                <c:pt idx="131">
                  <c:v>40513</c:v>
                </c:pt>
                <c:pt idx="132">
                  <c:v>40544</c:v>
                </c:pt>
                <c:pt idx="133">
                  <c:v>40575</c:v>
                </c:pt>
                <c:pt idx="134">
                  <c:v>40603</c:v>
                </c:pt>
                <c:pt idx="135">
                  <c:v>40634</c:v>
                </c:pt>
                <c:pt idx="136">
                  <c:v>40664</c:v>
                </c:pt>
                <c:pt idx="137">
                  <c:v>40695</c:v>
                </c:pt>
                <c:pt idx="138">
                  <c:v>40725</c:v>
                </c:pt>
                <c:pt idx="139">
                  <c:v>40756</c:v>
                </c:pt>
                <c:pt idx="140">
                  <c:v>40787</c:v>
                </c:pt>
                <c:pt idx="141">
                  <c:v>40817</c:v>
                </c:pt>
                <c:pt idx="142">
                  <c:v>40848</c:v>
                </c:pt>
                <c:pt idx="143">
                  <c:v>40878</c:v>
                </c:pt>
                <c:pt idx="144">
                  <c:v>40909</c:v>
                </c:pt>
                <c:pt idx="145">
                  <c:v>40940</c:v>
                </c:pt>
                <c:pt idx="146">
                  <c:v>40969</c:v>
                </c:pt>
                <c:pt idx="147">
                  <c:v>41000</c:v>
                </c:pt>
                <c:pt idx="148">
                  <c:v>41030</c:v>
                </c:pt>
                <c:pt idx="149">
                  <c:v>41061</c:v>
                </c:pt>
                <c:pt idx="150">
                  <c:v>41091</c:v>
                </c:pt>
                <c:pt idx="151">
                  <c:v>41122</c:v>
                </c:pt>
                <c:pt idx="152">
                  <c:v>41153</c:v>
                </c:pt>
                <c:pt idx="153">
                  <c:v>41183</c:v>
                </c:pt>
                <c:pt idx="154">
                  <c:v>41214</c:v>
                </c:pt>
                <c:pt idx="155">
                  <c:v>41244</c:v>
                </c:pt>
                <c:pt idx="156">
                  <c:v>41275</c:v>
                </c:pt>
                <c:pt idx="157">
                  <c:v>41306</c:v>
                </c:pt>
                <c:pt idx="158">
                  <c:v>41334</c:v>
                </c:pt>
                <c:pt idx="159">
                  <c:v>41365</c:v>
                </c:pt>
                <c:pt idx="160">
                  <c:v>41395</c:v>
                </c:pt>
                <c:pt idx="161">
                  <c:v>41426</c:v>
                </c:pt>
                <c:pt idx="162">
                  <c:v>41456</c:v>
                </c:pt>
                <c:pt idx="163">
                  <c:v>41487</c:v>
                </c:pt>
                <c:pt idx="164">
                  <c:v>41518</c:v>
                </c:pt>
                <c:pt idx="165">
                  <c:v>41548</c:v>
                </c:pt>
                <c:pt idx="166">
                  <c:v>41579</c:v>
                </c:pt>
                <c:pt idx="167">
                  <c:v>41609</c:v>
                </c:pt>
                <c:pt idx="168">
                  <c:v>41640</c:v>
                </c:pt>
                <c:pt idx="169">
                  <c:v>41671</c:v>
                </c:pt>
                <c:pt idx="170">
                  <c:v>41699</c:v>
                </c:pt>
                <c:pt idx="171">
                  <c:v>41730</c:v>
                </c:pt>
                <c:pt idx="172">
                  <c:v>41760</c:v>
                </c:pt>
                <c:pt idx="173">
                  <c:v>41791</c:v>
                </c:pt>
                <c:pt idx="174">
                  <c:v>41821</c:v>
                </c:pt>
                <c:pt idx="175">
                  <c:v>41852</c:v>
                </c:pt>
                <c:pt idx="176">
                  <c:v>41883</c:v>
                </c:pt>
                <c:pt idx="177">
                  <c:v>41913</c:v>
                </c:pt>
                <c:pt idx="178">
                  <c:v>41944</c:v>
                </c:pt>
                <c:pt idx="179">
                  <c:v>41974</c:v>
                </c:pt>
                <c:pt idx="180">
                  <c:v>42005</c:v>
                </c:pt>
                <c:pt idx="181">
                  <c:v>42036</c:v>
                </c:pt>
                <c:pt idx="182">
                  <c:v>42064</c:v>
                </c:pt>
                <c:pt idx="183">
                  <c:v>42095</c:v>
                </c:pt>
                <c:pt idx="184">
                  <c:v>42125</c:v>
                </c:pt>
                <c:pt idx="185">
                  <c:v>42156</c:v>
                </c:pt>
                <c:pt idx="186">
                  <c:v>42186</c:v>
                </c:pt>
                <c:pt idx="187">
                  <c:v>42217</c:v>
                </c:pt>
                <c:pt idx="188">
                  <c:v>42248</c:v>
                </c:pt>
                <c:pt idx="189">
                  <c:v>42278</c:v>
                </c:pt>
                <c:pt idx="190">
                  <c:v>42309</c:v>
                </c:pt>
                <c:pt idx="191">
                  <c:v>42339</c:v>
                </c:pt>
                <c:pt idx="192">
                  <c:v>42370</c:v>
                </c:pt>
                <c:pt idx="193">
                  <c:v>42401</c:v>
                </c:pt>
                <c:pt idx="194">
                  <c:v>42430</c:v>
                </c:pt>
                <c:pt idx="195">
                  <c:v>42461</c:v>
                </c:pt>
                <c:pt idx="196">
                  <c:v>42491</c:v>
                </c:pt>
                <c:pt idx="197">
                  <c:v>42522</c:v>
                </c:pt>
                <c:pt idx="198">
                  <c:v>42552</c:v>
                </c:pt>
                <c:pt idx="199">
                  <c:v>42583</c:v>
                </c:pt>
                <c:pt idx="200">
                  <c:v>42614</c:v>
                </c:pt>
                <c:pt idx="201">
                  <c:v>42644</c:v>
                </c:pt>
                <c:pt idx="202">
                  <c:v>42675</c:v>
                </c:pt>
                <c:pt idx="203">
                  <c:v>42705</c:v>
                </c:pt>
                <c:pt idx="204">
                  <c:v>42736</c:v>
                </c:pt>
                <c:pt idx="205">
                  <c:v>42767</c:v>
                </c:pt>
                <c:pt idx="206">
                  <c:v>42795</c:v>
                </c:pt>
                <c:pt idx="207">
                  <c:v>42826</c:v>
                </c:pt>
                <c:pt idx="208">
                  <c:v>42856</c:v>
                </c:pt>
                <c:pt idx="209">
                  <c:v>42887</c:v>
                </c:pt>
                <c:pt idx="210">
                  <c:v>42917</c:v>
                </c:pt>
                <c:pt idx="211">
                  <c:v>42948</c:v>
                </c:pt>
                <c:pt idx="212">
                  <c:v>42979</c:v>
                </c:pt>
                <c:pt idx="213">
                  <c:v>43009</c:v>
                </c:pt>
                <c:pt idx="214">
                  <c:v>43040</c:v>
                </c:pt>
                <c:pt idx="215">
                  <c:v>43070</c:v>
                </c:pt>
                <c:pt idx="216">
                  <c:v>43101</c:v>
                </c:pt>
                <c:pt idx="217">
                  <c:v>43132</c:v>
                </c:pt>
                <c:pt idx="218">
                  <c:v>43160</c:v>
                </c:pt>
                <c:pt idx="219">
                  <c:v>43191</c:v>
                </c:pt>
                <c:pt idx="220">
                  <c:v>43221</c:v>
                </c:pt>
                <c:pt idx="221">
                  <c:v>43252</c:v>
                </c:pt>
                <c:pt idx="222">
                  <c:v>43282</c:v>
                </c:pt>
                <c:pt idx="223">
                  <c:v>43313</c:v>
                </c:pt>
                <c:pt idx="224">
                  <c:v>43344</c:v>
                </c:pt>
                <c:pt idx="225">
                  <c:v>43374</c:v>
                </c:pt>
                <c:pt idx="226">
                  <c:v>43405</c:v>
                </c:pt>
                <c:pt idx="227">
                  <c:v>43435</c:v>
                </c:pt>
                <c:pt idx="228">
                  <c:v>43466</c:v>
                </c:pt>
                <c:pt idx="229">
                  <c:v>43497</c:v>
                </c:pt>
                <c:pt idx="230">
                  <c:v>43525</c:v>
                </c:pt>
                <c:pt idx="231">
                  <c:v>43556</c:v>
                </c:pt>
                <c:pt idx="232">
                  <c:v>43586</c:v>
                </c:pt>
                <c:pt idx="233">
                  <c:v>43617</c:v>
                </c:pt>
                <c:pt idx="234">
                  <c:v>43647</c:v>
                </c:pt>
                <c:pt idx="235">
                  <c:v>43678</c:v>
                </c:pt>
                <c:pt idx="236">
                  <c:v>43709</c:v>
                </c:pt>
                <c:pt idx="237">
                  <c:v>43739</c:v>
                </c:pt>
                <c:pt idx="238">
                  <c:v>43770</c:v>
                </c:pt>
                <c:pt idx="239">
                  <c:v>43800</c:v>
                </c:pt>
                <c:pt idx="240">
                  <c:v>43831</c:v>
                </c:pt>
                <c:pt idx="241">
                  <c:v>43862</c:v>
                </c:pt>
                <c:pt idx="242">
                  <c:v>43891</c:v>
                </c:pt>
                <c:pt idx="243">
                  <c:v>43922</c:v>
                </c:pt>
                <c:pt idx="244">
                  <c:v>43952</c:v>
                </c:pt>
                <c:pt idx="245">
                  <c:v>43983</c:v>
                </c:pt>
                <c:pt idx="246">
                  <c:v>44013</c:v>
                </c:pt>
                <c:pt idx="247">
                  <c:v>44044</c:v>
                </c:pt>
                <c:pt idx="248">
                  <c:v>44075</c:v>
                </c:pt>
                <c:pt idx="249">
                  <c:v>44105</c:v>
                </c:pt>
                <c:pt idx="250">
                  <c:v>44136</c:v>
                </c:pt>
                <c:pt idx="251">
                  <c:v>44166</c:v>
                </c:pt>
                <c:pt idx="252">
                  <c:v>44197</c:v>
                </c:pt>
                <c:pt idx="253">
                  <c:v>44228</c:v>
                </c:pt>
                <c:pt idx="254">
                  <c:v>44256</c:v>
                </c:pt>
                <c:pt idx="255">
                  <c:v>44287</c:v>
                </c:pt>
                <c:pt idx="256">
                  <c:v>44317</c:v>
                </c:pt>
                <c:pt idx="257">
                  <c:v>44348</c:v>
                </c:pt>
                <c:pt idx="258">
                  <c:v>44378</c:v>
                </c:pt>
                <c:pt idx="259">
                  <c:v>44409</c:v>
                </c:pt>
                <c:pt idx="260">
                  <c:v>44440</c:v>
                </c:pt>
                <c:pt idx="261">
                  <c:v>44470</c:v>
                </c:pt>
                <c:pt idx="262">
                  <c:v>44501</c:v>
                </c:pt>
                <c:pt idx="263">
                  <c:v>44531</c:v>
                </c:pt>
                <c:pt idx="264">
                  <c:v>44562</c:v>
                </c:pt>
                <c:pt idx="265">
                  <c:v>44593</c:v>
                </c:pt>
                <c:pt idx="266">
                  <c:v>44621</c:v>
                </c:pt>
                <c:pt idx="267">
                  <c:v>44652</c:v>
                </c:pt>
                <c:pt idx="268">
                  <c:v>44682</c:v>
                </c:pt>
                <c:pt idx="269">
                  <c:v>44713</c:v>
                </c:pt>
                <c:pt idx="270">
                  <c:v>44743</c:v>
                </c:pt>
                <c:pt idx="271">
                  <c:v>44774</c:v>
                </c:pt>
                <c:pt idx="272">
                  <c:v>44805</c:v>
                </c:pt>
                <c:pt idx="273">
                  <c:v>44835</c:v>
                </c:pt>
                <c:pt idx="274">
                  <c:v>44866</c:v>
                </c:pt>
                <c:pt idx="275">
                  <c:v>44896</c:v>
                </c:pt>
                <c:pt idx="276">
                  <c:v>44927</c:v>
                </c:pt>
                <c:pt idx="277">
                  <c:v>44958</c:v>
                </c:pt>
                <c:pt idx="278">
                  <c:v>44986</c:v>
                </c:pt>
                <c:pt idx="279">
                  <c:v>45017</c:v>
                </c:pt>
                <c:pt idx="280">
                  <c:v>45047</c:v>
                </c:pt>
                <c:pt idx="281">
                  <c:v>45078</c:v>
                </c:pt>
                <c:pt idx="282">
                  <c:v>45108</c:v>
                </c:pt>
                <c:pt idx="283">
                  <c:v>45139</c:v>
                </c:pt>
                <c:pt idx="284">
                  <c:v>45170</c:v>
                </c:pt>
                <c:pt idx="285">
                  <c:v>45200</c:v>
                </c:pt>
                <c:pt idx="286">
                  <c:v>45231</c:v>
                </c:pt>
                <c:pt idx="287">
                  <c:v>45261</c:v>
                </c:pt>
              </c:numCache>
            </c:numRef>
          </c:cat>
          <c:val>
            <c:numRef>
              <c:f>'Housing Market'!$H$471:$H$758</c:f>
              <c:numCache>
                <c:formatCode>_-* #,##0_-;\-* #,##0_-;_-* "-"??_-;_-@_-</c:formatCode>
                <c:ptCount val="288"/>
                <c:pt idx="0">
                  <c:v>1636</c:v>
                </c:pt>
                <c:pt idx="1">
                  <c:v>1737</c:v>
                </c:pt>
                <c:pt idx="2">
                  <c:v>1604</c:v>
                </c:pt>
                <c:pt idx="3">
                  <c:v>1626</c:v>
                </c:pt>
                <c:pt idx="4">
                  <c:v>1575</c:v>
                </c:pt>
                <c:pt idx="5">
                  <c:v>1559</c:v>
                </c:pt>
                <c:pt idx="6">
                  <c:v>1463</c:v>
                </c:pt>
                <c:pt idx="7">
                  <c:v>1541</c:v>
                </c:pt>
                <c:pt idx="8">
                  <c:v>1507</c:v>
                </c:pt>
                <c:pt idx="9">
                  <c:v>1549</c:v>
                </c:pt>
                <c:pt idx="10">
                  <c:v>1551</c:v>
                </c:pt>
                <c:pt idx="11">
                  <c:v>1532</c:v>
                </c:pt>
                <c:pt idx="12">
                  <c:v>1600</c:v>
                </c:pt>
                <c:pt idx="13">
                  <c:v>1625</c:v>
                </c:pt>
                <c:pt idx="14">
                  <c:v>1590</c:v>
                </c:pt>
                <c:pt idx="15">
                  <c:v>1649</c:v>
                </c:pt>
                <c:pt idx="16">
                  <c:v>1605</c:v>
                </c:pt>
                <c:pt idx="17">
                  <c:v>1636</c:v>
                </c:pt>
                <c:pt idx="18">
                  <c:v>1670</c:v>
                </c:pt>
                <c:pt idx="19">
                  <c:v>1567</c:v>
                </c:pt>
                <c:pt idx="20">
                  <c:v>1562</c:v>
                </c:pt>
                <c:pt idx="21">
                  <c:v>1540</c:v>
                </c:pt>
                <c:pt idx="22">
                  <c:v>1602</c:v>
                </c:pt>
                <c:pt idx="23">
                  <c:v>1568</c:v>
                </c:pt>
                <c:pt idx="24">
                  <c:v>1698</c:v>
                </c:pt>
                <c:pt idx="25">
                  <c:v>1829</c:v>
                </c:pt>
                <c:pt idx="26">
                  <c:v>1642</c:v>
                </c:pt>
                <c:pt idx="27">
                  <c:v>1592</c:v>
                </c:pt>
                <c:pt idx="28">
                  <c:v>1764</c:v>
                </c:pt>
                <c:pt idx="29">
                  <c:v>1717</c:v>
                </c:pt>
                <c:pt idx="30">
                  <c:v>1655</c:v>
                </c:pt>
                <c:pt idx="31">
                  <c:v>1633</c:v>
                </c:pt>
                <c:pt idx="32">
                  <c:v>1804</c:v>
                </c:pt>
                <c:pt idx="33">
                  <c:v>1648</c:v>
                </c:pt>
                <c:pt idx="34">
                  <c:v>1753</c:v>
                </c:pt>
                <c:pt idx="35">
                  <c:v>1788</c:v>
                </c:pt>
                <c:pt idx="36">
                  <c:v>1853</c:v>
                </c:pt>
                <c:pt idx="37">
                  <c:v>1629</c:v>
                </c:pt>
                <c:pt idx="38">
                  <c:v>1726</c:v>
                </c:pt>
                <c:pt idx="39">
                  <c:v>1643</c:v>
                </c:pt>
                <c:pt idx="40">
                  <c:v>1751</c:v>
                </c:pt>
                <c:pt idx="41">
                  <c:v>1867</c:v>
                </c:pt>
                <c:pt idx="42">
                  <c:v>1897</c:v>
                </c:pt>
                <c:pt idx="43">
                  <c:v>1833</c:v>
                </c:pt>
                <c:pt idx="44">
                  <c:v>1939</c:v>
                </c:pt>
                <c:pt idx="45">
                  <c:v>1967</c:v>
                </c:pt>
                <c:pt idx="46">
                  <c:v>2083</c:v>
                </c:pt>
                <c:pt idx="47">
                  <c:v>2057</c:v>
                </c:pt>
                <c:pt idx="48">
                  <c:v>1911</c:v>
                </c:pt>
                <c:pt idx="49">
                  <c:v>1846</c:v>
                </c:pt>
                <c:pt idx="50">
                  <c:v>1998</c:v>
                </c:pt>
                <c:pt idx="51">
                  <c:v>2003</c:v>
                </c:pt>
                <c:pt idx="52">
                  <c:v>1981</c:v>
                </c:pt>
                <c:pt idx="53">
                  <c:v>1828</c:v>
                </c:pt>
                <c:pt idx="54">
                  <c:v>2002</c:v>
                </c:pt>
                <c:pt idx="55">
                  <c:v>2024</c:v>
                </c:pt>
                <c:pt idx="56">
                  <c:v>1905</c:v>
                </c:pt>
                <c:pt idx="57">
                  <c:v>2072</c:v>
                </c:pt>
                <c:pt idx="58">
                  <c:v>1782</c:v>
                </c:pt>
                <c:pt idx="59">
                  <c:v>2042</c:v>
                </c:pt>
                <c:pt idx="60">
                  <c:v>2144</c:v>
                </c:pt>
                <c:pt idx="61">
                  <c:v>2207</c:v>
                </c:pt>
                <c:pt idx="62">
                  <c:v>1864</c:v>
                </c:pt>
                <c:pt idx="63">
                  <c:v>2061</c:v>
                </c:pt>
                <c:pt idx="64">
                  <c:v>2025</c:v>
                </c:pt>
                <c:pt idx="65">
                  <c:v>2068</c:v>
                </c:pt>
                <c:pt idx="66">
                  <c:v>2054</c:v>
                </c:pt>
                <c:pt idx="67">
                  <c:v>2095</c:v>
                </c:pt>
                <c:pt idx="68">
                  <c:v>2151</c:v>
                </c:pt>
                <c:pt idx="69">
                  <c:v>2065</c:v>
                </c:pt>
                <c:pt idx="70">
                  <c:v>2147</c:v>
                </c:pt>
                <c:pt idx="71">
                  <c:v>1994</c:v>
                </c:pt>
                <c:pt idx="72">
                  <c:v>2273</c:v>
                </c:pt>
                <c:pt idx="73">
                  <c:v>2119</c:v>
                </c:pt>
                <c:pt idx="74">
                  <c:v>1969</c:v>
                </c:pt>
                <c:pt idx="75">
                  <c:v>1821</c:v>
                </c:pt>
                <c:pt idx="76">
                  <c:v>1942</c:v>
                </c:pt>
                <c:pt idx="77">
                  <c:v>1802</c:v>
                </c:pt>
                <c:pt idx="78">
                  <c:v>1737</c:v>
                </c:pt>
                <c:pt idx="79">
                  <c:v>1650</c:v>
                </c:pt>
                <c:pt idx="80">
                  <c:v>1720</c:v>
                </c:pt>
                <c:pt idx="81">
                  <c:v>1491</c:v>
                </c:pt>
                <c:pt idx="82">
                  <c:v>1570</c:v>
                </c:pt>
                <c:pt idx="83">
                  <c:v>1649</c:v>
                </c:pt>
                <c:pt idx="84">
                  <c:v>1409</c:v>
                </c:pt>
                <c:pt idx="85">
                  <c:v>1480</c:v>
                </c:pt>
                <c:pt idx="86">
                  <c:v>1495</c:v>
                </c:pt>
                <c:pt idx="87">
                  <c:v>1490</c:v>
                </c:pt>
                <c:pt idx="88">
                  <c:v>1415</c:v>
                </c:pt>
                <c:pt idx="89">
                  <c:v>1448</c:v>
                </c:pt>
                <c:pt idx="90">
                  <c:v>1354</c:v>
                </c:pt>
                <c:pt idx="91">
                  <c:v>1330</c:v>
                </c:pt>
                <c:pt idx="92">
                  <c:v>1183</c:v>
                </c:pt>
                <c:pt idx="93">
                  <c:v>1264</c:v>
                </c:pt>
                <c:pt idx="94">
                  <c:v>1197</c:v>
                </c:pt>
                <c:pt idx="95">
                  <c:v>1037</c:v>
                </c:pt>
                <c:pt idx="96">
                  <c:v>1084</c:v>
                </c:pt>
                <c:pt idx="97">
                  <c:v>1103</c:v>
                </c:pt>
                <c:pt idx="98">
                  <c:v>1005</c:v>
                </c:pt>
                <c:pt idx="99">
                  <c:v>1013</c:v>
                </c:pt>
                <c:pt idx="100">
                  <c:v>973</c:v>
                </c:pt>
                <c:pt idx="101">
                  <c:v>1046</c:v>
                </c:pt>
                <c:pt idx="102">
                  <c:v>923</c:v>
                </c:pt>
                <c:pt idx="103">
                  <c:v>844</c:v>
                </c:pt>
                <c:pt idx="104">
                  <c:v>820</c:v>
                </c:pt>
                <c:pt idx="105">
                  <c:v>777</c:v>
                </c:pt>
                <c:pt idx="106">
                  <c:v>652</c:v>
                </c:pt>
                <c:pt idx="107">
                  <c:v>560</c:v>
                </c:pt>
                <c:pt idx="108">
                  <c:v>490</c:v>
                </c:pt>
                <c:pt idx="109">
                  <c:v>582</c:v>
                </c:pt>
                <c:pt idx="110">
                  <c:v>505</c:v>
                </c:pt>
                <c:pt idx="111">
                  <c:v>478</c:v>
                </c:pt>
                <c:pt idx="112">
                  <c:v>540</c:v>
                </c:pt>
                <c:pt idx="113">
                  <c:v>585</c:v>
                </c:pt>
                <c:pt idx="114">
                  <c:v>594</c:v>
                </c:pt>
                <c:pt idx="115">
                  <c:v>586</c:v>
                </c:pt>
                <c:pt idx="116">
                  <c:v>585</c:v>
                </c:pt>
                <c:pt idx="117">
                  <c:v>534</c:v>
                </c:pt>
                <c:pt idx="118">
                  <c:v>588</c:v>
                </c:pt>
                <c:pt idx="119">
                  <c:v>581</c:v>
                </c:pt>
                <c:pt idx="120">
                  <c:v>614</c:v>
                </c:pt>
                <c:pt idx="121">
                  <c:v>604</c:v>
                </c:pt>
                <c:pt idx="122">
                  <c:v>636</c:v>
                </c:pt>
                <c:pt idx="123">
                  <c:v>687</c:v>
                </c:pt>
                <c:pt idx="124">
                  <c:v>583</c:v>
                </c:pt>
                <c:pt idx="125">
                  <c:v>536</c:v>
                </c:pt>
                <c:pt idx="126">
                  <c:v>546</c:v>
                </c:pt>
                <c:pt idx="127">
                  <c:v>599</c:v>
                </c:pt>
                <c:pt idx="128">
                  <c:v>594</c:v>
                </c:pt>
                <c:pt idx="129">
                  <c:v>543</c:v>
                </c:pt>
                <c:pt idx="130">
                  <c:v>545</c:v>
                </c:pt>
                <c:pt idx="131">
                  <c:v>539</c:v>
                </c:pt>
                <c:pt idx="132">
                  <c:v>630</c:v>
                </c:pt>
                <c:pt idx="133">
                  <c:v>517</c:v>
                </c:pt>
                <c:pt idx="134">
                  <c:v>600</c:v>
                </c:pt>
                <c:pt idx="135">
                  <c:v>554</c:v>
                </c:pt>
                <c:pt idx="136">
                  <c:v>561</c:v>
                </c:pt>
                <c:pt idx="137">
                  <c:v>608</c:v>
                </c:pt>
                <c:pt idx="138">
                  <c:v>623</c:v>
                </c:pt>
                <c:pt idx="139">
                  <c:v>585</c:v>
                </c:pt>
                <c:pt idx="140">
                  <c:v>650</c:v>
                </c:pt>
                <c:pt idx="141">
                  <c:v>610</c:v>
                </c:pt>
                <c:pt idx="142">
                  <c:v>711</c:v>
                </c:pt>
                <c:pt idx="143">
                  <c:v>694</c:v>
                </c:pt>
                <c:pt idx="144">
                  <c:v>723</c:v>
                </c:pt>
                <c:pt idx="145">
                  <c:v>704</c:v>
                </c:pt>
                <c:pt idx="146">
                  <c:v>695</c:v>
                </c:pt>
                <c:pt idx="147">
                  <c:v>753</c:v>
                </c:pt>
                <c:pt idx="148">
                  <c:v>708</c:v>
                </c:pt>
                <c:pt idx="149">
                  <c:v>757</c:v>
                </c:pt>
                <c:pt idx="150">
                  <c:v>740</c:v>
                </c:pt>
                <c:pt idx="151">
                  <c:v>754</c:v>
                </c:pt>
                <c:pt idx="152">
                  <c:v>847</c:v>
                </c:pt>
                <c:pt idx="153">
                  <c:v>915</c:v>
                </c:pt>
                <c:pt idx="154">
                  <c:v>833</c:v>
                </c:pt>
                <c:pt idx="155">
                  <c:v>976</c:v>
                </c:pt>
                <c:pt idx="156">
                  <c:v>888</c:v>
                </c:pt>
                <c:pt idx="157">
                  <c:v>962</c:v>
                </c:pt>
                <c:pt idx="158">
                  <c:v>1010</c:v>
                </c:pt>
                <c:pt idx="159">
                  <c:v>835</c:v>
                </c:pt>
                <c:pt idx="160">
                  <c:v>930</c:v>
                </c:pt>
                <c:pt idx="161">
                  <c:v>839</c:v>
                </c:pt>
                <c:pt idx="162">
                  <c:v>880</c:v>
                </c:pt>
                <c:pt idx="163">
                  <c:v>917</c:v>
                </c:pt>
                <c:pt idx="164">
                  <c:v>850</c:v>
                </c:pt>
                <c:pt idx="165">
                  <c:v>925</c:v>
                </c:pt>
                <c:pt idx="166">
                  <c:v>1100</c:v>
                </c:pt>
                <c:pt idx="167">
                  <c:v>1002</c:v>
                </c:pt>
                <c:pt idx="168">
                  <c:v>888</c:v>
                </c:pt>
                <c:pt idx="169">
                  <c:v>944</c:v>
                </c:pt>
                <c:pt idx="170">
                  <c:v>970</c:v>
                </c:pt>
                <c:pt idx="171">
                  <c:v>1043</c:v>
                </c:pt>
                <c:pt idx="172">
                  <c:v>1007</c:v>
                </c:pt>
                <c:pt idx="173">
                  <c:v>911</c:v>
                </c:pt>
                <c:pt idx="174">
                  <c:v>1085</c:v>
                </c:pt>
                <c:pt idx="175">
                  <c:v>984</c:v>
                </c:pt>
                <c:pt idx="176">
                  <c:v>1023</c:v>
                </c:pt>
                <c:pt idx="177">
                  <c:v>1074</c:v>
                </c:pt>
                <c:pt idx="178">
                  <c:v>1001</c:v>
                </c:pt>
                <c:pt idx="179">
                  <c:v>1073</c:v>
                </c:pt>
                <c:pt idx="180">
                  <c:v>1085</c:v>
                </c:pt>
                <c:pt idx="181">
                  <c:v>886</c:v>
                </c:pt>
                <c:pt idx="182">
                  <c:v>960</c:v>
                </c:pt>
                <c:pt idx="183">
                  <c:v>1190</c:v>
                </c:pt>
                <c:pt idx="184">
                  <c:v>1079</c:v>
                </c:pt>
                <c:pt idx="185">
                  <c:v>1205</c:v>
                </c:pt>
                <c:pt idx="186">
                  <c:v>1146</c:v>
                </c:pt>
                <c:pt idx="187">
                  <c:v>1130</c:v>
                </c:pt>
                <c:pt idx="188">
                  <c:v>1224</c:v>
                </c:pt>
                <c:pt idx="189">
                  <c:v>1058</c:v>
                </c:pt>
                <c:pt idx="190">
                  <c:v>1172</c:v>
                </c:pt>
                <c:pt idx="191">
                  <c:v>1146</c:v>
                </c:pt>
                <c:pt idx="192">
                  <c:v>1092</c:v>
                </c:pt>
                <c:pt idx="193">
                  <c:v>1225</c:v>
                </c:pt>
                <c:pt idx="194">
                  <c:v>1111</c:v>
                </c:pt>
                <c:pt idx="195">
                  <c:v>1163</c:v>
                </c:pt>
                <c:pt idx="196">
                  <c:v>1148</c:v>
                </c:pt>
                <c:pt idx="197">
                  <c:v>1203</c:v>
                </c:pt>
                <c:pt idx="198">
                  <c:v>1239</c:v>
                </c:pt>
                <c:pt idx="199">
                  <c:v>1171</c:v>
                </c:pt>
                <c:pt idx="200">
                  <c:v>1068</c:v>
                </c:pt>
                <c:pt idx="201">
                  <c:v>1313</c:v>
                </c:pt>
                <c:pt idx="202">
                  <c:v>1140</c:v>
                </c:pt>
                <c:pt idx="203">
                  <c:v>1252</c:v>
                </c:pt>
                <c:pt idx="204">
                  <c:v>1190</c:v>
                </c:pt>
                <c:pt idx="205">
                  <c:v>1271</c:v>
                </c:pt>
                <c:pt idx="206">
                  <c:v>1190</c:v>
                </c:pt>
                <c:pt idx="207">
                  <c:v>1146</c:v>
                </c:pt>
                <c:pt idx="208">
                  <c:v>1157</c:v>
                </c:pt>
                <c:pt idx="209">
                  <c:v>1249</c:v>
                </c:pt>
                <c:pt idx="210">
                  <c:v>1206</c:v>
                </c:pt>
                <c:pt idx="211">
                  <c:v>1159</c:v>
                </c:pt>
                <c:pt idx="212">
                  <c:v>1181</c:v>
                </c:pt>
                <c:pt idx="213">
                  <c:v>1257</c:v>
                </c:pt>
                <c:pt idx="214">
                  <c:v>1273</c:v>
                </c:pt>
                <c:pt idx="215">
                  <c:v>1177</c:v>
                </c:pt>
                <c:pt idx="216">
                  <c:v>1299</c:v>
                </c:pt>
                <c:pt idx="217">
                  <c:v>1277</c:v>
                </c:pt>
                <c:pt idx="218">
                  <c:v>1318</c:v>
                </c:pt>
                <c:pt idx="219">
                  <c:v>1276</c:v>
                </c:pt>
                <c:pt idx="220">
                  <c:v>1357</c:v>
                </c:pt>
                <c:pt idx="221">
                  <c:v>1192</c:v>
                </c:pt>
                <c:pt idx="222">
                  <c:v>1208</c:v>
                </c:pt>
                <c:pt idx="223">
                  <c:v>1288</c:v>
                </c:pt>
                <c:pt idx="224">
                  <c:v>1250</c:v>
                </c:pt>
                <c:pt idx="225">
                  <c:v>1221</c:v>
                </c:pt>
                <c:pt idx="226">
                  <c:v>1181</c:v>
                </c:pt>
                <c:pt idx="227">
                  <c:v>1095</c:v>
                </c:pt>
                <c:pt idx="228">
                  <c:v>1232</c:v>
                </c:pt>
                <c:pt idx="229">
                  <c:v>1128</c:v>
                </c:pt>
                <c:pt idx="230">
                  <c:v>1195</c:v>
                </c:pt>
                <c:pt idx="231">
                  <c:v>1267</c:v>
                </c:pt>
                <c:pt idx="232">
                  <c:v>1307</c:v>
                </c:pt>
                <c:pt idx="233">
                  <c:v>1228</c:v>
                </c:pt>
                <c:pt idx="234">
                  <c:v>1245</c:v>
                </c:pt>
                <c:pt idx="235">
                  <c:v>1367</c:v>
                </c:pt>
                <c:pt idx="236">
                  <c:v>1300</c:v>
                </c:pt>
                <c:pt idx="237">
                  <c:v>1332</c:v>
                </c:pt>
                <c:pt idx="238">
                  <c:v>1346</c:v>
                </c:pt>
                <c:pt idx="239">
                  <c:v>1551</c:v>
                </c:pt>
                <c:pt idx="240">
                  <c:v>1572</c:v>
                </c:pt>
                <c:pt idx="241">
                  <c:v>1565</c:v>
                </c:pt>
                <c:pt idx="242">
                  <c:v>1267</c:v>
                </c:pt>
                <c:pt idx="243">
                  <c:v>925</c:v>
                </c:pt>
                <c:pt idx="244">
                  <c:v>1054</c:v>
                </c:pt>
                <c:pt idx="245">
                  <c:v>1266</c:v>
                </c:pt>
                <c:pt idx="246">
                  <c:v>1529</c:v>
                </c:pt>
                <c:pt idx="247">
                  <c:v>1377</c:v>
                </c:pt>
                <c:pt idx="248">
                  <c:v>1463</c:v>
                </c:pt>
                <c:pt idx="249">
                  <c:v>1537</c:v>
                </c:pt>
                <c:pt idx="250">
                  <c:v>1545</c:v>
                </c:pt>
                <c:pt idx="251">
                  <c:v>1663</c:v>
                </c:pt>
                <c:pt idx="252">
                  <c:v>1602</c:v>
                </c:pt>
                <c:pt idx="253">
                  <c:v>1422</c:v>
                </c:pt>
                <c:pt idx="254">
                  <c:v>1700</c:v>
                </c:pt>
                <c:pt idx="255">
                  <c:v>1484</c:v>
                </c:pt>
                <c:pt idx="256">
                  <c:v>1600</c:v>
                </c:pt>
                <c:pt idx="257">
                  <c:v>1661</c:v>
                </c:pt>
                <c:pt idx="258">
                  <c:v>1593</c:v>
                </c:pt>
                <c:pt idx="259">
                  <c:v>1576</c:v>
                </c:pt>
                <c:pt idx="260">
                  <c:v>1560</c:v>
                </c:pt>
                <c:pt idx="261">
                  <c:v>1572</c:v>
                </c:pt>
                <c:pt idx="262">
                  <c:v>1712</c:v>
                </c:pt>
                <c:pt idx="263">
                  <c:v>1787</c:v>
                </c:pt>
                <c:pt idx="264">
                  <c:v>1669</c:v>
                </c:pt>
                <c:pt idx="265">
                  <c:v>1771</c:v>
                </c:pt>
                <c:pt idx="266">
                  <c:v>1713</c:v>
                </c:pt>
                <c:pt idx="267">
                  <c:v>1803</c:v>
                </c:pt>
                <c:pt idx="268">
                  <c:v>1543</c:v>
                </c:pt>
                <c:pt idx="269">
                  <c:v>1561</c:v>
                </c:pt>
                <c:pt idx="270">
                  <c:v>1371</c:v>
                </c:pt>
                <c:pt idx="271">
                  <c:v>1505</c:v>
                </c:pt>
                <c:pt idx="272">
                  <c:v>1463</c:v>
                </c:pt>
                <c:pt idx="273">
                  <c:v>1432</c:v>
                </c:pt>
                <c:pt idx="274">
                  <c:v>1427</c:v>
                </c:pt>
                <c:pt idx="275">
                  <c:v>1357</c:v>
                </c:pt>
                <c:pt idx="276">
                  <c:v>1340</c:v>
                </c:pt>
                <c:pt idx="277">
                  <c:v>1436</c:v>
                </c:pt>
                <c:pt idx="278">
                  <c:v>1380</c:v>
                </c:pt>
                <c:pt idx="279">
                  <c:v>1348</c:v>
                </c:pt>
                <c:pt idx="280">
                  <c:v>1583</c:v>
                </c:pt>
                <c:pt idx="281">
                  <c:v>1418</c:v>
                </c:pt>
                <c:pt idx="282">
                  <c:v>1451</c:v>
                </c:pt>
                <c:pt idx="283">
                  <c:v>1305</c:v>
                </c:pt>
                <c:pt idx="284">
                  <c:v>1356</c:v>
                </c:pt>
                <c:pt idx="285">
                  <c:v>1376</c:v>
                </c:pt>
                <c:pt idx="286">
                  <c:v>1525</c:v>
                </c:pt>
                <c:pt idx="287">
                  <c:v>1460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95-4314-87B1-1D4D44985B6B}"/>
            </c:ext>
          </c:extLst>
        </c:ser>
        <c:ser>
          <c:idx val="2"/>
          <c:order val="1"/>
          <c:tx>
            <c:strRef>
              <c:f>'Housing Market'!$D$2</c:f>
              <c:strCache>
                <c:ptCount val="1"/>
                <c:pt idx="0">
                  <c:v>Building Permits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val>
            <c:numRef>
              <c:f>'Housing Market'!$D$471:$D$758</c:f>
              <c:numCache>
                <c:formatCode>_-* #,##0_-;\-* #,##0_-;_-* "-"??_-;_-@_-</c:formatCode>
                <c:ptCount val="288"/>
                <c:pt idx="0">
                  <c:v>1727</c:v>
                </c:pt>
                <c:pt idx="1">
                  <c:v>1692</c:v>
                </c:pt>
                <c:pt idx="2">
                  <c:v>1651</c:v>
                </c:pt>
                <c:pt idx="3">
                  <c:v>1597</c:v>
                </c:pt>
                <c:pt idx="4">
                  <c:v>1543</c:v>
                </c:pt>
                <c:pt idx="5">
                  <c:v>1572</c:v>
                </c:pt>
                <c:pt idx="6">
                  <c:v>1542</c:v>
                </c:pt>
                <c:pt idx="7">
                  <c:v>1552</c:v>
                </c:pt>
                <c:pt idx="8">
                  <c:v>1570</c:v>
                </c:pt>
                <c:pt idx="9">
                  <c:v>1577</c:v>
                </c:pt>
                <c:pt idx="10">
                  <c:v>1614</c:v>
                </c:pt>
                <c:pt idx="11">
                  <c:v>1543</c:v>
                </c:pt>
                <c:pt idx="12">
                  <c:v>1699</c:v>
                </c:pt>
                <c:pt idx="13">
                  <c:v>1656</c:v>
                </c:pt>
                <c:pt idx="14">
                  <c:v>1659</c:v>
                </c:pt>
                <c:pt idx="15">
                  <c:v>1666</c:v>
                </c:pt>
                <c:pt idx="16">
                  <c:v>1665</c:v>
                </c:pt>
                <c:pt idx="17">
                  <c:v>1626</c:v>
                </c:pt>
                <c:pt idx="18">
                  <c:v>1598</c:v>
                </c:pt>
                <c:pt idx="19">
                  <c:v>1615</c:v>
                </c:pt>
                <c:pt idx="20">
                  <c:v>1565</c:v>
                </c:pt>
                <c:pt idx="21">
                  <c:v>1566</c:v>
                </c:pt>
                <c:pt idx="22">
                  <c:v>1651</c:v>
                </c:pt>
                <c:pt idx="23">
                  <c:v>1680</c:v>
                </c:pt>
                <c:pt idx="24">
                  <c:v>1665</c:v>
                </c:pt>
                <c:pt idx="25">
                  <c:v>1787</c:v>
                </c:pt>
                <c:pt idx="26">
                  <c:v>1691</c:v>
                </c:pt>
                <c:pt idx="27">
                  <c:v>1669</c:v>
                </c:pt>
                <c:pt idx="28">
                  <c:v>1716</c:v>
                </c:pt>
                <c:pt idx="29">
                  <c:v>1758</c:v>
                </c:pt>
                <c:pt idx="30">
                  <c:v>1738</c:v>
                </c:pt>
                <c:pt idx="31">
                  <c:v>1695</c:v>
                </c:pt>
                <c:pt idx="32">
                  <c:v>1803</c:v>
                </c:pt>
                <c:pt idx="33">
                  <c:v>1799</c:v>
                </c:pt>
                <c:pt idx="34">
                  <c:v>1771</c:v>
                </c:pt>
                <c:pt idx="35">
                  <c:v>1896</c:v>
                </c:pt>
                <c:pt idx="36">
                  <c:v>1808</c:v>
                </c:pt>
                <c:pt idx="37">
                  <c:v>1854</c:v>
                </c:pt>
                <c:pt idx="38">
                  <c:v>1757</c:v>
                </c:pt>
                <c:pt idx="39">
                  <c:v>1803</c:v>
                </c:pt>
                <c:pt idx="40">
                  <c:v>1835</c:v>
                </c:pt>
                <c:pt idx="41">
                  <c:v>1875</c:v>
                </c:pt>
                <c:pt idx="42">
                  <c:v>1885</c:v>
                </c:pt>
                <c:pt idx="43">
                  <c:v>1966</c:v>
                </c:pt>
                <c:pt idx="44">
                  <c:v>1961</c:v>
                </c:pt>
                <c:pt idx="45">
                  <c:v>2012</c:v>
                </c:pt>
                <c:pt idx="46">
                  <c:v>1918</c:v>
                </c:pt>
                <c:pt idx="47">
                  <c:v>1987</c:v>
                </c:pt>
                <c:pt idx="48">
                  <c:v>1952</c:v>
                </c:pt>
                <c:pt idx="49">
                  <c:v>1966</c:v>
                </c:pt>
                <c:pt idx="50">
                  <c:v>2066</c:v>
                </c:pt>
                <c:pt idx="51">
                  <c:v>2070</c:v>
                </c:pt>
                <c:pt idx="52">
                  <c:v>2150</c:v>
                </c:pt>
                <c:pt idx="53">
                  <c:v>2020</c:v>
                </c:pt>
                <c:pt idx="54">
                  <c:v>2112</c:v>
                </c:pt>
                <c:pt idx="55">
                  <c:v>2056</c:v>
                </c:pt>
                <c:pt idx="56">
                  <c:v>2041</c:v>
                </c:pt>
                <c:pt idx="57">
                  <c:v>2097</c:v>
                </c:pt>
                <c:pt idx="58">
                  <c:v>2079</c:v>
                </c:pt>
                <c:pt idx="59">
                  <c:v>2082</c:v>
                </c:pt>
                <c:pt idx="60">
                  <c:v>2139</c:v>
                </c:pt>
                <c:pt idx="61">
                  <c:v>2114</c:v>
                </c:pt>
                <c:pt idx="62">
                  <c:v>2062</c:v>
                </c:pt>
                <c:pt idx="63">
                  <c:v>2150</c:v>
                </c:pt>
                <c:pt idx="64">
                  <c:v>2085</c:v>
                </c:pt>
                <c:pt idx="65">
                  <c:v>2178</c:v>
                </c:pt>
                <c:pt idx="66">
                  <c:v>2203</c:v>
                </c:pt>
                <c:pt idx="67">
                  <c:v>2219</c:v>
                </c:pt>
                <c:pt idx="68">
                  <c:v>2263</c:v>
                </c:pt>
                <c:pt idx="69">
                  <c:v>2170</c:v>
                </c:pt>
                <c:pt idx="70">
                  <c:v>2218</c:v>
                </c:pt>
                <c:pt idx="71">
                  <c:v>2120</c:v>
                </c:pt>
                <c:pt idx="72">
                  <c:v>2212</c:v>
                </c:pt>
                <c:pt idx="73">
                  <c:v>2141</c:v>
                </c:pt>
                <c:pt idx="74">
                  <c:v>2118</c:v>
                </c:pt>
                <c:pt idx="75">
                  <c:v>1998</c:v>
                </c:pt>
                <c:pt idx="76">
                  <c:v>1905</c:v>
                </c:pt>
                <c:pt idx="77">
                  <c:v>1867</c:v>
                </c:pt>
                <c:pt idx="78">
                  <c:v>1763</c:v>
                </c:pt>
                <c:pt idx="79">
                  <c:v>1722</c:v>
                </c:pt>
                <c:pt idx="80">
                  <c:v>1655</c:v>
                </c:pt>
                <c:pt idx="81">
                  <c:v>1570</c:v>
                </c:pt>
                <c:pt idx="82">
                  <c:v>1535</c:v>
                </c:pt>
                <c:pt idx="83">
                  <c:v>1638</c:v>
                </c:pt>
                <c:pt idx="84">
                  <c:v>1626</c:v>
                </c:pt>
                <c:pt idx="85">
                  <c:v>1598</c:v>
                </c:pt>
                <c:pt idx="86">
                  <c:v>1596</c:v>
                </c:pt>
                <c:pt idx="87">
                  <c:v>1470</c:v>
                </c:pt>
                <c:pt idx="88">
                  <c:v>1493</c:v>
                </c:pt>
                <c:pt idx="89">
                  <c:v>1407</c:v>
                </c:pt>
                <c:pt idx="90">
                  <c:v>1361</c:v>
                </c:pt>
                <c:pt idx="91">
                  <c:v>1321</c:v>
                </c:pt>
                <c:pt idx="92">
                  <c:v>1261</c:v>
                </c:pt>
                <c:pt idx="93">
                  <c:v>1192</c:v>
                </c:pt>
                <c:pt idx="94">
                  <c:v>1224</c:v>
                </c:pt>
                <c:pt idx="95">
                  <c:v>1149</c:v>
                </c:pt>
                <c:pt idx="96">
                  <c:v>1094</c:v>
                </c:pt>
                <c:pt idx="97">
                  <c:v>1014</c:v>
                </c:pt>
                <c:pt idx="98">
                  <c:v>967</c:v>
                </c:pt>
                <c:pt idx="99">
                  <c:v>1008</c:v>
                </c:pt>
                <c:pt idx="100">
                  <c:v>995</c:v>
                </c:pt>
                <c:pt idx="101">
                  <c:v>1180</c:v>
                </c:pt>
                <c:pt idx="102">
                  <c:v>921</c:v>
                </c:pt>
                <c:pt idx="103">
                  <c:v>858</c:v>
                </c:pt>
                <c:pt idx="104">
                  <c:v>797</c:v>
                </c:pt>
                <c:pt idx="105">
                  <c:v>736</c:v>
                </c:pt>
                <c:pt idx="106">
                  <c:v>626</c:v>
                </c:pt>
                <c:pt idx="107">
                  <c:v>554</c:v>
                </c:pt>
                <c:pt idx="108">
                  <c:v>545</c:v>
                </c:pt>
                <c:pt idx="109">
                  <c:v>558</c:v>
                </c:pt>
                <c:pt idx="110">
                  <c:v>513</c:v>
                </c:pt>
                <c:pt idx="111">
                  <c:v>521</c:v>
                </c:pt>
                <c:pt idx="112">
                  <c:v>556</c:v>
                </c:pt>
                <c:pt idx="113">
                  <c:v>601</c:v>
                </c:pt>
                <c:pt idx="114">
                  <c:v>595</c:v>
                </c:pt>
                <c:pt idx="115">
                  <c:v>616</c:v>
                </c:pt>
                <c:pt idx="116">
                  <c:v>609</c:v>
                </c:pt>
                <c:pt idx="117">
                  <c:v>583</c:v>
                </c:pt>
                <c:pt idx="118">
                  <c:v>623</c:v>
                </c:pt>
                <c:pt idx="119">
                  <c:v>664</c:v>
                </c:pt>
                <c:pt idx="120">
                  <c:v>636</c:v>
                </c:pt>
                <c:pt idx="121">
                  <c:v>650</c:v>
                </c:pt>
                <c:pt idx="122">
                  <c:v>687</c:v>
                </c:pt>
                <c:pt idx="123">
                  <c:v>637</c:v>
                </c:pt>
                <c:pt idx="124">
                  <c:v>575</c:v>
                </c:pt>
                <c:pt idx="125">
                  <c:v>587</c:v>
                </c:pt>
                <c:pt idx="126">
                  <c:v>579</c:v>
                </c:pt>
                <c:pt idx="127">
                  <c:v>580</c:v>
                </c:pt>
                <c:pt idx="128">
                  <c:v>563</c:v>
                </c:pt>
                <c:pt idx="129">
                  <c:v>558</c:v>
                </c:pt>
                <c:pt idx="130">
                  <c:v>560</c:v>
                </c:pt>
                <c:pt idx="131">
                  <c:v>632</c:v>
                </c:pt>
                <c:pt idx="132">
                  <c:v>576</c:v>
                </c:pt>
                <c:pt idx="133">
                  <c:v>542</c:v>
                </c:pt>
                <c:pt idx="134">
                  <c:v>583</c:v>
                </c:pt>
                <c:pt idx="135">
                  <c:v>581</c:v>
                </c:pt>
                <c:pt idx="136">
                  <c:v>618</c:v>
                </c:pt>
                <c:pt idx="137">
                  <c:v>636</c:v>
                </c:pt>
                <c:pt idx="138">
                  <c:v>621</c:v>
                </c:pt>
                <c:pt idx="139">
                  <c:v>647</c:v>
                </c:pt>
                <c:pt idx="140">
                  <c:v>610</c:v>
                </c:pt>
                <c:pt idx="141">
                  <c:v>671</c:v>
                </c:pt>
                <c:pt idx="142">
                  <c:v>706</c:v>
                </c:pt>
                <c:pt idx="143">
                  <c:v>697</c:v>
                </c:pt>
                <c:pt idx="144">
                  <c:v>712</c:v>
                </c:pt>
                <c:pt idx="145">
                  <c:v>738</c:v>
                </c:pt>
                <c:pt idx="146">
                  <c:v>806</c:v>
                </c:pt>
                <c:pt idx="147">
                  <c:v>732</c:v>
                </c:pt>
                <c:pt idx="148">
                  <c:v>796</c:v>
                </c:pt>
                <c:pt idx="149">
                  <c:v>794</c:v>
                </c:pt>
                <c:pt idx="150">
                  <c:v>849</c:v>
                </c:pt>
                <c:pt idx="151">
                  <c:v>840</c:v>
                </c:pt>
                <c:pt idx="152">
                  <c:v>930</c:v>
                </c:pt>
                <c:pt idx="153">
                  <c:v>887</c:v>
                </c:pt>
                <c:pt idx="154">
                  <c:v>917</c:v>
                </c:pt>
                <c:pt idx="155">
                  <c:v>941</c:v>
                </c:pt>
                <c:pt idx="156">
                  <c:v>940</c:v>
                </c:pt>
                <c:pt idx="157">
                  <c:v>980</c:v>
                </c:pt>
                <c:pt idx="158">
                  <c:v>936</c:v>
                </c:pt>
                <c:pt idx="159">
                  <c:v>1012</c:v>
                </c:pt>
                <c:pt idx="160">
                  <c:v>1003</c:v>
                </c:pt>
                <c:pt idx="161">
                  <c:v>942</c:v>
                </c:pt>
                <c:pt idx="162">
                  <c:v>997</c:v>
                </c:pt>
                <c:pt idx="163">
                  <c:v>964</c:v>
                </c:pt>
                <c:pt idx="164">
                  <c:v>1004</c:v>
                </c:pt>
                <c:pt idx="165">
                  <c:v>1044</c:v>
                </c:pt>
                <c:pt idx="166">
                  <c:v>1029</c:v>
                </c:pt>
                <c:pt idx="167">
                  <c:v>1005</c:v>
                </c:pt>
                <c:pt idx="168">
                  <c:v>976</c:v>
                </c:pt>
                <c:pt idx="169">
                  <c:v>1039</c:v>
                </c:pt>
                <c:pt idx="170">
                  <c:v>1067</c:v>
                </c:pt>
                <c:pt idx="171">
                  <c:v>1090</c:v>
                </c:pt>
                <c:pt idx="172">
                  <c:v>1018</c:v>
                </c:pt>
                <c:pt idx="173">
                  <c:v>1010</c:v>
                </c:pt>
                <c:pt idx="174">
                  <c:v>1076</c:v>
                </c:pt>
                <c:pt idx="175">
                  <c:v>1047</c:v>
                </c:pt>
                <c:pt idx="176">
                  <c:v>1077</c:v>
                </c:pt>
                <c:pt idx="177">
                  <c:v>1094</c:v>
                </c:pt>
                <c:pt idx="178">
                  <c:v>1059</c:v>
                </c:pt>
                <c:pt idx="179">
                  <c:v>1072</c:v>
                </c:pt>
                <c:pt idx="180">
                  <c:v>1049</c:v>
                </c:pt>
                <c:pt idx="181">
                  <c:v>1127</c:v>
                </c:pt>
                <c:pt idx="182">
                  <c:v>1072</c:v>
                </c:pt>
                <c:pt idx="183">
                  <c:v>1166</c:v>
                </c:pt>
                <c:pt idx="184">
                  <c:v>1272</c:v>
                </c:pt>
                <c:pt idx="185">
                  <c:v>1379</c:v>
                </c:pt>
                <c:pt idx="186">
                  <c:v>1140</c:v>
                </c:pt>
                <c:pt idx="187">
                  <c:v>1165</c:v>
                </c:pt>
                <c:pt idx="188">
                  <c:v>1144</c:v>
                </c:pt>
                <c:pt idx="189">
                  <c:v>1160</c:v>
                </c:pt>
                <c:pt idx="190">
                  <c:v>1244</c:v>
                </c:pt>
                <c:pt idx="191">
                  <c:v>1211</c:v>
                </c:pt>
                <c:pt idx="192">
                  <c:v>1171</c:v>
                </c:pt>
                <c:pt idx="193">
                  <c:v>1172</c:v>
                </c:pt>
                <c:pt idx="194">
                  <c:v>1118</c:v>
                </c:pt>
                <c:pt idx="195">
                  <c:v>1160</c:v>
                </c:pt>
                <c:pt idx="196">
                  <c:v>1205</c:v>
                </c:pt>
                <c:pt idx="197">
                  <c:v>1208</c:v>
                </c:pt>
                <c:pt idx="198">
                  <c:v>1198</c:v>
                </c:pt>
                <c:pt idx="199">
                  <c:v>1201</c:v>
                </c:pt>
                <c:pt idx="200">
                  <c:v>1303</c:v>
                </c:pt>
                <c:pt idx="201">
                  <c:v>1254</c:v>
                </c:pt>
                <c:pt idx="202">
                  <c:v>1230</c:v>
                </c:pt>
                <c:pt idx="203">
                  <c:v>1248</c:v>
                </c:pt>
                <c:pt idx="204">
                  <c:v>1301</c:v>
                </c:pt>
                <c:pt idx="205">
                  <c:v>1243</c:v>
                </c:pt>
                <c:pt idx="206">
                  <c:v>1290</c:v>
                </c:pt>
                <c:pt idx="207">
                  <c:v>1252</c:v>
                </c:pt>
                <c:pt idx="208">
                  <c:v>1205</c:v>
                </c:pt>
                <c:pt idx="209">
                  <c:v>1348</c:v>
                </c:pt>
                <c:pt idx="210">
                  <c:v>1254</c:v>
                </c:pt>
                <c:pt idx="211">
                  <c:v>1322</c:v>
                </c:pt>
                <c:pt idx="212">
                  <c:v>1266</c:v>
                </c:pt>
                <c:pt idx="213">
                  <c:v>1350</c:v>
                </c:pt>
                <c:pt idx="214">
                  <c:v>1290</c:v>
                </c:pt>
                <c:pt idx="215">
                  <c:v>1304</c:v>
                </c:pt>
                <c:pt idx="216">
                  <c:v>1314</c:v>
                </c:pt>
                <c:pt idx="217">
                  <c:v>1342</c:v>
                </c:pt>
                <c:pt idx="218">
                  <c:v>1402</c:v>
                </c:pt>
                <c:pt idx="219">
                  <c:v>1388</c:v>
                </c:pt>
                <c:pt idx="220">
                  <c:v>1339</c:v>
                </c:pt>
                <c:pt idx="221">
                  <c:v>1334</c:v>
                </c:pt>
                <c:pt idx="222">
                  <c:v>1338</c:v>
                </c:pt>
                <c:pt idx="223">
                  <c:v>1275</c:v>
                </c:pt>
                <c:pt idx="224">
                  <c:v>1301</c:v>
                </c:pt>
                <c:pt idx="225">
                  <c:v>1268</c:v>
                </c:pt>
                <c:pt idx="226">
                  <c:v>1325</c:v>
                </c:pt>
                <c:pt idx="227">
                  <c:v>1307</c:v>
                </c:pt>
                <c:pt idx="228">
                  <c:v>1253</c:v>
                </c:pt>
                <c:pt idx="229">
                  <c:v>1311</c:v>
                </c:pt>
                <c:pt idx="230">
                  <c:v>1317</c:v>
                </c:pt>
                <c:pt idx="231">
                  <c:v>1330</c:v>
                </c:pt>
                <c:pt idx="232">
                  <c:v>1349</c:v>
                </c:pt>
                <c:pt idx="233">
                  <c:v>1303</c:v>
                </c:pt>
                <c:pt idx="234">
                  <c:v>1363</c:v>
                </c:pt>
                <c:pt idx="235">
                  <c:v>1485</c:v>
                </c:pt>
                <c:pt idx="236">
                  <c:v>1461</c:v>
                </c:pt>
                <c:pt idx="237">
                  <c:v>1520</c:v>
                </c:pt>
                <c:pt idx="238">
                  <c:v>1497</c:v>
                </c:pt>
                <c:pt idx="239">
                  <c:v>1439</c:v>
                </c:pt>
                <c:pt idx="240">
                  <c:v>1493</c:v>
                </c:pt>
                <c:pt idx="241">
                  <c:v>1457</c:v>
                </c:pt>
                <c:pt idx="242">
                  <c:v>1383</c:v>
                </c:pt>
                <c:pt idx="243">
                  <c:v>1084</c:v>
                </c:pt>
                <c:pt idx="244">
                  <c:v>1256</c:v>
                </c:pt>
                <c:pt idx="245">
                  <c:v>1338</c:v>
                </c:pt>
                <c:pt idx="246">
                  <c:v>1553</c:v>
                </c:pt>
                <c:pt idx="247">
                  <c:v>1520</c:v>
                </c:pt>
                <c:pt idx="248">
                  <c:v>1614</c:v>
                </c:pt>
                <c:pt idx="249">
                  <c:v>1599</c:v>
                </c:pt>
                <c:pt idx="250">
                  <c:v>1682</c:v>
                </c:pt>
                <c:pt idx="251">
                  <c:v>1730</c:v>
                </c:pt>
                <c:pt idx="252">
                  <c:v>1843</c:v>
                </c:pt>
                <c:pt idx="253">
                  <c:v>1743</c:v>
                </c:pt>
                <c:pt idx="254">
                  <c:v>1773</c:v>
                </c:pt>
                <c:pt idx="255">
                  <c:v>1765</c:v>
                </c:pt>
                <c:pt idx="256">
                  <c:v>1691</c:v>
                </c:pt>
                <c:pt idx="257">
                  <c:v>1661</c:v>
                </c:pt>
                <c:pt idx="258">
                  <c:v>1655</c:v>
                </c:pt>
                <c:pt idx="259">
                  <c:v>1772</c:v>
                </c:pt>
                <c:pt idx="260">
                  <c:v>1615</c:v>
                </c:pt>
                <c:pt idx="261">
                  <c:v>1698</c:v>
                </c:pt>
                <c:pt idx="262">
                  <c:v>1729</c:v>
                </c:pt>
                <c:pt idx="263">
                  <c:v>1896</c:v>
                </c:pt>
                <c:pt idx="264">
                  <c:v>1898</c:v>
                </c:pt>
                <c:pt idx="265">
                  <c:v>1817</c:v>
                </c:pt>
                <c:pt idx="266">
                  <c:v>1877</c:v>
                </c:pt>
                <c:pt idx="267">
                  <c:v>1795</c:v>
                </c:pt>
                <c:pt idx="268">
                  <c:v>1708</c:v>
                </c:pt>
                <c:pt idx="269">
                  <c:v>1701</c:v>
                </c:pt>
                <c:pt idx="270">
                  <c:v>1658</c:v>
                </c:pt>
                <c:pt idx="271">
                  <c:v>1586</c:v>
                </c:pt>
                <c:pt idx="272">
                  <c:v>1588</c:v>
                </c:pt>
                <c:pt idx="273">
                  <c:v>1555</c:v>
                </c:pt>
                <c:pt idx="274">
                  <c:v>1402</c:v>
                </c:pt>
                <c:pt idx="275">
                  <c:v>1409</c:v>
                </c:pt>
                <c:pt idx="276">
                  <c:v>1354</c:v>
                </c:pt>
                <c:pt idx="277">
                  <c:v>1482</c:v>
                </c:pt>
                <c:pt idx="278">
                  <c:v>1437</c:v>
                </c:pt>
                <c:pt idx="279">
                  <c:v>1417</c:v>
                </c:pt>
                <c:pt idx="280">
                  <c:v>1496</c:v>
                </c:pt>
                <c:pt idx="281">
                  <c:v>1441</c:v>
                </c:pt>
                <c:pt idx="282">
                  <c:v>1443</c:v>
                </c:pt>
                <c:pt idx="283">
                  <c:v>1541</c:v>
                </c:pt>
                <c:pt idx="284">
                  <c:v>1471</c:v>
                </c:pt>
                <c:pt idx="285">
                  <c:v>1498</c:v>
                </c:pt>
                <c:pt idx="286">
                  <c:v>1467</c:v>
                </c:pt>
                <c:pt idx="287">
                  <c:v>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95-4314-87B1-1D4D44985B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2500"/>
          <c:min val="25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539533376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490706208"/>
        <c:crosses val="max"/>
        <c:crossBetween val="between"/>
      </c:valAx>
      <c:catAx>
        <c:axId val="490706208"/>
        <c:scaling>
          <c:orientation val="minMax"/>
        </c:scaling>
        <c:delete val="1"/>
        <c:axPos val="b"/>
        <c:majorTickMark val="out"/>
        <c:minorTickMark val="none"/>
        <c:tickLblPos val="nextTo"/>
        <c:crossAx val="1539533376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1"/>
          <c:order val="0"/>
          <c:tx>
            <c:strRef>
              <c:f>'Monetary Policy + Market'!$D$3</c:f>
              <c:strCache>
                <c:ptCount val="1"/>
                <c:pt idx="0">
                  <c:v>St. Louis Fed Financial Stress Index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>
              <a:solidFill>
                <a:schemeClr val="tx1"/>
              </a:solidFill>
            </a:ln>
            <a:effectLst/>
          </c:spPr>
          <c:cat>
            <c:numRef>
              <c:f>'Monetary Policy + Market'!$A$472:$A$831</c:f>
              <c:numCache>
                <c:formatCode>[$-416]mmm\-yy;@</c:formatCode>
                <c:ptCount val="360"/>
                <c:pt idx="0">
                  <c:v>34335</c:v>
                </c:pt>
                <c:pt idx="1">
                  <c:v>34366</c:v>
                </c:pt>
                <c:pt idx="2">
                  <c:v>34394</c:v>
                </c:pt>
                <c:pt idx="3">
                  <c:v>34425</c:v>
                </c:pt>
                <c:pt idx="4">
                  <c:v>34455</c:v>
                </c:pt>
                <c:pt idx="5">
                  <c:v>34486</c:v>
                </c:pt>
                <c:pt idx="6">
                  <c:v>34516</c:v>
                </c:pt>
                <c:pt idx="7">
                  <c:v>34547</c:v>
                </c:pt>
                <c:pt idx="8">
                  <c:v>34578</c:v>
                </c:pt>
                <c:pt idx="9">
                  <c:v>34608</c:v>
                </c:pt>
                <c:pt idx="10">
                  <c:v>34639</c:v>
                </c:pt>
                <c:pt idx="11">
                  <c:v>34669</c:v>
                </c:pt>
                <c:pt idx="12">
                  <c:v>34700</c:v>
                </c:pt>
                <c:pt idx="13">
                  <c:v>34731</c:v>
                </c:pt>
                <c:pt idx="14">
                  <c:v>34759</c:v>
                </c:pt>
                <c:pt idx="15">
                  <c:v>34790</c:v>
                </c:pt>
                <c:pt idx="16">
                  <c:v>34820</c:v>
                </c:pt>
                <c:pt idx="17">
                  <c:v>34851</c:v>
                </c:pt>
                <c:pt idx="18">
                  <c:v>34881</c:v>
                </c:pt>
                <c:pt idx="19">
                  <c:v>34912</c:v>
                </c:pt>
                <c:pt idx="20">
                  <c:v>34943</c:v>
                </c:pt>
                <c:pt idx="21">
                  <c:v>34973</c:v>
                </c:pt>
                <c:pt idx="22">
                  <c:v>35004</c:v>
                </c:pt>
                <c:pt idx="23">
                  <c:v>35034</c:v>
                </c:pt>
                <c:pt idx="24">
                  <c:v>35065</c:v>
                </c:pt>
                <c:pt idx="25">
                  <c:v>35096</c:v>
                </c:pt>
                <c:pt idx="26">
                  <c:v>35125</c:v>
                </c:pt>
                <c:pt idx="27">
                  <c:v>35156</c:v>
                </c:pt>
                <c:pt idx="28">
                  <c:v>35186</c:v>
                </c:pt>
                <c:pt idx="29">
                  <c:v>35217</c:v>
                </c:pt>
                <c:pt idx="30">
                  <c:v>35247</c:v>
                </c:pt>
                <c:pt idx="31">
                  <c:v>35278</c:v>
                </c:pt>
                <c:pt idx="32">
                  <c:v>35309</c:v>
                </c:pt>
                <c:pt idx="33">
                  <c:v>35339</c:v>
                </c:pt>
                <c:pt idx="34">
                  <c:v>35370</c:v>
                </c:pt>
                <c:pt idx="35">
                  <c:v>35400</c:v>
                </c:pt>
                <c:pt idx="36">
                  <c:v>35431</c:v>
                </c:pt>
                <c:pt idx="37">
                  <c:v>35462</c:v>
                </c:pt>
                <c:pt idx="38">
                  <c:v>35490</c:v>
                </c:pt>
                <c:pt idx="39">
                  <c:v>35521</c:v>
                </c:pt>
                <c:pt idx="40">
                  <c:v>35551</c:v>
                </c:pt>
                <c:pt idx="41">
                  <c:v>35582</c:v>
                </c:pt>
                <c:pt idx="42">
                  <c:v>35612</c:v>
                </c:pt>
                <c:pt idx="43">
                  <c:v>35643</c:v>
                </c:pt>
                <c:pt idx="44">
                  <c:v>35674</c:v>
                </c:pt>
                <c:pt idx="45">
                  <c:v>35704</c:v>
                </c:pt>
                <c:pt idx="46">
                  <c:v>35735</c:v>
                </c:pt>
                <c:pt idx="47">
                  <c:v>35765</c:v>
                </c:pt>
                <c:pt idx="48">
                  <c:v>35796</c:v>
                </c:pt>
                <c:pt idx="49">
                  <c:v>35827</c:v>
                </c:pt>
                <c:pt idx="50">
                  <c:v>35855</c:v>
                </c:pt>
                <c:pt idx="51">
                  <c:v>35886</c:v>
                </c:pt>
                <c:pt idx="52">
                  <c:v>35916</c:v>
                </c:pt>
                <c:pt idx="53">
                  <c:v>35947</c:v>
                </c:pt>
                <c:pt idx="54">
                  <c:v>35977</c:v>
                </c:pt>
                <c:pt idx="55">
                  <c:v>36008</c:v>
                </c:pt>
                <c:pt idx="56">
                  <c:v>36039</c:v>
                </c:pt>
                <c:pt idx="57">
                  <c:v>36069</c:v>
                </c:pt>
                <c:pt idx="58">
                  <c:v>36100</c:v>
                </c:pt>
                <c:pt idx="59">
                  <c:v>36130</c:v>
                </c:pt>
                <c:pt idx="60">
                  <c:v>36161</c:v>
                </c:pt>
                <c:pt idx="61">
                  <c:v>36192</c:v>
                </c:pt>
                <c:pt idx="62">
                  <c:v>36220</c:v>
                </c:pt>
                <c:pt idx="63">
                  <c:v>36251</c:v>
                </c:pt>
                <c:pt idx="64">
                  <c:v>36281</c:v>
                </c:pt>
                <c:pt idx="65">
                  <c:v>36312</c:v>
                </c:pt>
                <c:pt idx="66">
                  <c:v>36342</c:v>
                </c:pt>
                <c:pt idx="67">
                  <c:v>36373</c:v>
                </c:pt>
                <c:pt idx="68">
                  <c:v>36404</c:v>
                </c:pt>
                <c:pt idx="69">
                  <c:v>36434</c:v>
                </c:pt>
                <c:pt idx="70">
                  <c:v>36465</c:v>
                </c:pt>
                <c:pt idx="71">
                  <c:v>36495</c:v>
                </c:pt>
                <c:pt idx="72">
                  <c:v>36526</c:v>
                </c:pt>
                <c:pt idx="73">
                  <c:v>36557</c:v>
                </c:pt>
                <c:pt idx="74">
                  <c:v>36586</c:v>
                </c:pt>
                <c:pt idx="75">
                  <c:v>36617</c:v>
                </c:pt>
                <c:pt idx="76">
                  <c:v>36647</c:v>
                </c:pt>
                <c:pt idx="77">
                  <c:v>36678</c:v>
                </c:pt>
                <c:pt idx="78">
                  <c:v>36708</c:v>
                </c:pt>
                <c:pt idx="79">
                  <c:v>36739</c:v>
                </c:pt>
                <c:pt idx="80">
                  <c:v>36770</c:v>
                </c:pt>
                <c:pt idx="81">
                  <c:v>36800</c:v>
                </c:pt>
                <c:pt idx="82">
                  <c:v>36831</c:v>
                </c:pt>
                <c:pt idx="83">
                  <c:v>36861</c:v>
                </c:pt>
                <c:pt idx="84">
                  <c:v>36892</c:v>
                </c:pt>
                <c:pt idx="85">
                  <c:v>36923</c:v>
                </c:pt>
                <c:pt idx="86">
                  <c:v>36951</c:v>
                </c:pt>
                <c:pt idx="87">
                  <c:v>36982</c:v>
                </c:pt>
                <c:pt idx="88">
                  <c:v>37012</c:v>
                </c:pt>
                <c:pt idx="89">
                  <c:v>37043</c:v>
                </c:pt>
                <c:pt idx="90">
                  <c:v>37073</c:v>
                </c:pt>
                <c:pt idx="91">
                  <c:v>37104</c:v>
                </c:pt>
                <c:pt idx="92">
                  <c:v>37135</c:v>
                </c:pt>
                <c:pt idx="93">
                  <c:v>37165</c:v>
                </c:pt>
                <c:pt idx="94">
                  <c:v>37196</c:v>
                </c:pt>
                <c:pt idx="95">
                  <c:v>37226</c:v>
                </c:pt>
                <c:pt idx="96">
                  <c:v>37257</c:v>
                </c:pt>
                <c:pt idx="97">
                  <c:v>37288</c:v>
                </c:pt>
                <c:pt idx="98">
                  <c:v>37316</c:v>
                </c:pt>
                <c:pt idx="99">
                  <c:v>37347</c:v>
                </c:pt>
                <c:pt idx="100">
                  <c:v>37377</c:v>
                </c:pt>
                <c:pt idx="101">
                  <c:v>37408</c:v>
                </c:pt>
                <c:pt idx="102">
                  <c:v>37438</c:v>
                </c:pt>
                <c:pt idx="103">
                  <c:v>37469</c:v>
                </c:pt>
                <c:pt idx="104">
                  <c:v>37500</c:v>
                </c:pt>
                <c:pt idx="105">
                  <c:v>37530</c:v>
                </c:pt>
                <c:pt idx="106">
                  <c:v>37561</c:v>
                </c:pt>
                <c:pt idx="107">
                  <c:v>37591</c:v>
                </c:pt>
                <c:pt idx="108">
                  <c:v>37622</c:v>
                </c:pt>
                <c:pt idx="109">
                  <c:v>37653</c:v>
                </c:pt>
                <c:pt idx="110">
                  <c:v>37681</c:v>
                </c:pt>
                <c:pt idx="111">
                  <c:v>37712</c:v>
                </c:pt>
                <c:pt idx="112">
                  <c:v>37742</c:v>
                </c:pt>
                <c:pt idx="113">
                  <c:v>37773</c:v>
                </c:pt>
                <c:pt idx="114">
                  <c:v>37803</c:v>
                </c:pt>
                <c:pt idx="115">
                  <c:v>37834</c:v>
                </c:pt>
                <c:pt idx="116">
                  <c:v>37865</c:v>
                </c:pt>
                <c:pt idx="117">
                  <c:v>37895</c:v>
                </c:pt>
                <c:pt idx="118">
                  <c:v>37926</c:v>
                </c:pt>
                <c:pt idx="119">
                  <c:v>37956</c:v>
                </c:pt>
                <c:pt idx="120">
                  <c:v>37987</c:v>
                </c:pt>
                <c:pt idx="121">
                  <c:v>38018</c:v>
                </c:pt>
                <c:pt idx="122">
                  <c:v>38047</c:v>
                </c:pt>
                <c:pt idx="123">
                  <c:v>38078</c:v>
                </c:pt>
                <c:pt idx="124">
                  <c:v>38108</c:v>
                </c:pt>
                <c:pt idx="125">
                  <c:v>38139</c:v>
                </c:pt>
                <c:pt idx="126">
                  <c:v>38169</c:v>
                </c:pt>
                <c:pt idx="127">
                  <c:v>38200</c:v>
                </c:pt>
                <c:pt idx="128">
                  <c:v>38231</c:v>
                </c:pt>
                <c:pt idx="129">
                  <c:v>38261</c:v>
                </c:pt>
                <c:pt idx="130">
                  <c:v>38292</c:v>
                </c:pt>
                <c:pt idx="131">
                  <c:v>38322</c:v>
                </c:pt>
                <c:pt idx="132">
                  <c:v>38353</c:v>
                </c:pt>
                <c:pt idx="133">
                  <c:v>38384</c:v>
                </c:pt>
                <c:pt idx="134">
                  <c:v>38412</c:v>
                </c:pt>
                <c:pt idx="135">
                  <c:v>38443</c:v>
                </c:pt>
                <c:pt idx="136">
                  <c:v>38473</c:v>
                </c:pt>
                <c:pt idx="137">
                  <c:v>38504</c:v>
                </c:pt>
                <c:pt idx="138">
                  <c:v>38534</c:v>
                </c:pt>
                <c:pt idx="139">
                  <c:v>38565</c:v>
                </c:pt>
                <c:pt idx="140">
                  <c:v>38596</c:v>
                </c:pt>
                <c:pt idx="141">
                  <c:v>38626</c:v>
                </c:pt>
                <c:pt idx="142">
                  <c:v>38657</c:v>
                </c:pt>
                <c:pt idx="143">
                  <c:v>38687</c:v>
                </c:pt>
                <c:pt idx="144">
                  <c:v>38718</c:v>
                </c:pt>
                <c:pt idx="145">
                  <c:v>38749</c:v>
                </c:pt>
                <c:pt idx="146">
                  <c:v>38777</c:v>
                </c:pt>
                <c:pt idx="147">
                  <c:v>38808</c:v>
                </c:pt>
                <c:pt idx="148">
                  <c:v>38838</c:v>
                </c:pt>
                <c:pt idx="149">
                  <c:v>38869</c:v>
                </c:pt>
                <c:pt idx="150">
                  <c:v>38899</c:v>
                </c:pt>
                <c:pt idx="151">
                  <c:v>38930</c:v>
                </c:pt>
                <c:pt idx="152">
                  <c:v>38961</c:v>
                </c:pt>
                <c:pt idx="153">
                  <c:v>38991</c:v>
                </c:pt>
                <c:pt idx="154">
                  <c:v>39022</c:v>
                </c:pt>
                <c:pt idx="155">
                  <c:v>39052</c:v>
                </c:pt>
                <c:pt idx="156">
                  <c:v>39083</c:v>
                </c:pt>
                <c:pt idx="157">
                  <c:v>39114</c:v>
                </c:pt>
                <c:pt idx="158">
                  <c:v>39142</c:v>
                </c:pt>
                <c:pt idx="159">
                  <c:v>39173</c:v>
                </c:pt>
                <c:pt idx="160">
                  <c:v>39203</c:v>
                </c:pt>
                <c:pt idx="161">
                  <c:v>39234</c:v>
                </c:pt>
                <c:pt idx="162">
                  <c:v>39264</c:v>
                </c:pt>
                <c:pt idx="163">
                  <c:v>39295</c:v>
                </c:pt>
                <c:pt idx="164">
                  <c:v>39326</c:v>
                </c:pt>
                <c:pt idx="165">
                  <c:v>39356</c:v>
                </c:pt>
                <c:pt idx="166">
                  <c:v>39387</c:v>
                </c:pt>
                <c:pt idx="167">
                  <c:v>39417</c:v>
                </c:pt>
                <c:pt idx="168">
                  <c:v>39448</c:v>
                </c:pt>
                <c:pt idx="169">
                  <c:v>39479</c:v>
                </c:pt>
                <c:pt idx="170">
                  <c:v>39508</c:v>
                </c:pt>
                <c:pt idx="171">
                  <c:v>39539</c:v>
                </c:pt>
                <c:pt idx="172">
                  <c:v>39569</c:v>
                </c:pt>
                <c:pt idx="173">
                  <c:v>39600</c:v>
                </c:pt>
                <c:pt idx="174">
                  <c:v>39630</c:v>
                </c:pt>
                <c:pt idx="175">
                  <c:v>39661</c:v>
                </c:pt>
                <c:pt idx="176">
                  <c:v>39692</c:v>
                </c:pt>
                <c:pt idx="177">
                  <c:v>39722</c:v>
                </c:pt>
                <c:pt idx="178">
                  <c:v>39753</c:v>
                </c:pt>
                <c:pt idx="179">
                  <c:v>39783</c:v>
                </c:pt>
                <c:pt idx="180">
                  <c:v>39814</c:v>
                </c:pt>
                <c:pt idx="181">
                  <c:v>39845</c:v>
                </c:pt>
                <c:pt idx="182">
                  <c:v>39873</c:v>
                </c:pt>
                <c:pt idx="183">
                  <c:v>39904</c:v>
                </c:pt>
                <c:pt idx="184">
                  <c:v>39934</c:v>
                </c:pt>
                <c:pt idx="185">
                  <c:v>39965</c:v>
                </c:pt>
                <c:pt idx="186">
                  <c:v>39995</c:v>
                </c:pt>
                <c:pt idx="187">
                  <c:v>40026</c:v>
                </c:pt>
                <c:pt idx="188">
                  <c:v>40057</c:v>
                </c:pt>
                <c:pt idx="189">
                  <c:v>40087</c:v>
                </c:pt>
                <c:pt idx="190">
                  <c:v>40118</c:v>
                </c:pt>
                <c:pt idx="191">
                  <c:v>40148</c:v>
                </c:pt>
                <c:pt idx="192">
                  <c:v>40179</c:v>
                </c:pt>
                <c:pt idx="193">
                  <c:v>40210</c:v>
                </c:pt>
                <c:pt idx="194">
                  <c:v>40238</c:v>
                </c:pt>
                <c:pt idx="195">
                  <c:v>40269</c:v>
                </c:pt>
                <c:pt idx="196">
                  <c:v>40299</c:v>
                </c:pt>
                <c:pt idx="197">
                  <c:v>40330</c:v>
                </c:pt>
                <c:pt idx="198">
                  <c:v>40360</c:v>
                </c:pt>
                <c:pt idx="199">
                  <c:v>40391</c:v>
                </c:pt>
                <c:pt idx="200">
                  <c:v>40422</c:v>
                </c:pt>
                <c:pt idx="201">
                  <c:v>40452</c:v>
                </c:pt>
                <c:pt idx="202">
                  <c:v>40483</c:v>
                </c:pt>
                <c:pt idx="203">
                  <c:v>40513</c:v>
                </c:pt>
                <c:pt idx="204">
                  <c:v>40544</c:v>
                </c:pt>
                <c:pt idx="205">
                  <c:v>40575</c:v>
                </c:pt>
                <c:pt idx="206">
                  <c:v>40603</c:v>
                </c:pt>
                <c:pt idx="207">
                  <c:v>40634</c:v>
                </c:pt>
                <c:pt idx="208">
                  <c:v>40664</c:v>
                </c:pt>
                <c:pt idx="209">
                  <c:v>40695</c:v>
                </c:pt>
                <c:pt idx="210">
                  <c:v>40725</c:v>
                </c:pt>
                <c:pt idx="211">
                  <c:v>40756</c:v>
                </c:pt>
                <c:pt idx="212">
                  <c:v>40787</c:v>
                </c:pt>
                <c:pt idx="213">
                  <c:v>40817</c:v>
                </c:pt>
                <c:pt idx="214">
                  <c:v>40848</c:v>
                </c:pt>
                <c:pt idx="215">
                  <c:v>40878</c:v>
                </c:pt>
                <c:pt idx="216">
                  <c:v>40909</c:v>
                </c:pt>
                <c:pt idx="217">
                  <c:v>40940</c:v>
                </c:pt>
                <c:pt idx="218">
                  <c:v>40969</c:v>
                </c:pt>
                <c:pt idx="219">
                  <c:v>41000</c:v>
                </c:pt>
                <c:pt idx="220">
                  <c:v>41030</c:v>
                </c:pt>
                <c:pt idx="221">
                  <c:v>41061</c:v>
                </c:pt>
                <c:pt idx="222">
                  <c:v>41091</c:v>
                </c:pt>
                <c:pt idx="223">
                  <c:v>41122</c:v>
                </c:pt>
                <c:pt idx="224">
                  <c:v>41153</c:v>
                </c:pt>
                <c:pt idx="225">
                  <c:v>41183</c:v>
                </c:pt>
                <c:pt idx="226">
                  <c:v>41214</c:v>
                </c:pt>
                <c:pt idx="227">
                  <c:v>41244</c:v>
                </c:pt>
                <c:pt idx="228">
                  <c:v>41275</c:v>
                </c:pt>
                <c:pt idx="229">
                  <c:v>41306</c:v>
                </c:pt>
                <c:pt idx="230">
                  <c:v>41334</c:v>
                </c:pt>
                <c:pt idx="231">
                  <c:v>41365</c:v>
                </c:pt>
                <c:pt idx="232">
                  <c:v>41395</c:v>
                </c:pt>
                <c:pt idx="233">
                  <c:v>41426</c:v>
                </c:pt>
                <c:pt idx="234">
                  <c:v>41456</c:v>
                </c:pt>
                <c:pt idx="235">
                  <c:v>41487</c:v>
                </c:pt>
                <c:pt idx="236">
                  <c:v>41518</c:v>
                </c:pt>
                <c:pt idx="237">
                  <c:v>41548</c:v>
                </c:pt>
                <c:pt idx="238">
                  <c:v>41579</c:v>
                </c:pt>
                <c:pt idx="239">
                  <c:v>41609</c:v>
                </c:pt>
                <c:pt idx="240">
                  <c:v>41640</c:v>
                </c:pt>
                <c:pt idx="241">
                  <c:v>41671</c:v>
                </c:pt>
                <c:pt idx="242">
                  <c:v>41699</c:v>
                </c:pt>
                <c:pt idx="243">
                  <c:v>41730</c:v>
                </c:pt>
                <c:pt idx="244">
                  <c:v>41760</c:v>
                </c:pt>
                <c:pt idx="245">
                  <c:v>41791</c:v>
                </c:pt>
                <c:pt idx="246">
                  <c:v>41821</c:v>
                </c:pt>
                <c:pt idx="247">
                  <c:v>41852</c:v>
                </c:pt>
                <c:pt idx="248">
                  <c:v>41883</c:v>
                </c:pt>
                <c:pt idx="249">
                  <c:v>41913</c:v>
                </c:pt>
                <c:pt idx="250">
                  <c:v>41944</c:v>
                </c:pt>
                <c:pt idx="251">
                  <c:v>41974</c:v>
                </c:pt>
                <c:pt idx="252">
                  <c:v>42005</c:v>
                </c:pt>
                <c:pt idx="253">
                  <c:v>42036</c:v>
                </c:pt>
                <c:pt idx="254">
                  <c:v>42064</c:v>
                </c:pt>
                <c:pt idx="255">
                  <c:v>42095</c:v>
                </c:pt>
                <c:pt idx="256">
                  <c:v>42125</c:v>
                </c:pt>
                <c:pt idx="257">
                  <c:v>42156</c:v>
                </c:pt>
                <c:pt idx="258">
                  <c:v>42186</c:v>
                </c:pt>
                <c:pt idx="259">
                  <c:v>42217</c:v>
                </c:pt>
                <c:pt idx="260">
                  <c:v>42248</c:v>
                </c:pt>
                <c:pt idx="261">
                  <c:v>42278</c:v>
                </c:pt>
                <c:pt idx="262">
                  <c:v>42309</c:v>
                </c:pt>
                <c:pt idx="263">
                  <c:v>42339</c:v>
                </c:pt>
                <c:pt idx="264">
                  <c:v>42370</c:v>
                </c:pt>
                <c:pt idx="265">
                  <c:v>42401</c:v>
                </c:pt>
                <c:pt idx="266">
                  <c:v>42430</c:v>
                </c:pt>
                <c:pt idx="267">
                  <c:v>42461</c:v>
                </c:pt>
                <c:pt idx="268">
                  <c:v>42491</c:v>
                </c:pt>
                <c:pt idx="269">
                  <c:v>42522</c:v>
                </c:pt>
                <c:pt idx="270">
                  <c:v>42552</c:v>
                </c:pt>
                <c:pt idx="271">
                  <c:v>42583</c:v>
                </c:pt>
                <c:pt idx="272">
                  <c:v>42614</c:v>
                </c:pt>
                <c:pt idx="273">
                  <c:v>42644</c:v>
                </c:pt>
                <c:pt idx="274">
                  <c:v>42675</c:v>
                </c:pt>
                <c:pt idx="275">
                  <c:v>42705</c:v>
                </c:pt>
                <c:pt idx="276">
                  <c:v>42736</c:v>
                </c:pt>
                <c:pt idx="277">
                  <c:v>42767</c:v>
                </c:pt>
                <c:pt idx="278">
                  <c:v>42795</c:v>
                </c:pt>
                <c:pt idx="279">
                  <c:v>42826</c:v>
                </c:pt>
                <c:pt idx="280">
                  <c:v>42856</c:v>
                </c:pt>
                <c:pt idx="281">
                  <c:v>42887</c:v>
                </c:pt>
                <c:pt idx="282">
                  <c:v>42917</c:v>
                </c:pt>
                <c:pt idx="283">
                  <c:v>42948</c:v>
                </c:pt>
                <c:pt idx="284">
                  <c:v>42979</c:v>
                </c:pt>
                <c:pt idx="285">
                  <c:v>43009</c:v>
                </c:pt>
                <c:pt idx="286">
                  <c:v>43040</c:v>
                </c:pt>
                <c:pt idx="287">
                  <c:v>43070</c:v>
                </c:pt>
                <c:pt idx="288">
                  <c:v>43101</c:v>
                </c:pt>
                <c:pt idx="289">
                  <c:v>43132</c:v>
                </c:pt>
                <c:pt idx="290">
                  <c:v>43160</c:v>
                </c:pt>
                <c:pt idx="291">
                  <c:v>43191</c:v>
                </c:pt>
                <c:pt idx="292">
                  <c:v>43221</c:v>
                </c:pt>
                <c:pt idx="293">
                  <c:v>43252</c:v>
                </c:pt>
                <c:pt idx="294">
                  <c:v>43282</c:v>
                </c:pt>
                <c:pt idx="295">
                  <c:v>43313</c:v>
                </c:pt>
                <c:pt idx="296">
                  <c:v>43344</c:v>
                </c:pt>
                <c:pt idx="297">
                  <c:v>43374</c:v>
                </c:pt>
                <c:pt idx="298">
                  <c:v>43405</c:v>
                </c:pt>
                <c:pt idx="299">
                  <c:v>43435</c:v>
                </c:pt>
                <c:pt idx="300">
                  <c:v>43466</c:v>
                </c:pt>
                <c:pt idx="301">
                  <c:v>43497</c:v>
                </c:pt>
                <c:pt idx="302">
                  <c:v>43525</c:v>
                </c:pt>
                <c:pt idx="303">
                  <c:v>43556</c:v>
                </c:pt>
                <c:pt idx="304">
                  <c:v>43586</c:v>
                </c:pt>
                <c:pt idx="305">
                  <c:v>43617</c:v>
                </c:pt>
                <c:pt idx="306">
                  <c:v>43647</c:v>
                </c:pt>
                <c:pt idx="307">
                  <c:v>43678</c:v>
                </c:pt>
                <c:pt idx="308">
                  <c:v>43709</c:v>
                </c:pt>
                <c:pt idx="309">
                  <c:v>43739</c:v>
                </c:pt>
                <c:pt idx="310">
                  <c:v>43770</c:v>
                </c:pt>
                <c:pt idx="311">
                  <c:v>43800</c:v>
                </c:pt>
                <c:pt idx="312">
                  <c:v>43831</c:v>
                </c:pt>
                <c:pt idx="313">
                  <c:v>43862</c:v>
                </c:pt>
                <c:pt idx="314">
                  <c:v>43891</c:v>
                </c:pt>
                <c:pt idx="315">
                  <c:v>43922</c:v>
                </c:pt>
                <c:pt idx="316">
                  <c:v>43952</c:v>
                </c:pt>
                <c:pt idx="317">
                  <c:v>43983</c:v>
                </c:pt>
                <c:pt idx="318">
                  <c:v>44013</c:v>
                </c:pt>
                <c:pt idx="319">
                  <c:v>44044</c:v>
                </c:pt>
                <c:pt idx="320">
                  <c:v>44075</c:v>
                </c:pt>
                <c:pt idx="321">
                  <c:v>44105</c:v>
                </c:pt>
                <c:pt idx="322">
                  <c:v>44136</c:v>
                </c:pt>
                <c:pt idx="323">
                  <c:v>44166</c:v>
                </c:pt>
                <c:pt idx="324">
                  <c:v>44197</c:v>
                </c:pt>
                <c:pt idx="325">
                  <c:v>44228</c:v>
                </c:pt>
                <c:pt idx="326">
                  <c:v>44256</c:v>
                </c:pt>
                <c:pt idx="327">
                  <c:v>44287</c:v>
                </c:pt>
                <c:pt idx="328">
                  <c:v>44317</c:v>
                </c:pt>
                <c:pt idx="329">
                  <c:v>44348</c:v>
                </c:pt>
                <c:pt idx="330">
                  <c:v>44378</c:v>
                </c:pt>
                <c:pt idx="331">
                  <c:v>44409</c:v>
                </c:pt>
                <c:pt idx="332">
                  <c:v>44440</c:v>
                </c:pt>
                <c:pt idx="333">
                  <c:v>44470</c:v>
                </c:pt>
                <c:pt idx="334">
                  <c:v>44501</c:v>
                </c:pt>
                <c:pt idx="335">
                  <c:v>44531</c:v>
                </c:pt>
                <c:pt idx="336">
                  <c:v>44562</c:v>
                </c:pt>
                <c:pt idx="337">
                  <c:v>44593</c:v>
                </c:pt>
                <c:pt idx="338">
                  <c:v>44621</c:v>
                </c:pt>
                <c:pt idx="339">
                  <c:v>44652</c:v>
                </c:pt>
                <c:pt idx="340">
                  <c:v>44682</c:v>
                </c:pt>
                <c:pt idx="341">
                  <c:v>44713</c:v>
                </c:pt>
                <c:pt idx="342">
                  <c:v>44743</c:v>
                </c:pt>
                <c:pt idx="343">
                  <c:v>44774</c:v>
                </c:pt>
                <c:pt idx="344">
                  <c:v>44805</c:v>
                </c:pt>
                <c:pt idx="345">
                  <c:v>44835</c:v>
                </c:pt>
                <c:pt idx="346">
                  <c:v>44866</c:v>
                </c:pt>
                <c:pt idx="347">
                  <c:v>44896</c:v>
                </c:pt>
                <c:pt idx="348">
                  <c:v>44927</c:v>
                </c:pt>
                <c:pt idx="349">
                  <c:v>44958</c:v>
                </c:pt>
                <c:pt idx="350">
                  <c:v>44986</c:v>
                </c:pt>
                <c:pt idx="351">
                  <c:v>45017</c:v>
                </c:pt>
                <c:pt idx="352">
                  <c:v>45047</c:v>
                </c:pt>
                <c:pt idx="353">
                  <c:v>45078</c:v>
                </c:pt>
                <c:pt idx="354">
                  <c:v>45108</c:v>
                </c:pt>
                <c:pt idx="355">
                  <c:v>45139</c:v>
                </c:pt>
                <c:pt idx="356">
                  <c:v>45170</c:v>
                </c:pt>
                <c:pt idx="357">
                  <c:v>45200</c:v>
                </c:pt>
                <c:pt idx="358">
                  <c:v>45231</c:v>
                </c:pt>
                <c:pt idx="359">
                  <c:v>45261</c:v>
                </c:pt>
              </c:numCache>
            </c:numRef>
          </c:cat>
          <c:val>
            <c:numRef>
              <c:f>'Monetary Policy + Market'!$D$472:$D$831</c:f>
              <c:numCache>
                <c:formatCode>0.00</c:formatCode>
                <c:ptCount val="360"/>
                <c:pt idx="0">
                  <c:v>-0.24560000000000001</c:v>
                </c:pt>
                <c:pt idx="1">
                  <c:v>-0.32469999999999999</c:v>
                </c:pt>
                <c:pt idx="2">
                  <c:v>-0.27329999999999999</c:v>
                </c:pt>
                <c:pt idx="3">
                  <c:v>-0.10680000000000001</c:v>
                </c:pt>
                <c:pt idx="4">
                  <c:v>-0.2263</c:v>
                </c:pt>
                <c:pt idx="5">
                  <c:v>-0.1376</c:v>
                </c:pt>
                <c:pt idx="6">
                  <c:v>-0.24399999999999999</c:v>
                </c:pt>
                <c:pt idx="7">
                  <c:v>-0.34300000000000003</c:v>
                </c:pt>
                <c:pt idx="8">
                  <c:v>-0.24590000000000001</c:v>
                </c:pt>
                <c:pt idx="9">
                  <c:v>-0.25850000000000001</c:v>
                </c:pt>
                <c:pt idx="10">
                  <c:v>-0.22450000000000001</c:v>
                </c:pt>
                <c:pt idx="11">
                  <c:v>-6.2899999999999998E-2</c:v>
                </c:pt>
                <c:pt idx="12">
                  <c:v>-0.36699999999999999</c:v>
                </c:pt>
                <c:pt idx="13">
                  <c:v>-0.25019999999999998</c:v>
                </c:pt>
                <c:pt idx="14">
                  <c:v>-0.46200000000000002</c:v>
                </c:pt>
                <c:pt idx="15">
                  <c:v>-0.44</c:v>
                </c:pt>
                <c:pt idx="16">
                  <c:v>-0.32300000000000001</c:v>
                </c:pt>
                <c:pt idx="17">
                  <c:v>-0.2853</c:v>
                </c:pt>
                <c:pt idx="18">
                  <c:v>-0.30520000000000003</c:v>
                </c:pt>
                <c:pt idx="19">
                  <c:v>-0.22800000000000001</c:v>
                </c:pt>
                <c:pt idx="20">
                  <c:v>-0.42980000000000002</c:v>
                </c:pt>
                <c:pt idx="21">
                  <c:v>-0.16250000000000001</c:v>
                </c:pt>
                <c:pt idx="22">
                  <c:v>-0.46960000000000002</c:v>
                </c:pt>
                <c:pt idx="23">
                  <c:v>-5.3699999999999998E-2</c:v>
                </c:pt>
                <c:pt idx="24">
                  <c:v>-0.4047</c:v>
                </c:pt>
                <c:pt idx="25">
                  <c:v>-0.50170000000000003</c:v>
                </c:pt>
                <c:pt idx="26">
                  <c:v>-0.1222</c:v>
                </c:pt>
                <c:pt idx="27">
                  <c:v>-0.219</c:v>
                </c:pt>
                <c:pt idx="28">
                  <c:v>-0.32379999999999998</c:v>
                </c:pt>
                <c:pt idx="29">
                  <c:v>-4.9399999999999999E-2</c:v>
                </c:pt>
                <c:pt idx="30">
                  <c:v>-0.1128</c:v>
                </c:pt>
                <c:pt idx="31">
                  <c:v>-0.38319999999999999</c:v>
                </c:pt>
                <c:pt idx="32">
                  <c:v>-9.0300000000000005E-2</c:v>
                </c:pt>
                <c:pt idx="33">
                  <c:v>-0.21659999999999999</c:v>
                </c:pt>
                <c:pt idx="34">
                  <c:v>-0.29980000000000001</c:v>
                </c:pt>
                <c:pt idx="35">
                  <c:v>-0.1094</c:v>
                </c:pt>
                <c:pt idx="36">
                  <c:v>-0.27829999999999999</c:v>
                </c:pt>
                <c:pt idx="37">
                  <c:v>-0.43759999999999999</c:v>
                </c:pt>
                <c:pt idx="38">
                  <c:v>-0.42259999999999998</c:v>
                </c:pt>
                <c:pt idx="39">
                  <c:v>-0.26950000000000002</c:v>
                </c:pt>
                <c:pt idx="40">
                  <c:v>-0.26690000000000003</c:v>
                </c:pt>
                <c:pt idx="41">
                  <c:v>-0.13739999999999999</c:v>
                </c:pt>
                <c:pt idx="42">
                  <c:v>-0.33450000000000002</c:v>
                </c:pt>
                <c:pt idx="43">
                  <c:v>-0.28160000000000002</c:v>
                </c:pt>
                <c:pt idx="44">
                  <c:v>-0.1595</c:v>
                </c:pt>
                <c:pt idx="45">
                  <c:v>0.60729999999999995</c:v>
                </c:pt>
                <c:pt idx="46">
                  <c:v>-0.15229999999999999</c:v>
                </c:pt>
                <c:pt idx="47">
                  <c:v>8.7999999999999995E-2</c:v>
                </c:pt>
                <c:pt idx="48">
                  <c:v>-0.2581</c:v>
                </c:pt>
                <c:pt idx="49">
                  <c:v>-0.50560000000000005</c:v>
                </c:pt>
                <c:pt idx="50">
                  <c:v>-0.36649999999999999</c:v>
                </c:pt>
                <c:pt idx="51">
                  <c:v>-0.24340000000000001</c:v>
                </c:pt>
                <c:pt idx="52">
                  <c:v>-0.1865</c:v>
                </c:pt>
                <c:pt idx="53">
                  <c:v>-0.2142</c:v>
                </c:pt>
                <c:pt idx="54">
                  <c:v>-0.15129999999999999</c:v>
                </c:pt>
                <c:pt idx="55">
                  <c:v>0.82989999999999997</c:v>
                </c:pt>
                <c:pt idx="56">
                  <c:v>0.63500000000000001</c:v>
                </c:pt>
                <c:pt idx="57">
                  <c:v>0.7026</c:v>
                </c:pt>
                <c:pt idx="58">
                  <c:v>-5.7799999999999997E-2</c:v>
                </c:pt>
                <c:pt idx="59">
                  <c:v>0.13159999999999999</c:v>
                </c:pt>
                <c:pt idx="60">
                  <c:v>0.22520000000000001</c:v>
                </c:pt>
                <c:pt idx="61">
                  <c:v>3.2000000000000002E-3</c:v>
                </c:pt>
                <c:pt idx="62">
                  <c:v>0.1019</c:v>
                </c:pt>
                <c:pt idx="63">
                  <c:v>-0.1235</c:v>
                </c:pt>
                <c:pt idx="64">
                  <c:v>0.25990000000000002</c:v>
                </c:pt>
                <c:pt idx="65">
                  <c:v>3.5000000000000001E-3</c:v>
                </c:pt>
                <c:pt idx="66">
                  <c:v>0.191</c:v>
                </c:pt>
                <c:pt idx="67">
                  <c:v>8.5199999999999998E-2</c:v>
                </c:pt>
                <c:pt idx="68">
                  <c:v>0.34289999999999998</c:v>
                </c:pt>
                <c:pt idx="69">
                  <c:v>0.14610000000000001</c:v>
                </c:pt>
                <c:pt idx="70">
                  <c:v>-3.5000000000000001E-3</c:v>
                </c:pt>
                <c:pt idx="71">
                  <c:v>0.2369</c:v>
                </c:pt>
                <c:pt idx="72">
                  <c:v>4.1500000000000002E-2</c:v>
                </c:pt>
                <c:pt idx="73">
                  <c:v>0.2369</c:v>
                </c:pt>
                <c:pt idx="74">
                  <c:v>0.1842</c:v>
                </c:pt>
                <c:pt idx="75">
                  <c:v>0.24010000000000001</c:v>
                </c:pt>
                <c:pt idx="76">
                  <c:v>0.54310000000000003</c:v>
                </c:pt>
                <c:pt idx="77">
                  <c:v>0.32500000000000001</c:v>
                </c:pt>
                <c:pt idx="78">
                  <c:v>0.10340000000000001</c:v>
                </c:pt>
                <c:pt idx="79">
                  <c:v>-4.4000000000000003E-3</c:v>
                </c:pt>
                <c:pt idx="80">
                  <c:v>0.10489999999999999</c:v>
                </c:pt>
                <c:pt idx="81">
                  <c:v>0.2792</c:v>
                </c:pt>
                <c:pt idx="82">
                  <c:v>0.51190000000000002</c:v>
                </c:pt>
                <c:pt idx="83">
                  <c:v>0.66769999999999996</c:v>
                </c:pt>
                <c:pt idx="84">
                  <c:v>0.22270000000000001</c:v>
                </c:pt>
                <c:pt idx="85">
                  <c:v>0.61409999999999998</c:v>
                </c:pt>
                <c:pt idx="86">
                  <c:v>0.47639999999999999</c:v>
                </c:pt>
                <c:pt idx="87">
                  <c:v>0.71889999999999998</c:v>
                </c:pt>
                <c:pt idx="88">
                  <c:v>0.3241</c:v>
                </c:pt>
                <c:pt idx="89">
                  <c:v>0.25990000000000002</c:v>
                </c:pt>
                <c:pt idx="90">
                  <c:v>0.28710000000000002</c:v>
                </c:pt>
                <c:pt idx="91">
                  <c:v>0.3624</c:v>
                </c:pt>
                <c:pt idx="92">
                  <c:v>0.67989999999999995</c:v>
                </c:pt>
                <c:pt idx="93">
                  <c:v>0.69410000000000005</c:v>
                </c:pt>
                <c:pt idx="94">
                  <c:v>0.63460000000000005</c:v>
                </c:pt>
                <c:pt idx="95">
                  <c:v>0.53569999999999995</c:v>
                </c:pt>
                <c:pt idx="96">
                  <c:v>0.28920000000000001</c:v>
                </c:pt>
                <c:pt idx="97">
                  <c:v>0.497</c:v>
                </c:pt>
                <c:pt idx="98">
                  <c:v>0.29110000000000003</c:v>
                </c:pt>
                <c:pt idx="99">
                  <c:v>0.3362</c:v>
                </c:pt>
                <c:pt idx="100">
                  <c:v>0.29770000000000002</c:v>
                </c:pt>
                <c:pt idx="101">
                  <c:v>0.91720000000000002</c:v>
                </c:pt>
                <c:pt idx="102">
                  <c:v>1.4601</c:v>
                </c:pt>
                <c:pt idx="103">
                  <c:v>0.78890000000000005</c:v>
                </c:pt>
                <c:pt idx="104">
                  <c:v>1.3741000000000001</c:v>
                </c:pt>
                <c:pt idx="105">
                  <c:v>0.92290000000000005</c:v>
                </c:pt>
                <c:pt idx="106">
                  <c:v>0.6079</c:v>
                </c:pt>
                <c:pt idx="107">
                  <c:v>0.85629999999999995</c:v>
                </c:pt>
                <c:pt idx="108">
                  <c:v>0.84260000000000002</c:v>
                </c:pt>
                <c:pt idx="109">
                  <c:v>0.61480000000000001</c:v>
                </c:pt>
                <c:pt idx="110">
                  <c:v>0.58750000000000002</c:v>
                </c:pt>
                <c:pt idx="111">
                  <c:v>0.19670000000000001</c:v>
                </c:pt>
                <c:pt idx="112">
                  <c:v>0.3382</c:v>
                </c:pt>
                <c:pt idx="113">
                  <c:v>0.36599999999999999</c:v>
                </c:pt>
                <c:pt idx="114">
                  <c:v>5.1700000000000003E-2</c:v>
                </c:pt>
                <c:pt idx="115">
                  <c:v>1.4200000000000001E-2</c:v>
                </c:pt>
                <c:pt idx="116">
                  <c:v>-2.9600000000000001E-2</c:v>
                </c:pt>
                <c:pt idx="117">
                  <c:v>-0.2863</c:v>
                </c:pt>
                <c:pt idx="118">
                  <c:v>-0.41710000000000003</c:v>
                </c:pt>
                <c:pt idx="119">
                  <c:v>-0.28539999999999999</c:v>
                </c:pt>
                <c:pt idx="120">
                  <c:v>-0.44800000000000001</c:v>
                </c:pt>
                <c:pt idx="121">
                  <c:v>-0.54610000000000003</c:v>
                </c:pt>
                <c:pt idx="122">
                  <c:v>-0.3579</c:v>
                </c:pt>
                <c:pt idx="123">
                  <c:v>-0.46079999999999999</c:v>
                </c:pt>
                <c:pt idx="124">
                  <c:v>-0.61739999999999995</c:v>
                </c:pt>
                <c:pt idx="125">
                  <c:v>-0.57569999999999999</c:v>
                </c:pt>
                <c:pt idx="126">
                  <c:v>-0.59289999999999998</c:v>
                </c:pt>
                <c:pt idx="127">
                  <c:v>-0.67400000000000004</c:v>
                </c:pt>
                <c:pt idx="128">
                  <c:v>-0.67059999999999997</c:v>
                </c:pt>
                <c:pt idx="129">
                  <c:v>-0.70609999999999995</c:v>
                </c:pt>
                <c:pt idx="130">
                  <c:v>-0.86770000000000003</c:v>
                </c:pt>
                <c:pt idx="131">
                  <c:v>-0.876</c:v>
                </c:pt>
                <c:pt idx="132">
                  <c:v>-0.81859999999999999</c:v>
                </c:pt>
                <c:pt idx="133">
                  <c:v>-1.0039</c:v>
                </c:pt>
                <c:pt idx="134">
                  <c:v>-0.78049999999999997</c:v>
                </c:pt>
                <c:pt idx="135">
                  <c:v>-0.78459999999999996</c:v>
                </c:pt>
                <c:pt idx="136">
                  <c:v>-0.82310000000000005</c:v>
                </c:pt>
                <c:pt idx="137">
                  <c:v>-0.69620000000000004</c:v>
                </c:pt>
                <c:pt idx="138">
                  <c:v>-0.96220000000000006</c:v>
                </c:pt>
                <c:pt idx="139">
                  <c:v>-0.83960000000000001</c:v>
                </c:pt>
                <c:pt idx="140">
                  <c:v>-0.88370000000000004</c:v>
                </c:pt>
                <c:pt idx="141">
                  <c:v>-0.90429999999999999</c:v>
                </c:pt>
                <c:pt idx="142">
                  <c:v>-0.79449999999999998</c:v>
                </c:pt>
                <c:pt idx="143">
                  <c:v>-0.67110000000000003</c:v>
                </c:pt>
                <c:pt idx="144">
                  <c:v>-1.0293000000000001</c:v>
                </c:pt>
                <c:pt idx="145">
                  <c:v>-1.1274999999999999</c:v>
                </c:pt>
                <c:pt idx="146">
                  <c:v>-1.0810999999999999</c:v>
                </c:pt>
                <c:pt idx="147">
                  <c:v>-1.1203000000000001</c:v>
                </c:pt>
                <c:pt idx="148">
                  <c:v>-0.80940000000000001</c:v>
                </c:pt>
                <c:pt idx="149">
                  <c:v>-0.88480000000000003</c:v>
                </c:pt>
                <c:pt idx="150">
                  <c:v>-0.94610000000000005</c:v>
                </c:pt>
                <c:pt idx="151">
                  <c:v>-0.98819999999999997</c:v>
                </c:pt>
                <c:pt idx="152">
                  <c:v>-0.8095</c:v>
                </c:pt>
                <c:pt idx="153">
                  <c:v>-1.0205</c:v>
                </c:pt>
                <c:pt idx="154">
                  <c:v>-0.94020000000000004</c:v>
                </c:pt>
                <c:pt idx="155">
                  <c:v>-0.99360000000000004</c:v>
                </c:pt>
                <c:pt idx="156">
                  <c:v>-1.1534</c:v>
                </c:pt>
                <c:pt idx="157">
                  <c:v>-1.137</c:v>
                </c:pt>
                <c:pt idx="158">
                  <c:v>-0.97450000000000003</c:v>
                </c:pt>
                <c:pt idx="159">
                  <c:v>-1.0215000000000001</c:v>
                </c:pt>
                <c:pt idx="160">
                  <c:v>-1.0062</c:v>
                </c:pt>
                <c:pt idx="161">
                  <c:v>-0.58120000000000005</c:v>
                </c:pt>
                <c:pt idx="162">
                  <c:v>-0.16600000000000001</c:v>
                </c:pt>
                <c:pt idx="163">
                  <c:v>0.95669999999999999</c:v>
                </c:pt>
                <c:pt idx="164">
                  <c:v>0.6573</c:v>
                </c:pt>
                <c:pt idx="165">
                  <c:v>0.77139999999999997</c:v>
                </c:pt>
                <c:pt idx="166">
                  <c:v>2.0024999999999999</c:v>
                </c:pt>
                <c:pt idx="167">
                  <c:v>1.2591000000000001</c:v>
                </c:pt>
                <c:pt idx="168">
                  <c:v>1.5821000000000001</c:v>
                </c:pt>
                <c:pt idx="169">
                  <c:v>1.3741000000000001</c:v>
                </c:pt>
                <c:pt idx="170">
                  <c:v>1.5827</c:v>
                </c:pt>
                <c:pt idx="171">
                  <c:v>1.6015999999999999</c:v>
                </c:pt>
                <c:pt idx="172">
                  <c:v>0.88470000000000004</c:v>
                </c:pt>
                <c:pt idx="173">
                  <c:v>1.6814</c:v>
                </c:pt>
                <c:pt idx="174">
                  <c:v>1.1145</c:v>
                </c:pt>
                <c:pt idx="175">
                  <c:v>1.4845999999999999</c:v>
                </c:pt>
                <c:pt idx="176">
                  <c:v>4.4127000000000001</c:v>
                </c:pt>
                <c:pt idx="177">
                  <c:v>7.5595999999999997</c:v>
                </c:pt>
                <c:pt idx="178">
                  <c:v>6.6933999999999996</c:v>
                </c:pt>
                <c:pt idx="179">
                  <c:v>4.6509</c:v>
                </c:pt>
                <c:pt idx="180">
                  <c:v>3.8835000000000002</c:v>
                </c:pt>
                <c:pt idx="181">
                  <c:v>4.0110000000000001</c:v>
                </c:pt>
                <c:pt idx="182">
                  <c:v>3.1032000000000002</c:v>
                </c:pt>
                <c:pt idx="183">
                  <c:v>2.7206000000000001</c:v>
                </c:pt>
                <c:pt idx="184">
                  <c:v>1.2699</c:v>
                </c:pt>
                <c:pt idx="185">
                  <c:v>1.5833999999999999</c:v>
                </c:pt>
                <c:pt idx="186">
                  <c:v>0.45540000000000003</c:v>
                </c:pt>
                <c:pt idx="187">
                  <c:v>0.48309999999999997</c:v>
                </c:pt>
                <c:pt idx="188">
                  <c:v>0.12180000000000001</c:v>
                </c:pt>
                <c:pt idx="189">
                  <c:v>0.34610000000000002</c:v>
                </c:pt>
                <c:pt idx="190">
                  <c:v>9.7500000000000003E-2</c:v>
                </c:pt>
                <c:pt idx="191">
                  <c:v>-0.31940000000000002</c:v>
                </c:pt>
                <c:pt idx="192">
                  <c:v>-1.2999999999999999E-2</c:v>
                </c:pt>
                <c:pt idx="193">
                  <c:v>-0.27850000000000003</c:v>
                </c:pt>
                <c:pt idx="194">
                  <c:v>-0.46779999999999999</c:v>
                </c:pt>
                <c:pt idx="195">
                  <c:v>-0.24729999999999999</c:v>
                </c:pt>
                <c:pt idx="196">
                  <c:v>0.93979999999999997</c:v>
                </c:pt>
                <c:pt idx="197">
                  <c:v>0.52529999999999999</c:v>
                </c:pt>
                <c:pt idx="198">
                  <c:v>0.10340000000000001</c:v>
                </c:pt>
                <c:pt idx="199">
                  <c:v>0.39300000000000002</c:v>
                </c:pt>
                <c:pt idx="200">
                  <c:v>3.6999999999999998E-2</c:v>
                </c:pt>
                <c:pt idx="201">
                  <c:v>-0.2883</c:v>
                </c:pt>
                <c:pt idx="202">
                  <c:v>-2.5399999999999999E-2</c:v>
                </c:pt>
                <c:pt idx="203">
                  <c:v>-0.29570000000000002</c:v>
                </c:pt>
                <c:pt idx="204">
                  <c:v>-0.31909999999999999</c:v>
                </c:pt>
                <c:pt idx="205">
                  <c:v>-0.13389999999999999</c:v>
                </c:pt>
                <c:pt idx="206">
                  <c:v>-0.3931</c:v>
                </c:pt>
                <c:pt idx="207">
                  <c:v>-0.55969999999999998</c:v>
                </c:pt>
                <c:pt idx="208">
                  <c:v>-0.33150000000000002</c:v>
                </c:pt>
                <c:pt idx="209">
                  <c:v>-0.1739</c:v>
                </c:pt>
                <c:pt idx="210">
                  <c:v>-0.31990000000000002</c:v>
                </c:pt>
                <c:pt idx="211">
                  <c:v>0.78979999999999995</c:v>
                </c:pt>
                <c:pt idx="212">
                  <c:v>1.0492999999999999</c:v>
                </c:pt>
                <c:pt idx="213">
                  <c:v>0.24540000000000001</c:v>
                </c:pt>
                <c:pt idx="214">
                  <c:v>1.1619999999999999</c:v>
                </c:pt>
                <c:pt idx="215">
                  <c:v>0.59050000000000002</c:v>
                </c:pt>
                <c:pt idx="216">
                  <c:v>0.25519999999999998</c:v>
                </c:pt>
                <c:pt idx="217">
                  <c:v>8.9999999999999993E-3</c:v>
                </c:pt>
                <c:pt idx="218">
                  <c:v>-2.1000000000000001E-2</c:v>
                </c:pt>
                <c:pt idx="219">
                  <c:v>-5.8000000000000003E-2</c:v>
                </c:pt>
                <c:pt idx="220">
                  <c:v>0.2964</c:v>
                </c:pt>
                <c:pt idx="221">
                  <c:v>6.3700000000000007E-2</c:v>
                </c:pt>
                <c:pt idx="222">
                  <c:v>5.79E-2</c:v>
                </c:pt>
                <c:pt idx="223">
                  <c:v>-0.10920000000000001</c:v>
                </c:pt>
                <c:pt idx="224">
                  <c:v>-0.25209999999999999</c:v>
                </c:pt>
                <c:pt idx="225">
                  <c:v>-0.39510000000000001</c:v>
                </c:pt>
                <c:pt idx="226">
                  <c:v>-0.51900000000000002</c:v>
                </c:pt>
                <c:pt idx="227">
                  <c:v>-0.4047</c:v>
                </c:pt>
                <c:pt idx="228">
                  <c:v>-0.70750000000000002</c:v>
                </c:pt>
                <c:pt idx="229">
                  <c:v>-0.66379999999999995</c:v>
                </c:pt>
                <c:pt idx="230">
                  <c:v>-0.66579999999999995</c:v>
                </c:pt>
                <c:pt idx="231">
                  <c:v>-0.72470000000000001</c:v>
                </c:pt>
                <c:pt idx="232">
                  <c:v>-0.433</c:v>
                </c:pt>
                <c:pt idx="233">
                  <c:v>-1.5599999999999999E-2</c:v>
                </c:pt>
                <c:pt idx="234">
                  <c:v>-0.53700000000000003</c:v>
                </c:pt>
                <c:pt idx="235">
                  <c:v>-0.21310000000000001</c:v>
                </c:pt>
                <c:pt idx="236">
                  <c:v>-0.38300000000000001</c:v>
                </c:pt>
                <c:pt idx="237">
                  <c:v>-0.61319999999999997</c:v>
                </c:pt>
                <c:pt idx="238">
                  <c:v>-0.62329999999999997</c:v>
                </c:pt>
                <c:pt idx="239">
                  <c:v>-0.73240000000000005</c:v>
                </c:pt>
                <c:pt idx="240">
                  <c:v>-0.3846</c:v>
                </c:pt>
                <c:pt idx="241">
                  <c:v>-0.7</c:v>
                </c:pt>
                <c:pt idx="242">
                  <c:v>-0.6774</c:v>
                </c:pt>
                <c:pt idx="243">
                  <c:v>-0.77239999999999998</c:v>
                </c:pt>
                <c:pt idx="244">
                  <c:v>-0.80600000000000005</c:v>
                </c:pt>
                <c:pt idx="245">
                  <c:v>-0.83779999999999999</c:v>
                </c:pt>
                <c:pt idx="246">
                  <c:v>-0.73350000000000004</c:v>
                </c:pt>
                <c:pt idx="247">
                  <c:v>-0.70640000000000003</c:v>
                </c:pt>
                <c:pt idx="248">
                  <c:v>-0.40539999999999998</c:v>
                </c:pt>
                <c:pt idx="249">
                  <c:v>-0.53080000000000005</c:v>
                </c:pt>
                <c:pt idx="250">
                  <c:v>-0.44650000000000001</c:v>
                </c:pt>
                <c:pt idx="251">
                  <c:v>-0.54110000000000003</c:v>
                </c:pt>
                <c:pt idx="252">
                  <c:v>-4.0899999999999999E-2</c:v>
                </c:pt>
                <c:pt idx="253">
                  <c:v>-0.26240000000000002</c:v>
                </c:pt>
                <c:pt idx="254">
                  <c:v>-0.24410000000000001</c:v>
                </c:pt>
                <c:pt idx="255">
                  <c:v>-0.4516</c:v>
                </c:pt>
                <c:pt idx="256">
                  <c:v>-0.2324</c:v>
                </c:pt>
                <c:pt idx="257">
                  <c:v>-0.37440000000000001</c:v>
                </c:pt>
                <c:pt idx="258">
                  <c:v>-0.14169999999999999</c:v>
                </c:pt>
                <c:pt idx="259">
                  <c:v>0.59160000000000001</c:v>
                </c:pt>
                <c:pt idx="260">
                  <c:v>0.36109999999999998</c:v>
                </c:pt>
                <c:pt idx="261">
                  <c:v>-7.0599999999999996E-2</c:v>
                </c:pt>
                <c:pt idx="262">
                  <c:v>-0.01</c:v>
                </c:pt>
                <c:pt idx="263">
                  <c:v>0.31069999999999998</c:v>
                </c:pt>
                <c:pt idx="264">
                  <c:v>0.4758</c:v>
                </c:pt>
                <c:pt idx="265">
                  <c:v>0.4894</c:v>
                </c:pt>
                <c:pt idx="266">
                  <c:v>0.1109</c:v>
                </c:pt>
                <c:pt idx="267">
                  <c:v>8.2000000000000007E-3</c:v>
                </c:pt>
                <c:pt idx="268">
                  <c:v>-6.2799999999999995E-2</c:v>
                </c:pt>
                <c:pt idx="269">
                  <c:v>0.1905</c:v>
                </c:pt>
                <c:pt idx="270">
                  <c:v>0.183</c:v>
                </c:pt>
                <c:pt idx="271">
                  <c:v>0.21260000000000001</c:v>
                </c:pt>
                <c:pt idx="272">
                  <c:v>0.26579999999999998</c:v>
                </c:pt>
                <c:pt idx="273">
                  <c:v>4.6800000000000001E-2</c:v>
                </c:pt>
                <c:pt idx="274">
                  <c:v>-0.1726</c:v>
                </c:pt>
                <c:pt idx="275">
                  <c:v>-0.1003</c:v>
                </c:pt>
                <c:pt idx="276">
                  <c:v>-0.25040000000000001</c:v>
                </c:pt>
                <c:pt idx="277">
                  <c:v>-0.26019999999999999</c:v>
                </c:pt>
                <c:pt idx="278">
                  <c:v>-0.45140000000000002</c:v>
                </c:pt>
                <c:pt idx="279">
                  <c:v>-0.6331</c:v>
                </c:pt>
                <c:pt idx="280">
                  <c:v>-0.69530000000000003</c:v>
                </c:pt>
                <c:pt idx="281">
                  <c:v>-0.60809999999999997</c:v>
                </c:pt>
                <c:pt idx="282">
                  <c:v>-0.7631</c:v>
                </c:pt>
                <c:pt idx="283">
                  <c:v>-0.50309999999999999</c:v>
                </c:pt>
                <c:pt idx="284">
                  <c:v>-0.70540000000000003</c:v>
                </c:pt>
                <c:pt idx="285">
                  <c:v>-0.79210000000000003</c:v>
                </c:pt>
                <c:pt idx="286">
                  <c:v>-0.86160000000000003</c:v>
                </c:pt>
                <c:pt idx="287">
                  <c:v>-0.54469999999999996</c:v>
                </c:pt>
                <c:pt idx="288">
                  <c:v>-0.69699999999999995</c:v>
                </c:pt>
                <c:pt idx="289">
                  <c:v>-0.39579999999999999</c:v>
                </c:pt>
                <c:pt idx="290">
                  <c:v>0.28410000000000002</c:v>
                </c:pt>
                <c:pt idx="291">
                  <c:v>-7.5899999999999995E-2</c:v>
                </c:pt>
                <c:pt idx="292">
                  <c:v>-0.2707</c:v>
                </c:pt>
                <c:pt idx="293">
                  <c:v>-0.10680000000000001</c:v>
                </c:pt>
                <c:pt idx="294">
                  <c:v>-0.58989999999999998</c:v>
                </c:pt>
                <c:pt idx="295">
                  <c:v>-0.70660000000000001</c:v>
                </c:pt>
                <c:pt idx="296">
                  <c:v>-0.79979999999999996</c:v>
                </c:pt>
                <c:pt idx="297">
                  <c:v>-0.2465</c:v>
                </c:pt>
                <c:pt idx="298">
                  <c:v>-0.18779999999999999</c:v>
                </c:pt>
                <c:pt idx="299">
                  <c:v>0.61480000000000001</c:v>
                </c:pt>
                <c:pt idx="300">
                  <c:v>-0.16700000000000001</c:v>
                </c:pt>
                <c:pt idx="301">
                  <c:v>-0.55649999999999999</c:v>
                </c:pt>
                <c:pt idx="302">
                  <c:v>-0.33529999999999999</c:v>
                </c:pt>
                <c:pt idx="303">
                  <c:v>-0.66</c:v>
                </c:pt>
                <c:pt idx="304">
                  <c:v>-0.20569999999999999</c:v>
                </c:pt>
                <c:pt idx="305">
                  <c:v>-0.36880000000000002</c:v>
                </c:pt>
                <c:pt idx="306">
                  <c:v>-0.52439999999999998</c:v>
                </c:pt>
                <c:pt idx="307">
                  <c:v>-8.4099999999999994E-2</c:v>
                </c:pt>
                <c:pt idx="308">
                  <c:v>7.2900000000000006E-2</c:v>
                </c:pt>
                <c:pt idx="309">
                  <c:v>-0.1762</c:v>
                </c:pt>
                <c:pt idx="310">
                  <c:v>-0.23499999999999999</c:v>
                </c:pt>
                <c:pt idx="311">
                  <c:v>-0.22470000000000001</c:v>
                </c:pt>
                <c:pt idx="312">
                  <c:v>-0.14990000000000001</c:v>
                </c:pt>
                <c:pt idx="313">
                  <c:v>0.63109999999999999</c:v>
                </c:pt>
                <c:pt idx="314">
                  <c:v>5.2070999999999996</c:v>
                </c:pt>
                <c:pt idx="315">
                  <c:v>2.3170999999999999</c:v>
                </c:pt>
                <c:pt idx="316">
                  <c:v>0.1537</c:v>
                </c:pt>
                <c:pt idx="317">
                  <c:v>0.44740000000000002</c:v>
                </c:pt>
                <c:pt idx="318">
                  <c:v>-0.11409999999999999</c:v>
                </c:pt>
                <c:pt idx="319">
                  <c:v>-0.311</c:v>
                </c:pt>
                <c:pt idx="320">
                  <c:v>0.21510000000000001</c:v>
                </c:pt>
                <c:pt idx="321">
                  <c:v>0.3569</c:v>
                </c:pt>
                <c:pt idx="322">
                  <c:v>-0.41410000000000002</c:v>
                </c:pt>
                <c:pt idx="323">
                  <c:v>-0.45219999999999999</c:v>
                </c:pt>
                <c:pt idx="324">
                  <c:v>-0.30120000000000002</c:v>
                </c:pt>
                <c:pt idx="325">
                  <c:v>-0.51459999999999995</c:v>
                </c:pt>
                <c:pt idx="326">
                  <c:v>-0.68420000000000003</c:v>
                </c:pt>
                <c:pt idx="327">
                  <c:v>-0.86470000000000002</c:v>
                </c:pt>
                <c:pt idx="328">
                  <c:v>-0.85909999999999997</c:v>
                </c:pt>
                <c:pt idx="329">
                  <c:v>-0.86040000000000005</c:v>
                </c:pt>
                <c:pt idx="330">
                  <c:v>-0.81689999999999996</c:v>
                </c:pt>
                <c:pt idx="331">
                  <c:v>-0.80549999999999999</c:v>
                </c:pt>
                <c:pt idx="332">
                  <c:v>-0.5867</c:v>
                </c:pt>
                <c:pt idx="333">
                  <c:v>-0.83809999999999996</c:v>
                </c:pt>
                <c:pt idx="334">
                  <c:v>-0.53010000000000002</c:v>
                </c:pt>
                <c:pt idx="335">
                  <c:v>-0.81369999999999998</c:v>
                </c:pt>
                <c:pt idx="336">
                  <c:v>-0.26550000000000001</c:v>
                </c:pt>
                <c:pt idx="337">
                  <c:v>-0.06</c:v>
                </c:pt>
                <c:pt idx="338">
                  <c:v>-0.69010000000000005</c:v>
                </c:pt>
                <c:pt idx="339">
                  <c:v>0.1129</c:v>
                </c:pt>
                <c:pt idx="340">
                  <c:v>0.29270000000000002</c:v>
                </c:pt>
                <c:pt idx="341">
                  <c:v>0.29299999999999998</c:v>
                </c:pt>
                <c:pt idx="342">
                  <c:v>-0.21179999999999999</c:v>
                </c:pt>
                <c:pt idx="343">
                  <c:v>-0.31669999999999998</c:v>
                </c:pt>
                <c:pt idx="344">
                  <c:v>0.38919999999999999</c:v>
                </c:pt>
                <c:pt idx="345">
                  <c:v>-0.34389999999999998</c:v>
                </c:pt>
                <c:pt idx="346">
                  <c:v>-0.26069999999999999</c:v>
                </c:pt>
                <c:pt idx="347">
                  <c:v>-8.6699999999999999E-2</c:v>
                </c:pt>
                <c:pt idx="348">
                  <c:v>-0.5282</c:v>
                </c:pt>
                <c:pt idx="349">
                  <c:v>-0.27060000000000001</c:v>
                </c:pt>
                <c:pt idx="350">
                  <c:v>-0.31780000000000003</c:v>
                </c:pt>
                <c:pt idx="351">
                  <c:v>-0.29249999999999998</c:v>
                </c:pt>
                <c:pt idx="352">
                  <c:v>-0.37190000000000001</c:v>
                </c:pt>
                <c:pt idx="353">
                  <c:v>-0.70930000000000004</c:v>
                </c:pt>
                <c:pt idx="354">
                  <c:v>-0.78720000000000001</c:v>
                </c:pt>
                <c:pt idx="355">
                  <c:v>-0.71189999999999998</c:v>
                </c:pt>
                <c:pt idx="356">
                  <c:v>-0.54400000000000004</c:v>
                </c:pt>
                <c:pt idx="357">
                  <c:v>-0.3599</c:v>
                </c:pt>
                <c:pt idx="358">
                  <c:v>-0.71640000000000004</c:v>
                </c:pt>
                <c:pt idx="359">
                  <c:v>-0.35730000000000001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A3-4067-9CFC-4DBE213BF5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28998512"/>
        <c:axId val="1229000176"/>
      </c:area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2.5"/>
          <c:min val="-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midCat"/>
      </c:val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'GDP + ECI (Quarter)'!$K$2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val>
            <c:numRef>
              <c:f>'GDP + ECI (Quarter)'!$K$223:$K$310</c:f>
              <c:numCache>
                <c:formatCode>General</c:formatCode>
                <c:ptCount val="8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1</c:v>
                </c:pt>
                <c:pt idx="24">
                  <c:v>1</c:v>
                </c:pt>
                <c:pt idx="25">
                  <c:v>1</c:v>
                </c:pt>
                <c:pt idx="26">
                  <c:v>1</c:v>
                </c:pt>
                <c:pt idx="27">
                  <c:v>1</c:v>
                </c:pt>
                <c:pt idx="28">
                  <c:v>1</c:v>
                </c:pt>
                <c:pt idx="29">
                  <c:v>1</c:v>
                </c:pt>
                <c:pt idx="30">
                  <c:v>1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1</c:v>
                </c:pt>
                <c:pt idx="73">
                  <c:v>1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4A1-42C9-9305-01F39C933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584015072"/>
        <c:axId val="31163632"/>
      </c:areaChart>
      <c:lineChart>
        <c:grouping val="standard"/>
        <c:varyColors val="0"/>
        <c:ser>
          <c:idx val="0"/>
          <c:order val="0"/>
          <c:tx>
            <c:strRef>
              <c:f>'GDP + ECI (Quarter)'!$F$2</c:f>
              <c:strCache>
                <c:ptCount val="1"/>
                <c:pt idx="0">
                  <c:v>Annual ECI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strRef>
              <c:f>'GDP + ECI (Quarter)'!$A$223:$A$311</c:f>
              <c:strCache>
                <c:ptCount val="89"/>
                <c:pt idx="0">
                  <c:v>1T02</c:v>
                </c:pt>
                <c:pt idx="1">
                  <c:v>2T02</c:v>
                </c:pt>
                <c:pt idx="2">
                  <c:v>3T02</c:v>
                </c:pt>
                <c:pt idx="3">
                  <c:v>4T02</c:v>
                </c:pt>
                <c:pt idx="4">
                  <c:v>1T03</c:v>
                </c:pt>
                <c:pt idx="5">
                  <c:v>2T03</c:v>
                </c:pt>
                <c:pt idx="6">
                  <c:v>3T03</c:v>
                </c:pt>
                <c:pt idx="7">
                  <c:v>4T03</c:v>
                </c:pt>
                <c:pt idx="8">
                  <c:v>1T04</c:v>
                </c:pt>
                <c:pt idx="9">
                  <c:v>2T04</c:v>
                </c:pt>
                <c:pt idx="10">
                  <c:v>3T04</c:v>
                </c:pt>
                <c:pt idx="11">
                  <c:v>4T04</c:v>
                </c:pt>
                <c:pt idx="12">
                  <c:v>1T05</c:v>
                </c:pt>
                <c:pt idx="13">
                  <c:v>2T05</c:v>
                </c:pt>
                <c:pt idx="14">
                  <c:v>3T05</c:v>
                </c:pt>
                <c:pt idx="15">
                  <c:v>4T05</c:v>
                </c:pt>
                <c:pt idx="16">
                  <c:v>1T06</c:v>
                </c:pt>
                <c:pt idx="17">
                  <c:v>2T06</c:v>
                </c:pt>
                <c:pt idx="18">
                  <c:v>3T06</c:v>
                </c:pt>
                <c:pt idx="19">
                  <c:v>4T06</c:v>
                </c:pt>
                <c:pt idx="20">
                  <c:v>1T07</c:v>
                </c:pt>
                <c:pt idx="21">
                  <c:v>2T07</c:v>
                </c:pt>
                <c:pt idx="22">
                  <c:v>3T07</c:v>
                </c:pt>
                <c:pt idx="23">
                  <c:v>4T07</c:v>
                </c:pt>
                <c:pt idx="24">
                  <c:v>1T08</c:v>
                </c:pt>
                <c:pt idx="25">
                  <c:v>2T08</c:v>
                </c:pt>
                <c:pt idx="26">
                  <c:v>3T08</c:v>
                </c:pt>
                <c:pt idx="27">
                  <c:v>4T08</c:v>
                </c:pt>
                <c:pt idx="28">
                  <c:v>1T09</c:v>
                </c:pt>
                <c:pt idx="29">
                  <c:v>2T09</c:v>
                </c:pt>
                <c:pt idx="30">
                  <c:v>3T09</c:v>
                </c:pt>
                <c:pt idx="31">
                  <c:v>4T09</c:v>
                </c:pt>
                <c:pt idx="32">
                  <c:v>1T10</c:v>
                </c:pt>
                <c:pt idx="33">
                  <c:v>2T10</c:v>
                </c:pt>
                <c:pt idx="34">
                  <c:v>3T10</c:v>
                </c:pt>
                <c:pt idx="35">
                  <c:v>4T10</c:v>
                </c:pt>
                <c:pt idx="36">
                  <c:v>1T11</c:v>
                </c:pt>
                <c:pt idx="37">
                  <c:v>2T11</c:v>
                </c:pt>
                <c:pt idx="38">
                  <c:v>3T11</c:v>
                </c:pt>
                <c:pt idx="39">
                  <c:v>4T11</c:v>
                </c:pt>
                <c:pt idx="40">
                  <c:v>1T12</c:v>
                </c:pt>
                <c:pt idx="41">
                  <c:v>2T12</c:v>
                </c:pt>
                <c:pt idx="42">
                  <c:v>3T12</c:v>
                </c:pt>
                <c:pt idx="43">
                  <c:v>4T12</c:v>
                </c:pt>
                <c:pt idx="44">
                  <c:v>1T13</c:v>
                </c:pt>
                <c:pt idx="45">
                  <c:v>2T13</c:v>
                </c:pt>
                <c:pt idx="46">
                  <c:v>3T13</c:v>
                </c:pt>
                <c:pt idx="47">
                  <c:v>4T13</c:v>
                </c:pt>
                <c:pt idx="48">
                  <c:v>1T14</c:v>
                </c:pt>
                <c:pt idx="49">
                  <c:v>2T14</c:v>
                </c:pt>
                <c:pt idx="50">
                  <c:v>3T14</c:v>
                </c:pt>
                <c:pt idx="51">
                  <c:v>4T14</c:v>
                </c:pt>
                <c:pt idx="52">
                  <c:v>1T15</c:v>
                </c:pt>
                <c:pt idx="53">
                  <c:v>2T15</c:v>
                </c:pt>
                <c:pt idx="54">
                  <c:v>3T15</c:v>
                </c:pt>
                <c:pt idx="55">
                  <c:v>4T15</c:v>
                </c:pt>
                <c:pt idx="56">
                  <c:v>1T16</c:v>
                </c:pt>
                <c:pt idx="57">
                  <c:v>2T16</c:v>
                </c:pt>
                <c:pt idx="58">
                  <c:v>3T16</c:v>
                </c:pt>
                <c:pt idx="59">
                  <c:v>4T16</c:v>
                </c:pt>
                <c:pt idx="60">
                  <c:v>1T17</c:v>
                </c:pt>
                <c:pt idx="61">
                  <c:v>2T17</c:v>
                </c:pt>
                <c:pt idx="62">
                  <c:v>3T17</c:v>
                </c:pt>
                <c:pt idx="63">
                  <c:v>4T17</c:v>
                </c:pt>
                <c:pt idx="64">
                  <c:v>1T18</c:v>
                </c:pt>
                <c:pt idx="65">
                  <c:v>2T18</c:v>
                </c:pt>
                <c:pt idx="66">
                  <c:v>3T18</c:v>
                </c:pt>
                <c:pt idx="67">
                  <c:v>4T18</c:v>
                </c:pt>
                <c:pt idx="68">
                  <c:v>1T19</c:v>
                </c:pt>
                <c:pt idx="69">
                  <c:v>2T19</c:v>
                </c:pt>
                <c:pt idx="70">
                  <c:v>3T19</c:v>
                </c:pt>
                <c:pt idx="71">
                  <c:v>4T19</c:v>
                </c:pt>
                <c:pt idx="72">
                  <c:v>1T20</c:v>
                </c:pt>
                <c:pt idx="73">
                  <c:v>2T20</c:v>
                </c:pt>
                <c:pt idx="74">
                  <c:v>3T20</c:v>
                </c:pt>
                <c:pt idx="75">
                  <c:v>4T20</c:v>
                </c:pt>
                <c:pt idx="76">
                  <c:v>1T21</c:v>
                </c:pt>
                <c:pt idx="77">
                  <c:v>2T21</c:v>
                </c:pt>
                <c:pt idx="78">
                  <c:v>3T21</c:v>
                </c:pt>
                <c:pt idx="79">
                  <c:v>4T21</c:v>
                </c:pt>
                <c:pt idx="80">
                  <c:v>1T22</c:v>
                </c:pt>
                <c:pt idx="81">
                  <c:v>2T22</c:v>
                </c:pt>
                <c:pt idx="82">
                  <c:v>3T22</c:v>
                </c:pt>
                <c:pt idx="83">
                  <c:v>4T22</c:v>
                </c:pt>
                <c:pt idx="84">
                  <c:v>1T23</c:v>
                </c:pt>
                <c:pt idx="85">
                  <c:v>2T23</c:v>
                </c:pt>
                <c:pt idx="86">
                  <c:v>3T23</c:v>
                </c:pt>
                <c:pt idx="87">
                  <c:v>4T23</c:v>
                </c:pt>
                <c:pt idx="88">
                  <c:v>1T24</c:v>
                </c:pt>
              </c:strCache>
            </c:strRef>
          </c:cat>
          <c:val>
            <c:numRef>
              <c:f>'GDP + ECI (Quarter)'!$F$223:$F$311</c:f>
              <c:numCache>
                <c:formatCode>0.00%</c:formatCode>
                <c:ptCount val="89"/>
                <c:pt idx="0">
                  <c:v>3.7780401416765086E-2</c:v>
                </c:pt>
                <c:pt idx="1">
                  <c:v>3.8596491228070073E-2</c:v>
                </c:pt>
                <c:pt idx="2">
                  <c:v>3.5879629629629539E-2</c:v>
                </c:pt>
                <c:pt idx="3">
                  <c:v>3.3256880733944838E-2</c:v>
                </c:pt>
                <c:pt idx="4">
                  <c:v>3.7542662116040848E-2</c:v>
                </c:pt>
                <c:pt idx="5">
                  <c:v>3.6036036036036112E-2</c:v>
                </c:pt>
                <c:pt idx="6">
                  <c:v>3.7988826815642529E-2</c:v>
                </c:pt>
                <c:pt idx="7">
                  <c:v>3.8845726970033301E-2</c:v>
                </c:pt>
                <c:pt idx="8">
                  <c:v>3.7280701754385914E-2</c:v>
                </c:pt>
                <c:pt idx="9">
                  <c:v>3.8043478260869623E-2</c:v>
                </c:pt>
                <c:pt idx="10">
                  <c:v>3.7674919268030127E-2</c:v>
                </c:pt>
                <c:pt idx="11">
                  <c:v>3.7393162393162482E-2</c:v>
                </c:pt>
                <c:pt idx="12">
                  <c:v>3.5940803382663811E-2</c:v>
                </c:pt>
                <c:pt idx="13">
                  <c:v>3.2460732984293195E-2</c:v>
                </c:pt>
                <c:pt idx="14">
                  <c:v>3.0082987551867113E-2</c:v>
                </c:pt>
                <c:pt idx="15">
                  <c:v>3.0895983522142068E-2</c:v>
                </c:pt>
                <c:pt idx="16">
                  <c:v>2.7551020408163263E-2</c:v>
                </c:pt>
                <c:pt idx="17">
                  <c:v>3.0425963488843744E-2</c:v>
                </c:pt>
                <c:pt idx="18">
                  <c:v>3.3232628398791597E-2</c:v>
                </c:pt>
                <c:pt idx="19">
                  <c:v>3.2967032967033072E-2</c:v>
                </c:pt>
                <c:pt idx="20">
                  <c:v>3.4756703078450801E-2</c:v>
                </c:pt>
                <c:pt idx="21">
                  <c:v>3.4448818897637734E-2</c:v>
                </c:pt>
                <c:pt idx="22">
                  <c:v>3.2163742690058506E-2</c:v>
                </c:pt>
                <c:pt idx="23">
                  <c:v>3.2882011605415817E-2</c:v>
                </c:pt>
                <c:pt idx="24">
                  <c:v>3.2629558541266812E-2</c:v>
                </c:pt>
                <c:pt idx="25">
                  <c:v>3.0447193149381491E-2</c:v>
                </c:pt>
                <c:pt idx="26">
                  <c:v>3.0217186024551257E-2</c:v>
                </c:pt>
                <c:pt idx="27">
                  <c:v>2.621722846441954E-2</c:v>
                </c:pt>
                <c:pt idx="28">
                  <c:v>2.1375464684014966E-2</c:v>
                </c:pt>
                <c:pt idx="29">
                  <c:v>1.7543859649122862E-2</c:v>
                </c:pt>
                <c:pt idx="30">
                  <c:v>1.4665444546287931E-2</c:v>
                </c:pt>
                <c:pt idx="31">
                  <c:v>1.3686131386861256E-2</c:v>
                </c:pt>
                <c:pt idx="32">
                  <c:v>1.7288444040036266E-2</c:v>
                </c:pt>
                <c:pt idx="33">
                  <c:v>1.9056261343012748E-2</c:v>
                </c:pt>
                <c:pt idx="34">
                  <c:v>1.8970189701897011E-2</c:v>
                </c:pt>
                <c:pt idx="35">
                  <c:v>1.980198019801982E-2</c:v>
                </c:pt>
                <c:pt idx="36">
                  <c:v>1.9677996422182487E-2</c:v>
                </c:pt>
                <c:pt idx="37">
                  <c:v>2.1371326803205859E-2</c:v>
                </c:pt>
                <c:pt idx="38">
                  <c:v>2.0390070921985748E-2</c:v>
                </c:pt>
                <c:pt idx="39">
                  <c:v>2.030008826125318E-2</c:v>
                </c:pt>
                <c:pt idx="40">
                  <c:v>2.017543859649118E-2</c:v>
                </c:pt>
                <c:pt idx="41">
                  <c:v>1.8308631211856996E-2</c:v>
                </c:pt>
                <c:pt idx="42">
                  <c:v>1.9113814074717572E-2</c:v>
                </c:pt>
                <c:pt idx="43">
                  <c:v>1.9031141868512069E-2</c:v>
                </c:pt>
                <c:pt idx="44">
                  <c:v>1.8056749785038795E-2</c:v>
                </c:pt>
                <c:pt idx="45">
                  <c:v>1.8835616438356295E-2</c:v>
                </c:pt>
                <c:pt idx="46">
                  <c:v>1.8755328218243772E-2</c:v>
                </c:pt>
                <c:pt idx="47">
                  <c:v>1.9524617996604432E-2</c:v>
                </c:pt>
                <c:pt idx="48">
                  <c:v>1.7736486486486402E-2</c:v>
                </c:pt>
                <c:pt idx="49">
                  <c:v>2.0168067226890907E-2</c:v>
                </c:pt>
                <c:pt idx="50">
                  <c:v>2.2594142259414252E-2</c:v>
                </c:pt>
                <c:pt idx="51">
                  <c:v>2.2481265611989931E-2</c:v>
                </c:pt>
                <c:pt idx="52">
                  <c:v>2.5726141078838083E-2</c:v>
                </c:pt>
                <c:pt idx="53">
                  <c:v>1.9769357495881268E-2</c:v>
                </c:pt>
                <c:pt idx="54">
                  <c:v>1.9639934533551395E-2</c:v>
                </c:pt>
                <c:pt idx="55">
                  <c:v>2.0358306188924979E-2</c:v>
                </c:pt>
                <c:pt idx="56">
                  <c:v>1.9417475728155331E-2</c:v>
                </c:pt>
                <c:pt idx="57">
                  <c:v>2.342487883683364E-2</c:v>
                </c:pt>
                <c:pt idx="58">
                  <c:v>2.2471910112359605E-2</c:v>
                </c:pt>
                <c:pt idx="59">
                  <c:v>2.2346368715083775E-2</c:v>
                </c:pt>
                <c:pt idx="60">
                  <c:v>2.3015873015873156E-2</c:v>
                </c:pt>
                <c:pt idx="61">
                  <c:v>2.3677979479084232E-2</c:v>
                </c:pt>
                <c:pt idx="62">
                  <c:v>2.5117739403453632E-2</c:v>
                </c:pt>
                <c:pt idx="63">
                  <c:v>2.5761124121779888E-2</c:v>
                </c:pt>
                <c:pt idx="64">
                  <c:v>2.7152831652443643E-2</c:v>
                </c:pt>
                <c:pt idx="65">
                  <c:v>2.7756360832690952E-2</c:v>
                </c:pt>
                <c:pt idx="66">
                  <c:v>2.8330781010719841E-2</c:v>
                </c:pt>
                <c:pt idx="67">
                  <c:v>2.9680365296803624E-2</c:v>
                </c:pt>
                <c:pt idx="68">
                  <c:v>2.7945619335347338E-2</c:v>
                </c:pt>
                <c:pt idx="69">
                  <c:v>2.7756939234808709E-2</c:v>
                </c:pt>
                <c:pt idx="70">
                  <c:v>2.7550260610573307E-2</c:v>
                </c:pt>
                <c:pt idx="71">
                  <c:v>2.6607538802660757E-2</c:v>
                </c:pt>
                <c:pt idx="72">
                  <c:v>2.8655400440852352E-2</c:v>
                </c:pt>
                <c:pt idx="73">
                  <c:v>2.6277372262773602E-2</c:v>
                </c:pt>
                <c:pt idx="74">
                  <c:v>2.4637681159420222E-2</c:v>
                </c:pt>
                <c:pt idx="75">
                  <c:v>2.5197984161267062E-2</c:v>
                </c:pt>
                <c:pt idx="76">
                  <c:v>2.6428571428571246E-2</c:v>
                </c:pt>
                <c:pt idx="77">
                  <c:v>2.9160739687055459E-2</c:v>
                </c:pt>
                <c:pt idx="78">
                  <c:v>3.6067892503536036E-2</c:v>
                </c:pt>
                <c:pt idx="79">
                  <c:v>4.0028089887640395E-2</c:v>
                </c:pt>
                <c:pt idx="80">
                  <c:v>4.453723034098811E-2</c:v>
                </c:pt>
                <c:pt idx="81">
                  <c:v>5.1140290255701437E-2</c:v>
                </c:pt>
                <c:pt idx="82">
                  <c:v>5.0511945392491597E-2</c:v>
                </c:pt>
                <c:pt idx="83">
                  <c:v>5.0641458474004031E-2</c:v>
                </c:pt>
                <c:pt idx="84">
                  <c:v>4.863424383744186E-2</c:v>
                </c:pt>
                <c:pt idx="85">
                  <c:v>4.5364891518737682E-2</c:v>
                </c:pt>
                <c:pt idx="86">
                  <c:v>4.4184535412605586E-2</c:v>
                </c:pt>
                <c:pt idx="87">
                  <c:v>#N/A</c:v>
                </c:pt>
                <c:pt idx="8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A1-42C9-9305-01F39C9331BD}"/>
            </c:ext>
          </c:extLst>
        </c:ser>
        <c:ser>
          <c:idx val="2"/>
          <c:order val="2"/>
          <c:tx>
            <c:strRef>
              <c:f>'GDP + ECI (Quarter)'!$G$2</c:f>
              <c:strCache>
                <c:ptCount val="1"/>
                <c:pt idx="0">
                  <c:v>Average ECI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val>
            <c:numRef>
              <c:f>'GDP + ECI (Quarter)'!$G$223:$G$311</c:f>
              <c:numCache>
                <c:formatCode>0.00%</c:formatCode>
                <c:ptCount val="89"/>
                <c:pt idx="0">
                  <c:v>2.8500000000000001E-2</c:v>
                </c:pt>
                <c:pt idx="1">
                  <c:v>2.8500000000000001E-2</c:v>
                </c:pt>
                <c:pt idx="2">
                  <c:v>2.8500000000000001E-2</c:v>
                </c:pt>
                <c:pt idx="3">
                  <c:v>2.8500000000000001E-2</c:v>
                </c:pt>
                <c:pt idx="4">
                  <c:v>2.8500000000000001E-2</c:v>
                </c:pt>
                <c:pt idx="5">
                  <c:v>2.8500000000000001E-2</c:v>
                </c:pt>
                <c:pt idx="6">
                  <c:v>2.8500000000000001E-2</c:v>
                </c:pt>
                <c:pt idx="7">
                  <c:v>2.8500000000000001E-2</c:v>
                </c:pt>
                <c:pt idx="8">
                  <c:v>2.8500000000000001E-2</c:v>
                </c:pt>
                <c:pt idx="9">
                  <c:v>2.8500000000000001E-2</c:v>
                </c:pt>
                <c:pt idx="10">
                  <c:v>2.8500000000000001E-2</c:v>
                </c:pt>
                <c:pt idx="11">
                  <c:v>2.8500000000000001E-2</c:v>
                </c:pt>
                <c:pt idx="12">
                  <c:v>2.8500000000000001E-2</c:v>
                </c:pt>
                <c:pt idx="13">
                  <c:v>2.8500000000000001E-2</c:v>
                </c:pt>
                <c:pt idx="14">
                  <c:v>2.8500000000000001E-2</c:v>
                </c:pt>
                <c:pt idx="15">
                  <c:v>2.8500000000000001E-2</c:v>
                </c:pt>
                <c:pt idx="16">
                  <c:v>2.8500000000000001E-2</c:v>
                </c:pt>
                <c:pt idx="17">
                  <c:v>2.8500000000000001E-2</c:v>
                </c:pt>
                <c:pt idx="18">
                  <c:v>2.8500000000000001E-2</c:v>
                </c:pt>
                <c:pt idx="19">
                  <c:v>2.8500000000000001E-2</c:v>
                </c:pt>
                <c:pt idx="20">
                  <c:v>2.8500000000000001E-2</c:v>
                </c:pt>
                <c:pt idx="21">
                  <c:v>2.8500000000000001E-2</c:v>
                </c:pt>
                <c:pt idx="22">
                  <c:v>2.8500000000000001E-2</c:v>
                </c:pt>
                <c:pt idx="23">
                  <c:v>2.8500000000000001E-2</c:v>
                </c:pt>
                <c:pt idx="24">
                  <c:v>2.8500000000000001E-2</c:v>
                </c:pt>
                <c:pt idx="25">
                  <c:v>2.8500000000000001E-2</c:v>
                </c:pt>
                <c:pt idx="26">
                  <c:v>2.8500000000000001E-2</c:v>
                </c:pt>
                <c:pt idx="27">
                  <c:v>2.8500000000000001E-2</c:v>
                </c:pt>
                <c:pt idx="28">
                  <c:v>2.8500000000000001E-2</c:v>
                </c:pt>
                <c:pt idx="29">
                  <c:v>2.8500000000000001E-2</c:v>
                </c:pt>
                <c:pt idx="30">
                  <c:v>2.8500000000000001E-2</c:v>
                </c:pt>
                <c:pt idx="31">
                  <c:v>2.8500000000000001E-2</c:v>
                </c:pt>
                <c:pt idx="32">
                  <c:v>2.8500000000000001E-2</c:v>
                </c:pt>
                <c:pt idx="33">
                  <c:v>2.8500000000000001E-2</c:v>
                </c:pt>
                <c:pt idx="34">
                  <c:v>2.8500000000000001E-2</c:v>
                </c:pt>
                <c:pt idx="35">
                  <c:v>2.8500000000000001E-2</c:v>
                </c:pt>
                <c:pt idx="36">
                  <c:v>2.8500000000000001E-2</c:v>
                </c:pt>
                <c:pt idx="37">
                  <c:v>2.8500000000000001E-2</c:v>
                </c:pt>
                <c:pt idx="38">
                  <c:v>2.8500000000000001E-2</c:v>
                </c:pt>
                <c:pt idx="39">
                  <c:v>2.8500000000000001E-2</c:v>
                </c:pt>
                <c:pt idx="40">
                  <c:v>2.8500000000000001E-2</c:v>
                </c:pt>
                <c:pt idx="41">
                  <c:v>2.8500000000000001E-2</c:v>
                </c:pt>
                <c:pt idx="42">
                  <c:v>2.8500000000000001E-2</c:v>
                </c:pt>
                <c:pt idx="43">
                  <c:v>2.8500000000000001E-2</c:v>
                </c:pt>
                <c:pt idx="44">
                  <c:v>2.8500000000000001E-2</c:v>
                </c:pt>
                <c:pt idx="45">
                  <c:v>2.8500000000000001E-2</c:v>
                </c:pt>
                <c:pt idx="46">
                  <c:v>2.8500000000000001E-2</c:v>
                </c:pt>
                <c:pt idx="47">
                  <c:v>2.8500000000000001E-2</c:v>
                </c:pt>
                <c:pt idx="48">
                  <c:v>2.8500000000000001E-2</c:v>
                </c:pt>
                <c:pt idx="49">
                  <c:v>2.8500000000000001E-2</c:v>
                </c:pt>
                <c:pt idx="50">
                  <c:v>2.8500000000000001E-2</c:v>
                </c:pt>
                <c:pt idx="51">
                  <c:v>2.8500000000000001E-2</c:v>
                </c:pt>
                <c:pt idx="52">
                  <c:v>2.8500000000000001E-2</c:v>
                </c:pt>
                <c:pt idx="53">
                  <c:v>2.8500000000000001E-2</c:v>
                </c:pt>
                <c:pt idx="54">
                  <c:v>2.8500000000000001E-2</c:v>
                </c:pt>
                <c:pt idx="55">
                  <c:v>2.8500000000000001E-2</c:v>
                </c:pt>
                <c:pt idx="56">
                  <c:v>2.8500000000000001E-2</c:v>
                </c:pt>
                <c:pt idx="57">
                  <c:v>2.8500000000000001E-2</c:v>
                </c:pt>
                <c:pt idx="58">
                  <c:v>2.8500000000000001E-2</c:v>
                </c:pt>
                <c:pt idx="59">
                  <c:v>2.8500000000000001E-2</c:v>
                </c:pt>
                <c:pt idx="60">
                  <c:v>2.8500000000000001E-2</c:v>
                </c:pt>
                <c:pt idx="61">
                  <c:v>2.8500000000000001E-2</c:v>
                </c:pt>
                <c:pt idx="62">
                  <c:v>2.8500000000000001E-2</c:v>
                </c:pt>
                <c:pt idx="63">
                  <c:v>2.8500000000000001E-2</c:v>
                </c:pt>
                <c:pt idx="64">
                  <c:v>2.8500000000000001E-2</c:v>
                </c:pt>
                <c:pt idx="65">
                  <c:v>2.8500000000000001E-2</c:v>
                </c:pt>
                <c:pt idx="66">
                  <c:v>2.8500000000000001E-2</c:v>
                </c:pt>
                <c:pt idx="67">
                  <c:v>2.8500000000000001E-2</c:v>
                </c:pt>
                <c:pt idx="68">
                  <c:v>2.8500000000000001E-2</c:v>
                </c:pt>
                <c:pt idx="69">
                  <c:v>2.8500000000000001E-2</c:v>
                </c:pt>
                <c:pt idx="70">
                  <c:v>2.8500000000000001E-2</c:v>
                </c:pt>
                <c:pt idx="71">
                  <c:v>2.8500000000000001E-2</c:v>
                </c:pt>
                <c:pt idx="72">
                  <c:v>2.8500000000000001E-2</c:v>
                </c:pt>
                <c:pt idx="73">
                  <c:v>2.8500000000000001E-2</c:v>
                </c:pt>
                <c:pt idx="74">
                  <c:v>2.8500000000000001E-2</c:v>
                </c:pt>
                <c:pt idx="75">
                  <c:v>2.8500000000000001E-2</c:v>
                </c:pt>
                <c:pt idx="76">
                  <c:v>2.8500000000000001E-2</c:v>
                </c:pt>
                <c:pt idx="77">
                  <c:v>2.8500000000000001E-2</c:v>
                </c:pt>
                <c:pt idx="78">
                  <c:v>2.8500000000000001E-2</c:v>
                </c:pt>
                <c:pt idx="79">
                  <c:v>2.8500000000000001E-2</c:v>
                </c:pt>
                <c:pt idx="80">
                  <c:v>2.8500000000000001E-2</c:v>
                </c:pt>
                <c:pt idx="81">
                  <c:v>2.8500000000000001E-2</c:v>
                </c:pt>
                <c:pt idx="82">
                  <c:v>2.8500000000000001E-2</c:v>
                </c:pt>
                <c:pt idx="83">
                  <c:v>2.8500000000000001E-2</c:v>
                </c:pt>
                <c:pt idx="84">
                  <c:v>2.8500000000000001E-2</c:v>
                </c:pt>
                <c:pt idx="85">
                  <c:v>2.8500000000000001E-2</c:v>
                </c:pt>
                <c:pt idx="86">
                  <c:v>2.8500000000000001E-2</c:v>
                </c:pt>
                <c:pt idx="87">
                  <c:v>2.8500000000000001E-2</c:v>
                </c:pt>
                <c:pt idx="88">
                  <c:v>2.8500000000000001E-2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9D-4C4E-ACA1-D1ED0E3327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between"/>
      </c:valAx>
      <c:valAx>
        <c:axId val="311636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584015072"/>
        <c:crosses val="max"/>
        <c:crossBetween val="between"/>
      </c:valAx>
      <c:catAx>
        <c:axId val="584015072"/>
        <c:scaling>
          <c:orientation val="minMax"/>
        </c:scaling>
        <c:delete val="1"/>
        <c:axPos val="b"/>
        <c:majorTickMark val="out"/>
        <c:minorTickMark val="none"/>
        <c:tickLblPos val="nextTo"/>
        <c:crossAx val="3116363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'GDP + ECI (Quarter)'!$E$2</c:f>
              <c:strCache>
                <c:ptCount val="1"/>
                <c:pt idx="0">
                  <c:v>Quarterly ECI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val>
            <c:numRef>
              <c:f>'GDP + ECI (Quarter)'!$E$283:$E$311</c:f>
              <c:numCache>
                <c:formatCode>0.00%</c:formatCode>
                <c:ptCount val="29"/>
                <c:pt idx="0">
                  <c:v>6.2451209992193668E-3</c:v>
                </c:pt>
                <c:pt idx="1">
                  <c:v>6.2063615205585343E-3</c:v>
                </c:pt>
                <c:pt idx="2">
                  <c:v>6.9390902081727379E-3</c:v>
                </c:pt>
                <c:pt idx="3">
                  <c:v>6.1255742725880857E-3</c:v>
                </c:pt>
                <c:pt idx="4">
                  <c:v>7.6103500761035558E-3</c:v>
                </c:pt>
                <c:pt idx="5">
                  <c:v>6.7975830815709681E-3</c:v>
                </c:pt>
                <c:pt idx="6">
                  <c:v>7.5018754688671585E-3</c:v>
                </c:pt>
                <c:pt idx="7">
                  <c:v>7.446016381235987E-3</c:v>
                </c:pt>
                <c:pt idx="8">
                  <c:v>5.9127864005912301E-3</c:v>
                </c:pt>
                <c:pt idx="9">
                  <c:v>6.6127847171197907E-3</c:v>
                </c:pt>
                <c:pt idx="10">
                  <c:v>7.2992700729928028E-3</c:v>
                </c:pt>
                <c:pt idx="11">
                  <c:v>6.521739130434856E-3</c:v>
                </c:pt>
                <c:pt idx="12">
                  <c:v>7.9193664506838068E-3</c:v>
                </c:pt>
                <c:pt idx="13">
                  <c:v>4.2857142857142261E-3</c:v>
                </c:pt>
                <c:pt idx="14">
                  <c:v>5.6899004267425557E-3</c:v>
                </c:pt>
                <c:pt idx="15">
                  <c:v>7.0721357850069833E-3</c:v>
                </c:pt>
                <c:pt idx="16">
                  <c:v>9.1292134831459926E-3</c:v>
                </c:pt>
                <c:pt idx="17">
                  <c:v>6.9589422407794199E-3</c:v>
                </c:pt>
                <c:pt idx="18">
                  <c:v>1.2439530062197779E-2</c:v>
                </c:pt>
                <c:pt idx="19">
                  <c:v>1.0921501706484538E-2</c:v>
                </c:pt>
                <c:pt idx="20">
                  <c:v>1.3504388926401045E-2</c:v>
                </c:pt>
                <c:pt idx="21">
                  <c:v>1.3324450366422491E-2</c:v>
                </c:pt>
                <c:pt idx="22">
                  <c:v>1.1834319526627279E-2</c:v>
                </c:pt>
                <c:pt idx="23">
                  <c:v>1.1046133853151341E-2</c:v>
                </c:pt>
                <c:pt idx="24">
                  <c:v>1.1568123393316254E-2</c:v>
                </c:pt>
                <c:pt idx="25">
                  <c:v>1.0165184243964287E-2</c:v>
                </c:pt>
                <c:pt idx="26">
                  <c:v>1.0691823899370956E-2</c:v>
                </c:pt>
                <c:pt idx="27">
                  <c:v>#N/A</c:v>
                </c:pt>
                <c:pt idx="2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C-4427-469C-B566-7C3CB42C6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83871487"/>
        <c:axId val="1382092767"/>
      </c:barChart>
      <c:lineChart>
        <c:grouping val="standard"/>
        <c:varyColors val="0"/>
        <c:ser>
          <c:idx val="0"/>
          <c:order val="1"/>
          <c:tx>
            <c:strRef>
              <c:f>'GDP + ECI (Quarter)'!$F$2</c:f>
              <c:strCache>
                <c:ptCount val="1"/>
                <c:pt idx="0">
                  <c:v>Annual ECI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'GDP + ECI (Quarter)'!$A$283:$A$311</c:f>
              <c:strCache>
                <c:ptCount val="29"/>
                <c:pt idx="0">
                  <c:v>1T17</c:v>
                </c:pt>
                <c:pt idx="1">
                  <c:v>2T17</c:v>
                </c:pt>
                <c:pt idx="2">
                  <c:v>3T17</c:v>
                </c:pt>
                <c:pt idx="3">
                  <c:v>4T17</c:v>
                </c:pt>
                <c:pt idx="4">
                  <c:v>1T18</c:v>
                </c:pt>
                <c:pt idx="5">
                  <c:v>2T18</c:v>
                </c:pt>
                <c:pt idx="6">
                  <c:v>3T18</c:v>
                </c:pt>
                <c:pt idx="7">
                  <c:v>4T18</c:v>
                </c:pt>
                <c:pt idx="8">
                  <c:v>1T19</c:v>
                </c:pt>
                <c:pt idx="9">
                  <c:v>2T19</c:v>
                </c:pt>
                <c:pt idx="10">
                  <c:v>3T19</c:v>
                </c:pt>
                <c:pt idx="11">
                  <c:v>4T19</c:v>
                </c:pt>
                <c:pt idx="12">
                  <c:v>1T20</c:v>
                </c:pt>
                <c:pt idx="13">
                  <c:v>2T20</c:v>
                </c:pt>
                <c:pt idx="14">
                  <c:v>3T20</c:v>
                </c:pt>
                <c:pt idx="15">
                  <c:v>4T20</c:v>
                </c:pt>
                <c:pt idx="16">
                  <c:v>1T21</c:v>
                </c:pt>
                <c:pt idx="17">
                  <c:v>2T21</c:v>
                </c:pt>
                <c:pt idx="18">
                  <c:v>3T21</c:v>
                </c:pt>
                <c:pt idx="19">
                  <c:v>4T21</c:v>
                </c:pt>
                <c:pt idx="20">
                  <c:v>1T22</c:v>
                </c:pt>
                <c:pt idx="21">
                  <c:v>2T22</c:v>
                </c:pt>
                <c:pt idx="22">
                  <c:v>3T22</c:v>
                </c:pt>
                <c:pt idx="23">
                  <c:v>4T22</c:v>
                </c:pt>
                <c:pt idx="24">
                  <c:v>1T23</c:v>
                </c:pt>
                <c:pt idx="25">
                  <c:v>2T23</c:v>
                </c:pt>
                <c:pt idx="26">
                  <c:v>3T23</c:v>
                </c:pt>
                <c:pt idx="27">
                  <c:v>4T23</c:v>
                </c:pt>
                <c:pt idx="28">
                  <c:v>1T24</c:v>
                </c:pt>
              </c:strCache>
            </c:strRef>
          </c:cat>
          <c:val>
            <c:numRef>
              <c:f>'GDP + ECI (Quarter)'!$F$283:$F$311</c:f>
              <c:numCache>
                <c:formatCode>0.00%</c:formatCode>
                <c:ptCount val="29"/>
                <c:pt idx="0">
                  <c:v>2.3015873015873156E-2</c:v>
                </c:pt>
                <c:pt idx="1">
                  <c:v>2.3677979479084232E-2</c:v>
                </c:pt>
                <c:pt idx="2">
                  <c:v>2.5117739403453632E-2</c:v>
                </c:pt>
                <c:pt idx="3">
                  <c:v>2.5761124121779888E-2</c:v>
                </c:pt>
                <c:pt idx="4">
                  <c:v>2.7152831652443643E-2</c:v>
                </c:pt>
                <c:pt idx="5">
                  <c:v>2.7756360832690952E-2</c:v>
                </c:pt>
                <c:pt idx="6">
                  <c:v>2.8330781010719841E-2</c:v>
                </c:pt>
                <c:pt idx="7">
                  <c:v>2.9680365296803624E-2</c:v>
                </c:pt>
                <c:pt idx="8">
                  <c:v>2.7945619335347338E-2</c:v>
                </c:pt>
                <c:pt idx="9">
                  <c:v>2.7756939234808709E-2</c:v>
                </c:pt>
                <c:pt idx="10">
                  <c:v>2.7550260610573307E-2</c:v>
                </c:pt>
                <c:pt idx="11">
                  <c:v>2.6607538802660757E-2</c:v>
                </c:pt>
                <c:pt idx="12">
                  <c:v>2.8655400440852352E-2</c:v>
                </c:pt>
                <c:pt idx="13">
                  <c:v>2.6277372262773602E-2</c:v>
                </c:pt>
                <c:pt idx="14">
                  <c:v>2.4637681159420222E-2</c:v>
                </c:pt>
                <c:pt idx="15">
                  <c:v>2.5197984161267062E-2</c:v>
                </c:pt>
                <c:pt idx="16">
                  <c:v>2.6428571428571246E-2</c:v>
                </c:pt>
                <c:pt idx="17">
                  <c:v>2.9160739687055459E-2</c:v>
                </c:pt>
                <c:pt idx="18">
                  <c:v>3.6067892503536036E-2</c:v>
                </c:pt>
                <c:pt idx="19">
                  <c:v>4.0028089887640395E-2</c:v>
                </c:pt>
                <c:pt idx="20">
                  <c:v>4.453723034098811E-2</c:v>
                </c:pt>
                <c:pt idx="21">
                  <c:v>5.1140290255701437E-2</c:v>
                </c:pt>
                <c:pt idx="22">
                  <c:v>5.0511945392491597E-2</c:v>
                </c:pt>
                <c:pt idx="23">
                  <c:v>5.0641458474004031E-2</c:v>
                </c:pt>
                <c:pt idx="24">
                  <c:v>4.863424383744186E-2</c:v>
                </c:pt>
                <c:pt idx="25">
                  <c:v>4.5364891518737682E-2</c:v>
                </c:pt>
                <c:pt idx="26">
                  <c:v>4.4184535412605586E-2</c:v>
                </c:pt>
                <c:pt idx="27">
                  <c:v>#N/A</c:v>
                </c:pt>
                <c:pt idx="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263-4D3D-A0FF-5757783592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0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between"/>
      </c:valAx>
      <c:valAx>
        <c:axId val="1382092767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483871487"/>
        <c:crosses val="max"/>
        <c:crossBetween val="between"/>
      </c:valAx>
      <c:catAx>
        <c:axId val="1483871487"/>
        <c:scaling>
          <c:orientation val="minMax"/>
        </c:scaling>
        <c:delete val="1"/>
        <c:axPos val="b"/>
        <c:majorTickMark val="out"/>
        <c:minorTickMark val="none"/>
        <c:tickLblPos val="nextTo"/>
        <c:crossAx val="13820927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320" b="1" i="0" u="none" strike="noStrike" kern="1200" spc="0" baseline="0">
                <a:solidFill>
                  <a:sysClr val="windowText" lastClr="000000"/>
                </a:solidFill>
                <a:latin typeface="Arial Nova" panose="020B0804020202020204" pitchFamily="34" charset="0"/>
                <a:ea typeface="+mn-ea"/>
                <a:cs typeface="+mn-cs"/>
              </a:defRPr>
            </a:pPr>
            <a:r>
              <a:rPr lang="en-US"/>
              <a:t>Core-PCE 12M x SPX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320" b="1" i="0" u="none" strike="noStrike" kern="1200" spc="0" baseline="0">
              <a:solidFill>
                <a:sysClr val="windowText" lastClr="000000"/>
              </a:solidFill>
              <a:latin typeface="Arial Nova" panose="020B08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'Monetary Policy + Market'!$I$3</c:f>
              <c:strCache>
                <c:ptCount val="1"/>
                <c:pt idx="0">
                  <c:v>S&amp;P 500 CAPE Ratio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7"/>
            <c:spPr>
              <a:solidFill>
                <a:schemeClr val="accent1"/>
              </a:solidFill>
              <a:ln w="9525">
                <a:noFill/>
              </a:ln>
              <a:effectLst/>
            </c:spPr>
          </c:marker>
          <c:dPt>
            <c:idx val="735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9B7E-4E76-B1CC-C6AC5B6EF664}"/>
              </c:ext>
            </c:extLst>
          </c:dPt>
          <c:dPt>
            <c:idx val="736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1-9B7E-4E76-B1CC-C6AC5B6EF664}"/>
              </c:ext>
            </c:extLst>
          </c:dPt>
          <c:dPt>
            <c:idx val="737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9B7E-4E76-B1CC-C6AC5B6EF664}"/>
              </c:ext>
            </c:extLst>
          </c:dPt>
          <c:dPt>
            <c:idx val="738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9B7E-4E76-B1CC-C6AC5B6EF664}"/>
              </c:ext>
            </c:extLst>
          </c:dPt>
          <c:dPt>
            <c:idx val="739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9B7E-4E76-B1CC-C6AC5B6EF664}"/>
              </c:ext>
            </c:extLst>
          </c:dPt>
          <c:dPt>
            <c:idx val="740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9B7E-4E76-B1CC-C6AC5B6EF664}"/>
              </c:ext>
            </c:extLst>
          </c:dPt>
          <c:dPt>
            <c:idx val="741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9B7E-4E76-B1CC-C6AC5B6EF664}"/>
              </c:ext>
            </c:extLst>
          </c:dPt>
          <c:dPt>
            <c:idx val="742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B7E-4E76-B1CC-C6AC5B6EF664}"/>
              </c:ext>
            </c:extLst>
          </c:dPt>
          <c:dPt>
            <c:idx val="743"/>
            <c:marker>
              <c:symbol val="circle"/>
              <c:size val="7"/>
              <c:spPr>
                <a:solidFill>
                  <a:schemeClr val="accent2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B7E-4E76-B1CC-C6AC5B6EF664}"/>
              </c:ext>
            </c:extLst>
          </c:dPt>
          <c:dPt>
            <c:idx val="744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B7E-4E76-B1CC-C6AC5B6EF664}"/>
              </c:ext>
            </c:extLst>
          </c:dPt>
          <c:dPt>
            <c:idx val="745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B7E-4E76-B1CC-C6AC5B6EF664}"/>
              </c:ext>
            </c:extLst>
          </c:dPt>
          <c:dPt>
            <c:idx val="746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B7E-4E76-B1CC-C6AC5B6EF664}"/>
              </c:ext>
            </c:extLst>
          </c:dPt>
          <c:dPt>
            <c:idx val="747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B7E-4E76-B1CC-C6AC5B6EF664}"/>
              </c:ext>
            </c:extLst>
          </c:dPt>
          <c:dPt>
            <c:idx val="748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B7E-4E76-B1CC-C6AC5B6EF664}"/>
              </c:ext>
            </c:extLst>
          </c:dPt>
          <c:dPt>
            <c:idx val="749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B7E-4E76-B1CC-C6AC5B6EF664}"/>
              </c:ext>
            </c:extLst>
          </c:dPt>
          <c:dPt>
            <c:idx val="750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B7E-4E76-B1CC-C6AC5B6EF664}"/>
              </c:ext>
            </c:extLst>
          </c:dPt>
          <c:dPt>
            <c:idx val="751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B7E-4E76-B1CC-C6AC5B6EF664}"/>
              </c:ext>
            </c:extLst>
          </c:dPt>
          <c:dPt>
            <c:idx val="752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7E-4E76-B1CC-C6AC5B6EF664}"/>
              </c:ext>
            </c:extLst>
          </c:dPt>
          <c:dPt>
            <c:idx val="753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7E-4E76-B1CC-C6AC5B6EF664}"/>
              </c:ext>
            </c:extLst>
          </c:dPt>
          <c:dPt>
            <c:idx val="754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7E-4E76-B1CC-C6AC5B6EF664}"/>
              </c:ext>
            </c:extLst>
          </c:dPt>
          <c:dPt>
            <c:idx val="755"/>
            <c:marker>
              <c:symbol val="circle"/>
              <c:size val="7"/>
              <c:spPr>
                <a:solidFill>
                  <a:schemeClr val="accent4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7E-4E76-B1CC-C6AC5B6EF664}"/>
              </c:ext>
            </c:extLst>
          </c:dPt>
          <c:dPt>
            <c:idx val="756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7E-4E76-B1CC-C6AC5B6EF664}"/>
              </c:ext>
            </c:extLst>
          </c:dPt>
          <c:dPt>
            <c:idx val="757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7E-4E76-B1CC-C6AC5B6EF664}"/>
              </c:ext>
            </c:extLst>
          </c:dPt>
          <c:dPt>
            <c:idx val="758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7E-4E76-B1CC-C6AC5B6EF664}"/>
              </c:ext>
            </c:extLst>
          </c:dPt>
          <c:dPt>
            <c:idx val="759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7E-4E76-B1CC-C6AC5B6EF664}"/>
              </c:ext>
            </c:extLst>
          </c:dPt>
          <c:dPt>
            <c:idx val="760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7E-4E76-B1CC-C6AC5B6EF664}"/>
              </c:ext>
            </c:extLst>
          </c:dPt>
          <c:dPt>
            <c:idx val="761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7E-4E76-B1CC-C6AC5B6EF664}"/>
              </c:ext>
            </c:extLst>
          </c:dPt>
          <c:dPt>
            <c:idx val="762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7E0-4C12-BACF-59DCF95EE9CD}"/>
              </c:ext>
            </c:extLst>
          </c:dPt>
          <c:dPt>
            <c:idx val="763"/>
            <c:marker>
              <c:symbol val="circle"/>
              <c:size val="5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48C-4F67-BB6E-F40DC25549CF}"/>
              </c:ext>
            </c:extLst>
          </c:dPt>
          <c:dPt>
            <c:idx val="764"/>
            <c:marker>
              <c:symbol val="circle"/>
              <c:size val="7"/>
              <c:spPr>
                <a:solidFill>
                  <a:schemeClr val="accent6"/>
                </a:solidFill>
                <a:ln w="9525">
                  <a:noFill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48C-4F67-BB6E-F40DC25549CF}"/>
              </c:ext>
            </c:extLst>
          </c:dPt>
          <c:xVal>
            <c:numRef>
              <c:f>'Monetary Policy + Market'!$I$64:$I$831</c:f>
              <c:numCache>
                <c:formatCode>0.00</c:formatCode>
                <c:ptCount val="768"/>
                <c:pt idx="0">
                  <c:v>18.34</c:v>
                </c:pt>
                <c:pt idx="1">
                  <c:v>17.55</c:v>
                </c:pt>
                <c:pt idx="2">
                  <c:v>17.29</c:v>
                </c:pt>
                <c:pt idx="3">
                  <c:v>17.43</c:v>
                </c:pt>
                <c:pt idx="4">
                  <c:v>17.260000000000002</c:v>
                </c:pt>
                <c:pt idx="5">
                  <c:v>17.82</c:v>
                </c:pt>
                <c:pt idx="6">
                  <c:v>17.38</c:v>
                </c:pt>
                <c:pt idx="7">
                  <c:v>17.579999999999998</c:v>
                </c:pt>
                <c:pt idx="8">
                  <c:v>17.05</c:v>
                </c:pt>
                <c:pt idx="9">
                  <c:v>16.61</c:v>
                </c:pt>
                <c:pt idx="10">
                  <c:v>17.149999999999999</c:v>
                </c:pt>
                <c:pt idx="11">
                  <c:v>17.559999999999999</c:v>
                </c:pt>
                <c:pt idx="12">
                  <c:v>18.47</c:v>
                </c:pt>
                <c:pt idx="13">
                  <c:v>19.23</c:v>
                </c:pt>
                <c:pt idx="14">
                  <c:v>19.84</c:v>
                </c:pt>
                <c:pt idx="15">
                  <c:v>20.38</c:v>
                </c:pt>
                <c:pt idx="16">
                  <c:v>20.6</c:v>
                </c:pt>
                <c:pt idx="17">
                  <c:v>20.329999999999998</c:v>
                </c:pt>
                <c:pt idx="18">
                  <c:v>20.149999999999999</c:v>
                </c:pt>
                <c:pt idx="19">
                  <c:v>20.94</c:v>
                </c:pt>
                <c:pt idx="20">
                  <c:v>20.71</c:v>
                </c:pt>
                <c:pt idx="21">
                  <c:v>20.92</c:v>
                </c:pt>
                <c:pt idx="22">
                  <c:v>21.86</c:v>
                </c:pt>
                <c:pt idx="23">
                  <c:v>22.04</c:v>
                </c:pt>
                <c:pt idx="24">
                  <c:v>21.2</c:v>
                </c:pt>
                <c:pt idx="25">
                  <c:v>21.45</c:v>
                </c:pt>
                <c:pt idx="26">
                  <c:v>21.44</c:v>
                </c:pt>
                <c:pt idx="27">
                  <c:v>20.66</c:v>
                </c:pt>
                <c:pt idx="28">
                  <c:v>19.09</c:v>
                </c:pt>
                <c:pt idx="29">
                  <c:v>16.829999999999998</c:v>
                </c:pt>
                <c:pt idx="30">
                  <c:v>17.14</c:v>
                </c:pt>
                <c:pt idx="31">
                  <c:v>17.57</c:v>
                </c:pt>
                <c:pt idx="32">
                  <c:v>17.32</c:v>
                </c:pt>
                <c:pt idx="33">
                  <c:v>16.739999999999998</c:v>
                </c:pt>
                <c:pt idx="34">
                  <c:v>17.850000000000001</c:v>
                </c:pt>
                <c:pt idx="35">
                  <c:v>18.59</c:v>
                </c:pt>
                <c:pt idx="36">
                  <c:v>19.260000000000002</c:v>
                </c:pt>
                <c:pt idx="37">
                  <c:v>19.47</c:v>
                </c:pt>
                <c:pt idx="38">
                  <c:v>19.29</c:v>
                </c:pt>
                <c:pt idx="39">
                  <c:v>20.149999999999999</c:v>
                </c:pt>
                <c:pt idx="40">
                  <c:v>20.51</c:v>
                </c:pt>
                <c:pt idx="41">
                  <c:v>20.38</c:v>
                </c:pt>
                <c:pt idx="42">
                  <c:v>19.97</c:v>
                </c:pt>
                <c:pt idx="43">
                  <c:v>20.47</c:v>
                </c:pt>
                <c:pt idx="44">
                  <c:v>20.96</c:v>
                </c:pt>
                <c:pt idx="45">
                  <c:v>20.89</c:v>
                </c:pt>
                <c:pt idx="46">
                  <c:v>20.72</c:v>
                </c:pt>
                <c:pt idx="47">
                  <c:v>21.04</c:v>
                </c:pt>
                <c:pt idx="48">
                  <c:v>21.63</c:v>
                </c:pt>
                <c:pt idx="49">
                  <c:v>21.83</c:v>
                </c:pt>
                <c:pt idx="50">
                  <c:v>22.17</c:v>
                </c:pt>
                <c:pt idx="51">
                  <c:v>22.42</c:v>
                </c:pt>
                <c:pt idx="52">
                  <c:v>22.57</c:v>
                </c:pt>
                <c:pt idx="53">
                  <c:v>22.3</c:v>
                </c:pt>
                <c:pt idx="54">
                  <c:v>22.98</c:v>
                </c:pt>
                <c:pt idx="55">
                  <c:v>22.65</c:v>
                </c:pt>
                <c:pt idx="56">
                  <c:v>22.89</c:v>
                </c:pt>
                <c:pt idx="57">
                  <c:v>23.21</c:v>
                </c:pt>
                <c:pt idx="58">
                  <c:v>23.23</c:v>
                </c:pt>
                <c:pt idx="59">
                  <c:v>22.75</c:v>
                </c:pt>
                <c:pt idx="60">
                  <c:v>23.27</c:v>
                </c:pt>
                <c:pt idx="61">
                  <c:v>23.37</c:v>
                </c:pt>
                <c:pt idx="62">
                  <c:v>23.25</c:v>
                </c:pt>
                <c:pt idx="63">
                  <c:v>23.42</c:v>
                </c:pt>
                <c:pt idx="64">
                  <c:v>23.71</c:v>
                </c:pt>
                <c:pt idx="65">
                  <c:v>22.39</c:v>
                </c:pt>
                <c:pt idx="66">
                  <c:v>22.3</c:v>
                </c:pt>
                <c:pt idx="67">
                  <c:v>22.67</c:v>
                </c:pt>
                <c:pt idx="68">
                  <c:v>23.37</c:v>
                </c:pt>
                <c:pt idx="69">
                  <c:v>23.78</c:v>
                </c:pt>
                <c:pt idx="70">
                  <c:v>23.93</c:v>
                </c:pt>
                <c:pt idx="71">
                  <c:v>23.69</c:v>
                </c:pt>
                <c:pt idx="72">
                  <c:v>24.06</c:v>
                </c:pt>
                <c:pt idx="73">
                  <c:v>23.7</c:v>
                </c:pt>
                <c:pt idx="74">
                  <c:v>22.61</c:v>
                </c:pt>
                <c:pt idx="75">
                  <c:v>23.11</c:v>
                </c:pt>
                <c:pt idx="76">
                  <c:v>21.85</c:v>
                </c:pt>
                <c:pt idx="77">
                  <c:v>21.56</c:v>
                </c:pt>
                <c:pt idx="78">
                  <c:v>21.38</c:v>
                </c:pt>
                <c:pt idx="79">
                  <c:v>19.91</c:v>
                </c:pt>
                <c:pt idx="80">
                  <c:v>19.16</c:v>
                </c:pt>
                <c:pt idx="81">
                  <c:v>18.829999999999998</c:v>
                </c:pt>
                <c:pt idx="82">
                  <c:v>19.71</c:v>
                </c:pt>
                <c:pt idx="83">
                  <c:v>19.739999999999998</c:v>
                </c:pt>
                <c:pt idx="84">
                  <c:v>20.43</c:v>
                </c:pt>
                <c:pt idx="85">
                  <c:v>21.07</c:v>
                </c:pt>
                <c:pt idx="86">
                  <c:v>21.44</c:v>
                </c:pt>
                <c:pt idx="87">
                  <c:v>21.69</c:v>
                </c:pt>
                <c:pt idx="88">
                  <c:v>21.95</c:v>
                </c:pt>
                <c:pt idx="89">
                  <c:v>21.55</c:v>
                </c:pt>
                <c:pt idx="90">
                  <c:v>21.8</c:v>
                </c:pt>
                <c:pt idx="91">
                  <c:v>22.03</c:v>
                </c:pt>
                <c:pt idx="92">
                  <c:v>22.22</c:v>
                </c:pt>
                <c:pt idx="93">
                  <c:v>22.07</c:v>
                </c:pt>
                <c:pt idx="94">
                  <c:v>21.26</c:v>
                </c:pt>
                <c:pt idx="95">
                  <c:v>21.75</c:v>
                </c:pt>
                <c:pt idx="96">
                  <c:v>21.51</c:v>
                </c:pt>
                <c:pt idx="97">
                  <c:v>20.420000000000002</c:v>
                </c:pt>
                <c:pt idx="98">
                  <c:v>19.93</c:v>
                </c:pt>
                <c:pt idx="99">
                  <c:v>21.28</c:v>
                </c:pt>
                <c:pt idx="100">
                  <c:v>21.63</c:v>
                </c:pt>
                <c:pt idx="101">
                  <c:v>22</c:v>
                </c:pt>
                <c:pt idx="102">
                  <c:v>21.75</c:v>
                </c:pt>
                <c:pt idx="103">
                  <c:v>21.14</c:v>
                </c:pt>
                <c:pt idx="104">
                  <c:v>21.68</c:v>
                </c:pt>
                <c:pt idx="105">
                  <c:v>22</c:v>
                </c:pt>
                <c:pt idx="106">
                  <c:v>22.2</c:v>
                </c:pt>
                <c:pt idx="107">
                  <c:v>22.28</c:v>
                </c:pt>
                <c:pt idx="108">
                  <c:v>21.19</c:v>
                </c:pt>
                <c:pt idx="109">
                  <c:v>20.9</c:v>
                </c:pt>
                <c:pt idx="110">
                  <c:v>20.2</c:v>
                </c:pt>
                <c:pt idx="111">
                  <c:v>20.43</c:v>
                </c:pt>
                <c:pt idx="112">
                  <c:v>20.97</c:v>
                </c:pt>
                <c:pt idx="113">
                  <c:v>19.71</c:v>
                </c:pt>
                <c:pt idx="114">
                  <c:v>18.68</c:v>
                </c:pt>
                <c:pt idx="115">
                  <c:v>18.43</c:v>
                </c:pt>
                <c:pt idx="116">
                  <c:v>18.399999999999999</c:v>
                </c:pt>
                <c:pt idx="117">
                  <c:v>18.45</c:v>
                </c:pt>
                <c:pt idx="118">
                  <c:v>18.440000000000001</c:v>
                </c:pt>
                <c:pt idx="119">
                  <c:v>17.329999999999998</c:v>
                </c:pt>
                <c:pt idx="120">
                  <c:v>17.09</c:v>
                </c:pt>
                <c:pt idx="121">
                  <c:v>16.37</c:v>
                </c:pt>
                <c:pt idx="122">
                  <c:v>16.53</c:v>
                </c:pt>
                <c:pt idx="123">
                  <c:v>15.87</c:v>
                </c:pt>
                <c:pt idx="124">
                  <c:v>13.98</c:v>
                </c:pt>
                <c:pt idx="125">
                  <c:v>13.8</c:v>
                </c:pt>
                <c:pt idx="126">
                  <c:v>13.73</c:v>
                </c:pt>
                <c:pt idx="127">
                  <c:v>14.1</c:v>
                </c:pt>
                <c:pt idx="128">
                  <c:v>14.84</c:v>
                </c:pt>
                <c:pt idx="129">
                  <c:v>15.06</c:v>
                </c:pt>
                <c:pt idx="130">
                  <c:v>14.95</c:v>
                </c:pt>
                <c:pt idx="131">
                  <c:v>15.87</c:v>
                </c:pt>
                <c:pt idx="132">
                  <c:v>16.46</c:v>
                </c:pt>
                <c:pt idx="133">
                  <c:v>17.03</c:v>
                </c:pt>
                <c:pt idx="134">
                  <c:v>17.399999999999999</c:v>
                </c:pt>
                <c:pt idx="135">
                  <c:v>17.920000000000002</c:v>
                </c:pt>
                <c:pt idx="136">
                  <c:v>17.559999999999999</c:v>
                </c:pt>
                <c:pt idx="137">
                  <c:v>17.079999999999998</c:v>
                </c:pt>
                <c:pt idx="138">
                  <c:v>16.89</c:v>
                </c:pt>
                <c:pt idx="139">
                  <c:v>16.52</c:v>
                </c:pt>
                <c:pt idx="140">
                  <c:v>16.86</c:v>
                </c:pt>
                <c:pt idx="141">
                  <c:v>16.43</c:v>
                </c:pt>
                <c:pt idx="142">
                  <c:v>15.64</c:v>
                </c:pt>
                <c:pt idx="143">
                  <c:v>16.600000000000001</c:v>
                </c:pt>
                <c:pt idx="144">
                  <c:v>17.260000000000002</c:v>
                </c:pt>
                <c:pt idx="145">
                  <c:v>17.46</c:v>
                </c:pt>
                <c:pt idx="146">
                  <c:v>17.809999999999999</c:v>
                </c:pt>
                <c:pt idx="147">
                  <c:v>17.920000000000002</c:v>
                </c:pt>
                <c:pt idx="148">
                  <c:v>17.66</c:v>
                </c:pt>
                <c:pt idx="149">
                  <c:v>17.64</c:v>
                </c:pt>
                <c:pt idx="150">
                  <c:v>17.399999999999999</c:v>
                </c:pt>
                <c:pt idx="151">
                  <c:v>17.940000000000001</c:v>
                </c:pt>
                <c:pt idx="152">
                  <c:v>17.61</c:v>
                </c:pt>
                <c:pt idx="153">
                  <c:v>17.53</c:v>
                </c:pt>
                <c:pt idx="154">
                  <c:v>18.34</c:v>
                </c:pt>
                <c:pt idx="155">
                  <c:v>18.649999999999999</c:v>
                </c:pt>
                <c:pt idx="156">
                  <c:v>18.71</c:v>
                </c:pt>
                <c:pt idx="157">
                  <c:v>17.89</c:v>
                </c:pt>
                <c:pt idx="158">
                  <c:v>17.41</c:v>
                </c:pt>
                <c:pt idx="159">
                  <c:v>16.940000000000001</c:v>
                </c:pt>
                <c:pt idx="160">
                  <c:v>16.309999999999999</c:v>
                </c:pt>
                <c:pt idx="161">
                  <c:v>15.81</c:v>
                </c:pt>
                <c:pt idx="162">
                  <c:v>15.89</c:v>
                </c:pt>
                <c:pt idx="163">
                  <c:v>15.28</c:v>
                </c:pt>
                <c:pt idx="164">
                  <c:v>15.48</c:v>
                </c:pt>
                <c:pt idx="165">
                  <c:v>15.91</c:v>
                </c:pt>
                <c:pt idx="166">
                  <c:v>14.65</c:v>
                </c:pt>
                <c:pt idx="167">
                  <c:v>13.49</c:v>
                </c:pt>
                <c:pt idx="168">
                  <c:v>13.53</c:v>
                </c:pt>
                <c:pt idx="169">
                  <c:v>12.96</c:v>
                </c:pt>
                <c:pt idx="170">
                  <c:v>13.31</c:v>
                </c:pt>
                <c:pt idx="171">
                  <c:v>12.55</c:v>
                </c:pt>
                <c:pt idx="172">
                  <c:v>12</c:v>
                </c:pt>
                <c:pt idx="173">
                  <c:v>11.89</c:v>
                </c:pt>
                <c:pt idx="174">
                  <c:v>10.39</c:v>
                </c:pt>
                <c:pt idx="175">
                  <c:v>9.82</c:v>
                </c:pt>
                <c:pt idx="176">
                  <c:v>8.68</c:v>
                </c:pt>
                <c:pt idx="177">
                  <c:v>8.74</c:v>
                </c:pt>
                <c:pt idx="178">
                  <c:v>8.9499999999999993</c:v>
                </c:pt>
                <c:pt idx="179">
                  <c:v>8.2899999999999991</c:v>
                </c:pt>
                <c:pt idx="180">
                  <c:v>8.92</c:v>
                </c:pt>
                <c:pt idx="181">
                  <c:v>9.76</c:v>
                </c:pt>
                <c:pt idx="182">
                  <c:v>10.16</c:v>
                </c:pt>
                <c:pt idx="183">
                  <c:v>10.23</c:v>
                </c:pt>
                <c:pt idx="184">
                  <c:v>10.82</c:v>
                </c:pt>
                <c:pt idx="185">
                  <c:v>11.01</c:v>
                </c:pt>
                <c:pt idx="186">
                  <c:v>10.9</c:v>
                </c:pt>
                <c:pt idx="187">
                  <c:v>10.09</c:v>
                </c:pt>
                <c:pt idx="188">
                  <c:v>9.92</c:v>
                </c:pt>
                <c:pt idx="189">
                  <c:v>10.33</c:v>
                </c:pt>
                <c:pt idx="190">
                  <c:v>10.44</c:v>
                </c:pt>
                <c:pt idx="191">
                  <c:v>10.25</c:v>
                </c:pt>
                <c:pt idx="192">
                  <c:v>11.19</c:v>
                </c:pt>
                <c:pt idx="193">
                  <c:v>11.59</c:v>
                </c:pt>
                <c:pt idx="194">
                  <c:v>11.63</c:v>
                </c:pt>
                <c:pt idx="195">
                  <c:v>11.69</c:v>
                </c:pt>
                <c:pt idx="196">
                  <c:v>11.53</c:v>
                </c:pt>
                <c:pt idx="197">
                  <c:v>11.54</c:v>
                </c:pt>
                <c:pt idx="198">
                  <c:v>11.76</c:v>
                </c:pt>
                <c:pt idx="199">
                  <c:v>11.6</c:v>
                </c:pt>
                <c:pt idx="200">
                  <c:v>11.81</c:v>
                </c:pt>
                <c:pt idx="201">
                  <c:v>11.35</c:v>
                </c:pt>
                <c:pt idx="202">
                  <c:v>11.25</c:v>
                </c:pt>
                <c:pt idx="203">
                  <c:v>11.6</c:v>
                </c:pt>
                <c:pt idx="204">
                  <c:v>11.44</c:v>
                </c:pt>
                <c:pt idx="205">
                  <c:v>11.01</c:v>
                </c:pt>
                <c:pt idx="206">
                  <c:v>10.9</c:v>
                </c:pt>
                <c:pt idx="207">
                  <c:v>10.64</c:v>
                </c:pt>
                <c:pt idx="208">
                  <c:v>10.55</c:v>
                </c:pt>
                <c:pt idx="209">
                  <c:v>10.53</c:v>
                </c:pt>
                <c:pt idx="210">
                  <c:v>10.57</c:v>
                </c:pt>
                <c:pt idx="211">
                  <c:v>10.27</c:v>
                </c:pt>
                <c:pt idx="212">
                  <c:v>10.07</c:v>
                </c:pt>
                <c:pt idx="213">
                  <c:v>9.77</c:v>
                </c:pt>
                <c:pt idx="214">
                  <c:v>9.77</c:v>
                </c:pt>
                <c:pt idx="215">
                  <c:v>9.68</c:v>
                </c:pt>
                <c:pt idx="216">
                  <c:v>9.24</c:v>
                </c:pt>
                <c:pt idx="217">
                  <c:v>9.0500000000000007</c:v>
                </c:pt>
                <c:pt idx="218">
                  <c:v>8.9499999999999993</c:v>
                </c:pt>
                <c:pt idx="219">
                  <c:v>9.26</c:v>
                </c:pt>
                <c:pt idx="220">
                  <c:v>9.6300000000000008</c:v>
                </c:pt>
                <c:pt idx="221">
                  <c:v>9.5500000000000007</c:v>
                </c:pt>
                <c:pt idx="222">
                  <c:v>9.43</c:v>
                </c:pt>
                <c:pt idx="223">
                  <c:v>10.02</c:v>
                </c:pt>
                <c:pt idx="224">
                  <c:v>9.94</c:v>
                </c:pt>
                <c:pt idx="225">
                  <c:v>9.5299999999999994</c:v>
                </c:pt>
                <c:pt idx="226">
                  <c:v>8.93</c:v>
                </c:pt>
                <c:pt idx="227">
                  <c:v>9.01</c:v>
                </c:pt>
                <c:pt idx="228">
                  <c:v>9.26</c:v>
                </c:pt>
                <c:pt idx="229">
                  <c:v>9</c:v>
                </c:pt>
                <c:pt idx="230">
                  <c:v>9.07</c:v>
                </c:pt>
                <c:pt idx="231">
                  <c:v>9.1300000000000008</c:v>
                </c:pt>
                <c:pt idx="232">
                  <c:v>8.7899999999999991</c:v>
                </c:pt>
                <c:pt idx="233">
                  <c:v>8.85</c:v>
                </c:pt>
                <c:pt idx="234">
                  <c:v>8.83</c:v>
                </c:pt>
                <c:pt idx="235">
                  <c:v>9.1300000000000008</c:v>
                </c:pt>
                <c:pt idx="236">
                  <c:v>9.11</c:v>
                </c:pt>
                <c:pt idx="237">
                  <c:v>8.68</c:v>
                </c:pt>
                <c:pt idx="238">
                  <c:v>8.52</c:v>
                </c:pt>
                <c:pt idx="239">
                  <c:v>8.75</c:v>
                </c:pt>
                <c:pt idx="240">
                  <c:v>8.85</c:v>
                </c:pt>
                <c:pt idx="241">
                  <c:v>9.0500000000000007</c:v>
                </c:pt>
                <c:pt idx="242">
                  <c:v>8.08</c:v>
                </c:pt>
                <c:pt idx="243">
                  <c:v>7.84</c:v>
                </c:pt>
                <c:pt idx="244">
                  <c:v>8.1</c:v>
                </c:pt>
                <c:pt idx="245">
                  <c:v>8.51</c:v>
                </c:pt>
                <c:pt idx="246">
                  <c:v>8.8800000000000008</c:v>
                </c:pt>
                <c:pt idx="247">
                  <c:v>9.07</c:v>
                </c:pt>
                <c:pt idx="248">
                  <c:v>9.1999999999999993</c:v>
                </c:pt>
                <c:pt idx="249">
                  <c:v>9.36</c:v>
                </c:pt>
                <c:pt idx="250">
                  <c:v>9.65</c:v>
                </c:pt>
                <c:pt idx="251">
                  <c:v>9.39</c:v>
                </c:pt>
                <c:pt idx="252">
                  <c:v>9.26</c:v>
                </c:pt>
                <c:pt idx="253">
                  <c:v>8.83</c:v>
                </c:pt>
                <c:pt idx="254">
                  <c:v>9.08</c:v>
                </c:pt>
                <c:pt idx="255">
                  <c:v>9.09</c:v>
                </c:pt>
                <c:pt idx="256">
                  <c:v>8.82</c:v>
                </c:pt>
                <c:pt idx="257">
                  <c:v>8.77</c:v>
                </c:pt>
                <c:pt idx="258">
                  <c:v>8.4499999999999993</c:v>
                </c:pt>
                <c:pt idx="259">
                  <c:v>8.4</c:v>
                </c:pt>
                <c:pt idx="260">
                  <c:v>7.58</c:v>
                </c:pt>
                <c:pt idx="261">
                  <c:v>7.65</c:v>
                </c:pt>
                <c:pt idx="262">
                  <c:v>7.81</c:v>
                </c:pt>
                <c:pt idx="263">
                  <c:v>7.83</c:v>
                </c:pt>
                <c:pt idx="264">
                  <c:v>7.39</c:v>
                </c:pt>
                <c:pt idx="265">
                  <c:v>7.18</c:v>
                </c:pt>
                <c:pt idx="266">
                  <c:v>6.95</c:v>
                </c:pt>
                <c:pt idx="267">
                  <c:v>7.26</c:v>
                </c:pt>
                <c:pt idx="268">
                  <c:v>7.19</c:v>
                </c:pt>
                <c:pt idx="269">
                  <c:v>6.69</c:v>
                </c:pt>
                <c:pt idx="270">
                  <c:v>6.64</c:v>
                </c:pt>
                <c:pt idx="271">
                  <c:v>6.64</c:v>
                </c:pt>
                <c:pt idx="272">
                  <c:v>7.4</c:v>
                </c:pt>
                <c:pt idx="273">
                  <c:v>8</c:v>
                </c:pt>
                <c:pt idx="274">
                  <c:v>8.35</c:v>
                </c:pt>
                <c:pt idx="275">
                  <c:v>8.4700000000000006</c:v>
                </c:pt>
                <c:pt idx="276">
                  <c:v>8.76</c:v>
                </c:pt>
                <c:pt idx="277">
                  <c:v>8.91</c:v>
                </c:pt>
                <c:pt idx="278">
                  <c:v>9.23</c:v>
                </c:pt>
                <c:pt idx="279">
                  <c:v>9.5299999999999994</c:v>
                </c:pt>
                <c:pt idx="280">
                  <c:v>9.8699999999999992</c:v>
                </c:pt>
                <c:pt idx="281">
                  <c:v>10</c:v>
                </c:pt>
                <c:pt idx="282">
                  <c:v>10.01</c:v>
                </c:pt>
                <c:pt idx="283">
                  <c:v>9.73</c:v>
                </c:pt>
                <c:pt idx="284">
                  <c:v>9.98</c:v>
                </c:pt>
                <c:pt idx="285">
                  <c:v>10</c:v>
                </c:pt>
                <c:pt idx="286">
                  <c:v>9.85</c:v>
                </c:pt>
                <c:pt idx="287">
                  <c:v>9.82</c:v>
                </c:pt>
                <c:pt idx="288">
                  <c:v>9.89</c:v>
                </c:pt>
                <c:pt idx="289">
                  <c:v>9.32</c:v>
                </c:pt>
                <c:pt idx="290">
                  <c:v>9.33</c:v>
                </c:pt>
                <c:pt idx="291">
                  <c:v>9.31</c:v>
                </c:pt>
                <c:pt idx="292">
                  <c:v>9.23</c:v>
                </c:pt>
                <c:pt idx="293">
                  <c:v>9.01</c:v>
                </c:pt>
                <c:pt idx="294">
                  <c:v>8.8699999999999992</c:v>
                </c:pt>
                <c:pt idx="295">
                  <c:v>9.6199999999999992</c:v>
                </c:pt>
                <c:pt idx="296">
                  <c:v>9.69</c:v>
                </c:pt>
                <c:pt idx="297">
                  <c:v>9.6</c:v>
                </c:pt>
                <c:pt idx="298">
                  <c:v>9.69</c:v>
                </c:pt>
                <c:pt idx="299">
                  <c:v>9.6</c:v>
                </c:pt>
                <c:pt idx="300">
                  <c:v>10</c:v>
                </c:pt>
                <c:pt idx="301">
                  <c:v>10.49</c:v>
                </c:pt>
                <c:pt idx="302">
                  <c:v>10.37</c:v>
                </c:pt>
                <c:pt idx="303">
                  <c:v>10.4</c:v>
                </c:pt>
                <c:pt idx="304">
                  <c:v>10.61</c:v>
                </c:pt>
                <c:pt idx="305">
                  <c:v>10.81</c:v>
                </c:pt>
                <c:pt idx="306">
                  <c:v>11</c:v>
                </c:pt>
                <c:pt idx="307">
                  <c:v>10.74</c:v>
                </c:pt>
                <c:pt idx="308">
                  <c:v>10.47</c:v>
                </c:pt>
                <c:pt idx="309">
                  <c:v>10.55</c:v>
                </c:pt>
                <c:pt idx="310">
                  <c:v>11.16</c:v>
                </c:pt>
                <c:pt idx="311">
                  <c:v>11.69</c:v>
                </c:pt>
                <c:pt idx="312">
                  <c:v>11.72</c:v>
                </c:pt>
                <c:pt idx="313">
                  <c:v>12.39</c:v>
                </c:pt>
                <c:pt idx="314">
                  <c:v>13.19</c:v>
                </c:pt>
                <c:pt idx="315">
                  <c:v>13.55</c:v>
                </c:pt>
                <c:pt idx="316">
                  <c:v>13.56</c:v>
                </c:pt>
                <c:pt idx="317">
                  <c:v>13.89</c:v>
                </c:pt>
                <c:pt idx="318">
                  <c:v>13.62</c:v>
                </c:pt>
                <c:pt idx="319">
                  <c:v>13.89</c:v>
                </c:pt>
                <c:pt idx="320">
                  <c:v>13.47</c:v>
                </c:pt>
                <c:pt idx="321">
                  <c:v>13.43</c:v>
                </c:pt>
                <c:pt idx="322">
                  <c:v>13.87</c:v>
                </c:pt>
                <c:pt idx="323">
                  <c:v>14.09</c:v>
                </c:pt>
                <c:pt idx="324">
                  <c:v>14.92</c:v>
                </c:pt>
                <c:pt idx="325">
                  <c:v>15.82</c:v>
                </c:pt>
                <c:pt idx="326">
                  <c:v>16.43</c:v>
                </c:pt>
                <c:pt idx="327">
                  <c:v>16.2</c:v>
                </c:pt>
                <c:pt idx="328">
                  <c:v>16.16</c:v>
                </c:pt>
                <c:pt idx="329">
                  <c:v>16.829999999999998</c:v>
                </c:pt>
                <c:pt idx="330">
                  <c:v>17.309999999999999</c:v>
                </c:pt>
                <c:pt idx="331">
                  <c:v>18.329999999999998</c:v>
                </c:pt>
                <c:pt idx="332">
                  <c:v>17.68</c:v>
                </c:pt>
                <c:pt idx="333">
                  <c:v>15.53</c:v>
                </c:pt>
                <c:pt idx="334">
                  <c:v>13.59</c:v>
                </c:pt>
                <c:pt idx="335">
                  <c:v>13.39</c:v>
                </c:pt>
                <c:pt idx="336">
                  <c:v>13.9</c:v>
                </c:pt>
                <c:pt idx="337">
                  <c:v>14.3</c:v>
                </c:pt>
                <c:pt idx="338">
                  <c:v>14.67</c:v>
                </c:pt>
                <c:pt idx="339">
                  <c:v>14.43</c:v>
                </c:pt>
                <c:pt idx="340">
                  <c:v>14.03</c:v>
                </c:pt>
                <c:pt idx="341">
                  <c:v>14.77</c:v>
                </c:pt>
                <c:pt idx="342">
                  <c:v>14.61</c:v>
                </c:pt>
                <c:pt idx="343">
                  <c:v>14.24</c:v>
                </c:pt>
                <c:pt idx="344">
                  <c:v>14.37</c:v>
                </c:pt>
                <c:pt idx="345">
                  <c:v>14.81</c:v>
                </c:pt>
                <c:pt idx="346">
                  <c:v>14.45</c:v>
                </c:pt>
                <c:pt idx="347">
                  <c:v>14.7</c:v>
                </c:pt>
                <c:pt idx="348">
                  <c:v>15.09</c:v>
                </c:pt>
                <c:pt idx="349">
                  <c:v>15.47</c:v>
                </c:pt>
                <c:pt idx="350">
                  <c:v>15.3</c:v>
                </c:pt>
                <c:pt idx="351">
                  <c:v>15.69</c:v>
                </c:pt>
                <c:pt idx="352">
                  <c:v>16.190000000000001</c:v>
                </c:pt>
                <c:pt idx="353">
                  <c:v>16.64</c:v>
                </c:pt>
                <c:pt idx="354">
                  <c:v>17.010000000000002</c:v>
                </c:pt>
                <c:pt idx="355">
                  <c:v>17.73</c:v>
                </c:pt>
                <c:pt idx="356">
                  <c:v>17.71</c:v>
                </c:pt>
                <c:pt idx="357">
                  <c:v>17.64</c:v>
                </c:pt>
                <c:pt idx="358">
                  <c:v>17.239999999999998</c:v>
                </c:pt>
                <c:pt idx="359">
                  <c:v>17.649999999999999</c:v>
                </c:pt>
                <c:pt idx="360">
                  <c:v>17.05</c:v>
                </c:pt>
                <c:pt idx="361">
                  <c:v>16.510000000000002</c:v>
                </c:pt>
                <c:pt idx="362">
                  <c:v>16.829999999999998</c:v>
                </c:pt>
                <c:pt idx="363">
                  <c:v>16.809999999999999</c:v>
                </c:pt>
                <c:pt idx="364">
                  <c:v>17.39</c:v>
                </c:pt>
                <c:pt idx="365">
                  <c:v>17.82</c:v>
                </c:pt>
                <c:pt idx="366">
                  <c:v>17.75</c:v>
                </c:pt>
                <c:pt idx="367">
                  <c:v>16.170000000000002</c:v>
                </c:pt>
                <c:pt idx="368">
                  <c:v>15.3</c:v>
                </c:pt>
                <c:pt idx="369">
                  <c:v>14.82</c:v>
                </c:pt>
                <c:pt idx="370">
                  <c:v>15.19</c:v>
                </c:pt>
                <c:pt idx="371">
                  <c:v>15.85</c:v>
                </c:pt>
                <c:pt idx="372">
                  <c:v>15.61</c:v>
                </c:pt>
                <c:pt idx="373">
                  <c:v>17.36</c:v>
                </c:pt>
                <c:pt idx="374">
                  <c:v>17.82</c:v>
                </c:pt>
                <c:pt idx="375">
                  <c:v>18.16</c:v>
                </c:pt>
                <c:pt idx="376">
                  <c:v>18.03</c:v>
                </c:pt>
                <c:pt idx="377">
                  <c:v>18.010000000000002</c:v>
                </c:pt>
                <c:pt idx="378">
                  <c:v>18.100000000000001</c:v>
                </c:pt>
                <c:pt idx="379">
                  <c:v>18.510000000000002</c:v>
                </c:pt>
                <c:pt idx="380">
                  <c:v>18.36</c:v>
                </c:pt>
                <c:pt idx="381">
                  <c:v>18.350000000000001</c:v>
                </c:pt>
                <c:pt idx="382">
                  <c:v>18.29</c:v>
                </c:pt>
                <c:pt idx="383">
                  <c:v>18.440000000000001</c:v>
                </c:pt>
                <c:pt idx="384">
                  <c:v>19.77</c:v>
                </c:pt>
                <c:pt idx="385">
                  <c:v>19.579999999999998</c:v>
                </c:pt>
                <c:pt idx="386">
                  <c:v>19.28</c:v>
                </c:pt>
                <c:pt idx="387">
                  <c:v>19.3</c:v>
                </c:pt>
                <c:pt idx="388">
                  <c:v>19.66</c:v>
                </c:pt>
                <c:pt idx="389">
                  <c:v>19.309999999999999</c:v>
                </c:pt>
                <c:pt idx="390">
                  <c:v>19.62</c:v>
                </c:pt>
                <c:pt idx="391">
                  <c:v>19.72</c:v>
                </c:pt>
                <c:pt idx="392">
                  <c:v>19.71</c:v>
                </c:pt>
                <c:pt idx="393">
                  <c:v>19.37</c:v>
                </c:pt>
                <c:pt idx="394">
                  <c:v>19.829999999999998</c:v>
                </c:pt>
                <c:pt idx="395">
                  <c:v>20.45</c:v>
                </c:pt>
                <c:pt idx="396">
                  <c:v>20.32</c:v>
                </c:pt>
                <c:pt idx="397">
                  <c:v>20.54</c:v>
                </c:pt>
                <c:pt idx="398">
                  <c:v>20.85</c:v>
                </c:pt>
                <c:pt idx="399">
                  <c:v>20.46</c:v>
                </c:pt>
                <c:pt idx="400">
                  <c:v>20.52</c:v>
                </c:pt>
                <c:pt idx="401">
                  <c:v>20.61</c:v>
                </c:pt>
                <c:pt idx="402">
                  <c:v>20.56</c:v>
                </c:pt>
                <c:pt idx="403">
                  <c:v>20.81</c:v>
                </c:pt>
                <c:pt idx="404">
                  <c:v>20.99</c:v>
                </c:pt>
                <c:pt idx="405">
                  <c:v>21.11</c:v>
                </c:pt>
                <c:pt idx="406">
                  <c:v>21.04</c:v>
                </c:pt>
                <c:pt idx="407">
                  <c:v>21.16</c:v>
                </c:pt>
                <c:pt idx="408">
                  <c:v>21.41</c:v>
                </c:pt>
                <c:pt idx="409">
                  <c:v>21.26</c:v>
                </c:pt>
                <c:pt idx="410">
                  <c:v>20.83</c:v>
                </c:pt>
                <c:pt idx="411">
                  <c:v>20.05</c:v>
                </c:pt>
                <c:pt idx="412">
                  <c:v>20.190000000000001</c:v>
                </c:pt>
                <c:pt idx="413">
                  <c:v>20.29</c:v>
                </c:pt>
                <c:pt idx="414">
                  <c:v>20.07</c:v>
                </c:pt>
                <c:pt idx="415">
                  <c:v>20.53</c:v>
                </c:pt>
                <c:pt idx="416">
                  <c:v>20.57</c:v>
                </c:pt>
                <c:pt idx="417">
                  <c:v>20.39</c:v>
                </c:pt>
                <c:pt idx="418">
                  <c:v>20.21</c:v>
                </c:pt>
                <c:pt idx="419">
                  <c:v>19.91</c:v>
                </c:pt>
                <c:pt idx="420">
                  <c:v>20.22</c:v>
                </c:pt>
                <c:pt idx="421">
                  <c:v>20.8</c:v>
                </c:pt>
                <c:pt idx="422">
                  <c:v>21.15</c:v>
                </c:pt>
                <c:pt idx="423">
                  <c:v>21.64</c:v>
                </c:pt>
                <c:pt idx="424">
                  <c:v>22.19</c:v>
                </c:pt>
                <c:pt idx="425">
                  <c:v>22.72</c:v>
                </c:pt>
                <c:pt idx="426">
                  <c:v>23.37</c:v>
                </c:pt>
                <c:pt idx="427">
                  <c:v>23.28</c:v>
                </c:pt>
                <c:pt idx="428">
                  <c:v>23.94</c:v>
                </c:pt>
                <c:pt idx="429">
                  <c:v>23.93</c:v>
                </c:pt>
                <c:pt idx="430">
                  <c:v>24.35</c:v>
                </c:pt>
                <c:pt idx="431">
                  <c:v>25.03</c:v>
                </c:pt>
                <c:pt idx="432">
                  <c:v>24.76</c:v>
                </c:pt>
                <c:pt idx="433">
                  <c:v>25.97</c:v>
                </c:pt>
                <c:pt idx="434">
                  <c:v>25.63</c:v>
                </c:pt>
                <c:pt idx="435">
                  <c:v>25.42</c:v>
                </c:pt>
                <c:pt idx="436">
                  <c:v>25.81</c:v>
                </c:pt>
                <c:pt idx="437">
                  <c:v>25.96</c:v>
                </c:pt>
                <c:pt idx="438">
                  <c:v>24.86</c:v>
                </c:pt>
                <c:pt idx="439">
                  <c:v>25.41</c:v>
                </c:pt>
                <c:pt idx="440">
                  <c:v>25.68</c:v>
                </c:pt>
                <c:pt idx="441">
                  <c:v>26.48</c:v>
                </c:pt>
                <c:pt idx="442">
                  <c:v>27.58</c:v>
                </c:pt>
                <c:pt idx="443">
                  <c:v>27.72</c:v>
                </c:pt>
                <c:pt idx="444">
                  <c:v>28.33</c:v>
                </c:pt>
                <c:pt idx="445">
                  <c:v>29.26</c:v>
                </c:pt>
                <c:pt idx="446">
                  <c:v>28.8</c:v>
                </c:pt>
                <c:pt idx="447">
                  <c:v>27.58</c:v>
                </c:pt>
                <c:pt idx="448">
                  <c:v>29.93</c:v>
                </c:pt>
                <c:pt idx="449">
                  <c:v>31.25</c:v>
                </c:pt>
                <c:pt idx="450">
                  <c:v>32.76</c:v>
                </c:pt>
                <c:pt idx="451">
                  <c:v>32.58</c:v>
                </c:pt>
                <c:pt idx="452">
                  <c:v>32.659999999999997</c:v>
                </c:pt>
                <c:pt idx="453">
                  <c:v>32.9</c:v>
                </c:pt>
                <c:pt idx="454">
                  <c:v>32.33</c:v>
                </c:pt>
                <c:pt idx="455">
                  <c:v>33.03</c:v>
                </c:pt>
                <c:pt idx="456">
                  <c:v>32.86</c:v>
                </c:pt>
                <c:pt idx="457">
                  <c:v>34.71</c:v>
                </c:pt>
                <c:pt idx="458">
                  <c:v>36.29</c:v>
                </c:pt>
                <c:pt idx="459">
                  <c:v>37.270000000000003</c:v>
                </c:pt>
                <c:pt idx="460">
                  <c:v>36.950000000000003</c:v>
                </c:pt>
                <c:pt idx="461">
                  <c:v>36.799999999999997</c:v>
                </c:pt>
                <c:pt idx="462">
                  <c:v>38.26</c:v>
                </c:pt>
                <c:pt idx="463">
                  <c:v>35.42</c:v>
                </c:pt>
                <c:pt idx="464">
                  <c:v>33.53</c:v>
                </c:pt>
                <c:pt idx="465">
                  <c:v>33.770000000000003</c:v>
                </c:pt>
                <c:pt idx="466">
                  <c:v>37.369999999999997</c:v>
                </c:pt>
                <c:pt idx="467">
                  <c:v>38.82</c:v>
                </c:pt>
                <c:pt idx="468">
                  <c:v>40.57</c:v>
                </c:pt>
                <c:pt idx="469">
                  <c:v>40.4</c:v>
                </c:pt>
                <c:pt idx="470">
                  <c:v>41.35</c:v>
                </c:pt>
                <c:pt idx="471">
                  <c:v>42.7</c:v>
                </c:pt>
                <c:pt idx="472">
                  <c:v>42.55</c:v>
                </c:pt>
                <c:pt idx="473">
                  <c:v>42.18</c:v>
                </c:pt>
                <c:pt idx="474">
                  <c:v>43.83</c:v>
                </c:pt>
                <c:pt idx="475">
                  <c:v>41.93</c:v>
                </c:pt>
                <c:pt idx="476">
                  <c:v>41.32</c:v>
                </c:pt>
                <c:pt idx="477">
                  <c:v>40.549999999999997</c:v>
                </c:pt>
                <c:pt idx="478">
                  <c:v>43.21</c:v>
                </c:pt>
                <c:pt idx="479">
                  <c:v>44.19</c:v>
                </c:pt>
                <c:pt idx="480">
                  <c:v>43.77</c:v>
                </c:pt>
                <c:pt idx="481">
                  <c:v>42.18</c:v>
                </c:pt>
                <c:pt idx="482">
                  <c:v>43.22</c:v>
                </c:pt>
                <c:pt idx="483">
                  <c:v>43.53</c:v>
                </c:pt>
                <c:pt idx="484">
                  <c:v>41.96</c:v>
                </c:pt>
                <c:pt idx="485">
                  <c:v>42.78</c:v>
                </c:pt>
                <c:pt idx="486">
                  <c:v>42.75</c:v>
                </c:pt>
                <c:pt idx="487">
                  <c:v>42.87</c:v>
                </c:pt>
                <c:pt idx="488">
                  <c:v>41.89</c:v>
                </c:pt>
                <c:pt idx="489">
                  <c:v>39.369999999999997</c:v>
                </c:pt>
                <c:pt idx="490">
                  <c:v>38.78</c:v>
                </c:pt>
                <c:pt idx="491">
                  <c:v>37.270000000000003</c:v>
                </c:pt>
                <c:pt idx="492">
                  <c:v>36.979999999999997</c:v>
                </c:pt>
                <c:pt idx="493">
                  <c:v>35.83</c:v>
                </c:pt>
                <c:pt idx="494">
                  <c:v>32.32</c:v>
                </c:pt>
                <c:pt idx="495">
                  <c:v>32.17</c:v>
                </c:pt>
                <c:pt idx="496">
                  <c:v>34.07</c:v>
                </c:pt>
                <c:pt idx="497">
                  <c:v>33.07</c:v>
                </c:pt>
                <c:pt idx="498">
                  <c:v>32.159999999999997</c:v>
                </c:pt>
                <c:pt idx="499">
                  <c:v>31.4</c:v>
                </c:pt>
                <c:pt idx="500">
                  <c:v>27.67</c:v>
                </c:pt>
                <c:pt idx="501">
                  <c:v>28.58</c:v>
                </c:pt>
                <c:pt idx="502">
                  <c:v>30.01</c:v>
                </c:pt>
                <c:pt idx="503">
                  <c:v>30.5</c:v>
                </c:pt>
                <c:pt idx="504">
                  <c:v>30.28</c:v>
                </c:pt>
                <c:pt idx="505">
                  <c:v>29.09</c:v>
                </c:pt>
                <c:pt idx="506">
                  <c:v>30.29</c:v>
                </c:pt>
                <c:pt idx="507">
                  <c:v>29.01</c:v>
                </c:pt>
                <c:pt idx="508">
                  <c:v>28.13</c:v>
                </c:pt>
                <c:pt idx="509">
                  <c:v>26.39</c:v>
                </c:pt>
                <c:pt idx="510">
                  <c:v>23.46</c:v>
                </c:pt>
                <c:pt idx="511">
                  <c:v>23.59</c:v>
                </c:pt>
                <c:pt idx="512">
                  <c:v>22.36</c:v>
                </c:pt>
                <c:pt idx="513">
                  <c:v>21.96</c:v>
                </c:pt>
                <c:pt idx="514">
                  <c:v>23.35</c:v>
                </c:pt>
                <c:pt idx="515">
                  <c:v>23.1</c:v>
                </c:pt>
                <c:pt idx="516">
                  <c:v>22.9</c:v>
                </c:pt>
                <c:pt idx="517">
                  <c:v>21.21</c:v>
                </c:pt>
                <c:pt idx="518">
                  <c:v>21.31</c:v>
                </c:pt>
                <c:pt idx="519">
                  <c:v>22.43</c:v>
                </c:pt>
                <c:pt idx="520">
                  <c:v>23.59</c:v>
                </c:pt>
                <c:pt idx="521">
                  <c:v>24.83</c:v>
                </c:pt>
                <c:pt idx="522">
                  <c:v>24.87</c:v>
                </c:pt>
                <c:pt idx="523">
                  <c:v>24.64</c:v>
                </c:pt>
                <c:pt idx="524">
                  <c:v>25.24</c:v>
                </c:pt>
                <c:pt idx="525">
                  <c:v>25.68</c:v>
                </c:pt>
                <c:pt idx="526">
                  <c:v>25.95</c:v>
                </c:pt>
                <c:pt idx="527">
                  <c:v>26.64</c:v>
                </c:pt>
                <c:pt idx="528">
                  <c:v>27.66</c:v>
                </c:pt>
                <c:pt idx="529">
                  <c:v>27.65</c:v>
                </c:pt>
                <c:pt idx="530">
                  <c:v>26.89</c:v>
                </c:pt>
                <c:pt idx="531">
                  <c:v>26.9</c:v>
                </c:pt>
                <c:pt idx="532">
                  <c:v>25.9</c:v>
                </c:pt>
                <c:pt idx="533">
                  <c:v>26.4</c:v>
                </c:pt>
                <c:pt idx="534">
                  <c:v>25.7</c:v>
                </c:pt>
                <c:pt idx="535">
                  <c:v>25.17</c:v>
                </c:pt>
                <c:pt idx="536">
                  <c:v>25.67</c:v>
                </c:pt>
                <c:pt idx="537">
                  <c:v>25.41</c:v>
                </c:pt>
                <c:pt idx="538">
                  <c:v>26.47</c:v>
                </c:pt>
                <c:pt idx="539">
                  <c:v>27.14</c:v>
                </c:pt>
                <c:pt idx="540">
                  <c:v>26.59</c:v>
                </c:pt>
                <c:pt idx="541">
                  <c:v>26.74</c:v>
                </c:pt>
                <c:pt idx="542">
                  <c:v>26.34</c:v>
                </c:pt>
                <c:pt idx="543">
                  <c:v>25.41</c:v>
                </c:pt>
                <c:pt idx="544">
                  <c:v>25.65</c:v>
                </c:pt>
                <c:pt idx="545">
                  <c:v>26.07</c:v>
                </c:pt>
                <c:pt idx="546">
                  <c:v>26.29</c:v>
                </c:pt>
                <c:pt idx="547">
                  <c:v>26.1</c:v>
                </c:pt>
                <c:pt idx="548">
                  <c:v>25.73</c:v>
                </c:pt>
                <c:pt idx="549">
                  <c:v>24.88</c:v>
                </c:pt>
                <c:pt idx="550">
                  <c:v>25.93</c:v>
                </c:pt>
                <c:pt idx="551">
                  <c:v>26.44</c:v>
                </c:pt>
                <c:pt idx="552">
                  <c:v>26.47</c:v>
                </c:pt>
                <c:pt idx="553">
                  <c:v>26.25</c:v>
                </c:pt>
                <c:pt idx="554">
                  <c:v>26.33</c:v>
                </c:pt>
                <c:pt idx="555">
                  <c:v>26.15</c:v>
                </c:pt>
                <c:pt idx="556">
                  <c:v>25.65</c:v>
                </c:pt>
                <c:pt idx="557">
                  <c:v>24.75</c:v>
                </c:pt>
                <c:pt idx="558">
                  <c:v>24.7</c:v>
                </c:pt>
                <c:pt idx="559">
                  <c:v>25.05</c:v>
                </c:pt>
                <c:pt idx="560">
                  <c:v>25.64</c:v>
                </c:pt>
                <c:pt idx="561">
                  <c:v>26.54</c:v>
                </c:pt>
                <c:pt idx="562">
                  <c:v>26.93</c:v>
                </c:pt>
                <c:pt idx="563">
                  <c:v>27.28</c:v>
                </c:pt>
                <c:pt idx="564">
                  <c:v>27.21</c:v>
                </c:pt>
                <c:pt idx="565">
                  <c:v>27.32</c:v>
                </c:pt>
                <c:pt idx="566">
                  <c:v>26.23</c:v>
                </c:pt>
                <c:pt idx="567">
                  <c:v>26.98</c:v>
                </c:pt>
                <c:pt idx="568">
                  <c:v>27.55</c:v>
                </c:pt>
                <c:pt idx="569">
                  <c:v>27.42</c:v>
                </c:pt>
                <c:pt idx="570">
                  <c:v>27.41</c:v>
                </c:pt>
                <c:pt idx="571">
                  <c:v>26.15</c:v>
                </c:pt>
                <c:pt idx="572">
                  <c:v>26.73</c:v>
                </c:pt>
                <c:pt idx="573">
                  <c:v>27.32</c:v>
                </c:pt>
                <c:pt idx="574">
                  <c:v>25.73</c:v>
                </c:pt>
                <c:pt idx="575">
                  <c:v>25.96</c:v>
                </c:pt>
                <c:pt idx="576">
                  <c:v>24.02</c:v>
                </c:pt>
                <c:pt idx="577">
                  <c:v>23.5</c:v>
                </c:pt>
                <c:pt idx="578">
                  <c:v>22.61</c:v>
                </c:pt>
                <c:pt idx="579">
                  <c:v>23.36</c:v>
                </c:pt>
                <c:pt idx="580">
                  <c:v>23.7</c:v>
                </c:pt>
                <c:pt idx="581">
                  <c:v>22.42</c:v>
                </c:pt>
                <c:pt idx="582">
                  <c:v>20.91</c:v>
                </c:pt>
                <c:pt idx="583">
                  <c:v>21.4</c:v>
                </c:pt>
                <c:pt idx="584">
                  <c:v>20.36</c:v>
                </c:pt>
                <c:pt idx="585">
                  <c:v>16.39</c:v>
                </c:pt>
                <c:pt idx="586">
                  <c:v>15.26</c:v>
                </c:pt>
                <c:pt idx="587">
                  <c:v>15.38</c:v>
                </c:pt>
                <c:pt idx="588">
                  <c:v>15.17</c:v>
                </c:pt>
                <c:pt idx="589">
                  <c:v>14.12</c:v>
                </c:pt>
                <c:pt idx="590">
                  <c:v>13.32</c:v>
                </c:pt>
                <c:pt idx="591">
                  <c:v>14.98</c:v>
                </c:pt>
                <c:pt idx="592">
                  <c:v>16</c:v>
                </c:pt>
                <c:pt idx="593">
                  <c:v>16.38</c:v>
                </c:pt>
                <c:pt idx="594">
                  <c:v>16.690000000000001</c:v>
                </c:pt>
                <c:pt idx="595">
                  <c:v>18.09</c:v>
                </c:pt>
                <c:pt idx="596">
                  <c:v>18.829999999999998</c:v>
                </c:pt>
                <c:pt idx="597">
                  <c:v>19.36</c:v>
                </c:pt>
                <c:pt idx="598">
                  <c:v>19.809999999999999</c:v>
                </c:pt>
                <c:pt idx="599">
                  <c:v>20.32</c:v>
                </c:pt>
                <c:pt idx="600">
                  <c:v>20.53</c:v>
                </c:pt>
                <c:pt idx="601">
                  <c:v>19.920000000000002</c:v>
                </c:pt>
                <c:pt idx="602">
                  <c:v>21</c:v>
                </c:pt>
                <c:pt idx="603">
                  <c:v>21.8</c:v>
                </c:pt>
                <c:pt idx="604">
                  <c:v>20.48</c:v>
                </c:pt>
                <c:pt idx="605">
                  <c:v>19.739999999999998</c:v>
                </c:pt>
                <c:pt idx="606">
                  <c:v>19.670000000000002</c:v>
                </c:pt>
                <c:pt idx="607">
                  <c:v>19.77</c:v>
                </c:pt>
                <c:pt idx="608">
                  <c:v>20.38</c:v>
                </c:pt>
                <c:pt idx="609">
                  <c:v>21.24</c:v>
                </c:pt>
                <c:pt idx="610">
                  <c:v>21.7</c:v>
                </c:pt>
                <c:pt idx="611">
                  <c:v>22.4</c:v>
                </c:pt>
                <c:pt idx="612">
                  <c:v>22.98</c:v>
                </c:pt>
                <c:pt idx="613">
                  <c:v>23.49</c:v>
                </c:pt>
                <c:pt idx="614">
                  <c:v>22.9</c:v>
                </c:pt>
                <c:pt idx="615">
                  <c:v>23.14</c:v>
                </c:pt>
                <c:pt idx="616">
                  <c:v>23.06</c:v>
                </c:pt>
                <c:pt idx="617">
                  <c:v>22.1</c:v>
                </c:pt>
                <c:pt idx="618">
                  <c:v>22.61</c:v>
                </c:pt>
                <c:pt idx="619">
                  <c:v>20.05</c:v>
                </c:pt>
                <c:pt idx="620">
                  <c:v>19.7</c:v>
                </c:pt>
                <c:pt idx="621">
                  <c:v>20.16</c:v>
                </c:pt>
                <c:pt idx="622">
                  <c:v>20.350000000000001</c:v>
                </c:pt>
                <c:pt idx="623">
                  <c:v>20.52</c:v>
                </c:pt>
                <c:pt idx="624">
                  <c:v>21.21</c:v>
                </c:pt>
                <c:pt idx="625">
                  <c:v>21.8</c:v>
                </c:pt>
                <c:pt idx="626">
                  <c:v>22.05</c:v>
                </c:pt>
                <c:pt idx="627">
                  <c:v>21.78</c:v>
                </c:pt>
                <c:pt idx="628">
                  <c:v>20.94</c:v>
                </c:pt>
                <c:pt idx="629">
                  <c:v>20.55</c:v>
                </c:pt>
                <c:pt idx="630">
                  <c:v>21</c:v>
                </c:pt>
                <c:pt idx="631">
                  <c:v>21.41</c:v>
                </c:pt>
                <c:pt idx="632">
                  <c:v>21.78</c:v>
                </c:pt>
                <c:pt idx="633">
                  <c:v>21.58</c:v>
                </c:pt>
                <c:pt idx="634">
                  <c:v>20.9</c:v>
                </c:pt>
                <c:pt idx="635">
                  <c:v>21.24</c:v>
                </c:pt>
                <c:pt idx="636">
                  <c:v>21.9</c:v>
                </c:pt>
                <c:pt idx="637">
                  <c:v>22.05</c:v>
                </c:pt>
                <c:pt idx="638">
                  <c:v>22.42</c:v>
                </c:pt>
                <c:pt idx="639">
                  <c:v>22.6</c:v>
                </c:pt>
                <c:pt idx="640">
                  <c:v>23.41</c:v>
                </c:pt>
                <c:pt idx="641">
                  <c:v>22.93</c:v>
                </c:pt>
                <c:pt idx="642">
                  <c:v>23.49</c:v>
                </c:pt>
                <c:pt idx="643">
                  <c:v>23.36</c:v>
                </c:pt>
                <c:pt idx="644">
                  <c:v>23.44</c:v>
                </c:pt>
                <c:pt idx="645">
                  <c:v>23.83</c:v>
                </c:pt>
                <c:pt idx="646">
                  <c:v>24.64</c:v>
                </c:pt>
                <c:pt idx="647">
                  <c:v>24.86</c:v>
                </c:pt>
                <c:pt idx="648">
                  <c:v>24.86</c:v>
                </c:pt>
                <c:pt idx="649">
                  <c:v>24.59</c:v>
                </c:pt>
                <c:pt idx="650">
                  <c:v>24.96</c:v>
                </c:pt>
                <c:pt idx="651">
                  <c:v>24.79</c:v>
                </c:pt>
                <c:pt idx="652">
                  <c:v>24.94</c:v>
                </c:pt>
                <c:pt idx="653">
                  <c:v>25.56</c:v>
                </c:pt>
                <c:pt idx="654">
                  <c:v>25.82</c:v>
                </c:pt>
                <c:pt idx="655">
                  <c:v>25.62</c:v>
                </c:pt>
                <c:pt idx="656">
                  <c:v>25.92</c:v>
                </c:pt>
                <c:pt idx="657">
                  <c:v>25.16</c:v>
                </c:pt>
                <c:pt idx="658">
                  <c:v>26.61</c:v>
                </c:pt>
                <c:pt idx="659">
                  <c:v>26.79</c:v>
                </c:pt>
                <c:pt idx="660">
                  <c:v>26.49</c:v>
                </c:pt>
                <c:pt idx="661">
                  <c:v>27</c:v>
                </c:pt>
                <c:pt idx="662">
                  <c:v>26.73</c:v>
                </c:pt>
                <c:pt idx="663">
                  <c:v>26.79</c:v>
                </c:pt>
                <c:pt idx="664">
                  <c:v>26.81</c:v>
                </c:pt>
                <c:pt idx="665">
                  <c:v>26.5</c:v>
                </c:pt>
                <c:pt idx="666">
                  <c:v>26.38</c:v>
                </c:pt>
                <c:pt idx="667">
                  <c:v>25.69</c:v>
                </c:pt>
                <c:pt idx="668">
                  <c:v>24.5</c:v>
                </c:pt>
                <c:pt idx="669">
                  <c:v>25.49</c:v>
                </c:pt>
                <c:pt idx="670">
                  <c:v>26.23</c:v>
                </c:pt>
                <c:pt idx="671">
                  <c:v>25.97</c:v>
                </c:pt>
                <c:pt idx="672">
                  <c:v>24.21</c:v>
                </c:pt>
                <c:pt idx="673">
                  <c:v>24</c:v>
                </c:pt>
                <c:pt idx="674">
                  <c:v>25.37</c:v>
                </c:pt>
                <c:pt idx="675">
                  <c:v>25.92</c:v>
                </c:pt>
                <c:pt idx="676">
                  <c:v>25.69</c:v>
                </c:pt>
                <c:pt idx="677">
                  <c:v>25.84</c:v>
                </c:pt>
                <c:pt idx="678">
                  <c:v>26.69</c:v>
                </c:pt>
                <c:pt idx="679">
                  <c:v>26.95</c:v>
                </c:pt>
                <c:pt idx="680">
                  <c:v>26.73</c:v>
                </c:pt>
                <c:pt idx="681">
                  <c:v>26.53</c:v>
                </c:pt>
                <c:pt idx="682">
                  <c:v>26.85</c:v>
                </c:pt>
                <c:pt idx="683">
                  <c:v>27.87</c:v>
                </c:pt>
                <c:pt idx="684">
                  <c:v>28.06</c:v>
                </c:pt>
                <c:pt idx="685">
                  <c:v>28.66</c:v>
                </c:pt>
                <c:pt idx="686">
                  <c:v>29.09</c:v>
                </c:pt>
                <c:pt idx="687">
                  <c:v>28.9</c:v>
                </c:pt>
                <c:pt idx="688">
                  <c:v>29.31</c:v>
                </c:pt>
                <c:pt idx="689">
                  <c:v>29.75</c:v>
                </c:pt>
                <c:pt idx="690">
                  <c:v>30</c:v>
                </c:pt>
                <c:pt idx="691">
                  <c:v>29.91</c:v>
                </c:pt>
                <c:pt idx="692">
                  <c:v>30.17</c:v>
                </c:pt>
                <c:pt idx="693">
                  <c:v>30.92</c:v>
                </c:pt>
                <c:pt idx="694">
                  <c:v>31.3</c:v>
                </c:pt>
                <c:pt idx="695">
                  <c:v>32.090000000000003</c:v>
                </c:pt>
                <c:pt idx="696">
                  <c:v>33.31</c:v>
                </c:pt>
                <c:pt idx="697">
                  <c:v>32.04</c:v>
                </c:pt>
                <c:pt idx="698">
                  <c:v>31.81</c:v>
                </c:pt>
                <c:pt idx="699">
                  <c:v>30.97</c:v>
                </c:pt>
                <c:pt idx="700">
                  <c:v>31.24</c:v>
                </c:pt>
                <c:pt idx="701">
                  <c:v>31.63</c:v>
                </c:pt>
                <c:pt idx="702">
                  <c:v>31.89</c:v>
                </c:pt>
                <c:pt idx="703">
                  <c:v>32.39</c:v>
                </c:pt>
                <c:pt idx="704">
                  <c:v>32.619999999999997</c:v>
                </c:pt>
                <c:pt idx="705">
                  <c:v>31.04</c:v>
                </c:pt>
                <c:pt idx="706">
                  <c:v>30.2</c:v>
                </c:pt>
                <c:pt idx="707">
                  <c:v>28.29</c:v>
                </c:pt>
                <c:pt idx="708">
                  <c:v>28.38</c:v>
                </c:pt>
                <c:pt idx="709">
                  <c:v>29.54</c:v>
                </c:pt>
                <c:pt idx="710">
                  <c:v>29.58</c:v>
                </c:pt>
                <c:pt idx="711">
                  <c:v>30.13</c:v>
                </c:pt>
                <c:pt idx="712">
                  <c:v>28.34</c:v>
                </c:pt>
                <c:pt idx="713">
                  <c:v>29.28</c:v>
                </c:pt>
                <c:pt idx="714">
                  <c:v>29.99</c:v>
                </c:pt>
                <c:pt idx="715">
                  <c:v>28.71</c:v>
                </c:pt>
                <c:pt idx="716">
                  <c:v>29.23</c:v>
                </c:pt>
                <c:pt idx="717">
                  <c:v>28.84</c:v>
                </c:pt>
                <c:pt idx="718">
                  <c:v>29.84</c:v>
                </c:pt>
                <c:pt idx="719">
                  <c:v>30.97</c:v>
                </c:pt>
                <c:pt idx="720">
                  <c:v>30.84</c:v>
                </c:pt>
                <c:pt idx="721">
                  <c:v>28.05</c:v>
                </c:pt>
                <c:pt idx="722">
                  <c:v>24.4</c:v>
                </c:pt>
                <c:pt idx="723">
                  <c:v>27.27</c:v>
                </c:pt>
                <c:pt idx="724">
                  <c:v>27.33</c:v>
                </c:pt>
                <c:pt idx="725">
                  <c:v>29.07</c:v>
                </c:pt>
                <c:pt idx="726">
                  <c:v>30.49</c:v>
                </c:pt>
                <c:pt idx="727">
                  <c:v>32.21</c:v>
                </c:pt>
                <c:pt idx="728">
                  <c:v>30.89</c:v>
                </c:pt>
                <c:pt idx="729">
                  <c:v>31.28</c:v>
                </c:pt>
                <c:pt idx="730">
                  <c:v>33.08</c:v>
                </c:pt>
                <c:pt idx="731">
                  <c:v>34.19</c:v>
                </c:pt>
                <c:pt idx="732">
                  <c:v>34.51</c:v>
                </c:pt>
                <c:pt idx="733">
                  <c:v>35.1</c:v>
                </c:pt>
                <c:pt idx="734">
                  <c:v>35.74</c:v>
                </c:pt>
                <c:pt idx="735">
                  <c:v>37.56</c:v>
                </c:pt>
                <c:pt idx="736">
                  <c:v>36.549999999999997</c:v>
                </c:pt>
                <c:pt idx="737">
                  <c:v>38.11</c:v>
                </c:pt>
                <c:pt idx="738">
                  <c:v>37.44</c:v>
                </c:pt>
                <c:pt idx="739">
                  <c:v>39.06</c:v>
                </c:pt>
                <c:pt idx="740">
                  <c:v>37.200000000000003</c:v>
                </c:pt>
                <c:pt idx="741">
                  <c:v>37.25</c:v>
                </c:pt>
                <c:pt idx="742">
                  <c:v>38.58</c:v>
                </c:pt>
                <c:pt idx="743">
                  <c:v>38.299999999999997</c:v>
                </c:pt>
                <c:pt idx="744">
                  <c:v>36.94</c:v>
                </c:pt>
                <c:pt idx="745">
                  <c:v>35.29</c:v>
                </c:pt>
                <c:pt idx="746">
                  <c:v>34.270000000000003</c:v>
                </c:pt>
                <c:pt idx="747">
                  <c:v>33.89</c:v>
                </c:pt>
                <c:pt idx="748">
                  <c:v>30.67</c:v>
                </c:pt>
                <c:pt idx="749">
                  <c:v>29.05</c:v>
                </c:pt>
                <c:pt idx="750">
                  <c:v>29</c:v>
                </c:pt>
                <c:pt idx="751">
                  <c:v>30.7</c:v>
                </c:pt>
                <c:pt idx="752">
                  <c:v>28.23</c:v>
                </c:pt>
                <c:pt idx="753">
                  <c:v>27.08</c:v>
                </c:pt>
                <c:pt idx="754">
                  <c:v>28.38</c:v>
                </c:pt>
                <c:pt idx="755">
                  <c:v>28.32</c:v>
                </c:pt>
                <c:pt idx="756">
                  <c:v>28.33</c:v>
                </c:pt>
                <c:pt idx="757">
                  <c:v>28.92</c:v>
                </c:pt>
                <c:pt idx="758">
                  <c:v>27.95</c:v>
                </c:pt>
                <c:pt idx="759">
                  <c:v>28.76</c:v>
                </c:pt>
                <c:pt idx="760">
                  <c:v>28.76</c:v>
                </c:pt>
                <c:pt idx="761">
                  <c:v>29.94</c:v>
                </c:pt>
                <c:pt idx="762">
                  <c:v>30.89</c:v>
                </c:pt>
                <c:pt idx="763" formatCode="General">
                  <c:v>30.47</c:v>
                </c:pt>
                <c:pt idx="764" formatCode="General">
                  <c:v>30.81</c:v>
                </c:pt>
              </c:numCache>
            </c:numRef>
          </c:xVal>
          <c:yVal>
            <c:numRef>
              <c:f>Inflation!$Y$159:$Y$926</c:f>
              <c:numCache>
                <c:formatCode>0.00%</c:formatCode>
                <c:ptCount val="768"/>
                <c:pt idx="0">
                  <c:v>2.0708341397329244E-2</c:v>
                </c:pt>
                <c:pt idx="1">
                  <c:v>2.1852639721523959E-2</c:v>
                </c:pt>
                <c:pt idx="2">
                  <c:v>2.0732728092202724E-2</c:v>
                </c:pt>
                <c:pt idx="3">
                  <c:v>2.0038535645471978E-2</c:v>
                </c:pt>
                <c:pt idx="4">
                  <c:v>2.046314709089736E-2</c:v>
                </c:pt>
                <c:pt idx="5">
                  <c:v>1.8036456667732681E-2</c:v>
                </c:pt>
                <c:pt idx="6">
                  <c:v>1.7419601837672216E-2</c:v>
                </c:pt>
                <c:pt idx="7">
                  <c:v>1.7264445435433595E-2</c:v>
                </c:pt>
                <c:pt idx="8">
                  <c:v>1.54403354937096E-2</c:v>
                </c:pt>
                <c:pt idx="9">
                  <c:v>1.4272121788772685E-2</c:v>
                </c:pt>
                <c:pt idx="10">
                  <c:v>1.5132328732430089E-2</c:v>
                </c:pt>
                <c:pt idx="11">
                  <c:v>1.3276014666835145E-2</c:v>
                </c:pt>
                <c:pt idx="12">
                  <c:v>1.3272658323852937E-2</c:v>
                </c:pt>
                <c:pt idx="13">
                  <c:v>1.2364370426444449E-2</c:v>
                </c:pt>
                <c:pt idx="14">
                  <c:v>1.2615908660821296E-2</c:v>
                </c:pt>
                <c:pt idx="15">
                  <c:v>1.2152121899005053E-2</c:v>
                </c:pt>
                <c:pt idx="16">
                  <c:v>1.1817953231078704E-2</c:v>
                </c:pt>
                <c:pt idx="17">
                  <c:v>1.2753659609222812E-2</c:v>
                </c:pt>
                <c:pt idx="18">
                  <c:v>1.2543116964565559E-2</c:v>
                </c:pt>
                <c:pt idx="19">
                  <c:v>1.2149298597194269E-2</c:v>
                </c:pt>
                <c:pt idx="20">
                  <c:v>1.3328327388774097E-2</c:v>
                </c:pt>
                <c:pt idx="21">
                  <c:v>1.3070669168230298E-2</c:v>
                </c:pt>
                <c:pt idx="22">
                  <c:v>1.0540759683153489E-2</c:v>
                </c:pt>
                <c:pt idx="23">
                  <c:v>1.1729473421512537E-2</c:v>
                </c:pt>
                <c:pt idx="24">
                  <c:v>1.2662175648702645E-2</c:v>
                </c:pt>
                <c:pt idx="25">
                  <c:v>1.3334995014955275E-2</c:v>
                </c:pt>
                <c:pt idx="26">
                  <c:v>1.5386532112377838E-2</c:v>
                </c:pt>
                <c:pt idx="27">
                  <c:v>1.4183514774494643E-2</c:v>
                </c:pt>
                <c:pt idx="28">
                  <c:v>1.4289264413518854E-2</c:v>
                </c:pt>
                <c:pt idx="29">
                  <c:v>1.464019851116638E-2</c:v>
                </c:pt>
                <c:pt idx="30">
                  <c:v>1.3936203158872784E-2</c:v>
                </c:pt>
                <c:pt idx="31">
                  <c:v>1.2993441405766637E-2</c:v>
                </c:pt>
                <c:pt idx="32">
                  <c:v>1.2967765839199785E-2</c:v>
                </c:pt>
                <c:pt idx="33">
                  <c:v>1.2593369961108491E-2</c:v>
                </c:pt>
                <c:pt idx="34">
                  <c:v>1.3146525120355301E-2</c:v>
                </c:pt>
                <c:pt idx="35">
                  <c:v>1.2580167735569914E-2</c:v>
                </c:pt>
                <c:pt idx="36">
                  <c:v>1.3304588851247301E-2</c:v>
                </c:pt>
                <c:pt idx="37">
                  <c:v>1.2790554667322596E-2</c:v>
                </c:pt>
                <c:pt idx="38">
                  <c:v>1.104294478527601E-2</c:v>
                </c:pt>
                <c:pt idx="39">
                  <c:v>1.208366558302143E-2</c:v>
                </c:pt>
                <c:pt idx="40">
                  <c:v>1.2495406100698325E-2</c:v>
                </c:pt>
                <c:pt idx="41">
                  <c:v>1.2350207874785912E-2</c:v>
                </c:pt>
                <c:pt idx="42">
                  <c:v>1.240073304825895E-2</c:v>
                </c:pt>
                <c:pt idx="43">
                  <c:v>1.3193256779868046E-2</c:v>
                </c:pt>
                <c:pt idx="44">
                  <c:v>1.3045598634479294E-2</c:v>
                </c:pt>
                <c:pt idx="45">
                  <c:v>1.5363043345729688E-2</c:v>
                </c:pt>
                <c:pt idx="46">
                  <c:v>1.5534572037770422E-2</c:v>
                </c:pt>
                <c:pt idx="47">
                  <c:v>1.668696711327633E-2</c:v>
                </c:pt>
                <c:pt idx="48">
                  <c:v>1.6169229834052556E-2</c:v>
                </c:pt>
                <c:pt idx="49">
                  <c:v>1.6939890710382599E-2</c:v>
                </c:pt>
                <c:pt idx="50">
                  <c:v>1.7293689320388328E-2</c:v>
                </c:pt>
                <c:pt idx="51">
                  <c:v>1.6969696969697079E-2</c:v>
                </c:pt>
                <c:pt idx="52">
                  <c:v>1.5970961887477264E-2</c:v>
                </c:pt>
                <c:pt idx="53">
                  <c:v>1.4977654306075783E-2</c:v>
                </c:pt>
                <c:pt idx="54">
                  <c:v>1.5084776443613057E-2</c:v>
                </c:pt>
                <c:pt idx="55">
                  <c:v>1.5493127562092868E-2</c:v>
                </c:pt>
                <c:pt idx="56">
                  <c:v>1.4081116861234921E-2</c:v>
                </c:pt>
                <c:pt idx="57">
                  <c:v>1.2248574001801238E-2</c:v>
                </c:pt>
                <c:pt idx="58">
                  <c:v>1.2777444511097524E-2</c:v>
                </c:pt>
                <c:pt idx="59">
                  <c:v>1.2759075116808516E-2</c:v>
                </c:pt>
                <c:pt idx="60">
                  <c:v>1.2741520607764567E-2</c:v>
                </c:pt>
                <c:pt idx="61">
                  <c:v>1.2000716460684346E-2</c:v>
                </c:pt>
                <c:pt idx="62">
                  <c:v>1.1631374888159796E-2</c:v>
                </c:pt>
                <c:pt idx="63">
                  <c:v>1.1918951132300348E-2</c:v>
                </c:pt>
                <c:pt idx="64">
                  <c:v>1.2921281410027241E-2</c:v>
                </c:pt>
                <c:pt idx="65">
                  <c:v>1.1960014280613995E-2</c:v>
                </c:pt>
                <c:pt idx="66">
                  <c:v>1.1947928431314203E-2</c:v>
                </c:pt>
                <c:pt idx="67">
                  <c:v>1.2525972098545779E-2</c:v>
                </c:pt>
                <c:pt idx="68">
                  <c:v>1.3292190837882689E-2</c:v>
                </c:pt>
                <c:pt idx="69">
                  <c:v>1.2515570318524238E-2</c:v>
                </c:pt>
                <c:pt idx="70">
                  <c:v>1.2971628265118884E-2</c:v>
                </c:pt>
                <c:pt idx="71">
                  <c:v>1.4609333412196168E-2</c:v>
                </c:pt>
                <c:pt idx="72">
                  <c:v>1.3526284701712799E-2</c:v>
                </c:pt>
                <c:pt idx="73">
                  <c:v>1.48082595870207E-2</c:v>
                </c:pt>
                <c:pt idx="74">
                  <c:v>1.550707547169794E-2</c:v>
                </c:pt>
                <c:pt idx="75">
                  <c:v>1.7962308598350907E-2</c:v>
                </c:pt>
                <c:pt idx="76">
                  <c:v>1.8811357357004344E-2</c:v>
                </c:pt>
                <c:pt idx="77">
                  <c:v>2.2343740812606594E-2</c:v>
                </c:pt>
                <c:pt idx="78">
                  <c:v>2.4318609022556226E-2</c:v>
                </c:pt>
                <c:pt idx="79">
                  <c:v>2.4272983114446367E-2</c:v>
                </c:pt>
                <c:pt idx="80">
                  <c:v>2.6235652377605945E-2</c:v>
                </c:pt>
                <c:pt idx="81">
                  <c:v>2.9935559461042649E-2</c:v>
                </c:pt>
                <c:pt idx="82">
                  <c:v>3.0581218570927327E-2</c:v>
                </c:pt>
                <c:pt idx="83">
                  <c:v>3.0605106680657412E-2</c:v>
                </c:pt>
                <c:pt idx="84">
                  <c:v>3.1237251588087878E-2</c:v>
                </c:pt>
                <c:pt idx="85">
                  <c:v>3.0579617464100872E-2</c:v>
                </c:pt>
                <c:pt idx="86">
                  <c:v>3.0830865702839327E-2</c:v>
                </c:pt>
                <c:pt idx="87">
                  <c:v>2.9968180503326725E-2</c:v>
                </c:pt>
                <c:pt idx="88">
                  <c:v>2.9484738330159743E-2</c:v>
                </c:pt>
                <c:pt idx="89">
                  <c:v>2.8757117386553066E-2</c:v>
                </c:pt>
                <c:pt idx="90">
                  <c:v>2.9246473219405988E-2</c:v>
                </c:pt>
                <c:pt idx="91">
                  <c:v>3.0509444762449878E-2</c:v>
                </c:pt>
                <c:pt idx="92">
                  <c:v>3.098607623830163E-2</c:v>
                </c:pt>
                <c:pt idx="93">
                  <c:v>3.1454411011887951E-2</c:v>
                </c:pt>
                <c:pt idx="94">
                  <c:v>3.2170212765957551E-2</c:v>
                </c:pt>
                <c:pt idx="95">
                  <c:v>3.15628712031224E-2</c:v>
                </c:pt>
                <c:pt idx="96">
                  <c:v>3.5207685786945442E-2</c:v>
                </c:pt>
                <c:pt idx="97">
                  <c:v>3.7795453263383516E-2</c:v>
                </c:pt>
                <c:pt idx="98">
                  <c:v>4.0328939957192667E-2</c:v>
                </c:pt>
                <c:pt idx="99">
                  <c:v>4.1285176655619704E-2</c:v>
                </c:pt>
                <c:pt idx="100">
                  <c:v>4.2932406680865398E-2</c:v>
                </c:pt>
                <c:pt idx="101">
                  <c:v>4.4389780287359626E-2</c:v>
                </c:pt>
                <c:pt idx="102">
                  <c:v>4.4294628928014168E-2</c:v>
                </c:pt>
                <c:pt idx="103">
                  <c:v>4.5159140143309351E-2</c:v>
                </c:pt>
                <c:pt idx="104">
                  <c:v>4.5663364144572949E-2</c:v>
                </c:pt>
                <c:pt idx="105">
                  <c:v>4.6046101246277837E-2</c:v>
                </c:pt>
                <c:pt idx="106">
                  <c:v>4.6668865435356199E-2</c:v>
                </c:pt>
                <c:pt idx="107">
                  <c:v>4.7211712452706056E-2</c:v>
                </c:pt>
                <c:pt idx="108">
                  <c:v>4.6511627906976827E-2</c:v>
                </c:pt>
                <c:pt idx="109">
                  <c:v>4.5605261727455604E-2</c:v>
                </c:pt>
                <c:pt idx="110">
                  <c:v>4.6345425013535557E-2</c:v>
                </c:pt>
                <c:pt idx="111">
                  <c:v>4.6499082964720939E-2</c:v>
                </c:pt>
                <c:pt idx="112">
                  <c:v>4.6754084264832407E-2</c:v>
                </c:pt>
                <c:pt idx="113">
                  <c:v>4.6250200738718439E-2</c:v>
                </c:pt>
                <c:pt idx="114">
                  <c:v>4.7644453929467145E-2</c:v>
                </c:pt>
                <c:pt idx="115">
                  <c:v>4.6502976190476275E-2</c:v>
                </c:pt>
                <c:pt idx="116">
                  <c:v>4.6474698284988403E-2</c:v>
                </c:pt>
                <c:pt idx="117">
                  <c:v>4.6707786388317629E-2</c:v>
                </c:pt>
                <c:pt idx="118">
                  <c:v>4.6741242581797238E-2</c:v>
                </c:pt>
                <c:pt idx="119">
                  <c:v>4.7491883966907622E-2</c:v>
                </c:pt>
                <c:pt idx="120">
                  <c:v>4.7000521648409066E-2</c:v>
                </c:pt>
                <c:pt idx="121">
                  <c:v>4.7411104179662988E-2</c:v>
                </c:pt>
                <c:pt idx="122">
                  <c:v>4.6414157094070152E-2</c:v>
                </c:pt>
                <c:pt idx="123">
                  <c:v>4.6546391752577465E-2</c:v>
                </c:pt>
                <c:pt idx="124">
                  <c:v>4.6051956052982845E-2</c:v>
                </c:pt>
                <c:pt idx="125">
                  <c:v>4.6201074443591672E-2</c:v>
                </c:pt>
                <c:pt idx="126">
                  <c:v>4.5324913424322766E-2</c:v>
                </c:pt>
                <c:pt idx="127">
                  <c:v>4.6010867909197284E-2</c:v>
                </c:pt>
                <c:pt idx="128">
                  <c:v>4.6181082448153887E-2</c:v>
                </c:pt>
                <c:pt idx="129">
                  <c:v>4.6839587005792049E-2</c:v>
                </c:pt>
                <c:pt idx="130">
                  <c:v>4.8216346395062892E-2</c:v>
                </c:pt>
                <c:pt idx="131">
                  <c:v>4.9587603099225275E-2</c:v>
                </c:pt>
                <c:pt idx="132">
                  <c:v>5.0271536047032939E-2</c:v>
                </c:pt>
                <c:pt idx="133">
                  <c:v>5.0228310502283158E-2</c:v>
                </c:pt>
                <c:pt idx="134">
                  <c:v>4.9695890817386346E-2</c:v>
                </c:pt>
                <c:pt idx="135">
                  <c:v>4.9450820075850777E-2</c:v>
                </c:pt>
                <c:pt idx="136">
                  <c:v>5.03067484662576E-2</c:v>
                </c:pt>
                <c:pt idx="137">
                  <c:v>5.0714006259780842E-2</c:v>
                </c:pt>
                <c:pt idx="138">
                  <c:v>5.071616486407482E-2</c:v>
                </c:pt>
                <c:pt idx="139">
                  <c:v>4.8550759819391276E-2</c:v>
                </c:pt>
                <c:pt idx="140">
                  <c:v>4.5931441280278484E-2</c:v>
                </c:pt>
                <c:pt idx="141">
                  <c:v>4.2434447919172502E-2</c:v>
                </c:pt>
                <c:pt idx="142">
                  <c:v>3.9440934328929922E-2</c:v>
                </c:pt>
                <c:pt idx="143">
                  <c:v>3.7481544982616466E-2</c:v>
                </c:pt>
                <c:pt idx="144">
                  <c:v>3.7808349146110087E-2</c:v>
                </c:pt>
                <c:pt idx="145">
                  <c:v>3.6672967863894179E-2</c:v>
                </c:pt>
                <c:pt idx="146">
                  <c:v>3.5377802901827682E-2</c:v>
                </c:pt>
                <c:pt idx="147">
                  <c:v>3.3932510442577613E-2</c:v>
                </c:pt>
                <c:pt idx="148">
                  <c:v>3.182242990654216E-2</c:v>
                </c:pt>
                <c:pt idx="149">
                  <c:v>2.9834768443099957E-2</c:v>
                </c:pt>
                <c:pt idx="150">
                  <c:v>2.884035795428197E-2</c:v>
                </c:pt>
                <c:pt idx="151">
                  <c:v>2.9587442700375055E-2</c:v>
                </c:pt>
                <c:pt idx="152">
                  <c:v>3.12947811214348E-2</c:v>
                </c:pt>
                <c:pt idx="153">
                  <c:v>3.0276457285272507E-2</c:v>
                </c:pt>
                <c:pt idx="154">
                  <c:v>3.0668631423834913E-2</c:v>
                </c:pt>
                <c:pt idx="155">
                  <c:v>3.0526992287917887E-2</c:v>
                </c:pt>
                <c:pt idx="156">
                  <c:v>2.6786122411665225E-2</c:v>
                </c:pt>
                <c:pt idx="157">
                  <c:v>2.7261123267687815E-2</c:v>
                </c:pt>
                <c:pt idx="158">
                  <c:v>2.9391692069703046E-2</c:v>
                </c:pt>
                <c:pt idx="159">
                  <c:v>3.2955061280072639E-2</c:v>
                </c:pt>
                <c:pt idx="160">
                  <c:v>3.4554594447715248E-2</c:v>
                </c:pt>
                <c:pt idx="161">
                  <c:v>3.6924884750971776E-2</c:v>
                </c:pt>
                <c:pt idx="162">
                  <c:v>3.8397404119158152E-2</c:v>
                </c:pt>
                <c:pt idx="163">
                  <c:v>4.1014570966001029E-2</c:v>
                </c:pt>
                <c:pt idx="164">
                  <c:v>4.2805916629314211E-2</c:v>
                </c:pt>
                <c:pt idx="165">
                  <c:v>4.6230345383684979E-2</c:v>
                </c:pt>
                <c:pt idx="166">
                  <c:v>4.8521133053346377E-2</c:v>
                </c:pt>
                <c:pt idx="167">
                  <c:v>5.118268074301735E-2</c:v>
                </c:pt>
                <c:pt idx="168">
                  <c:v>5.569158171214883E-2</c:v>
                </c:pt>
                <c:pt idx="169">
                  <c:v>5.9066299813614886E-2</c:v>
                </c:pt>
                <c:pt idx="170">
                  <c:v>6.3027624309392127E-2</c:v>
                </c:pt>
                <c:pt idx="171">
                  <c:v>6.4818069959571067E-2</c:v>
                </c:pt>
                <c:pt idx="172">
                  <c:v>7.0915776571528477E-2</c:v>
                </c:pt>
                <c:pt idx="173">
                  <c:v>7.7234886457743013E-2</c:v>
                </c:pt>
                <c:pt idx="174">
                  <c:v>8.2157892452584536E-2</c:v>
                </c:pt>
                <c:pt idx="175">
                  <c:v>8.7523760152064867E-2</c:v>
                </c:pt>
                <c:pt idx="176">
                  <c:v>9.1768751343219268E-2</c:v>
                </c:pt>
                <c:pt idx="177">
                  <c:v>9.6082209377007066E-2</c:v>
                </c:pt>
                <c:pt idx="178">
                  <c:v>9.8772797000170609E-2</c:v>
                </c:pt>
                <c:pt idx="179">
                  <c:v>0.10043224002034079</c:v>
                </c:pt>
                <c:pt idx="180">
                  <c:v>0.10141688454077769</c:v>
                </c:pt>
                <c:pt idx="181">
                  <c:v>0.10219987429289756</c:v>
                </c:pt>
                <c:pt idx="182">
                  <c:v>9.9372167477443707E-2</c:v>
                </c:pt>
                <c:pt idx="183">
                  <c:v>9.65292394040691E-2</c:v>
                </c:pt>
                <c:pt idx="184">
                  <c:v>9.0704708960104741E-2</c:v>
                </c:pt>
                <c:pt idx="185">
                  <c:v>8.4887720008092193E-2</c:v>
                </c:pt>
                <c:pt idx="186">
                  <c:v>8.1976417742841035E-2</c:v>
                </c:pt>
                <c:pt idx="187">
                  <c:v>7.5355525542226243E-2</c:v>
                </c:pt>
                <c:pt idx="188">
                  <c:v>7.1574803149606403E-2</c:v>
                </c:pt>
                <c:pt idx="189">
                  <c:v>6.8557365522090574E-2</c:v>
                </c:pt>
                <c:pt idx="190">
                  <c:v>6.7827503296362224E-2</c:v>
                </c:pt>
                <c:pt idx="191">
                  <c:v>6.6774491682070281E-2</c:v>
                </c:pt>
                <c:pt idx="192">
                  <c:v>6.6043876105517096E-2</c:v>
                </c:pt>
                <c:pt idx="193">
                  <c:v>6.2766119221411287E-2</c:v>
                </c:pt>
                <c:pt idx="194">
                  <c:v>6.0739003819825443E-2</c:v>
                </c:pt>
                <c:pt idx="195">
                  <c:v>5.9729017689122976E-2</c:v>
                </c:pt>
                <c:pt idx="196">
                  <c:v>6.0225611812764646E-2</c:v>
                </c:pt>
                <c:pt idx="197">
                  <c:v>5.9374184164397992E-2</c:v>
                </c:pt>
                <c:pt idx="198">
                  <c:v>5.8677440877752174E-2</c:v>
                </c:pt>
                <c:pt idx="199">
                  <c:v>6.1135532488640898E-2</c:v>
                </c:pt>
                <c:pt idx="200">
                  <c:v>6.1576897641266726E-2</c:v>
                </c:pt>
                <c:pt idx="201">
                  <c:v>6.1490092856620659E-2</c:v>
                </c:pt>
                <c:pt idx="202">
                  <c:v>5.9306337388777886E-2</c:v>
                </c:pt>
                <c:pt idx="203">
                  <c:v>5.8623926070319854E-2</c:v>
                </c:pt>
                <c:pt idx="204">
                  <c:v>5.9653785375664237E-2</c:v>
                </c:pt>
                <c:pt idx="205">
                  <c:v>6.1920944374888265E-2</c:v>
                </c:pt>
                <c:pt idx="206">
                  <c:v>6.2930081648661096E-2</c:v>
                </c:pt>
                <c:pt idx="207">
                  <c:v>6.3998295272933881E-2</c:v>
                </c:pt>
                <c:pt idx="208">
                  <c:v>6.4404383174266444E-2</c:v>
                </c:pt>
                <c:pt idx="209">
                  <c:v>6.6431966203133186E-2</c:v>
                </c:pt>
                <c:pt idx="210">
                  <c:v>6.7154511396659844E-2</c:v>
                </c:pt>
                <c:pt idx="211">
                  <c:v>6.6246605862285035E-2</c:v>
                </c:pt>
                <c:pt idx="212">
                  <c:v>6.4511663321104695E-2</c:v>
                </c:pt>
                <c:pt idx="213">
                  <c:v>6.4437250309959948E-2</c:v>
                </c:pt>
                <c:pt idx="214">
                  <c:v>6.510559517279213E-2</c:v>
                </c:pt>
                <c:pt idx="215">
                  <c:v>6.4823023937802704E-2</c:v>
                </c:pt>
                <c:pt idx="216">
                  <c:v>6.4700898152855624E-2</c:v>
                </c:pt>
                <c:pt idx="217">
                  <c:v>6.2285252307485051E-2</c:v>
                </c:pt>
                <c:pt idx="218">
                  <c:v>6.3531463840064362E-2</c:v>
                </c:pt>
                <c:pt idx="219">
                  <c:v>6.5155712807503541E-2</c:v>
                </c:pt>
                <c:pt idx="220">
                  <c:v>6.5986981934112565E-2</c:v>
                </c:pt>
                <c:pt idx="221">
                  <c:v>6.5561864518684621E-2</c:v>
                </c:pt>
                <c:pt idx="222">
                  <c:v>6.5258046523836155E-2</c:v>
                </c:pt>
                <c:pt idx="223">
                  <c:v>6.5722028143262889E-2</c:v>
                </c:pt>
                <c:pt idx="224">
                  <c:v>6.736458807464718E-2</c:v>
                </c:pt>
                <c:pt idx="225">
                  <c:v>7.0016501116251906E-2</c:v>
                </c:pt>
                <c:pt idx="226">
                  <c:v>7.0235297904529093E-2</c:v>
                </c:pt>
                <c:pt idx="227">
                  <c:v>6.8882697665481718E-2</c:v>
                </c:pt>
                <c:pt idx="228">
                  <c:v>6.7963328452282257E-2</c:v>
                </c:pt>
                <c:pt idx="229">
                  <c:v>6.7353733946408756E-2</c:v>
                </c:pt>
                <c:pt idx="230">
                  <c:v>6.7684349965306145E-2</c:v>
                </c:pt>
                <c:pt idx="231">
                  <c:v>7.0633950675315749E-2</c:v>
                </c:pt>
                <c:pt idx="232">
                  <c:v>7.3616000498458067E-2</c:v>
                </c:pt>
                <c:pt idx="233">
                  <c:v>7.3641489559452378E-2</c:v>
                </c:pt>
                <c:pt idx="234">
                  <c:v>7.2717752864358554E-2</c:v>
                </c:pt>
                <c:pt idx="235">
                  <c:v>7.4076343361313635E-2</c:v>
                </c:pt>
                <c:pt idx="236">
                  <c:v>7.520560462991166E-2</c:v>
                </c:pt>
                <c:pt idx="237">
                  <c:v>7.5171600495902879E-2</c:v>
                </c:pt>
                <c:pt idx="238">
                  <c:v>7.6242894523143478E-2</c:v>
                </c:pt>
                <c:pt idx="239">
                  <c:v>7.9783090658517519E-2</c:v>
                </c:pt>
                <c:pt idx="240">
                  <c:v>8.2446570687650933E-2</c:v>
                </c:pt>
                <c:pt idx="241">
                  <c:v>8.9663982887192129E-2</c:v>
                </c:pt>
                <c:pt idx="242">
                  <c:v>9.3495214462956611E-2</c:v>
                </c:pt>
                <c:pt idx="243">
                  <c:v>8.9038489682423672E-2</c:v>
                </c:pt>
                <c:pt idx="244">
                  <c:v>8.8358191631361827E-2</c:v>
                </c:pt>
                <c:pt idx="245">
                  <c:v>8.9482037224065669E-2</c:v>
                </c:pt>
                <c:pt idx="246">
                  <c:v>9.1647764793706399E-2</c:v>
                </c:pt>
                <c:pt idx="247">
                  <c:v>9.2298916143753518E-2</c:v>
                </c:pt>
                <c:pt idx="248">
                  <c:v>9.5130173659310424E-2</c:v>
                </c:pt>
                <c:pt idx="249">
                  <c:v>9.6127344826616445E-2</c:v>
                </c:pt>
                <c:pt idx="250">
                  <c:v>9.7753185781354723E-2</c:v>
                </c:pt>
                <c:pt idx="251">
                  <c:v>9.6473460780777565E-2</c:v>
                </c:pt>
                <c:pt idx="252">
                  <c:v>9.7645600991325798E-2</c:v>
                </c:pt>
                <c:pt idx="253">
                  <c:v>9.4746026119911786E-2</c:v>
                </c:pt>
                <c:pt idx="254">
                  <c:v>9.0715076856579424E-2</c:v>
                </c:pt>
                <c:pt idx="255">
                  <c:v>9.2079447415808868E-2</c:v>
                </c:pt>
                <c:pt idx="256">
                  <c:v>9.0809715519769574E-2</c:v>
                </c:pt>
                <c:pt idx="257">
                  <c:v>8.9018963873291668E-2</c:v>
                </c:pt>
                <c:pt idx="258">
                  <c:v>8.7951395281554934E-2</c:v>
                </c:pt>
                <c:pt idx="259">
                  <c:v>8.7372049300188159E-2</c:v>
                </c:pt>
                <c:pt idx="260">
                  <c:v>8.4279690612308222E-2</c:v>
                </c:pt>
                <c:pt idx="261">
                  <c:v>8.1847338037203343E-2</c:v>
                </c:pt>
                <c:pt idx="262">
                  <c:v>7.9654803726898038E-2</c:v>
                </c:pt>
                <c:pt idx="263">
                  <c:v>7.7180019231742447E-2</c:v>
                </c:pt>
                <c:pt idx="264">
                  <c:v>7.4458744135872168E-2</c:v>
                </c:pt>
                <c:pt idx="265">
                  <c:v>7.0781032078103268E-2</c:v>
                </c:pt>
                <c:pt idx="266">
                  <c:v>6.9523219814241477E-2</c:v>
                </c:pt>
                <c:pt idx="267">
                  <c:v>6.694066399232157E-2</c:v>
                </c:pt>
                <c:pt idx="268">
                  <c:v>6.5407083323149262E-2</c:v>
                </c:pt>
                <c:pt idx="269">
                  <c:v>6.5447381861517107E-2</c:v>
                </c:pt>
                <c:pt idx="270">
                  <c:v>6.5925299165961571E-2</c:v>
                </c:pt>
                <c:pt idx="271">
                  <c:v>6.370971615196197E-2</c:v>
                </c:pt>
                <c:pt idx="272">
                  <c:v>6.0694262197304116E-2</c:v>
                </c:pt>
                <c:pt idx="273">
                  <c:v>6.1093323846792336E-2</c:v>
                </c:pt>
                <c:pt idx="274">
                  <c:v>5.8829077362005044E-2</c:v>
                </c:pt>
                <c:pt idx="275">
                  <c:v>5.8283217440330715E-2</c:v>
                </c:pt>
                <c:pt idx="276">
                  <c:v>5.9025426696864169E-2</c:v>
                </c:pt>
                <c:pt idx="277">
                  <c:v>5.8868679350607023E-2</c:v>
                </c:pt>
                <c:pt idx="278">
                  <c:v>5.5601871150016136E-2</c:v>
                </c:pt>
                <c:pt idx="279">
                  <c:v>5.4621364150116314E-2</c:v>
                </c:pt>
                <c:pt idx="280">
                  <c:v>5.0425566083186046E-2</c:v>
                </c:pt>
                <c:pt idx="281">
                  <c:v>5.0059349890430926E-2</c:v>
                </c:pt>
                <c:pt idx="282">
                  <c:v>5.0326589857570658E-2</c:v>
                </c:pt>
                <c:pt idx="283">
                  <c:v>5.0908680437972587E-2</c:v>
                </c:pt>
                <c:pt idx="284">
                  <c:v>5.1260712116781626E-2</c:v>
                </c:pt>
                <c:pt idx="285">
                  <c:v>4.6489796830647467E-2</c:v>
                </c:pt>
                <c:pt idx="286">
                  <c:v>4.5071928027435204E-2</c:v>
                </c:pt>
                <c:pt idx="287">
                  <c:v>4.2531465737308372E-2</c:v>
                </c:pt>
                <c:pt idx="288">
                  <c:v>3.8891461075468037E-2</c:v>
                </c:pt>
                <c:pt idx="289">
                  <c:v>4.1581548599670448E-2</c:v>
                </c:pt>
                <c:pt idx="290">
                  <c:v>4.4205076453941228E-2</c:v>
                </c:pt>
                <c:pt idx="291">
                  <c:v>4.5952625708099326E-2</c:v>
                </c:pt>
                <c:pt idx="292">
                  <c:v>4.6869198680848267E-2</c:v>
                </c:pt>
                <c:pt idx="293">
                  <c:v>4.4455555314014905E-2</c:v>
                </c:pt>
                <c:pt idx="294">
                  <c:v>4.1933881799140593E-2</c:v>
                </c:pt>
                <c:pt idx="295">
                  <c:v>4.0000000000000036E-2</c:v>
                </c:pt>
                <c:pt idx="296">
                  <c:v>3.739997432496045E-2</c:v>
                </c:pt>
                <c:pt idx="297">
                  <c:v>3.7888981439952119E-2</c:v>
                </c:pt>
                <c:pt idx="298">
                  <c:v>3.7673130193905724E-2</c:v>
                </c:pt>
                <c:pt idx="299">
                  <c:v>4.1009262216544107E-2</c:v>
                </c:pt>
                <c:pt idx="300">
                  <c:v>4.3377687230746309E-2</c:v>
                </c:pt>
                <c:pt idx="301">
                  <c:v>4.222025391201667E-2</c:v>
                </c:pt>
                <c:pt idx="302">
                  <c:v>4.1913525778394245E-2</c:v>
                </c:pt>
                <c:pt idx="303">
                  <c:v>3.8266906444732518E-2</c:v>
                </c:pt>
                <c:pt idx="304">
                  <c:v>3.9430037761041481E-2</c:v>
                </c:pt>
                <c:pt idx="305">
                  <c:v>4.041959788535987E-2</c:v>
                </c:pt>
                <c:pt idx="306">
                  <c:v>3.8982032205251427E-2</c:v>
                </c:pt>
                <c:pt idx="307">
                  <c:v>4.065107824506331E-2</c:v>
                </c:pt>
                <c:pt idx="308">
                  <c:v>4.1207771315431296E-2</c:v>
                </c:pt>
                <c:pt idx="309">
                  <c:v>4.0539150118324985E-2</c:v>
                </c:pt>
                <c:pt idx="310">
                  <c:v>4.0884635919339551E-2</c:v>
                </c:pt>
                <c:pt idx="311">
                  <c:v>3.9598290073837639E-2</c:v>
                </c:pt>
                <c:pt idx="312">
                  <c:v>3.9377606020543077E-2</c:v>
                </c:pt>
                <c:pt idx="313">
                  <c:v>3.6685552407931921E-2</c:v>
                </c:pt>
                <c:pt idx="314">
                  <c:v>3.6214788377392004E-2</c:v>
                </c:pt>
                <c:pt idx="315">
                  <c:v>3.6856521388866526E-2</c:v>
                </c:pt>
                <c:pt idx="316">
                  <c:v>3.5064127009613921E-2</c:v>
                </c:pt>
                <c:pt idx="317">
                  <c:v>3.4748339601504474E-2</c:v>
                </c:pt>
                <c:pt idx="318">
                  <c:v>3.3609925399928242E-2</c:v>
                </c:pt>
                <c:pt idx="319">
                  <c:v>3.0666931321952973E-2</c:v>
                </c:pt>
                <c:pt idx="320">
                  <c:v>3.1930908802788815E-2</c:v>
                </c:pt>
                <c:pt idx="321">
                  <c:v>3.3778305151785037E-2</c:v>
                </c:pt>
                <c:pt idx="322">
                  <c:v>3.3439207717650854E-2</c:v>
                </c:pt>
                <c:pt idx="323">
                  <c:v>3.1971196411356262E-2</c:v>
                </c:pt>
                <c:pt idx="324">
                  <c:v>2.8903543961957823E-2</c:v>
                </c:pt>
                <c:pt idx="325">
                  <c:v>2.8341108270060422E-2</c:v>
                </c:pt>
                <c:pt idx="326">
                  <c:v>2.8255074043083139E-2</c:v>
                </c:pt>
                <c:pt idx="327">
                  <c:v>3.0748611165067441E-2</c:v>
                </c:pt>
                <c:pt idx="328">
                  <c:v>3.187899941826644E-2</c:v>
                </c:pt>
                <c:pt idx="329">
                  <c:v>3.1609473175447045E-2</c:v>
                </c:pt>
                <c:pt idx="330">
                  <c:v>3.2401242787394535E-2</c:v>
                </c:pt>
                <c:pt idx="331">
                  <c:v>3.3779489648531724E-2</c:v>
                </c:pt>
                <c:pt idx="332">
                  <c:v>3.447481572481581E-2</c:v>
                </c:pt>
                <c:pt idx="333">
                  <c:v>3.5371989363533585E-2</c:v>
                </c:pt>
                <c:pt idx="334">
                  <c:v>3.5335216860109986E-2</c:v>
                </c:pt>
                <c:pt idx="335">
                  <c:v>3.616639975596736E-2</c:v>
                </c:pt>
                <c:pt idx="336">
                  <c:v>3.8571265548328126E-2</c:v>
                </c:pt>
                <c:pt idx="337">
                  <c:v>3.8587833349150724E-2</c:v>
                </c:pt>
                <c:pt idx="338">
                  <c:v>3.9950038795632192E-2</c:v>
                </c:pt>
                <c:pt idx="339">
                  <c:v>4.0591727127108346E-2</c:v>
                </c:pt>
                <c:pt idx="340">
                  <c:v>4.1210959521930324E-2</c:v>
                </c:pt>
                <c:pt idx="341">
                  <c:v>4.2747376311843999E-2</c:v>
                </c:pt>
                <c:pt idx="342">
                  <c:v>4.4300721522299913E-2</c:v>
                </c:pt>
                <c:pt idx="343">
                  <c:v>4.336891521824171E-2</c:v>
                </c:pt>
                <c:pt idx="344">
                  <c:v>4.4811845914050297E-2</c:v>
                </c:pt>
                <c:pt idx="345">
                  <c:v>4.4325782491408283E-2</c:v>
                </c:pt>
                <c:pt idx="346">
                  <c:v>4.5007836268092571E-2</c:v>
                </c:pt>
                <c:pt idx="347">
                  <c:v>4.6275000459990112E-2</c:v>
                </c:pt>
                <c:pt idx="348">
                  <c:v>4.6624913013221914E-2</c:v>
                </c:pt>
                <c:pt idx="349">
                  <c:v>4.7132570634891513E-2</c:v>
                </c:pt>
                <c:pt idx="350">
                  <c:v>4.5785412723831742E-2</c:v>
                </c:pt>
                <c:pt idx="351">
                  <c:v>4.4223908437313275E-2</c:v>
                </c:pt>
                <c:pt idx="352">
                  <c:v>4.3785081307416096E-2</c:v>
                </c:pt>
                <c:pt idx="353">
                  <c:v>4.2163153070577497E-2</c:v>
                </c:pt>
                <c:pt idx="354">
                  <c:v>4.0595689840337901E-2</c:v>
                </c:pt>
                <c:pt idx="355">
                  <c:v>3.9459353295123734E-2</c:v>
                </c:pt>
                <c:pt idx="356">
                  <c:v>3.7508657893334574E-2</c:v>
                </c:pt>
                <c:pt idx="357">
                  <c:v>3.7331257408750762E-2</c:v>
                </c:pt>
                <c:pt idx="358">
                  <c:v>3.7246806408356203E-2</c:v>
                </c:pt>
                <c:pt idx="359">
                  <c:v>3.6754361283061421E-2</c:v>
                </c:pt>
                <c:pt idx="360">
                  <c:v>3.5501819708846583E-2</c:v>
                </c:pt>
                <c:pt idx="361">
                  <c:v>3.7890290940189031E-2</c:v>
                </c:pt>
                <c:pt idx="362">
                  <c:v>3.9778659427855301E-2</c:v>
                </c:pt>
                <c:pt idx="363">
                  <c:v>3.9385373129151358E-2</c:v>
                </c:pt>
                <c:pt idx="364">
                  <c:v>3.9458440682655249E-2</c:v>
                </c:pt>
                <c:pt idx="365">
                  <c:v>4.0733267801403628E-2</c:v>
                </c:pt>
                <c:pt idx="366">
                  <c:v>4.0680473372781023E-2</c:v>
                </c:pt>
                <c:pt idx="367">
                  <c:v>4.3561159111599634E-2</c:v>
                </c:pt>
                <c:pt idx="368">
                  <c:v>4.3581711429500736E-2</c:v>
                </c:pt>
                <c:pt idx="369">
                  <c:v>4.333884804966659E-2</c:v>
                </c:pt>
                <c:pt idx="370">
                  <c:v>4.1828975793968048E-2</c:v>
                </c:pt>
                <c:pt idx="371">
                  <c:v>4.0319571191098191E-2</c:v>
                </c:pt>
                <c:pt idx="372">
                  <c:v>4.14998056808773E-2</c:v>
                </c:pt>
                <c:pt idx="373">
                  <c:v>3.9332077756104145E-2</c:v>
                </c:pt>
                <c:pt idx="374">
                  <c:v>3.6516383840412336E-2</c:v>
                </c:pt>
                <c:pt idx="375">
                  <c:v>3.550690782887278E-2</c:v>
                </c:pt>
                <c:pt idx="376">
                  <c:v>3.6463445063628086E-2</c:v>
                </c:pt>
                <c:pt idx="377">
                  <c:v>3.4681602014946522E-2</c:v>
                </c:pt>
                <c:pt idx="378">
                  <c:v>3.522255830482135E-2</c:v>
                </c:pt>
                <c:pt idx="379">
                  <c:v>3.37596497292314E-2</c:v>
                </c:pt>
                <c:pt idx="380">
                  <c:v>3.4281965061920605E-2</c:v>
                </c:pt>
                <c:pt idx="381">
                  <c:v>3.3054338586281373E-2</c:v>
                </c:pt>
                <c:pt idx="382">
                  <c:v>3.3732815204258193E-2</c:v>
                </c:pt>
                <c:pt idx="383">
                  <c:v>3.484371688053356E-2</c:v>
                </c:pt>
                <c:pt idx="384">
                  <c:v>3.2512938656975576E-2</c:v>
                </c:pt>
                <c:pt idx="385">
                  <c:v>3.2472050091413518E-2</c:v>
                </c:pt>
                <c:pt idx="386">
                  <c:v>3.2888788426763016E-2</c:v>
                </c:pt>
                <c:pt idx="387">
                  <c:v>3.4208830164357051E-2</c:v>
                </c:pt>
                <c:pt idx="388">
                  <c:v>3.1553437013497554E-2</c:v>
                </c:pt>
                <c:pt idx="389">
                  <c:v>3.0123955030267879E-2</c:v>
                </c:pt>
                <c:pt idx="390">
                  <c:v>3.0878784008174787E-2</c:v>
                </c:pt>
                <c:pt idx="391">
                  <c:v>2.8994968473345706E-2</c:v>
                </c:pt>
                <c:pt idx="392">
                  <c:v>2.6564110697010701E-2</c:v>
                </c:pt>
                <c:pt idx="393">
                  <c:v>2.8246352501819727E-2</c:v>
                </c:pt>
                <c:pt idx="394">
                  <c:v>2.857278241091743E-2</c:v>
                </c:pt>
                <c:pt idx="395">
                  <c:v>2.7951093464422927E-2</c:v>
                </c:pt>
                <c:pt idx="396">
                  <c:v>2.8142235351424461E-2</c:v>
                </c:pt>
                <c:pt idx="397">
                  <c:v>2.7313755602218937E-2</c:v>
                </c:pt>
                <c:pt idx="398">
                  <c:v>2.6995763837869058E-2</c:v>
                </c:pt>
                <c:pt idx="399">
                  <c:v>2.6611408005235093E-2</c:v>
                </c:pt>
                <c:pt idx="400">
                  <c:v>2.864344281424569E-2</c:v>
                </c:pt>
                <c:pt idx="401">
                  <c:v>2.8823282496152514E-2</c:v>
                </c:pt>
                <c:pt idx="402">
                  <c:v>2.7073072514945729E-2</c:v>
                </c:pt>
                <c:pt idx="403">
                  <c:v>2.8054158607350166E-2</c:v>
                </c:pt>
                <c:pt idx="404">
                  <c:v>2.7931407384520268E-2</c:v>
                </c:pt>
                <c:pt idx="405">
                  <c:v>2.5669831791809816E-2</c:v>
                </c:pt>
                <c:pt idx="406">
                  <c:v>2.6074538167411454E-2</c:v>
                </c:pt>
                <c:pt idx="407">
                  <c:v>2.4631372428803422E-2</c:v>
                </c:pt>
                <c:pt idx="408">
                  <c:v>2.246607164690051E-2</c:v>
                </c:pt>
                <c:pt idx="409">
                  <c:v>2.2728312765989855E-2</c:v>
                </c:pt>
                <c:pt idx="410">
                  <c:v>2.3972602739726012E-2</c:v>
                </c:pt>
                <c:pt idx="411">
                  <c:v>2.2537220561229976E-2</c:v>
                </c:pt>
                <c:pt idx="412">
                  <c:v>2.1357049944035866E-2</c:v>
                </c:pt>
                <c:pt idx="413">
                  <c:v>2.265137434456066E-2</c:v>
                </c:pt>
                <c:pt idx="414">
                  <c:v>2.2679977078746694E-2</c:v>
                </c:pt>
                <c:pt idx="415">
                  <c:v>2.1915169029772086E-2</c:v>
                </c:pt>
                <c:pt idx="416">
                  <c:v>2.1927319727073291E-2</c:v>
                </c:pt>
                <c:pt idx="417">
                  <c:v>2.2656683721697712E-2</c:v>
                </c:pt>
                <c:pt idx="418">
                  <c:v>2.1894969993564661E-2</c:v>
                </c:pt>
                <c:pt idx="419">
                  <c:v>2.1780430522520877E-2</c:v>
                </c:pt>
                <c:pt idx="420">
                  <c:v>2.3512002630713402E-2</c:v>
                </c:pt>
                <c:pt idx="421">
                  <c:v>2.2968962071382881E-2</c:v>
                </c:pt>
                <c:pt idx="422">
                  <c:v>2.1999256781865428E-2</c:v>
                </c:pt>
                <c:pt idx="423">
                  <c:v>2.2841961529328048E-2</c:v>
                </c:pt>
                <c:pt idx="424">
                  <c:v>2.2302520510618207E-2</c:v>
                </c:pt>
                <c:pt idx="425">
                  <c:v>2.0923222412672082E-2</c:v>
                </c:pt>
                <c:pt idx="426">
                  <c:v>2.0392816066530983E-2</c:v>
                </c:pt>
                <c:pt idx="427">
                  <c:v>2.1695584293162762E-2</c:v>
                </c:pt>
                <c:pt idx="428">
                  <c:v>2.1486242040090087E-2</c:v>
                </c:pt>
                <c:pt idx="429">
                  <c:v>2.156785069765399E-2</c:v>
                </c:pt>
                <c:pt idx="430">
                  <c:v>2.0356755806801186E-2</c:v>
                </c:pt>
                <c:pt idx="431">
                  <c:v>2.1447917429177732E-2</c:v>
                </c:pt>
                <c:pt idx="432">
                  <c:v>2.0065717415115092E-2</c:v>
                </c:pt>
                <c:pt idx="433">
                  <c:v>1.9726770379226322E-2</c:v>
                </c:pt>
                <c:pt idx="434">
                  <c:v>1.9591302450731041E-2</c:v>
                </c:pt>
                <c:pt idx="435">
                  <c:v>1.8602626423855462E-2</c:v>
                </c:pt>
                <c:pt idx="436">
                  <c:v>1.8643527639355728E-2</c:v>
                </c:pt>
                <c:pt idx="437">
                  <c:v>1.8540496728999045E-2</c:v>
                </c:pt>
                <c:pt idx="438">
                  <c:v>1.8843658328636881E-2</c:v>
                </c:pt>
                <c:pt idx="439">
                  <c:v>1.728487609381979E-2</c:v>
                </c:pt>
                <c:pt idx="440">
                  <c:v>1.9033084741858497E-2</c:v>
                </c:pt>
                <c:pt idx="441">
                  <c:v>1.8972525026211162E-2</c:v>
                </c:pt>
                <c:pt idx="442">
                  <c:v>1.964921345734294E-2</c:v>
                </c:pt>
                <c:pt idx="443">
                  <c:v>1.8603984520567662E-2</c:v>
                </c:pt>
                <c:pt idx="444">
                  <c:v>1.8539993414365297E-2</c:v>
                </c:pt>
                <c:pt idx="445">
                  <c:v>1.9302259079210904E-2</c:v>
                </c:pt>
                <c:pt idx="446">
                  <c:v>1.9371772559983791E-2</c:v>
                </c:pt>
                <c:pt idx="447">
                  <c:v>1.9986609114349463E-2</c:v>
                </c:pt>
                <c:pt idx="448">
                  <c:v>1.8956469801902687E-2</c:v>
                </c:pt>
                <c:pt idx="449">
                  <c:v>1.968084350532151E-2</c:v>
                </c:pt>
                <c:pt idx="450">
                  <c:v>1.8466775405999725E-2</c:v>
                </c:pt>
                <c:pt idx="451">
                  <c:v>1.7175410254230083E-2</c:v>
                </c:pt>
                <c:pt idx="452">
                  <c:v>1.6205142695676855E-2</c:v>
                </c:pt>
                <c:pt idx="453">
                  <c:v>1.5335175057788808E-2</c:v>
                </c:pt>
                <c:pt idx="454">
                  <c:v>1.431567686265689E-2</c:v>
                </c:pt>
                <c:pt idx="455">
                  <c:v>1.4521303540271147E-2</c:v>
                </c:pt>
                <c:pt idx="456">
                  <c:v>1.4983695041043354E-2</c:v>
                </c:pt>
                <c:pt idx="457">
                  <c:v>1.3774722962547337E-2</c:v>
                </c:pt>
                <c:pt idx="458">
                  <c:v>1.2440526168485899E-2</c:v>
                </c:pt>
                <c:pt idx="459">
                  <c:v>1.2318435754190116E-2</c:v>
                </c:pt>
                <c:pt idx="460">
                  <c:v>1.256071009881099E-2</c:v>
                </c:pt>
                <c:pt idx="461">
                  <c:v>9.7968170796287612E-3</c:v>
                </c:pt>
                <c:pt idx="462">
                  <c:v>1.1948695809600896E-2</c:v>
                </c:pt>
                <c:pt idx="463">
                  <c:v>1.4335868929198359E-2</c:v>
                </c:pt>
                <c:pt idx="464">
                  <c:v>1.2067790954717994E-2</c:v>
                </c:pt>
                <c:pt idx="465">
                  <c:v>1.2507635071353107E-2</c:v>
                </c:pt>
                <c:pt idx="466">
                  <c:v>1.2378916983540877E-2</c:v>
                </c:pt>
                <c:pt idx="467">
                  <c:v>1.3536754507628368E-2</c:v>
                </c:pt>
                <c:pt idx="468">
                  <c:v>1.3433042514887417E-2</c:v>
                </c:pt>
                <c:pt idx="469">
                  <c:v>1.2217733008633935E-2</c:v>
                </c:pt>
                <c:pt idx="470">
                  <c:v>1.1444525840025532E-2</c:v>
                </c:pt>
                <c:pt idx="471">
                  <c:v>1.2182334924532912E-2</c:v>
                </c:pt>
                <c:pt idx="472">
                  <c:v>1.2170581100451994E-2</c:v>
                </c:pt>
                <c:pt idx="473">
                  <c:v>1.3979934033480079E-2</c:v>
                </c:pt>
                <c:pt idx="474">
                  <c:v>1.2949838299043392E-2</c:v>
                </c:pt>
                <c:pt idx="475">
                  <c:v>1.1468677462331822E-2</c:v>
                </c:pt>
                <c:pt idx="476">
                  <c:v>1.4314169929253495E-2</c:v>
                </c:pt>
                <c:pt idx="477">
                  <c:v>1.40669344776998E-2</c:v>
                </c:pt>
                <c:pt idx="478">
                  <c:v>1.4859492803289909E-2</c:v>
                </c:pt>
                <c:pt idx="479">
                  <c:v>1.4395971317532563E-2</c:v>
                </c:pt>
                <c:pt idx="480">
                  <c:v>1.538671768242672E-2</c:v>
                </c:pt>
                <c:pt idx="481">
                  <c:v>1.7223703096165721E-2</c:v>
                </c:pt>
                <c:pt idx="482">
                  <c:v>1.9008704920945085E-2</c:v>
                </c:pt>
                <c:pt idx="483">
                  <c:v>1.70653581408029E-2</c:v>
                </c:pt>
                <c:pt idx="484">
                  <c:v>1.7185265881391798E-2</c:v>
                </c:pt>
                <c:pt idx="485">
                  <c:v>1.7421128562484789E-2</c:v>
                </c:pt>
                <c:pt idx="486">
                  <c:v>1.7919734804227927E-2</c:v>
                </c:pt>
                <c:pt idx="487">
                  <c:v>1.8725727166562622E-2</c:v>
                </c:pt>
                <c:pt idx="488">
                  <c:v>1.8500209921854971E-2</c:v>
                </c:pt>
                <c:pt idx="489">
                  <c:v>1.8184768059705814E-2</c:v>
                </c:pt>
                <c:pt idx="490">
                  <c:v>1.9004781586838382E-2</c:v>
                </c:pt>
                <c:pt idx="491">
                  <c:v>1.8710878480466153E-2</c:v>
                </c:pt>
                <c:pt idx="492">
                  <c:v>2.0052216510106913E-2</c:v>
                </c:pt>
                <c:pt idx="493">
                  <c:v>2.0358798629308561E-2</c:v>
                </c:pt>
                <c:pt idx="494">
                  <c:v>1.932464327861827E-2</c:v>
                </c:pt>
                <c:pt idx="495">
                  <c:v>2.0276880603615766E-2</c:v>
                </c:pt>
                <c:pt idx="496">
                  <c:v>1.9425144249434201E-2</c:v>
                </c:pt>
                <c:pt idx="497">
                  <c:v>2.0921957353452481E-2</c:v>
                </c:pt>
                <c:pt idx="498">
                  <c:v>2.1221221221221276E-2</c:v>
                </c:pt>
                <c:pt idx="499">
                  <c:v>2.0420948801002314E-2</c:v>
                </c:pt>
                <c:pt idx="500">
                  <c:v>1.2167067803146026E-2</c:v>
                </c:pt>
                <c:pt idx="501">
                  <c:v>1.7873267116375269E-2</c:v>
                </c:pt>
                <c:pt idx="502">
                  <c:v>1.8146631142217151E-2</c:v>
                </c:pt>
                <c:pt idx="503">
                  <c:v>1.738727405151308E-2</c:v>
                </c:pt>
                <c:pt idx="504">
                  <c:v>1.4182806480552923E-2</c:v>
                </c:pt>
                <c:pt idx="505">
                  <c:v>1.4328987225075585E-2</c:v>
                </c:pt>
                <c:pt idx="506">
                  <c:v>1.4485126761304645E-2</c:v>
                </c:pt>
                <c:pt idx="507">
                  <c:v>1.5696834362275203E-2</c:v>
                </c:pt>
                <c:pt idx="508">
                  <c:v>1.6586121762882877E-2</c:v>
                </c:pt>
                <c:pt idx="509">
                  <c:v>1.5933331586257538E-2</c:v>
                </c:pt>
                <c:pt idx="510">
                  <c:v>1.5382604718028992E-2</c:v>
                </c:pt>
                <c:pt idx="511">
                  <c:v>1.6877196190874244E-2</c:v>
                </c:pt>
                <c:pt idx="512">
                  <c:v>2.4356919519693099E-2</c:v>
                </c:pt>
                <c:pt idx="513">
                  <c:v>1.8055156938972639E-2</c:v>
                </c:pt>
                <c:pt idx="514">
                  <c:v>1.6976956125504428E-2</c:v>
                </c:pt>
                <c:pt idx="515">
                  <c:v>1.7688863435205926E-2</c:v>
                </c:pt>
                <c:pt idx="516">
                  <c:v>1.7809056731407091E-2</c:v>
                </c:pt>
                <c:pt idx="517">
                  <c:v>1.7268690436001988E-2</c:v>
                </c:pt>
                <c:pt idx="518">
                  <c:v>1.7689015691868759E-2</c:v>
                </c:pt>
                <c:pt idx="519">
                  <c:v>1.5984481086324109E-2</c:v>
                </c:pt>
                <c:pt idx="520">
                  <c:v>1.63155107155315E-2</c:v>
                </c:pt>
                <c:pt idx="521">
                  <c:v>1.5270719942218847E-2</c:v>
                </c:pt>
                <c:pt idx="522">
                  <c:v>1.5741646501570505E-2</c:v>
                </c:pt>
                <c:pt idx="523">
                  <c:v>1.4888560601194811E-2</c:v>
                </c:pt>
                <c:pt idx="524">
                  <c:v>1.4646283281178007E-2</c:v>
                </c:pt>
                <c:pt idx="525">
                  <c:v>1.5659037904610651E-2</c:v>
                </c:pt>
                <c:pt idx="526">
                  <c:v>1.6053460327213998E-2</c:v>
                </c:pt>
                <c:pt idx="527">
                  <c:v>1.6371007968076556E-2</c:v>
                </c:pt>
                <c:pt idx="528">
                  <c:v>1.8289877300613711E-2</c:v>
                </c:pt>
                <c:pt idx="529">
                  <c:v>1.8532700260376789E-2</c:v>
                </c:pt>
                <c:pt idx="530">
                  <c:v>1.8604888243239692E-2</c:v>
                </c:pt>
                <c:pt idx="531">
                  <c:v>2.0124489250391342E-2</c:v>
                </c:pt>
                <c:pt idx="532">
                  <c:v>2.0057452271398324E-2</c:v>
                </c:pt>
                <c:pt idx="533">
                  <c:v>2.1100637719454252E-2</c:v>
                </c:pt>
                <c:pt idx="534">
                  <c:v>1.9755433060888228E-2</c:v>
                </c:pt>
                <c:pt idx="535">
                  <c:v>1.899903802339109E-2</c:v>
                </c:pt>
                <c:pt idx="536">
                  <c:v>1.9490861288773198E-2</c:v>
                </c:pt>
                <c:pt idx="537">
                  <c:v>1.9820842795861715E-2</c:v>
                </c:pt>
                <c:pt idx="538">
                  <c:v>2.0625440983771837E-2</c:v>
                </c:pt>
                <c:pt idx="539">
                  <c:v>2.0662665005599656E-2</c:v>
                </c:pt>
                <c:pt idx="540">
                  <c:v>2.1714300058992553E-2</c:v>
                </c:pt>
                <c:pt idx="541">
                  <c:v>2.1754385964912304E-2</c:v>
                </c:pt>
                <c:pt idx="542">
                  <c:v>2.255610878975145E-2</c:v>
                </c:pt>
                <c:pt idx="543">
                  <c:v>2.1075091712210892E-2</c:v>
                </c:pt>
                <c:pt idx="544">
                  <c:v>2.1768927877186872E-2</c:v>
                </c:pt>
                <c:pt idx="545">
                  <c:v>2.0863658418243558E-2</c:v>
                </c:pt>
                <c:pt idx="546">
                  <c:v>2.1149688098019315E-2</c:v>
                </c:pt>
                <c:pt idx="547">
                  <c:v>2.1588721197441041E-2</c:v>
                </c:pt>
                <c:pt idx="548">
                  <c:v>2.1932652251537288E-2</c:v>
                </c:pt>
                <c:pt idx="549">
                  <c:v>2.2652200269698497E-2</c:v>
                </c:pt>
                <c:pt idx="550">
                  <c:v>2.3060304919449548E-2</c:v>
                </c:pt>
                <c:pt idx="551">
                  <c:v>2.2808812832114889E-2</c:v>
                </c:pt>
                <c:pt idx="552">
                  <c:v>2.1424798221152175E-2</c:v>
                </c:pt>
                <c:pt idx="553">
                  <c:v>2.1377060439560447E-2</c:v>
                </c:pt>
                <c:pt idx="554">
                  <c:v>2.1679288449539369E-2</c:v>
                </c:pt>
                <c:pt idx="555">
                  <c:v>2.362185479830381E-2</c:v>
                </c:pt>
                <c:pt idx="556">
                  <c:v>2.4085659581214447E-2</c:v>
                </c:pt>
                <c:pt idx="557">
                  <c:v>2.5957882421760781E-2</c:v>
                </c:pt>
                <c:pt idx="558">
                  <c:v>2.5457554517134051E-2</c:v>
                </c:pt>
                <c:pt idx="559">
                  <c:v>2.6713519691645482E-2</c:v>
                </c:pt>
                <c:pt idx="560">
                  <c:v>2.6060054595086424E-2</c:v>
                </c:pt>
                <c:pt idx="561">
                  <c:v>2.4969151484357965E-2</c:v>
                </c:pt>
                <c:pt idx="562">
                  <c:v>2.2842180203443752E-2</c:v>
                </c:pt>
                <c:pt idx="563">
                  <c:v>2.3156016827589498E-2</c:v>
                </c:pt>
                <c:pt idx="564">
                  <c:v>2.5004510193036289E-2</c:v>
                </c:pt>
                <c:pt idx="565">
                  <c:v>2.5564668163642779E-2</c:v>
                </c:pt>
                <c:pt idx="566">
                  <c:v>2.3769893065417991E-2</c:v>
                </c:pt>
                <c:pt idx="567">
                  <c:v>2.2109736879805109E-2</c:v>
                </c:pt>
                <c:pt idx="568">
                  <c:v>2.0756424607616619E-2</c:v>
                </c:pt>
                <c:pt idx="569">
                  <c:v>1.9872662913073214E-2</c:v>
                </c:pt>
                <c:pt idx="570">
                  <c:v>2.0411069445103625E-2</c:v>
                </c:pt>
                <c:pt idx="571">
                  <c:v>1.9848413074372351E-2</c:v>
                </c:pt>
                <c:pt idx="572">
                  <c:v>2.1023258013787016E-2</c:v>
                </c:pt>
                <c:pt idx="573">
                  <c:v>2.1835091943441132E-2</c:v>
                </c:pt>
                <c:pt idx="574">
                  <c:v>2.3358422008824098E-2</c:v>
                </c:pt>
                <c:pt idx="575">
                  <c:v>2.4033930254476976E-2</c:v>
                </c:pt>
                <c:pt idx="576">
                  <c:v>2.1930442128977656E-2</c:v>
                </c:pt>
                <c:pt idx="577">
                  <c:v>2.072405395279131E-2</c:v>
                </c:pt>
                <c:pt idx="578">
                  <c:v>2.1697429059349238E-2</c:v>
                </c:pt>
                <c:pt idx="579">
                  <c:v>2.0837226686600596E-2</c:v>
                </c:pt>
                <c:pt idx="580">
                  <c:v>2.148931950488242E-2</c:v>
                </c:pt>
                <c:pt idx="581">
                  <c:v>2.2140952025996308E-2</c:v>
                </c:pt>
                <c:pt idx="582">
                  <c:v>2.2444992324510471E-2</c:v>
                </c:pt>
                <c:pt idx="583">
                  <c:v>2.2179385944539831E-2</c:v>
                </c:pt>
                <c:pt idx="584">
                  <c:v>2.0439832775532407E-2</c:v>
                </c:pt>
                <c:pt idx="585">
                  <c:v>1.6344021437811884E-2</c:v>
                </c:pt>
                <c:pt idx="586">
                  <c:v>1.3902658335831042E-2</c:v>
                </c:pt>
                <c:pt idx="587">
                  <c:v>1.1378278877128389E-2</c:v>
                </c:pt>
                <c:pt idx="588">
                  <c:v>9.0592814577521441E-3</c:v>
                </c:pt>
                <c:pt idx="589">
                  <c:v>8.8783867489503621E-3</c:v>
                </c:pt>
                <c:pt idx="590">
                  <c:v>7.6245864291519805E-3</c:v>
                </c:pt>
                <c:pt idx="591">
                  <c:v>9.2791762013728629E-3</c:v>
                </c:pt>
                <c:pt idx="592">
                  <c:v>8.2230267590994721E-3</c:v>
                </c:pt>
                <c:pt idx="593">
                  <c:v>7.2014585232451633E-3</c:v>
                </c:pt>
                <c:pt idx="594">
                  <c:v>6.2558292954797423E-3</c:v>
                </c:pt>
                <c:pt idx="595">
                  <c:v>6.5094403926113653E-3</c:v>
                </c:pt>
                <c:pt idx="596">
                  <c:v>7.2518044396023829E-3</c:v>
                </c:pt>
                <c:pt idx="597">
                  <c:v>1.2398995351797337E-2</c:v>
                </c:pt>
                <c:pt idx="598">
                  <c:v>1.3734764416954759E-2</c:v>
                </c:pt>
                <c:pt idx="599">
                  <c:v>1.5095155217327072E-2</c:v>
                </c:pt>
                <c:pt idx="600">
                  <c:v>1.690903711795344E-2</c:v>
                </c:pt>
                <c:pt idx="601">
                  <c:v>1.6986538111697369E-2</c:v>
                </c:pt>
                <c:pt idx="602">
                  <c:v>1.7769698346872698E-2</c:v>
                </c:pt>
                <c:pt idx="603">
                  <c:v>1.6029746856967897E-2</c:v>
                </c:pt>
                <c:pt idx="604">
                  <c:v>1.6368558773887321E-2</c:v>
                </c:pt>
                <c:pt idx="605">
                  <c:v>1.555570639876902E-2</c:v>
                </c:pt>
                <c:pt idx="606">
                  <c:v>1.4705882352941124E-2</c:v>
                </c:pt>
                <c:pt idx="607">
                  <c:v>1.4176232237384179E-2</c:v>
                </c:pt>
                <c:pt idx="608">
                  <c:v>1.2968283476987308E-2</c:v>
                </c:pt>
                <c:pt idx="609">
                  <c:v>1.0787813475225283E-2</c:v>
                </c:pt>
                <c:pt idx="610">
                  <c:v>1.1215791834903621E-2</c:v>
                </c:pt>
                <c:pt idx="611">
                  <c:v>1.0567483975077341E-2</c:v>
                </c:pt>
                <c:pt idx="612">
                  <c:v>1.1234446334258408E-2</c:v>
                </c:pt>
                <c:pt idx="613">
                  <c:v>1.2119043892404369E-2</c:v>
                </c:pt>
                <c:pt idx="614">
                  <c:v>1.2145703792183493E-2</c:v>
                </c:pt>
                <c:pt idx="615">
                  <c:v>1.3947001394700065E-2</c:v>
                </c:pt>
                <c:pt idx="616">
                  <c:v>1.5235611430609364E-2</c:v>
                </c:pt>
                <c:pt idx="617">
                  <c:v>1.5863290518787654E-2</c:v>
                </c:pt>
                <c:pt idx="618">
                  <c:v>1.7344517595160758E-2</c:v>
                </c:pt>
                <c:pt idx="619">
                  <c:v>1.8396305158310478E-2</c:v>
                </c:pt>
                <c:pt idx="620">
                  <c:v>1.8508219696126815E-2</c:v>
                </c:pt>
                <c:pt idx="621">
                  <c:v>1.744721966171725E-2</c:v>
                </c:pt>
                <c:pt idx="622">
                  <c:v>1.8278615794143915E-2</c:v>
                </c:pt>
                <c:pt idx="623">
                  <c:v>1.9749609110768507E-2</c:v>
                </c:pt>
                <c:pt idx="624">
                  <c:v>2.0614792192271914E-2</c:v>
                </c:pt>
                <c:pt idx="625">
                  <c:v>2.0258477852645562E-2</c:v>
                </c:pt>
                <c:pt idx="626">
                  <c:v>2.0448454233624069E-2</c:v>
                </c:pt>
                <c:pt idx="627">
                  <c:v>1.9653370013755112E-2</c:v>
                </c:pt>
                <c:pt idx="628">
                  <c:v>1.826744683887549E-2</c:v>
                </c:pt>
                <c:pt idx="629">
                  <c:v>1.8192584794552102E-2</c:v>
                </c:pt>
                <c:pt idx="630">
                  <c:v>1.7738650548584145E-2</c:v>
                </c:pt>
                <c:pt idx="631">
                  <c:v>1.6359225422913903E-2</c:v>
                </c:pt>
                <c:pt idx="632">
                  <c:v>1.6916020530741482E-2</c:v>
                </c:pt>
                <c:pt idx="633">
                  <c:v>1.8894492108193051E-2</c:v>
                </c:pt>
                <c:pt idx="634">
                  <c:v>1.7830690135935745E-2</c:v>
                </c:pt>
                <c:pt idx="635">
                  <c:v>1.6898651587646807E-2</c:v>
                </c:pt>
                <c:pt idx="636">
                  <c:v>1.5915867078657886E-2</c:v>
                </c:pt>
                <c:pt idx="637">
                  <c:v>1.5601316530249987E-2</c:v>
                </c:pt>
                <c:pt idx="638">
                  <c:v>1.4807449119659477E-2</c:v>
                </c:pt>
                <c:pt idx="639">
                  <c:v>1.3770626261318197E-2</c:v>
                </c:pt>
                <c:pt idx="640">
                  <c:v>1.3929168238908884E-2</c:v>
                </c:pt>
                <c:pt idx="641">
                  <c:v>1.4636510500807942E-2</c:v>
                </c:pt>
                <c:pt idx="642">
                  <c:v>1.4879607514040272E-2</c:v>
                </c:pt>
                <c:pt idx="643">
                  <c:v>1.5332509004892136E-2</c:v>
                </c:pt>
                <c:pt idx="644">
                  <c:v>1.5292260440941341E-2</c:v>
                </c:pt>
                <c:pt idx="645">
                  <c:v>1.4548181477315403E-2</c:v>
                </c:pt>
                <c:pt idx="646">
                  <c:v>1.5142597249719225E-2</c:v>
                </c:pt>
                <c:pt idx="647">
                  <c:v>1.5473618923369736E-2</c:v>
                </c:pt>
                <c:pt idx="648">
                  <c:v>1.4524615006989983E-2</c:v>
                </c:pt>
                <c:pt idx="649">
                  <c:v>1.3901177975587542E-2</c:v>
                </c:pt>
                <c:pt idx="650">
                  <c:v>1.4474230756941431E-2</c:v>
                </c:pt>
                <c:pt idx="651">
                  <c:v>1.5712658483877373E-2</c:v>
                </c:pt>
                <c:pt idx="652">
                  <c:v>1.6236562569778901E-2</c:v>
                </c:pt>
                <c:pt idx="653">
                  <c:v>1.5635448842467259E-2</c:v>
                </c:pt>
                <c:pt idx="654">
                  <c:v>1.6103213221808854E-2</c:v>
                </c:pt>
                <c:pt idx="655">
                  <c:v>1.5397485995065185E-2</c:v>
                </c:pt>
                <c:pt idx="656">
                  <c:v>1.5548480585553692E-2</c:v>
                </c:pt>
                <c:pt idx="657">
                  <c:v>1.4709143321753215E-2</c:v>
                </c:pt>
                <c:pt idx="658">
                  <c:v>1.392578536791067E-2</c:v>
                </c:pt>
                <c:pt idx="659">
                  <c:v>1.3563462895293865E-2</c:v>
                </c:pt>
                <c:pt idx="660">
                  <c:v>1.2097113523521053E-2</c:v>
                </c:pt>
                <c:pt idx="661">
                  <c:v>1.2774816263445121E-2</c:v>
                </c:pt>
                <c:pt idx="662">
                  <c:v>1.2808398950131306E-2</c:v>
                </c:pt>
                <c:pt idx="663">
                  <c:v>1.2943728841981805E-2</c:v>
                </c:pt>
                <c:pt idx="664">
                  <c:v>1.2472011216439594E-2</c:v>
                </c:pt>
                <c:pt idx="665">
                  <c:v>1.2541543864049709E-2</c:v>
                </c:pt>
                <c:pt idx="666">
                  <c:v>1.1789500041732737E-2</c:v>
                </c:pt>
                <c:pt idx="667">
                  <c:v>1.2212546279397163E-2</c:v>
                </c:pt>
                <c:pt idx="668">
                  <c:v>1.2321248164310905E-2</c:v>
                </c:pt>
                <c:pt idx="669">
                  <c:v>1.1779886779886617E-2</c:v>
                </c:pt>
                <c:pt idx="670">
                  <c:v>1.1967020513407034E-2</c:v>
                </c:pt>
                <c:pt idx="671">
                  <c:v>1.1917006929942131E-2</c:v>
                </c:pt>
                <c:pt idx="672">
                  <c:v>1.4062402560957699E-2</c:v>
                </c:pt>
                <c:pt idx="673">
                  <c:v>1.4658859681907055E-2</c:v>
                </c:pt>
                <c:pt idx="674">
                  <c:v>1.4574479112677619E-2</c:v>
                </c:pt>
                <c:pt idx="675">
                  <c:v>1.5199486797450534E-2</c:v>
                </c:pt>
                <c:pt idx="676">
                  <c:v>1.5687328193787042E-2</c:v>
                </c:pt>
                <c:pt idx="677">
                  <c:v>1.5524039553270974E-2</c:v>
                </c:pt>
                <c:pt idx="678">
                  <c:v>1.5993318072140106E-2</c:v>
                </c:pt>
                <c:pt idx="679">
                  <c:v>1.6969584569733076E-2</c:v>
                </c:pt>
                <c:pt idx="680">
                  <c:v>1.6852545372237682E-2</c:v>
                </c:pt>
                <c:pt idx="681">
                  <c:v>1.7824083597317797E-2</c:v>
                </c:pt>
                <c:pt idx="682">
                  <c:v>1.7188591624542893E-2</c:v>
                </c:pt>
                <c:pt idx="683">
                  <c:v>1.770093227647962E-2</c:v>
                </c:pt>
                <c:pt idx="684">
                  <c:v>1.863334939067518E-2</c:v>
                </c:pt>
                <c:pt idx="685">
                  <c:v>1.8672751084554351E-2</c:v>
                </c:pt>
                <c:pt idx="686">
                  <c:v>1.6786546242183897E-2</c:v>
                </c:pt>
                <c:pt idx="687">
                  <c:v>1.6368213459441172E-2</c:v>
                </c:pt>
                <c:pt idx="688">
                  <c:v>1.545521142810613E-2</c:v>
                </c:pt>
                <c:pt idx="689">
                  <c:v>1.5764438029800987E-2</c:v>
                </c:pt>
                <c:pt idx="690">
                  <c:v>1.5031107592688553E-2</c:v>
                </c:pt>
                <c:pt idx="691">
                  <c:v>1.4335937104241969E-2</c:v>
                </c:pt>
                <c:pt idx="692">
                  <c:v>1.4225873687192525E-2</c:v>
                </c:pt>
                <c:pt idx="693">
                  <c:v>1.5410111053849596E-2</c:v>
                </c:pt>
                <c:pt idx="694">
                  <c:v>1.5453764961365524E-2</c:v>
                </c:pt>
                <c:pt idx="695">
                  <c:v>1.5768765133171936E-2</c:v>
                </c:pt>
                <c:pt idx="696">
                  <c:v>1.6320370277204788E-2</c:v>
                </c:pt>
                <c:pt idx="697">
                  <c:v>1.6442181175359671E-2</c:v>
                </c:pt>
                <c:pt idx="698">
                  <c:v>1.9091831710527529E-2</c:v>
                </c:pt>
                <c:pt idx="699">
                  <c:v>1.8842192874261698E-2</c:v>
                </c:pt>
                <c:pt idx="700">
                  <c:v>1.9809023776840462E-2</c:v>
                </c:pt>
                <c:pt idx="701">
                  <c:v>1.9362198184856405E-2</c:v>
                </c:pt>
                <c:pt idx="702">
                  <c:v>1.9958004199579937E-2</c:v>
                </c:pt>
                <c:pt idx="703">
                  <c:v>1.8957629996604108E-2</c:v>
                </c:pt>
                <c:pt idx="704">
                  <c:v>1.9602952913008842E-2</c:v>
                </c:pt>
                <c:pt idx="705">
                  <c:v>1.8709073900841755E-2</c:v>
                </c:pt>
                <c:pt idx="706">
                  <c:v>2.0102451882429095E-2</c:v>
                </c:pt>
                <c:pt idx="707">
                  <c:v>2.0380799141860972E-2</c:v>
                </c:pt>
                <c:pt idx="708">
                  <c:v>1.8523468670488041E-2</c:v>
                </c:pt>
                <c:pt idx="709">
                  <c:v>1.7401529674499594E-2</c:v>
                </c:pt>
                <c:pt idx="710">
                  <c:v>1.6071939182993322E-2</c:v>
                </c:pt>
                <c:pt idx="711">
                  <c:v>1.6456368969114843E-2</c:v>
                </c:pt>
                <c:pt idx="712">
                  <c:v>1.5730005895067789E-2</c:v>
                </c:pt>
                <c:pt idx="713">
                  <c:v>1.6825035338464023E-2</c:v>
                </c:pt>
                <c:pt idx="714">
                  <c:v>1.6665686332176577E-2</c:v>
                </c:pt>
                <c:pt idx="715">
                  <c:v>1.7595279171894518E-2</c:v>
                </c:pt>
                <c:pt idx="716">
                  <c:v>1.647668900738708E-2</c:v>
                </c:pt>
                <c:pt idx="717">
                  <c:v>1.6431236934138393E-2</c:v>
                </c:pt>
                <c:pt idx="718">
                  <c:v>1.4723663169390333E-2</c:v>
                </c:pt>
                <c:pt idx="719">
                  <c:v>1.5028957998734604E-2</c:v>
                </c:pt>
                <c:pt idx="720">
                  <c:v>1.552324112055059E-2</c:v>
                </c:pt>
                <c:pt idx="721">
                  <c:v>1.6559989898891736E-2</c:v>
                </c:pt>
                <c:pt idx="722">
                  <c:v>1.4915234500092023E-2</c:v>
                </c:pt>
                <c:pt idx="723">
                  <c:v>9.3247090264731991E-3</c:v>
                </c:pt>
                <c:pt idx="724">
                  <c:v>9.5085170389144213E-3</c:v>
                </c:pt>
                <c:pt idx="725">
                  <c:v>9.0842391829011326E-3</c:v>
                </c:pt>
                <c:pt idx="726">
                  <c:v>1.1638670858002298E-2</c:v>
                </c:pt>
                <c:pt idx="727">
                  <c:v>1.3659438787797074E-2</c:v>
                </c:pt>
                <c:pt idx="728">
                  <c:v>1.4448112889718923E-2</c:v>
                </c:pt>
                <c:pt idx="729">
                  <c:v>1.3666769183453775E-2</c:v>
                </c:pt>
                <c:pt idx="730">
                  <c:v>1.4279399611784926E-2</c:v>
                </c:pt>
                <c:pt idx="731">
                  <c:v>1.5535246789861956E-2</c:v>
                </c:pt>
                <c:pt idx="732">
                  <c:v>1.7152428810720322E-2</c:v>
                </c:pt>
                <c:pt idx="733">
                  <c:v>1.7532293816402866E-2</c:v>
                </c:pt>
                <c:pt idx="734">
                  <c:v>2.2555600175931723E-2</c:v>
                </c:pt>
                <c:pt idx="735">
                  <c:v>3.2205454876867101E-2</c:v>
                </c:pt>
                <c:pt idx="736">
                  <c:v>3.6439768502548819E-2</c:v>
                </c:pt>
                <c:pt idx="737">
                  <c:v>3.9492188621121915E-2</c:v>
                </c:pt>
                <c:pt idx="738">
                  <c:v>4.0099892291708406E-2</c:v>
                </c:pt>
                <c:pt idx="739">
                  <c:v>4.0188541181613413E-2</c:v>
                </c:pt>
                <c:pt idx="740">
                  <c:v>4.0743903596166531E-2</c:v>
                </c:pt>
                <c:pt idx="741">
                  <c:v>4.5008059163743175E-2</c:v>
                </c:pt>
                <c:pt idx="742">
                  <c:v>4.9511141427921679E-2</c:v>
                </c:pt>
                <c:pt idx="743">
                  <c:v>5.238009801792276E-2</c:v>
                </c:pt>
                <c:pt idx="744">
                  <c:v>5.3694938221649169E-2</c:v>
                </c:pt>
                <c:pt idx="745">
                  <c:v>5.5747002319270766E-2</c:v>
                </c:pt>
                <c:pt idx="746">
                  <c:v>5.5495815606152687E-2</c:v>
                </c:pt>
                <c:pt idx="747">
                  <c:v>5.2549398665353131E-2</c:v>
                </c:pt>
                <c:pt idx="748">
                  <c:v>5.0745606330951265E-2</c:v>
                </c:pt>
                <c:pt idx="749">
                  <c:v>5.1925820256776056E-2</c:v>
                </c:pt>
                <c:pt idx="750">
                  <c:v>4.9615102639296138E-2</c:v>
                </c:pt>
                <c:pt idx="751">
                  <c:v>5.207476840431946E-2</c:v>
                </c:pt>
                <c:pt idx="752">
                  <c:v>5.4720834396995155E-2</c:v>
                </c:pt>
                <c:pt idx="753">
                  <c:v>5.3258571726684689E-2</c:v>
                </c:pt>
                <c:pt idx="754">
                  <c:v>5.0903609019841367E-2</c:v>
                </c:pt>
                <c:pt idx="755">
                  <c:v>4.8651364786533424E-2</c:v>
                </c:pt>
                <c:pt idx="756">
                  <c:v>4.901181534834298E-2</c:v>
                </c:pt>
                <c:pt idx="757">
                  <c:v>4.8445337792166088E-2</c:v>
                </c:pt>
                <c:pt idx="758">
                  <c:v>4.7829553508150324E-2</c:v>
                </c:pt>
                <c:pt idx="759">
                  <c:v>4.7629980220401213E-2</c:v>
                </c:pt>
                <c:pt idx="760">
                  <c:v>4.6878299429858439E-2</c:v>
                </c:pt>
                <c:pt idx="761">
                  <c:v>4.2800773423624427E-2</c:v>
                </c:pt>
                <c:pt idx="762">
                  <c:v>4.1891490736375214E-2</c:v>
                </c:pt>
                <c:pt idx="763">
                  <c:v>3.726184893798079E-2</c:v>
                </c:pt>
                <c:pt idx="764">
                  <c:v>3.5924831008073532E-2</c:v>
                </c:pt>
                <c:pt idx="765">
                  <c:v>3.3879762591849216E-2</c:v>
                </c:pt>
                <c:pt idx="766">
                  <c:v>3.1550374945239934E-2</c:v>
                </c:pt>
                <c:pt idx="767">
                  <c:v>#N/A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1B-9B7E-4E76-B1CC-C6AC5B6EF6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311200671"/>
        <c:axId val="1311201151"/>
      </c:scatterChart>
      <c:valAx>
        <c:axId val="1311200671"/>
        <c:scaling>
          <c:orientation val="minMax"/>
          <c:max val="45"/>
          <c:min val="5"/>
        </c:scaling>
        <c:delete val="0"/>
        <c:axPos val="b"/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804020202020204" pitchFamily="34" charset="0"/>
                    <a:ea typeface="+mn-ea"/>
                    <a:cs typeface="+mn-cs"/>
                  </a:defRPr>
                </a:pPr>
                <a:r>
                  <a:rPr lang="pt-BR"/>
                  <a:t>S&amp;P</a:t>
                </a:r>
                <a:r>
                  <a:rPr lang="pt-BR" baseline="0"/>
                  <a:t> CAPE Ratio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 Nova" panose="020B08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8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11201151"/>
        <c:crosses val="autoZero"/>
        <c:crossBetween val="midCat"/>
      </c:valAx>
      <c:valAx>
        <c:axId val="1311201151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1" i="0" u="none" strike="noStrike" kern="1200" baseline="0">
                    <a:solidFill>
                      <a:sysClr val="windowText" lastClr="000000"/>
                    </a:solidFill>
                    <a:latin typeface="Arial Nova" panose="020B0804020202020204" pitchFamily="34" charset="0"/>
                    <a:ea typeface="+mn-ea"/>
                    <a:cs typeface="+mn-cs"/>
                  </a:defRPr>
                </a:pPr>
                <a:r>
                  <a:rPr lang="pt-BR"/>
                  <a:t>Core-PCE</a:t>
                </a:r>
                <a:r>
                  <a:rPr lang="pt-BR" baseline="0"/>
                  <a:t> 12M</a:t>
                </a:r>
                <a:endParaRPr lang="pt-BR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1" i="0" u="none" strike="noStrike" kern="1200" baseline="0">
                  <a:solidFill>
                    <a:sysClr val="windowText" lastClr="000000"/>
                  </a:solidFill>
                  <a:latin typeface="Arial Nova" panose="020B0804020202020204" pitchFamily="34" charset="0"/>
                  <a:ea typeface="+mn-ea"/>
                  <a:cs typeface="+mn-cs"/>
                </a:defRPr>
              </a:pPr>
              <a:endParaRPr lang="pt-BR"/>
            </a:p>
          </c:txPr>
        </c:title>
        <c:numFmt formatCode="0.0%" sourceLinked="0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ysClr val="windowText" lastClr="000000"/>
                </a:solidFill>
                <a:latin typeface="Arial Nova" panose="020B0804020202020204" pitchFamily="34" charset="0"/>
                <a:ea typeface="+mn-ea"/>
                <a:cs typeface="+mn-cs"/>
              </a:defRPr>
            </a:pPr>
            <a:endParaRPr lang="pt-BR"/>
          </a:p>
        </c:txPr>
        <c:crossAx val="1311200671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1100" b="1">
          <a:solidFill>
            <a:sysClr val="windowText" lastClr="000000"/>
          </a:solidFill>
          <a:latin typeface="Arial Nova" panose="020B08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'Monetary Policy + Market'!$F$3</c:f>
              <c:strCache>
                <c:ptCount val="1"/>
                <c:pt idx="0">
                  <c:v>UST10Y - UST02Y</c:v>
                </c:pt>
              </c:strCache>
            </c:strRef>
          </c:tx>
          <c:spPr>
            <a:ln w="28575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'Monetary Policy + Market'!$A$364:$A$843</c:f>
              <c:numCache>
                <c:formatCode>[$-416]mmm\-yy;@</c:formatCode>
                <c:ptCount val="480"/>
                <c:pt idx="0">
                  <c:v>31048</c:v>
                </c:pt>
                <c:pt idx="1">
                  <c:v>31079</c:v>
                </c:pt>
                <c:pt idx="2">
                  <c:v>31107</c:v>
                </c:pt>
                <c:pt idx="3">
                  <c:v>31138</c:v>
                </c:pt>
                <c:pt idx="4">
                  <c:v>31168</c:v>
                </c:pt>
                <c:pt idx="5">
                  <c:v>31199</c:v>
                </c:pt>
                <c:pt idx="6">
                  <c:v>31229</c:v>
                </c:pt>
                <c:pt idx="7">
                  <c:v>31260</c:v>
                </c:pt>
                <c:pt idx="8">
                  <c:v>31291</c:v>
                </c:pt>
                <c:pt idx="9">
                  <c:v>31321</c:v>
                </c:pt>
                <c:pt idx="10">
                  <c:v>31352</c:v>
                </c:pt>
                <c:pt idx="11">
                  <c:v>31382</c:v>
                </c:pt>
                <c:pt idx="12">
                  <c:v>31413</c:v>
                </c:pt>
                <c:pt idx="13">
                  <c:v>31444</c:v>
                </c:pt>
                <c:pt idx="14">
                  <c:v>31472</c:v>
                </c:pt>
                <c:pt idx="15">
                  <c:v>31503</c:v>
                </c:pt>
                <c:pt idx="16">
                  <c:v>31533</c:v>
                </c:pt>
                <c:pt idx="17">
                  <c:v>31564</c:v>
                </c:pt>
                <c:pt idx="18">
                  <c:v>31594</c:v>
                </c:pt>
                <c:pt idx="19">
                  <c:v>31625</c:v>
                </c:pt>
                <c:pt idx="20">
                  <c:v>31656</c:v>
                </c:pt>
                <c:pt idx="21">
                  <c:v>31686</c:v>
                </c:pt>
                <c:pt idx="22">
                  <c:v>31717</c:v>
                </c:pt>
                <c:pt idx="23">
                  <c:v>31747</c:v>
                </c:pt>
                <c:pt idx="24">
                  <c:v>31778</c:v>
                </c:pt>
                <c:pt idx="25">
                  <c:v>31809</c:v>
                </c:pt>
                <c:pt idx="26">
                  <c:v>31837</c:v>
                </c:pt>
                <c:pt idx="27">
                  <c:v>31868</c:v>
                </c:pt>
                <c:pt idx="28">
                  <c:v>31898</c:v>
                </c:pt>
                <c:pt idx="29">
                  <c:v>31929</c:v>
                </c:pt>
                <c:pt idx="30">
                  <c:v>31959</c:v>
                </c:pt>
                <c:pt idx="31">
                  <c:v>31990</c:v>
                </c:pt>
                <c:pt idx="32">
                  <c:v>32021</c:v>
                </c:pt>
                <c:pt idx="33">
                  <c:v>32051</c:v>
                </c:pt>
                <c:pt idx="34">
                  <c:v>32082</c:v>
                </c:pt>
                <c:pt idx="35">
                  <c:v>32112</c:v>
                </c:pt>
                <c:pt idx="36">
                  <c:v>32143</c:v>
                </c:pt>
                <c:pt idx="37">
                  <c:v>32174</c:v>
                </c:pt>
                <c:pt idx="38">
                  <c:v>32203</c:v>
                </c:pt>
                <c:pt idx="39">
                  <c:v>32234</c:v>
                </c:pt>
                <c:pt idx="40">
                  <c:v>32264</c:v>
                </c:pt>
                <c:pt idx="41">
                  <c:v>32295</c:v>
                </c:pt>
                <c:pt idx="42">
                  <c:v>32325</c:v>
                </c:pt>
                <c:pt idx="43">
                  <c:v>32356</c:v>
                </c:pt>
                <c:pt idx="44">
                  <c:v>32387</c:v>
                </c:pt>
                <c:pt idx="45">
                  <c:v>32417</c:v>
                </c:pt>
                <c:pt idx="46">
                  <c:v>32448</c:v>
                </c:pt>
                <c:pt idx="47">
                  <c:v>32478</c:v>
                </c:pt>
                <c:pt idx="48">
                  <c:v>32509</c:v>
                </c:pt>
                <c:pt idx="49">
                  <c:v>32540</c:v>
                </c:pt>
                <c:pt idx="50">
                  <c:v>32568</c:v>
                </c:pt>
                <c:pt idx="51">
                  <c:v>32599</c:v>
                </c:pt>
                <c:pt idx="52">
                  <c:v>32629</c:v>
                </c:pt>
                <c:pt idx="53">
                  <c:v>32660</c:v>
                </c:pt>
                <c:pt idx="54">
                  <c:v>32690</c:v>
                </c:pt>
                <c:pt idx="55">
                  <c:v>32721</c:v>
                </c:pt>
                <c:pt idx="56">
                  <c:v>32752</c:v>
                </c:pt>
                <c:pt idx="57">
                  <c:v>32782</c:v>
                </c:pt>
                <c:pt idx="58">
                  <c:v>32813</c:v>
                </c:pt>
                <c:pt idx="59">
                  <c:v>32843</c:v>
                </c:pt>
                <c:pt idx="60">
                  <c:v>32874</c:v>
                </c:pt>
                <c:pt idx="61">
                  <c:v>32905</c:v>
                </c:pt>
                <c:pt idx="62">
                  <c:v>32933</c:v>
                </c:pt>
                <c:pt idx="63">
                  <c:v>32964</c:v>
                </c:pt>
                <c:pt idx="64">
                  <c:v>32994</c:v>
                </c:pt>
                <c:pt idx="65">
                  <c:v>33025</c:v>
                </c:pt>
                <c:pt idx="66">
                  <c:v>33055</c:v>
                </c:pt>
                <c:pt idx="67">
                  <c:v>33086</c:v>
                </c:pt>
                <c:pt idx="68">
                  <c:v>33117</c:v>
                </c:pt>
                <c:pt idx="69">
                  <c:v>33147</c:v>
                </c:pt>
                <c:pt idx="70">
                  <c:v>33178</c:v>
                </c:pt>
                <c:pt idx="71">
                  <c:v>33208</c:v>
                </c:pt>
                <c:pt idx="72">
                  <c:v>33239</c:v>
                </c:pt>
                <c:pt idx="73">
                  <c:v>33270</c:v>
                </c:pt>
                <c:pt idx="74">
                  <c:v>33298</c:v>
                </c:pt>
                <c:pt idx="75">
                  <c:v>33329</c:v>
                </c:pt>
                <c:pt idx="76">
                  <c:v>33359</c:v>
                </c:pt>
                <c:pt idx="77">
                  <c:v>33390</c:v>
                </c:pt>
                <c:pt idx="78">
                  <c:v>33420</c:v>
                </c:pt>
                <c:pt idx="79">
                  <c:v>33451</c:v>
                </c:pt>
                <c:pt idx="80">
                  <c:v>33482</c:v>
                </c:pt>
                <c:pt idx="81">
                  <c:v>33512</c:v>
                </c:pt>
                <c:pt idx="82">
                  <c:v>33543</c:v>
                </c:pt>
                <c:pt idx="83">
                  <c:v>33573</c:v>
                </c:pt>
                <c:pt idx="84">
                  <c:v>33604</c:v>
                </c:pt>
                <c:pt idx="85">
                  <c:v>33635</c:v>
                </c:pt>
                <c:pt idx="86">
                  <c:v>33664</c:v>
                </c:pt>
                <c:pt idx="87">
                  <c:v>33695</c:v>
                </c:pt>
                <c:pt idx="88">
                  <c:v>33725</c:v>
                </c:pt>
                <c:pt idx="89">
                  <c:v>33756</c:v>
                </c:pt>
                <c:pt idx="90">
                  <c:v>33786</c:v>
                </c:pt>
                <c:pt idx="91">
                  <c:v>33817</c:v>
                </c:pt>
                <c:pt idx="92">
                  <c:v>33848</c:v>
                </c:pt>
                <c:pt idx="93">
                  <c:v>33878</c:v>
                </c:pt>
                <c:pt idx="94">
                  <c:v>33909</c:v>
                </c:pt>
                <c:pt idx="95">
                  <c:v>33939</c:v>
                </c:pt>
                <c:pt idx="96">
                  <c:v>33970</c:v>
                </c:pt>
                <c:pt idx="97">
                  <c:v>34001</c:v>
                </c:pt>
                <c:pt idx="98">
                  <c:v>34029</c:v>
                </c:pt>
                <c:pt idx="99">
                  <c:v>34060</c:v>
                </c:pt>
                <c:pt idx="100">
                  <c:v>34090</c:v>
                </c:pt>
                <c:pt idx="101">
                  <c:v>34121</c:v>
                </c:pt>
                <c:pt idx="102">
                  <c:v>34151</c:v>
                </c:pt>
                <c:pt idx="103">
                  <c:v>34182</c:v>
                </c:pt>
                <c:pt idx="104">
                  <c:v>34213</c:v>
                </c:pt>
                <c:pt idx="105">
                  <c:v>34243</c:v>
                </c:pt>
                <c:pt idx="106">
                  <c:v>34274</c:v>
                </c:pt>
                <c:pt idx="107">
                  <c:v>34304</c:v>
                </c:pt>
                <c:pt idx="108">
                  <c:v>34335</c:v>
                </c:pt>
                <c:pt idx="109">
                  <c:v>34366</c:v>
                </c:pt>
                <c:pt idx="110">
                  <c:v>34394</c:v>
                </c:pt>
                <c:pt idx="111">
                  <c:v>34425</c:v>
                </c:pt>
                <c:pt idx="112">
                  <c:v>34455</c:v>
                </c:pt>
                <c:pt idx="113">
                  <c:v>34486</c:v>
                </c:pt>
                <c:pt idx="114">
                  <c:v>34516</c:v>
                </c:pt>
                <c:pt idx="115">
                  <c:v>34547</c:v>
                </c:pt>
                <c:pt idx="116">
                  <c:v>34578</c:v>
                </c:pt>
                <c:pt idx="117">
                  <c:v>34608</c:v>
                </c:pt>
                <c:pt idx="118">
                  <c:v>34639</c:v>
                </c:pt>
                <c:pt idx="119">
                  <c:v>34669</c:v>
                </c:pt>
                <c:pt idx="120">
                  <c:v>34700</c:v>
                </c:pt>
                <c:pt idx="121">
                  <c:v>34731</c:v>
                </c:pt>
                <c:pt idx="122">
                  <c:v>34759</c:v>
                </c:pt>
                <c:pt idx="123">
                  <c:v>34790</c:v>
                </c:pt>
                <c:pt idx="124">
                  <c:v>34820</c:v>
                </c:pt>
                <c:pt idx="125">
                  <c:v>34851</c:v>
                </c:pt>
                <c:pt idx="126">
                  <c:v>34881</c:v>
                </c:pt>
                <c:pt idx="127">
                  <c:v>34912</c:v>
                </c:pt>
                <c:pt idx="128">
                  <c:v>34943</c:v>
                </c:pt>
                <c:pt idx="129">
                  <c:v>34973</c:v>
                </c:pt>
                <c:pt idx="130">
                  <c:v>35004</c:v>
                </c:pt>
                <c:pt idx="131">
                  <c:v>35034</c:v>
                </c:pt>
                <c:pt idx="132">
                  <c:v>35065</c:v>
                </c:pt>
                <c:pt idx="133">
                  <c:v>35096</c:v>
                </c:pt>
                <c:pt idx="134">
                  <c:v>35125</c:v>
                </c:pt>
                <c:pt idx="135">
                  <c:v>35156</c:v>
                </c:pt>
                <c:pt idx="136">
                  <c:v>35186</c:v>
                </c:pt>
                <c:pt idx="137">
                  <c:v>35217</c:v>
                </c:pt>
                <c:pt idx="138">
                  <c:v>35247</c:v>
                </c:pt>
                <c:pt idx="139">
                  <c:v>35278</c:v>
                </c:pt>
                <c:pt idx="140">
                  <c:v>35309</c:v>
                </c:pt>
                <c:pt idx="141">
                  <c:v>35339</c:v>
                </c:pt>
                <c:pt idx="142">
                  <c:v>35370</c:v>
                </c:pt>
                <c:pt idx="143">
                  <c:v>35400</c:v>
                </c:pt>
                <c:pt idx="144">
                  <c:v>35431</c:v>
                </c:pt>
                <c:pt idx="145">
                  <c:v>35462</c:v>
                </c:pt>
                <c:pt idx="146">
                  <c:v>35490</c:v>
                </c:pt>
                <c:pt idx="147">
                  <c:v>35521</c:v>
                </c:pt>
                <c:pt idx="148">
                  <c:v>35551</c:v>
                </c:pt>
                <c:pt idx="149">
                  <c:v>35582</c:v>
                </c:pt>
                <c:pt idx="150">
                  <c:v>35612</c:v>
                </c:pt>
                <c:pt idx="151">
                  <c:v>35643</c:v>
                </c:pt>
                <c:pt idx="152">
                  <c:v>35674</c:v>
                </c:pt>
                <c:pt idx="153">
                  <c:v>35704</c:v>
                </c:pt>
                <c:pt idx="154">
                  <c:v>35735</c:v>
                </c:pt>
                <c:pt idx="155">
                  <c:v>35765</c:v>
                </c:pt>
                <c:pt idx="156">
                  <c:v>35796</c:v>
                </c:pt>
                <c:pt idx="157">
                  <c:v>35827</c:v>
                </c:pt>
                <c:pt idx="158">
                  <c:v>35855</c:v>
                </c:pt>
                <c:pt idx="159">
                  <c:v>35886</c:v>
                </c:pt>
                <c:pt idx="160">
                  <c:v>35916</c:v>
                </c:pt>
                <c:pt idx="161">
                  <c:v>35947</c:v>
                </c:pt>
                <c:pt idx="162">
                  <c:v>35977</c:v>
                </c:pt>
                <c:pt idx="163">
                  <c:v>36008</c:v>
                </c:pt>
                <c:pt idx="164">
                  <c:v>36039</c:v>
                </c:pt>
                <c:pt idx="165">
                  <c:v>36069</c:v>
                </c:pt>
                <c:pt idx="166">
                  <c:v>36100</c:v>
                </c:pt>
                <c:pt idx="167">
                  <c:v>36130</c:v>
                </c:pt>
                <c:pt idx="168">
                  <c:v>36161</c:v>
                </c:pt>
                <c:pt idx="169">
                  <c:v>36192</c:v>
                </c:pt>
                <c:pt idx="170">
                  <c:v>36220</c:v>
                </c:pt>
                <c:pt idx="171">
                  <c:v>36251</c:v>
                </c:pt>
                <c:pt idx="172">
                  <c:v>36281</c:v>
                </c:pt>
                <c:pt idx="173">
                  <c:v>36312</c:v>
                </c:pt>
                <c:pt idx="174">
                  <c:v>36342</c:v>
                </c:pt>
                <c:pt idx="175">
                  <c:v>36373</c:v>
                </c:pt>
                <c:pt idx="176">
                  <c:v>36404</c:v>
                </c:pt>
                <c:pt idx="177">
                  <c:v>36434</c:v>
                </c:pt>
                <c:pt idx="178">
                  <c:v>36465</c:v>
                </c:pt>
                <c:pt idx="179">
                  <c:v>36495</c:v>
                </c:pt>
                <c:pt idx="180">
                  <c:v>36526</c:v>
                </c:pt>
                <c:pt idx="181">
                  <c:v>36557</c:v>
                </c:pt>
                <c:pt idx="182">
                  <c:v>36586</c:v>
                </c:pt>
                <c:pt idx="183">
                  <c:v>36617</c:v>
                </c:pt>
                <c:pt idx="184">
                  <c:v>36647</c:v>
                </c:pt>
                <c:pt idx="185">
                  <c:v>36678</c:v>
                </c:pt>
                <c:pt idx="186">
                  <c:v>36708</c:v>
                </c:pt>
                <c:pt idx="187">
                  <c:v>36739</c:v>
                </c:pt>
                <c:pt idx="188">
                  <c:v>36770</c:v>
                </c:pt>
                <c:pt idx="189">
                  <c:v>36800</c:v>
                </c:pt>
                <c:pt idx="190">
                  <c:v>36831</c:v>
                </c:pt>
                <c:pt idx="191">
                  <c:v>36861</c:v>
                </c:pt>
                <c:pt idx="192">
                  <c:v>36892</c:v>
                </c:pt>
                <c:pt idx="193">
                  <c:v>36923</c:v>
                </c:pt>
                <c:pt idx="194">
                  <c:v>36951</c:v>
                </c:pt>
                <c:pt idx="195">
                  <c:v>36982</c:v>
                </c:pt>
                <c:pt idx="196">
                  <c:v>37012</c:v>
                </c:pt>
                <c:pt idx="197">
                  <c:v>37043</c:v>
                </c:pt>
                <c:pt idx="198">
                  <c:v>37073</c:v>
                </c:pt>
                <c:pt idx="199">
                  <c:v>37104</c:v>
                </c:pt>
                <c:pt idx="200">
                  <c:v>37135</c:v>
                </c:pt>
                <c:pt idx="201">
                  <c:v>37165</c:v>
                </c:pt>
                <c:pt idx="202">
                  <c:v>37196</c:v>
                </c:pt>
                <c:pt idx="203">
                  <c:v>37226</c:v>
                </c:pt>
                <c:pt idx="204">
                  <c:v>37257</c:v>
                </c:pt>
                <c:pt idx="205">
                  <c:v>37288</c:v>
                </c:pt>
                <c:pt idx="206">
                  <c:v>37316</c:v>
                </c:pt>
                <c:pt idx="207">
                  <c:v>37347</c:v>
                </c:pt>
                <c:pt idx="208">
                  <c:v>37377</c:v>
                </c:pt>
                <c:pt idx="209">
                  <c:v>37408</c:v>
                </c:pt>
                <c:pt idx="210">
                  <c:v>37438</c:v>
                </c:pt>
                <c:pt idx="211">
                  <c:v>37469</c:v>
                </c:pt>
                <c:pt idx="212">
                  <c:v>37500</c:v>
                </c:pt>
                <c:pt idx="213">
                  <c:v>37530</c:v>
                </c:pt>
                <c:pt idx="214">
                  <c:v>37561</c:v>
                </c:pt>
                <c:pt idx="215">
                  <c:v>37591</c:v>
                </c:pt>
                <c:pt idx="216">
                  <c:v>37622</c:v>
                </c:pt>
                <c:pt idx="217">
                  <c:v>37653</c:v>
                </c:pt>
                <c:pt idx="218">
                  <c:v>37681</c:v>
                </c:pt>
                <c:pt idx="219">
                  <c:v>37712</c:v>
                </c:pt>
                <c:pt idx="220">
                  <c:v>37742</c:v>
                </c:pt>
                <c:pt idx="221">
                  <c:v>37773</c:v>
                </c:pt>
                <c:pt idx="222">
                  <c:v>37803</c:v>
                </c:pt>
                <c:pt idx="223">
                  <c:v>37834</c:v>
                </c:pt>
                <c:pt idx="224">
                  <c:v>37865</c:v>
                </c:pt>
                <c:pt idx="225">
                  <c:v>37895</c:v>
                </c:pt>
                <c:pt idx="226">
                  <c:v>37926</c:v>
                </c:pt>
                <c:pt idx="227">
                  <c:v>37956</c:v>
                </c:pt>
                <c:pt idx="228">
                  <c:v>37987</c:v>
                </c:pt>
                <c:pt idx="229">
                  <c:v>38018</c:v>
                </c:pt>
                <c:pt idx="230">
                  <c:v>38047</c:v>
                </c:pt>
                <c:pt idx="231">
                  <c:v>38078</c:v>
                </c:pt>
                <c:pt idx="232">
                  <c:v>38108</c:v>
                </c:pt>
                <c:pt idx="233">
                  <c:v>38139</c:v>
                </c:pt>
                <c:pt idx="234">
                  <c:v>38169</c:v>
                </c:pt>
                <c:pt idx="235">
                  <c:v>38200</c:v>
                </c:pt>
                <c:pt idx="236">
                  <c:v>38231</c:v>
                </c:pt>
                <c:pt idx="237">
                  <c:v>38261</c:v>
                </c:pt>
                <c:pt idx="238">
                  <c:v>38292</c:v>
                </c:pt>
                <c:pt idx="239">
                  <c:v>38322</c:v>
                </c:pt>
                <c:pt idx="240">
                  <c:v>38353</c:v>
                </c:pt>
                <c:pt idx="241">
                  <c:v>38384</c:v>
                </c:pt>
                <c:pt idx="242">
                  <c:v>38412</c:v>
                </c:pt>
                <c:pt idx="243">
                  <c:v>38443</c:v>
                </c:pt>
                <c:pt idx="244">
                  <c:v>38473</c:v>
                </c:pt>
                <c:pt idx="245">
                  <c:v>38504</c:v>
                </c:pt>
                <c:pt idx="246">
                  <c:v>38534</c:v>
                </c:pt>
                <c:pt idx="247">
                  <c:v>38565</c:v>
                </c:pt>
                <c:pt idx="248">
                  <c:v>38596</c:v>
                </c:pt>
                <c:pt idx="249">
                  <c:v>38626</c:v>
                </c:pt>
                <c:pt idx="250">
                  <c:v>38657</c:v>
                </c:pt>
                <c:pt idx="251">
                  <c:v>38687</c:v>
                </c:pt>
                <c:pt idx="252">
                  <c:v>38718</c:v>
                </c:pt>
                <c:pt idx="253">
                  <c:v>38749</c:v>
                </c:pt>
                <c:pt idx="254">
                  <c:v>38777</c:v>
                </c:pt>
                <c:pt idx="255">
                  <c:v>38808</c:v>
                </c:pt>
                <c:pt idx="256">
                  <c:v>38838</c:v>
                </c:pt>
                <c:pt idx="257">
                  <c:v>38869</c:v>
                </c:pt>
                <c:pt idx="258">
                  <c:v>38899</c:v>
                </c:pt>
                <c:pt idx="259">
                  <c:v>38930</c:v>
                </c:pt>
                <c:pt idx="260">
                  <c:v>38961</c:v>
                </c:pt>
                <c:pt idx="261">
                  <c:v>38991</c:v>
                </c:pt>
                <c:pt idx="262">
                  <c:v>39022</c:v>
                </c:pt>
                <c:pt idx="263">
                  <c:v>39052</c:v>
                </c:pt>
                <c:pt idx="264">
                  <c:v>39083</c:v>
                </c:pt>
                <c:pt idx="265">
                  <c:v>39114</c:v>
                </c:pt>
                <c:pt idx="266">
                  <c:v>39142</c:v>
                </c:pt>
                <c:pt idx="267">
                  <c:v>39173</c:v>
                </c:pt>
                <c:pt idx="268">
                  <c:v>39203</c:v>
                </c:pt>
                <c:pt idx="269">
                  <c:v>39234</c:v>
                </c:pt>
                <c:pt idx="270">
                  <c:v>39264</c:v>
                </c:pt>
                <c:pt idx="271">
                  <c:v>39295</c:v>
                </c:pt>
                <c:pt idx="272">
                  <c:v>39326</c:v>
                </c:pt>
                <c:pt idx="273">
                  <c:v>39356</c:v>
                </c:pt>
                <c:pt idx="274">
                  <c:v>39387</c:v>
                </c:pt>
                <c:pt idx="275">
                  <c:v>39417</c:v>
                </c:pt>
                <c:pt idx="276">
                  <c:v>39448</c:v>
                </c:pt>
                <c:pt idx="277">
                  <c:v>39479</c:v>
                </c:pt>
                <c:pt idx="278">
                  <c:v>39508</c:v>
                </c:pt>
                <c:pt idx="279">
                  <c:v>39539</c:v>
                </c:pt>
                <c:pt idx="280">
                  <c:v>39569</c:v>
                </c:pt>
                <c:pt idx="281">
                  <c:v>39600</c:v>
                </c:pt>
                <c:pt idx="282">
                  <c:v>39630</c:v>
                </c:pt>
                <c:pt idx="283">
                  <c:v>39661</c:v>
                </c:pt>
                <c:pt idx="284">
                  <c:v>39692</c:v>
                </c:pt>
                <c:pt idx="285">
                  <c:v>39722</c:v>
                </c:pt>
                <c:pt idx="286">
                  <c:v>39753</c:v>
                </c:pt>
                <c:pt idx="287">
                  <c:v>39783</c:v>
                </c:pt>
                <c:pt idx="288">
                  <c:v>39814</c:v>
                </c:pt>
                <c:pt idx="289">
                  <c:v>39845</c:v>
                </c:pt>
                <c:pt idx="290">
                  <c:v>39873</c:v>
                </c:pt>
                <c:pt idx="291">
                  <c:v>39904</c:v>
                </c:pt>
                <c:pt idx="292">
                  <c:v>39934</c:v>
                </c:pt>
                <c:pt idx="293">
                  <c:v>39965</c:v>
                </c:pt>
                <c:pt idx="294">
                  <c:v>39995</c:v>
                </c:pt>
                <c:pt idx="295">
                  <c:v>40026</c:v>
                </c:pt>
                <c:pt idx="296">
                  <c:v>40057</c:v>
                </c:pt>
                <c:pt idx="297">
                  <c:v>40087</c:v>
                </c:pt>
                <c:pt idx="298">
                  <c:v>40118</c:v>
                </c:pt>
                <c:pt idx="299">
                  <c:v>40148</c:v>
                </c:pt>
                <c:pt idx="300">
                  <c:v>40179</c:v>
                </c:pt>
                <c:pt idx="301">
                  <c:v>40210</c:v>
                </c:pt>
                <c:pt idx="302">
                  <c:v>40238</c:v>
                </c:pt>
                <c:pt idx="303">
                  <c:v>40269</c:v>
                </c:pt>
                <c:pt idx="304">
                  <c:v>40299</c:v>
                </c:pt>
                <c:pt idx="305">
                  <c:v>40330</c:v>
                </c:pt>
                <c:pt idx="306">
                  <c:v>40360</c:v>
                </c:pt>
                <c:pt idx="307">
                  <c:v>40391</c:v>
                </c:pt>
                <c:pt idx="308">
                  <c:v>40422</c:v>
                </c:pt>
                <c:pt idx="309">
                  <c:v>40452</c:v>
                </c:pt>
                <c:pt idx="310">
                  <c:v>40483</c:v>
                </c:pt>
                <c:pt idx="311">
                  <c:v>40513</c:v>
                </c:pt>
                <c:pt idx="312">
                  <c:v>40544</c:v>
                </c:pt>
                <c:pt idx="313">
                  <c:v>40575</c:v>
                </c:pt>
                <c:pt idx="314">
                  <c:v>40603</c:v>
                </c:pt>
                <c:pt idx="315">
                  <c:v>40634</c:v>
                </c:pt>
                <c:pt idx="316">
                  <c:v>40664</c:v>
                </c:pt>
                <c:pt idx="317">
                  <c:v>40695</c:v>
                </c:pt>
                <c:pt idx="318">
                  <c:v>40725</c:v>
                </c:pt>
                <c:pt idx="319">
                  <c:v>40756</c:v>
                </c:pt>
                <c:pt idx="320">
                  <c:v>40787</c:v>
                </c:pt>
                <c:pt idx="321">
                  <c:v>40817</c:v>
                </c:pt>
                <c:pt idx="322">
                  <c:v>40848</c:v>
                </c:pt>
                <c:pt idx="323">
                  <c:v>40878</c:v>
                </c:pt>
                <c:pt idx="324">
                  <c:v>40909</c:v>
                </c:pt>
                <c:pt idx="325">
                  <c:v>40940</c:v>
                </c:pt>
                <c:pt idx="326">
                  <c:v>40969</c:v>
                </c:pt>
                <c:pt idx="327">
                  <c:v>41000</c:v>
                </c:pt>
                <c:pt idx="328">
                  <c:v>41030</c:v>
                </c:pt>
                <c:pt idx="329">
                  <c:v>41061</c:v>
                </c:pt>
                <c:pt idx="330">
                  <c:v>41091</c:v>
                </c:pt>
                <c:pt idx="331">
                  <c:v>41122</c:v>
                </c:pt>
                <c:pt idx="332">
                  <c:v>41153</c:v>
                </c:pt>
                <c:pt idx="333">
                  <c:v>41183</c:v>
                </c:pt>
                <c:pt idx="334">
                  <c:v>41214</c:v>
                </c:pt>
                <c:pt idx="335">
                  <c:v>41244</c:v>
                </c:pt>
                <c:pt idx="336">
                  <c:v>41275</c:v>
                </c:pt>
                <c:pt idx="337">
                  <c:v>41306</c:v>
                </c:pt>
                <c:pt idx="338">
                  <c:v>41334</c:v>
                </c:pt>
                <c:pt idx="339">
                  <c:v>41365</c:v>
                </c:pt>
                <c:pt idx="340">
                  <c:v>41395</c:v>
                </c:pt>
                <c:pt idx="341">
                  <c:v>41426</c:v>
                </c:pt>
                <c:pt idx="342">
                  <c:v>41456</c:v>
                </c:pt>
                <c:pt idx="343">
                  <c:v>41487</c:v>
                </c:pt>
                <c:pt idx="344">
                  <c:v>41518</c:v>
                </c:pt>
                <c:pt idx="345">
                  <c:v>41548</c:v>
                </c:pt>
                <c:pt idx="346">
                  <c:v>41579</c:v>
                </c:pt>
                <c:pt idx="347">
                  <c:v>41609</c:v>
                </c:pt>
                <c:pt idx="348">
                  <c:v>41640</c:v>
                </c:pt>
                <c:pt idx="349">
                  <c:v>41671</c:v>
                </c:pt>
                <c:pt idx="350">
                  <c:v>41699</c:v>
                </c:pt>
                <c:pt idx="351">
                  <c:v>41730</c:v>
                </c:pt>
                <c:pt idx="352">
                  <c:v>41760</c:v>
                </c:pt>
                <c:pt idx="353">
                  <c:v>41791</c:v>
                </c:pt>
                <c:pt idx="354">
                  <c:v>41821</c:v>
                </c:pt>
                <c:pt idx="355">
                  <c:v>41852</c:v>
                </c:pt>
                <c:pt idx="356">
                  <c:v>41883</c:v>
                </c:pt>
                <c:pt idx="357">
                  <c:v>41913</c:v>
                </c:pt>
                <c:pt idx="358">
                  <c:v>41944</c:v>
                </c:pt>
                <c:pt idx="359">
                  <c:v>41974</c:v>
                </c:pt>
                <c:pt idx="360">
                  <c:v>42005</c:v>
                </c:pt>
                <c:pt idx="361">
                  <c:v>42036</c:v>
                </c:pt>
                <c:pt idx="362">
                  <c:v>42064</c:v>
                </c:pt>
                <c:pt idx="363">
                  <c:v>42095</c:v>
                </c:pt>
                <c:pt idx="364">
                  <c:v>42125</c:v>
                </c:pt>
                <c:pt idx="365">
                  <c:v>42156</c:v>
                </c:pt>
                <c:pt idx="366">
                  <c:v>42186</c:v>
                </c:pt>
                <c:pt idx="367">
                  <c:v>42217</c:v>
                </c:pt>
                <c:pt idx="368">
                  <c:v>42248</c:v>
                </c:pt>
                <c:pt idx="369">
                  <c:v>42278</c:v>
                </c:pt>
                <c:pt idx="370">
                  <c:v>42309</c:v>
                </c:pt>
                <c:pt idx="371">
                  <c:v>42339</c:v>
                </c:pt>
                <c:pt idx="372">
                  <c:v>42370</c:v>
                </c:pt>
                <c:pt idx="373">
                  <c:v>42401</c:v>
                </c:pt>
                <c:pt idx="374">
                  <c:v>42430</c:v>
                </c:pt>
                <c:pt idx="375">
                  <c:v>42461</c:v>
                </c:pt>
                <c:pt idx="376">
                  <c:v>42491</c:v>
                </c:pt>
                <c:pt idx="377">
                  <c:v>42522</c:v>
                </c:pt>
                <c:pt idx="378">
                  <c:v>42552</c:v>
                </c:pt>
                <c:pt idx="379">
                  <c:v>42583</c:v>
                </c:pt>
                <c:pt idx="380">
                  <c:v>42614</c:v>
                </c:pt>
                <c:pt idx="381">
                  <c:v>42644</c:v>
                </c:pt>
                <c:pt idx="382">
                  <c:v>42675</c:v>
                </c:pt>
                <c:pt idx="383">
                  <c:v>42705</c:v>
                </c:pt>
                <c:pt idx="384">
                  <c:v>42736</c:v>
                </c:pt>
                <c:pt idx="385">
                  <c:v>42767</c:v>
                </c:pt>
                <c:pt idx="386">
                  <c:v>42795</c:v>
                </c:pt>
                <c:pt idx="387">
                  <c:v>42826</c:v>
                </c:pt>
                <c:pt idx="388">
                  <c:v>42856</c:v>
                </c:pt>
                <c:pt idx="389">
                  <c:v>42887</c:v>
                </c:pt>
                <c:pt idx="390">
                  <c:v>42917</c:v>
                </c:pt>
                <c:pt idx="391">
                  <c:v>42948</c:v>
                </c:pt>
                <c:pt idx="392">
                  <c:v>42979</c:v>
                </c:pt>
                <c:pt idx="393">
                  <c:v>43009</c:v>
                </c:pt>
                <c:pt idx="394">
                  <c:v>43040</c:v>
                </c:pt>
                <c:pt idx="395">
                  <c:v>43070</c:v>
                </c:pt>
                <c:pt idx="396">
                  <c:v>43101</c:v>
                </c:pt>
                <c:pt idx="397">
                  <c:v>43132</c:v>
                </c:pt>
                <c:pt idx="398">
                  <c:v>43160</c:v>
                </c:pt>
                <c:pt idx="399">
                  <c:v>43191</c:v>
                </c:pt>
                <c:pt idx="400">
                  <c:v>43221</c:v>
                </c:pt>
                <c:pt idx="401">
                  <c:v>43252</c:v>
                </c:pt>
                <c:pt idx="402">
                  <c:v>43282</c:v>
                </c:pt>
                <c:pt idx="403">
                  <c:v>43313</c:v>
                </c:pt>
                <c:pt idx="404">
                  <c:v>43344</c:v>
                </c:pt>
                <c:pt idx="405">
                  <c:v>43374</c:v>
                </c:pt>
                <c:pt idx="406">
                  <c:v>43405</c:v>
                </c:pt>
                <c:pt idx="407">
                  <c:v>43435</c:v>
                </c:pt>
                <c:pt idx="408">
                  <c:v>43466</c:v>
                </c:pt>
                <c:pt idx="409">
                  <c:v>43497</c:v>
                </c:pt>
                <c:pt idx="410">
                  <c:v>43525</c:v>
                </c:pt>
                <c:pt idx="411">
                  <c:v>43556</c:v>
                </c:pt>
                <c:pt idx="412">
                  <c:v>43586</c:v>
                </c:pt>
                <c:pt idx="413">
                  <c:v>43617</c:v>
                </c:pt>
                <c:pt idx="414">
                  <c:v>43647</c:v>
                </c:pt>
                <c:pt idx="415">
                  <c:v>43678</c:v>
                </c:pt>
                <c:pt idx="416">
                  <c:v>43709</c:v>
                </c:pt>
                <c:pt idx="417">
                  <c:v>43739</c:v>
                </c:pt>
                <c:pt idx="418">
                  <c:v>43770</c:v>
                </c:pt>
                <c:pt idx="419">
                  <c:v>43800</c:v>
                </c:pt>
                <c:pt idx="420">
                  <c:v>43831</c:v>
                </c:pt>
                <c:pt idx="421">
                  <c:v>43862</c:v>
                </c:pt>
                <c:pt idx="422">
                  <c:v>43891</c:v>
                </c:pt>
                <c:pt idx="423">
                  <c:v>43922</c:v>
                </c:pt>
                <c:pt idx="424">
                  <c:v>43952</c:v>
                </c:pt>
                <c:pt idx="425">
                  <c:v>43983</c:v>
                </c:pt>
                <c:pt idx="426">
                  <c:v>44013</c:v>
                </c:pt>
                <c:pt idx="427">
                  <c:v>44044</c:v>
                </c:pt>
                <c:pt idx="428">
                  <c:v>44075</c:v>
                </c:pt>
                <c:pt idx="429">
                  <c:v>44105</c:v>
                </c:pt>
                <c:pt idx="430">
                  <c:v>44136</c:v>
                </c:pt>
                <c:pt idx="431">
                  <c:v>44166</c:v>
                </c:pt>
                <c:pt idx="432">
                  <c:v>44197</c:v>
                </c:pt>
                <c:pt idx="433">
                  <c:v>44228</c:v>
                </c:pt>
                <c:pt idx="434">
                  <c:v>44256</c:v>
                </c:pt>
                <c:pt idx="435">
                  <c:v>44287</c:v>
                </c:pt>
                <c:pt idx="436">
                  <c:v>44317</c:v>
                </c:pt>
                <c:pt idx="437">
                  <c:v>44348</c:v>
                </c:pt>
                <c:pt idx="438">
                  <c:v>44378</c:v>
                </c:pt>
                <c:pt idx="439">
                  <c:v>44409</c:v>
                </c:pt>
                <c:pt idx="440">
                  <c:v>44440</c:v>
                </c:pt>
                <c:pt idx="441">
                  <c:v>44470</c:v>
                </c:pt>
                <c:pt idx="442">
                  <c:v>44501</c:v>
                </c:pt>
                <c:pt idx="443">
                  <c:v>44531</c:v>
                </c:pt>
                <c:pt idx="444">
                  <c:v>44562</c:v>
                </c:pt>
                <c:pt idx="445">
                  <c:v>44593</c:v>
                </c:pt>
                <c:pt idx="446">
                  <c:v>44621</c:v>
                </c:pt>
                <c:pt idx="447">
                  <c:v>44652</c:v>
                </c:pt>
                <c:pt idx="448">
                  <c:v>44682</c:v>
                </c:pt>
                <c:pt idx="449">
                  <c:v>44713</c:v>
                </c:pt>
                <c:pt idx="450">
                  <c:v>44743</c:v>
                </c:pt>
                <c:pt idx="451">
                  <c:v>44774</c:v>
                </c:pt>
                <c:pt idx="452">
                  <c:v>44805</c:v>
                </c:pt>
                <c:pt idx="453">
                  <c:v>44835</c:v>
                </c:pt>
                <c:pt idx="454">
                  <c:v>44866</c:v>
                </c:pt>
                <c:pt idx="455">
                  <c:v>44896</c:v>
                </c:pt>
                <c:pt idx="456">
                  <c:v>44927</c:v>
                </c:pt>
                <c:pt idx="457">
                  <c:v>44958</c:v>
                </c:pt>
                <c:pt idx="458">
                  <c:v>44986</c:v>
                </c:pt>
                <c:pt idx="459">
                  <c:v>45017</c:v>
                </c:pt>
                <c:pt idx="460">
                  <c:v>45047</c:v>
                </c:pt>
                <c:pt idx="461">
                  <c:v>45078</c:v>
                </c:pt>
                <c:pt idx="462">
                  <c:v>45108</c:v>
                </c:pt>
                <c:pt idx="463">
                  <c:v>45139</c:v>
                </c:pt>
                <c:pt idx="464">
                  <c:v>45170</c:v>
                </c:pt>
                <c:pt idx="465">
                  <c:v>45200</c:v>
                </c:pt>
                <c:pt idx="466">
                  <c:v>45231</c:v>
                </c:pt>
                <c:pt idx="467">
                  <c:v>45261</c:v>
                </c:pt>
                <c:pt idx="468">
                  <c:v>45292</c:v>
                </c:pt>
                <c:pt idx="469">
                  <c:v>45323</c:v>
                </c:pt>
                <c:pt idx="470">
                  <c:v>45352</c:v>
                </c:pt>
                <c:pt idx="471">
                  <c:v>45383</c:v>
                </c:pt>
                <c:pt idx="472">
                  <c:v>45413</c:v>
                </c:pt>
                <c:pt idx="473">
                  <c:v>45444</c:v>
                </c:pt>
                <c:pt idx="474">
                  <c:v>45474</c:v>
                </c:pt>
                <c:pt idx="475">
                  <c:v>45505</c:v>
                </c:pt>
                <c:pt idx="476">
                  <c:v>45536</c:v>
                </c:pt>
                <c:pt idx="477">
                  <c:v>45566</c:v>
                </c:pt>
                <c:pt idx="478">
                  <c:v>45597</c:v>
                </c:pt>
                <c:pt idx="479">
                  <c:v>45627</c:v>
                </c:pt>
              </c:numCache>
            </c:numRef>
          </c:cat>
          <c:val>
            <c:numRef>
              <c:f>'Monetary Policy + Market'!$F$364:$F$843</c:f>
              <c:numCache>
                <c:formatCode>General</c:formatCode>
                <c:ptCount val="480"/>
                <c:pt idx="0">
                  <c:v>1.27</c:v>
                </c:pt>
                <c:pt idx="1">
                  <c:v>1.25</c:v>
                </c:pt>
                <c:pt idx="2">
                  <c:v>1.22</c:v>
                </c:pt>
                <c:pt idx="3">
                  <c:v>1.5</c:v>
                </c:pt>
                <c:pt idx="4">
                  <c:v>1.36</c:v>
                </c:pt>
                <c:pt idx="5">
                  <c:v>1.58</c:v>
                </c:pt>
                <c:pt idx="6">
                  <c:v>1.56</c:v>
                </c:pt>
                <c:pt idx="7">
                  <c:v>1.32</c:v>
                </c:pt>
                <c:pt idx="8">
                  <c:v>1.43</c:v>
                </c:pt>
                <c:pt idx="9">
                  <c:v>1.31</c:v>
                </c:pt>
                <c:pt idx="10">
                  <c:v>1.1299999999999999</c:v>
                </c:pt>
                <c:pt idx="11">
                  <c:v>1.02</c:v>
                </c:pt>
                <c:pt idx="12">
                  <c:v>1.0900000000000001</c:v>
                </c:pt>
                <c:pt idx="13">
                  <c:v>0.42</c:v>
                </c:pt>
                <c:pt idx="14">
                  <c:v>0.47</c:v>
                </c:pt>
                <c:pt idx="15">
                  <c:v>0.55000000000000004</c:v>
                </c:pt>
                <c:pt idx="16">
                  <c:v>0.69</c:v>
                </c:pt>
                <c:pt idx="17">
                  <c:v>0.54</c:v>
                </c:pt>
                <c:pt idx="18">
                  <c:v>0.77</c:v>
                </c:pt>
                <c:pt idx="19">
                  <c:v>1.01</c:v>
                </c:pt>
                <c:pt idx="20">
                  <c:v>1.07</c:v>
                </c:pt>
                <c:pt idx="21">
                  <c:v>1.08</c:v>
                </c:pt>
                <c:pt idx="22">
                  <c:v>0.94</c:v>
                </c:pt>
                <c:pt idx="23">
                  <c:v>0.88</c:v>
                </c:pt>
                <c:pt idx="24">
                  <c:v>0.85</c:v>
                </c:pt>
                <c:pt idx="25">
                  <c:v>0.84</c:v>
                </c:pt>
                <c:pt idx="26">
                  <c:v>0.97</c:v>
                </c:pt>
                <c:pt idx="27">
                  <c:v>0.83</c:v>
                </c:pt>
                <c:pt idx="28">
                  <c:v>0.8</c:v>
                </c:pt>
                <c:pt idx="29">
                  <c:v>0.9</c:v>
                </c:pt>
                <c:pt idx="30">
                  <c:v>1.03</c:v>
                </c:pt>
                <c:pt idx="31">
                  <c:v>1.03</c:v>
                </c:pt>
                <c:pt idx="32">
                  <c:v>1.03</c:v>
                </c:pt>
                <c:pt idx="33">
                  <c:v>1.3</c:v>
                </c:pt>
                <c:pt idx="34">
                  <c:v>1.26</c:v>
                </c:pt>
                <c:pt idx="35">
                  <c:v>1.06</c:v>
                </c:pt>
                <c:pt idx="36">
                  <c:v>1.04</c:v>
                </c:pt>
                <c:pt idx="37">
                  <c:v>1.03</c:v>
                </c:pt>
                <c:pt idx="38">
                  <c:v>1.1599999999999999</c:v>
                </c:pt>
                <c:pt idx="39">
                  <c:v>1.1399999999999999</c:v>
                </c:pt>
                <c:pt idx="40">
                  <c:v>0.99</c:v>
                </c:pt>
                <c:pt idx="41">
                  <c:v>0.8</c:v>
                </c:pt>
                <c:pt idx="42">
                  <c:v>0.73</c:v>
                </c:pt>
                <c:pt idx="43">
                  <c:v>0.54</c:v>
                </c:pt>
                <c:pt idx="44">
                  <c:v>0.44</c:v>
                </c:pt>
                <c:pt idx="45">
                  <c:v>0.4</c:v>
                </c:pt>
                <c:pt idx="46">
                  <c:v>0.22</c:v>
                </c:pt>
                <c:pt idx="47">
                  <c:v>0</c:v>
                </c:pt>
                <c:pt idx="48">
                  <c:v>-0.11</c:v>
                </c:pt>
                <c:pt idx="49">
                  <c:v>-0.23</c:v>
                </c:pt>
                <c:pt idx="50">
                  <c:v>-0.43</c:v>
                </c:pt>
                <c:pt idx="51">
                  <c:v>-0.2</c:v>
                </c:pt>
                <c:pt idx="52">
                  <c:v>-0.22</c:v>
                </c:pt>
                <c:pt idx="53">
                  <c:v>0.02</c:v>
                </c:pt>
                <c:pt idx="54">
                  <c:v>0.28999999999999998</c:v>
                </c:pt>
                <c:pt idx="55">
                  <c:v>-0.16</c:v>
                </c:pt>
                <c:pt idx="56">
                  <c:v>-0.15</c:v>
                </c:pt>
                <c:pt idx="57">
                  <c:v>7.0000000000000007E-2</c:v>
                </c:pt>
                <c:pt idx="58">
                  <c:v>0.09</c:v>
                </c:pt>
                <c:pt idx="59">
                  <c:v>0.06</c:v>
                </c:pt>
                <c:pt idx="60">
                  <c:v>0.15</c:v>
                </c:pt>
                <c:pt idx="61">
                  <c:v>0.08</c:v>
                </c:pt>
                <c:pt idx="62">
                  <c:v>0.01</c:v>
                </c:pt>
                <c:pt idx="63">
                  <c:v>0.08</c:v>
                </c:pt>
                <c:pt idx="64">
                  <c:v>0.1</c:v>
                </c:pt>
                <c:pt idx="65">
                  <c:v>0.19</c:v>
                </c:pt>
                <c:pt idx="66">
                  <c:v>0.45</c:v>
                </c:pt>
                <c:pt idx="67">
                  <c:v>0.79</c:v>
                </c:pt>
                <c:pt idx="68">
                  <c:v>0.8</c:v>
                </c:pt>
                <c:pt idx="69">
                  <c:v>0.88</c:v>
                </c:pt>
                <c:pt idx="70">
                  <c:v>0.73</c:v>
                </c:pt>
                <c:pt idx="71">
                  <c:v>0.93</c:v>
                </c:pt>
                <c:pt idx="72">
                  <c:v>0.98</c:v>
                </c:pt>
                <c:pt idx="73">
                  <c:v>0.98</c:v>
                </c:pt>
                <c:pt idx="74">
                  <c:v>1.03</c:v>
                </c:pt>
                <c:pt idx="75">
                  <c:v>1.22</c:v>
                </c:pt>
                <c:pt idx="76">
                  <c:v>1.38</c:v>
                </c:pt>
                <c:pt idx="77">
                  <c:v>1.34</c:v>
                </c:pt>
                <c:pt idx="78">
                  <c:v>1.39</c:v>
                </c:pt>
                <c:pt idx="79">
                  <c:v>1.46</c:v>
                </c:pt>
                <c:pt idx="80">
                  <c:v>1.48</c:v>
                </c:pt>
                <c:pt idx="81">
                  <c:v>1.77</c:v>
                </c:pt>
                <c:pt idx="82">
                  <c:v>2</c:v>
                </c:pt>
                <c:pt idx="83">
                  <c:v>1.94</c:v>
                </c:pt>
                <c:pt idx="84">
                  <c:v>2.2000000000000002</c:v>
                </c:pt>
                <c:pt idx="85">
                  <c:v>2</c:v>
                </c:pt>
                <c:pt idx="86">
                  <c:v>1.94</c:v>
                </c:pt>
                <c:pt idx="87">
                  <c:v>2.15</c:v>
                </c:pt>
                <c:pt idx="88">
                  <c:v>2.14</c:v>
                </c:pt>
                <c:pt idx="89">
                  <c:v>2.31</c:v>
                </c:pt>
                <c:pt idx="90">
                  <c:v>2.2999999999999998</c:v>
                </c:pt>
                <c:pt idx="91">
                  <c:v>2.4700000000000002</c:v>
                </c:pt>
                <c:pt idx="92">
                  <c:v>2.57</c:v>
                </c:pt>
                <c:pt idx="93">
                  <c:v>2.4</c:v>
                </c:pt>
                <c:pt idx="94">
                  <c:v>2.16</c:v>
                </c:pt>
                <c:pt idx="95">
                  <c:v>2.14</c:v>
                </c:pt>
                <c:pt idx="96">
                  <c:v>2.19</c:v>
                </c:pt>
                <c:pt idx="97">
                  <c:v>2.11</c:v>
                </c:pt>
                <c:pt idx="98">
                  <c:v>2.0699999999999998</c:v>
                </c:pt>
                <c:pt idx="99">
                  <c:v>2.2200000000000002</c:v>
                </c:pt>
                <c:pt idx="100">
                  <c:v>1.92</c:v>
                </c:pt>
                <c:pt idx="101">
                  <c:v>1.77</c:v>
                </c:pt>
                <c:pt idx="102">
                  <c:v>1.7</c:v>
                </c:pt>
                <c:pt idx="103">
                  <c:v>1.57</c:v>
                </c:pt>
                <c:pt idx="104">
                  <c:v>1.51</c:v>
                </c:pt>
                <c:pt idx="105">
                  <c:v>1.44</c:v>
                </c:pt>
                <c:pt idx="106">
                  <c:v>1.61</c:v>
                </c:pt>
                <c:pt idx="107">
                  <c:v>1.58</c:v>
                </c:pt>
                <c:pt idx="108">
                  <c:v>1.58</c:v>
                </c:pt>
                <c:pt idx="109">
                  <c:v>1.48</c:v>
                </c:pt>
                <c:pt idx="110">
                  <c:v>1.56</c:v>
                </c:pt>
                <c:pt idx="111">
                  <c:v>1.33</c:v>
                </c:pt>
                <c:pt idx="112">
                  <c:v>1.1599999999999999</c:v>
                </c:pt>
                <c:pt idx="113">
                  <c:v>1.1499999999999999</c:v>
                </c:pt>
                <c:pt idx="114">
                  <c:v>1.1299999999999999</c:v>
                </c:pt>
                <c:pt idx="115">
                  <c:v>1.02</c:v>
                </c:pt>
                <c:pt idx="116">
                  <c:v>1</c:v>
                </c:pt>
                <c:pt idx="117">
                  <c:v>0.97</c:v>
                </c:pt>
                <c:pt idx="118">
                  <c:v>0.51</c:v>
                </c:pt>
                <c:pt idx="119">
                  <c:v>0.15</c:v>
                </c:pt>
                <c:pt idx="120">
                  <c:v>0.34</c:v>
                </c:pt>
                <c:pt idx="121">
                  <c:v>0.43</c:v>
                </c:pt>
                <c:pt idx="122">
                  <c:v>0.4</c:v>
                </c:pt>
                <c:pt idx="123">
                  <c:v>0.47</c:v>
                </c:pt>
                <c:pt idx="124">
                  <c:v>0.41</c:v>
                </c:pt>
                <c:pt idx="125">
                  <c:v>0.42</c:v>
                </c:pt>
                <c:pt idx="126">
                  <c:v>0.56999999999999995</c:v>
                </c:pt>
                <c:pt idx="127">
                  <c:v>0.43</c:v>
                </c:pt>
                <c:pt idx="128">
                  <c:v>0.34</c:v>
                </c:pt>
                <c:pt idx="129">
                  <c:v>0.42</c:v>
                </c:pt>
                <c:pt idx="130">
                  <c:v>0.4</c:v>
                </c:pt>
                <c:pt idx="131">
                  <c:v>0.4</c:v>
                </c:pt>
                <c:pt idx="132">
                  <c:v>0.67</c:v>
                </c:pt>
                <c:pt idx="133">
                  <c:v>0.69</c:v>
                </c:pt>
                <c:pt idx="134">
                  <c:v>0.55000000000000004</c:v>
                </c:pt>
                <c:pt idx="135">
                  <c:v>0.63</c:v>
                </c:pt>
                <c:pt idx="136">
                  <c:v>0.57999999999999996</c:v>
                </c:pt>
                <c:pt idx="137">
                  <c:v>0.62</c:v>
                </c:pt>
                <c:pt idx="138">
                  <c:v>0.57999999999999996</c:v>
                </c:pt>
                <c:pt idx="139">
                  <c:v>0.62</c:v>
                </c:pt>
                <c:pt idx="140">
                  <c:v>0.62</c:v>
                </c:pt>
                <c:pt idx="141">
                  <c:v>0.6</c:v>
                </c:pt>
                <c:pt idx="142">
                  <c:v>0.47</c:v>
                </c:pt>
                <c:pt idx="143">
                  <c:v>0.55000000000000004</c:v>
                </c:pt>
                <c:pt idx="144">
                  <c:v>0.59</c:v>
                </c:pt>
                <c:pt idx="145">
                  <c:v>0.47</c:v>
                </c:pt>
                <c:pt idx="146">
                  <c:v>0.47</c:v>
                </c:pt>
                <c:pt idx="147">
                  <c:v>0.43</c:v>
                </c:pt>
                <c:pt idx="148">
                  <c:v>0.45</c:v>
                </c:pt>
                <c:pt idx="149">
                  <c:v>0.43</c:v>
                </c:pt>
                <c:pt idx="150">
                  <c:v>0.28000000000000003</c:v>
                </c:pt>
                <c:pt idx="151">
                  <c:v>0.37</c:v>
                </c:pt>
                <c:pt idx="152">
                  <c:v>0.32</c:v>
                </c:pt>
                <c:pt idx="153">
                  <c:v>0.21</c:v>
                </c:pt>
                <c:pt idx="154">
                  <c:v>0.1</c:v>
                </c:pt>
                <c:pt idx="155">
                  <c:v>0.09</c:v>
                </c:pt>
                <c:pt idx="156">
                  <c:v>0.21</c:v>
                </c:pt>
                <c:pt idx="157">
                  <c:v>7.0000000000000007E-2</c:v>
                </c:pt>
                <c:pt idx="158">
                  <c:v>7.0000000000000007E-2</c:v>
                </c:pt>
                <c:pt idx="159">
                  <c:v>0.09</c:v>
                </c:pt>
                <c:pt idx="160">
                  <c:v>0.03</c:v>
                </c:pt>
                <c:pt idx="161">
                  <c:v>-0.05</c:v>
                </c:pt>
                <c:pt idx="162">
                  <c:v>0.01</c:v>
                </c:pt>
                <c:pt idx="163">
                  <c:v>0.14000000000000001</c:v>
                </c:pt>
                <c:pt idx="164">
                  <c:v>0.14000000000000001</c:v>
                </c:pt>
                <c:pt idx="165">
                  <c:v>0.52</c:v>
                </c:pt>
                <c:pt idx="166">
                  <c:v>0.2</c:v>
                </c:pt>
                <c:pt idx="167">
                  <c:v>0.11</c:v>
                </c:pt>
                <c:pt idx="168">
                  <c:v>0.08</c:v>
                </c:pt>
                <c:pt idx="169">
                  <c:v>0.16</c:v>
                </c:pt>
                <c:pt idx="170">
                  <c:v>0.26</c:v>
                </c:pt>
                <c:pt idx="171">
                  <c:v>0.28000000000000003</c:v>
                </c:pt>
                <c:pt idx="172">
                  <c:v>0.22</c:v>
                </c:pt>
                <c:pt idx="173">
                  <c:v>0.28000000000000003</c:v>
                </c:pt>
                <c:pt idx="174">
                  <c:v>0.28999999999999998</c:v>
                </c:pt>
                <c:pt idx="175">
                  <c:v>0.25</c:v>
                </c:pt>
                <c:pt idx="176">
                  <c:v>0.27</c:v>
                </c:pt>
                <c:pt idx="177">
                  <c:v>0.23</c:v>
                </c:pt>
                <c:pt idx="178">
                  <c:v>0.17</c:v>
                </c:pt>
                <c:pt idx="179">
                  <c:v>0.21</c:v>
                </c:pt>
                <c:pt idx="180">
                  <c:v>7.0000000000000007E-2</c:v>
                </c:pt>
                <c:pt idx="181">
                  <c:v>-0.11</c:v>
                </c:pt>
                <c:pt idx="182">
                  <c:v>-0.47</c:v>
                </c:pt>
                <c:pt idx="183">
                  <c:v>-0.45</c:v>
                </c:pt>
                <c:pt idx="184">
                  <c:v>-0.4</c:v>
                </c:pt>
                <c:pt idx="185">
                  <c:v>-0.35</c:v>
                </c:pt>
                <c:pt idx="186">
                  <c:v>-0.26</c:v>
                </c:pt>
                <c:pt idx="187">
                  <c:v>-0.45</c:v>
                </c:pt>
                <c:pt idx="188">
                  <c:v>-0.18</c:v>
                </c:pt>
                <c:pt idx="189">
                  <c:v>-0.17</c:v>
                </c:pt>
                <c:pt idx="190">
                  <c:v>-0.13</c:v>
                </c:pt>
                <c:pt idx="191">
                  <c:v>0.01</c:v>
                </c:pt>
                <c:pt idx="192">
                  <c:v>0.56999999999999995</c:v>
                </c:pt>
                <c:pt idx="193">
                  <c:v>0.51</c:v>
                </c:pt>
                <c:pt idx="194">
                  <c:v>0.75</c:v>
                </c:pt>
                <c:pt idx="195">
                  <c:v>1.05</c:v>
                </c:pt>
                <c:pt idx="196">
                  <c:v>1.21</c:v>
                </c:pt>
                <c:pt idx="197">
                  <c:v>1.17</c:v>
                </c:pt>
                <c:pt idx="198">
                  <c:v>1.28</c:v>
                </c:pt>
                <c:pt idx="199">
                  <c:v>1.21</c:v>
                </c:pt>
                <c:pt idx="200">
                  <c:v>1.74</c:v>
                </c:pt>
                <c:pt idx="201">
                  <c:v>1.86</c:v>
                </c:pt>
                <c:pt idx="202">
                  <c:v>1.94</c:v>
                </c:pt>
                <c:pt idx="203">
                  <c:v>2</c:v>
                </c:pt>
                <c:pt idx="204">
                  <c:v>1.91</c:v>
                </c:pt>
                <c:pt idx="205">
                  <c:v>1.82</c:v>
                </c:pt>
                <c:pt idx="206">
                  <c:v>1.7</c:v>
                </c:pt>
                <c:pt idx="207">
                  <c:v>1.87</c:v>
                </c:pt>
                <c:pt idx="208">
                  <c:v>1.86</c:v>
                </c:pt>
                <c:pt idx="209">
                  <c:v>1.96</c:v>
                </c:pt>
                <c:pt idx="210">
                  <c:v>2.2799999999999998</c:v>
                </c:pt>
                <c:pt idx="211">
                  <c:v>2</c:v>
                </c:pt>
                <c:pt idx="212">
                  <c:v>1.91</c:v>
                </c:pt>
                <c:pt idx="213">
                  <c:v>2.25</c:v>
                </c:pt>
                <c:pt idx="214">
                  <c:v>2.14</c:v>
                </c:pt>
                <c:pt idx="215">
                  <c:v>2.2200000000000002</c:v>
                </c:pt>
                <c:pt idx="216">
                  <c:v>2.2799999999999998</c:v>
                </c:pt>
                <c:pt idx="217">
                  <c:v>2.1800000000000002</c:v>
                </c:pt>
                <c:pt idx="218">
                  <c:v>2.3199999999999998</c:v>
                </c:pt>
                <c:pt idx="219">
                  <c:v>2.38</c:v>
                </c:pt>
                <c:pt idx="220">
                  <c:v>2.04</c:v>
                </c:pt>
                <c:pt idx="221">
                  <c:v>2.2200000000000002</c:v>
                </c:pt>
                <c:pt idx="222">
                  <c:v>2.69</c:v>
                </c:pt>
                <c:pt idx="223">
                  <c:v>2.5</c:v>
                </c:pt>
                <c:pt idx="224">
                  <c:v>2.46</c:v>
                </c:pt>
                <c:pt idx="225">
                  <c:v>2.48</c:v>
                </c:pt>
                <c:pt idx="226">
                  <c:v>2.2799999999999998</c:v>
                </c:pt>
                <c:pt idx="227">
                  <c:v>2.4300000000000002</c:v>
                </c:pt>
                <c:pt idx="228">
                  <c:v>2.3199999999999998</c:v>
                </c:pt>
                <c:pt idx="229">
                  <c:v>2.33</c:v>
                </c:pt>
                <c:pt idx="230">
                  <c:v>2.2599999999999998</c:v>
                </c:pt>
                <c:pt idx="231">
                  <c:v>2.2200000000000002</c:v>
                </c:pt>
                <c:pt idx="232">
                  <c:v>2.12</c:v>
                </c:pt>
                <c:pt idx="233">
                  <c:v>1.92</c:v>
                </c:pt>
                <c:pt idx="234">
                  <c:v>1.82</c:v>
                </c:pt>
                <c:pt idx="235">
                  <c:v>1.72</c:v>
                </c:pt>
                <c:pt idx="236">
                  <c:v>1.51</c:v>
                </c:pt>
                <c:pt idx="237">
                  <c:v>1.49</c:v>
                </c:pt>
                <c:pt idx="238">
                  <c:v>1.34</c:v>
                </c:pt>
                <c:pt idx="239">
                  <c:v>1.1599999999999999</c:v>
                </c:pt>
                <c:pt idx="240">
                  <c:v>0.85</c:v>
                </c:pt>
                <c:pt idx="241">
                  <c:v>0.77</c:v>
                </c:pt>
                <c:pt idx="242">
                  <c:v>0.7</c:v>
                </c:pt>
                <c:pt idx="243">
                  <c:v>0.55000000000000004</c:v>
                </c:pt>
                <c:pt idx="244">
                  <c:v>0.4</c:v>
                </c:pt>
                <c:pt idx="245">
                  <c:v>0.28000000000000003</c:v>
                </c:pt>
                <c:pt idx="246">
                  <c:v>0.26</c:v>
                </c:pt>
                <c:pt idx="247">
                  <c:v>0.18</c:v>
                </c:pt>
                <c:pt idx="248">
                  <c:v>0.16</c:v>
                </c:pt>
                <c:pt idx="249">
                  <c:v>0.17</c:v>
                </c:pt>
                <c:pt idx="250">
                  <c:v>7.0000000000000007E-2</c:v>
                </c:pt>
                <c:pt idx="251">
                  <c:v>-0.02</c:v>
                </c:pt>
                <c:pt idx="252">
                  <c:v>-0.01</c:v>
                </c:pt>
                <c:pt idx="253">
                  <c:v>-0.14000000000000001</c:v>
                </c:pt>
                <c:pt idx="254">
                  <c:v>0.04</c:v>
                </c:pt>
                <c:pt idx="255">
                  <c:v>0.2</c:v>
                </c:pt>
                <c:pt idx="256">
                  <c:v>0.08</c:v>
                </c:pt>
                <c:pt idx="257">
                  <c:v>-0.01</c:v>
                </c:pt>
                <c:pt idx="258">
                  <c:v>0.02</c:v>
                </c:pt>
                <c:pt idx="259">
                  <c:v>-0.05</c:v>
                </c:pt>
                <c:pt idx="260">
                  <c:v>-7.0000000000000007E-2</c:v>
                </c:pt>
                <c:pt idx="261">
                  <c:v>-0.1</c:v>
                </c:pt>
                <c:pt idx="262">
                  <c:v>-0.16</c:v>
                </c:pt>
                <c:pt idx="263">
                  <c:v>-0.11</c:v>
                </c:pt>
                <c:pt idx="264">
                  <c:v>-0.11</c:v>
                </c:pt>
                <c:pt idx="265">
                  <c:v>-0.09</c:v>
                </c:pt>
                <c:pt idx="266">
                  <c:v>7.0000000000000007E-2</c:v>
                </c:pt>
                <c:pt idx="267">
                  <c:v>0.03</c:v>
                </c:pt>
                <c:pt idx="268">
                  <c:v>-0.02</c:v>
                </c:pt>
                <c:pt idx="269">
                  <c:v>0.16</c:v>
                </c:pt>
                <c:pt idx="270">
                  <c:v>0.22</c:v>
                </c:pt>
                <c:pt idx="271">
                  <c:v>0.39</c:v>
                </c:pt>
                <c:pt idx="272">
                  <c:v>0.62</c:v>
                </c:pt>
                <c:pt idx="273">
                  <c:v>0.54</c:v>
                </c:pt>
                <c:pt idx="274">
                  <c:v>0.93</c:v>
                </c:pt>
                <c:pt idx="275">
                  <c:v>0.99</c:v>
                </c:pt>
                <c:pt idx="276">
                  <c:v>1.5</c:v>
                </c:pt>
                <c:pt idx="277">
                  <c:v>1.88</c:v>
                </c:pt>
                <c:pt idx="278">
                  <c:v>1.83</c:v>
                </c:pt>
                <c:pt idx="279">
                  <c:v>1.48</c:v>
                </c:pt>
                <c:pt idx="280">
                  <c:v>1.4</c:v>
                </c:pt>
                <c:pt idx="281">
                  <c:v>1.36</c:v>
                </c:pt>
                <c:pt idx="282">
                  <c:v>1.47</c:v>
                </c:pt>
                <c:pt idx="283">
                  <c:v>1.47</c:v>
                </c:pt>
                <c:pt idx="284">
                  <c:v>1.85</c:v>
                </c:pt>
                <c:pt idx="285">
                  <c:v>2.4500000000000002</c:v>
                </c:pt>
                <c:pt idx="286">
                  <c:v>1.93</c:v>
                </c:pt>
                <c:pt idx="287">
                  <c:v>1.49</c:v>
                </c:pt>
                <c:pt idx="288">
                  <c:v>1.93</c:v>
                </c:pt>
                <c:pt idx="289">
                  <c:v>2.02</c:v>
                </c:pt>
                <c:pt idx="290">
                  <c:v>1.9</c:v>
                </c:pt>
                <c:pt idx="291">
                  <c:v>2.25</c:v>
                </c:pt>
                <c:pt idx="292">
                  <c:v>2.5499999999999998</c:v>
                </c:pt>
                <c:pt idx="293">
                  <c:v>2.42</c:v>
                </c:pt>
                <c:pt idx="294">
                  <c:v>2.39</c:v>
                </c:pt>
                <c:pt idx="295">
                  <c:v>2.4300000000000002</c:v>
                </c:pt>
                <c:pt idx="296">
                  <c:v>2.36</c:v>
                </c:pt>
                <c:pt idx="297">
                  <c:v>2.5099999999999998</c:v>
                </c:pt>
                <c:pt idx="298">
                  <c:v>2.54</c:v>
                </c:pt>
                <c:pt idx="299">
                  <c:v>2.71</c:v>
                </c:pt>
                <c:pt idx="300">
                  <c:v>2.81</c:v>
                </c:pt>
                <c:pt idx="301">
                  <c:v>2.8</c:v>
                </c:pt>
                <c:pt idx="302">
                  <c:v>2.82</c:v>
                </c:pt>
                <c:pt idx="303">
                  <c:v>2.72</c:v>
                </c:pt>
                <c:pt idx="304">
                  <c:v>2.5499999999999998</c:v>
                </c:pt>
                <c:pt idx="305">
                  <c:v>2.36</c:v>
                </c:pt>
                <c:pt idx="306">
                  <c:v>2.39</c:v>
                </c:pt>
                <c:pt idx="307">
                  <c:v>2</c:v>
                </c:pt>
                <c:pt idx="308">
                  <c:v>2.11</c:v>
                </c:pt>
                <c:pt idx="309">
                  <c:v>2.29</c:v>
                </c:pt>
                <c:pt idx="310">
                  <c:v>2.36</c:v>
                </c:pt>
                <c:pt idx="311">
                  <c:v>2.69</c:v>
                </c:pt>
                <c:pt idx="312">
                  <c:v>2.84</c:v>
                </c:pt>
                <c:pt idx="313">
                  <c:v>2.73</c:v>
                </c:pt>
                <c:pt idx="314">
                  <c:v>2.67</c:v>
                </c:pt>
                <c:pt idx="315">
                  <c:v>2.71</c:v>
                </c:pt>
                <c:pt idx="316">
                  <c:v>2.6</c:v>
                </c:pt>
                <c:pt idx="317">
                  <c:v>2.73</c:v>
                </c:pt>
                <c:pt idx="318">
                  <c:v>2.46</c:v>
                </c:pt>
                <c:pt idx="319">
                  <c:v>2.0299999999999998</c:v>
                </c:pt>
                <c:pt idx="320">
                  <c:v>1.67</c:v>
                </c:pt>
                <c:pt idx="321">
                  <c:v>1.92</c:v>
                </c:pt>
                <c:pt idx="322">
                  <c:v>1.83</c:v>
                </c:pt>
                <c:pt idx="323">
                  <c:v>1.64</c:v>
                </c:pt>
                <c:pt idx="324">
                  <c:v>1.61</c:v>
                </c:pt>
                <c:pt idx="325">
                  <c:v>1.68</c:v>
                </c:pt>
                <c:pt idx="326">
                  <c:v>1.9</c:v>
                </c:pt>
                <c:pt idx="327">
                  <c:v>1.68</c:v>
                </c:pt>
                <c:pt idx="328">
                  <c:v>1.32</c:v>
                </c:pt>
                <c:pt idx="329">
                  <c:v>1.34</c:v>
                </c:pt>
                <c:pt idx="330">
                  <c:v>1.28</c:v>
                </c:pt>
                <c:pt idx="331">
                  <c:v>1.35</c:v>
                </c:pt>
                <c:pt idx="332">
                  <c:v>1.42</c:v>
                </c:pt>
                <c:pt idx="333">
                  <c:v>1.42</c:v>
                </c:pt>
                <c:pt idx="334">
                  <c:v>1.37</c:v>
                </c:pt>
                <c:pt idx="335">
                  <c:v>1.53</c:v>
                </c:pt>
                <c:pt idx="336">
                  <c:v>1.75</c:v>
                </c:pt>
                <c:pt idx="337">
                  <c:v>1.64</c:v>
                </c:pt>
                <c:pt idx="338">
                  <c:v>1.62</c:v>
                </c:pt>
                <c:pt idx="339">
                  <c:v>1.48</c:v>
                </c:pt>
                <c:pt idx="340">
                  <c:v>1.86</c:v>
                </c:pt>
                <c:pt idx="341">
                  <c:v>2.16</c:v>
                </c:pt>
                <c:pt idx="342">
                  <c:v>2.29</c:v>
                </c:pt>
                <c:pt idx="343">
                  <c:v>2.39</c:v>
                </c:pt>
                <c:pt idx="344">
                  <c:v>2.31</c:v>
                </c:pt>
                <c:pt idx="345">
                  <c:v>2.2599999999999998</c:v>
                </c:pt>
                <c:pt idx="346">
                  <c:v>2.4700000000000002</c:v>
                </c:pt>
                <c:pt idx="347">
                  <c:v>2.66</c:v>
                </c:pt>
                <c:pt idx="348">
                  <c:v>2.33</c:v>
                </c:pt>
                <c:pt idx="349">
                  <c:v>2.33</c:v>
                </c:pt>
                <c:pt idx="350">
                  <c:v>2.29</c:v>
                </c:pt>
                <c:pt idx="351">
                  <c:v>2.25</c:v>
                </c:pt>
                <c:pt idx="352">
                  <c:v>2.11</c:v>
                </c:pt>
                <c:pt idx="353">
                  <c:v>2.06</c:v>
                </c:pt>
                <c:pt idx="354">
                  <c:v>2.0499999999999998</c:v>
                </c:pt>
                <c:pt idx="355">
                  <c:v>1.87</c:v>
                </c:pt>
                <c:pt idx="356">
                  <c:v>1.94</c:v>
                </c:pt>
                <c:pt idx="357">
                  <c:v>1.85</c:v>
                </c:pt>
                <c:pt idx="358">
                  <c:v>1.71</c:v>
                </c:pt>
                <c:pt idx="359">
                  <c:v>1.5</c:v>
                </c:pt>
                <c:pt idx="360">
                  <c:v>1.21</c:v>
                </c:pt>
                <c:pt idx="361">
                  <c:v>1.37</c:v>
                </c:pt>
                <c:pt idx="362">
                  <c:v>1.38</c:v>
                </c:pt>
                <c:pt idx="363">
                  <c:v>1.47</c:v>
                </c:pt>
                <c:pt idx="364">
                  <c:v>1.51</c:v>
                </c:pt>
                <c:pt idx="365">
                  <c:v>1.71</c:v>
                </c:pt>
                <c:pt idx="366">
                  <c:v>1.53</c:v>
                </c:pt>
                <c:pt idx="367">
                  <c:v>1.47</c:v>
                </c:pt>
                <c:pt idx="368">
                  <c:v>1.42</c:v>
                </c:pt>
                <c:pt idx="369">
                  <c:v>1.41</c:v>
                </c:pt>
                <c:pt idx="370">
                  <c:v>1.27</c:v>
                </c:pt>
                <c:pt idx="371">
                  <c:v>1.21</c:v>
                </c:pt>
                <c:pt idx="372">
                  <c:v>1.18</c:v>
                </c:pt>
                <c:pt idx="373">
                  <c:v>0.96</c:v>
                </c:pt>
                <c:pt idx="374">
                  <c:v>1.05</c:v>
                </c:pt>
                <c:pt idx="375">
                  <c:v>1.06</c:v>
                </c:pt>
                <c:pt idx="376">
                  <c:v>0.97</c:v>
                </c:pt>
                <c:pt idx="377">
                  <c:v>0.91</c:v>
                </c:pt>
                <c:pt idx="378">
                  <c:v>0.79</c:v>
                </c:pt>
                <c:pt idx="379">
                  <c:v>0.78</c:v>
                </c:pt>
                <c:pt idx="380">
                  <c:v>0.83</c:v>
                </c:pt>
                <c:pt idx="381">
                  <c:v>0.98</c:v>
                </c:pt>
                <c:pt idx="382">
                  <c:v>1.26</c:v>
                </c:pt>
                <c:pt idx="383">
                  <c:v>1.25</c:v>
                </c:pt>
                <c:pt idx="384">
                  <c:v>1.26</c:v>
                </c:pt>
                <c:pt idx="385">
                  <c:v>1.1399999999999999</c:v>
                </c:pt>
                <c:pt idx="386">
                  <c:v>1.1299999999999999</c:v>
                </c:pt>
                <c:pt idx="387">
                  <c:v>1.01</c:v>
                </c:pt>
                <c:pt idx="388">
                  <c:v>0.93</c:v>
                </c:pt>
                <c:pt idx="389">
                  <c:v>0.93</c:v>
                </c:pt>
                <c:pt idx="390">
                  <c:v>0.96</c:v>
                </c:pt>
                <c:pt idx="391">
                  <c:v>0.79</c:v>
                </c:pt>
                <c:pt idx="392">
                  <c:v>0.86</c:v>
                </c:pt>
                <c:pt idx="393">
                  <c:v>0.78</c:v>
                </c:pt>
                <c:pt idx="394">
                  <c:v>0.64</c:v>
                </c:pt>
                <c:pt idx="395">
                  <c:v>0.51</c:v>
                </c:pt>
                <c:pt idx="396">
                  <c:v>0.57999999999999996</c:v>
                </c:pt>
                <c:pt idx="397">
                  <c:v>0.62</c:v>
                </c:pt>
                <c:pt idx="398">
                  <c:v>0.47</c:v>
                </c:pt>
                <c:pt idx="399">
                  <c:v>0.46</c:v>
                </c:pt>
                <c:pt idx="400">
                  <c:v>0.43</c:v>
                </c:pt>
                <c:pt idx="401">
                  <c:v>0.33</c:v>
                </c:pt>
                <c:pt idx="402">
                  <c:v>0.28999999999999998</c:v>
                </c:pt>
                <c:pt idx="403">
                  <c:v>0.24</c:v>
                </c:pt>
                <c:pt idx="404">
                  <c:v>0.24</c:v>
                </c:pt>
                <c:pt idx="405">
                  <c:v>0.28000000000000003</c:v>
                </c:pt>
                <c:pt idx="406">
                  <c:v>0.21</c:v>
                </c:pt>
                <c:pt idx="407">
                  <c:v>0.21</c:v>
                </c:pt>
                <c:pt idx="408">
                  <c:v>0.18</c:v>
                </c:pt>
                <c:pt idx="409">
                  <c:v>0.21</c:v>
                </c:pt>
                <c:pt idx="410">
                  <c:v>0.14000000000000001</c:v>
                </c:pt>
                <c:pt idx="411">
                  <c:v>0.24</c:v>
                </c:pt>
                <c:pt idx="412">
                  <c:v>0.19</c:v>
                </c:pt>
                <c:pt idx="413">
                  <c:v>0.25</c:v>
                </c:pt>
                <c:pt idx="414">
                  <c:v>0.13</c:v>
                </c:pt>
                <c:pt idx="415">
                  <c:v>0</c:v>
                </c:pt>
                <c:pt idx="416">
                  <c:v>0.05</c:v>
                </c:pt>
                <c:pt idx="417">
                  <c:v>0.17</c:v>
                </c:pt>
                <c:pt idx="418">
                  <c:v>0.17</c:v>
                </c:pt>
                <c:pt idx="419">
                  <c:v>0.34</c:v>
                </c:pt>
                <c:pt idx="420">
                  <c:v>0.18</c:v>
                </c:pt>
                <c:pt idx="421">
                  <c:v>0.27</c:v>
                </c:pt>
                <c:pt idx="422">
                  <c:v>0.47</c:v>
                </c:pt>
                <c:pt idx="423">
                  <c:v>0.44</c:v>
                </c:pt>
                <c:pt idx="424">
                  <c:v>0.49</c:v>
                </c:pt>
                <c:pt idx="425">
                  <c:v>0.5</c:v>
                </c:pt>
                <c:pt idx="426">
                  <c:v>0.44</c:v>
                </c:pt>
                <c:pt idx="427">
                  <c:v>0.57999999999999996</c:v>
                </c:pt>
                <c:pt idx="428">
                  <c:v>0.56000000000000005</c:v>
                </c:pt>
                <c:pt idx="429">
                  <c:v>0.74</c:v>
                </c:pt>
                <c:pt idx="430">
                  <c:v>0.68</c:v>
                </c:pt>
                <c:pt idx="431">
                  <c:v>0.8</c:v>
                </c:pt>
                <c:pt idx="432">
                  <c:v>1</c:v>
                </c:pt>
                <c:pt idx="433">
                  <c:v>1.3</c:v>
                </c:pt>
                <c:pt idx="434">
                  <c:v>1.58</c:v>
                </c:pt>
                <c:pt idx="435">
                  <c:v>1.49</c:v>
                </c:pt>
                <c:pt idx="436">
                  <c:v>1.44</c:v>
                </c:pt>
                <c:pt idx="437">
                  <c:v>1.2</c:v>
                </c:pt>
                <c:pt idx="438">
                  <c:v>1.05</c:v>
                </c:pt>
                <c:pt idx="439">
                  <c:v>1.1000000000000001</c:v>
                </c:pt>
                <c:pt idx="440">
                  <c:v>1.24</c:v>
                </c:pt>
                <c:pt idx="441">
                  <c:v>1.07</c:v>
                </c:pt>
                <c:pt idx="442">
                  <c:v>0.91</c:v>
                </c:pt>
                <c:pt idx="443">
                  <c:v>0.79</c:v>
                </c:pt>
                <c:pt idx="444">
                  <c:v>0.61</c:v>
                </c:pt>
                <c:pt idx="445">
                  <c:v>0.39</c:v>
                </c:pt>
                <c:pt idx="446">
                  <c:v>0.04</c:v>
                </c:pt>
                <c:pt idx="447">
                  <c:v>0.19</c:v>
                </c:pt>
                <c:pt idx="448">
                  <c:v>0.32</c:v>
                </c:pt>
                <c:pt idx="449">
                  <c:v>0.06</c:v>
                </c:pt>
                <c:pt idx="450">
                  <c:v>-0.22</c:v>
                </c:pt>
                <c:pt idx="451">
                  <c:v>-0.3</c:v>
                </c:pt>
                <c:pt idx="452">
                  <c:v>-0.39</c:v>
                </c:pt>
                <c:pt idx="453">
                  <c:v>-0.41</c:v>
                </c:pt>
                <c:pt idx="454">
                  <c:v>-0.7</c:v>
                </c:pt>
                <c:pt idx="455">
                  <c:v>-0.53</c:v>
                </c:pt>
                <c:pt idx="456">
                  <c:v>-0.69</c:v>
                </c:pt>
                <c:pt idx="457">
                  <c:v>-0.89</c:v>
                </c:pt>
                <c:pt idx="458">
                  <c:v>-0.57999999999999996</c:v>
                </c:pt>
                <c:pt idx="459">
                  <c:v>-0.6</c:v>
                </c:pt>
                <c:pt idx="460">
                  <c:v>-0.76</c:v>
                </c:pt>
                <c:pt idx="461">
                  <c:v>-1.06</c:v>
                </c:pt>
                <c:pt idx="462">
                  <c:v>-0.91</c:v>
                </c:pt>
                <c:pt idx="463">
                  <c:v>-0.76</c:v>
                </c:pt>
                <c:pt idx="464">
                  <c:v>-0.44</c:v>
                </c:pt>
                <c:pt idx="465">
                  <c:v>-0.19</c:v>
                </c:pt>
                <c:pt idx="466">
                  <c:v>-0.36</c:v>
                </c:pt>
                <c:pt idx="467">
                  <c:v>-0.35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286-4919-BCD6-F47FB150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2"/>
          <c:order val="1"/>
          <c:tx>
            <c:strRef>
              <c:f>'Labor Market'!$K$2</c:f>
              <c:strCache>
                <c:ptCount val="1"/>
                <c:pt idx="0">
                  <c:v>Initial Claims Monthly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'Monetary Policy + Market'!$A$268:$A$843</c:f>
              <c:numCache>
                <c:formatCode>[$-416]mmm\-yy;@</c:formatCode>
                <c:ptCount val="576"/>
                <c:pt idx="0">
                  <c:v>28126</c:v>
                </c:pt>
                <c:pt idx="1">
                  <c:v>28157</c:v>
                </c:pt>
                <c:pt idx="2">
                  <c:v>28185</c:v>
                </c:pt>
                <c:pt idx="3">
                  <c:v>28216</c:v>
                </c:pt>
                <c:pt idx="4">
                  <c:v>28246</c:v>
                </c:pt>
                <c:pt idx="5">
                  <c:v>28277</c:v>
                </c:pt>
                <c:pt idx="6">
                  <c:v>28307</c:v>
                </c:pt>
                <c:pt idx="7">
                  <c:v>28338</c:v>
                </c:pt>
                <c:pt idx="8">
                  <c:v>28369</c:v>
                </c:pt>
                <c:pt idx="9">
                  <c:v>28399</c:v>
                </c:pt>
                <c:pt idx="10">
                  <c:v>28430</c:v>
                </c:pt>
                <c:pt idx="11">
                  <c:v>28460</c:v>
                </c:pt>
                <c:pt idx="12">
                  <c:v>28491</c:v>
                </c:pt>
                <c:pt idx="13">
                  <c:v>28522</c:v>
                </c:pt>
                <c:pt idx="14">
                  <c:v>28550</c:v>
                </c:pt>
                <c:pt idx="15">
                  <c:v>28581</c:v>
                </c:pt>
                <c:pt idx="16">
                  <c:v>28611</c:v>
                </c:pt>
                <c:pt idx="17">
                  <c:v>28642</c:v>
                </c:pt>
                <c:pt idx="18">
                  <c:v>28672</c:v>
                </c:pt>
                <c:pt idx="19">
                  <c:v>28703</c:v>
                </c:pt>
                <c:pt idx="20">
                  <c:v>28734</c:v>
                </c:pt>
                <c:pt idx="21">
                  <c:v>28764</c:v>
                </c:pt>
                <c:pt idx="22">
                  <c:v>28795</c:v>
                </c:pt>
                <c:pt idx="23">
                  <c:v>28825</c:v>
                </c:pt>
                <c:pt idx="24">
                  <c:v>28856</c:v>
                </c:pt>
                <c:pt idx="25">
                  <c:v>28887</c:v>
                </c:pt>
                <c:pt idx="26">
                  <c:v>28915</c:v>
                </c:pt>
                <c:pt idx="27">
                  <c:v>28946</c:v>
                </c:pt>
                <c:pt idx="28">
                  <c:v>28976</c:v>
                </c:pt>
                <c:pt idx="29">
                  <c:v>29007</c:v>
                </c:pt>
                <c:pt idx="30">
                  <c:v>29037</c:v>
                </c:pt>
                <c:pt idx="31">
                  <c:v>29068</c:v>
                </c:pt>
                <c:pt idx="32">
                  <c:v>29099</c:v>
                </c:pt>
                <c:pt idx="33">
                  <c:v>29129</c:v>
                </c:pt>
                <c:pt idx="34">
                  <c:v>29160</c:v>
                </c:pt>
                <c:pt idx="35">
                  <c:v>29190</c:v>
                </c:pt>
                <c:pt idx="36">
                  <c:v>29221</c:v>
                </c:pt>
                <c:pt idx="37">
                  <c:v>29252</c:v>
                </c:pt>
                <c:pt idx="38">
                  <c:v>29281</c:v>
                </c:pt>
                <c:pt idx="39">
                  <c:v>29312</c:v>
                </c:pt>
                <c:pt idx="40">
                  <c:v>29342</c:v>
                </c:pt>
                <c:pt idx="41">
                  <c:v>29373</c:v>
                </c:pt>
                <c:pt idx="42">
                  <c:v>29403</c:v>
                </c:pt>
                <c:pt idx="43">
                  <c:v>29434</c:v>
                </c:pt>
                <c:pt idx="44">
                  <c:v>29465</c:v>
                </c:pt>
                <c:pt idx="45">
                  <c:v>29495</c:v>
                </c:pt>
                <c:pt idx="46">
                  <c:v>29526</c:v>
                </c:pt>
                <c:pt idx="47">
                  <c:v>29556</c:v>
                </c:pt>
                <c:pt idx="48">
                  <c:v>29587</c:v>
                </c:pt>
                <c:pt idx="49">
                  <c:v>29618</c:v>
                </c:pt>
                <c:pt idx="50">
                  <c:v>29646</c:v>
                </c:pt>
                <c:pt idx="51">
                  <c:v>29677</c:v>
                </c:pt>
                <c:pt idx="52">
                  <c:v>29707</c:v>
                </c:pt>
                <c:pt idx="53">
                  <c:v>29738</c:v>
                </c:pt>
                <c:pt idx="54">
                  <c:v>29768</c:v>
                </c:pt>
                <c:pt idx="55">
                  <c:v>29799</c:v>
                </c:pt>
                <c:pt idx="56">
                  <c:v>29830</c:v>
                </c:pt>
                <c:pt idx="57">
                  <c:v>29860</c:v>
                </c:pt>
                <c:pt idx="58">
                  <c:v>29891</c:v>
                </c:pt>
                <c:pt idx="59">
                  <c:v>29921</c:v>
                </c:pt>
                <c:pt idx="60">
                  <c:v>29952</c:v>
                </c:pt>
                <c:pt idx="61">
                  <c:v>29983</c:v>
                </c:pt>
                <c:pt idx="62">
                  <c:v>30011</c:v>
                </c:pt>
                <c:pt idx="63">
                  <c:v>30042</c:v>
                </c:pt>
                <c:pt idx="64">
                  <c:v>30072</c:v>
                </c:pt>
                <c:pt idx="65">
                  <c:v>30103</c:v>
                </c:pt>
                <c:pt idx="66">
                  <c:v>30133</c:v>
                </c:pt>
                <c:pt idx="67">
                  <c:v>30164</c:v>
                </c:pt>
                <c:pt idx="68">
                  <c:v>30195</c:v>
                </c:pt>
                <c:pt idx="69">
                  <c:v>30225</c:v>
                </c:pt>
                <c:pt idx="70">
                  <c:v>30256</c:v>
                </c:pt>
                <c:pt idx="71">
                  <c:v>30286</c:v>
                </c:pt>
                <c:pt idx="72">
                  <c:v>30317</c:v>
                </c:pt>
                <c:pt idx="73">
                  <c:v>30348</c:v>
                </c:pt>
                <c:pt idx="74">
                  <c:v>30376</c:v>
                </c:pt>
                <c:pt idx="75">
                  <c:v>30407</c:v>
                </c:pt>
                <c:pt idx="76">
                  <c:v>30437</c:v>
                </c:pt>
                <c:pt idx="77">
                  <c:v>30468</c:v>
                </c:pt>
                <c:pt idx="78">
                  <c:v>30498</c:v>
                </c:pt>
                <c:pt idx="79">
                  <c:v>30529</c:v>
                </c:pt>
                <c:pt idx="80">
                  <c:v>30560</c:v>
                </c:pt>
                <c:pt idx="81">
                  <c:v>30590</c:v>
                </c:pt>
                <c:pt idx="82">
                  <c:v>30621</c:v>
                </c:pt>
                <c:pt idx="83">
                  <c:v>30651</c:v>
                </c:pt>
                <c:pt idx="84">
                  <c:v>30682</c:v>
                </c:pt>
                <c:pt idx="85">
                  <c:v>30713</c:v>
                </c:pt>
                <c:pt idx="86">
                  <c:v>30742</c:v>
                </c:pt>
                <c:pt idx="87">
                  <c:v>30773</c:v>
                </c:pt>
                <c:pt idx="88">
                  <c:v>30803</c:v>
                </c:pt>
                <c:pt idx="89">
                  <c:v>30834</c:v>
                </c:pt>
                <c:pt idx="90">
                  <c:v>30864</c:v>
                </c:pt>
                <c:pt idx="91">
                  <c:v>30895</c:v>
                </c:pt>
                <c:pt idx="92">
                  <c:v>30926</c:v>
                </c:pt>
                <c:pt idx="93">
                  <c:v>30956</c:v>
                </c:pt>
                <c:pt idx="94">
                  <c:v>30987</c:v>
                </c:pt>
                <c:pt idx="95">
                  <c:v>31017</c:v>
                </c:pt>
                <c:pt idx="96">
                  <c:v>31048</c:v>
                </c:pt>
                <c:pt idx="97">
                  <c:v>31079</c:v>
                </c:pt>
                <c:pt idx="98">
                  <c:v>31107</c:v>
                </c:pt>
                <c:pt idx="99">
                  <c:v>31138</c:v>
                </c:pt>
                <c:pt idx="100">
                  <c:v>31168</c:v>
                </c:pt>
                <c:pt idx="101">
                  <c:v>31199</c:v>
                </c:pt>
                <c:pt idx="102">
                  <c:v>31229</c:v>
                </c:pt>
                <c:pt idx="103">
                  <c:v>31260</c:v>
                </c:pt>
                <c:pt idx="104">
                  <c:v>31291</c:v>
                </c:pt>
                <c:pt idx="105">
                  <c:v>31321</c:v>
                </c:pt>
                <c:pt idx="106">
                  <c:v>31352</c:v>
                </c:pt>
                <c:pt idx="107">
                  <c:v>31382</c:v>
                </c:pt>
                <c:pt idx="108">
                  <c:v>31413</c:v>
                </c:pt>
                <c:pt idx="109">
                  <c:v>31444</c:v>
                </c:pt>
                <c:pt idx="110">
                  <c:v>31472</c:v>
                </c:pt>
                <c:pt idx="111">
                  <c:v>31503</c:v>
                </c:pt>
                <c:pt idx="112">
                  <c:v>31533</c:v>
                </c:pt>
                <c:pt idx="113">
                  <c:v>31564</c:v>
                </c:pt>
                <c:pt idx="114">
                  <c:v>31594</c:v>
                </c:pt>
                <c:pt idx="115">
                  <c:v>31625</c:v>
                </c:pt>
                <c:pt idx="116">
                  <c:v>31656</c:v>
                </c:pt>
                <c:pt idx="117">
                  <c:v>31686</c:v>
                </c:pt>
                <c:pt idx="118">
                  <c:v>31717</c:v>
                </c:pt>
                <c:pt idx="119">
                  <c:v>31747</c:v>
                </c:pt>
                <c:pt idx="120">
                  <c:v>31778</c:v>
                </c:pt>
                <c:pt idx="121">
                  <c:v>31809</c:v>
                </c:pt>
                <c:pt idx="122">
                  <c:v>31837</c:v>
                </c:pt>
                <c:pt idx="123">
                  <c:v>31868</c:v>
                </c:pt>
                <c:pt idx="124">
                  <c:v>31898</c:v>
                </c:pt>
                <c:pt idx="125">
                  <c:v>31929</c:v>
                </c:pt>
                <c:pt idx="126">
                  <c:v>31959</c:v>
                </c:pt>
                <c:pt idx="127">
                  <c:v>31990</c:v>
                </c:pt>
                <c:pt idx="128">
                  <c:v>32021</c:v>
                </c:pt>
                <c:pt idx="129">
                  <c:v>32051</c:v>
                </c:pt>
                <c:pt idx="130">
                  <c:v>32082</c:v>
                </c:pt>
                <c:pt idx="131">
                  <c:v>32112</c:v>
                </c:pt>
                <c:pt idx="132">
                  <c:v>32143</c:v>
                </c:pt>
                <c:pt idx="133">
                  <c:v>32174</c:v>
                </c:pt>
                <c:pt idx="134">
                  <c:v>32203</c:v>
                </c:pt>
                <c:pt idx="135">
                  <c:v>32234</c:v>
                </c:pt>
                <c:pt idx="136">
                  <c:v>32264</c:v>
                </c:pt>
                <c:pt idx="137">
                  <c:v>32295</c:v>
                </c:pt>
                <c:pt idx="138">
                  <c:v>32325</c:v>
                </c:pt>
                <c:pt idx="139">
                  <c:v>32356</c:v>
                </c:pt>
                <c:pt idx="140">
                  <c:v>32387</c:v>
                </c:pt>
                <c:pt idx="141">
                  <c:v>32417</c:v>
                </c:pt>
                <c:pt idx="142">
                  <c:v>32448</c:v>
                </c:pt>
                <c:pt idx="143">
                  <c:v>32478</c:v>
                </c:pt>
                <c:pt idx="144">
                  <c:v>32509</c:v>
                </c:pt>
                <c:pt idx="145">
                  <c:v>32540</c:v>
                </c:pt>
                <c:pt idx="146">
                  <c:v>32568</c:v>
                </c:pt>
                <c:pt idx="147">
                  <c:v>32599</c:v>
                </c:pt>
                <c:pt idx="148">
                  <c:v>32629</c:v>
                </c:pt>
                <c:pt idx="149">
                  <c:v>32660</c:v>
                </c:pt>
                <c:pt idx="150">
                  <c:v>32690</c:v>
                </c:pt>
                <c:pt idx="151">
                  <c:v>32721</c:v>
                </c:pt>
                <c:pt idx="152">
                  <c:v>32752</c:v>
                </c:pt>
                <c:pt idx="153">
                  <c:v>32782</c:v>
                </c:pt>
                <c:pt idx="154">
                  <c:v>32813</c:v>
                </c:pt>
                <c:pt idx="155">
                  <c:v>32843</c:v>
                </c:pt>
                <c:pt idx="156">
                  <c:v>32874</c:v>
                </c:pt>
                <c:pt idx="157">
                  <c:v>32905</c:v>
                </c:pt>
                <c:pt idx="158">
                  <c:v>32933</c:v>
                </c:pt>
                <c:pt idx="159">
                  <c:v>32964</c:v>
                </c:pt>
                <c:pt idx="160">
                  <c:v>32994</c:v>
                </c:pt>
                <c:pt idx="161">
                  <c:v>33025</c:v>
                </c:pt>
                <c:pt idx="162">
                  <c:v>33055</c:v>
                </c:pt>
                <c:pt idx="163">
                  <c:v>33086</c:v>
                </c:pt>
                <c:pt idx="164">
                  <c:v>33117</c:v>
                </c:pt>
                <c:pt idx="165">
                  <c:v>33147</c:v>
                </c:pt>
                <c:pt idx="166">
                  <c:v>33178</c:v>
                </c:pt>
                <c:pt idx="167">
                  <c:v>33208</c:v>
                </c:pt>
                <c:pt idx="168">
                  <c:v>33239</c:v>
                </c:pt>
                <c:pt idx="169">
                  <c:v>33270</c:v>
                </c:pt>
                <c:pt idx="170">
                  <c:v>33298</c:v>
                </c:pt>
                <c:pt idx="171">
                  <c:v>33329</c:v>
                </c:pt>
                <c:pt idx="172">
                  <c:v>33359</c:v>
                </c:pt>
                <c:pt idx="173">
                  <c:v>33390</c:v>
                </c:pt>
                <c:pt idx="174">
                  <c:v>33420</c:v>
                </c:pt>
                <c:pt idx="175">
                  <c:v>33451</c:v>
                </c:pt>
                <c:pt idx="176">
                  <c:v>33482</c:v>
                </c:pt>
                <c:pt idx="177">
                  <c:v>33512</c:v>
                </c:pt>
                <c:pt idx="178">
                  <c:v>33543</c:v>
                </c:pt>
                <c:pt idx="179">
                  <c:v>33573</c:v>
                </c:pt>
                <c:pt idx="180">
                  <c:v>33604</c:v>
                </c:pt>
                <c:pt idx="181">
                  <c:v>33635</c:v>
                </c:pt>
                <c:pt idx="182">
                  <c:v>33664</c:v>
                </c:pt>
                <c:pt idx="183">
                  <c:v>33695</c:v>
                </c:pt>
                <c:pt idx="184">
                  <c:v>33725</c:v>
                </c:pt>
                <c:pt idx="185">
                  <c:v>33756</c:v>
                </c:pt>
                <c:pt idx="186">
                  <c:v>33786</c:v>
                </c:pt>
                <c:pt idx="187">
                  <c:v>33817</c:v>
                </c:pt>
                <c:pt idx="188">
                  <c:v>33848</c:v>
                </c:pt>
                <c:pt idx="189">
                  <c:v>33878</c:v>
                </c:pt>
                <c:pt idx="190">
                  <c:v>33909</c:v>
                </c:pt>
                <c:pt idx="191">
                  <c:v>33939</c:v>
                </c:pt>
                <c:pt idx="192">
                  <c:v>33970</c:v>
                </c:pt>
                <c:pt idx="193">
                  <c:v>34001</c:v>
                </c:pt>
                <c:pt idx="194">
                  <c:v>34029</c:v>
                </c:pt>
                <c:pt idx="195">
                  <c:v>34060</c:v>
                </c:pt>
                <c:pt idx="196">
                  <c:v>34090</c:v>
                </c:pt>
                <c:pt idx="197">
                  <c:v>34121</c:v>
                </c:pt>
                <c:pt idx="198">
                  <c:v>34151</c:v>
                </c:pt>
                <c:pt idx="199">
                  <c:v>34182</c:v>
                </c:pt>
                <c:pt idx="200">
                  <c:v>34213</c:v>
                </c:pt>
                <c:pt idx="201">
                  <c:v>34243</c:v>
                </c:pt>
                <c:pt idx="202">
                  <c:v>34274</c:v>
                </c:pt>
                <c:pt idx="203">
                  <c:v>34304</c:v>
                </c:pt>
                <c:pt idx="204">
                  <c:v>34335</c:v>
                </c:pt>
                <c:pt idx="205">
                  <c:v>34366</c:v>
                </c:pt>
                <c:pt idx="206">
                  <c:v>34394</c:v>
                </c:pt>
                <c:pt idx="207">
                  <c:v>34425</c:v>
                </c:pt>
                <c:pt idx="208">
                  <c:v>34455</c:v>
                </c:pt>
                <c:pt idx="209">
                  <c:v>34486</c:v>
                </c:pt>
                <c:pt idx="210">
                  <c:v>34516</c:v>
                </c:pt>
                <c:pt idx="211">
                  <c:v>34547</c:v>
                </c:pt>
                <c:pt idx="212">
                  <c:v>34578</c:v>
                </c:pt>
                <c:pt idx="213">
                  <c:v>34608</c:v>
                </c:pt>
                <c:pt idx="214">
                  <c:v>34639</c:v>
                </c:pt>
                <c:pt idx="215">
                  <c:v>34669</c:v>
                </c:pt>
                <c:pt idx="216">
                  <c:v>34700</c:v>
                </c:pt>
                <c:pt idx="217">
                  <c:v>34731</c:v>
                </c:pt>
                <c:pt idx="218">
                  <c:v>34759</c:v>
                </c:pt>
                <c:pt idx="219">
                  <c:v>34790</c:v>
                </c:pt>
                <c:pt idx="220">
                  <c:v>34820</c:v>
                </c:pt>
                <c:pt idx="221">
                  <c:v>34851</c:v>
                </c:pt>
                <c:pt idx="222">
                  <c:v>34881</c:v>
                </c:pt>
                <c:pt idx="223">
                  <c:v>34912</c:v>
                </c:pt>
                <c:pt idx="224">
                  <c:v>34943</c:v>
                </c:pt>
                <c:pt idx="225">
                  <c:v>34973</c:v>
                </c:pt>
                <c:pt idx="226">
                  <c:v>35004</c:v>
                </c:pt>
                <c:pt idx="227">
                  <c:v>35034</c:v>
                </c:pt>
                <c:pt idx="228">
                  <c:v>35065</c:v>
                </c:pt>
                <c:pt idx="229">
                  <c:v>35096</c:v>
                </c:pt>
                <c:pt idx="230">
                  <c:v>35125</c:v>
                </c:pt>
                <c:pt idx="231">
                  <c:v>35156</c:v>
                </c:pt>
                <c:pt idx="232">
                  <c:v>35186</c:v>
                </c:pt>
                <c:pt idx="233">
                  <c:v>35217</c:v>
                </c:pt>
                <c:pt idx="234">
                  <c:v>35247</c:v>
                </c:pt>
                <c:pt idx="235">
                  <c:v>35278</c:v>
                </c:pt>
                <c:pt idx="236">
                  <c:v>35309</c:v>
                </c:pt>
                <c:pt idx="237">
                  <c:v>35339</c:v>
                </c:pt>
                <c:pt idx="238">
                  <c:v>35370</c:v>
                </c:pt>
                <c:pt idx="239">
                  <c:v>35400</c:v>
                </c:pt>
                <c:pt idx="240">
                  <c:v>35431</c:v>
                </c:pt>
                <c:pt idx="241">
                  <c:v>35462</c:v>
                </c:pt>
                <c:pt idx="242">
                  <c:v>35490</c:v>
                </c:pt>
                <c:pt idx="243">
                  <c:v>35521</c:v>
                </c:pt>
                <c:pt idx="244">
                  <c:v>35551</c:v>
                </c:pt>
                <c:pt idx="245">
                  <c:v>35582</c:v>
                </c:pt>
                <c:pt idx="246">
                  <c:v>35612</c:v>
                </c:pt>
                <c:pt idx="247">
                  <c:v>35643</c:v>
                </c:pt>
                <c:pt idx="248">
                  <c:v>35674</c:v>
                </c:pt>
                <c:pt idx="249">
                  <c:v>35704</c:v>
                </c:pt>
                <c:pt idx="250">
                  <c:v>35735</c:v>
                </c:pt>
                <c:pt idx="251">
                  <c:v>35765</c:v>
                </c:pt>
                <c:pt idx="252">
                  <c:v>35796</c:v>
                </c:pt>
                <c:pt idx="253">
                  <c:v>35827</c:v>
                </c:pt>
                <c:pt idx="254">
                  <c:v>35855</c:v>
                </c:pt>
                <c:pt idx="255">
                  <c:v>35886</c:v>
                </c:pt>
                <c:pt idx="256">
                  <c:v>35916</c:v>
                </c:pt>
                <c:pt idx="257">
                  <c:v>35947</c:v>
                </c:pt>
                <c:pt idx="258">
                  <c:v>35977</c:v>
                </c:pt>
                <c:pt idx="259">
                  <c:v>36008</c:v>
                </c:pt>
                <c:pt idx="260">
                  <c:v>36039</c:v>
                </c:pt>
                <c:pt idx="261">
                  <c:v>36069</c:v>
                </c:pt>
                <c:pt idx="262">
                  <c:v>36100</c:v>
                </c:pt>
                <c:pt idx="263">
                  <c:v>36130</c:v>
                </c:pt>
                <c:pt idx="264">
                  <c:v>36161</c:v>
                </c:pt>
                <c:pt idx="265">
                  <c:v>36192</c:v>
                </c:pt>
                <c:pt idx="266">
                  <c:v>36220</c:v>
                </c:pt>
                <c:pt idx="267">
                  <c:v>36251</c:v>
                </c:pt>
                <c:pt idx="268">
                  <c:v>36281</c:v>
                </c:pt>
                <c:pt idx="269">
                  <c:v>36312</c:v>
                </c:pt>
                <c:pt idx="270">
                  <c:v>36342</c:v>
                </c:pt>
                <c:pt idx="271">
                  <c:v>36373</c:v>
                </c:pt>
                <c:pt idx="272">
                  <c:v>36404</c:v>
                </c:pt>
                <c:pt idx="273">
                  <c:v>36434</c:v>
                </c:pt>
                <c:pt idx="274">
                  <c:v>36465</c:v>
                </c:pt>
                <c:pt idx="275">
                  <c:v>36495</c:v>
                </c:pt>
                <c:pt idx="276">
                  <c:v>36526</c:v>
                </c:pt>
                <c:pt idx="277">
                  <c:v>36557</c:v>
                </c:pt>
                <c:pt idx="278">
                  <c:v>36586</c:v>
                </c:pt>
                <c:pt idx="279">
                  <c:v>36617</c:v>
                </c:pt>
                <c:pt idx="280">
                  <c:v>36647</c:v>
                </c:pt>
                <c:pt idx="281">
                  <c:v>36678</c:v>
                </c:pt>
                <c:pt idx="282">
                  <c:v>36708</c:v>
                </c:pt>
                <c:pt idx="283">
                  <c:v>36739</c:v>
                </c:pt>
                <c:pt idx="284">
                  <c:v>36770</c:v>
                </c:pt>
                <c:pt idx="285">
                  <c:v>36800</c:v>
                </c:pt>
                <c:pt idx="286">
                  <c:v>36831</c:v>
                </c:pt>
                <c:pt idx="287">
                  <c:v>36861</c:v>
                </c:pt>
                <c:pt idx="288">
                  <c:v>36892</c:v>
                </c:pt>
                <c:pt idx="289">
                  <c:v>36923</c:v>
                </c:pt>
                <c:pt idx="290">
                  <c:v>36951</c:v>
                </c:pt>
                <c:pt idx="291">
                  <c:v>36982</c:v>
                </c:pt>
                <c:pt idx="292">
                  <c:v>37012</c:v>
                </c:pt>
                <c:pt idx="293">
                  <c:v>37043</c:v>
                </c:pt>
                <c:pt idx="294">
                  <c:v>37073</c:v>
                </c:pt>
                <c:pt idx="295">
                  <c:v>37104</c:v>
                </c:pt>
                <c:pt idx="296">
                  <c:v>37135</c:v>
                </c:pt>
                <c:pt idx="297">
                  <c:v>37165</c:v>
                </c:pt>
                <c:pt idx="298">
                  <c:v>37196</c:v>
                </c:pt>
                <c:pt idx="299">
                  <c:v>37226</c:v>
                </c:pt>
                <c:pt idx="300">
                  <c:v>37257</c:v>
                </c:pt>
                <c:pt idx="301">
                  <c:v>37288</c:v>
                </c:pt>
                <c:pt idx="302">
                  <c:v>37316</c:v>
                </c:pt>
                <c:pt idx="303">
                  <c:v>37347</c:v>
                </c:pt>
                <c:pt idx="304">
                  <c:v>37377</c:v>
                </c:pt>
                <c:pt idx="305">
                  <c:v>37408</c:v>
                </c:pt>
                <c:pt idx="306">
                  <c:v>37438</c:v>
                </c:pt>
                <c:pt idx="307">
                  <c:v>37469</c:v>
                </c:pt>
                <c:pt idx="308">
                  <c:v>37500</c:v>
                </c:pt>
                <c:pt idx="309">
                  <c:v>37530</c:v>
                </c:pt>
                <c:pt idx="310">
                  <c:v>37561</c:v>
                </c:pt>
                <c:pt idx="311">
                  <c:v>37591</c:v>
                </c:pt>
                <c:pt idx="312">
                  <c:v>37622</c:v>
                </c:pt>
                <c:pt idx="313">
                  <c:v>37653</c:v>
                </c:pt>
                <c:pt idx="314">
                  <c:v>37681</c:v>
                </c:pt>
                <c:pt idx="315">
                  <c:v>37712</c:v>
                </c:pt>
                <c:pt idx="316">
                  <c:v>37742</c:v>
                </c:pt>
                <c:pt idx="317">
                  <c:v>37773</c:v>
                </c:pt>
                <c:pt idx="318">
                  <c:v>37803</c:v>
                </c:pt>
                <c:pt idx="319">
                  <c:v>37834</c:v>
                </c:pt>
                <c:pt idx="320">
                  <c:v>37865</c:v>
                </c:pt>
                <c:pt idx="321">
                  <c:v>37895</c:v>
                </c:pt>
                <c:pt idx="322">
                  <c:v>37926</c:v>
                </c:pt>
                <c:pt idx="323">
                  <c:v>37956</c:v>
                </c:pt>
                <c:pt idx="324">
                  <c:v>37987</c:v>
                </c:pt>
                <c:pt idx="325">
                  <c:v>38018</c:v>
                </c:pt>
                <c:pt idx="326">
                  <c:v>38047</c:v>
                </c:pt>
                <c:pt idx="327">
                  <c:v>38078</c:v>
                </c:pt>
                <c:pt idx="328">
                  <c:v>38108</c:v>
                </c:pt>
                <c:pt idx="329">
                  <c:v>38139</c:v>
                </c:pt>
                <c:pt idx="330">
                  <c:v>38169</c:v>
                </c:pt>
                <c:pt idx="331">
                  <c:v>38200</c:v>
                </c:pt>
                <c:pt idx="332">
                  <c:v>38231</c:v>
                </c:pt>
                <c:pt idx="333">
                  <c:v>38261</c:v>
                </c:pt>
                <c:pt idx="334">
                  <c:v>38292</c:v>
                </c:pt>
                <c:pt idx="335">
                  <c:v>38322</c:v>
                </c:pt>
                <c:pt idx="336">
                  <c:v>38353</c:v>
                </c:pt>
                <c:pt idx="337">
                  <c:v>38384</c:v>
                </c:pt>
                <c:pt idx="338">
                  <c:v>38412</c:v>
                </c:pt>
                <c:pt idx="339">
                  <c:v>38443</c:v>
                </c:pt>
                <c:pt idx="340">
                  <c:v>38473</c:v>
                </c:pt>
                <c:pt idx="341">
                  <c:v>38504</c:v>
                </c:pt>
                <c:pt idx="342">
                  <c:v>38534</c:v>
                </c:pt>
                <c:pt idx="343">
                  <c:v>38565</c:v>
                </c:pt>
                <c:pt idx="344">
                  <c:v>38596</c:v>
                </c:pt>
                <c:pt idx="345">
                  <c:v>38626</c:v>
                </c:pt>
                <c:pt idx="346">
                  <c:v>38657</c:v>
                </c:pt>
                <c:pt idx="347">
                  <c:v>38687</c:v>
                </c:pt>
                <c:pt idx="348">
                  <c:v>38718</c:v>
                </c:pt>
                <c:pt idx="349">
                  <c:v>38749</c:v>
                </c:pt>
                <c:pt idx="350">
                  <c:v>38777</c:v>
                </c:pt>
                <c:pt idx="351">
                  <c:v>38808</c:v>
                </c:pt>
                <c:pt idx="352">
                  <c:v>38838</c:v>
                </c:pt>
                <c:pt idx="353">
                  <c:v>38869</c:v>
                </c:pt>
                <c:pt idx="354">
                  <c:v>38899</c:v>
                </c:pt>
                <c:pt idx="355">
                  <c:v>38930</c:v>
                </c:pt>
                <c:pt idx="356">
                  <c:v>38961</c:v>
                </c:pt>
                <c:pt idx="357">
                  <c:v>38991</c:v>
                </c:pt>
                <c:pt idx="358">
                  <c:v>39022</c:v>
                </c:pt>
                <c:pt idx="359">
                  <c:v>39052</c:v>
                </c:pt>
                <c:pt idx="360">
                  <c:v>39083</c:v>
                </c:pt>
                <c:pt idx="361">
                  <c:v>39114</c:v>
                </c:pt>
                <c:pt idx="362">
                  <c:v>39142</c:v>
                </c:pt>
                <c:pt idx="363">
                  <c:v>39173</c:v>
                </c:pt>
                <c:pt idx="364">
                  <c:v>39203</c:v>
                </c:pt>
                <c:pt idx="365">
                  <c:v>39234</c:v>
                </c:pt>
                <c:pt idx="366">
                  <c:v>39264</c:v>
                </c:pt>
                <c:pt idx="367">
                  <c:v>39295</c:v>
                </c:pt>
                <c:pt idx="368">
                  <c:v>39326</c:v>
                </c:pt>
                <c:pt idx="369">
                  <c:v>39356</c:v>
                </c:pt>
                <c:pt idx="370">
                  <c:v>39387</c:v>
                </c:pt>
                <c:pt idx="371">
                  <c:v>39417</c:v>
                </c:pt>
                <c:pt idx="372">
                  <c:v>39448</c:v>
                </c:pt>
                <c:pt idx="373">
                  <c:v>39479</c:v>
                </c:pt>
                <c:pt idx="374">
                  <c:v>39508</c:v>
                </c:pt>
                <c:pt idx="375">
                  <c:v>39539</c:v>
                </c:pt>
                <c:pt idx="376">
                  <c:v>39569</c:v>
                </c:pt>
                <c:pt idx="377">
                  <c:v>39600</c:v>
                </c:pt>
                <c:pt idx="378">
                  <c:v>39630</c:v>
                </c:pt>
                <c:pt idx="379">
                  <c:v>39661</c:v>
                </c:pt>
                <c:pt idx="380">
                  <c:v>39692</c:v>
                </c:pt>
                <c:pt idx="381">
                  <c:v>39722</c:v>
                </c:pt>
                <c:pt idx="382">
                  <c:v>39753</c:v>
                </c:pt>
                <c:pt idx="383">
                  <c:v>39783</c:v>
                </c:pt>
                <c:pt idx="384">
                  <c:v>39814</c:v>
                </c:pt>
                <c:pt idx="385">
                  <c:v>39845</c:v>
                </c:pt>
                <c:pt idx="386">
                  <c:v>39873</c:v>
                </c:pt>
                <c:pt idx="387">
                  <c:v>39904</c:v>
                </c:pt>
                <c:pt idx="388">
                  <c:v>39934</c:v>
                </c:pt>
                <c:pt idx="389">
                  <c:v>39965</c:v>
                </c:pt>
                <c:pt idx="390">
                  <c:v>39995</c:v>
                </c:pt>
                <c:pt idx="391">
                  <c:v>40026</c:v>
                </c:pt>
                <c:pt idx="392">
                  <c:v>40057</c:v>
                </c:pt>
                <c:pt idx="393">
                  <c:v>40087</c:v>
                </c:pt>
                <c:pt idx="394">
                  <c:v>40118</c:v>
                </c:pt>
                <c:pt idx="395">
                  <c:v>40148</c:v>
                </c:pt>
                <c:pt idx="396">
                  <c:v>40179</c:v>
                </c:pt>
                <c:pt idx="397">
                  <c:v>40210</c:v>
                </c:pt>
                <c:pt idx="398">
                  <c:v>40238</c:v>
                </c:pt>
                <c:pt idx="399">
                  <c:v>40269</c:v>
                </c:pt>
                <c:pt idx="400">
                  <c:v>40299</c:v>
                </c:pt>
                <c:pt idx="401">
                  <c:v>40330</c:v>
                </c:pt>
                <c:pt idx="402">
                  <c:v>40360</c:v>
                </c:pt>
                <c:pt idx="403">
                  <c:v>40391</c:v>
                </c:pt>
                <c:pt idx="404">
                  <c:v>40422</c:v>
                </c:pt>
                <c:pt idx="405">
                  <c:v>40452</c:v>
                </c:pt>
                <c:pt idx="406">
                  <c:v>40483</c:v>
                </c:pt>
                <c:pt idx="407">
                  <c:v>40513</c:v>
                </c:pt>
                <c:pt idx="408">
                  <c:v>40544</c:v>
                </c:pt>
                <c:pt idx="409">
                  <c:v>40575</c:v>
                </c:pt>
                <c:pt idx="410">
                  <c:v>40603</c:v>
                </c:pt>
                <c:pt idx="411">
                  <c:v>40634</c:v>
                </c:pt>
                <c:pt idx="412">
                  <c:v>40664</c:v>
                </c:pt>
                <c:pt idx="413">
                  <c:v>40695</c:v>
                </c:pt>
                <c:pt idx="414">
                  <c:v>40725</c:v>
                </c:pt>
                <c:pt idx="415">
                  <c:v>40756</c:v>
                </c:pt>
                <c:pt idx="416">
                  <c:v>40787</c:v>
                </c:pt>
                <c:pt idx="417">
                  <c:v>40817</c:v>
                </c:pt>
                <c:pt idx="418">
                  <c:v>40848</c:v>
                </c:pt>
                <c:pt idx="419">
                  <c:v>40878</c:v>
                </c:pt>
                <c:pt idx="420">
                  <c:v>40909</c:v>
                </c:pt>
                <c:pt idx="421">
                  <c:v>40940</c:v>
                </c:pt>
                <c:pt idx="422">
                  <c:v>40969</c:v>
                </c:pt>
                <c:pt idx="423">
                  <c:v>41000</c:v>
                </c:pt>
                <c:pt idx="424">
                  <c:v>41030</c:v>
                </c:pt>
                <c:pt idx="425">
                  <c:v>41061</c:v>
                </c:pt>
                <c:pt idx="426">
                  <c:v>41091</c:v>
                </c:pt>
                <c:pt idx="427">
                  <c:v>41122</c:v>
                </c:pt>
                <c:pt idx="428">
                  <c:v>41153</c:v>
                </c:pt>
                <c:pt idx="429">
                  <c:v>41183</c:v>
                </c:pt>
                <c:pt idx="430">
                  <c:v>41214</c:v>
                </c:pt>
                <c:pt idx="431">
                  <c:v>41244</c:v>
                </c:pt>
                <c:pt idx="432">
                  <c:v>41275</c:v>
                </c:pt>
                <c:pt idx="433">
                  <c:v>41306</c:v>
                </c:pt>
                <c:pt idx="434">
                  <c:v>41334</c:v>
                </c:pt>
                <c:pt idx="435">
                  <c:v>41365</c:v>
                </c:pt>
                <c:pt idx="436">
                  <c:v>41395</c:v>
                </c:pt>
                <c:pt idx="437">
                  <c:v>41426</c:v>
                </c:pt>
                <c:pt idx="438">
                  <c:v>41456</c:v>
                </c:pt>
                <c:pt idx="439">
                  <c:v>41487</c:v>
                </c:pt>
                <c:pt idx="440">
                  <c:v>41518</c:v>
                </c:pt>
                <c:pt idx="441">
                  <c:v>41548</c:v>
                </c:pt>
                <c:pt idx="442">
                  <c:v>41579</c:v>
                </c:pt>
                <c:pt idx="443">
                  <c:v>41609</c:v>
                </c:pt>
                <c:pt idx="444">
                  <c:v>41640</c:v>
                </c:pt>
                <c:pt idx="445">
                  <c:v>41671</c:v>
                </c:pt>
                <c:pt idx="446">
                  <c:v>41699</c:v>
                </c:pt>
                <c:pt idx="447">
                  <c:v>41730</c:v>
                </c:pt>
                <c:pt idx="448">
                  <c:v>41760</c:v>
                </c:pt>
                <c:pt idx="449">
                  <c:v>41791</c:v>
                </c:pt>
                <c:pt idx="450">
                  <c:v>41821</c:v>
                </c:pt>
                <c:pt idx="451">
                  <c:v>41852</c:v>
                </c:pt>
                <c:pt idx="452">
                  <c:v>41883</c:v>
                </c:pt>
                <c:pt idx="453">
                  <c:v>41913</c:v>
                </c:pt>
                <c:pt idx="454">
                  <c:v>41944</c:v>
                </c:pt>
                <c:pt idx="455">
                  <c:v>41974</c:v>
                </c:pt>
                <c:pt idx="456">
                  <c:v>42005</c:v>
                </c:pt>
                <c:pt idx="457">
                  <c:v>42036</c:v>
                </c:pt>
                <c:pt idx="458">
                  <c:v>42064</c:v>
                </c:pt>
                <c:pt idx="459">
                  <c:v>42095</c:v>
                </c:pt>
                <c:pt idx="460">
                  <c:v>42125</c:v>
                </c:pt>
                <c:pt idx="461">
                  <c:v>42156</c:v>
                </c:pt>
                <c:pt idx="462">
                  <c:v>42186</c:v>
                </c:pt>
                <c:pt idx="463">
                  <c:v>42217</c:v>
                </c:pt>
                <c:pt idx="464">
                  <c:v>42248</c:v>
                </c:pt>
                <c:pt idx="465">
                  <c:v>42278</c:v>
                </c:pt>
                <c:pt idx="466">
                  <c:v>42309</c:v>
                </c:pt>
                <c:pt idx="467">
                  <c:v>42339</c:v>
                </c:pt>
                <c:pt idx="468">
                  <c:v>42370</c:v>
                </c:pt>
                <c:pt idx="469">
                  <c:v>42401</c:v>
                </c:pt>
                <c:pt idx="470">
                  <c:v>42430</c:v>
                </c:pt>
                <c:pt idx="471">
                  <c:v>42461</c:v>
                </c:pt>
                <c:pt idx="472">
                  <c:v>42491</c:v>
                </c:pt>
                <c:pt idx="473">
                  <c:v>42522</c:v>
                </c:pt>
                <c:pt idx="474">
                  <c:v>42552</c:v>
                </c:pt>
                <c:pt idx="475">
                  <c:v>42583</c:v>
                </c:pt>
                <c:pt idx="476">
                  <c:v>42614</c:v>
                </c:pt>
                <c:pt idx="477">
                  <c:v>42644</c:v>
                </c:pt>
                <c:pt idx="478">
                  <c:v>42675</c:v>
                </c:pt>
                <c:pt idx="479">
                  <c:v>42705</c:v>
                </c:pt>
                <c:pt idx="480">
                  <c:v>42736</c:v>
                </c:pt>
                <c:pt idx="481">
                  <c:v>42767</c:v>
                </c:pt>
                <c:pt idx="482">
                  <c:v>42795</c:v>
                </c:pt>
                <c:pt idx="483">
                  <c:v>42826</c:v>
                </c:pt>
                <c:pt idx="484">
                  <c:v>42856</c:v>
                </c:pt>
                <c:pt idx="485">
                  <c:v>42887</c:v>
                </c:pt>
                <c:pt idx="486">
                  <c:v>42917</c:v>
                </c:pt>
                <c:pt idx="487">
                  <c:v>42948</c:v>
                </c:pt>
                <c:pt idx="488">
                  <c:v>42979</c:v>
                </c:pt>
                <c:pt idx="489">
                  <c:v>43009</c:v>
                </c:pt>
                <c:pt idx="490">
                  <c:v>43040</c:v>
                </c:pt>
                <c:pt idx="491">
                  <c:v>43070</c:v>
                </c:pt>
                <c:pt idx="492">
                  <c:v>43101</c:v>
                </c:pt>
                <c:pt idx="493">
                  <c:v>43132</c:v>
                </c:pt>
                <c:pt idx="494">
                  <c:v>43160</c:v>
                </c:pt>
                <c:pt idx="495">
                  <c:v>43191</c:v>
                </c:pt>
                <c:pt idx="496">
                  <c:v>43221</c:v>
                </c:pt>
                <c:pt idx="497">
                  <c:v>43252</c:v>
                </c:pt>
                <c:pt idx="498">
                  <c:v>43282</c:v>
                </c:pt>
                <c:pt idx="499">
                  <c:v>43313</c:v>
                </c:pt>
                <c:pt idx="500">
                  <c:v>43344</c:v>
                </c:pt>
                <c:pt idx="501">
                  <c:v>43374</c:v>
                </c:pt>
                <c:pt idx="502">
                  <c:v>43405</c:v>
                </c:pt>
                <c:pt idx="503">
                  <c:v>43435</c:v>
                </c:pt>
                <c:pt idx="504">
                  <c:v>43466</c:v>
                </c:pt>
                <c:pt idx="505">
                  <c:v>43497</c:v>
                </c:pt>
                <c:pt idx="506">
                  <c:v>43525</c:v>
                </c:pt>
                <c:pt idx="507">
                  <c:v>43556</c:v>
                </c:pt>
                <c:pt idx="508">
                  <c:v>43586</c:v>
                </c:pt>
                <c:pt idx="509">
                  <c:v>43617</c:v>
                </c:pt>
                <c:pt idx="510">
                  <c:v>43647</c:v>
                </c:pt>
                <c:pt idx="511">
                  <c:v>43678</c:v>
                </c:pt>
                <c:pt idx="512">
                  <c:v>43709</c:v>
                </c:pt>
                <c:pt idx="513">
                  <c:v>43739</c:v>
                </c:pt>
                <c:pt idx="514">
                  <c:v>43770</c:v>
                </c:pt>
                <c:pt idx="515">
                  <c:v>43800</c:v>
                </c:pt>
                <c:pt idx="516">
                  <c:v>43831</c:v>
                </c:pt>
                <c:pt idx="517">
                  <c:v>43862</c:v>
                </c:pt>
                <c:pt idx="518">
                  <c:v>43891</c:v>
                </c:pt>
                <c:pt idx="519">
                  <c:v>43922</c:v>
                </c:pt>
                <c:pt idx="520">
                  <c:v>43952</c:v>
                </c:pt>
                <c:pt idx="521">
                  <c:v>43983</c:v>
                </c:pt>
                <c:pt idx="522">
                  <c:v>44013</c:v>
                </c:pt>
                <c:pt idx="523">
                  <c:v>44044</c:v>
                </c:pt>
                <c:pt idx="524">
                  <c:v>44075</c:v>
                </c:pt>
                <c:pt idx="525">
                  <c:v>44105</c:v>
                </c:pt>
                <c:pt idx="526">
                  <c:v>44136</c:v>
                </c:pt>
                <c:pt idx="527">
                  <c:v>44166</c:v>
                </c:pt>
                <c:pt idx="528">
                  <c:v>44197</c:v>
                </c:pt>
                <c:pt idx="529">
                  <c:v>44228</c:v>
                </c:pt>
                <c:pt idx="530">
                  <c:v>44256</c:v>
                </c:pt>
                <c:pt idx="531">
                  <c:v>44287</c:v>
                </c:pt>
                <c:pt idx="532">
                  <c:v>44317</c:v>
                </c:pt>
                <c:pt idx="533">
                  <c:v>44348</c:v>
                </c:pt>
                <c:pt idx="534">
                  <c:v>44378</c:v>
                </c:pt>
                <c:pt idx="535">
                  <c:v>44409</c:v>
                </c:pt>
                <c:pt idx="536">
                  <c:v>44440</c:v>
                </c:pt>
                <c:pt idx="537">
                  <c:v>44470</c:v>
                </c:pt>
                <c:pt idx="538">
                  <c:v>44501</c:v>
                </c:pt>
                <c:pt idx="539">
                  <c:v>44531</c:v>
                </c:pt>
                <c:pt idx="540">
                  <c:v>44562</c:v>
                </c:pt>
                <c:pt idx="541">
                  <c:v>44593</c:v>
                </c:pt>
                <c:pt idx="542">
                  <c:v>44621</c:v>
                </c:pt>
                <c:pt idx="543">
                  <c:v>44652</c:v>
                </c:pt>
                <c:pt idx="544">
                  <c:v>44682</c:v>
                </c:pt>
                <c:pt idx="545">
                  <c:v>44713</c:v>
                </c:pt>
                <c:pt idx="546">
                  <c:v>44743</c:v>
                </c:pt>
                <c:pt idx="547">
                  <c:v>44774</c:v>
                </c:pt>
                <c:pt idx="548">
                  <c:v>44805</c:v>
                </c:pt>
                <c:pt idx="549">
                  <c:v>44835</c:v>
                </c:pt>
                <c:pt idx="550">
                  <c:v>44866</c:v>
                </c:pt>
                <c:pt idx="551">
                  <c:v>44896</c:v>
                </c:pt>
                <c:pt idx="552">
                  <c:v>44927</c:v>
                </c:pt>
                <c:pt idx="553">
                  <c:v>44958</c:v>
                </c:pt>
                <c:pt idx="554">
                  <c:v>44986</c:v>
                </c:pt>
                <c:pt idx="555">
                  <c:v>45017</c:v>
                </c:pt>
                <c:pt idx="556">
                  <c:v>45047</c:v>
                </c:pt>
                <c:pt idx="557">
                  <c:v>45078</c:v>
                </c:pt>
                <c:pt idx="558">
                  <c:v>45108</c:v>
                </c:pt>
                <c:pt idx="559">
                  <c:v>45139</c:v>
                </c:pt>
                <c:pt idx="560">
                  <c:v>45170</c:v>
                </c:pt>
                <c:pt idx="561">
                  <c:v>45200</c:v>
                </c:pt>
                <c:pt idx="562">
                  <c:v>45231</c:v>
                </c:pt>
                <c:pt idx="563">
                  <c:v>45261</c:v>
                </c:pt>
                <c:pt idx="564">
                  <c:v>45292</c:v>
                </c:pt>
                <c:pt idx="565">
                  <c:v>45323</c:v>
                </c:pt>
                <c:pt idx="566">
                  <c:v>45352</c:v>
                </c:pt>
                <c:pt idx="567">
                  <c:v>45383</c:v>
                </c:pt>
                <c:pt idx="568">
                  <c:v>45413</c:v>
                </c:pt>
                <c:pt idx="569">
                  <c:v>45444</c:v>
                </c:pt>
                <c:pt idx="570">
                  <c:v>45474</c:v>
                </c:pt>
                <c:pt idx="571">
                  <c:v>45505</c:v>
                </c:pt>
                <c:pt idx="572">
                  <c:v>45536</c:v>
                </c:pt>
                <c:pt idx="573">
                  <c:v>45566</c:v>
                </c:pt>
                <c:pt idx="574">
                  <c:v>45597</c:v>
                </c:pt>
                <c:pt idx="575">
                  <c:v>45627</c:v>
                </c:pt>
              </c:numCache>
            </c:numRef>
          </c:cat>
          <c:val>
            <c:numRef>
              <c:f>'Labor Market'!$K$447:$K$926</c:f>
              <c:numCache>
                <c:formatCode>#,##0</c:formatCode>
                <c:ptCount val="480"/>
                <c:pt idx="0">
                  <c:v>368000</c:v>
                </c:pt>
                <c:pt idx="1">
                  <c:v>390000</c:v>
                </c:pt>
                <c:pt idx="2">
                  <c:v>386000</c:v>
                </c:pt>
                <c:pt idx="3">
                  <c:v>386000</c:v>
                </c:pt>
                <c:pt idx="4">
                  <c:v>396000</c:v>
                </c:pt>
                <c:pt idx="5">
                  <c:v>390000</c:v>
                </c:pt>
                <c:pt idx="6">
                  <c:v>362000</c:v>
                </c:pt>
                <c:pt idx="7">
                  <c:v>409000</c:v>
                </c:pt>
                <c:pt idx="8">
                  <c:v>399000</c:v>
                </c:pt>
                <c:pt idx="9">
                  <c:v>418000</c:v>
                </c:pt>
                <c:pt idx="10">
                  <c:v>393000</c:v>
                </c:pt>
                <c:pt idx="11">
                  <c:v>390000</c:v>
                </c:pt>
                <c:pt idx="12">
                  <c:v>344000</c:v>
                </c:pt>
                <c:pt idx="13">
                  <c:v>390000</c:v>
                </c:pt>
                <c:pt idx="14">
                  <c:v>396000</c:v>
                </c:pt>
                <c:pt idx="15">
                  <c:v>391000</c:v>
                </c:pt>
                <c:pt idx="16">
                  <c:v>373000</c:v>
                </c:pt>
                <c:pt idx="17">
                  <c:v>371000</c:v>
                </c:pt>
                <c:pt idx="18">
                  <c:v>362000</c:v>
                </c:pt>
                <c:pt idx="19">
                  <c:v>401000</c:v>
                </c:pt>
                <c:pt idx="20">
                  <c:v>389000</c:v>
                </c:pt>
                <c:pt idx="21">
                  <c:v>370000</c:v>
                </c:pt>
                <c:pt idx="22">
                  <c:v>366000</c:v>
                </c:pt>
                <c:pt idx="23">
                  <c:v>345000</c:v>
                </c:pt>
                <c:pt idx="24">
                  <c:v>370000</c:v>
                </c:pt>
                <c:pt idx="25">
                  <c:v>348000</c:v>
                </c:pt>
                <c:pt idx="26">
                  <c:v>326000</c:v>
                </c:pt>
                <c:pt idx="27">
                  <c:v>328000</c:v>
                </c:pt>
                <c:pt idx="28">
                  <c:v>326000</c:v>
                </c:pt>
                <c:pt idx="29">
                  <c:v>326000</c:v>
                </c:pt>
                <c:pt idx="30">
                  <c:v>324000</c:v>
                </c:pt>
                <c:pt idx="31">
                  <c:v>322000</c:v>
                </c:pt>
                <c:pt idx="32">
                  <c:v>317000</c:v>
                </c:pt>
                <c:pt idx="33">
                  <c:v>289000</c:v>
                </c:pt>
                <c:pt idx="34">
                  <c:v>306000</c:v>
                </c:pt>
                <c:pt idx="35">
                  <c:v>316000</c:v>
                </c:pt>
                <c:pt idx="36">
                  <c:v>342000</c:v>
                </c:pt>
                <c:pt idx="37">
                  <c:v>319000</c:v>
                </c:pt>
                <c:pt idx="38">
                  <c:v>304000</c:v>
                </c:pt>
                <c:pt idx="39">
                  <c:v>313000</c:v>
                </c:pt>
                <c:pt idx="40">
                  <c:v>313000</c:v>
                </c:pt>
                <c:pt idx="41">
                  <c:v>307000</c:v>
                </c:pt>
                <c:pt idx="42">
                  <c:v>331000</c:v>
                </c:pt>
                <c:pt idx="43">
                  <c:v>315000</c:v>
                </c:pt>
                <c:pt idx="44">
                  <c:v>301000</c:v>
                </c:pt>
                <c:pt idx="45">
                  <c:v>294000</c:v>
                </c:pt>
                <c:pt idx="46">
                  <c:v>299000</c:v>
                </c:pt>
                <c:pt idx="47">
                  <c:v>304000</c:v>
                </c:pt>
                <c:pt idx="48">
                  <c:v>295000</c:v>
                </c:pt>
                <c:pt idx="49">
                  <c:v>300000</c:v>
                </c:pt>
                <c:pt idx="50">
                  <c:v>319000</c:v>
                </c:pt>
                <c:pt idx="51">
                  <c:v>311000</c:v>
                </c:pt>
                <c:pt idx="52">
                  <c:v>325000</c:v>
                </c:pt>
                <c:pt idx="53">
                  <c:v>338000</c:v>
                </c:pt>
                <c:pt idx="54">
                  <c:v>337000</c:v>
                </c:pt>
                <c:pt idx="55">
                  <c:v>332000</c:v>
                </c:pt>
                <c:pt idx="56">
                  <c:v>347000</c:v>
                </c:pt>
                <c:pt idx="57">
                  <c:v>354000</c:v>
                </c:pt>
                <c:pt idx="58">
                  <c:v>342000</c:v>
                </c:pt>
                <c:pt idx="59">
                  <c:v>358000</c:v>
                </c:pt>
                <c:pt idx="60">
                  <c:v>345000</c:v>
                </c:pt>
                <c:pt idx="61">
                  <c:v>350000</c:v>
                </c:pt>
                <c:pt idx="62">
                  <c:v>346000</c:v>
                </c:pt>
                <c:pt idx="63">
                  <c:v>363000</c:v>
                </c:pt>
                <c:pt idx="64">
                  <c:v>359000</c:v>
                </c:pt>
                <c:pt idx="65">
                  <c:v>364000</c:v>
                </c:pt>
                <c:pt idx="66">
                  <c:v>369000</c:v>
                </c:pt>
                <c:pt idx="67">
                  <c:v>394000</c:v>
                </c:pt>
                <c:pt idx="68">
                  <c:v>404000</c:v>
                </c:pt>
                <c:pt idx="69">
                  <c:v>440000</c:v>
                </c:pt>
                <c:pt idx="70">
                  <c:v>462000</c:v>
                </c:pt>
                <c:pt idx="71">
                  <c:v>454000</c:v>
                </c:pt>
                <c:pt idx="72">
                  <c:v>462000</c:v>
                </c:pt>
                <c:pt idx="73">
                  <c:v>499000</c:v>
                </c:pt>
                <c:pt idx="74">
                  <c:v>499000</c:v>
                </c:pt>
                <c:pt idx="75">
                  <c:v>462000</c:v>
                </c:pt>
                <c:pt idx="76">
                  <c:v>443000</c:v>
                </c:pt>
                <c:pt idx="77">
                  <c:v>418000</c:v>
                </c:pt>
                <c:pt idx="78">
                  <c:v>423000</c:v>
                </c:pt>
                <c:pt idx="79">
                  <c:v>425000</c:v>
                </c:pt>
                <c:pt idx="80">
                  <c:v>437000</c:v>
                </c:pt>
                <c:pt idx="81">
                  <c:v>423000</c:v>
                </c:pt>
                <c:pt idx="82">
                  <c:v>444000</c:v>
                </c:pt>
                <c:pt idx="83">
                  <c:v>441000</c:v>
                </c:pt>
                <c:pt idx="84">
                  <c:v>441000</c:v>
                </c:pt>
                <c:pt idx="85">
                  <c:v>444000</c:v>
                </c:pt>
                <c:pt idx="86">
                  <c:v>420000</c:v>
                </c:pt>
                <c:pt idx="87">
                  <c:v>424000</c:v>
                </c:pt>
                <c:pt idx="88">
                  <c:v>411000</c:v>
                </c:pt>
                <c:pt idx="89">
                  <c:v>420000</c:v>
                </c:pt>
                <c:pt idx="90">
                  <c:v>564000</c:v>
                </c:pt>
                <c:pt idx="91">
                  <c:v>408000</c:v>
                </c:pt>
                <c:pt idx="92">
                  <c:v>409000</c:v>
                </c:pt>
                <c:pt idx="93">
                  <c:v>365000</c:v>
                </c:pt>
                <c:pt idx="94">
                  <c:v>341000</c:v>
                </c:pt>
                <c:pt idx="95">
                  <c:v>313000</c:v>
                </c:pt>
                <c:pt idx="96">
                  <c:v>340000</c:v>
                </c:pt>
                <c:pt idx="97">
                  <c:v>362000</c:v>
                </c:pt>
                <c:pt idx="98">
                  <c:v>366000</c:v>
                </c:pt>
                <c:pt idx="99">
                  <c:v>350000</c:v>
                </c:pt>
                <c:pt idx="100">
                  <c:v>349000</c:v>
                </c:pt>
                <c:pt idx="101">
                  <c:v>340000</c:v>
                </c:pt>
                <c:pt idx="102">
                  <c:v>356000</c:v>
                </c:pt>
                <c:pt idx="103">
                  <c:v>337000</c:v>
                </c:pt>
                <c:pt idx="104">
                  <c:v>343000</c:v>
                </c:pt>
                <c:pt idx="105">
                  <c:v>348000</c:v>
                </c:pt>
                <c:pt idx="106">
                  <c:v>337000</c:v>
                </c:pt>
                <c:pt idx="107">
                  <c:v>290000</c:v>
                </c:pt>
                <c:pt idx="108">
                  <c:v>406000</c:v>
                </c:pt>
                <c:pt idx="109">
                  <c:v>327000</c:v>
                </c:pt>
                <c:pt idx="110">
                  <c:v>322000</c:v>
                </c:pt>
                <c:pt idx="111">
                  <c:v>344000</c:v>
                </c:pt>
                <c:pt idx="112">
                  <c:v>348000</c:v>
                </c:pt>
                <c:pt idx="113">
                  <c:v>341000</c:v>
                </c:pt>
                <c:pt idx="114">
                  <c:v>332000</c:v>
                </c:pt>
                <c:pt idx="115">
                  <c:v>341000</c:v>
                </c:pt>
                <c:pt idx="116">
                  <c:v>325000</c:v>
                </c:pt>
                <c:pt idx="117">
                  <c:v>331000</c:v>
                </c:pt>
                <c:pt idx="118">
                  <c:v>329000</c:v>
                </c:pt>
                <c:pt idx="119">
                  <c:v>319000</c:v>
                </c:pt>
                <c:pt idx="120">
                  <c:v>324000</c:v>
                </c:pt>
                <c:pt idx="121">
                  <c:v>336000</c:v>
                </c:pt>
                <c:pt idx="122">
                  <c:v>332000</c:v>
                </c:pt>
                <c:pt idx="123">
                  <c:v>365000</c:v>
                </c:pt>
                <c:pt idx="124">
                  <c:v>374000</c:v>
                </c:pt>
                <c:pt idx="125">
                  <c:v>358000</c:v>
                </c:pt>
                <c:pt idx="126">
                  <c:v>351000</c:v>
                </c:pt>
                <c:pt idx="127">
                  <c:v>359000</c:v>
                </c:pt>
                <c:pt idx="128">
                  <c:v>355000</c:v>
                </c:pt>
                <c:pt idx="129">
                  <c:v>377000</c:v>
                </c:pt>
                <c:pt idx="130">
                  <c:v>379000</c:v>
                </c:pt>
                <c:pt idx="131">
                  <c:v>359000</c:v>
                </c:pt>
                <c:pt idx="132">
                  <c:v>387000</c:v>
                </c:pt>
                <c:pt idx="133">
                  <c:v>365000</c:v>
                </c:pt>
                <c:pt idx="134">
                  <c:v>393000</c:v>
                </c:pt>
                <c:pt idx="135">
                  <c:v>343000</c:v>
                </c:pt>
                <c:pt idx="136">
                  <c:v>343000</c:v>
                </c:pt>
                <c:pt idx="137">
                  <c:v>337000</c:v>
                </c:pt>
                <c:pt idx="138">
                  <c:v>327000</c:v>
                </c:pt>
                <c:pt idx="139">
                  <c:v>329000</c:v>
                </c:pt>
                <c:pt idx="140">
                  <c:v>348000</c:v>
                </c:pt>
                <c:pt idx="141">
                  <c:v>352000</c:v>
                </c:pt>
                <c:pt idx="142">
                  <c:v>332000</c:v>
                </c:pt>
                <c:pt idx="143">
                  <c:v>357000</c:v>
                </c:pt>
                <c:pt idx="144">
                  <c:v>340000</c:v>
                </c:pt>
                <c:pt idx="145">
                  <c:v>322000</c:v>
                </c:pt>
                <c:pt idx="146">
                  <c:v>325000</c:v>
                </c:pt>
                <c:pt idx="147">
                  <c:v>337000</c:v>
                </c:pt>
                <c:pt idx="148">
                  <c:v>321000</c:v>
                </c:pt>
                <c:pt idx="149">
                  <c:v>322000</c:v>
                </c:pt>
                <c:pt idx="150">
                  <c:v>306000</c:v>
                </c:pt>
                <c:pt idx="151">
                  <c:v>332000</c:v>
                </c:pt>
                <c:pt idx="152">
                  <c:v>317000</c:v>
                </c:pt>
                <c:pt idx="153">
                  <c:v>306000</c:v>
                </c:pt>
                <c:pt idx="154">
                  <c:v>318000</c:v>
                </c:pt>
                <c:pt idx="155">
                  <c:v>303000</c:v>
                </c:pt>
                <c:pt idx="156">
                  <c:v>315000</c:v>
                </c:pt>
                <c:pt idx="157">
                  <c:v>317000</c:v>
                </c:pt>
                <c:pt idx="158">
                  <c:v>312000</c:v>
                </c:pt>
                <c:pt idx="159">
                  <c:v>311000</c:v>
                </c:pt>
                <c:pt idx="160">
                  <c:v>322000</c:v>
                </c:pt>
                <c:pt idx="161">
                  <c:v>376000</c:v>
                </c:pt>
                <c:pt idx="162">
                  <c:v>335000</c:v>
                </c:pt>
                <c:pt idx="163">
                  <c:v>310000</c:v>
                </c:pt>
                <c:pt idx="164">
                  <c:v>294000</c:v>
                </c:pt>
                <c:pt idx="165">
                  <c:v>308000</c:v>
                </c:pt>
                <c:pt idx="166">
                  <c:v>310000</c:v>
                </c:pt>
                <c:pt idx="167">
                  <c:v>336000</c:v>
                </c:pt>
                <c:pt idx="168">
                  <c:v>305000</c:v>
                </c:pt>
                <c:pt idx="169">
                  <c:v>301000</c:v>
                </c:pt>
                <c:pt idx="170">
                  <c:v>298000</c:v>
                </c:pt>
                <c:pt idx="171">
                  <c:v>291000</c:v>
                </c:pt>
                <c:pt idx="172">
                  <c:v>303000</c:v>
                </c:pt>
                <c:pt idx="173">
                  <c:v>291000</c:v>
                </c:pt>
                <c:pt idx="174">
                  <c:v>300000</c:v>
                </c:pt>
                <c:pt idx="175">
                  <c:v>290000</c:v>
                </c:pt>
                <c:pt idx="176">
                  <c:v>306000</c:v>
                </c:pt>
                <c:pt idx="177">
                  <c:v>285000</c:v>
                </c:pt>
                <c:pt idx="178">
                  <c:v>288000</c:v>
                </c:pt>
                <c:pt idx="179">
                  <c:v>268000</c:v>
                </c:pt>
                <c:pt idx="180">
                  <c:v>285000</c:v>
                </c:pt>
                <c:pt idx="181">
                  <c:v>280000</c:v>
                </c:pt>
                <c:pt idx="182">
                  <c:v>272000</c:v>
                </c:pt>
                <c:pt idx="183">
                  <c:v>291000</c:v>
                </c:pt>
                <c:pt idx="184">
                  <c:v>280000</c:v>
                </c:pt>
                <c:pt idx="185">
                  <c:v>296000</c:v>
                </c:pt>
                <c:pt idx="186">
                  <c:v>298000</c:v>
                </c:pt>
                <c:pt idx="187">
                  <c:v>312000</c:v>
                </c:pt>
                <c:pt idx="188">
                  <c:v>292000</c:v>
                </c:pt>
                <c:pt idx="189">
                  <c:v>301000</c:v>
                </c:pt>
                <c:pt idx="190">
                  <c:v>356000</c:v>
                </c:pt>
                <c:pt idx="191">
                  <c:v>353000</c:v>
                </c:pt>
                <c:pt idx="192">
                  <c:v>362000</c:v>
                </c:pt>
                <c:pt idx="193">
                  <c:v>386000</c:v>
                </c:pt>
                <c:pt idx="194">
                  <c:v>388000</c:v>
                </c:pt>
                <c:pt idx="195">
                  <c:v>406000</c:v>
                </c:pt>
                <c:pt idx="196">
                  <c:v>405000</c:v>
                </c:pt>
                <c:pt idx="197">
                  <c:v>394000</c:v>
                </c:pt>
                <c:pt idx="198">
                  <c:v>388000</c:v>
                </c:pt>
                <c:pt idx="199">
                  <c:v>395000</c:v>
                </c:pt>
                <c:pt idx="200">
                  <c:v>517000</c:v>
                </c:pt>
                <c:pt idx="201">
                  <c:v>483000</c:v>
                </c:pt>
                <c:pt idx="202">
                  <c:v>491000</c:v>
                </c:pt>
                <c:pt idx="203">
                  <c:v>421000</c:v>
                </c:pt>
                <c:pt idx="204">
                  <c:v>414000</c:v>
                </c:pt>
                <c:pt idx="205">
                  <c:v>398000</c:v>
                </c:pt>
                <c:pt idx="206">
                  <c:v>479000</c:v>
                </c:pt>
                <c:pt idx="207">
                  <c:v>414000</c:v>
                </c:pt>
                <c:pt idx="208">
                  <c:v>403000</c:v>
                </c:pt>
                <c:pt idx="209">
                  <c:v>386000</c:v>
                </c:pt>
                <c:pt idx="210">
                  <c:v>390000</c:v>
                </c:pt>
                <c:pt idx="211">
                  <c:v>394000</c:v>
                </c:pt>
                <c:pt idx="212">
                  <c:v>409000</c:v>
                </c:pt>
                <c:pt idx="213">
                  <c:v>409000</c:v>
                </c:pt>
                <c:pt idx="214">
                  <c:v>377000</c:v>
                </c:pt>
                <c:pt idx="215">
                  <c:v>409000</c:v>
                </c:pt>
                <c:pt idx="216">
                  <c:v>407000</c:v>
                </c:pt>
                <c:pt idx="217">
                  <c:v>421000</c:v>
                </c:pt>
                <c:pt idx="218">
                  <c:v>436000</c:v>
                </c:pt>
                <c:pt idx="219">
                  <c:v>444000</c:v>
                </c:pt>
                <c:pt idx="220">
                  <c:v>431000</c:v>
                </c:pt>
                <c:pt idx="221">
                  <c:v>429000</c:v>
                </c:pt>
                <c:pt idx="222">
                  <c:v>398000</c:v>
                </c:pt>
                <c:pt idx="223">
                  <c:v>407000</c:v>
                </c:pt>
                <c:pt idx="224">
                  <c:v>387000</c:v>
                </c:pt>
                <c:pt idx="225">
                  <c:v>379000</c:v>
                </c:pt>
                <c:pt idx="226">
                  <c:v>357000</c:v>
                </c:pt>
                <c:pt idx="227">
                  <c:v>349000</c:v>
                </c:pt>
                <c:pt idx="228">
                  <c:v>376000</c:v>
                </c:pt>
                <c:pt idx="229">
                  <c:v>348000</c:v>
                </c:pt>
                <c:pt idx="230">
                  <c:v>340000</c:v>
                </c:pt>
                <c:pt idx="231">
                  <c:v>339000</c:v>
                </c:pt>
                <c:pt idx="232">
                  <c:v>337000</c:v>
                </c:pt>
                <c:pt idx="233">
                  <c:v>348000</c:v>
                </c:pt>
                <c:pt idx="234">
                  <c:v>341000</c:v>
                </c:pt>
                <c:pt idx="235">
                  <c:v>352000</c:v>
                </c:pt>
                <c:pt idx="236">
                  <c:v>351000</c:v>
                </c:pt>
                <c:pt idx="237">
                  <c:v>332000</c:v>
                </c:pt>
                <c:pt idx="238">
                  <c:v>335000</c:v>
                </c:pt>
                <c:pt idx="239">
                  <c:v>320000</c:v>
                </c:pt>
                <c:pt idx="240">
                  <c:v>331000</c:v>
                </c:pt>
                <c:pt idx="241">
                  <c:v>314000</c:v>
                </c:pt>
                <c:pt idx="242">
                  <c:v>342000</c:v>
                </c:pt>
                <c:pt idx="243">
                  <c:v>334000</c:v>
                </c:pt>
                <c:pt idx="244">
                  <c:v>340000</c:v>
                </c:pt>
                <c:pt idx="245">
                  <c:v>311000</c:v>
                </c:pt>
                <c:pt idx="246">
                  <c:v>316000</c:v>
                </c:pt>
                <c:pt idx="247">
                  <c:v>318000</c:v>
                </c:pt>
                <c:pt idx="248">
                  <c:v>359000</c:v>
                </c:pt>
                <c:pt idx="249">
                  <c:v>322000</c:v>
                </c:pt>
                <c:pt idx="250">
                  <c:v>311000</c:v>
                </c:pt>
                <c:pt idx="251">
                  <c:v>302000</c:v>
                </c:pt>
                <c:pt idx="252">
                  <c:v>282000</c:v>
                </c:pt>
                <c:pt idx="253">
                  <c:v>293000</c:v>
                </c:pt>
                <c:pt idx="254">
                  <c:v>295000</c:v>
                </c:pt>
                <c:pt idx="255">
                  <c:v>321000</c:v>
                </c:pt>
                <c:pt idx="256">
                  <c:v>330000</c:v>
                </c:pt>
                <c:pt idx="257">
                  <c:v>309000</c:v>
                </c:pt>
                <c:pt idx="258">
                  <c:v>311000</c:v>
                </c:pt>
                <c:pt idx="259">
                  <c:v>314000</c:v>
                </c:pt>
                <c:pt idx="260">
                  <c:v>309000</c:v>
                </c:pt>
                <c:pt idx="261">
                  <c:v>328000</c:v>
                </c:pt>
                <c:pt idx="262">
                  <c:v>349000</c:v>
                </c:pt>
                <c:pt idx="263">
                  <c:v>341000</c:v>
                </c:pt>
                <c:pt idx="264">
                  <c:v>308000</c:v>
                </c:pt>
                <c:pt idx="265">
                  <c:v>322000</c:v>
                </c:pt>
                <c:pt idx="266">
                  <c:v>307000</c:v>
                </c:pt>
                <c:pt idx="267">
                  <c:v>301000</c:v>
                </c:pt>
                <c:pt idx="268">
                  <c:v>310000</c:v>
                </c:pt>
                <c:pt idx="269">
                  <c:v>317000</c:v>
                </c:pt>
                <c:pt idx="270">
                  <c:v>305000</c:v>
                </c:pt>
                <c:pt idx="271">
                  <c:v>329000</c:v>
                </c:pt>
                <c:pt idx="272">
                  <c:v>317000</c:v>
                </c:pt>
                <c:pt idx="273">
                  <c:v>328000</c:v>
                </c:pt>
                <c:pt idx="274">
                  <c:v>352000</c:v>
                </c:pt>
                <c:pt idx="275">
                  <c:v>360000</c:v>
                </c:pt>
                <c:pt idx="276">
                  <c:v>366000</c:v>
                </c:pt>
                <c:pt idx="277">
                  <c:v>354000</c:v>
                </c:pt>
                <c:pt idx="278">
                  <c:v>387000</c:v>
                </c:pt>
                <c:pt idx="279">
                  <c:v>370000</c:v>
                </c:pt>
                <c:pt idx="280">
                  <c:v>362000</c:v>
                </c:pt>
                <c:pt idx="281">
                  <c:v>392000</c:v>
                </c:pt>
                <c:pt idx="282">
                  <c:v>434000</c:v>
                </c:pt>
                <c:pt idx="283">
                  <c:v>442000</c:v>
                </c:pt>
                <c:pt idx="284">
                  <c:v>483000</c:v>
                </c:pt>
                <c:pt idx="285">
                  <c:v>480000</c:v>
                </c:pt>
                <c:pt idx="286">
                  <c:v>529000</c:v>
                </c:pt>
                <c:pt idx="287">
                  <c:v>533000</c:v>
                </c:pt>
                <c:pt idx="288">
                  <c:v>629000</c:v>
                </c:pt>
                <c:pt idx="289">
                  <c:v>652000</c:v>
                </c:pt>
                <c:pt idx="290">
                  <c:v>665000</c:v>
                </c:pt>
                <c:pt idx="291">
                  <c:v>620000</c:v>
                </c:pt>
                <c:pt idx="292">
                  <c:v>607000</c:v>
                </c:pt>
                <c:pt idx="293">
                  <c:v>594000</c:v>
                </c:pt>
                <c:pt idx="294">
                  <c:v>587000</c:v>
                </c:pt>
                <c:pt idx="295">
                  <c:v>564000</c:v>
                </c:pt>
                <c:pt idx="296">
                  <c:v>554000</c:v>
                </c:pt>
                <c:pt idx="297">
                  <c:v>522000</c:v>
                </c:pt>
                <c:pt idx="298">
                  <c:v>475000</c:v>
                </c:pt>
                <c:pt idx="299">
                  <c:v>468000</c:v>
                </c:pt>
                <c:pt idx="300">
                  <c:v>496000</c:v>
                </c:pt>
                <c:pt idx="301">
                  <c:v>488000</c:v>
                </c:pt>
                <c:pt idx="302">
                  <c:v>459000</c:v>
                </c:pt>
                <c:pt idx="303">
                  <c:v>449000</c:v>
                </c:pt>
                <c:pt idx="304">
                  <c:v>458000</c:v>
                </c:pt>
                <c:pt idx="305">
                  <c:v>464000</c:v>
                </c:pt>
                <c:pt idx="306">
                  <c:v>476000</c:v>
                </c:pt>
                <c:pt idx="307">
                  <c:v>467000</c:v>
                </c:pt>
                <c:pt idx="308">
                  <c:v>459000</c:v>
                </c:pt>
                <c:pt idx="309">
                  <c:v>453000</c:v>
                </c:pt>
                <c:pt idx="310">
                  <c:v>432000</c:v>
                </c:pt>
                <c:pt idx="311">
                  <c:v>404000</c:v>
                </c:pt>
                <c:pt idx="312">
                  <c:v>420000</c:v>
                </c:pt>
                <c:pt idx="313">
                  <c:v>385000</c:v>
                </c:pt>
                <c:pt idx="314">
                  <c:v>399000</c:v>
                </c:pt>
                <c:pt idx="315">
                  <c:v>468000</c:v>
                </c:pt>
                <c:pt idx="316">
                  <c:v>418000</c:v>
                </c:pt>
                <c:pt idx="317">
                  <c:v>421000</c:v>
                </c:pt>
                <c:pt idx="318">
                  <c:v>406000</c:v>
                </c:pt>
                <c:pt idx="319">
                  <c:v>409000</c:v>
                </c:pt>
                <c:pt idx="320">
                  <c:v>406000</c:v>
                </c:pt>
                <c:pt idx="321">
                  <c:v>399000</c:v>
                </c:pt>
                <c:pt idx="322">
                  <c:v>397000</c:v>
                </c:pt>
                <c:pt idx="323">
                  <c:v>376000</c:v>
                </c:pt>
                <c:pt idx="324">
                  <c:v>372000</c:v>
                </c:pt>
                <c:pt idx="325">
                  <c:v>365000</c:v>
                </c:pt>
                <c:pt idx="326">
                  <c:v>358000</c:v>
                </c:pt>
                <c:pt idx="327">
                  <c:v>372000</c:v>
                </c:pt>
                <c:pt idx="328">
                  <c:v>381000</c:v>
                </c:pt>
                <c:pt idx="329">
                  <c:v>372000</c:v>
                </c:pt>
                <c:pt idx="330">
                  <c:v>372000</c:v>
                </c:pt>
                <c:pt idx="331">
                  <c:v>377000</c:v>
                </c:pt>
                <c:pt idx="332">
                  <c:v>376000</c:v>
                </c:pt>
                <c:pt idx="333">
                  <c:v>364000</c:v>
                </c:pt>
                <c:pt idx="334">
                  <c:v>388000</c:v>
                </c:pt>
                <c:pt idx="335">
                  <c:v>362000</c:v>
                </c:pt>
                <c:pt idx="336">
                  <c:v>366000</c:v>
                </c:pt>
                <c:pt idx="337">
                  <c:v>342000</c:v>
                </c:pt>
                <c:pt idx="338">
                  <c:v>375000</c:v>
                </c:pt>
                <c:pt idx="339">
                  <c:v>331000</c:v>
                </c:pt>
                <c:pt idx="340">
                  <c:v>353000</c:v>
                </c:pt>
                <c:pt idx="341">
                  <c:v>340000</c:v>
                </c:pt>
                <c:pt idx="342">
                  <c:v>334000</c:v>
                </c:pt>
                <c:pt idx="343">
                  <c:v>325000</c:v>
                </c:pt>
                <c:pt idx="344">
                  <c:v>319000</c:v>
                </c:pt>
                <c:pt idx="345">
                  <c:v>347000</c:v>
                </c:pt>
                <c:pt idx="346">
                  <c:v>312000</c:v>
                </c:pt>
                <c:pt idx="347">
                  <c:v>332000</c:v>
                </c:pt>
                <c:pt idx="348">
                  <c:v>340000</c:v>
                </c:pt>
                <c:pt idx="349">
                  <c:v>341000</c:v>
                </c:pt>
                <c:pt idx="350">
                  <c:v>330000</c:v>
                </c:pt>
                <c:pt idx="351">
                  <c:v>345000</c:v>
                </c:pt>
                <c:pt idx="352">
                  <c:v>312000</c:v>
                </c:pt>
                <c:pt idx="353">
                  <c:v>308000</c:v>
                </c:pt>
                <c:pt idx="354">
                  <c:v>303000</c:v>
                </c:pt>
                <c:pt idx="355">
                  <c:v>303000</c:v>
                </c:pt>
                <c:pt idx="356">
                  <c:v>290000</c:v>
                </c:pt>
                <c:pt idx="357">
                  <c:v>291000</c:v>
                </c:pt>
                <c:pt idx="358">
                  <c:v>291000</c:v>
                </c:pt>
                <c:pt idx="359">
                  <c:v>285000</c:v>
                </c:pt>
                <c:pt idx="360">
                  <c:v>281000</c:v>
                </c:pt>
                <c:pt idx="361">
                  <c:v>317000</c:v>
                </c:pt>
                <c:pt idx="362">
                  <c:v>269000</c:v>
                </c:pt>
                <c:pt idx="363">
                  <c:v>269000</c:v>
                </c:pt>
                <c:pt idx="364">
                  <c:v>275000</c:v>
                </c:pt>
                <c:pt idx="365">
                  <c:v>275000</c:v>
                </c:pt>
                <c:pt idx="366">
                  <c:v>269000</c:v>
                </c:pt>
                <c:pt idx="367">
                  <c:v>279000</c:v>
                </c:pt>
                <c:pt idx="368">
                  <c:v>272000</c:v>
                </c:pt>
                <c:pt idx="369">
                  <c:v>275000</c:v>
                </c:pt>
                <c:pt idx="370">
                  <c:v>265000</c:v>
                </c:pt>
                <c:pt idx="371">
                  <c:v>276000</c:v>
                </c:pt>
                <c:pt idx="372">
                  <c:v>282000</c:v>
                </c:pt>
                <c:pt idx="373">
                  <c:v>269000</c:v>
                </c:pt>
                <c:pt idx="374">
                  <c:v>271000</c:v>
                </c:pt>
                <c:pt idx="375">
                  <c:v>278000</c:v>
                </c:pt>
                <c:pt idx="376">
                  <c:v>263000</c:v>
                </c:pt>
                <c:pt idx="377">
                  <c:v>262000</c:v>
                </c:pt>
                <c:pt idx="378">
                  <c:v>266000</c:v>
                </c:pt>
                <c:pt idx="379">
                  <c:v>261000</c:v>
                </c:pt>
                <c:pt idx="380">
                  <c:v>247000</c:v>
                </c:pt>
                <c:pt idx="381">
                  <c:v>265000</c:v>
                </c:pt>
                <c:pt idx="382">
                  <c:v>255000</c:v>
                </c:pt>
                <c:pt idx="383">
                  <c:v>244000</c:v>
                </c:pt>
                <c:pt idx="384">
                  <c:v>241000</c:v>
                </c:pt>
                <c:pt idx="385">
                  <c:v>221000</c:v>
                </c:pt>
                <c:pt idx="386">
                  <c:v>236000</c:v>
                </c:pt>
                <c:pt idx="387">
                  <c:v>232000</c:v>
                </c:pt>
                <c:pt idx="388">
                  <c:v>253000</c:v>
                </c:pt>
                <c:pt idx="389">
                  <c:v>247000</c:v>
                </c:pt>
                <c:pt idx="390">
                  <c:v>245000</c:v>
                </c:pt>
                <c:pt idx="391">
                  <c:v>247000</c:v>
                </c:pt>
                <c:pt idx="392">
                  <c:v>260000</c:v>
                </c:pt>
                <c:pt idx="393">
                  <c:v>241000</c:v>
                </c:pt>
                <c:pt idx="394">
                  <c:v>243000</c:v>
                </c:pt>
                <c:pt idx="395">
                  <c:v>248000</c:v>
                </c:pt>
                <c:pt idx="396">
                  <c:v>228000</c:v>
                </c:pt>
                <c:pt idx="397">
                  <c:v>216000</c:v>
                </c:pt>
                <c:pt idx="398">
                  <c:v>232000</c:v>
                </c:pt>
                <c:pt idx="399">
                  <c:v>209000</c:v>
                </c:pt>
                <c:pt idx="400">
                  <c:v>222000</c:v>
                </c:pt>
                <c:pt idx="401">
                  <c:v>228000</c:v>
                </c:pt>
                <c:pt idx="402">
                  <c:v>207000</c:v>
                </c:pt>
                <c:pt idx="403">
                  <c:v>211000</c:v>
                </c:pt>
                <c:pt idx="404">
                  <c:v>210000</c:v>
                </c:pt>
                <c:pt idx="405">
                  <c:v>216000</c:v>
                </c:pt>
                <c:pt idx="406">
                  <c:v>237000</c:v>
                </c:pt>
                <c:pt idx="407">
                  <c:v>238000</c:v>
                </c:pt>
                <c:pt idx="408">
                  <c:v>235000</c:v>
                </c:pt>
                <c:pt idx="409">
                  <c:v>225000</c:v>
                </c:pt>
                <c:pt idx="410">
                  <c:v>206000</c:v>
                </c:pt>
                <c:pt idx="411">
                  <c:v>225000</c:v>
                </c:pt>
                <c:pt idx="412">
                  <c:v>221000</c:v>
                </c:pt>
                <c:pt idx="413">
                  <c:v>223000</c:v>
                </c:pt>
                <c:pt idx="414">
                  <c:v>200000</c:v>
                </c:pt>
                <c:pt idx="415">
                  <c:v>207000</c:v>
                </c:pt>
                <c:pt idx="416">
                  <c:v>209000</c:v>
                </c:pt>
                <c:pt idx="417">
                  <c:v>217000</c:v>
                </c:pt>
                <c:pt idx="418">
                  <c:v>229000</c:v>
                </c:pt>
                <c:pt idx="419">
                  <c:v>233000</c:v>
                </c:pt>
                <c:pt idx="420">
                  <c:v>210000</c:v>
                </c:pt>
                <c:pt idx="421">
                  <c:v>219000</c:v>
                </c:pt>
                <c:pt idx="422">
                  <c:v>5946000</c:v>
                </c:pt>
                <c:pt idx="423">
                  <c:v>3446000</c:v>
                </c:pt>
                <c:pt idx="424">
                  <c:v>1639000</c:v>
                </c:pt>
                <c:pt idx="425">
                  <c:v>1446000</c:v>
                </c:pt>
                <c:pt idx="426">
                  <c:v>1260000</c:v>
                </c:pt>
                <c:pt idx="427">
                  <c:v>881000</c:v>
                </c:pt>
                <c:pt idx="428">
                  <c:v>795000</c:v>
                </c:pt>
                <c:pt idx="429">
                  <c:v>773000</c:v>
                </c:pt>
                <c:pt idx="430">
                  <c:v>737000</c:v>
                </c:pt>
                <c:pt idx="431">
                  <c:v>773000</c:v>
                </c:pt>
                <c:pt idx="432">
                  <c:v>803000</c:v>
                </c:pt>
                <c:pt idx="433">
                  <c:v>704000</c:v>
                </c:pt>
                <c:pt idx="434">
                  <c:v>658000</c:v>
                </c:pt>
                <c:pt idx="435">
                  <c:v>574000</c:v>
                </c:pt>
                <c:pt idx="436">
                  <c:v>427000</c:v>
                </c:pt>
                <c:pt idx="437">
                  <c:v>372000</c:v>
                </c:pt>
                <c:pt idx="438">
                  <c:v>365000</c:v>
                </c:pt>
                <c:pt idx="439">
                  <c:v>343000</c:v>
                </c:pt>
                <c:pt idx="440">
                  <c:v>356000</c:v>
                </c:pt>
                <c:pt idx="441">
                  <c:v>264000</c:v>
                </c:pt>
                <c:pt idx="442">
                  <c:v>225000</c:v>
                </c:pt>
                <c:pt idx="443">
                  <c:v>203000</c:v>
                </c:pt>
                <c:pt idx="444">
                  <c:v>233000</c:v>
                </c:pt>
                <c:pt idx="445">
                  <c:v>213000</c:v>
                </c:pt>
                <c:pt idx="446">
                  <c:v>214000</c:v>
                </c:pt>
                <c:pt idx="447">
                  <c:v>218000</c:v>
                </c:pt>
                <c:pt idx="448">
                  <c:v>202000</c:v>
                </c:pt>
                <c:pt idx="449">
                  <c:v>213000</c:v>
                </c:pt>
                <c:pt idx="450">
                  <c:v>218000</c:v>
                </c:pt>
                <c:pt idx="451">
                  <c:v>206000</c:v>
                </c:pt>
                <c:pt idx="452">
                  <c:v>182000</c:v>
                </c:pt>
                <c:pt idx="453">
                  <c:v>204000</c:v>
                </c:pt>
                <c:pt idx="454">
                  <c:v>213000</c:v>
                </c:pt>
                <c:pt idx="455">
                  <c:v>206000</c:v>
                </c:pt>
                <c:pt idx="456">
                  <c:v>199000</c:v>
                </c:pt>
                <c:pt idx="457">
                  <c:v>221000</c:v>
                </c:pt>
                <c:pt idx="458">
                  <c:v>246000</c:v>
                </c:pt>
                <c:pt idx="459">
                  <c:v>242000</c:v>
                </c:pt>
                <c:pt idx="460">
                  <c:v>233000</c:v>
                </c:pt>
                <c:pt idx="461">
                  <c:v>236000</c:v>
                </c:pt>
                <c:pt idx="462">
                  <c:v>227000</c:v>
                </c:pt>
                <c:pt idx="463">
                  <c:v>229000</c:v>
                </c:pt>
                <c:pt idx="464">
                  <c:v>209000</c:v>
                </c:pt>
                <c:pt idx="465">
                  <c:v>220000</c:v>
                </c:pt>
                <c:pt idx="466">
                  <c:v>219000</c:v>
                </c:pt>
                <c:pt idx="467">
                  <c:v>203000</c:v>
                </c:pt>
                <c:pt idx="468">
                  <c:v>187000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286-4919-BCD6-F47FB1508A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6842847"/>
        <c:axId val="31807663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3"/>
          <c:min val="-1.5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31807663"/>
        <c:scaling>
          <c:orientation val="minMax"/>
          <c:max val="600000"/>
          <c:min val="170000"/>
        </c:scaling>
        <c:delete val="0"/>
        <c:axPos val="r"/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36842847"/>
        <c:crosses val="max"/>
        <c:crossBetween val="between"/>
      </c:valAx>
      <c:dateAx>
        <c:axId val="36842847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31807663"/>
        <c:crosses val="autoZero"/>
        <c:auto val="1"/>
        <c:lblOffset val="100"/>
        <c:baseTimeUnit val="month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1"/>
          <c:order val="0"/>
          <c:tx>
            <c:strRef>
              <c:f>'GDP + ECI (Quarter)'!$E$2</c:f>
              <c:strCache>
                <c:ptCount val="1"/>
                <c:pt idx="0">
                  <c:v>Quarterly ECI</c:v>
                </c:pt>
              </c:strCache>
            </c:strRef>
          </c:tx>
          <c:spPr>
            <a:solidFill>
              <a:schemeClr val="tx2"/>
            </a:solidFill>
            <a:ln>
              <a:noFill/>
            </a:ln>
            <a:effectLst/>
          </c:spPr>
          <c:invertIfNegative val="0"/>
          <c:val>
            <c:numRef>
              <c:f>'GDP + ECI (Quarter)'!$E$283:$E$311</c:f>
              <c:numCache>
                <c:formatCode>0.00%</c:formatCode>
                <c:ptCount val="29"/>
                <c:pt idx="0">
                  <c:v>6.2451209992193668E-3</c:v>
                </c:pt>
                <c:pt idx="1">
                  <c:v>6.2063615205585343E-3</c:v>
                </c:pt>
                <c:pt idx="2">
                  <c:v>6.9390902081727379E-3</c:v>
                </c:pt>
                <c:pt idx="3">
                  <c:v>6.1255742725880857E-3</c:v>
                </c:pt>
                <c:pt idx="4">
                  <c:v>7.6103500761035558E-3</c:v>
                </c:pt>
                <c:pt idx="5">
                  <c:v>6.7975830815709681E-3</c:v>
                </c:pt>
                <c:pt idx="6">
                  <c:v>7.5018754688671585E-3</c:v>
                </c:pt>
                <c:pt idx="7">
                  <c:v>7.446016381235987E-3</c:v>
                </c:pt>
                <c:pt idx="8">
                  <c:v>5.9127864005912301E-3</c:v>
                </c:pt>
                <c:pt idx="9">
                  <c:v>6.6127847171197907E-3</c:v>
                </c:pt>
                <c:pt idx="10">
                  <c:v>7.2992700729928028E-3</c:v>
                </c:pt>
                <c:pt idx="11">
                  <c:v>6.521739130434856E-3</c:v>
                </c:pt>
                <c:pt idx="12">
                  <c:v>7.9193664506838068E-3</c:v>
                </c:pt>
                <c:pt idx="13">
                  <c:v>4.2857142857142261E-3</c:v>
                </c:pt>
                <c:pt idx="14">
                  <c:v>5.6899004267425557E-3</c:v>
                </c:pt>
                <c:pt idx="15">
                  <c:v>7.0721357850069833E-3</c:v>
                </c:pt>
                <c:pt idx="16">
                  <c:v>9.1292134831459926E-3</c:v>
                </c:pt>
                <c:pt idx="17">
                  <c:v>6.9589422407794199E-3</c:v>
                </c:pt>
                <c:pt idx="18">
                  <c:v>1.2439530062197779E-2</c:v>
                </c:pt>
                <c:pt idx="19">
                  <c:v>1.0921501706484538E-2</c:v>
                </c:pt>
                <c:pt idx="20">
                  <c:v>1.3504388926401045E-2</c:v>
                </c:pt>
                <c:pt idx="21">
                  <c:v>1.3324450366422491E-2</c:v>
                </c:pt>
                <c:pt idx="22">
                  <c:v>1.1834319526627279E-2</c:v>
                </c:pt>
                <c:pt idx="23">
                  <c:v>1.1046133853151341E-2</c:v>
                </c:pt>
                <c:pt idx="24">
                  <c:v>1.1568123393316254E-2</c:v>
                </c:pt>
                <c:pt idx="25">
                  <c:v>1.0165184243964287E-2</c:v>
                </c:pt>
                <c:pt idx="26">
                  <c:v>1.0691823899370956E-2</c:v>
                </c:pt>
                <c:pt idx="27">
                  <c:v>#N/A</c:v>
                </c:pt>
                <c:pt idx="28">
                  <c:v>#N/A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C2C-4539-A788-738055C64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1483871487"/>
        <c:axId val="1382092767"/>
      </c:barChart>
      <c:lineChart>
        <c:grouping val="standard"/>
        <c:varyColors val="0"/>
        <c:ser>
          <c:idx val="0"/>
          <c:order val="1"/>
          <c:tx>
            <c:strRef>
              <c:f>'GDP + ECI (Quarter)'!$F$2</c:f>
              <c:strCache>
                <c:ptCount val="1"/>
                <c:pt idx="0">
                  <c:v>Annual ECI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'GDP + ECI (Quarter)'!$A$283:$A$311</c:f>
              <c:strCache>
                <c:ptCount val="29"/>
                <c:pt idx="0">
                  <c:v>1T17</c:v>
                </c:pt>
                <c:pt idx="1">
                  <c:v>2T17</c:v>
                </c:pt>
                <c:pt idx="2">
                  <c:v>3T17</c:v>
                </c:pt>
                <c:pt idx="3">
                  <c:v>4T17</c:v>
                </c:pt>
                <c:pt idx="4">
                  <c:v>1T18</c:v>
                </c:pt>
                <c:pt idx="5">
                  <c:v>2T18</c:v>
                </c:pt>
                <c:pt idx="6">
                  <c:v>3T18</c:v>
                </c:pt>
                <c:pt idx="7">
                  <c:v>4T18</c:v>
                </c:pt>
                <c:pt idx="8">
                  <c:v>1T19</c:v>
                </c:pt>
                <c:pt idx="9">
                  <c:v>2T19</c:v>
                </c:pt>
                <c:pt idx="10">
                  <c:v>3T19</c:v>
                </c:pt>
                <c:pt idx="11">
                  <c:v>4T19</c:v>
                </c:pt>
                <c:pt idx="12">
                  <c:v>1T20</c:v>
                </c:pt>
                <c:pt idx="13">
                  <c:v>2T20</c:v>
                </c:pt>
                <c:pt idx="14">
                  <c:v>3T20</c:v>
                </c:pt>
                <c:pt idx="15">
                  <c:v>4T20</c:v>
                </c:pt>
                <c:pt idx="16">
                  <c:v>1T21</c:v>
                </c:pt>
                <c:pt idx="17">
                  <c:v>2T21</c:v>
                </c:pt>
                <c:pt idx="18">
                  <c:v>3T21</c:v>
                </c:pt>
                <c:pt idx="19">
                  <c:v>4T21</c:v>
                </c:pt>
                <c:pt idx="20">
                  <c:v>1T22</c:v>
                </c:pt>
                <c:pt idx="21">
                  <c:v>2T22</c:v>
                </c:pt>
                <c:pt idx="22">
                  <c:v>3T22</c:v>
                </c:pt>
                <c:pt idx="23">
                  <c:v>4T22</c:v>
                </c:pt>
                <c:pt idx="24">
                  <c:v>1T23</c:v>
                </c:pt>
                <c:pt idx="25">
                  <c:v>2T23</c:v>
                </c:pt>
                <c:pt idx="26">
                  <c:v>3T23</c:v>
                </c:pt>
                <c:pt idx="27">
                  <c:v>4T23</c:v>
                </c:pt>
                <c:pt idx="28">
                  <c:v>1T24</c:v>
                </c:pt>
              </c:strCache>
            </c:strRef>
          </c:cat>
          <c:val>
            <c:numRef>
              <c:f>'GDP + ECI (Quarter)'!$F$283:$F$311</c:f>
              <c:numCache>
                <c:formatCode>0.00%</c:formatCode>
                <c:ptCount val="29"/>
                <c:pt idx="0">
                  <c:v>2.3015873015873156E-2</c:v>
                </c:pt>
                <c:pt idx="1">
                  <c:v>2.3677979479084232E-2</c:v>
                </c:pt>
                <c:pt idx="2">
                  <c:v>2.5117739403453632E-2</c:v>
                </c:pt>
                <c:pt idx="3">
                  <c:v>2.5761124121779888E-2</c:v>
                </c:pt>
                <c:pt idx="4">
                  <c:v>2.7152831652443643E-2</c:v>
                </c:pt>
                <c:pt idx="5">
                  <c:v>2.7756360832690952E-2</c:v>
                </c:pt>
                <c:pt idx="6">
                  <c:v>2.8330781010719841E-2</c:v>
                </c:pt>
                <c:pt idx="7">
                  <c:v>2.9680365296803624E-2</c:v>
                </c:pt>
                <c:pt idx="8">
                  <c:v>2.7945619335347338E-2</c:v>
                </c:pt>
                <c:pt idx="9">
                  <c:v>2.7756939234808709E-2</c:v>
                </c:pt>
                <c:pt idx="10">
                  <c:v>2.7550260610573307E-2</c:v>
                </c:pt>
                <c:pt idx="11">
                  <c:v>2.6607538802660757E-2</c:v>
                </c:pt>
                <c:pt idx="12">
                  <c:v>2.8655400440852352E-2</c:v>
                </c:pt>
                <c:pt idx="13">
                  <c:v>2.6277372262773602E-2</c:v>
                </c:pt>
                <c:pt idx="14">
                  <c:v>2.4637681159420222E-2</c:v>
                </c:pt>
                <c:pt idx="15">
                  <c:v>2.5197984161267062E-2</c:v>
                </c:pt>
                <c:pt idx="16">
                  <c:v>2.6428571428571246E-2</c:v>
                </c:pt>
                <c:pt idx="17">
                  <c:v>2.9160739687055459E-2</c:v>
                </c:pt>
                <c:pt idx="18">
                  <c:v>3.6067892503536036E-2</c:v>
                </c:pt>
                <c:pt idx="19">
                  <c:v>4.0028089887640395E-2</c:v>
                </c:pt>
                <c:pt idx="20">
                  <c:v>4.453723034098811E-2</c:v>
                </c:pt>
                <c:pt idx="21">
                  <c:v>5.1140290255701437E-2</c:v>
                </c:pt>
                <c:pt idx="22">
                  <c:v>5.0511945392491597E-2</c:v>
                </c:pt>
                <c:pt idx="23">
                  <c:v>5.0641458474004031E-2</c:v>
                </c:pt>
                <c:pt idx="24">
                  <c:v>4.863424383744186E-2</c:v>
                </c:pt>
                <c:pt idx="25">
                  <c:v>4.5364891518737682E-2</c:v>
                </c:pt>
                <c:pt idx="26">
                  <c:v>4.4184535412605586E-2</c:v>
                </c:pt>
                <c:pt idx="27">
                  <c:v>#N/A</c:v>
                </c:pt>
                <c:pt idx="28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C2C-4539-A788-738055C64F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catAx>
        <c:axId val="122899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0"/>
        <c:lblAlgn val="ctr"/>
        <c:lblOffset val="100"/>
        <c:noMultiLvlLbl val="1"/>
      </c:catAx>
      <c:valAx>
        <c:axId val="1229000176"/>
        <c:scaling>
          <c:orientation val="minMax"/>
        </c:scaling>
        <c:delete val="0"/>
        <c:axPos val="l"/>
        <c:numFmt formatCode="0.0%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 val="autoZero"/>
        <c:crossBetween val="between"/>
      </c:valAx>
      <c:valAx>
        <c:axId val="1382092767"/>
        <c:scaling>
          <c:orientation val="minMax"/>
        </c:scaling>
        <c:delete val="0"/>
        <c:axPos val="r"/>
        <c:numFmt formatCode="0.00%" sourceLinked="1"/>
        <c:majorTickMark val="out"/>
        <c:minorTickMark val="none"/>
        <c:tickLblPos val="nextTo"/>
        <c:spPr>
          <a:noFill/>
          <a:ln>
            <a:solidFill>
              <a:schemeClr val="tx1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483871487"/>
        <c:crosses val="max"/>
        <c:crossBetween val="between"/>
      </c:valAx>
      <c:catAx>
        <c:axId val="1483871487"/>
        <c:scaling>
          <c:orientation val="minMax"/>
        </c:scaling>
        <c:delete val="1"/>
        <c:axPos val="b"/>
        <c:majorTickMark val="out"/>
        <c:minorTickMark val="none"/>
        <c:tickLblPos val="nextTo"/>
        <c:crossAx val="1382092767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scatterChart>
        <c:scatterStyle val="lineMarker"/>
        <c:varyColors val="0"/>
        <c:ser>
          <c:idx val="0"/>
          <c:order val="0"/>
          <c:tx>
            <c:strRef>
              <c:f>'US Budget (Annual Data)'!$A$2</c:f>
              <c:strCache>
                <c:ptCount val="1"/>
                <c:pt idx="0">
                  <c:v>Quarters</c:v>
                </c:pt>
              </c:strCache>
            </c:strRef>
          </c:tx>
          <c:spPr>
            <a:ln w="19050" cap="rnd">
              <a:noFill/>
              <a:round/>
            </a:ln>
            <a:effectLst/>
          </c:spPr>
          <c:marker>
            <c:symbol val="circle"/>
            <c:size val="9"/>
            <c:spPr>
              <a:solidFill>
                <a:schemeClr val="accent2"/>
              </a:solidFill>
              <a:ln w="9525">
                <a:noFill/>
              </a:ln>
              <a:effectLst/>
            </c:spPr>
          </c:marker>
          <c:dLbls>
            <c:dLbl>
              <c:idx val="0"/>
              <c:tx>
                <c:rich>
                  <a:bodyPr/>
                  <a:lstStyle/>
                  <a:p>
                    <a:fld id="{EB01C22E-DC3A-402A-BBCB-164282ED824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3-1715-4C8D-A37C-B27A7175DD27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BDB8A661-64AF-46D6-8D01-258A62EA490E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4-1715-4C8D-A37C-B27A7175DD27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9074DBB0-D81D-42E6-8CCA-9E0C4EA8CBD5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5-1715-4C8D-A37C-B27A7175DD27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44ACD2CD-BEC5-4FDB-BE3B-2C9F1536B007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1715-4C8D-A37C-B27A7175DD27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6B15BF05-8ECF-4C16-B52B-6B10A6494FFF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7-1715-4C8D-A37C-B27A7175DD27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36770934-8C6F-44B9-977E-5A5EFA0728F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8-1715-4C8D-A37C-B27A7175DD27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0F2B5FD-525D-4F4E-8F74-C3574BCEC29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1715-4C8D-A37C-B27A7175DD27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8957B29C-0920-4920-B36B-F9E877C3147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A-1715-4C8D-A37C-B27A7175DD27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6C52CE0A-0B81-427C-A3B1-BA9F999F4C2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B-1715-4C8D-A37C-B27A7175DD27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134C3C4D-F0AE-4FD5-A6C0-E2986005591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C-1715-4C8D-A37C-B27A7175DD27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58E40B86-9CEA-425D-A94E-E803BFBE9F4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D-1715-4C8D-A37C-B27A7175DD27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2CEB7BB3-B0E7-4627-9E06-11EBA2C102B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E-1715-4C8D-A37C-B27A7175DD27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7963780B-EA45-4881-8C4C-99A721EF294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F-1715-4C8D-A37C-B27A7175DD27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108439F-9502-422D-9AB2-F337F055CF54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0-1715-4C8D-A37C-B27A7175DD27}"/>
                </c:ext>
              </c:extLst>
            </c:dLbl>
            <c:dLbl>
              <c:idx val="14"/>
              <c:tx>
                <c:rich>
                  <a:bodyPr/>
                  <a:lstStyle/>
                  <a:p>
                    <a:fld id="{1BE3301C-377A-4321-83C7-020A5192F37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1-1715-4C8D-A37C-B27A7175DD27}"/>
                </c:ext>
              </c:extLst>
            </c:dLbl>
            <c:dLbl>
              <c:idx val="15"/>
              <c:tx>
                <c:rich>
                  <a:bodyPr/>
                  <a:lstStyle/>
                  <a:p>
                    <a:fld id="{D265C76D-8841-4118-A12B-5A2A2352C1B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2-1715-4C8D-A37C-B27A7175DD27}"/>
                </c:ext>
              </c:extLst>
            </c:dLbl>
            <c:dLbl>
              <c:idx val="16"/>
              <c:tx>
                <c:rich>
                  <a:bodyPr/>
                  <a:lstStyle/>
                  <a:p>
                    <a:fld id="{7F415A3F-8ACC-413D-BA80-A7D2873FD939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3-1715-4C8D-A37C-B27A7175DD27}"/>
                </c:ext>
              </c:extLst>
            </c:dLbl>
            <c:dLbl>
              <c:idx val="17"/>
              <c:tx>
                <c:rich>
                  <a:bodyPr/>
                  <a:lstStyle/>
                  <a:p>
                    <a:fld id="{ADE3E079-D8FF-4744-A1F4-C19AB84F7D3B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4-1715-4C8D-A37C-B27A7175DD27}"/>
                </c:ext>
              </c:extLst>
            </c:dLbl>
            <c:dLbl>
              <c:idx val="18"/>
              <c:tx>
                <c:rich>
                  <a:bodyPr/>
                  <a:lstStyle/>
                  <a:p>
                    <a:fld id="{8702B6A1-7CB4-426F-87D8-45B6948A9CC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5-1715-4C8D-A37C-B27A7175DD27}"/>
                </c:ext>
              </c:extLst>
            </c:dLbl>
            <c:dLbl>
              <c:idx val="19"/>
              <c:tx>
                <c:rich>
                  <a:bodyPr/>
                  <a:lstStyle/>
                  <a:p>
                    <a:fld id="{B62E82DF-8303-4C68-AE0D-64293952F2CB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6-1715-4C8D-A37C-B27A7175DD27}"/>
                </c:ext>
              </c:extLst>
            </c:dLbl>
            <c:dLbl>
              <c:idx val="20"/>
              <c:tx>
                <c:rich>
                  <a:bodyPr/>
                  <a:lstStyle/>
                  <a:p>
                    <a:fld id="{D0684DDD-5E34-411C-B1BE-EF1000DF934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7-1715-4C8D-A37C-B27A7175DD27}"/>
                </c:ext>
              </c:extLst>
            </c:dLbl>
            <c:dLbl>
              <c:idx val="21"/>
              <c:tx>
                <c:rich>
                  <a:bodyPr/>
                  <a:lstStyle/>
                  <a:p>
                    <a:fld id="{7863C9B4-7693-43B4-AD81-A5F5B8CEB62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8-1715-4C8D-A37C-B27A7175DD27}"/>
                </c:ext>
              </c:extLst>
            </c:dLbl>
            <c:dLbl>
              <c:idx val="22"/>
              <c:tx>
                <c:rich>
                  <a:bodyPr/>
                  <a:lstStyle/>
                  <a:p>
                    <a:fld id="{697EC5D2-7466-4D4C-8453-1E965DC9BBB2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9-1715-4C8D-A37C-B27A7175DD27}"/>
                </c:ext>
              </c:extLst>
            </c:dLbl>
            <c:dLbl>
              <c:idx val="23"/>
              <c:tx>
                <c:rich>
                  <a:bodyPr/>
                  <a:lstStyle/>
                  <a:p>
                    <a:fld id="{3EA1F988-A1B9-4BE7-B7F0-83E2778C374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A-1715-4C8D-A37C-B27A7175DD27}"/>
                </c:ext>
              </c:extLst>
            </c:dLbl>
            <c:dLbl>
              <c:idx val="24"/>
              <c:tx>
                <c:rich>
                  <a:bodyPr/>
                  <a:lstStyle/>
                  <a:p>
                    <a:fld id="{35193576-BA05-4E22-88D4-700612E3D32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B-1715-4C8D-A37C-B27A7175DD27}"/>
                </c:ext>
              </c:extLst>
            </c:dLbl>
            <c:dLbl>
              <c:idx val="25"/>
              <c:tx>
                <c:rich>
                  <a:bodyPr/>
                  <a:lstStyle/>
                  <a:p>
                    <a:fld id="{B4E54439-303C-4739-A41E-AE025ACFEEA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C-1715-4C8D-A37C-B27A7175DD27}"/>
                </c:ext>
              </c:extLst>
            </c:dLbl>
            <c:dLbl>
              <c:idx val="26"/>
              <c:tx>
                <c:rich>
                  <a:bodyPr/>
                  <a:lstStyle/>
                  <a:p>
                    <a:fld id="{17A9F4B9-181C-4B6D-8A3A-87AC8E7286CB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D-1715-4C8D-A37C-B27A7175DD27}"/>
                </c:ext>
              </c:extLst>
            </c:dLbl>
            <c:dLbl>
              <c:idx val="27"/>
              <c:tx>
                <c:rich>
                  <a:bodyPr/>
                  <a:lstStyle/>
                  <a:p>
                    <a:fld id="{3F2295DE-8D76-4E8A-9FB0-AED397E1AE3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E-1715-4C8D-A37C-B27A7175DD27}"/>
                </c:ext>
              </c:extLst>
            </c:dLbl>
            <c:dLbl>
              <c:idx val="28"/>
              <c:tx>
                <c:rich>
                  <a:bodyPr/>
                  <a:lstStyle/>
                  <a:p>
                    <a:fld id="{A28601D3-E649-43C1-9467-2A0CF76A6E0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1F-1715-4C8D-A37C-B27A7175DD27}"/>
                </c:ext>
              </c:extLst>
            </c:dLbl>
            <c:dLbl>
              <c:idx val="29"/>
              <c:tx>
                <c:rich>
                  <a:bodyPr/>
                  <a:lstStyle/>
                  <a:p>
                    <a:fld id="{690ED570-9E9F-49E6-894F-95CD6694429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0-1715-4C8D-A37C-B27A7175DD27}"/>
                </c:ext>
              </c:extLst>
            </c:dLbl>
            <c:dLbl>
              <c:idx val="30"/>
              <c:tx>
                <c:rich>
                  <a:bodyPr/>
                  <a:lstStyle/>
                  <a:p>
                    <a:fld id="{03E1C107-B197-440D-B742-AEF5B28C10A7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1-1715-4C8D-A37C-B27A7175DD27}"/>
                </c:ext>
              </c:extLst>
            </c:dLbl>
            <c:dLbl>
              <c:idx val="31"/>
              <c:tx>
                <c:rich>
                  <a:bodyPr/>
                  <a:lstStyle/>
                  <a:p>
                    <a:fld id="{245AFB9E-AC7E-400A-875A-D9DD616EB425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2-1715-4C8D-A37C-B27A7175DD27}"/>
                </c:ext>
              </c:extLst>
            </c:dLbl>
            <c:dLbl>
              <c:idx val="32"/>
              <c:tx>
                <c:rich>
                  <a:bodyPr/>
                  <a:lstStyle/>
                  <a:p>
                    <a:fld id="{328F3914-F4A1-4885-A83C-FE59F44868B4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3-1715-4C8D-A37C-B27A7175DD27}"/>
                </c:ext>
              </c:extLst>
            </c:dLbl>
            <c:dLbl>
              <c:idx val="33"/>
              <c:tx>
                <c:rich>
                  <a:bodyPr/>
                  <a:lstStyle/>
                  <a:p>
                    <a:fld id="{1A3C6146-7CFE-441B-83B9-1CCE4F9A490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4-1715-4C8D-A37C-B27A7175DD27}"/>
                </c:ext>
              </c:extLst>
            </c:dLbl>
            <c:dLbl>
              <c:idx val="34"/>
              <c:tx>
                <c:rich>
                  <a:bodyPr/>
                  <a:lstStyle/>
                  <a:p>
                    <a:fld id="{55E4B8B6-832B-431E-9617-C20B12173DF4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5-1715-4C8D-A37C-B27A7175DD27}"/>
                </c:ext>
              </c:extLst>
            </c:dLbl>
            <c:dLbl>
              <c:idx val="35"/>
              <c:tx>
                <c:rich>
                  <a:bodyPr/>
                  <a:lstStyle/>
                  <a:p>
                    <a:fld id="{CEDA039B-CFA1-44B4-8D6A-449954CC4C5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6-1715-4C8D-A37C-B27A7175DD27}"/>
                </c:ext>
              </c:extLst>
            </c:dLbl>
            <c:dLbl>
              <c:idx val="36"/>
              <c:tx>
                <c:rich>
                  <a:bodyPr/>
                  <a:lstStyle/>
                  <a:p>
                    <a:fld id="{5107030B-73D9-4BC2-907D-40EF63912B9D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7-1715-4C8D-A37C-B27A7175DD27}"/>
                </c:ext>
              </c:extLst>
            </c:dLbl>
            <c:dLbl>
              <c:idx val="37"/>
              <c:tx>
                <c:rich>
                  <a:bodyPr/>
                  <a:lstStyle/>
                  <a:p>
                    <a:fld id="{67BFE737-A02A-45EC-9DF0-1140D9D7CD0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8-1715-4C8D-A37C-B27A7175DD27}"/>
                </c:ext>
              </c:extLst>
            </c:dLbl>
            <c:dLbl>
              <c:idx val="38"/>
              <c:tx>
                <c:rich>
                  <a:bodyPr/>
                  <a:lstStyle/>
                  <a:p>
                    <a:fld id="{0312AFFD-A5F8-4005-9FE2-306C4A39DC74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9-1715-4C8D-A37C-B27A7175DD27}"/>
                </c:ext>
              </c:extLst>
            </c:dLbl>
            <c:dLbl>
              <c:idx val="39"/>
              <c:tx>
                <c:rich>
                  <a:bodyPr/>
                  <a:lstStyle/>
                  <a:p>
                    <a:fld id="{17A850B9-EAB5-4F7C-A4A9-6193B3E8C4ED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A-1715-4C8D-A37C-B27A7175DD27}"/>
                </c:ext>
              </c:extLst>
            </c:dLbl>
            <c:dLbl>
              <c:idx val="40"/>
              <c:tx>
                <c:rich>
                  <a:bodyPr/>
                  <a:lstStyle/>
                  <a:p>
                    <a:fld id="{205C7314-05D0-4814-B5AE-D1F03119842E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B-1715-4C8D-A37C-B27A7175DD27}"/>
                </c:ext>
              </c:extLst>
            </c:dLbl>
            <c:dLbl>
              <c:idx val="41"/>
              <c:tx>
                <c:rich>
                  <a:bodyPr/>
                  <a:lstStyle/>
                  <a:p>
                    <a:fld id="{1ADF384C-0B1B-4CDC-9F1D-DF844393B83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C-1715-4C8D-A37C-B27A7175DD27}"/>
                </c:ext>
              </c:extLst>
            </c:dLbl>
            <c:dLbl>
              <c:idx val="42"/>
              <c:tx>
                <c:rich>
                  <a:bodyPr/>
                  <a:lstStyle/>
                  <a:p>
                    <a:fld id="{0E41DC07-19C8-43DB-B5F2-956F9EC83A2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D-1715-4C8D-A37C-B27A7175DD27}"/>
                </c:ext>
              </c:extLst>
            </c:dLbl>
            <c:dLbl>
              <c:idx val="43"/>
              <c:tx>
                <c:rich>
                  <a:bodyPr/>
                  <a:lstStyle/>
                  <a:p>
                    <a:fld id="{016DF175-D756-4CF2-AFEB-07701CB94012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E-1715-4C8D-A37C-B27A7175DD27}"/>
                </c:ext>
              </c:extLst>
            </c:dLbl>
            <c:dLbl>
              <c:idx val="44"/>
              <c:tx>
                <c:rich>
                  <a:bodyPr/>
                  <a:lstStyle/>
                  <a:p>
                    <a:fld id="{52648C5E-A2A2-406D-B37C-FF16E827F317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2F-1715-4C8D-A37C-B27A7175DD27}"/>
                </c:ext>
              </c:extLst>
            </c:dLbl>
            <c:dLbl>
              <c:idx val="45"/>
              <c:tx>
                <c:rich>
                  <a:bodyPr/>
                  <a:lstStyle/>
                  <a:p>
                    <a:fld id="{71CAFF9F-BEC4-4CDB-9825-F5D342C42DD5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0-1715-4C8D-A37C-B27A7175DD27}"/>
                </c:ext>
              </c:extLst>
            </c:dLbl>
            <c:dLbl>
              <c:idx val="46"/>
              <c:tx>
                <c:rich>
                  <a:bodyPr/>
                  <a:lstStyle/>
                  <a:p>
                    <a:fld id="{B32B8F41-2330-4F25-B829-CEE5B3057A19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1-1715-4C8D-A37C-B27A7175DD27}"/>
                </c:ext>
              </c:extLst>
            </c:dLbl>
            <c:dLbl>
              <c:idx val="47"/>
              <c:tx>
                <c:rich>
                  <a:bodyPr/>
                  <a:lstStyle/>
                  <a:p>
                    <a:fld id="{827D5725-304A-462A-A7C6-B86C8516070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2-1715-4C8D-A37C-B27A7175DD27}"/>
                </c:ext>
              </c:extLst>
            </c:dLbl>
            <c:dLbl>
              <c:idx val="48"/>
              <c:tx>
                <c:rich>
                  <a:bodyPr/>
                  <a:lstStyle/>
                  <a:p>
                    <a:fld id="{E4745082-CFDF-4315-B9B9-036E8FF4A64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3-1715-4C8D-A37C-B27A7175DD27}"/>
                </c:ext>
              </c:extLst>
            </c:dLbl>
            <c:dLbl>
              <c:idx val="49"/>
              <c:tx>
                <c:rich>
                  <a:bodyPr/>
                  <a:lstStyle/>
                  <a:p>
                    <a:fld id="{91DA1CC3-D26F-4B4F-A160-48F7881D7D1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4-1715-4C8D-A37C-B27A7175DD27}"/>
                </c:ext>
              </c:extLst>
            </c:dLbl>
            <c:dLbl>
              <c:idx val="50"/>
              <c:tx>
                <c:rich>
                  <a:bodyPr/>
                  <a:lstStyle/>
                  <a:p>
                    <a:fld id="{932C858D-9C7B-4492-AA47-4035F01B9EC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5-1715-4C8D-A37C-B27A7175DD27}"/>
                </c:ext>
              </c:extLst>
            </c:dLbl>
            <c:dLbl>
              <c:idx val="51"/>
              <c:tx>
                <c:rich>
                  <a:bodyPr/>
                  <a:lstStyle/>
                  <a:p>
                    <a:fld id="{211B8331-B1B4-4639-A041-85754A41AFE9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6-1715-4C8D-A37C-B27A7175DD27}"/>
                </c:ext>
              </c:extLst>
            </c:dLbl>
            <c:dLbl>
              <c:idx val="52"/>
              <c:tx>
                <c:rich>
                  <a:bodyPr/>
                  <a:lstStyle/>
                  <a:p>
                    <a:fld id="{DBC957F5-CC81-43FA-A445-92638187429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7-1715-4C8D-A37C-B27A7175DD27}"/>
                </c:ext>
              </c:extLst>
            </c:dLbl>
            <c:dLbl>
              <c:idx val="53"/>
              <c:tx>
                <c:rich>
                  <a:bodyPr/>
                  <a:lstStyle/>
                  <a:p>
                    <a:fld id="{F864AF3A-7797-48DA-B616-787502853FA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8-1715-4C8D-A37C-B27A7175DD27}"/>
                </c:ext>
              </c:extLst>
            </c:dLbl>
            <c:dLbl>
              <c:idx val="54"/>
              <c:tx>
                <c:rich>
                  <a:bodyPr/>
                  <a:lstStyle/>
                  <a:p>
                    <a:fld id="{6185A452-FF67-4B2D-B8CB-F126F6F9C148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9-1715-4C8D-A37C-B27A7175DD27}"/>
                </c:ext>
              </c:extLst>
            </c:dLbl>
            <c:dLbl>
              <c:idx val="55"/>
              <c:tx>
                <c:rich>
                  <a:bodyPr/>
                  <a:lstStyle/>
                  <a:p>
                    <a:fld id="{89853763-EFF3-4800-A860-669BAA33FD1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A-1715-4C8D-A37C-B27A7175DD27}"/>
                </c:ext>
              </c:extLst>
            </c:dLbl>
            <c:dLbl>
              <c:idx val="56"/>
              <c:tx>
                <c:rich>
                  <a:bodyPr/>
                  <a:lstStyle/>
                  <a:p>
                    <a:fld id="{75731DC4-C359-4E58-9EB7-D1977FD84EAF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B-1715-4C8D-A37C-B27A7175DD27}"/>
                </c:ext>
              </c:extLst>
            </c:dLbl>
            <c:dLbl>
              <c:idx val="57"/>
              <c:tx>
                <c:rich>
                  <a:bodyPr/>
                  <a:lstStyle/>
                  <a:p>
                    <a:fld id="{B8C6DD01-3F70-4711-A191-6AE62F6E34C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C-1715-4C8D-A37C-B27A7175DD27}"/>
                </c:ext>
              </c:extLst>
            </c:dLbl>
            <c:dLbl>
              <c:idx val="58"/>
              <c:tx>
                <c:rich>
                  <a:bodyPr/>
                  <a:lstStyle/>
                  <a:p>
                    <a:fld id="{F962634F-2939-42C6-AE44-4BC8D16FA66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D-1715-4C8D-A37C-B27A7175DD27}"/>
                </c:ext>
              </c:extLst>
            </c:dLbl>
            <c:dLbl>
              <c:idx val="59"/>
              <c:tx>
                <c:rich>
                  <a:bodyPr/>
                  <a:lstStyle/>
                  <a:p>
                    <a:fld id="{73FE1A66-3096-49B4-82BE-062FE846156F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E-1715-4C8D-A37C-B27A7175DD27}"/>
                </c:ext>
              </c:extLst>
            </c:dLbl>
            <c:dLbl>
              <c:idx val="60"/>
              <c:tx>
                <c:rich>
                  <a:bodyPr/>
                  <a:lstStyle/>
                  <a:p>
                    <a:fld id="{9CCC6353-2B58-411A-B893-60A046582E9E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3F-1715-4C8D-A37C-B27A7175DD27}"/>
                </c:ext>
              </c:extLst>
            </c:dLbl>
            <c:dLbl>
              <c:idx val="61"/>
              <c:tx>
                <c:rich>
                  <a:bodyPr/>
                  <a:lstStyle/>
                  <a:p>
                    <a:fld id="{7748E6F4-B9F7-4A72-A37E-8CFD5A3E428E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0-1715-4C8D-A37C-B27A7175DD27}"/>
                </c:ext>
              </c:extLst>
            </c:dLbl>
            <c:dLbl>
              <c:idx val="62"/>
              <c:tx>
                <c:rich>
                  <a:bodyPr/>
                  <a:lstStyle/>
                  <a:p>
                    <a:fld id="{37CD56E4-F2E4-4A97-8976-EFFAE1D3C41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1-1715-4C8D-A37C-B27A7175DD27}"/>
                </c:ext>
              </c:extLst>
            </c:dLbl>
            <c:dLbl>
              <c:idx val="63"/>
              <c:tx>
                <c:rich>
                  <a:bodyPr/>
                  <a:lstStyle/>
                  <a:p>
                    <a:fld id="{33BC7B15-FFFA-4752-9D63-31C92023C45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2-1715-4C8D-A37C-B27A7175DD27}"/>
                </c:ext>
              </c:extLst>
            </c:dLbl>
            <c:dLbl>
              <c:idx val="64"/>
              <c:tx>
                <c:rich>
                  <a:bodyPr/>
                  <a:lstStyle/>
                  <a:p>
                    <a:fld id="{CEC3323E-4CC5-4AEF-836A-99FFD56D9094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3-1715-4C8D-A37C-B27A7175DD27}"/>
                </c:ext>
              </c:extLst>
            </c:dLbl>
            <c:dLbl>
              <c:idx val="65"/>
              <c:tx>
                <c:rich>
                  <a:bodyPr/>
                  <a:lstStyle/>
                  <a:p>
                    <a:fld id="{DFB9B5FF-039C-4B25-BC79-90F534F8F3CB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4-1715-4C8D-A37C-B27A7175DD27}"/>
                </c:ext>
              </c:extLst>
            </c:dLbl>
            <c:dLbl>
              <c:idx val="66"/>
              <c:tx>
                <c:rich>
                  <a:bodyPr/>
                  <a:lstStyle/>
                  <a:p>
                    <a:fld id="{4112D5B3-EDF7-40EE-B51A-812DEF735D26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5-1715-4C8D-A37C-B27A7175DD27}"/>
                </c:ext>
              </c:extLst>
            </c:dLbl>
            <c:dLbl>
              <c:idx val="67"/>
              <c:tx>
                <c:rich>
                  <a:bodyPr/>
                  <a:lstStyle/>
                  <a:p>
                    <a:fld id="{C859C744-2182-4B93-A631-610387ECC4D1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6-1715-4C8D-A37C-B27A7175DD27}"/>
                </c:ext>
              </c:extLst>
            </c:dLbl>
            <c:dLbl>
              <c:idx val="68"/>
              <c:tx>
                <c:rich>
                  <a:bodyPr/>
                  <a:lstStyle/>
                  <a:p>
                    <a:fld id="{0A94728E-0DA7-4ADC-A694-7790DFE56F22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7-1715-4C8D-A37C-B27A7175DD27}"/>
                </c:ext>
              </c:extLst>
            </c:dLbl>
            <c:dLbl>
              <c:idx val="69"/>
              <c:tx>
                <c:rich>
                  <a:bodyPr/>
                  <a:lstStyle/>
                  <a:p>
                    <a:fld id="{089CD6BD-D4B2-4173-971E-81B84F023E6C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8-1715-4C8D-A37C-B27A7175DD27}"/>
                </c:ext>
              </c:extLst>
            </c:dLbl>
            <c:dLbl>
              <c:idx val="70"/>
              <c:tx>
                <c:rich>
                  <a:bodyPr/>
                  <a:lstStyle/>
                  <a:p>
                    <a:fld id="{692710E8-DA1E-4B57-BBE0-44567EC6F5EA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9-1715-4C8D-A37C-B27A7175DD27}"/>
                </c:ext>
              </c:extLst>
            </c:dLbl>
            <c:dLbl>
              <c:idx val="71"/>
              <c:tx>
                <c:rich>
                  <a:bodyPr/>
                  <a:lstStyle/>
                  <a:p>
                    <a:fld id="{167070A8-077B-49E0-9692-2EDD289EC683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A-1715-4C8D-A37C-B27A7175DD27}"/>
                </c:ext>
              </c:extLst>
            </c:dLbl>
            <c:dLbl>
              <c:idx val="72"/>
              <c:tx>
                <c:rich>
                  <a:bodyPr/>
                  <a:lstStyle/>
                  <a:p>
                    <a:fld id="{72D62797-73BD-45B4-B49A-329FE1E6694D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B-1715-4C8D-A37C-B27A7175DD27}"/>
                </c:ext>
              </c:extLst>
            </c:dLbl>
            <c:dLbl>
              <c:idx val="73"/>
              <c:tx>
                <c:rich>
                  <a:bodyPr/>
                  <a:lstStyle/>
                  <a:p>
                    <a:fld id="{CE2C10D0-C6CD-4EE3-8BA4-ACD7C16D97C0}" type="CELLRANGE">
                      <a:rPr lang="en-US"/>
                      <a:pPr/>
                      <a:t>[INTERVALODACÉLULA]</a:t>
                    </a:fld>
                    <a:endParaRPr lang="pt-BR"/>
                  </a:p>
                </c:rich>
              </c:tx>
              <c:dLblPos val="l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4C-1715-4C8D-A37C-B27A7175D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ysClr val="windowText" lastClr="000000"/>
                    </a:solidFill>
                    <a:latin typeface="Arial Nova" panose="020B05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dLblPos val="l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DataLabelsRange val="1"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trendline>
            <c:spPr>
              <a:ln w="19050" cap="rnd">
                <a:solidFill>
                  <a:schemeClr val="tx1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xVal>
            <c:numRef>
              <c:f>'US Budget (Annual Data)'!$C$3:$C$76</c:f>
              <c:numCache>
                <c:formatCode>0.00</c:formatCode>
                <c:ptCount val="74"/>
                <c:pt idx="0">
                  <c:v>4.3</c:v>
                </c:pt>
                <c:pt idx="1">
                  <c:v>3.1</c:v>
                </c:pt>
                <c:pt idx="2">
                  <c:v>2.7</c:v>
                </c:pt>
                <c:pt idx="3">
                  <c:v>4.5</c:v>
                </c:pt>
                <c:pt idx="4">
                  <c:v>5</c:v>
                </c:pt>
                <c:pt idx="5">
                  <c:v>4.2</c:v>
                </c:pt>
                <c:pt idx="6">
                  <c:v>4.2</c:v>
                </c:pt>
                <c:pt idx="7">
                  <c:v>5.2</c:v>
                </c:pt>
                <c:pt idx="8">
                  <c:v>6.2</c:v>
                </c:pt>
                <c:pt idx="9">
                  <c:v>5.3</c:v>
                </c:pt>
                <c:pt idx="10">
                  <c:v>6.6</c:v>
                </c:pt>
                <c:pt idx="11">
                  <c:v>6</c:v>
                </c:pt>
                <c:pt idx="12">
                  <c:v>5.5</c:v>
                </c:pt>
                <c:pt idx="13">
                  <c:v>5.5</c:v>
                </c:pt>
                <c:pt idx="14">
                  <c:v>5</c:v>
                </c:pt>
                <c:pt idx="15">
                  <c:v>4</c:v>
                </c:pt>
                <c:pt idx="16">
                  <c:v>3.8</c:v>
                </c:pt>
                <c:pt idx="17">
                  <c:v>3.8</c:v>
                </c:pt>
                <c:pt idx="18">
                  <c:v>3.4</c:v>
                </c:pt>
                <c:pt idx="19">
                  <c:v>3.5</c:v>
                </c:pt>
                <c:pt idx="20">
                  <c:v>6.1</c:v>
                </c:pt>
                <c:pt idx="21">
                  <c:v>6</c:v>
                </c:pt>
                <c:pt idx="22">
                  <c:v>5.2</c:v>
                </c:pt>
                <c:pt idx="23">
                  <c:v>4.9000000000000004</c:v>
                </c:pt>
                <c:pt idx="24">
                  <c:v>7.2</c:v>
                </c:pt>
                <c:pt idx="25">
                  <c:v>8.1999999999999993</c:v>
                </c:pt>
                <c:pt idx="26">
                  <c:v>7.8</c:v>
                </c:pt>
                <c:pt idx="27">
                  <c:v>6.4</c:v>
                </c:pt>
                <c:pt idx="28">
                  <c:v>6</c:v>
                </c:pt>
                <c:pt idx="29">
                  <c:v>6</c:v>
                </c:pt>
                <c:pt idx="30">
                  <c:v>7.2</c:v>
                </c:pt>
                <c:pt idx="31">
                  <c:v>8.5</c:v>
                </c:pt>
                <c:pt idx="32">
                  <c:v>10.8</c:v>
                </c:pt>
                <c:pt idx="33">
                  <c:v>8.3000000000000007</c:v>
                </c:pt>
                <c:pt idx="34">
                  <c:v>7.3</c:v>
                </c:pt>
                <c:pt idx="35">
                  <c:v>7</c:v>
                </c:pt>
                <c:pt idx="36">
                  <c:v>6.6</c:v>
                </c:pt>
                <c:pt idx="37">
                  <c:v>5.7</c:v>
                </c:pt>
                <c:pt idx="38">
                  <c:v>5.3</c:v>
                </c:pt>
                <c:pt idx="39">
                  <c:v>5.4</c:v>
                </c:pt>
                <c:pt idx="40">
                  <c:v>6.3</c:v>
                </c:pt>
                <c:pt idx="41">
                  <c:v>7.3</c:v>
                </c:pt>
                <c:pt idx="42">
                  <c:v>7.4</c:v>
                </c:pt>
                <c:pt idx="43">
                  <c:v>6.5</c:v>
                </c:pt>
                <c:pt idx="44">
                  <c:v>5.5</c:v>
                </c:pt>
                <c:pt idx="45">
                  <c:v>5.6</c:v>
                </c:pt>
                <c:pt idx="46">
                  <c:v>5.4</c:v>
                </c:pt>
                <c:pt idx="47">
                  <c:v>4.7</c:v>
                </c:pt>
                <c:pt idx="48">
                  <c:v>4.4000000000000004</c:v>
                </c:pt>
                <c:pt idx="49">
                  <c:v>4</c:v>
                </c:pt>
                <c:pt idx="50">
                  <c:v>3.9</c:v>
                </c:pt>
                <c:pt idx="51">
                  <c:v>5.7</c:v>
                </c:pt>
                <c:pt idx="52">
                  <c:v>6</c:v>
                </c:pt>
                <c:pt idx="53">
                  <c:v>5.7</c:v>
                </c:pt>
                <c:pt idx="54">
                  <c:v>5.4</c:v>
                </c:pt>
                <c:pt idx="55">
                  <c:v>4.9000000000000004</c:v>
                </c:pt>
                <c:pt idx="56">
                  <c:v>4.4000000000000004</c:v>
                </c:pt>
                <c:pt idx="57">
                  <c:v>5</c:v>
                </c:pt>
                <c:pt idx="58">
                  <c:v>7.3</c:v>
                </c:pt>
                <c:pt idx="59">
                  <c:v>9.9</c:v>
                </c:pt>
                <c:pt idx="60">
                  <c:v>9.3000000000000007</c:v>
                </c:pt>
                <c:pt idx="61">
                  <c:v>8.5</c:v>
                </c:pt>
                <c:pt idx="62">
                  <c:v>7.9</c:v>
                </c:pt>
                <c:pt idx="63">
                  <c:v>6.7</c:v>
                </c:pt>
                <c:pt idx="64">
                  <c:v>5.6</c:v>
                </c:pt>
                <c:pt idx="65">
                  <c:v>5</c:v>
                </c:pt>
                <c:pt idx="66">
                  <c:v>4.7</c:v>
                </c:pt>
                <c:pt idx="67">
                  <c:v>4.0999999999999996</c:v>
                </c:pt>
                <c:pt idx="68">
                  <c:v>3.9</c:v>
                </c:pt>
                <c:pt idx="69">
                  <c:v>3.6</c:v>
                </c:pt>
                <c:pt idx="70">
                  <c:v>6.7</c:v>
                </c:pt>
                <c:pt idx="71">
                  <c:v>3.9</c:v>
                </c:pt>
                <c:pt idx="72">
                  <c:v>3.5</c:v>
                </c:pt>
                <c:pt idx="73">
                  <c:v>3.8</c:v>
                </c:pt>
              </c:numCache>
            </c:numRef>
          </c:xVal>
          <c:yVal>
            <c:numRef>
              <c:f>'US Budget (Annual Data)'!$B$3:$B$76</c:f>
              <c:numCache>
                <c:formatCode>0.00</c:formatCode>
                <c:ptCount val="74"/>
                <c:pt idx="0">
                  <c:v>-1.04027</c:v>
                </c:pt>
                <c:pt idx="1">
                  <c:v>1.7589399999999999</c:v>
                </c:pt>
                <c:pt idx="2">
                  <c:v>-0.41350999999999999</c:v>
                </c:pt>
                <c:pt idx="3">
                  <c:v>-1.66822</c:v>
                </c:pt>
                <c:pt idx="4">
                  <c:v>-0.29548000000000002</c:v>
                </c:pt>
                <c:pt idx="5">
                  <c:v>-0.70343999999999995</c:v>
                </c:pt>
                <c:pt idx="6">
                  <c:v>0.87836999999999998</c:v>
                </c:pt>
                <c:pt idx="7">
                  <c:v>0.71977000000000002</c:v>
                </c:pt>
                <c:pt idx="8">
                  <c:v>-0.57540000000000002</c:v>
                </c:pt>
                <c:pt idx="9">
                  <c:v>-2.46313</c:v>
                </c:pt>
                <c:pt idx="10">
                  <c:v>5.5500000000000001E-2</c:v>
                </c:pt>
                <c:pt idx="11">
                  <c:v>-0.59319999999999995</c:v>
                </c:pt>
                <c:pt idx="12">
                  <c:v>-1.18327</c:v>
                </c:pt>
                <c:pt idx="13">
                  <c:v>-0.74609999999999999</c:v>
                </c:pt>
                <c:pt idx="14">
                  <c:v>-0.86417999999999995</c:v>
                </c:pt>
                <c:pt idx="15">
                  <c:v>-0.19009000000000001</c:v>
                </c:pt>
                <c:pt idx="16">
                  <c:v>-0.45462999999999998</c:v>
                </c:pt>
                <c:pt idx="17">
                  <c:v>-1.00505</c:v>
                </c:pt>
                <c:pt idx="18">
                  <c:v>-2.6748500000000002</c:v>
                </c:pt>
                <c:pt idx="19">
                  <c:v>0.31858999999999998</c:v>
                </c:pt>
                <c:pt idx="20">
                  <c:v>-0.26479000000000003</c:v>
                </c:pt>
                <c:pt idx="21">
                  <c:v>-1.9773400000000001</c:v>
                </c:pt>
                <c:pt idx="22">
                  <c:v>-1.8272900000000001</c:v>
                </c:pt>
                <c:pt idx="23">
                  <c:v>-1.0459000000000001</c:v>
                </c:pt>
                <c:pt idx="24">
                  <c:v>-0.39701999999999998</c:v>
                </c:pt>
                <c:pt idx="25">
                  <c:v>-3.1599400000000002</c:v>
                </c:pt>
                <c:pt idx="26">
                  <c:v>-3.9357099999999998</c:v>
                </c:pt>
                <c:pt idx="27">
                  <c:v>-2.5775000000000001</c:v>
                </c:pt>
                <c:pt idx="28">
                  <c:v>-2.5167999999999999</c:v>
                </c:pt>
                <c:pt idx="29">
                  <c:v>-1.55009</c:v>
                </c:pt>
                <c:pt idx="30">
                  <c:v>-2.5838999999999999</c:v>
                </c:pt>
                <c:pt idx="31">
                  <c:v>-2.4623300000000001</c:v>
                </c:pt>
                <c:pt idx="32">
                  <c:v>-3.8273000000000001</c:v>
                </c:pt>
                <c:pt idx="33">
                  <c:v>-5.71821</c:v>
                </c:pt>
                <c:pt idx="34">
                  <c:v>-4.5910000000000002</c:v>
                </c:pt>
                <c:pt idx="35">
                  <c:v>-4.8930400000000001</c:v>
                </c:pt>
                <c:pt idx="36">
                  <c:v>-4.8306699999999996</c:v>
                </c:pt>
                <c:pt idx="37">
                  <c:v>-3.0838999999999999</c:v>
                </c:pt>
                <c:pt idx="38">
                  <c:v>-2.9634299999999998</c:v>
                </c:pt>
                <c:pt idx="39">
                  <c:v>-2.7056100000000001</c:v>
                </c:pt>
                <c:pt idx="40">
                  <c:v>-3.7067000000000001</c:v>
                </c:pt>
                <c:pt idx="41">
                  <c:v>-4.3720699999999999</c:v>
                </c:pt>
                <c:pt idx="42">
                  <c:v>-4.4525499999999996</c:v>
                </c:pt>
                <c:pt idx="43">
                  <c:v>-3.7187299999999999</c:v>
                </c:pt>
                <c:pt idx="44">
                  <c:v>-2.7882500000000001</c:v>
                </c:pt>
                <c:pt idx="45">
                  <c:v>-2.1460400000000002</c:v>
                </c:pt>
                <c:pt idx="46">
                  <c:v>-1.3307199999999999</c:v>
                </c:pt>
                <c:pt idx="47">
                  <c:v>-0.25513000000000002</c:v>
                </c:pt>
                <c:pt idx="48">
                  <c:v>0.76432999999999995</c:v>
                </c:pt>
                <c:pt idx="49">
                  <c:v>1.3042</c:v>
                </c:pt>
                <c:pt idx="50">
                  <c:v>2.3045800000000001</c:v>
                </c:pt>
                <c:pt idx="51">
                  <c:v>1.21184</c:v>
                </c:pt>
                <c:pt idx="52">
                  <c:v>-1.44347</c:v>
                </c:pt>
                <c:pt idx="53">
                  <c:v>-3.29583</c:v>
                </c:pt>
                <c:pt idx="54">
                  <c:v>-3.37825</c:v>
                </c:pt>
                <c:pt idx="55">
                  <c:v>-2.4414500000000001</c:v>
                </c:pt>
                <c:pt idx="56">
                  <c:v>-1.7963800000000001</c:v>
                </c:pt>
                <c:pt idx="57">
                  <c:v>-1.11026</c:v>
                </c:pt>
                <c:pt idx="58">
                  <c:v>-3.1046499999999999</c:v>
                </c:pt>
                <c:pt idx="59">
                  <c:v>-9.7574400000000008</c:v>
                </c:pt>
                <c:pt idx="60">
                  <c:v>-8.60107</c:v>
                </c:pt>
                <c:pt idx="61">
                  <c:v>-8.3309099999999994</c:v>
                </c:pt>
                <c:pt idx="62">
                  <c:v>-6.6234500000000001</c:v>
                </c:pt>
                <c:pt idx="63">
                  <c:v>-4.0358999999999998</c:v>
                </c:pt>
                <c:pt idx="64">
                  <c:v>-2.7622499999999999</c:v>
                </c:pt>
                <c:pt idx="65">
                  <c:v>-2.4275500000000001</c:v>
                </c:pt>
                <c:pt idx="66">
                  <c:v>-3.1272899999999999</c:v>
                </c:pt>
                <c:pt idx="67">
                  <c:v>-3.4165299999999998</c:v>
                </c:pt>
                <c:pt idx="68">
                  <c:v>-3.7945600000000002</c:v>
                </c:pt>
                <c:pt idx="69">
                  <c:v>-4.6003299999999996</c:v>
                </c:pt>
                <c:pt idx="70">
                  <c:v>-14.87363</c:v>
                </c:pt>
                <c:pt idx="71">
                  <c:v>-11.90371</c:v>
                </c:pt>
                <c:pt idx="72">
                  <c:v>-5.4036799999999996</c:v>
                </c:pt>
                <c:pt idx="73">
                  <c:v>-5.8</c:v>
                </c:pt>
              </c:numCache>
            </c:numRef>
          </c:yVal>
          <c:smooth val="0"/>
          <c:extLst>
            <c:ext xmlns:c15="http://schemas.microsoft.com/office/drawing/2012/chart" uri="{02D57815-91ED-43cb-92C2-25804820EDAC}">
              <c15:datalabelsRange>
                <c15:f>'US Budget (Annual Data)'!$A$3:$A$76</c15:f>
                <c15:dlblRangeCache>
                  <c:ptCount val="74"/>
                  <c:pt idx="0">
                    <c:v>1950</c:v>
                  </c:pt>
                  <c:pt idx="1">
                    <c:v>1951</c:v>
                  </c:pt>
                  <c:pt idx="2">
                    <c:v>1952</c:v>
                  </c:pt>
                  <c:pt idx="3">
                    <c:v>1953</c:v>
                  </c:pt>
                  <c:pt idx="4">
                    <c:v>1954</c:v>
                  </c:pt>
                  <c:pt idx="5">
                    <c:v>1955</c:v>
                  </c:pt>
                  <c:pt idx="6">
                    <c:v>1956</c:v>
                  </c:pt>
                  <c:pt idx="7">
                    <c:v>1957</c:v>
                  </c:pt>
                  <c:pt idx="8">
                    <c:v>1958</c:v>
                  </c:pt>
                  <c:pt idx="9">
                    <c:v>1959</c:v>
                  </c:pt>
                  <c:pt idx="10">
                    <c:v>1960</c:v>
                  </c:pt>
                  <c:pt idx="11">
                    <c:v>1961</c:v>
                  </c:pt>
                  <c:pt idx="12">
                    <c:v>1962</c:v>
                  </c:pt>
                  <c:pt idx="13">
                    <c:v>1963</c:v>
                  </c:pt>
                  <c:pt idx="14">
                    <c:v>1964</c:v>
                  </c:pt>
                  <c:pt idx="15">
                    <c:v>1965</c:v>
                  </c:pt>
                  <c:pt idx="16">
                    <c:v>1966</c:v>
                  </c:pt>
                  <c:pt idx="17">
                    <c:v>1967</c:v>
                  </c:pt>
                  <c:pt idx="18">
                    <c:v>1968</c:v>
                  </c:pt>
                  <c:pt idx="19">
                    <c:v>1969</c:v>
                  </c:pt>
                  <c:pt idx="20">
                    <c:v>1970</c:v>
                  </c:pt>
                  <c:pt idx="21">
                    <c:v>1971</c:v>
                  </c:pt>
                  <c:pt idx="22">
                    <c:v>1972</c:v>
                  </c:pt>
                  <c:pt idx="23">
                    <c:v>1973</c:v>
                  </c:pt>
                  <c:pt idx="24">
                    <c:v>1974</c:v>
                  </c:pt>
                  <c:pt idx="25">
                    <c:v>1975</c:v>
                  </c:pt>
                  <c:pt idx="26">
                    <c:v>1976</c:v>
                  </c:pt>
                  <c:pt idx="27">
                    <c:v>1977</c:v>
                  </c:pt>
                  <c:pt idx="28">
                    <c:v>1978</c:v>
                  </c:pt>
                  <c:pt idx="29">
                    <c:v>1979</c:v>
                  </c:pt>
                  <c:pt idx="30">
                    <c:v>1980</c:v>
                  </c:pt>
                  <c:pt idx="31">
                    <c:v>1981</c:v>
                  </c:pt>
                  <c:pt idx="32">
                    <c:v>1982</c:v>
                  </c:pt>
                  <c:pt idx="33">
                    <c:v>1983</c:v>
                  </c:pt>
                  <c:pt idx="34">
                    <c:v>1984</c:v>
                  </c:pt>
                  <c:pt idx="35">
                    <c:v>1985</c:v>
                  </c:pt>
                  <c:pt idx="36">
                    <c:v>1986</c:v>
                  </c:pt>
                  <c:pt idx="37">
                    <c:v>1987</c:v>
                  </c:pt>
                  <c:pt idx="38">
                    <c:v>1988</c:v>
                  </c:pt>
                  <c:pt idx="39">
                    <c:v>1989</c:v>
                  </c:pt>
                  <c:pt idx="40">
                    <c:v>1990</c:v>
                  </c:pt>
                  <c:pt idx="41">
                    <c:v>1991</c:v>
                  </c:pt>
                  <c:pt idx="42">
                    <c:v>1992</c:v>
                  </c:pt>
                  <c:pt idx="43">
                    <c:v>1993</c:v>
                  </c:pt>
                  <c:pt idx="44">
                    <c:v>1994</c:v>
                  </c:pt>
                  <c:pt idx="45">
                    <c:v>1995</c:v>
                  </c:pt>
                  <c:pt idx="46">
                    <c:v>1996</c:v>
                  </c:pt>
                  <c:pt idx="47">
                    <c:v>1997</c:v>
                  </c:pt>
                  <c:pt idx="48">
                    <c:v>1998</c:v>
                  </c:pt>
                  <c:pt idx="49">
                    <c:v>1999</c:v>
                  </c:pt>
                  <c:pt idx="50">
                    <c:v>2000</c:v>
                  </c:pt>
                  <c:pt idx="51">
                    <c:v>2001</c:v>
                  </c:pt>
                  <c:pt idx="52">
                    <c:v>2002</c:v>
                  </c:pt>
                  <c:pt idx="53">
                    <c:v>2003</c:v>
                  </c:pt>
                  <c:pt idx="54">
                    <c:v>2004</c:v>
                  </c:pt>
                  <c:pt idx="55">
                    <c:v>2005</c:v>
                  </c:pt>
                  <c:pt idx="56">
                    <c:v>2006</c:v>
                  </c:pt>
                  <c:pt idx="57">
                    <c:v>2007</c:v>
                  </c:pt>
                  <c:pt idx="58">
                    <c:v>2008</c:v>
                  </c:pt>
                  <c:pt idx="59">
                    <c:v>2009</c:v>
                  </c:pt>
                  <c:pt idx="60">
                    <c:v>2010</c:v>
                  </c:pt>
                  <c:pt idx="61">
                    <c:v>2011</c:v>
                  </c:pt>
                  <c:pt idx="62">
                    <c:v>2012</c:v>
                  </c:pt>
                  <c:pt idx="63">
                    <c:v>2013</c:v>
                  </c:pt>
                  <c:pt idx="64">
                    <c:v>2014</c:v>
                  </c:pt>
                  <c:pt idx="65">
                    <c:v>2015</c:v>
                  </c:pt>
                  <c:pt idx="66">
                    <c:v>2016</c:v>
                  </c:pt>
                  <c:pt idx="67">
                    <c:v>2017</c:v>
                  </c:pt>
                  <c:pt idx="68">
                    <c:v>2018</c:v>
                  </c:pt>
                  <c:pt idx="69">
                    <c:v>2019</c:v>
                  </c:pt>
                  <c:pt idx="70">
                    <c:v>2020</c:v>
                  </c:pt>
                  <c:pt idx="71">
                    <c:v>2021</c:v>
                  </c:pt>
                  <c:pt idx="72">
                    <c:v>2022</c:v>
                  </c:pt>
                  <c:pt idx="73">
                    <c:v>2023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1715-4C8D-A37C-B27A7175DD27}"/>
            </c:ext>
          </c:extLst>
        </c:ser>
        <c:dLbls>
          <c:dLblPos val="l"/>
          <c:showLegendKey val="0"/>
          <c:showVal val="1"/>
          <c:showCatName val="0"/>
          <c:showSerName val="0"/>
          <c:showPercent val="0"/>
          <c:showBubbleSize val="0"/>
        </c:dLbls>
        <c:axId val="1559117360"/>
        <c:axId val="1475614784"/>
      </c:scatterChart>
      <c:valAx>
        <c:axId val="1559117360"/>
        <c:scaling>
          <c:orientation val="minMax"/>
          <c:max val="11"/>
          <c:min val="2"/>
        </c:scaling>
        <c:delete val="0"/>
        <c:axPos val="b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475614784"/>
        <c:crosses val="autoZero"/>
        <c:crossBetween val="midCat"/>
      </c:valAx>
      <c:valAx>
        <c:axId val="1475614784"/>
        <c:scaling>
          <c:orientation val="minMax"/>
        </c:scaling>
        <c:delete val="0"/>
        <c:axPos val="l"/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5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55911736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105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percentStacked"/>
        <c:varyColors val="0"/>
        <c:ser>
          <c:idx val="1"/>
          <c:order val="1"/>
          <c:tx>
            <c:strRef>
              <c:f>Recession!$B$1</c:f>
              <c:strCache>
                <c:ptCount val="1"/>
                <c:pt idx="0">
                  <c:v>Recession</c:v>
                </c:pt>
              </c:strCache>
            </c:strRef>
          </c:tx>
          <c:spPr>
            <a:solidFill>
              <a:schemeClr val="tx1">
                <a:alpha val="15000"/>
              </a:schemeClr>
            </a:solidFill>
            <a:ln w="25400">
              <a:noFill/>
            </a:ln>
            <a:effectLst/>
          </c:spPr>
          <c:cat>
            <c:numRef>
              <c:f>Recession!$A$182</c:f>
              <c:numCache>
                <c:formatCode>[$-416]mmm\-yy;@</c:formatCode>
                <c:ptCount val="1"/>
                <c:pt idx="0">
                  <c:v>23012</c:v>
                </c:pt>
              </c:numCache>
            </c:numRef>
          </c:cat>
          <c:val>
            <c:numRef>
              <c:f>Recession!$B$182:$B$913</c:f>
              <c:numCache>
                <c:formatCode>General</c:formatCode>
                <c:ptCount val="73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1</c:v>
                </c:pt>
                <c:pt idx="84">
                  <c:v>1</c:v>
                </c:pt>
                <c:pt idx="85">
                  <c:v>1</c:v>
                </c:pt>
                <c:pt idx="86">
                  <c:v>1</c:v>
                </c:pt>
                <c:pt idx="87">
                  <c:v>1</c:v>
                </c:pt>
                <c:pt idx="88">
                  <c:v>1</c:v>
                </c:pt>
                <c:pt idx="89">
                  <c:v>1</c:v>
                </c:pt>
                <c:pt idx="90">
                  <c:v>1</c:v>
                </c:pt>
                <c:pt idx="91">
                  <c:v>1</c:v>
                </c:pt>
                <c:pt idx="92">
                  <c:v>1</c:v>
                </c:pt>
                <c:pt idx="93">
                  <c:v>1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1</c:v>
                </c:pt>
                <c:pt idx="131">
                  <c:v>1</c:v>
                </c:pt>
                <c:pt idx="132">
                  <c:v>1</c:v>
                </c:pt>
                <c:pt idx="133">
                  <c:v>1</c:v>
                </c:pt>
                <c:pt idx="134">
                  <c:v>1</c:v>
                </c:pt>
                <c:pt idx="135">
                  <c:v>1</c:v>
                </c:pt>
                <c:pt idx="136">
                  <c:v>1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1</c:v>
                </c:pt>
                <c:pt idx="141">
                  <c:v>1</c:v>
                </c:pt>
                <c:pt idx="142">
                  <c:v>1</c:v>
                </c:pt>
                <c:pt idx="143">
                  <c:v>1</c:v>
                </c:pt>
                <c:pt idx="144">
                  <c:v>1</c:v>
                </c:pt>
                <c:pt idx="145">
                  <c:v>1</c:v>
                </c:pt>
                <c:pt idx="146">
                  <c:v>1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1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1</c:v>
                </c:pt>
                <c:pt idx="224">
                  <c:v>1</c:v>
                </c:pt>
                <c:pt idx="225">
                  <c:v>1</c:v>
                </c:pt>
                <c:pt idx="226">
                  <c:v>1</c:v>
                </c:pt>
                <c:pt idx="227">
                  <c:v>1</c:v>
                </c:pt>
                <c:pt idx="228">
                  <c:v>1</c:v>
                </c:pt>
                <c:pt idx="229">
                  <c:v>1</c:v>
                </c:pt>
                <c:pt idx="230">
                  <c:v>1</c:v>
                </c:pt>
                <c:pt idx="231">
                  <c:v>1</c:v>
                </c:pt>
                <c:pt idx="232">
                  <c:v>1</c:v>
                </c:pt>
                <c:pt idx="233">
                  <c:v>1</c:v>
                </c:pt>
                <c:pt idx="234">
                  <c:v>1</c:v>
                </c:pt>
                <c:pt idx="235">
                  <c:v>1</c:v>
                </c:pt>
                <c:pt idx="236">
                  <c:v>1</c:v>
                </c:pt>
                <c:pt idx="237">
                  <c:v>1</c:v>
                </c:pt>
                <c:pt idx="238">
                  <c:v>1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1</c:v>
                </c:pt>
                <c:pt idx="331">
                  <c:v>1</c:v>
                </c:pt>
                <c:pt idx="332">
                  <c:v>1</c:v>
                </c:pt>
                <c:pt idx="333">
                  <c:v>1</c:v>
                </c:pt>
                <c:pt idx="334">
                  <c:v>1</c:v>
                </c:pt>
                <c:pt idx="335">
                  <c:v>1</c:v>
                </c:pt>
                <c:pt idx="336">
                  <c:v>1</c:v>
                </c:pt>
                <c:pt idx="337">
                  <c:v>1</c:v>
                </c:pt>
                <c:pt idx="338">
                  <c:v>1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1</c:v>
                </c:pt>
                <c:pt idx="459">
                  <c:v>1</c:v>
                </c:pt>
                <c:pt idx="460">
                  <c:v>1</c:v>
                </c:pt>
                <c:pt idx="461">
                  <c:v>1</c:v>
                </c:pt>
                <c:pt idx="462">
                  <c:v>1</c:v>
                </c:pt>
                <c:pt idx="463">
                  <c:v>1</c:v>
                </c:pt>
                <c:pt idx="464">
                  <c:v>1</c:v>
                </c:pt>
                <c:pt idx="465">
                  <c:v>1</c:v>
                </c:pt>
                <c:pt idx="466">
                  <c:v>1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1</c:v>
                </c:pt>
                <c:pt idx="540">
                  <c:v>1</c:v>
                </c:pt>
                <c:pt idx="541">
                  <c:v>1</c:v>
                </c:pt>
                <c:pt idx="542">
                  <c:v>1</c:v>
                </c:pt>
                <c:pt idx="543">
                  <c:v>1</c:v>
                </c:pt>
                <c:pt idx="544">
                  <c:v>1</c:v>
                </c:pt>
                <c:pt idx="545">
                  <c:v>1</c:v>
                </c:pt>
                <c:pt idx="546">
                  <c:v>1</c:v>
                </c:pt>
                <c:pt idx="547">
                  <c:v>1</c:v>
                </c:pt>
                <c:pt idx="548">
                  <c:v>1</c:v>
                </c:pt>
                <c:pt idx="549">
                  <c:v>1</c:v>
                </c:pt>
                <c:pt idx="550">
                  <c:v>1</c:v>
                </c:pt>
                <c:pt idx="551">
                  <c:v>1</c:v>
                </c:pt>
                <c:pt idx="552">
                  <c:v>1</c:v>
                </c:pt>
                <c:pt idx="553">
                  <c:v>1</c:v>
                </c:pt>
                <c:pt idx="554">
                  <c:v>1</c:v>
                </c:pt>
                <c:pt idx="555">
                  <c:v>1</c:v>
                </c:pt>
                <c:pt idx="556">
                  <c:v>1</c:v>
                </c:pt>
                <c:pt idx="557">
                  <c:v>1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1</c:v>
                </c:pt>
                <c:pt idx="686">
                  <c:v>1</c:v>
                </c:pt>
                <c:pt idx="687">
                  <c:v>1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161-40AE-901D-53AB41E1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888890512"/>
        <c:axId val="1888890032"/>
      </c:areaChart>
      <c:lineChart>
        <c:grouping val="standard"/>
        <c:varyColors val="0"/>
        <c:ser>
          <c:idx val="0"/>
          <c:order val="0"/>
          <c:tx>
            <c:strRef>
              <c:f>'Housing Market'!$R$2</c:f>
              <c:strCache>
                <c:ptCount val="1"/>
                <c:pt idx="0">
                  <c:v>Monthly Supply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Market'!$A$27:$A$758</c:f>
              <c:numCache>
                <c:formatCode>[$-416]mmm\-yy;@</c:formatCode>
                <c:ptCount val="732"/>
                <c:pt idx="0">
                  <c:v>23012</c:v>
                </c:pt>
                <c:pt idx="1">
                  <c:v>23043</c:v>
                </c:pt>
                <c:pt idx="2">
                  <c:v>23071</c:v>
                </c:pt>
                <c:pt idx="3">
                  <c:v>23102</c:v>
                </c:pt>
                <c:pt idx="4">
                  <c:v>23132</c:v>
                </c:pt>
                <c:pt idx="5">
                  <c:v>23163</c:v>
                </c:pt>
                <c:pt idx="6">
                  <c:v>23193</c:v>
                </c:pt>
                <c:pt idx="7">
                  <c:v>23224</c:v>
                </c:pt>
                <c:pt idx="8">
                  <c:v>23255</c:v>
                </c:pt>
                <c:pt idx="9">
                  <c:v>23285</c:v>
                </c:pt>
                <c:pt idx="10">
                  <c:v>23316</c:v>
                </c:pt>
                <c:pt idx="11">
                  <c:v>23346</c:v>
                </c:pt>
                <c:pt idx="12">
                  <c:v>23377</c:v>
                </c:pt>
                <c:pt idx="13">
                  <c:v>23408</c:v>
                </c:pt>
                <c:pt idx="14">
                  <c:v>23437</c:v>
                </c:pt>
                <c:pt idx="15">
                  <c:v>23468</c:v>
                </c:pt>
                <c:pt idx="16">
                  <c:v>23498</c:v>
                </c:pt>
                <c:pt idx="17">
                  <c:v>23529</c:v>
                </c:pt>
                <c:pt idx="18">
                  <c:v>23559</c:v>
                </c:pt>
                <c:pt idx="19">
                  <c:v>23590</c:v>
                </c:pt>
                <c:pt idx="20">
                  <c:v>23621</c:v>
                </c:pt>
                <c:pt idx="21">
                  <c:v>23651</c:v>
                </c:pt>
                <c:pt idx="22">
                  <c:v>23682</c:v>
                </c:pt>
                <c:pt idx="23">
                  <c:v>23712</c:v>
                </c:pt>
                <c:pt idx="24">
                  <c:v>23743</c:v>
                </c:pt>
                <c:pt idx="25">
                  <c:v>23774</c:v>
                </c:pt>
                <c:pt idx="26">
                  <c:v>23802</c:v>
                </c:pt>
                <c:pt idx="27">
                  <c:v>23833</c:v>
                </c:pt>
                <c:pt idx="28">
                  <c:v>23863</c:v>
                </c:pt>
                <c:pt idx="29">
                  <c:v>23894</c:v>
                </c:pt>
                <c:pt idx="30">
                  <c:v>23924</c:v>
                </c:pt>
                <c:pt idx="31">
                  <c:v>23955</c:v>
                </c:pt>
                <c:pt idx="32">
                  <c:v>23986</c:v>
                </c:pt>
                <c:pt idx="33">
                  <c:v>24016</c:v>
                </c:pt>
                <c:pt idx="34">
                  <c:v>24047</c:v>
                </c:pt>
                <c:pt idx="35">
                  <c:v>24077</c:v>
                </c:pt>
                <c:pt idx="36">
                  <c:v>24108</c:v>
                </c:pt>
                <c:pt idx="37">
                  <c:v>24139</c:v>
                </c:pt>
                <c:pt idx="38">
                  <c:v>24167</c:v>
                </c:pt>
                <c:pt idx="39">
                  <c:v>24198</c:v>
                </c:pt>
                <c:pt idx="40">
                  <c:v>24228</c:v>
                </c:pt>
                <c:pt idx="41">
                  <c:v>24259</c:v>
                </c:pt>
                <c:pt idx="42">
                  <c:v>24289</c:v>
                </c:pt>
                <c:pt idx="43">
                  <c:v>24320</c:v>
                </c:pt>
                <c:pt idx="44">
                  <c:v>24351</c:v>
                </c:pt>
                <c:pt idx="45">
                  <c:v>24381</c:v>
                </c:pt>
                <c:pt idx="46">
                  <c:v>24412</c:v>
                </c:pt>
                <c:pt idx="47">
                  <c:v>24442</c:v>
                </c:pt>
                <c:pt idx="48">
                  <c:v>24473</c:v>
                </c:pt>
                <c:pt idx="49">
                  <c:v>24504</c:v>
                </c:pt>
                <c:pt idx="50">
                  <c:v>24532</c:v>
                </c:pt>
                <c:pt idx="51">
                  <c:v>24563</c:v>
                </c:pt>
                <c:pt idx="52">
                  <c:v>24593</c:v>
                </c:pt>
                <c:pt idx="53">
                  <c:v>24624</c:v>
                </c:pt>
                <c:pt idx="54">
                  <c:v>24654</c:v>
                </c:pt>
                <c:pt idx="55">
                  <c:v>24685</c:v>
                </c:pt>
                <c:pt idx="56">
                  <c:v>24716</c:v>
                </c:pt>
                <c:pt idx="57">
                  <c:v>24746</c:v>
                </c:pt>
                <c:pt idx="58">
                  <c:v>24777</c:v>
                </c:pt>
                <c:pt idx="59">
                  <c:v>24807</c:v>
                </c:pt>
                <c:pt idx="60">
                  <c:v>24838</c:v>
                </c:pt>
                <c:pt idx="61">
                  <c:v>24869</c:v>
                </c:pt>
                <c:pt idx="62">
                  <c:v>24898</c:v>
                </c:pt>
                <c:pt idx="63">
                  <c:v>24929</c:v>
                </c:pt>
                <c:pt idx="64">
                  <c:v>24959</c:v>
                </c:pt>
                <c:pt idx="65">
                  <c:v>24990</c:v>
                </c:pt>
                <c:pt idx="66">
                  <c:v>25020</c:v>
                </c:pt>
                <c:pt idx="67">
                  <c:v>25051</c:v>
                </c:pt>
                <c:pt idx="68">
                  <c:v>25082</c:v>
                </c:pt>
                <c:pt idx="69">
                  <c:v>25112</c:v>
                </c:pt>
                <c:pt idx="70">
                  <c:v>25143</c:v>
                </c:pt>
                <c:pt idx="71">
                  <c:v>25173</c:v>
                </c:pt>
                <c:pt idx="72">
                  <c:v>25204</c:v>
                </c:pt>
                <c:pt idx="73">
                  <c:v>25235</c:v>
                </c:pt>
                <c:pt idx="74">
                  <c:v>25263</c:v>
                </c:pt>
                <c:pt idx="75">
                  <c:v>25294</c:v>
                </c:pt>
                <c:pt idx="76">
                  <c:v>25324</c:v>
                </c:pt>
                <c:pt idx="77">
                  <c:v>25355</c:v>
                </c:pt>
                <c:pt idx="78">
                  <c:v>25385</c:v>
                </c:pt>
                <c:pt idx="79">
                  <c:v>25416</c:v>
                </c:pt>
                <c:pt idx="80">
                  <c:v>25447</c:v>
                </c:pt>
                <c:pt idx="81">
                  <c:v>25477</c:v>
                </c:pt>
                <c:pt idx="82">
                  <c:v>25508</c:v>
                </c:pt>
                <c:pt idx="83">
                  <c:v>25538</c:v>
                </c:pt>
                <c:pt idx="84">
                  <c:v>25569</c:v>
                </c:pt>
                <c:pt idx="85">
                  <c:v>25600</c:v>
                </c:pt>
                <c:pt idx="86">
                  <c:v>25628</c:v>
                </c:pt>
                <c:pt idx="87">
                  <c:v>25659</c:v>
                </c:pt>
                <c:pt idx="88">
                  <c:v>25689</c:v>
                </c:pt>
                <c:pt idx="89">
                  <c:v>25720</c:v>
                </c:pt>
                <c:pt idx="90">
                  <c:v>25750</c:v>
                </c:pt>
                <c:pt idx="91">
                  <c:v>25781</c:v>
                </c:pt>
                <c:pt idx="92">
                  <c:v>25812</c:v>
                </c:pt>
                <c:pt idx="93">
                  <c:v>25842</c:v>
                </c:pt>
                <c:pt idx="94">
                  <c:v>25873</c:v>
                </c:pt>
                <c:pt idx="95">
                  <c:v>25903</c:v>
                </c:pt>
                <c:pt idx="96">
                  <c:v>25934</c:v>
                </c:pt>
                <c:pt idx="97">
                  <c:v>25965</c:v>
                </c:pt>
                <c:pt idx="98">
                  <c:v>25993</c:v>
                </c:pt>
                <c:pt idx="99">
                  <c:v>26024</c:v>
                </c:pt>
                <c:pt idx="100">
                  <c:v>26054</c:v>
                </c:pt>
                <c:pt idx="101">
                  <c:v>26085</c:v>
                </c:pt>
                <c:pt idx="102">
                  <c:v>26115</c:v>
                </c:pt>
                <c:pt idx="103">
                  <c:v>26146</c:v>
                </c:pt>
                <c:pt idx="104">
                  <c:v>26177</c:v>
                </c:pt>
                <c:pt idx="105">
                  <c:v>26207</c:v>
                </c:pt>
                <c:pt idx="106">
                  <c:v>26238</c:v>
                </c:pt>
                <c:pt idx="107">
                  <c:v>26268</c:v>
                </c:pt>
                <c:pt idx="108">
                  <c:v>26299</c:v>
                </c:pt>
                <c:pt idx="109">
                  <c:v>26330</c:v>
                </c:pt>
                <c:pt idx="110">
                  <c:v>26359</c:v>
                </c:pt>
                <c:pt idx="111">
                  <c:v>26390</c:v>
                </c:pt>
                <c:pt idx="112">
                  <c:v>26420</c:v>
                </c:pt>
                <c:pt idx="113">
                  <c:v>26451</c:v>
                </c:pt>
                <c:pt idx="114">
                  <c:v>26481</c:v>
                </c:pt>
                <c:pt idx="115">
                  <c:v>26512</c:v>
                </c:pt>
                <c:pt idx="116">
                  <c:v>26543</c:v>
                </c:pt>
                <c:pt idx="117">
                  <c:v>26573</c:v>
                </c:pt>
                <c:pt idx="118">
                  <c:v>26604</c:v>
                </c:pt>
                <c:pt idx="119">
                  <c:v>26634</c:v>
                </c:pt>
                <c:pt idx="120">
                  <c:v>26665</c:v>
                </c:pt>
                <c:pt idx="121">
                  <c:v>26696</c:v>
                </c:pt>
                <c:pt idx="122">
                  <c:v>26724</c:v>
                </c:pt>
                <c:pt idx="123">
                  <c:v>26755</c:v>
                </c:pt>
                <c:pt idx="124">
                  <c:v>26785</c:v>
                </c:pt>
                <c:pt idx="125">
                  <c:v>26816</c:v>
                </c:pt>
                <c:pt idx="126">
                  <c:v>26846</c:v>
                </c:pt>
                <c:pt idx="127">
                  <c:v>26877</c:v>
                </c:pt>
                <c:pt idx="128">
                  <c:v>26908</c:v>
                </c:pt>
                <c:pt idx="129">
                  <c:v>26938</c:v>
                </c:pt>
                <c:pt idx="130">
                  <c:v>26969</c:v>
                </c:pt>
                <c:pt idx="131">
                  <c:v>26999</c:v>
                </c:pt>
                <c:pt idx="132">
                  <c:v>27030</c:v>
                </c:pt>
                <c:pt idx="133">
                  <c:v>27061</c:v>
                </c:pt>
                <c:pt idx="134">
                  <c:v>27089</c:v>
                </c:pt>
                <c:pt idx="135">
                  <c:v>27120</c:v>
                </c:pt>
                <c:pt idx="136">
                  <c:v>27150</c:v>
                </c:pt>
                <c:pt idx="137">
                  <c:v>27181</c:v>
                </c:pt>
                <c:pt idx="138">
                  <c:v>27211</c:v>
                </c:pt>
                <c:pt idx="139">
                  <c:v>27242</c:v>
                </c:pt>
                <c:pt idx="140">
                  <c:v>27273</c:v>
                </c:pt>
                <c:pt idx="141">
                  <c:v>27303</c:v>
                </c:pt>
                <c:pt idx="142">
                  <c:v>27334</c:v>
                </c:pt>
                <c:pt idx="143">
                  <c:v>27364</c:v>
                </c:pt>
                <c:pt idx="144">
                  <c:v>27395</c:v>
                </c:pt>
                <c:pt idx="145">
                  <c:v>27426</c:v>
                </c:pt>
                <c:pt idx="146">
                  <c:v>27454</c:v>
                </c:pt>
                <c:pt idx="147">
                  <c:v>27485</c:v>
                </c:pt>
                <c:pt idx="148">
                  <c:v>27515</c:v>
                </c:pt>
                <c:pt idx="149">
                  <c:v>27546</c:v>
                </c:pt>
                <c:pt idx="150">
                  <c:v>27576</c:v>
                </c:pt>
                <c:pt idx="151">
                  <c:v>27607</c:v>
                </c:pt>
                <c:pt idx="152">
                  <c:v>27638</c:v>
                </c:pt>
                <c:pt idx="153">
                  <c:v>27668</c:v>
                </c:pt>
                <c:pt idx="154">
                  <c:v>27699</c:v>
                </c:pt>
                <c:pt idx="155">
                  <c:v>27729</c:v>
                </c:pt>
                <c:pt idx="156">
                  <c:v>27760</c:v>
                </c:pt>
                <c:pt idx="157">
                  <c:v>27791</c:v>
                </c:pt>
                <c:pt idx="158">
                  <c:v>27820</c:v>
                </c:pt>
                <c:pt idx="159">
                  <c:v>27851</c:v>
                </c:pt>
                <c:pt idx="160">
                  <c:v>27881</c:v>
                </c:pt>
                <c:pt idx="161">
                  <c:v>27912</c:v>
                </c:pt>
                <c:pt idx="162">
                  <c:v>27942</c:v>
                </c:pt>
                <c:pt idx="163">
                  <c:v>27973</c:v>
                </c:pt>
                <c:pt idx="164">
                  <c:v>28004</c:v>
                </c:pt>
                <c:pt idx="165">
                  <c:v>28034</c:v>
                </c:pt>
                <c:pt idx="166">
                  <c:v>28065</c:v>
                </c:pt>
                <c:pt idx="167">
                  <c:v>28095</c:v>
                </c:pt>
                <c:pt idx="168">
                  <c:v>28126</c:v>
                </c:pt>
                <c:pt idx="169">
                  <c:v>28157</c:v>
                </c:pt>
                <c:pt idx="170">
                  <c:v>28185</c:v>
                </c:pt>
                <c:pt idx="171">
                  <c:v>28216</c:v>
                </c:pt>
                <c:pt idx="172">
                  <c:v>28246</c:v>
                </c:pt>
                <c:pt idx="173">
                  <c:v>28277</c:v>
                </c:pt>
                <c:pt idx="174">
                  <c:v>28307</c:v>
                </c:pt>
                <c:pt idx="175">
                  <c:v>28338</c:v>
                </c:pt>
                <c:pt idx="176">
                  <c:v>28369</c:v>
                </c:pt>
                <c:pt idx="177">
                  <c:v>28399</c:v>
                </c:pt>
                <c:pt idx="178">
                  <c:v>28430</c:v>
                </c:pt>
                <c:pt idx="179">
                  <c:v>28460</c:v>
                </c:pt>
                <c:pt idx="180">
                  <c:v>28491</c:v>
                </c:pt>
                <c:pt idx="181">
                  <c:v>28522</c:v>
                </c:pt>
                <c:pt idx="182">
                  <c:v>28550</c:v>
                </c:pt>
                <c:pt idx="183">
                  <c:v>28581</c:v>
                </c:pt>
                <c:pt idx="184">
                  <c:v>28611</c:v>
                </c:pt>
                <c:pt idx="185">
                  <c:v>28642</c:v>
                </c:pt>
                <c:pt idx="186">
                  <c:v>28672</c:v>
                </c:pt>
                <c:pt idx="187">
                  <c:v>28703</c:v>
                </c:pt>
                <c:pt idx="188">
                  <c:v>28734</c:v>
                </c:pt>
                <c:pt idx="189">
                  <c:v>28764</c:v>
                </c:pt>
                <c:pt idx="190">
                  <c:v>28795</c:v>
                </c:pt>
                <c:pt idx="191">
                  <c:v>28825</c:v>
                </c:pt>
                <c:pt idx="192">
                  <c:v>28856</c:v>
                </c:pt>
                <c:pt idx="193">
                  <c:v>28887</c:v>
                </c:pt>
                <c:pt idx="194">
                  <c:v>28915</c:v>
                </c:pt>
                <c:pt idx="195">
                  <c:v>28946</c:v>
                </c:pt>
                <c:pt idx="196">
                  <c:v>28976</c:v>
                </c:pt>
                <c:pt idx="197">
                  <c:v>29007</c:v>
                </c:pt>
                <c:pt idx="198">
                  <c:v>29037</c:v>
                </c:pt>
                <c:pt idx="199">
                  <c:v>29068</c:v>
                </c:pt>
                <c:pt idx="200">
                  <c:v>29099</c:v>
                </c:pt>
                <c:pt idx="201">
                  <c:v>29129</c:v>
                </c:pt>
                <c:pt idx="202">
                  <c:v>29160</c:v>
                </c:pt>
                <c:pt idx="203">
                  <c:v>29190</c:v>
                </c:pt>
                <c:pt idx="204">
                  <c:v>29221</c:v>
                </c:pt>
                <c:pt idx="205">
                  <c:v>29252</c:v>
                </c:pt>
                <c:pt idx="206">
                  <c:v>29281</c:v>
                </c:pt>
                <c:pt idx="207">
                  <c:v>29312</c:v>
                </c:pt>
                <c:pt idx="208">
                  <c:v>29342</c:v>
                </c:pt>
                <c:pt idx="209">
                  <c:v>29373</c:v>
                </c:pt>
                <c:pt idx="210">
                  <c:v>29403</c:v>
                </c:pt>
                <c:pt idx="211">
                  <c:v>29434</c:v>
                </c:pt>
                <c:pt idx="212">
                  <c:v>29465</c:v>
                </c:pt>
                <c:pt idx="213">
                  <c:v>29495</c:v>
                </c:pt>
                <c:pt idx="214">
                  <c:v>29526</c:v>
                </c:pt>
                <c:pt idx="215">
                  <c:v>29556</c:v>
                </c:pt>
                <c:pt idx="216">
                  <c:v>29587</c:v>
                </c:pt>
                <c:pt idx="217">
                  <c:v>29618</c:v>
                </c:pt>
                <c:pt idx="218">
                  <c:v>29646</c:v>
                </c:pt>
                <c:pt idx="219">
                  <c:v>29677</c:v>
                </c:pt>
                <c:pt idx="220">
                  <c:v>29707</c:v>
                </c:pt>
                <c:pt idx="221">
                  <c:v>29738</c:v>
                </c:pt>
                <c:pt idx="222">
                  <c:v>29768</c:v>
                </c:pt>
                <c:pt idx="223">
                  <c:v>29799</c:v>
                </c:pt>
                <c:pt idx="224">
                  <c:v>29830</c:v>
                </c:pt>
                <c:pt idx="225">
                  <c:v>29860</c:v>
                </c:pt>
                <c:pt idx="226">
                  <c:v>29891</c:v>
                </c:pt>
                <c:pt idx="227">
                  <c:v>29921</c:v>
                </c:pt>
                <c:pt idx="228">
                  <c:v>29952</c:v>
                </c:pt>
                <c:pt idx="229">
                  <c:v>29983</c:v>
                </c:pt>
                <c:pt idx="230">
                  <c:v>30011</c:v>
                </c:pt>
                <c:pt idx="231">
                  <c:v>30042</c:v>
                </c:pt>
                <c:pt idx="232">
                  <c:v>30072</c:v>
                </c:pt>
                <c:pt idx="233">
                  <c:v>30103</c:v>
                </c:pt>
                <c:pt idx="234">
                  <c:v>30133</c:v>
                </c:pt>
                <c:pt idx="235">
                  <c:v>30164</c:v>
                </c:pt>
                <c:pt idx="236">
                  <c:v>30195</c:v>
                </c:pt>
                <c:pt idx="237">
                  <c:v>30225</c:v>
                </c:pt>
                <c:pt idx="238">
                  <c:v>30256</c:v>
                </c:pt>
                <c:pt idx="239">
                  <c:v>30286</c:v>
                </c:pt>
                <c:pt idx="240">
                  <c:v>30317</c:v>
                </c:pt>
                <c:pt idx="241">
                  <c:v>30348</c:v>
                </c:pt>
                <c:pt idx="242">
                  <c:v>30376</c:v>
                </c:pt>
                <c:pt idx="243">
                  <c:v>30407</c:v>
                </c:pt>
                <c:pt idx="244">
                  <c:v>30437</c:v>
                </c:pt>
                <c:pt idx="245">
                  <c:v>30468</c:v>
                </c:pt>
                <c:pt idx="246">
                  <c:v>30498</c:v>
                </c:pt>
                <c:pt idx="247">
                  <c:v>30529</c:v>
                </c:pt>
                <c:pt idx="248">
                  <c:v>30560</c:v>
                </c:pt>
                <c:pt idx="249">
                  <c:v>30590</c:v>
                </c:pt>
                <c:pt idx="250">
                  <c:v>30621</c:v>
                </c:pt>
                <c:pt idx="251">
                  <c:v>30651</c:v>
                </c:pt>
                <c:pt idx="252">
                  <c:v>30682</c:v>
                </c:pt>
                <c:pt idx="253">
                  <c:v>30713</c:v>
                </c:pt>
                <c:pt idx="254">
                  <c:v>30742</c:v>
                </c:pt>
                <c:pt idx="255">
                  <c:v>30773</c:v>
                </c:pt>
                <c:pt idx="256">
                  <c:v>30803</c:v>
                </c:pt>
                <c:pt idx="257">
                  <c:v>30834</c:v>
                </c:pt>
                <c:pt idx="258">
                  <c:v>30864</c:v>
                </c:pt>
                <c:pt idx="259">
                  <c:v>30895</c:v>
                </c:pt>
                <c:pt idx="260">
                  <c:v>30926</c:v>
                </c:pt>
                <c:pt idx="261">
                  <c:v>30956</c:v>
                </c:pt>
                <c:pt idx="262">
                  <c:v>30987</c:v>
                </c:pt>
                <c:pt idx="263">
                  <c:v>31017</c:v>
                </c:pt>
                <c:pt idx="264">
                  <c:v>31048</c:v>
                </c:pt>
                <c:pt idx="265">
                  <c:v>31079</c:v>
                </c:pt>
                <c:pt idx="266">
                  <c:v>31107</c:v>
                </c:pt>
                <c:pt idx="267">
                  <c:v>31138</c:v>
                </c:pt>
                <c:pt idx="268">
                  <c:v>31168</c:v>
                </c:pt>
                <c:pt idx="269">
                  <c:v>31199</c:v>
                </c:pt>
                <c:pt idx="270">
                  <c:v>31229</c:v>
                </c:pt>
                <c:pt idx="271">
                  <c:v>31260</c:v>
                </c:pt>
                <c:pt idx="272">
                  <c:v>31291</c:v>
                </c:pt>
                <c:pt idx="273">
                  <c:v>31321</c:v>
                </c:pt>
                <c:pt idx="274">
                  <c:v>31352</c:v>
                </c:pt>
                <c:pt idx="275">
                  <c:v>31382</c:v>
                </c:pt>
                <c:pt idx="276">
                  <c:v>31413</c:v>
                </c:pt>
                <c:pt idx="277">
                  <c:v>31444</c:v>
                </c:pt>
                <c:pt idx="278">
                  <c:v>31472</c:v>
                </c:pt>
                <c:pt idx="279">
                  <c:v>31503</c:v>
                </c:pt>
                <c:pt idx="280">
                  <c:v>31533</c:v>
                </c:pt>
                <c:pt idx="281">
                  <c:v>31564</c:v>
                </c:pt>
                <c:pt idx="282">
                  <c:v>31594</c:v>
                </c:pt>
                <c:pt idx="283">
                  <c:v>31625</c:v>
                </c:pt>
                <c:pt idx="284">
                  <c:v>31656</c:v>
                </c:pt>
                <c:pt idx="285">
                  <c:v>31686</c:v>
                </c:pt>
                <c:pt idx="286">
                  <c:v>31717</c:v>
                </c:pt>
                <c:pt idx="287">
                  <c:v>31747</c:v>
                </c:pt>
                <c:pt idx="288">
                  <c:v>31778</c:v>
                </c:pt>
                <c:pt idx="289">
                  <c:v>31809</c:v>
                </c:pt>
                <c:pt idx="290">
                  <c:v>31837</c:v>
                </c:pt>
                <c:pt idx="291">
                  <c:v>31868</c:v>
                </c:pt>
                <c:pt idx="292">
                  <c:v>31898</c:v>
                </c:pt>
                <c:pt idx="293">
                  <c:v>31929</c:v>
                </c:pt>
                <c:pt idx="294">
                  <c:v>31959</c:v>
                </c:pt>
                <c:pt idx="295">
                  <c:v>31990</c:v>
                </c:pt>
                <c:pt idx="296">
                  <c:v>32021</c:v>
                </c:pt>
                <c:pt idx="297">
                  <c:v>32051</c:v>
                </c:pt>
                <c:pt idx="298">
                  <c:v>32082</c:v>
                </c:pt>
                <c:pt idx="299">
                  <c:v>32112</c:v>
                </c:pt>
                <c:pt idx="300">
                  <c:v>32143</c:v>
                </c:pt>
                <c:pt idx="301">
                  <c:v>32174</c:v>
                </c:pt>
                <c:pt idx="302">
                  <c:v>32203</c:v>
                </c:pt>
                <c:pt idx="303">
                  <c:v>32234</c:v>
                </c:pt>
                <c:pt idx="304">
                  <c:v>32264</c:v>
                </c:pt>
                <c:pt idx="305">
                  <c:v>32295</c:v>
                </c:pt>
                <c:pt idx="306">
                  <c:v>32325</c:v>
                </c:pt>
                <c:pt idx="307">
                  <c:v>32356</c:v>
                </c:pt>
                <c:pt idx="308">
                  <c:v>32387</c:v>
                </c:pt>
                <c:pt idx="309">
                  <c:v>32417</c:v>
                </c:pt>
                <c:pt idx="310">
                  <c:v>32448</c:v>
                </c:pt>
                <c:pt idx="311">
                  <c:v>32478</c:v>
                </c:pt>
                <c:pt idx="312">
                  <c:v>32509</c:v>
                </c:pt>
                <c:pt idx="313">
                  <c:v>32540</c:v>
                </c:pt>
                <c:pt idx="314">
                  <c:v>32568</c:v>
                </c:pt>
                <c:pt idx="315">
                  <c:v>32599</c:v>
                </c:pt>
                <c:pt idx="316">
                  <c:v>32629</c:v>
                </c:pt>
                <c:pt idx="317">
                  <c:v>32660</c:v>
                </c:pt>
                <c:pt idx="318">
                  <c:v>32690</c:v>
                </c:pt>
                <c:pt idx="319">
                  <c:v>32721</c:v>
                </c:pt>
                <c:pt idx="320">
                  <c:v>32752</c:v>
                </c:pt>
                <c:pt idx="321">
                  <c:v>32782</c:v>
                </c:pt>
                <c:pt idx="322">
                  <c:v>32813</c:v>
                </c:pt>
                <c:pt idx="323">
                  <c:v>32843</c:v>
                </c:pt>
                <c:pt idx="324">
                  <c:v>32874</c:v>
                </c:pt>
                <c:pt idx="325">
                  <c:v>32905</c:v>
                </c:pt>
                <c:pt idx="326">
                  <c:v>32933</c:v>
                </c:pt>
                <c:pt idx="327">
                  <c:v>32964</c:v>
                </c:pt>
                <c:pt idx="328">
                  <c:v>32994</c:v>
                </c:pt>
                <c:pt idx="329">
                  <c:v>33025</c:v>
                </c:pt>
                <c:pt idx="330">
                  <c:v>33055</c:v>
                </c:pt>
                <c:pt idx="331">
                  <c:v>33086</c:v>
                </c:pt>
                <c:pt idx="332">
                  <c:v>33117</c:v>
                </c:pt>
                <c:pt idx="333">
                  <c:v>33147</c:v>
                </c:pt>
                <c:pt idx="334">
                  <c:v>33178</c:v>
                </c:pt>
                <c:pt idx="335">
                  <c:v>33208</c:v>
                </c:pt>
                <c:pt idx="336">
                  <c:v>33239</c:v>
                </c:pt>
                <c:pt idx="337">
                  <c:v>33270</c:v>
                </c:pt>
                <c:pt idx="338">
                  <c:v>33298</c:v>
                </c:pt>
                <c:pt idx="339">
                  <c:v>33329</c:v>
                </c:pt>
                <c:pt idx="340">
                  <c:v>33359</c:v>
                </c:pt>
                <c:pt idx="341">
                  <c:v>33390</c:v>
                </c:pt>
                <c:pt idx="342">
                  <c:v>33420</c:v>
                </c:pt>
                <c:pt idx="343">
                  <c:v>33451</c:v>
                </c:pt>
                <c:pt idx="344">
                  <c:v>33482</c:v>
                </c:pt>
                <c:pt idx="345">
                  <c:v>33512</c:v>
                </c:pt>
                <c:pt idx="346">
                  <c:v>33543</c:v>
                </c:pt>
                <c:pt idx="347">
                  <c:v>33573</c:v>
                </c:pt>
                <c:pt idx="348">
                  <c:v>33604</c:v>
                </c:pt>
                <c:pt idx="349">
                  <c:v>33635</c:v>
                </c:pt>
                <c:pt idx="350">
                  <c:v>33664</c:v>
                </c:pt>
                <c:pt idx="351">
                  <c:v>33695</c:v>
                </c:pt>
                <c:pt idx="352">
                  <c:v>33725</c:v>
                </c:pt>
                <c:pt idx="353">
                  <c:v>33756</c:v>
                </c:pt>
                <c:pt idx="354">
                  <c:v>33786</c:v>
                </c:pt>
                <c:pt idx="355">
                  <c:v>33817</c:v>
                </c:pt>
                <c:pt idx="356">
                  <c:v>33848</c:v>
                </c:pt>
                <c:pt idx="357">
                  <c:v>33878</c:v>
                </c:pt>
                <c:pt idx="358">
                  <c:v>33909</c:v>
                </c:pt>
                <c:pt idx="359">
                  <c:v>33939</c:v>
                </c:pt>
                <c:pt idx="360">
                  <c:v>33970</c:v>
                </c:pt>
                <c:pt idx="361">
                  <c:v>34001</c:v>
                </c:pt>
                <c:pt idx="362">
                  <c:v>34029</c:v>
                </c:pt>
                <c:pt idx="363">
                  <c:v>34060</c:v>
                </c:pt>
                <c:pt idx="364">
                  <c:v>34090</c:v>
                </c:pt>
                <c:pt idx="365">
                  <c:v>34121</c:v>
                </c:pt>
                <c:pt idx="366">
                  <c:v>34151</c:v>
                </c:pt>
                <c:pt idx="367">
                  <c:v>34182</c:v>
                </c:pt>
                <c:pt idx="368">
                  <c:v>34213</c:v>
                </c:pt>
                <c:pt idx="369">
                  <c:v>34243</c:v>
                </c:pt>
                <c:pt idx="370">
                  <c:v>34274</c:v>
                </c:pt>
                <c:pt idx="371">
                  <c:v>34304</c:v>
                </c:pt>
                <c:pt idx="372">
                  <c:v>34335</c:v>
                </c:pt>
                <c:pt idx="373">
                  <c:v>34366</c:v>
                </c:pt>
                <c:pt idx="374">
                  <c:v>34394</c:v>
                </c:pt>
                <c:pt idx="375">
                  <c:v>34425</c:v>
                </c:pt>
                <c:pt idx="376">
                  <c:v>34455</c:v>
                </c:pt>
                <c:pt idx="377">
                  <c:v>34486</c:v>
                </c:pt>
                <c:pt idx="378">
                  <c:v>34516</c:v>
                </c:pt>
                <c:pt idx="379">
                  <c:v>34547</c:v>
                </c:pt>
                <c:pt idx="380">
                  <c:v>34578</c:v>
                </c:pt>
                <c:pt idx="381">
                  <c:v>34608</c:v>
                </c:pt>
                <c:pt idx="382">
                  <c:v>34639</c:v>
                </c:pt>
                <c:pt idx="383">
                  <c:v>34669</c:v>
                </c:pt>
                <c:pt idx="384">
                  <c:v>34700</c:v>
                </c:pt>
                <c:pt idx="385">
                  <c:v>34731</c:v>
                </c:pt>
                <c:pt idx="386">
                  <c:v>34759</c:v>
                </c:pt>
                <c:pt idx="387">
                  <c:v>34790</c:v>
                </c:pt>
                <c:pt idx="388">
                  <c:v>34820</c:v>
                </c:pt>
                <c:pt idx="389">
                  <c:v>34851</c:v>
                </c:pt>
                <c:pt idx="390">
                  <c:v>34881</c:v>
                </c:pt>
                <c:pt idx="391">
                  <c:v>34912</c:v>
                </c:pt>
                <c:pt idx="392">
                  <c:v>34943</c:v>
                </c:pt>
                <c:pt idx="393">
                  <c:v>34973</c:v>
                </c:pt>
                <c:pt idx="394">
                  <c:v>35004</c:v>
                </c:pt>
                <c:pt idx="395">
                  <c:v>35034</c:v>
                </c:pt>
                <c:pt idx="396">
                  <c:v>35065</c:v>
                </c:pt>
                <c:pt idx="397">
                  <c:v>35096</c:v>
                </c:pt>
                <c:pt idx="398">
                  <c:v>35125</c:v>
                </c:pt>
                <c:pt idx="399">
                  <c:v>35156</c:v>
                </c:pt>
                <c:pt idx="400">
                  <c:v>35186</c:v>
                </c:pt>
                <c:pt idx="401">
                  <c:v>35217</c:v>
                </c:pt>
                <c:pt idx="402">
                  <c:v>35247</c:v>
                </c:pt>
                <c:pt idx="403">
                  <c:v>35278</c:v>
                </c:pt>
                <c:pt idx="404">
                  <c:v>35309</c:v>
                </c:pt>
                <c:pt idx="405">
                  <c:v>35339</c:v>
                </c:pt>
                <c:pt idx="406">
                  <c:v>35370</c:v>
                </c:pt>
                <c:pt idx="407">
                  <c:v>35400</c:v>
                </c:pt>
                <c:pt idx="408">
                  <c:v>35431</c:v>
                </c:pt>
                <c:pt idx="409">
                  <c:v>35462</c:v>
                </c:pt>
                <c:pt idx="410">
                  <c:v>35490</c:v>
                </c:pt>
                <c:pt idx="411">
                  <c:v>35521</c:v>
                </c:pt>
                <c:pt idx="412">
                  <c:v>35551</c:v>
                </c:pt>
                <c:pt idx="413">
                  <c:v>35582</c:v>
                </c:pt>
                <c:pt idx="414">
                  <c:v>35612</c:v>
                </c:pt>
                <c:pt idx="415">
                  <c:v>35643</c:v>
                </c:pt>
                <c:pt idx="416">
                  <c:v>35674</c:v>
                </c:pt>
                <c:pt idx="417">
                  <c:v>35704</c:v>
                </c:pt>
                <c:pt idx="418">
                  <c:v>35735</c:v>
                </c:pt>
                <c:pt idx="419">
                  <c:v>35765</c:v>
                </c:pt>
                <c:pt idx="420">
                  <c:v>35796</c:v>
                </c:pt>
                <c:pt idx="421">
                  <c:v>35827</c:v>
                </c:pt>
                <c:pt idx="422">
                  <c:v>35855</c:v>
                </c:pt>
                <c:pt idx="423">
                  <c:v>35886</c:v>
                </c:pt>
                <c:pt idx="424">
                  <c:v>35916</c:v>
                </c:pt>
                <c:pt idx="425">
                  <c:v>35947</c:v>
                </c:pt>
                <c:pt idx="426">
                  <c:v>35977</c:v>
                </c:pt>
                <c:pt idx="427">
                  <c:v>36008</c:v>
                </c:pt>
                <c:pt idx="428">
                  <c:v>36039</c:v>
                </c:pt>
                <c:pt idx="429">
                  <c:v>36069</c:v>
                </c:pt>
                <c:pt idx="430">
                  <c:v>36100</c:v>
                </c:pt>
                <c:pt idx="431">
                  <c:v>36130</c:v>
                </c:pt>
                <c:pt idx="432">
                  <c:v>36161</c:v>
                </c:pt>
                <c:pt idx="433">
                  <c:v>36192</c:v>
                </c:pt>
                <c:pt idx="434">
                  <c:v>36220</c:v>
                </c:pt>
                <c:pt idx="435">
                  <c:v>36251</c:v>
                </c:pt>
                <c:pt idx="436">
                  <c:v>36281</c:v>
                </c:pt>
                <c:pt idx="437">
                  <c:v>36312</c:v>
                </c:pt>
                <c:pt idx="438">
                  <c:v>36342</c:v>
                </c:pt>
                <c:pt idx="439">
                  <c:v>36373</c:v>
                </c:pt>
                <c:pt idx="440">
                  <c:v>36404</c:v>
                </c:pt>
                <c:pt idx="441">
                  <c:v>36434</c:v>
                </c:pt>
                <c:pt idx="442">
                  <c:v>36465</c:v>
                </c:pt>
                <c:pt idx="443">
                  <c:v>36495</c:v>
                </c:pt>
                <c:pt idx="444">
                  <c:v>36526</c:v>
                </c:pt>
                <c:pt idx="445">
                  <c:v>36557</c:v>
                </c:pt>
                <c:pt idx="446">
                  <c:v>36586</c:v>
                </c:pt>
                <c:pt idx="447">
                  <c:v>36617</c:v>
                </c:pt>
                <c:pt idx="448">
                  <c:v>36647</c:v>
                </c:pt>
                <c:pt idx="449">
                  <c:v>36678</c:v>
                </c:pt>
                <c:pt idx="450">
                  <c:v>36708</c:v>
                </c:pt>
                <c:pt idx="451">
                  <c:v>36739</c:v>
                </c:pt>
                <c:pt idx="452">
                  <c:v>36770</c:v>
                </c:pt>
                <c:pt idx="453">
                  <c:v>36800</c:v>
                </c:pt>
                <c:pt idx="454">
                  <c:v>36831</c:v>
                </c:pt>
                <c:pt idx="455">
                  <c:v>36861</c:v>
                </c:pt>
                <c:pt idx="456">
                  <c:v>36892</c:v>
                </c:pt>
                <c:pt idx="457">
                  <c:v>36923</c:v>
                </c:pt>
                <c:pt idx="458">
                  <c:v>36951</c:v>
                </c:pt>
                <c:pt idx="459">
                  <c:v>36982</c:v>
                </c:pt>
                <c:pt idx="460">
                  <c:v>37012</c:v>
                </c:pt>
                <c:pt idx="461">
                  <c:v>37043</c:v>
                </c:pt>
                <c:pt idx="462">
                  <c:v>37073</c:v>
                </c:pt>
                <c:pt idx="463">
                  <c:v>37104</c:v>
                </c:pt>
                <c:pt idx="464">
                  <c:v>37135</c:v>
                </c:pt>
                <c:pt idx="465">
                  <c:v>37165</c:v>
                </c:pt>
                <c:pt idx="466">
                  <c:v>37196</c:v>
                </c:pt>
                <c:pt idx="467">
                  <c:v>37226</c:v>
                </c:pt>
                <c:pt idx="468">
                  <c:v>37257</c:v>
                </c:pt>
                <c:pt idx="469">
                  <c:v>37288</c:v>
                </c:pt>
                <c:pt idx="470">
                  <c:v>37316</c:v>
                </c:pt>
                <c:pt idx="471">
                  <c:v>37347</c:v>
                </c:pt>
                <c:pt idx="472">
                  <c:v>37377</c:v>
                </c:pt>
                <c:pt idx="473">
                  <c:v>37408</c:v>
                </c:pt>
                <c:pt idx="474">
                  <c:v>37438</c:v>
                </c:pt>
                <c:pt idx="475">
                  <c:v>37469</c:v>
                </c:pt>
                <c:pt idx="476">
                  <c:v>37500</c:v>
                </c:pt>
                <c:pt idx="477">
                  <c:v>37530</c:v>
                </c:pt>
                <c:pt idx="478">
                  <c:v>37561</c:v>
                </c:pt>
                <c:pt idx="479">
                  <c:v>37591</c:v>
                </c:pt>
                <c:pt idx="480">
                  <c:v>37622</c:v>
                </c:pt>
                <c:pt idx="481">
                  <c:v>37653</c:v>
                </c:pt>
                <c:pt idx="482">
                  <c:v>37681</c:v>
                </c:pt>
                <c:pt idx="483">
                  <c:v>37712</c:v>
                </c:pt>
                <c:pt idx="484">
                  <c:v>37742</c:v>
                </c:pt>
                <c:pt idx="485">
                  <c:v>37773</c:v>
                </c:pt>
                <c:pt idx="486">
                  <c:v>37803</c:v>
                </c:pt>
                <c:pt idx="487">
                  <c:v>37834</c:v>
                </c:pt>
                <c:pt idx="488">
                  <c:v>37865</c:v>
                </c:pt>
                <c:pt idx="489">
                  <c:v>37895</c:v>
                </c:pt>
                <c:pt idx="490">
                  <c:v>37926</c:v>
                </c:pt>
                <c:pt idx="491">
                  <c:v>37956</c:v>
                </c:pt>
                <c:pt idx="492">
                  <c:v>37987</c:v>
                </c:pt>
                <c:pt idx="493">
                  <c:v>38018</c:v>
                </c:pt>
                <c:pt idx="494">
                  <c:v>38047</c:v>
                </c:pt>
                <c:pt idx="495">
                  <c:v>38078</c:v>
                </c:pt>
                <c:pt idx="496">
                  <c:v>38108</c:v>
                </c:pt>
                <c:pt idx="497">
                  <c:v>38139</c:v>
                </c:pt>
                <c:pt idx="498">
                  <c:v>38169</c:v>
                </c:pt>
                <c:pt idx="499">
                  <c:v>38200</c:v>
                </c:pt>
                <c:pt idx="500">
                  <c:v>38231</c:v>
                </c:pt>
                <c:pt idx="501">
                  <c:v>38261</c:v>
                </c:pt>
                <c:pt idx="502">
                  <c:v>38292</c:v>
                </c:pt>
                <c:pt idx="503">
                  <c:v>38322</c:v>
                </c:pt>
                <c:pt idx="504">
                  <c:v>38353</c:v>
                </c:pt>
                <c:pt idx="505">
                  <c:v>38384</c:v>
                </c:pt>
                <c:pt idx="506">
                  <c:v>38412</c:v>
                </c:pt>
                <c:pt idx="507">
                  <c:v>38443</c:v>
                </c:pt>
                <c:pt idx="508">
                  <c:v>38473</c:v>
                </c:pt>
                <c:pt idx="509">
                  <c:v>38504</c:v>
                </c:pt>
                <c:pt idx="510">
                  <c:v>38534</c:v>
                </c:pt>
                <c:pt idx="511">
                  <c:v>38565</c:v>
                </c:pt>
                <c:pt idx="512">
                  <c:v>38596</c:v>
                </c:pt>
                <c:pt idx="513">
                  <c:v>38626</c:v>
                </c:pt>
                <c:pt idx="514">
                  <c:v>38657</c:v>
                </c:pt>
                <c:pt idx="515">
                  <c:v>38687</c:v>
                </c:pt>
                <c:pt idx="516">
                  <c:v>38718</c:v>
                </c:pt>
                <c:pt idx="517">
                  <c:v>38749</c:v>
                </c:pt>
                <c:pt idx="518">
                  <c:v>38777</c:v>
                </c:pt>
                <c:pt idx="519">
                  <c:v>38808</c:v>
                </c:pt>
                <c:pt idx="520">
                  <c:v>38838</c:v>
                </c:pt>
                <c:pt idx="521">
                  <c:v>38869</c:v>
                </c:pt>
                <c:pt idx="522">
                  <c:v>38899</c:v>
                </c:pt>
                <c:pt idx="523">
                  <c:v>38930</c:v>
                </c:pt>
                <c:pt idx="524">
                  <c:v>38961</c:v>
                </c:pt>
                <c:pt idx="525">
                  <c:v>38991</c:v>
                </c:pt>
                <c:pt idx="526">
                  <c:v>39022</c:v>
                </c:pt>
                <c:pt idx="527">
                  <c:v>39052</c:v>
                </c:pt>
                <c:pt idx="528">
                  <c:v>39083</c:v>
                </c:pt>
                <c:pt idx="529">
                  <c:v>39114</c:v>
                </c:pt>
                <c:pt idx="530">
                  <c:v>39142</c:v>
                </c:pt>
                <c:pt idx="531">
                  <c:v>39173</c:v>
                </c:pt>
                <c:pt idx="532">
                  <c:v>39203</c:v>
                </c:pt>
                <c:pt idx="533">
                  <c:v>39234</c:v>
                </c:pt>
                <c:pt idx="534">
                  <c:v>39264</c:v>
                </c:pt>
                <c:pt idx="535">
                  <c:v>39295</c:v>
                </c:pt>
                <c:pt idx="536">
                  <c:v>39326</c:v>
                </c:pt>
                <c:pt idx="537">
                  <c:v>39356</c:v>
                </c:pt>
                <c:pt idx="538">
                  <c:v>39387</c:v>
                </c:pt>
                <c:pt idx="539">
                  <c:v>39417</c:v>
                </c:pt>
                <c:pt idx="540">
                  <c:v>39448</c:v>
                </c:pt>
                <c:pt idx="541">
                  <c:v>39479</c:v>
                </c:pt>
                <c:pt idx="542">
                  <c:v>39508</c:v>
                </c:pt>
                <c:pt idx="543">
                  <c:v>39539</c:v>
                </c:pt>
                <c:pt idx="544">
                  <c:v>39569</c:v>
                </c:pt>
                <c:pt idx="545">
                  <c:v>39600</c:v>
                </c:pt>
                <c:pt idx="546">
                  <c:v>39630</c:v>
                </c:pt>
                <c:pt idx="547">
                  <c:v>39661</c:v>
                </c:pt>
                <c:pt idx="548">
                  <c:v>39692</c:v>
                </c:pt>
                <c:pt idx="549">
                  <c:v>39722</c:v>
                </c:pt>
                <c:pt idx="550">
                  <c:v>39753</c:v>
                </c:pt>
                <c:pt idx="551">
                  <c:v>39783</c:v>
                </c:pt>
                <c:pt idx="552">
                  <c:v>39814</c:v>
                </c:pt>
                <c:pt idx="553">
                  <c:v>39845</c:v>
                </c:pt>
                <c:pt idx="554">
                  <c:v>39873</c:v>
                </c:pt>
                <c:pt idx="555">
                  <c:v>39904</c:v>
                </c:pt>
                <c:pt idx="556">
                  <c:v>39934</c:v>
                </c:pt>
                <c:pt idx="557">
                  <c:v>39965</c:v>
                </c:pt>
                <c:pt idx="558">
                  <c:v>39995</c:v>
                </c:pt>
                <c:pt idx="559">
                  <c:v>40026</c:v>
                </c:pt>
                <c:pt idx="560">
                  <c:v>40057</c:v>
                </c:pt>
                <c:pt idx="561">
                  <c:v>40087</c:v>
                </c:pt>
                <c:pt idx="562">
                  <c:v>40118</c:v>
                </c:pt>
                <c:pt idx="563">
                  <c:v>40148</c:v>
                </c:pt>
                <c:pt idx="564">
                  <c:v>40179</c:v>
                </c:pt>
                <c:pt idx="565">
                  <c:v>40210</c:v>
                </c:pt>
                <c:pt idx="566">
                  <c:v>40238</c:v>
                </c:pt>
                <c:pt idx="567">
                  <c:v>40269</c:v>
                </c:pt>
                <c:pt idx="568">
                  <c:v>40299</c:v>
                </c:pt>
                <c:pt idx="569">
                  <c:v>40330</c:v>
                </c:pt>
                <c:pt idx="570">
                  <c:v>40360</c:v>
                </c:pt>
                <c:pt idx="571">
                  <c:v>40391</c:v>
                </c:pt>
                <c:pt idx="572">
                  <c:v>40422</c:v>
                </c:pt>
                <c:pt idx="573">
                  <c:v>40452</c:v>
                </c:pt>
                <c:pt idx="574">
                  <c:v>40483</c:v>
                </c:pt>
                <c:pt idx="575">
                  <c:v>40513</c:v>
                </c:pt>
                <c:pt idx="576">
                  <c:v>40544</c:v>
                </c:pt>
                <c:pt idx="577">
                  <c:v>40575</c:v>
                </c:pt>
                <c:pt idx="578">
                  <c:v>40603</c:v>
                </c:pt>
                <c:pt idx="579">
                  <c:v>40634</c:v>
                </c:pt>
                <c:pt idx="580">
                  <c:v>40664</c:v>
                </c:pt>
                <c:pt idx="581">
                  <c:v>40695</c:v>
                </c:pt>
                <c:pt idx="582">
                  <c:v>40725</c:v>
                </c:pt>
                <c:pt idx="583">
                  <c:v>40756</c:v>
                </c:pt>
                <c:pt idx="584">
                  <c:v>40787</c:v>
                </c:pt>
                <c:pt idx="585">
                  <c:v>40817</c:v>
                </c:pt>
                <c:pt idx="586">
                  <c:v>40848</c:v>
                </c:pt>
                <c:pt idx="587">
                  <c:v>40878</c:v>
                </c:pt>
                <c:pt idx="588">
                  <c:v>40909</c:v>
                </c:pt>
                <c:pt idx="589">
                  <c:v>40940</c:v>
                </c:pt>
                <c:pt idx="590">
                  <c:v>40969</c:v>
                </c:pt>
                <c:pt idx="591">
                  <c:v>41000</c:v>
                </c:pt>
                <c:pt idx="592">
                  <c:v>41030</c:v>
                </c:pt>
                <c:pt idx="593">
                  <c:v>41061</c:v>
                </c:pt>
                <c:pt idx="594">
                  <c:v>41091</c:v>
                </c:pt>
                <c:pt idx="595">
                  <c:v>41122</c:v>
                </c:pt>
                <c:pt idx="596">
                  <c:v>41153</c:v>
                </c:pt>
                <c:pt idx="597">
                  <c:v>41183</c:v>
                </c:pt>
                <c:pt idx="598">
                  <c:v>41214</c:v>
                </c:pt>
                <c:pt idx="599">
                  <c:v>41244</c:v>
                </c:pt>
                <c:pt idx="600">
                  <c:v>41275</c:v>
                </c:pt>
                <c:pt idx="601">
                  <c:v>41306</c:v>
                </c:pt>
                <c:pt idx="602">
                  <c:v>41334</c:v>
                </c:pt>
                <c:pt idx="603">
                  <c:v>41365</c:v>
                </c:pt>
                <c:pt idx="604">
                  <c:v>41395</c:v>
                </c:pt>
                <c:pt idx="605">
                  <c:v>41426</c:v>
                </c:pt>
                <c:pt idx="606">
                  <c:v>41456</c:v>
                </c:pt>
                <c:pt idx="607">
                  <c:v>41487</c:v>
                </c:pt>
                <c:pt idx="608">
                  <c:v>41518</c:v>
                </c:pt>
                <c:pt idx="609">
                  <c:v>41548</c:v>
                </c:pt>
                <c:pt idx="610">
                  <c:v>41579</c:v>
                </c:pt>
                <c:pt idx="611">
                  <c:v>41609</c:v>
                </c:pt>
                <c:pt idx="612">
                  <c:v>41640</c:v>
                </c:pt>
                <c:pt idx="613">
                  <c:v>41671</c:v>
                </c:pt>
                <c:pt idx="614">
                  <c:v>41699</c:v>
                </c:pt>
                <c:pt idx="615">
                  <c:v>41730</c:v>
                </c:pt>
                <c:pt idx="616">
                  <c:v>41760</c:v>
                </c:pt>
                <c:pt idx="617">
                  <c:v>41791</c:v>
                </c:pt>
                <c:pt idx="618">
                  <c:v>41821</c:v>
                </c:pt>
                <c:pt idx="619">
                  <c:v>41852</c:v>
                </c:pt>
                <c:pt idx="620">
                  <c:v>41883</c:v>
                </c:pt>
                <c:pt idx="621">
                  <c:v>41913</c:v>
                </c:pt>
                <c:pt idx="622">
                  <c:v>41944</c:v>
                </c:pt>
                <c:pt idx="623">
                  <c:v>41974</c:v>
                </c:pt>
                <c:pt idx="624">
                  <c:v>42005</c:v>
                </c:pt>
                <c:pt idx="625">
                  <c:v>42036</c:v>
                </c:pt>
                <c:pt idx="626">
                  <c:v>42064</c:v>
                </c:pt>
                <c:pt idx="627">
                  <c:v>42095</c:v>
                </c:pt>
                <c:pt idx="628">
                  <c:v>42125</c:v>
                </c:pt>
                <c:pt idx="629">
                  <c:v>42156</c:v>
                </c:pt>
                <c:pt idx="630">
                  <c:v>42186</c:v>
                </c:pt>
                <c:pt idx="631">
                  <c:v>42217</c:v>
                </c:pt>
                <c:pt idx="632">
                  <c:v>42248</c:v>
                </c:pt>
                <c:pt idx="633">
                  <c:v>42278</c:v>
                </c:pt>
                <c:pt idx="634">
                  <c:v>42309</c:v>
                </c:pt>
                <c:pt idx="635">
                  <c:v>42339</c:v>
                </c:pt>
                <c:pt idx="636">
                  <c:v>42370</c:v>
                </c:pt>
                <c:pt idx="637">
                  <c:v>42401</c:v>
                </c:pt>
                <c:pt idx="638">
                  <c:v>42430</c:v>
                </c:pt>
                <c:pt idx="639">
                  <c:v>42461</c:v>
                </c:pt>
                <c:pt idx="640">
                  <c:v>42491</c:v>
                </c:pt>
                <c:pt idx="641">
                  <c:v>42522</c:v>
                </c:pt>
                <c:pt idx="642">
                  <c:v>42552</c:v>
                </c:pt>
                <c:pt idx="643">
                  <c:v>42583</c:v>
                </c:pt>
                <c:pt idx="644">
                  <c:v>42614</c:v>
                </c:pt>
                <c:pt idx="645">
                  <c:v>42644</c:v>
                </c:pt>
                <c:pt idx="646">
                  <c:v>42675</c:v>
                </c:pt>
                <c:pt idx="647">
                  <c:v>42705</c:v>
                </c:pt>
                <c:pt idx="648">
                  <c:v>42736</c:v>
                </c:pt>
                <c:pt idx="649">
                  <c:v>42767</c:v>
                </c:pt>
                <c:pt idx="650">
                  <c:v>42795</c:v>
                </c:pt>
                <c:pt idx="651">
                  <c:v>42826</c:v>
                </c:pt>
                <c:pt idx="652">
                  <c:v>42856</c:v>
                </c:pt>
                <c:pt idx="653">
                  <c:v>42887</c:v>
                </c:pt>
                <c:pt idx="654">
                  <c:v>42917</c:v>
                </c:pt>
                <c:pt idx="655">
                  <c:v>42948</c:v>
                </c:pt>
                <c:pt idx="656">
                  <c:v>42979</c:v>
                </c:pt>
                <c:pt idx="657">
                  <c:v>43009</c:v>
                </c:pt>
                <c:pt idx="658">
                  <c:v>43040</c:v>
                </c:pt>
                <c:pt idx="659">
                  <c:v>43070</c:v>
                </c:pt>
                <c:pt idx="660">
                  <c:v>43101</c:v>
                </c:pt>
                <c:pt idx="661">
                  <c:v>43132</c:v>
                </c:pt>
                <c:pt idx="662">
                  <c:v>43160</c:v>
                </c:pt>
                <c:pt idx="663">
                  <c:v>43191</c:v>
                </c:pt>
                <c:pt idx="664">
                  <c:v>43221</c:v>
                </c:pt>
                <c:pt idx="665">
                  <c:v>43252</c:v>
                </c:pt>
                <c:pt idx="666">
                  <c:v>43282</c:v>
                </c:pt>
                <c:pt idx="667">
                  <c:v>43313</c:v>
                </c:pt>
                <c:pt idx="668">
                  <c:v>43344</c:v>
                </c:pt>
                <c:pt idx="669">
                  <c:v>43374</c:v>
                </c:pt>
                <c:pt idx="670">
                  <c:v>43405</c:v>
                </c:pt>
                <c:pt idx="671">
                  <c:v>43435</c:v>
                </c:pt>
                <c:pt idx="672">
                  <c:v>43466</c:v>
                </c:pt>
                <c:pt idx="673">
                  <c:v>43497</c:v>
                </c:pt>
                <c:pt idx="674">
                  <c:v>43525</c:v>
                </c:pt>
                <c:pt idx="675">
                  <c:v>43556</c:v>
                </c:pt>
                <c:pt idx="676">
                  <c:v>43586</c:v>
                </c:pt>
                <c:pt idx="677">
                  <c:v>43617</c:v>
                </c:pt>
                <c:pt idx="678">
                  <c:v>43647</c:v>
                </c:pt>
                <c:pt idx="679">
                  <c:v>43678</c:v>
                </c:pt>
                <c:pt idx="680">
                  <c:v>43709</c:v>
                </c:pt>
                <c:pt idx="681">
                  <c:v>43739</c:v>
                </c:pt>
                <c:pt idx="682">
                  <c:v>43770</c:v>
                </c:pt>
                <c:pt idx="683">
                  <c:v>43800</c:v>
                </c:pt>
                <c:pt idx="684">
                  <c:v>43831</c:v>
                </c:pt>
                <c:pt idx="685">
                  <c:v>43862</c:v>
                </c:pt>
                <c:pt idx="686">
                  <c:v>43891</c:v>
                </c:pt>
                <c:pt idx="687">
                  <c:v>43922</c:v>
                </c:pt>
                <c:pt idx="688">
                  <c:v>43952</c:v>
                </c:pt>
                <c:pt idx="689">
                  <c:v>43983</c:v>
                </c:pt>
                <c:pt idx="690">
                  <c:v>44013</c:v>
                </c:pt>
                <c:pt idx="691">
                  <c:v>44044</c:v>
                </c:pt>
                <c:pt idx="692">
                  <c:v>44075</c:v>
                </c:pt>
                <c:pt idx="693">
                  <c:v>44105</c:v>
                </c:pt>
                <c:pt idx="694">
                  <c:v>44136</c:v>
                </c:pt>
                <c:pt idx="695">
                  <c:v>44166</c:v>
                </c:pt>
                <c:pt idx="696">
                  <c:v>44197</c:v>
                </c:pt>
                <c:pt idx="697">
                  <c:v>44228</c:v>
                </c:pt>
                <c:pt idx="698">
                  <c:v>44256</c:v>
                </c:pt>
                <c:pt idx="699">
                  <c:v>44287</c:v>
                </c:pt>
                <c:pt idx="700">
                  <c:v>44317</c:v>
                </c:pt>
                <c:pt idx="701">
                  <c:v>44348</c:v>
                </c:pt>
                <c:pt idx="702">
                  <c:v>44378</c:v>
                </c:pt>
                <c:pt idx="703">
                  <c:v>44409</c:v>
                </c:pt>
                <c:pt idx="704">
                  <c:v>44440</c:v>
                </c:pt>
                <c:pt idx="705">
                  <c:v>44470</c:v>
                </c:pt>
                <c:pt idx="706">
                  <c:v>44501</c:v>
                </c:pt>
                <c:pt idx="707">
                  <c:v>44531</c:v>
                </c:pt>
                <c:pt idx="708">
                  <c:v>44562</c:v>
                </c:pt>
                <c:pt idx="709">
                  <c:v>44593</c:v>
                </c:pt>
                <c:pt idx="710">
                  <c:v>44621</c:v>
                </c:pt>
                <c:pt idx="711">
                  <c:v>44652</c:v>
                </c:pt>
                <c:pt idx="712">
                  <c:v>44682</c:v>
                </c:pt>
                <c:pt idx="713">
                  <c:v>44713</c:v>
                </c:pt>
                <c:pt idx="714">
                  <c:v>44743</c:v>
                </c:pt>
                <c:pt idx="715">
                  <c:v>44774</c:v>
                </c:pt>
                <c:pt idx="716">
                  <c:v>44805</c:v>
                </c:pt>
                <c:pt idx="717">
                  <c:v>44835</c:v>
                </c:pt>
                <c:pt idx="718">
                  <c:v>44866</c:v>
                </c:pt>
                <c:pt idx="719">
                  <c:v>44896</c:v>
                </c:pt>
                <c:pt idx="720">
                  <c:v>44927</c:v>
                </c:pt>
                <c:pt idx="721">
                  <c:v>44958</c:v>
                </c:pt>
                <c:pt idx="722">
                  <c:v>44986</c:v>
                </c:pt>
                <c:pt idx="723">
                  <c:v>45017</c:v>
                </c:pt>
                <c:pt idx="724">
                  <c:v>45047</c:v>
                </c:pt>
                <c:pt idx="725">
                  <c:v>45078</c:v>
                </c:pt>
                <c:pt idx="726">
                  <c:v>45108</c:v>
                </c:pt>
                <c:pt idx="727">
                  <c:v>45139</c:v>
                </c:pt>
                <c:pt idx="728">
                  <c:v>45170</c:v>
                </c:pt>
                <c:pt idx="729">
                  <c:v>45200</c:v>
                </c:pt>
                <c:pt idx="730">
                  <c:v>45231</c:v>
                </c:pt>
                <c:pt idx="731">
                  <c:v>45261</c:v>
                </c:pt>
              </c:numCache>
            </c:numRef>
          </c:cat>
          <c:val>
            <c:numRef>
              <c:f>'Housing Market'!$R$27:$R$758</c:f>
              <c:numCache>
                <c:formatCode>General</c:formatCode>
                <c:ptCount val="732"/>
                <c:pt idx="0">
                  <c:v>4.7</c:v>
                </c:pt>
                <c:pt idx="1">
                  <c:v>6.6</c:v>
                </c:pt>
                <c:pt idx="2">
                  <c:v>6.4</c:v>
                </c:pt>
                <c:pt idx="3">
                  <c:v>5.3</c:v>
                </c:pt>
                <c:pt idx="4">
                  <c:v>5.0999999999999996</c:v>
                </c:pt>
                <c:pt idx="5">
                  <c:v>6</c:v>
                </c:pt>
                <c:pt idx="6">
                  <c:v>4.5999999999999996</c:v>
                </c:pt>
                <c:pt idx="7">
                  <c:v>5.6</c:v>
                </c:pt>
                <c:pt idx="8">
                  <c:v>5.4</c:v>
                </c:pt>
                <c:pt idx="9">
                  <c:v>5.9</c:v>
                </c:pt>
                <c:pt idx="10">
                  <c:v>5.5</c:v>
                </c:pt>
                <c:pt idx="11">
                  <c:v>6.1</c:v>
                </c:pt>
                <c:pt idx="12">
                  <c:v>5.8</c:v>
                </c:pt>
                <c:pt idx="13">
                  <c:v>5.5</c:v>
                </c:pt>
                <c:pt idx="14">
                  <c:v>5.8</c:v>
                </c:pt>
                <c:pt idx="15">
                  <c:v>6</c:v>
                </c:pt>
                <c:pt idx="16">
                  <c:v>6.2</c:v>
                </c:pt>
                <c:pt idx="17">
                  <c:v>5.7</c:v>
                </c:pt>
                <c:pt idx="18">
                  <c:v>5.5</c:v>
                </c:pt>
                <c:pt idx="19">
                  <c:v>5.4</c:v>
                </c:pt>
                <c:pt idx="20">
                  <c:v>5.4</c:v>
                </c:pt>
                <c:pt idx="21">
                  <c:v>5.3</c:v>
                </c:pt>
                <c:pt idx="22">
                  <c:v>5.6</c:v>
                </c:pt>
                <c:pt idx="23">
                  <c:v>5.5</c:v>
                </c:pt>
                <c:pt idx="24">
                  <c:v>5.6</c:v>
                </c:pt>
                <c:pt idx="25">
                  <c:v>5.5</c:v>
                </c:pt>
                <c:pt idx="26">
                  <c:v>5.4</c:v>
                </c:pt>
                <c:pt idx="27">
                  <c:v>5.6</c:v>
                </c:pt>
                <c:pt idx="28">
                  <c:v>5.3</c:v>
                </c:pt>
                <c:pt idx="29">
                  <c:v>4.7</c:v>
                </c:pt>
                <c:pt idx="30">
                  <c:v>5.2</c:v>
                </c:pt>
                <c:pt idx="31">
                  <c:v>4.5999999999999996</c:v>
                </c:pt>
                <c:pt idx="32">
                  <c:v>4.9000000000000004</c:v>
                </c:pt>
                <c:pt idx="33">
                  <c:v>5</c:v>
                </c:pt>
                <c:pt idx="34">
                  <c:v>4.5999999999999996</c:v>
                </c:pt>
                <c:pt idx="35">
                  <c:v>4.4000000000000004</c:v>
                </c:pt>
                <c:pt idx="36">
                  <c:v>4.7</c:v>
                </c:pt>
                <c:pt idx="37">
                  <c:v>4.9000000000000004</c:v>
                </c:pt>
                <c:pt idx="38">
                  <c:v>5</c:v>
                </c:pt>
                <c:pt idx="39">
                  <c:v>5.0999999999999996</c:v>
                </c:pt>
                <c:pt idx="40">
                  <c:v>5.3</c:v>
                </c:pt>
                <c:pt idx="41">
                  <c:v>6</c:v>
                </c:pt>
                <c:pt idx="42">
                  <c:v>5.9</c:v>
                </c:pt>
                <c:pt idx="43">
                  <c:v>6.8</c:v>
                </c:pt>
                <c:pt idx="44">
                  <c:v>7.2</c:v>
                </c:pt>
                <c:pt idx="45">
                  <c:v>6.3</c:v>
                </c:pt>
                <c:pt idx="46">
                  <c:v>6.2</c:v>
                </c:pt>
                <c:pt idx="47">
                  <c:v>6.3</c:v>
                </c:pt>
                <c:pt idx="48">
                  <c:v>5.7</c:v>
                </c:pt>
                <c:pt idx="49">
                  <c:v>5.7</c:v>
                </c:pt>
                <c:pt idx="50">
                  <c:v>5.4</c:v>
                </c:pt>
                <c:pt idx="51">
                  <c:v>4.9000000000000004</c:v>
                </c:pt>
                <c:pt idx="52">
                  <c:v>4.5</c:v>
                </c:pt>
                <c:pt idx="53">
                  <c:v>4.5999999999999996</c:v>
                </c:pt>
                <c:pt idx="54">
                  <c:v>4.4000000000000004</c:v>
                </c:pt>
                <c:pt idx="55">
                  <c:v>4.4000000000000004</c:v>
                </c:pt>
                <c:pt idx="56">
                  <c:v>4.3</c:v>
                </c:pt>
                <c:pt idx="57">
                  <c:v>4.0999999999999996</c:v>
                </c:pt>
                <c:pt idx="58">
                  <c:v>4.5999999999999996</c:v>
                </c:pt>
                <c:pt idx="59">
                  <c:v>4.7</c:v>
                </c:pt>
                <c:pt idx="60">
                  <c:v>4.7</c:v>
                </c:pt>
                <c:pt idx="61">
                  <c:v>4.0999999999999996</c:v>
                </c:pt>
                <c:pt idx="62">
                  <c:v>4.8</c:v>
                </c:pt>
                <c:pt idx="63">
                  <c:v>4.9000000000000004</c:v>
                </c:pt>
                <c:pt idx="64">
                  <c:v>5.5</c:v>
                </c:pt>
                <c:pt idx="65">
                  <c:v>5.5</c:v>
                </c:pt>
                <c:pt idx="66">
                  <c:v>5.0999999999999996</c:v>
                </c:pt>
                <c:pt idx="67">
                  <c:v>5</c:v>
                </c:pt>
                <c:pt idx="68">
                  <c:v>5.0999999999999996</c:v>
                </c:pt>
                <c:pt idx="69">
                  <c:v>5.2</c:v>
                </c:pt>
                <c:pt idx="70">
                  <c:v>5.6</c:v>
                </c:pt>
                <c:pt idx="71">
                  <c:v>5.2</c:v>
                </c:pt>
                <c:pt idx="72">
                  <c:v>5.5</c:v>
                </c:pt>
                <c:pt idx="73">
                  <c:v>4.9000000000000004</c:v>
                </c:pt>
                <c:pt idx="74">
                  <c:v>5.7</c:v>
                </c:pt>
                <c:pt idx="75">
                  <c:v>6</c:v>
                </c:pt>
                <c:pt idx="76">
                  <c:v>6.1</c:v>
                </c:pt>
                <c:pt idx="77">
                  <c:v>5.8</c:v>
                </c:pt>
                <c:pt idx="78">
                  <c:v>6.3</c:v>
                </c:pt>
                <c:pt idx="79">
                  <c:v>6.5</c:v>
                </c:pt>
                <c:pt idx="80">
                  <c:v>6.9</c:v>
                </c:pt>
                <c:pt idx="81">
                  <c:v>7</c:v>
                </c:pt>
                <c:pt idx="82">
                  <c:v>6.2</c:v>
                </c:pt>
                <c:pt idx="83">
                  <c:v>6.1</c:v>
                </c:pt>
                <c:pt idx="84">
                  <c:v>5.5</c:v>
                </c:pt>
                <c:pt idx="85">
                  <c:v>7.2</c:v>
                </c:pt>
                <c:pt idx="86">
                  <c:v>6.8</c:v>
                </c:pt>
                <c:pt idx="87">
                  <c:v>6</c:v>
                </c:pt>
                <c:pt idx="88">
                  <c:v>5.7</c:v>
                </c:pt>
                <c:pt idx="89">
                  <c:v>5.5</c:v>
                </c:pt>
                <c:pt idx="90">
                  <c:v>5.4</c:v>
                </c:pt>
                <c:pt idx="91">
                  <c:v>5.0999999999999996</c:v>
                </c:pt>
                <c:pt idx="92">
                  <c:v>4.7</c:v>
                </c:pt>
                <c:pt idx="93">
                  <c:v>4.8</c:v>
                </c:pt>
                <c:pt idx="94">
                  <c:v>4.5999999999999996</c:v>
                </c:pt>
                <c:pt idx="95">
                  <c:v>4.7</c:v>
                </c:pt>
                <c:pt idx="96">
                  <c:v>4.3</c:v>
                </c:pt>
                <c:pt idx="97">
                  <c:v>4.4000000000000004</c:v>
                </c:pt>
                <c:pt idx="98">
                  <c:v>4</c:v>
                </c:pt>
                <c:pt idx="99">
                  <c:v>4.2</c:v>
                </c:pt>
                <c:pt idx="100">
                  <c:v>4.5999999999999996</c:v>
                </c:pt>
                <c:pt idx="101">
                  <c:v>4.7</c:v>
                </c:pt>
                <c:pt idx="102">
                  <c:v>4.0999999999999996</c:v>
                </c:pt>
                <c:pt idx="103">
                  <c:v>4.7</c:v>
                </c:pt>
                <c:pt idx="104">
                  <c:v>5.2</c:v>
                </c:pt>
                <c:pt idx="105">
                  <c:v>5</c:v>
                </c:pt>
                <c:pt idx="106">
                  <c:v>4.9000000000000004</c:v>
                </c:pt>
                <c:pt idx="107">
                  <c:v>5.0999999999999996</c:v>
                </c:pt>
                <c:pt idx="108">
                  <c:v>5.2</c:v>
                </c:pt>
                <c:pt idx="109">
                  <c:v>5.4</c:v>
                </c:pt>
                <c:pt idx="110">
                  <c:v>6.1</c:v>
                </c:pt>
                <c:pt idx="111">
                  <c:v>5.8</c:v>
                </c:pt>
                <c:pt idx="112">
                  <c:v>6.1</c:v>
                </c:pt>
                <c:pt idx="113">
                  <c:v>6.3</c:v>
                </c:pt>
                <c:pt idx="114">
                  <c:v>6.3</c:v>
                </c:pt>
                <c:pt idx="115">
                  <c:v>6</c:v>
                </c:pt>
                <c:pt idx="116">
                  <c:v>6.2</c:v>
                </c:pt>
                <c:pt idx="117">
                  <c:v>5.7</c:v>
                </c:pt>
                <c:pt idx="118">
                  <c:v>6.8</c:v>
                </c:pt>
                <c:pt idx="119">
                  <c:v>6.5</c:v>
                </c:pt>
                <c:pt idx="120">
                  <c:v>6.5</c:v>
                </c:pt>
                <c:pt idx="121">
                  <c:v>6.8</c:v>
                </c:pt>
                <c:pt idx="122">
                  <c:v>7</c:v>
                </c:pt>
                <c:pt idx="123">
                  <c:v>7.7</c:v>
                </c:pt>
                <c:pt idx="124">
                  <c:v>7.5</c:v>
                </c:pt>
                <c:pt idx="125">
                  <c:v>7.8</c:v>
                </c:pt>
                <c:pt idx="126">
                  <c:v>8.6999999999999993</c:v>
                </c:pt>
                <c:pt idx="127">
                  <c:v>9.4</c:v>
                </c:pt>
                <c:pt idx="128">
                  <c:v>9.5</c:v>
                </c:pt>
                <c:pt idx="129">
                  <c:v>9.4</c:v>
                </c:pt>
                <c:pt idx="130">
                  <c:v>9.6</c:v>
                </c:pt>
                <c:pt idx="131">
                  <c:v>10.1</c:v>
                </c:pt>
                <c:pt idx="132">
                  <c:v>9.6999999999999993</c:v>
                </c:pt>
                <c:pt idx="133">
                  <c:v>9.6</c:v>
                </c:pt>
                <c:pt idx="134">
                  <c:v>8.8000000000000007</c:v>
                </c:pt>
                <c:pt idx="135">
                  <c:v>9.1</c:v>
                </c:pt>
                <c:pt idx="136">
                  <c:v>8</c:v>
                </c:pt>
                <c:pt idx="137">
                  <c:v>8.9</c:v>
                </c:pt>
                <c:pt idx="138">
                  <c:v>8.8000000000000007</c:v>
                </c:pt>
                <c:pt idx="139">
                  <c:v>9.3000000000000007</c:v>
                </c:pt>
                <c:pt idx="140">
                  <c:v>9.1</c:v>
                </c:pt>
                <c:pt idx="141">
                  <c:v>9.8000000000000007</c:v>
                </c:pt>
                <c:pt idx="142">
                  <c:v>9.6999999999999993</c:v>
                </c:pt>
                <c:pt idx="143">
                  <c:v>10.3</c:v>
                </c:pt>
                <c:pt idx="144">
                  <c:v>9.9</c:v>
                </c:pt>
                <c:pt idx="145">
                  <c:v>10.4</c:v>
                </c:pt>
                <c:pt idx="146">
                  <c:v>8.9</c:v>
                </c:pt>
                <c:pt idx="147">
                  <c:v>7.2</c:v>
                </c:pt>
                <c:pt idx="148">
                  <c:v>6.8</c:v>
                </c:pt>
                <c:pt idx="149">
                  <c:v>7.2</c:v>
                </c:pt>
                <c:pt idx="150">
                  <c:v>7</c:v>
                </c:pt>
                <c:pt idx="151">
                  <c:v>6.8</c:v>
                </c:pt>
                <c:pt idx="152">
                  <c:v>7.3</c:v>
                </c:pt>
                <c:pt idx="153">
                  <c:v>6.6</c:v>
                </c:pt>
                <c:pt idx="154">
                  <c:v>5.8</c:v>
                </c:pt>
                <c:pt idx="155">
                  <c:v>5.8</c:v>
                </c:pt>
                <c:pt idx="156">
                  <c:v>6.4</c:v>
                </c:pt>
                <c:pt idx="157">
                  <c:v>5.9</c:v>
                </c:pt>
                <c:pt idx="158">
                  <c:v>6.8</c:v>
                </c:pt>
                <c:pt idx="159">
                  <c:v>6.4</c:v>
                </c:pt>
                <c:pt idx="160">
                  <c:v>7</c:v>
                </c:pt>
                <c:pt idx="161">
                  <c:v>6.9</c:v>
                </c:pt>
                <c:pt idx="162">
                  <c:v>6.4</c:v>
                </c:pt>
                <c:pt idx="163">
                  <c:v>6.2</c:v>
                </c:pt>
                <c:pt idx="164">
                  <c:v>6.2</c:v>
                </c:pt>
                <c:pt idx="165">
                  <c:v>5.8</c:v>
                </c:pt>
                <c:pt idx="166">
                  <c:v>6</c:v>
                </c:pt>
                <c:pt idx="167">
                  <c:v>5.6</c:v>
                </c:pt>
                <c:pt idx="168">
                  <c:v>5.3</c:v>
                </c:pt>
                <c:pt idx="169">
                  <c:v>5.0999999999999996</c:v>
                </c:pt>
                <c:pt idx="170">
                  <c:v>5</c:v>
                </c:pt>
                <c:pt idx="171">
                  <c:v>5.5</c:v>
                </c:pt>
                <c:pt idx="172">
                  <c:v>5.4</c:v>
                </c:pt>
                <c:pt idx="173">
                  <c:v>5.5</c:v>
                </c:pt>
                <c:pt idx="174">
                  <c:v>6.1</c:v>
                </c:pt>
                <c:pt idx="175">
                  <c:v>5.8</c:v>
                </c:pt>
                <c:pt idx="176">
                  <c:v>5.9</c:v>
                </c:pt>
                <c:pt idx="177">
                  <c:v>6.1</c:v>
                </c:pt>
                <c:pt idx="178">
                  <c:v>6</c:v>
                </c:pt>
                <c:pt idx="179">
                  <c:v>6</c:v>
                </c:pt>
                <c:pt idx="180">
                  <c:v>5.9</c:v>
                </c:pt>
                <c:pt idx="181">
                  <c:v>6.3</c:v>
                </c:pt>
                <c:pt idx="182">
                  <c:v>6.1</c:v>
                </c:pt>
                <c:pt idx="183">
                  <c:v>5.8</c:v>
                </c:pt>
                <c:pt idx="184">
                  <c:v>5.9</c:v>
                </c:pt>
                <c:pt idx="185">
                  <c:v>6.2</c:v>
                </c:pt>
                <c:pt idx="186">
                  <c:v>6.6</c:v>
                </c:pt>
                <c:pt idx="187">
                  <c:v>6.6</c:v>
                </c:pt>
                <c:pt idx="188">
                  <c:v>5.9</c:v>
                </c:pt>
                <c:pt idx="189">
                  <c:v>5.7</c:v>
                </c:pt>
                <c:pt idx="190">
                  <c:v>6.5</c:v>
                </c:pt>
                <c:pt idx="191">
                  <c:v>6.1</c:v>
                </c:pt>
                <c:pt idx="192">
                  <c:v>6.6</c:v>
                </c:pt>
                <c:pt idx="193">
                  <c:v>6.8</c:v>
                </c:pt>
                <c:pt idx="194">
                  <c:v>6.6</c:v>
                </c:pt>
                <c:pt idx="195">
                  <c:v>6.8</c:v>
                </c:pt>
                <c:pt idx="196">
                  <c:v>7.1</c:v>
                </c:pt>
                <c:pt idx="197">
                  <c:v>7.4</c:v>
                </c:pt>
                <c:pt idx="198">
                  <c:v>7.1</c:v>
                </c:pt>
                <c:pt idx="199">
                  <c:v>6.9</c:v>
                </c:pt>
                <c:pt idx="200">
                  <c:v>7.4</c:v>
                </c:pt>
                <c:pt idx="201">
                  <c:v>7.4</c:v>
                </c:pt>
                <c:pt idx="202">
                  <c:v>8.3000000000000007</c:v>
                </c:pt>
                <c:pt idx="203">
                  <c:v>8.6</c:v>
                </c:pt>
                <c:pt idx="204">
                  <c:v>7.9</c:v>
                </c:pt>
                <c:pt idx="205">
                  <c:v>8.6</c:v>
                </c:pt>
                <c:pt idx="206">
                  <c:v>9.8000000000000007</c:v>
                </c:pt>
                <c:pt idx="207">
                  <c:v>11.6</c:v>
                </c:pt>
                <c:pt idx="208">
                  <c:v>9.1999999999999993</c:v>
                </c:pt>
                <c:pt idx="209">
                  <c:v>7.6</c:v>
                </c:pt>
                <c:pt idx="210">
                  <c:v>6.5</c:v>
                </c:pt>
                <c:pt idx="211">
                  <c:v>6</c:v>
                </c:pt>
                <c:pt idx="212">
                  <c:v>7.3</c:v>
                </c:pt>
                <c:pt idx="213">
                  <c:v>7.3</c:v>
                </c:pt>
                <c:pt idx="214">
                  <c:v>7.4</c:v>
                </c:pt>
                <c:pt idx="215">
                  <c:v>7.6</c:v>
                </c:pt>
                <c:pt idx="216">
                  <c:v>8</c:v>
                </c:pt>
                <c:pt idx="217">
                  <c:v>8.1</c:v>
                </c:pt>
                <c:pt idx="218">
                  <c:v>7.7</c:v>
                </c:pt>
                <c:pt idx="219">
                  <c:v>8.6</c:v>
                </c:pt>
                <c:pt idx="220">
                  <c:v>8.4</c:v>
                </c:pt>
                <c:pt idx="221">
                  <c:v>9.1999999999999993</c:v>
                </c:pt>
                <c:pt idx="222">
                  <c:v>9</c:v>
                </c:pt>
                <c:pt idx="223">
                  <c:v>9.8000000000000007</c:v>
                </c:pt>
                <c:pt idx="224">
                  <c:v>11.3</c:v>
                </c:pt>
                <c:pt idx="225">
                  <c:v>10.3</c:v>
                </c:pt>
                <c:pt idx="226">
                  <c:v>9.1</c:v>
                </c:pt>
                <c:pt idx="227">
                  <c:v>7.1</c:v>
                </c:pt>
                <c:pt idx="228">
                  <c:v>8.9</c:v>
                </c:pt>
                <c:pt idx="229">
                  <c:v>9.1999999999999993</c:v>
                </c:pt>
                <c:pt idx="230">
                  <c:v>8.6999999999999993</c:v>
                </c:pt>
                <c:pt idx="231">
                  <c:v>9.4</c:v>
                </c:pt>
                <c:pt idx="232">
                  <c:v>8.3000000000000007</c:v>
                </c:pt>
                <c:pt idx="233">
                  <c:v>8.3000000000000007</c:v>
                </c:pt>
                <c:pt idx="234">
                  <c:v>8.1999999999999993</c:v>
                </c:pt>
                <c:pt idx="235">
                  <c:v>7.1</c:v>
                </c:pt>
                <c:pt idx="236">
                  <c:v>6.7</c:v>
                </c:pt>
                <c:pt idx="237">
                  <c:v>6.2</c:v>
                </c:pt>
                <c:pt idx="238">
                  <c:v>5.4</c:v>
                </c:pt>
                <c:pt idx="239">
                  <c:v>5.8</c:v>
                </c:pt>
                <c:pt idx="240">
                  <c:v>5.4</c:v>
                </c:pt>
                <c:pt idx="241">
                  <c:v>5.6</c:v>
                </c:pt>
                <c:pt idx="242">
                  <c:v>5.4</c:v>
                </c:pt>
                <c:pt idx="243">
                  <c:v>5.0999999999999996</c:v>
                </c:pt>
                <c:pt idx="244">
                  <c:v>4.9000000000000004</c:v>
                </c:pt>
                <c:pt idx="245">
                  <c:v>5.3</c:v>
                </c:pt>
                <c:pt idx="246">
                  <c:v>5.8</c:v>
                </c:pt>
                <c:pt idx="247">
                  <c:v>6.2</c:v>
                </c:pt>
                <c:pt idx="248">
                  <c:v>6.2</c:v>
                </c:pt>
                <c:pt idx="249">
                  <c:v>5.6</c:v>
                </c:pt>
                <c:pt idx="250">
                  <c:v>5.8</c:v>
                </c:pt>
                <c:pt idx="251">
                  <c:v>4.7</c:v>
                </c:pt>
                <c:pt idx="252">
                  <c:v>5.3</c:v>
                </c:pt>
                <c:pt idx="253">
                  <c:v>5.0999999999999996</c:v>
                </c:pt>
                <c:pt idx="254">
                  <c:v>6.1</c:v>
                </c:pt>
                <c:pt idx="255">
                  <c:v>6</c:v>
                </c:pt>
                <c:pt idx="256">
                  <c:v>6.7</c:v>
                </c:pt>
                <c:pt idx="257">
                  <c:v>6.6</c:v>
                </c:pt>
                <c:pt idx="258">
                  <c:v>6.7</c:v>
                </c:pt>
                <c:pt idx="259">
                  <c:v>7.5</c:v>
                </c:pt>
                <c:pt idx="260">
                  <c:v>6.5</c:v>
                </c:pt>
                <c:pt idx="261">
                  <c:v>6</c:v>
                </c:pt>
                <c:pt idx="262">
                  <c:v>7.2</c:v>
                </c:pt>
                <c:pt idx="263">
                  <c:v>7.3</c:v>
                </c:pt>
                <c:pt idx="264">
                  <c:v>6.7</c:v>
                </c:pt>
                <c:pt idx="265">
                  <c:v>6.5</c:v>
                </c:pt>
                <c:pt idx="266">
                  <c:v>6.4</c:v>
                </c:pt>
                <c:pt idx="267">
                  <c:v>6.9</c:v>
                </c:pt>
                <c:pt idx="268">
                  <c:v>6.4</c:v>
                </c:pt>
                <c:pt idx="269">
                  <c:v>6</c:v>
                </c:pt>
                <c:pt idx="270">
                  <c:v>5.6</c:v>
                </c:pt>
                <c:pt idx="271">
                  <c:v>5.8</c:v>
                </c:pt>
                <c:pt idx="272">
                  <c:v>6.3</c:v>
                </c:pt>
                <c:pt idx="273">
                  <c:v>6.4</c:v>
                </c:pt>
                <c:pt idx="274">
                  <c:v>5.9</c:v>
                </c:pt>
                <c:pt idx="275">
                  <c:v>5.8</c:v>
                </c:pt>
                <c:pt idx="276">
                  <c:v>5.7</c:v>
                </c:pt>
                <c:pt idx="277">
                  <c:v>6</c:v>
                </c:pt>
                <c:pt idx="278">
                  <c:v>4.7</c:v>
                </c:pt>
                <c:pt idx="279">
                  <c:v>4.7</c:v>
                </c:pt>
                <c:pt idx="280">
                  <c:v>5.2</c:v>
                </c:pt>
                <c:pt idx="281">
                  <c:v>5.7</c:v>
                </c:pt>
                <c:pt idx="282">
                  <c:v>6.1</c:v>
                </c:pt>
                <c:pt idx="283">
                  <c:v>7</c:v>
                </c:pt>
                <c:pt idx="284">
                  <c:v>5.8</c:v>
                </c:pt>
                <c:pt idx="285">
                  <c:v>6.5</c:v>
                </c:pt>
                <c:pt idx="286">
                  <c:v>6.1</c:v>
                </c:pt>
                <c:pt idx="287">
                  <c:v>5.5</c:v>
                </c:pt>
                <c:pt idx="288">
                  <c:v>6</c:v>
                </c:pt>
                <c:pt idx="289">
                  <c:v>6.2</c:v>
                </c:pt>
                <c:pt idx="290">
                  <c:v>6</c:v>
                </c:pt>
                <c:pt idx="291">
                  <c:v>6</c:v>
                </c:pt>
                <c:pt idx="292">
                  <c:v>6.7</c:v>
                </c:pt>
                <c:pt idx="293">
                  <c:v>6.9</c:v>
                </c:pt>
                <c:pt idx="294">
                  <c:v>6.7</c:v>
                </c:pt>
                <c:pt idx="295">
                  <c:v>6.8</c:v>
                </c:pt>
                <c:pt idx="296">
                  <c:v>6.8</c:v>
                </c:pt>
                <c:pt idx="297">
                  <c:v>6.8</c:v>
                </c:pt>
                <c:pt idx="298">
                  <c:v>7</c:v>
                </c:pt>
                <c:pt idx="299">
                  <c:v>7.6</c:v>
                </c:pt>
                <c:pt idx="300">
                  <c:v>7.5</c:v>
                </c:pt>
                <c:pt idx="301">
                  <c:v>6.6</c:v>
                </c:pt>
                <c:pt idx="302">
                  <c:v>6.6</c:v>
                </c:pt>
                <c:pt idx="303">
                  <c:v>6.4</c:v>
                </c:pt>
                <c:pt idx="304">
                  <c:v>6.6</c:v>
                </c:pt>
                <c:pt idx="305">
                  <c:v>6.2</c:v>
                </c:pt>
                <c:pt idx="306">
                  <c:v>6.6</c:v>
                </c:pt>
                <c:pt idx="307">
                  <c:v>6.6</c:v>
                </c:pt>
                <c:pt idx="308">
                  <c:v>6.5</c:v>
                </c:pt>
                <c:pt idx="309">
                  <c:v>6</c:v>
                </c:pt>
                <c:pt idx="310">
                  <c:v>7.2</c:v>
                </c:pt>
                <c:pt idx="311">
                  <c:v>6.8</c:v>
                </c:pt>
                <c:pt idx="312">
                  <c:v>6.2</c:v>
                </c:pt>
                <c:pt idx="313">
                  <c:v>7.5</c:v>
                </c:pt>
                <c:pt idx="314">
                  <c:v>8.1999999999999993</c:v>
                </c:pt>
                <c:pt idx="315">
                  <c:v>7.4</c:v>
                </c:pt>
                <c:pt idx="316">
                  <c:v>7.1</c:v>
                </c:pt>
                <c:pt idx="317">
                  <c:v>7.2</c:v>
                </c:pt>
                <c:pt idx="318">
                  <c:v>6.1</c:v>
                </c:pt>
                <c:pt idx="319">
                  <c:v>6.4</c:v>
                </c:pt>
                <c:pt idx="320">
                  <c:v>7.1</c:v>
                </c:pt>
                <c:pt idx="321">
                  <c:v>6.9</c:v>
                </c:pt>
                <c:pt idx="322">
                  <c:v>6.6</c:v>
                </c:pt>
                <c:pt idx="323">
                  <c:v>7</c:v>
                </c:pt>
                <c:pt idx="324">
                  <c:v>7</c:v>
                </c:pt>
                <c:pt idx="325">
                  <c:v>7.6</c:v>
                </c:pt>
                <c:pt idx="326">
                  <c:v>7.8</c:v>
                </c:pt>
                <c:pt idx="327">
                  <c:v>8.3000000000000007</c:v>
                </c:pt>
                <c:pt idx="328">
                  <c:v>8.1999999999999993</c:v>
                </c:pt>
                <c:pt idx="329">
                  <c:v>7.9</c:v>
                </c:pt>
                <c:pt idx="330">
                  <c:v>7.8</c:v>
                </c:pt>
                <c:pt idx="331">
                  <c:v>8.1999999999999993</c:v>
                </c:pt>
                <c:pt idx="332">
                  <c:v>8.4</c:v>
                </c:pt>
                <c:pt idx="333">
                  <c:v>8.6999999999999993</c:v>
                </c:pt>
                <c:pt idx="334">
                  <c:v>8.1999999999999993</c:v>
                </c:pt>
                <c:pt idx="335">
                  <c:v>8.5</c:v>
                </c:pt>
                <c:pt idx="336">
                  <c:v>9.4</c:v>
                </c:pt>
                <c:pt idx="337">
                  <c:v>7.9</c:v>
                </c:pt>
                <c:pt idx="338">
                  <c:v>7.3</c:v>
                </c:pt>
                <c:pt idx="339">
                  <c:v>7.3</c:v>
                </c:pt>
                <c:pt idx="340">
                  <c:v>7</c:v>
                </c:pt>
                <c:pt idx="341">
                  <c:v>7</c:v>
                </c:pt>
                <c:pt idx="342">
                  <c:v>7.1</c:v>
                </c:pt>
                <c:pt idx="343">
                  <c:v>6.8</c:v>
                </c:pt>
                <c:pt idx="344">
                  <c:v>7.4</c:v>
                </c:pt>
                <c:pt idx="345">
                  <c:v>6.7</c:v>
                </c:pt>
                <c:pt idx="346">
                  <c:v>6.2</c:v>
                </c:pt>
                <c:pt idx="347">
                  <c:v>6.2</c:v>
                </c:pt>
                <c:pt idx="348">
                  <c:v>5.2</c:v>
                </c:pt>
                <c:pt idx="349">
                  <c:v>4.9000000000000004</c:v>
                </c:pt>
                <c:pt idx="350">
                  <c:v>6.1</c:v>
                </c:pt>
                <c:pt idx="351">
                  <c:v>6.1</c:v>
                </c:pt>
                <c:pt idx="352">
                  <c:v>6</c:v>
                </c:pt>
                <c:pt idx="353">
                  <c:v>5.6</c:v>
                </c:pt>
                <c:pt idx="354">
                  <c:v>5.3</c:v>
                </c:pt>
                <c:pt idx="355">
                  <c:v>5.2</c:v>
                </c:pt>
                <c:pt idx="356">
                  <c:v>5</c:v>
                </c:pt>
                <c:pt idx="357">
                  <c:v>5.0999999999999996</c:v>
                </c:pt>
                <c:pt idx="358">
                  <c:v>5.4</c:v>
                </c:pt>
                <c:pt idx="359">
                  <c:v>5</c:v>
                </c:pt>
                <c:pt idx="360">
                  <c:v>5.4</c:v>
                </c:pt>
                <c:pt idx="361">
                  <c:v>5.3</c:v>
                </c:pt>
                <c:pt idx="362">
                  <c:v>5.4</c:v>
                </c:pt>
                <c:pt idx="363">
                  <c:v>4.7</c:v>
                </c:pt>
                <c:pt idx="364">
                  <c:v>5.3</c:v>
                </c:pt>
                <c:pt idx="365">
                  <c:v>5.2</c:v>
                </c:pt>
                <c:pt idx="366">
                  <c:v>5.3</c:v>
                </c:pt>
                <c:pt idx="367">
                  <c:v>5.5</c:v>
                </c:pt>
                <c:pt idx="368">
                  <c:v>4.9000000000000004</c:v>
                </c:pt>
                <c:pt idx="369">
                  <c:v>5</c:v>
                </c:pt>
                <c:pt idx="370">
                  <c:v>4.8</c:v>
                </c:pt>
                <c:pt idx="371">
                  <c:v>4.5</c:v>
                </c:pt>
                <c:pt idx="372">
                  <c:v>5.9</c:v>
                </c:pt>
                <c:pt idx="373">
                  <c:v>5</c:v>
                </c:pt>
                <c:pt idx="374">
                  <c:v>4.8</c:v>
                </c:pt>
                <c:pt idx="375">
                  <c:v>5.2</c:v>
                </c:pt>
                <c:pt idx="376">
                  <c:v>5.3</c:v>
                </c:pt>
                <c:pt idx="377">
                  <c:v>6.2</c:v>
                </c:pt>
                <c:pt idx="378">
                  <c:v>6.3</c:v>
                </c:pt>
                <c:pt idx="379">
                  <c:v>6.1</c:v>
                </c:pt>
                <c:pt idx="380">
                  <c:v>6</c:v>
                </c:pt>
                <c:pt idx="381">
                  <c:v>5.6</c:v>
                </c:pt>
                <c:pt idx="382">
                  <c:v>6.3</c:v>
                </c:pt>
                <c:pt idx="383">
                  <c:v>6.6</c:v>
                </c:pt>
                <c:pt idx="384">
                  <c:v>6.8</c:v>
                </c:pt>
                <c:pt idx="385">
                  <c:v>7.3</c:v>
                </c:pt>
                <c:pt idx="386">
                  <c:v>6.8</c:v>
                </c:pt>
                <c:pt idx="387">
                  <c:v>6.7</c:v>
                </c:pt>
                <c:pt idx="388">
                  <c:v>6.3</c:v>
                </c:pt>
                <c:pt idx="389">
                  <c:v>5.8</c:v>
                </c:pt>
                <c:pt idx="390">
                  <c:v>5.6</c:v>
                </c:pt>
                <c:pt idx="391">
                  <c:v>6.1</c:v>
                </c:pt>
                <c:pt idx="392">
                  <c:v>6.3</c:v>
                </c:pt>
                <c:pt idx="393">
                  <c:v>6.3</c:v>
                </c:pt>
                <c:pt idx="394">
                  <c:v>6.8</c:v>
                </c:pt>
                <c:pt idx="395">
                  <c:v>6.4</c:v>
                </c:pt>
                <c:pt idx="396">
                  <c:v>6.4</c:v>
                </c:pt>
                <c:pt idx="397">
                  <c:v>5.3</c:v>
                </c:pt>
                <c:pt idx="398">
                  <c:v>6.2</c:v>
                </c:pt>
                <c:pt idx="399">
                  <c:v>6</c:v>
                </c:pt>
                <c:pt idx="400">
                  <c:v>5.9</c:v>
                </c:pt>
                <c:pt idx="401">
                  <c:v>6</c:v>
                </c:pt>
                <c:pt idx="402">
                  <c:v>5.7</c:v>
                </c:pt>
                <c:pt idx="403">
                  <c:v>5</c:v>
                </c:pt>
                <c:pt idx="404">
                  <c:v>5.2</c:v>
                </c:pt>
                <c:pt idx="405">
                  <c:v>5.6</c:v>
                </c:pt>
                <c:pt idx="406">
                  <c:v>5.2</c:v>
                </c:pt>
                <c:pt idx="407">
                  <c:v>5</c:v>
                </c:pt>
                <c:pt idx="408">
                  <c:v>4.7</c:v>
                </c:pt>
                <c:pt idx="409">
                  <c:v>4.5</c:v>
                </c:pt>
                <c:pt idx="410">
                  <c:v>4.0999999999999996</c:v>
                </c:pt>
                <c:pt idx="411">
                  <c:v>4.7</c:v>
                </c:pt>
                <c:pt idx="412">
                  <c:v>4.5999999999999996</c:v>
                </c:pt>
                <c:pt idx="413">
                  <c:v>4.4000000000000004</c:v>
                </c:pt>
                <c:pt idx="414">
                  <c:v>4.4000000000000004</c:v>
                </c:pt>
                <c:pt idx="415">
                  <c:v>4.3</c:v>
                </c:pt>
                <c:pt idx="416">
                  <c:v>4.2</c:v>
                </c:pt>
                <c:pt idx="417">
                  <c:v>4.3</c:v>
                </c:pt>
                <c:pt idx="418">
                  <c:v>3.9</c:v>
                </c:pt>
                <c:pt idx="419">
                  <c:v>4.4000000000000004</c:v>
                </c:pt>
                <c:pt idx="420">
                  <c:v>4</c:v>
                </c:pt>
                <c:pt idx="421">
                  <c:v>3.9</c:v>
                </c:pt>
                <c:pt idx="422">
                  <c:v>4.0999999999999996</c:v>
                </c:pt>
                <c:pt idx="423">
                  <c:v>4</c:v>
                </c:pt>
                <c:pt idx="424">
                  <c:v>3.9</c:v>
                </c:pt>
                <c:pt idx="425">
                  <c:v>3.8</c:v>
                </c:pt>
                <c:pt idx="426">
                  <c:v>4</c:v>
                </c:pt>
                <c:pt idx="427">
                  <c:v>4.0999999999999996</c:v>
                </c:pt>
                <c:pt idx="428">
                  <c:v>4.0999999999999996</c:v>
                </c:pt>
                <c:pt idx="429">
                  <c:v>4</c:v>
                </c:pt>
                <c:pt idx="430">
                  <c:v>3.5</c:v>
                </c:pt>
                <c:pt idx="431">
                  <c:v>3.8</c:v>
                </c:pt>
                <c:pt idx="432">
                  <c:v>3.9</c:v>
                </c:pt>
                <c:pt idx="433">
                  <c:v>4</c:v>
                </c:pt>
                <c:pt idx="434">
                  <c:v>4.0999999999999996</c:v>
                </c:pt>
                <c:pt idx="435">
                  <c:v>3.9</c:v>
                </c:pt>
                <c:pt idx="436">
                  <c:v>4</c:v>
                </c:pt>
                <c:pt idx="437">
                  <c:v>3.9</c:v>
                </c:pt>
                <c:pt idx="438">
                  <c:v>4</c:v>
                </c:pt>
                <c:pt idx="439">
                  <c:v>4</c:v>
                </c:pt>
                <c:pt idx="440">
                  <c:v>4.5</c:v>
                </c:pt>
                <c:pt idx="441">
                  <c:v>4.2</c:v>
                </c:pt>
                <c:pt idx="442">
                  <c:v>4.3</c:v>
                </c:pt>
                <c:pt idx="443">
                  <c:v>4.3</c:v>
                </c:pt>
                <c:pt idx="444">
                  <c:v>4.3</c:v>
                </c:pt>
                <c:pt idx="445">
                  <c:v>4.3</c:v>
                </c:pt>
                <c:pt idx="446">
                  <c:v>4.3</c:v>
                </c:pt>
                <c:pt idx="447">
                  <c:v>4.4000000000000004</c:v>
                </c:pt>
                <c:pt idx="448">
                  <c:v>4.4000000000000004</c:v>
                </c:pt>
                <c:pt idx="449">
                  <c:v>4.8</c:v>
                </c:pt>
                <c:pt idx="450">
                  <c:v>4.0999999999999996</c:v>
                </c:pt>
                <c:pt idx="451">
                  <c:v>4.4000000000000004</c:v>
                </c:pt>
                <c:pt idx="452">
                  <c:v>4</c:v>
                </c:pt>
                <c:pt idx="453">
                  <c:v>4</c:v>
                </c:pt>
                <c:pt idx="454">
                  <c:v>4.2</c:v>
                </c:pt>
                <c:pt idx="455">
                  <c:v>3.6</c:v>
                </c:pt>
                <c:pt idx="456">
                  <c:v>3.8</c:v>
                </c:pt>
                <c:pt idx="457">
                  <c:v>3.7</c:v>
                </c:pt>
                <c:pt idx="458">
                  <c:v>3.8</c:v>
                </c:pt>
                <c:pt idx="459">
                  <c:v>3.9</c:v>
                </c:pt>
                <c:pt idx="460">
                  <c:v>4</c:v>
                </c:pt>
                <c:pt idx="461">
                  <c:v>4.2</c:v>
                </c:pt>
                <c:pt idx="462">
                  <c:v>4.2</c:v>
                </c:pt>
                <c:pt idx="463">
                  <c:v>4.4000000000000004</c:v>
                </c:pt>
                <c:pt idx="464">
                  <c:v>4.4000000000000004</c:v>
                </c:pt>
                <c:pt idx="465">
                  <c:v>4.3</c:v>
                </c:pt>
                <c:pt idx="466">
                  <c:v>4.0999999999999996</c:v>
                </c:pt>
                <c:pt idx="467">
                  <c:v>3.8</c:v>
                </c:pt>
                <c:pt idx="468">
                  <c:v>4.2</c:v>
                </c:pt>
                <c:pt idx="469">
                  <c:v>4</c:v>
                </c:pt>
                <c:pt idx="470">
                  <c:v>4.0999999999999996</c:v>
                </c:pt>
                <c:pt idx="471">
                  <c:v>4.3</c:v>
                </c:pt>
                <c:pt idx="472">
                  <c:v>4</c:v>
                </c:pt>
                <c:pt idx="473">
                  <c:v>4.2</c:v>
                </c:pt>
                <c:pt idx="474">
                  <c:v>4.2</c:v>
                </c:pt>
                <c:pt idx="475">
                  <c:v>4</c:v>
                </c:pt>
                <c:pt idx="476">
                  <c:v>3.9</c:v>
                </c:pt>
                <c:pt idx="477">
                  <c:v>4</c:v>
                </c:pt>
                <c:pt idx="478">
                  <c:v>4</c:v>
                </c:pt>
                <c:pt idx="479">
                  <c:v>4</c:v>
                </c:pt>
                <c:pt idx="480">
                  <c:v>4</c:v>
                </c:pt>
                <c:pt idx="481">
                  <c:v>4.5</c:v>
                </c:pt>
                <c:pt idx="482">
                  <c:v>4.0999999999999996</c:v>
                </c:pt>
                <c:pt idx="483">
                  <c:v>4.0999999999999996</c:v>
                </c:pt>
                <c:pt idx="484">
                  <c:v>3.9</c:v>
                </c:pt>
                <c:pt idx="485">
                  <c:v>3.5</c:v>
                </c:pt>
                <c:pt idx="486">
                  <c:v>3.6</c:v>
                </c:pt>
                <c:pt idx="487">
                  <c:v>3.5</c:v>
                </c:pt>
                <c:pt idx="488">
                  <c:v>3.8</c:v>
                </c:pt>
                <c:pt idx="489">
                  <c:v>3.8</c:v>
                </c:pt>
                <c:pt idx="490">
                  <c:v>4.0999999999999996</c:v>
                </c:pt>
                <c:pt idx="491">
                  <c:v>4</c:v>
                </c:pt>
                <c:pt idx="492">
                  <c:v>3.8</c:v>
                </c:pt>
                <c:pt idx="493">
                  <c:v>3.7</c:v>
                </c:pt>
                <c:pt idx="494">
                  <c:v>3.6</c:v>
                </c:pt>
                <c:pt idx="495">
                  <c:v>4</c:v>
                </c:pt>
                <c:pt idx="496">
                  <c:v>3.8</c:v>
                </c:pt>
                <c:pt idx="497">
                  <c:v>3.9</c:v>
                </c:pt>
                <c:pt idx="498">
                  <c:v>4.5</c:v>
                </c:pt>
                <c:pt idx="499">
                  <c:v>4.3</c:v>
                </c:pt>
                <c:pt idx="500">
                  <c:v>4.0999999999999996</c:v>
                </c:pt>
                <c:pt idx="501">
                  <c:v>3.9</c:v>
                </c:pt>
                <c:pt idx="502">
                  <c:v>4.3</c:v>
                </c:pt>
                <c:pt idx="503">
                  <c:v>4.0999999999999996</c:v>
                </c:pt>
                <c:pt idx="504">
                  <c:v>4.4000000000000004</c:v>
                </c:pt>
                <c:pt idx="505">
                  <c:v>4.3</c:v>
                </c:pt>
                <c:pt idx="506">
                  <c:v>4.0999999999999996</c:v>
                </c:pt>
                <c:pt idx="507">
                  <c:v>4.3</c:v>
                </c:pt>
                <c:pt idx="508">
                  <c:v>4.2</c:v>
                </c:pt>
                <c:pt idx="509">
                  <c:v>4.3</c:v>
                </c:pt>
                <c:pt idx="510">
                  <c:v>4.2</c:v>
                </c:pt>
                <c:pt idx="511">
                  <c:v>4.5</c:v>
                </c:pt>
                <c:pt idx="512">
                  <c:v>4.7</c:v>
                </c:pt>
                <c:pt idx="513">
                  <c:v>4.5</c:v>
                </c:pt>
                <c:pt idx="514">
                  <c:v>5</c:v>
                </c:pt>
                <c:pt idx="515">
                  <c:v>4.9000000000000004</c:v>
                </c:pt>
                <c:pt idx="516">
                  <c:v>5.3</c:v>
                </c:pt>
                <c:pt idx="517">
                  <c:v>6.1</c:v>
                </c:pt>
                <c:pt idx="518">
                  <c:v>5.9</c:v>
                </c:pt>
                <c:pt idx="519">
                  <c:v>6.3</c:v>
                </c:pt>
                <c:pt idx="520">
                  <c:v>6.2</c:v>
                </c:pt>
                <c:pt idx="521">
                  <c:v>6.3</c:v>
                </c:pt>
                <c:pt idx="522">
                  <c:v>7.3</c:v>
                </c:pt>
                <c:pt idx="523">
                  <c:v>6.7</c:v>
                </c:pt>
                <c:pt idx="524">
                  <c:v>6.7</c:v>
                </c:pt>
                <c:pt idx="525">
                  <c:v>7.3</c:v>
                </c:pt>
                <c:pt idx="526">
                  <c:v>6.6</c:v>
                </c:pt>
                <c:pt idx="527">
                  <c:v>6.5</c:v>
                </c:pt>
                <c:pt idx="528">
                  <c:v>7.2</c:v>
                </c:pt>
                <c:pt idx="529">
                  <c:v>7.9</c:v>
                </c:pt>
                <c:pt idx="530">
                  <c:v>7.9</c:v>
                </c:pt>
                <c:pt idx="531">
                  <c:v>7.4</c:v>
                </c:pt>
                <c:pt idx="532">
                  <c:v>7.8</c:v>
                </c:pt>
                <c:pt idx="533">
                  <c:v>8.1999999999999993</c:v>
                </c:pt>
                <c:pt idx="534">
                  <c:v>8.3000000000000007</c:v>
                </c:pt>
                <c:pt idx="535">
                  <c:v>9.1999999999999993</c:v>
                </c:pt>
                <c:pt idx="536">
                  <c:v>9.1999999999999993</c:v>
                </c:pt>
                <c:pt idx="537">
                  <c:v>8.5</c:v>
                </c:pt>
                <c:pt idx="538">
                  <c:v>9.4</c:v>
                </c:pt>
                <c:pt idx="539">
                  <c:v>9.6</c:v>
                </c:pt>
                <c:pt idx="540">
                  <c:v>9.3000000000000007</c:v>
                </c:pt>
                <c:pt idx="541">
                  <c:v>9.6999999999999993</c:v>
                </c:pt>
                <c:pt idx="542">
                  <c:v>10.5</c:v>
                </c:pt>
                <c:pt idx="543">
                  <c:v>10.3</c:v>
                </c:pt>
                <c:pt idx="544">
                  <c:v>10.7</c:v>
                </c:pt>
                <c:pt idx="545">
                  <c:v>10.7</c:v>
                </c:pt>
                <c:pt idx="546">
                  <c:v>10.5</c:v>
                </c:pt>
                <c:pt idx="547">
                  <c:v>11.3</c:v>
                </c:pt>
                <c:pt idx="548">
                  <c:v>10.9</c:v>
                </c:pt>
                <c:pt idx="549">
                  <c:v>11.6</c:v>
                </c:pt>
                <c:pt idx="550">
                  <c:v>11.4</c:v>
                </c:pt>
                <c:pt idx="551">
                  <c:v>11.2</c:v>
                </c:pt>
                <c:pt idx="552">
                  <c:v>12.2</c:v>
                </c:pt>
                <c:pt idx="553">
                  <c:v>10.5</c:v>
                </c:pt>
                <c:pt idx="554">
                  <c:v>11</c:v>
                </c:pt>
                <c:pt idx="555">
                  <c:v>10.7</c:v>
                </c:pt>
                <c:pt idx="556">
                  <c:v>9.3000000000000007</c:v>
                </c:pt>
                <c:pt idx="557">
                  <c:v>8.5</c:v>
                </c:pt>
                <c:pt idx="558">
                  <c:v>7.9</c:v>
                </c:pt>
                <c:pt idx="559">
                  <c:v>7.5</c:v>
                </c:pt>
                <c:pt idx="560">
                  <c:v>7.8</c:v>
                </c:pt>
                <c:pt idx="561">
                  <c:v>7.4</c:v>
                </c:pt>
                <c:pt idx="562">
                  <c:v>7.6</c:v>
                </c:pt>
                <c:pt idx="563">
                  <c:v>8</c:v>
                </c:pt>
                <c:pt idx="564">
                  <c:v>8.1</c:v>
                </c:pt>
                <c:pt idx="565">
                  <c:v>8.3000000000000007</c:v>
                </c:pt>
                <c:pt idx="566">
                  <c:v>7.1</c:v>
                </c:pt>
                <c:pt idx="567">
                  <c:v>6.2</c:v>
                </c:pt>
                <c:pt idx="568">
                  <c:v>9.3000000000000007</c:v>
                </c:pt>
                <c:pt idx="569">
                  <c:v>8.3000000000000007</c:v>
                </c:pt>
                <c:pt idx="570">
                  <c:v>8.9</c:v>
                </c:pt>
                <c:pt idx="571">
                  <c:v>8.8000000000000007</c:v>
                </c:pt>
                <c:pt idx="572">
                  <c:v>7.6</c:v>
                </c:pt>
                <c:pt idx="573">
                  <c:v>8.1999999999999993</c:v>
                </c:pt>
                <c:pt idx="574">
                  <c:v>8.1999999999999993</c:v>
                </c:pt>
                <c:pt idx="575">
                  <c:v>7</c:v>
                </c:pt>
                <c:pt idx="576">
                  <c:v>7.3</c:v>
                </c:pt>
                <c:pt idx="577">
                  <c:v>8.1</c:v>
                </c:pt>
                <c:pt idx="578">
                  <c:v>7.2</c:v>
                </c:pt>
                <c:pt idx="579">
                  <c:v>6.7</c:v>
                </c:pt>
                <c:pt idx="580">
                  <c:v>6.6</c:v>
                </c:pt>
                <c:pt idx="581">
                  <c:v>6.6</c:v>
                </c:pt>
                <c:pt idx="582">
                  <c:v>6.7</c:v>
                </c:pt>
                <c:pt idx="583">
                  <c:v>6.5</c:v>
                </c:pt>
                <c:pt idx="584">
                  <c:v>6.3</c:v>
                </c:pt>
                <c:pt idx="585">
                  <c:v>6</c:v>
                </c:pt>
                <c:pt idx="586">
                  <c:v>5.7</c:v>
                </c:pt>
                <c:pt idx="587">
                  <c:v>5.3</c:v>
                </c:pt>
                <c:pt idx="588">
                  <c:v>5.3</c:v>
                </c:pt>
                <c:pt idx="589">
                  <c:v>4.8</c:v>
                </c:pt>
                <c:pt idx="590">
                  <c:v>4.9000000000000004</c:v>
                </c:pt>
                <c:pt idx="591">
                  <c:v>4.9000000000000004</c:v>
                </c:pt>
                <c:pt idx="592">
                  <c:v>4.7</c:v>
                </c:pt>
                <c:pt idx="593">
                  <c:v>4.8</c:v>
                </c:pt>
                <c:pt idx="594">
                  <c:v>4.5999999999999996</c:v>
                </c:pt>
                <c:pt idx="595">
                  <c:v>4.5999999999999996</c:v>
                </c:pt>
                <c:pt idx="596">
                  <c:v>4.5</c:v>
                </c:pt>
                <c:pt idx="597">
                  <c:v>4.9000000000000004</c:v>
                </c:pt>
                <c:pt idx="598">
                  <c:v>4.5999999999999996</c:v>
                </c:pt>
                <c:pt idx="599">
                  <c:v>4.5</c:v>
                </c:pt>
                <c:pt idx="600">
                  <c:v>4</c:v>
                </c:pt>
                <c:pt idx="601">
                  <c:v>4.0999999999999996</c:v>
                </c:pt>
                <c:pt idx="602">
                  <c:v>4.2</c:v>
                </c:pt>
                <c:pt idx="603">
                  <c:v>4.4000000000000004</c:v>
                </c:pt>
                <c:pt idx="604">
                  <c:v>4.5999999999999996</c:v>
                </c:pt>
                <c:pt idx="605">
                  <c:v>4.0999999999999996</c:v>
                </c:pt>
                <c:pt idx="606">
                  <c:v>5.5</c:v>
                </c:pt>
                <c:pt idx="607">
                  <c:v>5.5</c:v>
                </c:pt>
                <c:pt idx="608">
                  <c:v>5.4</c:v>
                </c:pt>
                <c:pt idx="609">
                  <c:v>4.9000000000000004</c:v>
                </c:pt>
                <c:pt idx="610">
                  <c:v>5</c:v>
                </c:pt>
                <c:pt idx="611">
                  <c:v>5.2</c:v>
                </c:pt>
                <c:pt idx="612">
                  <c:v>5.0999999999999996</c:v>
                </c:pt>
                <c:pt idx="613">
                  <c:v>5.3</c:v>
                </c:pt>
                <c:pt idx="614">
                  <c:v>5.6</c:v>
                </c:pt>
                <c:pt idx="615">
                  <c:v>5.7</c:v>
                </c:pt>
                <c:pt idx="616">
                  <c:v>5.2</c:v>
                </c:pt>
                <c:pt idx="617">
                  <c:v>5.7</c:v>
                </c:pt>
                <c:pt idx="618">
                  <c:v>6.2</c:v>
                </c:pt>
                <c:pt idx="619">
                  <c:v>5.4</c:v>
                </c:pt>
                <c:pt idx="620">
                  <c:v>5.4</c:v>
                </c:pt>
                <c:pt idx="621">
                  <c:v>5.3</c:v>
                </c:pt>
                <c:pt idx="622">
                  <c:v>5.7</c:v>
                </c:pt>
                <c:pt idx="623">
                  <c:v>5.0999999999999996</c:v>
                </c:pt>
                <c:pt idx="624">
                  <c:v>4.8</c:v>
                </c:pt>
                <c:pt idx="625">
                  <c:v>4.5</c:v>
                </c:pt>
                <c:pt idx="626">
                  <c:v>5.0999999999999996</c:v>
                </c:pt>
                <c:pt idx="627">
                  <c:v>4.9000000000000004</c:v>
                </c:pt>
                <c:pt idx="628">
                  <c:v>5</c:v>
                </c:pt>
                <c:pt idx="629">
                  <c:v>5.4</c:v>
                </c:pt>
                <c:pt idx="630">
                  <c:v>5.2</c:v>
                </c:pt>
                <c:pt idx="631">
                  <c:v>5</c:v>
                </c:pt>
                <c:pt idx="632">
                  <c:v>5.9</c:v>
                </c:pt>
                <c:pt idx="633">
                  <c:v>5.6</c:v>
                </c:pt>
                <c:pt idx="634">
                  <c:v>5.5</c:v>
                </c:pt>
                <c:pt idx="635">
                  <c:v>5.0999999999999996</c:v>
                </c:pt>
                <c:pt idx="636">
                  <c:v>5.6</c:v>
                </c:pt>
                <c:pt idx="637">
                  <c:v>5.5</c:v>
                </c:pt>
                <c:pt idx="638">
                  <c:v>5.5</c:v>
                </c:pt>
                <c:pt idx="639">
                  <c:v>5</c:v>
                </c:pt>
                <c:pt idx="640">
                  <c:v>5.0999999999999996</c:v>
                </c:pt>
                <c:pt idx="641">
                  <c:v>5.3</c:v>
                </c:pt>
                <c:pt idx="642">
                  <c:v>4.5</c:v>
                </c:pt>
                <c:pt idx="643">
                  <c:v>5</c:v>
                </c:pt>
                <c:pt idx="644">
                  <c:v>5.2</c:v>
                </c:pt>
                <c:pt idx="645">
                  <c:v>5.2</c:v>
                </c:pt>
                <c:pt idx="646">
                  <c:v>5.2</c:v>
                </c:pt>
                <c:pt idx="647">
                  <c:v>5.4</c:v>
                </c:pt>
                <c:pt idx="648">
                  <c:v>5.4</c:v>
                </c:pt>
                <c:pt idx="649">
                  <c:v>5.3</c:v>
                </c:pt>
                <c:pt idx="650">
                  <c:v>5</c:v>
                </c:pt>
                <c:pt idx="651">
                  <c:v>5.4</c:v>
                </c:pt>
                <c:pt idx="652">
                  <c:v>5.0999999999999996</c:v>
                </c:pt>
                <c:pt idx="653">
                  <c:v>5.3</c:v>
                </c:pt>
                <c:pt idx="654">
                  <c:v>5.8</c:v>
                </c:pt>
                <c:pt idx="655">
                  <c:v>6.1</c:v>
                </c:pt>
                <c:pt idx="656">
                  <c:v>5.3</c:v>
                </c:pt>
                <c:pt idx="657">
                  <c:v>5.5</c:v>
                </c:pt>
                <c:pt idx="658">
                  <c:v>4.8</c:v>
                </c:pt>
                <c:pt idx="659">
                  <c:v>5.6</c:v>
                </c:pt>
                <c:pt idx="660">
                  <c:v>6</c:v>
                </c:pt>
                <c:pt idx="661">
                  <c:v>5.7</c:v>
                </c:pt>
                <c:pt idx="662">
                  <c:v>5.2</c:v>
                </c:pt>
                <c:pt idx="663">
                  <c:v>5.6</c:v>
                </c:pt>
                <c:pt idx="664">
                  <c:v>5.5</c:v>
                </c:pt>
                <c:pt idx="665">
                  <c:v>5.8</c:v>
                </c:pt>
                <c:pt idx="666">
                  <c:v>6</c:v>
                </c:pt>
                <c:pt idx="667">
                  <c:v>6.5</c:v>
                </c:pt>
                <c:pt idx="668">
                  <c:v>6.6</c:v>
                </c:pt>
                <c:pt idx="669">
                  <c:v>7.2</c:v>
                </c:pt>
                <c:pt idx="670">
                  <c:v>6.4</c:v>
                </c:pt>
                <c:pt idx="671">
                  <c:v>7.6</c:v>
                </c:pt>
                <c:pt idx="672">
                  <c:v>7</c:v>
                </c:pt>
                <c:pt idx="673">
                  <c:v>6.4</c:v>
                </c:pt>
                <c:pt idx="674">
                  <c:v>5.7</c:v>
                </c:pt>
                <c:pt idx="675">
                  <c:v>5.8</c:v>
                </c:pt>
                <c:pt idx="676">
                  <c:v>6.7</c:v>
                </c:pt>
                <c:pt idx="677">
                  <c:v>5.2</c:v>
                </c:pt>
                <c:pt idx="678">
                  <c:v>5.9</c:v>
                </c:pt>
                <c:pt idx="679">
                  <c:v>5.4</c:v>
                </c:pt>
                <c:pt idx="680">
                  <c:v>5.4</c:v>
                </c:pt>
                <c:pt idx="681">
                  <c:v>5.3</c:v>
                </c:pt>
                <c:pt idx="682">
                  <c:v>5.4</c:v>
                </c:pt>
                <c:pt idx="683">
                  <c:v>5.6</c:v>
                </c:pt>
                <c:pt idx="684">
                  <c:v>5.7</c:v>
                </c:pt>
                <c:pt idx="685">
                  <c:v>5.6</c:v>
                </c:pt>
                <c:pt idx="686">
                  <c:v>6.5</c:v>
                </c:pt>
                <c:pt idx="687">
                  <c:v>6.9</c:v>
                </c:pt>
                <c:pt idx="688">
                  <c:v>5.4</c:v>
                </c:pt>
                <c:pt idx="689">
                  <c:v>3.8</c:v>
                </c:pt>
                <c:pt idx="690">
                  <c:v>3.4</c:v>
                </c:pt>
                <c:pt idx="691">
                  <c:v>3.3</c:v>
                </c:pt>
                <c:pt idx="692">
                  <c:v>3.4</c:v>
                </c:pt>
                <c:pt idx="693">
                  <c:v>3.3</c:v>
                </c:pt>
                <c:pt idx="694">
                  <c:v>4</c:v>
                </c:pt>
                <c:pt idx="695">
                  <c:v>4.0999999999999996</c:v>
                </c:pt>
                <c:pt idx="696">
                  <c:v>4</c:v>
                </c:pt>
                <c:pt idx="697">
                  <c:v>4.9000000000000004</c:v>
                </c:pt>
                <c:pt idx="698">
                  <c:v>4.4000000000000004</c:v>
                </c:pt>
                <c:pt idx="699">
                  <c:v>4.7</c:v>
                </c:pt>
                <c:pt idx="700">
                  <c:v>5.6</c:v>
                </c:pt>
                <c:pt idx="701">
                  <c:v>5.8</c:v>
                </c:pt>
                <c:pt idx="702">
                  <c:v>5.7</c:v>
                </c:pt>
                <c:pt idx="703">
                  <c:v>6.5</c:v>
                </c:pt>
                <c:pt idx="704">
                  <c:v>6</c:v>
                </c:pt>
                <c:pt idx="705">
                  <c:v>6.8</c:v>
                </c:pt>
                <c:pt idx="706">
                  <c:v>6</c:v>
                </c:pt>
                <c:pt idx="707">
                  <c:v>5.6</c:v>
                </c:pt>
                <c:pt idx="708">
                  <c:v>5.8</c:v>
                </c:pt>
                <c:pt idx="709">
                  <c:v>6.2</c:v>
                </c:pt>
                <c:pt idx="710">
                  <c:v>7</c:v>
                </c:pt>
                <c:pt idx="711">
                  <c:v>8.5</c:v>
                </c:pt>
                <c:pt idx="712">
                  <c:v>8.3000000000000007</c:v>
                </c:pt>
                <c:pt idx="713">
                  <c:v>9.5</c:v>
                </c:pt>
                <c:pt idx="714">
                  <c:v>10.1</c:v>
                </c:pt>
                <c:pt idx="715">
                  <c:v>8.6999999999999993</c:v>
                </c:pt>
                <c:pt idx="716">
                  <c:v>9.6999999999999993</c:v>
                </c:pt>
                <c:pt idx="717">
                  <c:v>9.6999999999999993</c:v>
                </c:pt>
                <c:pt idx="718">
                  <c:v>9.4</c:v>
                </c:pt>
                <c:pt idx="719">
                  <c:v>8.5</c:v>
                </c:pt>
                <c:pt idx="720">
                  <c:v>8.1</c:v>
                </c:pt>
                <c:pt idx="721">
                  <c:v>8.4</c:v>
                </c:pt>
                <c:pt idx="722">
                  <c:v>8.1</c:v>
                </c:pt>
                <c:pt idx="723">
                  <c:v>7.6</c:v>
                </c:pt>
                <c:pt idx="724">
                  <c:v>7.2</c:v>
                </c:pt>
                <c:pt idx="725">
                  <c:v>7.5</c:v>
                </c:pt>
                <c:pt idx="726">
                  <c:v>7.1</c:v>
                </c:pt>
                <c:pt idx="727">
                  <c:v>7.9</c:v>
                </c:pt>
                <c:pt idx="728">
                  <c:v>7.4</c:v>
                </c:pt>
                <c:pt idx="729">
                  <c:v>7.9</c:v>
                </c:pt>
                <c:pt idx="730">
                  <c:v>9.1999999999999993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61-40AE-901D-53AB41E19D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888890032"/>
        <c:scaling>
          <c:orientation val="minMax"/>
        </c:scaling>
        <c:delete val="0"/>
        <c:axPos val="r"/>
        <c:numFmt formatCode="#,##0" sourceLinked="0"/>
        <c:majorTickMark val="out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888890512"/>
        <c:crosses val="max"/>
        <c:crossBetween val="between"/>
      </c:valAx>
      <c:dateAx>
        <c:axId val="1888890512"/>
        <c:scaling>
          <c:orientation val="minMax"/>
        </c:scaling>
        <c:delete val="1"/>
        <c:axPos val="b"/>
        <c:numFmt formatCode="[$-416]mmm\-yy;@" sourceLinked="1"/>
        <c:majorTickMark val="out"/>
        <c:minorTickMark val="none"/>
        <c:tickLblPos val="nextTo"/>
        <c:crossAx val="1888890032"/>
        <c:crosses val="autoZero"/>
        <c:auto val="1"/>
        <c:lblOffset val="100"/>
        <c:baseTimeUnit val="days"/>
      </c:date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'Housing Market'!$M$2</c:f>
              <c:strCache>
                <c:ptCount val="1"/>
                <c:pt idx="0">
                  <c:v>Existing Home Sales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Market'!$A$483:$A$758</c:f>
              <c:numCache>
                <c:formatCode>[$-416]mmm\-yy;@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'Housing Market'!$M$483:$M$758</c:f>
              <c:numCache>
                <c:formatCode>#,##0</c:formatCode>
                <c:ptCount val="276"/>
                <c:pt idx="0">
                  <c:v>5100</c:v>
                </c:pt>
                <c:pt idx="1">
                  <c:v>5230</c:v>
                </c:pt>
                <c:pt idx="2">
                  <c:v>5450</c:v>
                </c:pt>
                <c:pt idx="3">
                  <c:v>5320</c:v>
                </c:pt>
                <c:pt idx="4">
                  <c:v>5270</c:v>
                </c:pt>
                <c:pt idx="5">
                  <c:v>5430</c:v>
                </c:pt>
                <c:pt idx="6">
                  <c:v>5430</c:v>
                </c:pt>
                <c:pt idx="7">
                  <c:v>5480</c:v>
                </c:pt>
                <c:pt idx="8">
                  <c:v>5230</c:v>
                </c:pt>
                <c:pt idx="9">
                  <c:v>5250</c:v>
                </c:pt>
                <c:pt idx="10">
                  <c:v>5240</c:v>
                </c:pt>
                <c:pt idx="11">
                  <c:v>5490</c:v>
                </c:pt>
                <c:pt idx="12">
                  <c:v>5860</c:v>
                </c:pt>
                <c:pt idx="13">
                  <c:v>5900</c:v>
                </c:pt>
                <c:pt idx="14">
                  <c:v>5630</c:v>
                </c:pt>
                <c:pt idx="15">
                  <c:v>5670</c:v>
                </c:pt>
                <c:pt idx="16">
                  <c:v>5640</c:v>
                </c:pt>
                <c:pt idx="17">
                  <c:v>5510</c:v>
                </c:pt>
                <c:pt idx="18">
                  <c:v>5410</c:v>
                </c:pt>
                <c:pt idx="19">
                  <c:v>5360</c:v>
                </c:pt>
                <c:pt idx="20">
                  <c:v>5520</c:v>
                </c:pt>
                <c:pt idx="21">
                  <c:v>5680</c:v>
                </c:pt>
                <c:pt idx="22">
                  <c:v>5730</c:v>
                </c:pt>
                <c:pt idx="23">
                  <c:v>5970</c:v>
                </c:pt>
                <c:pt idx="24">
                  <c:v>6030</c:v>
                </c:pt>
                <c:pt idx="25">
                  <c:v>6020</c:v>
                </c:pt>
                <c:pt idx="26">
                  <c:v>5860</c:v>
                </c:pt>
                <c:pt idx="27">
                  <c:v>5840</c:v>
                </c:pt>
                <c:pt idx="28">
                  <c:v>5940</c:v>
                </c:pt>
                <c:pt idx="29">
                  <c:v>5940</c:v>
                </c:pt>
                <c:pt idx="30">
                  <c:v>6270</c:v>
                </c:pt>
                <c:pt idx="31">
                  <c:v>6520</c:v>
                </c:pt>
                <c:pt idx="32">
                  <c:v>6580</c:v>
                </c:pt>
                <c:pt idx="33">
                  <c:v>6390</c:v>
                </c:pt>
                <c:pt idx="34">
                  <c:v>6230</c:v>
                </c:pt>
                <c:pt idx="35">
                  <c:v>6490</c:v>
                </c:pt>
                <c:pt idx="36">
                  <c:v>6230</c:v>
                </c:pt>
                <c:pt idx="37">
                  <c:v>6410</c:v>
                </c:pt>
                <c:pt idx="38">
                  <c:v>6660</c:v>
                </c:pt>
                <c:pt idx="39">
                  <c:v>6730</c:v>
                </c:pt>
                <c:pt idx="40">
                  <c:v>6850</c:v>
                </c:pt>
                <c:pt idx="41">
                  <c:v>6920</c:v>
                </c:pt>
                <c:pt idx="42">
                  <c:v>6840</c:v>
                </c:pt>
                <c:pt idx="43">
                  <c:v>6700</c:v>
                </c:pt>
                <c:pt idx="44">
                  <c:v>6680</c:v>
                </c:pt>
                <c:pt idx="45">
                  <c:v>6850</c:v>
                </c:pt>
                <c:pt idx="46">
                  <c:v>6960</c:v>
                </c:pt>
                <c:pt idx="47">
                  <c:v>6890</c:v>
                </c:pt>
                <c:pt idx="48">
                  <c:v>7100</c:v>
                </c:pt>
                <c:pt idx="49">
                  <c:v>6880</c:v>
                </c:pt>
                <c:pt idx="50">
                  <c:v>6960</c:v>
                </c:pt>
                <c:pt idx="51">
                  <c:v>7120</c:v>
                </c:pt>
                <c:pt idx="52">
                  <c:v>7080</c:v>
                </c:pt>
                <c:pt idx="53">
                  <c:v>7180</c:v>
                </c:pt>
                <c:pt idx="54">
                  <c:v>7140</c:v>
                </c:pt>
                <c:pt idx="55">
                  <c:v>7230</c:v>
                </c:pt>
                <c:pt idx="56">
                  <c:v>7250</c:v>
                </c:pt>
                <c:pt idx="57">
                  <c:v>7100</c:v>
                </c:pt>
                <c:pt idx="58">
                  <c:v>7030</c:v>
                </c:pt>
                <c:pt idx="59">
                  <c:v>6840</c:v>
                </c:pt>
                <c:pt idx="60">
                  <c:v>6720</c:v>
                </c:pt>
                <c:pt idx="61">
                  <c:v>6840</c:v>
                </c:pt>
                <c:pt idx="62">
                  <c:v>6830</c:v>
                </c:pt>
                <c:pt idx="63">
                  <c:v>6700</c:v>
                </c:pt>
                <c:pt idx="64">
                  <c:v>6580</c:v>
                </c:pt>
                <c:pt idx="65">
                  <c:v>6480</c:v>
                </c:pt>
                <c:pt idx="66">
                  <c:v>6320</c:v>
                </c:pt>
                <c:pt idx="67">
                  <c:v>6340</c:v>
                </c:pt>
                <c:pt idx="68">
                  <c:v>6280</c:v>
                </c:pt>
                <c:pt idx="69">
                  <c:v>6360</c:v>
                </c:pt>
                <c:pt idx="70">
                  <c:v>6340</c:v>
                </c:pt>
                <c:pt idx="71">
                  <c:v>6400</c:v>
                </c:pt>
                <c:pt idx="72">
                  <c:v>5740</c:v>
                </c:pt>
                <c:pt idx="73">
                  <c:v>5790</c:v>
                </c:pt>
                <c:pt idx="74">
                  <c:v>5460</c:v>
                </c:pt>
                <c:pt idx="75">
                  <c:v>5290</c:v>
                </c:pt>
                <c:pt idx="76">
                  <c:v>5270</c:v>
                </c:pt>
                <c:pt idx="77">
                  <c:v>5120</c:v>
                </c:pt>
                <c:pt idx="78">
                  <c:v>5070</c:v>
                </c:pt>
                <c:pt idx="79">
                  <c:v>4870</c:v>
                </c:pt>
                <c:pt idx="80">
                  <c:v>4580</c:v>
                </c:pt>
                <c:pt idx="81">
                  <c:v>4430</c:v>
                </c:pt>
                <c:pt idx="82">
                  <c:v>4460</c:v>
                </c:pt>
                <c:pt idx="83">
                  <c:v>4410</c:v>
                </c:pt>
                <c:pt idx="84">
                  <c:v>4170</c:v>
                </c:pt>
                <c:pt idx="85">
                  <c:v>4120</c:v>
                </c:pt>
                <c:pt idx="86">
                  <c:v>4160</c:v>
                </c:pt>
                <c:pt idx="87">
                  <c:v>4110</c:v>
                </c:pt>
                <c:pt idx="88">
                  <c:v>4140</c:v>
                </c:pt>
                <c:pt idx="89">
                  <c:v>4090</c:v>
                </c:pt>
                <c:pt idx="90">
                  <c:v>4150</c:v>
                </c:pt>
                <c:pt idx="91">
                  <c:v>4190</c:v>
                </c:pt>
                <c:pt idx="92">
                  <c:v>4270</c:v>
                </c:pt>
                <c:pt idx="93">
                  <c:v>4090</c:v>
                </c:pt>
                <c:pt idx="94">
                  <c:v>3770</c:v>
                </c:pt>
                <c:pt idx="95">
                  <c:v>4010</c:v>
                </c:pt>
                <c:pt idx="96">
                  <c:v>3820</c:v>
                </c:pt>
                <c:pt idx="97">
                  <c:v>3970</c:v>
                </c:pt>
                <c:pt idx="98">
                  <c:v>3860</c:v>
                </c:pt>
                <c:pt idx="99">
                  <c:v>3900</c:v>
                </c:pt>
                <c:pt idx="100">
                  <c:v>4000</c:v>
                </c:pt>
                <c:pt idx="101">
                  <c:v>4100</c:v>
                </c:pt>
                <c:pt idx="102">
                  <c:v>4370</c:v>
                </c:pt>
                <c:pt idx="103">
                  <c:v>4450</c:v>
                </c:pt>
                <c:pt idx="104">
                  <c:v>4620</c:v>
                </c:pt>
                <c:pt idx="105">
                  <c:v>5020</c:v>
                </c:pt>
                <c:pt idx="106">
                  <c:v>5440</c:v>
                </c:pt>
                <c:pt idx="107">
                  <c:v>4400</c:v>
                </c:pt>
                <c:pt idx="108">
                  <c:v>4190</c:v>
                </c:pt>
                <c:pt idx="109">
                  <c:v>4270</c:v>
                </c:pt>
                <c:pt idx="110">
                  <c:v>4490</c:v>
                </c:pt>
                <c:pt idx="111">
                  <c:v>4820</c:v>
                </c:pt>
                <c:pt idx="112">
                  <c:v>4880</c:v>
                </c:pt>
                <c:pt idx="113">
                  <c:v>4450</c:v>
                </c:pt>
                <c:pt idx="114">
                  <c:v>3450</c:v>
                </c:pt>
                <c:pt idx="115">
                  <c:v>3680</c:v>
                </c:pt>
                <c:pt idx="116">
                  <c:v>3840</c:v>
                </c:pt>
                <c:pt idx="117">
                  <c:v>3830</c:v>
                </c:pt>
                <c:pt idx="118">
                  <c:v>4020</c:v>
                </c:pt>
                <c:pt idx="119">
                  <c:v>4270</c:v>
                </c:pt>
                <c:pt idx="120">
                  <c:v>4420</c:v>
                </c:pt>
                <c:pt idx="121">
                  <c:v>4160</c:v>
                </c:pt>
                <c:pt idx="122">
                  <c:v>4260</c:v>
                </c:pt>
                <c:pt idx="123">
                  <c:v>4170</c:v>
                </c:pt>
                <c:pt idx="124">
                  <c:v>4140</c:v>
                </c:pt>
                <c:pt idx="125">
                  <c:v>4230</c:v>
                </c:pt>
                <c:pt idx="126">
                  <c:v>4150</c:v>
                </c:pt>
                <c:pt idx="127">
                  <c:v>4380</c:v>
                </c:pt>
                <c:pt idx="128">
                  <c:v>4330</c:v>
                </c:pt>
                <c:pt idx="129">
                  <c:v>4340</c:v>
                </c:pt>
                <c:pt idx="130">
                  <c:v>4390</c:v>
                </c:pt>
                <c:pt idx="131">
                  <c:v>4350</c:v>
                </c:pt>
                <c:pt idx="132">
                  <c:v>4480</c:v>
                </c:pt>
                <c:pt idx="133">
                  <c:v>4580</c:v>
                </c:pt>
                <c:pt idx="134">
                  <c:v>4520</c:v>
                </c:pt>
                <c:pt idx="135">
                  <c:v>4590</c:v>
                </c:pt>
                <c:pt idx="136">
                  <c:v>4600</c:v>
                </c:pt>
                <c:pt idx="137">
                  <c:v>4470</c:v>
                </c:pt>
                <c:pt idx="138">
                  <c:v>4530</c:v>
                </c:pt>
                <c:pt idx="139">
                  <c:v>4760</c:v>
                </c:pt>
                <c:pt idx="140">
                  <c:v>4710</c:v>
                </c:pt>
                <c:pt idx="141">
                  <c:v>4790</c:v>
                </c:pt>
                <c:pt idx="142">
                  <c:v>4960</c:v>
                </c:pt>
                <c:pt idx="143">
                  <c:v>4890</c:v>
                </c:pt>
                <c:pt idx="144">
                  <c:v>4980</c:v>
                </c:pt>
                <c:pt idx="145">
                  <c:v>5060</c:v>
                </c:pt>
                <c:pt idx="146">
                  <c:v>5070</c:v>
                </c:pt>
                <c:pt idx="147">
                  <c:v>5090</c:v>
                </c:pt>
                <c:pt idx="148">
                  <c:v>5140</c:v>
                </c:pt>
                <c:pt idx="149">
                  <c:v>5110</c:v>
                </c:pt>
                <c:pt idx="150">
                  <c:v>5270</c:v>
                </c:pt>
                <c:pt idx="151">
                  <c:v>5260</c:v>
                </c:pt>
                <c:pt idx="152">
                  <c:v>5140</c:v>
                </c:pt>
                <c:pt idx="153">
                  <c:v>5040</c:v>
                </c:pt>
                <c:pt idx="154">
                  <c:v>4920</c:v>
                </c:pt>
                <c:pt idx="155">
                  <c:v>4860</c:v>
                </c:pt>
                <c:pt idx="156">
                  <c:v>4760</c:v>
                </c:pt>
                <c:pt idx="157">
                  <c:v>4780</c:v>
                </c:pt>
                <c:pt idx="158">
                  <c:v>4750</c:v>
                </c:pt>
                <c:pt idx="159">
                  <c:v>4790</c:v>
                </c:pt>
                <c:pt idx="160">
                  <c:v>4900</c:v>
                </c:pt>
                <c:pt idx="161">
                  <c:v>4940</c:v>
                </c:pt>
                <c:pt idx="162">
                  <c:v>4980</c:v>
                </c:pt>
                <c:pt idx="163">
                  <c:v>4970</c:v>
                </c:pt>
                <c:pt idx="164">
                  <c:v>5000</c:v>
                </c:pt>
                <c:pt idx="165">
                  <c:v>5120</c:v>
                </c:pt>
                <c:pt idx="166">
                  <c:v>4990</c:v>
                </c:pt>
                <c:pt idx="167">
                  <c:v>5090</c:v>
                </c:pt>
                <c:pt idx="168">
                  <c:v>4920</c:v>
                </c:pt>
                <c:pt idx="169">
                  <c:v>5080</c:v>
                </c:pt>
                <c:pt idx="170">
                  <c:v>5250</c:v>
                </c:pt>
                <c:pt idx="171">
                  <c:v>5170</c:v>
                </c:pt>
                <c:pt idx="172">
                  <c:v>5250</c:v>
                </c:pt>
                <c:pt idx="173">
                  <c:v>5360</c:v>
                </c:pt>
                <c:pt idx="174">
                  <c:v>5440</c:v>
                </c:pt>
                <c:pt idx="175">
                  <c:v>5360</c:v>
                </c:pt>
                <c:pt idx="176">
                  <c:v>5410</c:v>
                </c:pt>
                <c:pt idx="177">
                  <c:v>5280</c:v>
                </c:pt>
                <c:pt idx="178">
                  <c:v>4780</c:v>
                </c:pt>
                <c:pt idx="179">
                  <c:v>5440</c:v>
                </c:pt>
                <c:pt idx="180">
                  <c:v>5430</c:v>
                </c:pt>
                <c:pt idx="181">
                  <c:v>5260</c:v>
                </c:pt>
                <c:pt idx="182">
                  <c:v>5340</c:v>
                </c:pt>
                <c:pt idx="183">
                  <c:v>5470</c:v>
                </c:pt>
                <c:pt idx="184">
                  <c:v>5440</c:v>
                </c:pt>
                <c:pt idx="185">
                  <c:v>5470</c:v>
                </c:pt>
                <c:pt idx="186">
                  <c:v>5370</c:v>
                </c:pt>
                <c:pt idx="187">
                  <c:v>5400</c:v>
                </c:pt>
                <c:pt idx="188">
                  <c:v>5470</c:v>
                </c:pt>
                <c:pt idx="189">
                  <c:v>5560</c:v>
                </c:pt>
                <c:pt idx="190">
                  <c:v>5510</c:v>
                </c:pt>
                <c:pt idx="191">
                  <c:v>5520</c:v>
                </c:pt>
                <c:pt idx="192">
                  <c:v>5670</c:v>
                </c:pt>
                <c:pt idx="193">
                  <c:v>5450</c:v>
                </c:pt>
                <c:pt idx="194">
                  <c:v>5610</c:v>
                </c:pt>
                <c:pt idx="195">
                  <c:v>5560</c:v>
                </c:pt>
                <c:pt idx="196">
                  <c:v>5590</c:v>
                </c:pt>
                <c:pt idx="197">
                  <c:v>5490</c:v>
                </c:pt>
                <c:pt idx="198">
                  <c:v>5460</c:v>
                </c:pt>
                <c:pt idx="199">
                  <c:v>5390</c:v>
                </c:pt>
                <c:pt idx="200">
                  <c:v>5450</c:v>
                </c:pt>
                <c:pt idx="201">
                  <c:v>5460</c:v>
                </c:pt>
                <c:pt idx="202">
                  <c:v>5620</c:v>
                </c:pt>
                <c:pt idx="203">
                  <c:v>5570</c:v>
                </c:pt>
                <c:pt idx="204">
                  <c:v>5410</c:v>
                </c:pt>
                <c:pt idx="205">
                  <c:v>5480</c:v>
                </c:pt>
                <c:pt idx="206">
                  <c:v>5530</c:v>
                </c:pt>
                <c:pt idx="207">
                  <c:v>5470</c:v>
                </c:pt>
                <c:pt idx="208">
                  <c:v>5430</c:v>
                </c:pt>
                <c:pt idx="209">
                  <c:v>5450</c:v>
                </c:pt>
                <c:pt idx="210">
                  <c:v>5380</c:v>
                </c:pt>
                <c:pt idx="211">
                  <c:v>5310</c:v>
                </c:pt>
                <c:pt idx="212">
                  <c:v>5200</c:v>
                </c:pt>
                <c:pt idx="213">
                  <c:v>5160</c:v>
                </c:pt>
                <c:pt idx="214">
                  <c:v>5180</c:v>
                </c:pt>
                <c:pt idx="215">
                  <c:v>5010</c:v>
                </c:pt>
                <c:pt idx="216">
                  <c:v>4970</c:v>
                </c:pt>
                <c:pt idx="217">
                  <c:v>5310</c:v>
                </c:pt>
                <c:pt idx="218">
                  <c:v>5250</c:v>
                </c:pt>
                <c:pt idx="219">
                  <c:v>5310</c:v>
                </c:pt>
                <c:pt idx="220">
                  <c:v>5460</c:v>
                </c:pt>
                <c:pt idx="221">
                  <c:v>5390</c:v>
                </c:pt>
                <c:pt idx="222">
                  <c:v>5430</c:v>
                </c:pt>
                <c:pt idx="223">
                  <c:v>5470</c:v>
                </c:pt>
                <c:pt idx="224">
                  <c:v>5310</c:v>
                </c:pt>
                <c:pt idx="225">
                  <c:v>5290</c:v>
                </c:pt>
                <c:pt idx="226">
                  <c:v>5260</c:v>
                </c:pt>
                <c:pt idx="227">
                  <c:v>5450</c:v>
                </c:pt>
                <c:pt idx="228">
                  <c:v>5400</c:v>
                </c:pt>
                <c:pt idx="229">
                  <c:v>5620</c:v>
                </c:pt>
                <c:pt idx="230">
                  <c:v>5380</c:v>
                </c:pt>
                <c:pt idx="231">
                  <c:v>4440</c:v>
                </c:pt>
                <c:pt idx="232">
                  <c:v>4070</c:v>
                </c:pt>
                <c:pt idx="233">
                  <c:v>4840</c:v>
                </c:pt>
                <c:pt idx="234">
                  <c:v>5930</c:v>
                </c:pt>
                <c:pt idx="235">
                  <c:v>6050</c:v>
                </c:pt>
                <c:pt idx="236">
                  <c:v>6360</c:v>
                </c:pt>
                <c:pt idx="237">
                  <c:v>6580</c:v>
                </c:pt>
                <c:pt idx="238">
                  <c:v>6460</c:v>
                </c:pt>
                <c:pt idx="239">
                  <c:v>6530</c:v>
                </c:pt>
                <c:pt idx="240">
                  <c:v>6650</c:v>
                </c:pt>
                <c:pt idx="241">
                  <c:v>6170</c:v>
                </c:pt>
                <c:pt idx="242">
                  <c:v>6040</c:v>
                </c:pt>
                <c:pt idx="243">
                  <c:v>5960</c:v>
                </c:pt>
                <c:pt idx="244">
                  <c:v>5920</c:v>
                </c:pt>
                <c:pt idx="245">
                  <c:v>5970</c:v>
                </c:pt>
                <c:pt idx="246">
                  <c:v>6030</c:v>
                </c:pt>
                <c:pt idx="247">
                  <c:v>5990</c:v>
                </c:pt>
                <c:pt idx="248">
                  <c:v>6180</c:v>
                </c:pt>
                <c:pt idx="249">
                  <c:v>6190</c:v>
                </c:pt>
                <c:pt idx="250">
                  <c:v>6330</c:v>
                </c:pt>
                <c:pt idx="251">
                  <c:v>6090</c:v>
                </c:pt>
                <c:pt idx="252">
                  <c:v>6490</c:v>
                </c:pt>
                <c:pt idx="253">
                  <c:v>5930</c:v>
                </c:pt>
                <c:pt idx="254">
                  <c:v>5750</c:v>
                </c:pt>
                <c:pt idx="255">
                  <c:v>5600</c:v>
                </c:pt>
                <c:pt idx="256">
                  <c:v>5410</c:v>
                </c:pt>
                <c:pt idx="257">
                  <c:v>5110</c:v>
                </c:pt>
                <c:pt idx="258">
                  <c:v>4820</c:v>
                </c:pt>
                <c:pt idx="259">
                  <c:v>4780</c:v>
                </c:pt>
                <c:pt idx="260">
                  <c:v>4710</c:v>
                </c:pt>
                <c:pt idx="261">
                  <c:v>4440</c:v>
                </c:pt>
                <c:pt idx="262">
                  <c:v>4120</c:v>
                </c:pt>
                <c:pt idx="263">
                  <c:v>4030</c:v>
                </c:pt>
                <c:pt idx="264">
                  <c:v>4000</c:v>
                </c:pt>
                <c:pt idx="265">
                  <c:v>4550</c:v>
                </c:pt>
                <c:pt idx="266">
                  <c:v>4430</c:v>
                </c:pt>
                <c:pt idx="267">
                  <c:v>4290</c:v>
                </c:pt>
                <c:pt idx="268">
                  <c:v>4300</c:v>
                </c:pt>
                <c:pt idx="269">
                  <c:v>4160</c:v>
                </c:pt>
                <c:pt idx="270">
                  <c:v>4070</c:v>
                </c:pt>
                <c:pt idx="271">
                  <c:v>4040</c:v>
                </c:pt>
                <c:pt idx="272">
                  <c:v>3950</c:v>
                </c:pt>
                <c:pt idx="273">
                  <c:v>3790</c:v>
                </c:pt>
                <c:pt idx="274">
                  <c:v>3820</c:v>
                </c:pt>
                <c:pt idx="275">
                  <c:v>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78-45B1-9095-75FDFF7F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2"/>
          <c:order val="1"/>
          <c:tx>
            <c:strRef>
              <c:f>'Housing Market'!$N$2</c:f>
              <c:strCache>
                <c:ptCount val="1"/>
                <c:pt idx="0">
                  <c:v>Existing Home Sales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'Housing Market'!$N$483:$N$758</c:f>
              <c:numCache>
                <c:formatCode>0.0%</c:formatCode>
                <c:ptCount val="276"/>
                <c:pt idx="0">
                  <c:v>-2.4856596558317401E-2</c:v>
                </c:pt>
                <c:pt idx="1">
                  <c:v>2.1484375E-2</c:v>
                </c:pt>
                <c:pt idx="2">
                  <c:v>5.0096339113680166E-2</c:v>
                </c:pt>
                <c:pt idx="3">
                  <c:v>2.3076923076922995E-2</c:v>
                </c:pt>
                <c:pt idx="4">
                  <c:v>3.131115459882583E-2</c:v>
                </c:pt>
                <c:pt idx="5">
                  <c:v>5.8479532163742798E-2</c:v>
                </c:pt>
                <c:pt idx="6">
                  <c:v>6.262230919765166E-2</c:v>
                </c:pt>
                <c:pt idx="7">
                  <c:v>5.9961315280464111E-2</c:v>
                </c:pt>
                <c:pt idx="8">
                  <c:v>-1.1342155009451793E-2</c:v>
                </c:pt>
                <c:pt idx="9">
                  <c:v>0</c:v>
                </c:pt>
                <c:pt idx="10">
                  <c:v>-2.0560747663551426E-2</c:v>
                </c:pt>
                <c:pt idx="11">
                  <c:v>7.6470588235294068E-2</c:v>
                </c:pt>
                <c:pt idx="12">
                  <c:v>0.14901960784313717</c:v>
                </c:pt>
                <c:pt idx="13">
                  <c:v>0.12810707456978965</c:v>
                </c:pt>
                <c:pt idx="14">
                  <c:v>3.3027522935779707E-2</c:v>
                </c:pt>
                <c:pt idx="15">
                  <c:v>6.578947368421062E-2</c:v>
                </c:pt>
                <c:pt idx="16">
                  <c:v>7.0208728652751518E-2</c:v>
                </c:pt>
                <c:pt idx="17">
                  <c:v>1.4732965009208066E-2</c:v>
                </c:pt>
                <c:pt idx="18">
                  <c:v>-3.6832412523020164E-3</c:v>
                </c:pt>
                <c:pt idx="19">
                  <c:v>-2.1897810218978075E-2</c:v>
                </c:pt>
                <c:pt idx="20">
                  <c:v>5.5449330783938766E-2</c:v>
                </c:pt>
                <c:pt idx="21">
                  <c:v>8.1904761904761925E-2</c:v>
                </c:pt>
                <c:pt idx="22">
                  <c:v>9.3511450381679406E-2</c:v>
                </c:pt>
                <c:pt idx="23">
                  <c:v>8.7431693989071135E-2</c:v>
                </c:pt>
                <c:pt idx="24">
                  <c:v>2.9010238907849928E-2</c:v>
                </c:pt>
                <c:pt idx="25">
                  <c:v>2.0338983050847359E-2</c:v>
                </c:pt>
                <c:pt idx="26">
                  <c:v>4.0852575488454779E-2</c:v>
                </c:pt>
                <c:pt idx="27">
                  <c:v>2.9982363315696592E-2</c:v>
                </c:pt>
                <c:pt idx="28">
                  <c:v>5.3191489361702038E-2</c:v>
                </c:pt>
                <c:pt idx="29">
                  <c:v>7.8039927404718767E-2</c:v>
                </c:pt>
                <c:pt idx="30">
                  <c:v>0.15896487985212571</c:v>
                </c:pt>
                <c:pt idx="31">
                  <c:v>0.21641791044776126</c:v>
                </c:pt>
                <c:pt idx="32">
                  <c:v>0.19202898550724634</c:v>
                </c:pt>
                <c:pt idx="33">
                  <c:v>0.125</c:v>
                </c:pt>
                <c:pt idx="34">
                  <c:v>8.7260034904014017E-2</c:v>
                </c:pt>
                <c:pt idx="35">
                  <c:v>8.7102177554438942E-2</c:v>
                </c:pt>
                <c:pt idx="36">
                  <c:v>3.3167495854063089E-2</c:v>
                </c:pt>
                <c:pt idx="37">
                  <c:v>6.4784053156146104E-2</c:v>
                </c:pt>
                <c:pt idx="38">
                  <c:v>0.13651877133105805</c:v>
                </c:pt>
                <c:pt idx="39">
                  <c:v>0.15239726027397271</c:v>
                </c:pt>
                <c:pt idx="40">
                  <c:v>0.15319865319865311</c:v>
                </c:pt>
                <c:pt idx="41">
                  <c:v>0.16498316498316501</c:v>
                </c:pt>
                <c:pt idx="42">
                  <c:v>9.0909090909090828E-2</c:v>
                </c:pt>
                <c:pt idx="43">
                  <c:v>2.7607361963190247E-2</c:v>
                </c:pt>
                <c:pt idx="44">
                  <c:v>1.5197568389057725E-2</c:v>
                </c:pt>
                <c:pt idx="45">
                  <c:v>7.1987480438184592E-2</c:v>
                </c:pt>
                <c:pt idx="46">
                  <c:v>0.11717495987158899</c:v>
                </c:pt>
                <c:pt idx="47">
                  <c:v>6.1633281972264919E-2</c:v>
                </c:pt>
                <c:pt idx="48">
                  <c:v>0.1396468699839486</c:v>
                </c:pt>
                <c:pt idx="49">
                  <c:v>7.3322932917316619E-2</c:v>
                </c:pt>
                <c:pt idx="50">
                  <c:v>4.5045045045045029E-2</c:v>
                </c:pt>
                <c:pt idx="51">
                  <c:v>5.7949479940564652E-2</c:v>
                </c:pt>
                <c:pt idx="52">
                  <c:v>3.3576642335766405E-2</c:v>
                </c:pt>
                <c:pt idx="53">
                  <c:v>3.7572254335260125E-2</c:v>
                </c:pt>
                <c:pt idx="54">
                  <c:v>4.3859649122806932E-2</c:v>
                </c:pt>
                <c:pt idx="55">
                  <c:v>7.9104477611940283E-2</c:v>
                </c:pt>
                <c:pt idx="56">
                  <c:v>8.5329341317365248E-2</c:v>
                </c:pt>
                <c:pt idx="57">
                  <c:v>3.649635036496357E-2</c:v>
                </c:pt>
                <c:pt idx="58">
                  <c:v>1.0057471264367734E-2</c:v>
                </c:pt>
                <c:pt idx="59">
                  <c:v>-7.2568940493469292E-3</c:v>
                </c:pt>
                <c:pt idx="60">
                  <c:v>-5.352112676056342E-2</c:v>
                </c:pt>
                <c:pt idx="61">
                  <c:v>-5.8139534883721034E-3</c:v>
                </c:pt>
                <c:pt idx="62">
                  <c:v>-1.8678160919540221E-2</c:v>
                </c:pt>
                <c:pt idx="63">
                  <c:v>-5.8988764044943798E-2</c:v>
                </c:pt>
                <c:pt idx="64">
                  <c:v>-7.0621468926553632E-2</c:v>
                </c:pt>
                <c:pt idx="65">
                  <c:v>-9.7493036211699136E-2</c:v>
                </c:pt>
                <c:pt idx="66">
                  <c:v>-0.11484593837535018</c:v>
                </c:pt>
                <c:pt idx="67">
                  <c:v>-0.12309820193637622</c:v>
                </c:pt>
                <c:pt idx="68">
                  <c:v>-0.13379310344827589</c:v>
                </c:pt>
                <c:pt idx="69">
                  <c:v>-0.10422535211267603</c:v>
                </c:pt>
                <c:pt idx="70">
                  <c:v>-9.8150782361308697E-2</c:v>
                </c:pt>
                <c:pt idx="71">
                  <c:v>-6.4327485380117011E-2</c:v>
                </c:pt>
                <c:pt idx="72">
                  <c:v>-0.14583333333333337</c:v>
                </c:pt>
                <c:pt idx="73">
                  <c:v>-0.15350877192982459</c:v>
                </c:pt>
                <c:pt idx="74">
                  <c:v>-0.20058565153733532</c:v>
                </c:pt>
                <c:pt idx="75">
                  <c:v>-0.21044776119402986</c:v>
                </c:pt>
                <c:pt idx="76">
                  <c:v>-0.19908814589665658</c:v>
                </c:pt>
                <c:pt idx="77">
                  <c:v>-0.20987654320987659</c:v>
                </c:pt>
                <c:pt idx="78">
                  <c:v>-0.19778481012658233</c:v>
                </c:pt>
                <c:pt idx="79">
                  <c:v>-0.23186119873817035</c:v>
                </c:pt>
                <c:pt idx="80">
                  <c:v>-0.27070063694267521</c:v>
                </c:pt>
                <c:pt idx="81">
                  <c:v>-0.30345911949685533</c:v>
                </c:pt>
                <c:pt idx="82">
                  <c:v>-0.29652996845425872</c:v>
                </c:pt>
                <c:pt idx="83">
                  <c:v>-0.31093749999999998</c:v>
                </c:pt>
                <c:pt idx="84">
                  <c:v>-0.27351916376306618</c:v>
                </c:pt>
                <c:pt idx="85">
                  <c:v>-0.2884283246977547</c:v>
                </c:pt>
                <c:pt idx="86">
                  <c:v>-0.23809523809523814</c:v>
                </c:pt>
                <c:pt idx="87">
                  <c:v>-0.22306238185255201</c:v>
                </c:pt>
                <c:pt idx="88">
                  <c:v>-0.21442125237191656</c:v>
                </c:pt>
                <c:pt idx="89">
                  <c:v>-0.201171875</c:v>
                </c:pt>
                <c:pt idx="90">
                  <c:v>-0.18145956607495073</c:v>
                </c:pt>
                <c:pt idx="91">
                  <c:v>-0.13963039014373713</c:v>
                </c:pt>
                <c:pt idx="92">
                  <c:v>-6.7685589519650646E-2</c:v>
                </c:pt>
                <c:pt idx="93">
                  <c:v>-7.674943566591419E-2</c:v>
                </c:pt>
                <c:pt idx="94">
                  <c:v>-0.1547085201793722</c:v>
                </c:pt>
                <c:pt idx="95">
                  <c:v>-9.0702947845805015E-2</c:v>
                </c:pt>
                <c:pt idx="96">
                  <c:v>-8.3932853717026412E-2</c:v>
                </c:pt>
                <c:pt idx="97">
                  <c:v>-3.6407766990291246E-2</c:v>
                </c:pt>
                <c:pt idx="98">
                  <c:v>-7.2115384615384581E-2</c:v>
                </c:pt>
                <c:pt idx="99">
                  <c:v>-5.1094890510948954E-2</c:v>
                </c:pt>
                <c:pt idx="100">
                  <c:v>-3.3816425120772986E-2</c:v>
                </c:pt>
                <c:pt idx="101">
                  <c:v>2.4449877750611915E-3</c:v>
                </c:pt>
                <c:pt idx="102">
                  <c:v>5.3012048192771166E-2</c:v>
                </c:pt>
                <c:pt idx="103">
                  <c:v>6.2052505966587068E-2</c:v>
                </c:pt>
                <c:pt idx="104">
                  <c:v>8.1967213114754189E-2</c:v>
                </c:pt>
                <c:pt idx="105">
                  <c:v>0.22738386308068459</c:v>
                </c:pt>
                <c:pt idx="106">
                  <c:v>0.44297082228116702</c:v>
                </c:pt>
                <c:pt idx="107">
                  <c:v>9.7256857855361645E-2</c:v>
                </c:pt>
                <c:pt idx="108">
                  <c:v>9.6858638743455572E-2</c:v>
                </c:pt>
                <c:pt idx="109">
                  <c:v>7.5566750629722845E-2</c:v>
                </c:pt>
                <c:pt idx="110">
                  <c:v>0.16321243523316054</c:v>
                </c:pt>
                <c:pt idx="111">
                  <c:v>0.23589743589743595</c:v>
                </c:pt>
                <c:pt idx="112">
                  <c:v>0.21999999999999997</c:v>
                </c:pt>
                <c:pt idx="113">
                  <c:v>8.5365853658536661E-2</c:v>
                </c:pt>
                <c:pt idx="114">
                  <c:v>-0.21052631578947367</c:v>
                </c:pt>
                <c:pt idx="115">
                  <c:v>-0.17303370786516858</c:v>
                </c:pt>
                <c:pt idx="116">
                  <c:v>-0.16883116883116878</c:v>
                </c:pt>
                <c:pt idx="117">
                  <c:v>-0.23705179282868527</c:v>
                </c:pt>
                <c:pt idx="118">
                  <c:v>-0.26102941176470584</c:v>
                </c:pt>
                <c:pt idx="119">
                  <c:v>-2.9545454545454541E-2</c:v>
                </c:pt>
                <c:pt idx="120">
                  <c:v>5.4892601431980825E-2</c:v>
                </c:pt>
                <c:pt idx="121">
                  <c:v>-2.5761124121779888E-2</c:v>
                </c:pt>
                <c:pt idx="122">
                  <c:v>-5.1224944320712673E-2</c:v>
                </c:pt>
                <c:pt idx="123">
                  <c:v>-0.13485477178423233</c:v>
                </c:pt>
                <c:pt idx="124">
                  <c:v>-0.15163934426229508</c:v>
                </c:pt>
                <c:pt idx="125">
                  <c:v>-4.9438202247190977E-2</c:v>
                </c:pt>
                <c:pt idx="126">
                  <c:v>0.20289855072463769</c:v>
                </c:pt>
                <c:pt idx="127">
                  <c:v>0.19021739130434789</c:v>
                </c:pt>
                <c:pt idx="128">
                  <c:v>0.12760416666666674</c:v>
                </c:pt>
                <c:pt idx="129">
                  <c:v>0.13315926892950403</c:v>
                </c:pt>
                <c:pt idx="130">
                  <c:v>9.2039800995024956E-2</c:v>
                </c:pt>
                <c:pt idx="131">
                  <c:v>1.87353629976581E-2</c:v>
                </c:pt>
                <c:pt idx="132">
                  <c:v>1.3574660633484115E-2</c:v>
                </c:pt>
                <c:pt idx="133">
                  <c:v>0.10096153846153855</c:v>
                </c:pt>
                <c:pt idx="134">
                  <c:v>6.1032863849765251E-2</c:v>
                </c:pt>
                <c:pt idx="135">
                  <c:v>0.10071942446043169</c:v>
                </c:pt>
                <c:pt idx="136">
                  <c:v>0.11111111111111116</c:v>
                </c:pt>
                <c:pt idx="137">
                  <c:v>5.6737588652482351E-2</c:v>
                </c:pt>
                <c:pt idx="138">
                  <c:v>9.1566265060240903E-2</c:v>
                </c:pt>
                <c:pt idx="139">
                  <c:v>8.6757990867579959E-2</c:v>
                </c:pt>
                <c:pt idx="140">
                  <c:v>8.7759815242494321E-2</c:v>
                </c:pt>
                <c:pt idx="141">
                  <c:v>0.1036866359447004</c:v>
                </c:pt>
                <c:pt idx="142">
                  <c:v>0.12984054669703871</c:v>
                </c:pt>
                <c:pt idx="143">
                  <c:v>0.12413793103448278</c:v>
                </c:pt>
                <c:pt idx="144">
                  <c:v>0.11160714285714279</c:v>
                </c:pt>
                <c:pt idx="145">
                  <c:v>0.10480349344978168</c:v>
                </c:pt>
                <c:pt idx="146">
                  <c:v>0.12168141592920345</c:v>
                </c:pt>
                <c:pt idx="147">
                  <c:v>0.10893246187363825</c:v>
                </c:pt>
                <c:pt idx="148">
                  <c:v>0.11739130434782608</c:v>
                </c:pt>
                <c:pt idx="149">
                  <c:v>0.14317673378076057</c:v>
                </c:pt>
                <c:pt idx="150">
                  <c:v>0.16335540838852092</c:v>
                </c:pt>
                <c:pt idx="151">
                  <c:v>0.10504201680672276</c:v>
                </c:pt>
                <c:pt idx="152">
                  <c:v>9.1295116772823759E-2</c:v>
                </c:pt>
                <c:pt idx="153">
                  <c:v>5.2192066805845538E-2</c:v>
                </c:pt>
                <c:pt idx="154">
                  <c:v>-8.0645161290322509E-3</c:v>
                </c:pt>
                <c:pt idx="155">
                  <c:v>-6.1349693251533388E-3</c:v>
                </c:pt>
                <c:pt idx="156">
                  <c:v>-4.4176706827309231E-2</c:v>
                </c:pt>
                <c:pt idx="157">
                  <c:v>-5.5335968379446654E-2</c:v>
                </c:pt>
                <c:pt idx="158">
                  <c:v>-6.311637080867849E-2</c:v>
                </c:pt>
                <c:pt idx="159">
                  <c:v>-5.8939096267190516E-2</c:v>
                </c:pt>
                <c:pt idx="160">
                  <c:v>-4.6692607003890996E-2</c:v>
                </c:pt>
                <c:pt idx="161">
                  <c:v>-3.32681017612525E-2</c:v>
                </c:pt>
                <c:pt idx="162">
                  <c:v>-5.502846299810249E-2</c:v>
                </c:pt>
                <c:pt idx="163">
                  <c:v>-5.5133079847908717E-2</c:v>
                </c:pt>
                <c:pt idx="164">
                  <c:v>-2.7237354085603127E-2</c:v>
                </c:pt>
                <c:pt idx="165">
                  <c:v>1.5873015873015817E-2</c:v>
                </c:pt>
                <c:pt idx="166">
                  <c:v>1.4227642276422703E-2</c:v>
                </c:pt>
                <c:pt idx="167">
                  <c:v>4.7325102880658498E-2</c:v>
                </c:pt>
                <c:pt idx="168">
                  <c:v>3.3613445378151363E-2</c:v>
                </c:pt>
                <c:pt idx="169">
                  <c:v>6.2761506276150625E-2</c:v>
                </c:pt>
                <c:pt idx="170">
                  <c:v>0.10526315789473695</c:v>
                </c:pt>
                <c:pt idx="171">
                  <c:v>7.9331941544885209E-2</c:v>
                </c:pt>
                <c:pt idx="172">
                  <c:v>7.1428571428571397E-2</c:v>
                </c:pt>
                <c:pt idx="173">
                  <c:v>8.5020242914979782E-2</c:v>
                </c:pt>
                <c:pt idx="174">
                  <c:v>9.2369477911646625E-2</c:v>
                </c:pt>
                <c:pt idx="175">
                  <c:v>7.8470824949698148E-2</c:v>
                </c:pt>
                <c:pt idx="176">
                  <c:v>8.2000000000000073E-2</c:v>
                </c:pt>
                <c:pt idx="177">
                  <c:v>3.125E-2</c:v>
                </c:pt>
                <c:pt idx="178">
                  <c:v>-4.2084168336673389E-2</c:v>
                </c:pt>
                <c:pt idx="179">
                  <c:v>6.8762278978389046E-2</c:v>
                </c:pt>
                <c:pt idx="180">
                  <c:v>0.10365853658536595</c:v>
                </c:pt>
                <c:pt idx="181">
                  <c:v>3.5433070866141669E-2</c:v>
                </c:pt>
                <c:pt idx="182">
                  <c:v>1.7142857142857126E-2</c:v>
                </c:pt>
                <c:pt idx="183">
                  <c:v>5.8027079303675011E-2</c:v>
                </c:pt>
                <c:pt idx="184">
                  <c:v>3.6190476190476106E-2</c:v>
                </c:pt>
                <c:pt idx="185">
                  <c:v>2.0522388059701413E-2</c:v>
                </c:pt>
                <c:pt idx="186">
                  <c:v>-1.2867647058823484E-2</c:v>
                </c:pt>
                <c:pt idx="187">
                  <c:v>7.4626865671640896E-3</c:v>
                </c:pt>
                <c:pt idx="188">
                  <c:v>1.109057301293892E-2</c:v>
                </c:pt>
                <c:pt idx="189">
                  <c:v>5.3030303030302983E-2</c:v>
                </c:pt>
                <c:pt idx="190">
                  <c:v>0.15271966527196645</c:v>
                </c:pt>
                <c:pt idx="191">
                  <c:v>1.4705882352941124E-2</c:v>
                </c:pt>
                <c:pt idx="192">
                  <c:v>4.4198895027624419E-2</c:v>
                </c:pt>
                <c:pt idx="193">
                  <c:v>3.6121673003802313E-2</c:v>
                </c:pt>
                <c:pt idx="194">
                  <c:v>5.0561797752809001E-2</c:v>
                </c:pt>
                <c:pt idx="195">
                  <c:v>1.6453382084095081E-2</c:v>
                </c:pt>
                <c:pt idx="196">
                  <c:v>2.7573529411764719E-2</c:v>
                </c:pt>
                <c:pt idx="197">
                  <c:v>3.6563071297988081E-3</c:v>
                </c:pt>
                <c:pt idx="198">
                  <c:v>1.6759776536312776E-2</c:v>
                </c:pt>
                <c:pt idx="199">
                  <c:v>-1.8518518518518823E-3</c:v>
                </c:pt>
                <c:pt idx="200">
                  <c:v>-3.6563071297989191E-3</c:v>
                </c:pt>
                <c:pt idx="201">
                  <c:v>-1.7985611510791366E-2</c:v>
                </c:pt>
                <c:pt idx="202">
                  <c:v>1.9963702359346636E-2</c:v>
                </c:pt>
                <c:pt idx="203">
                  <c:v>9.0579710144926828E-3</c:v>
                </c:pt>
                <c:pt idx="204">
                  <c:v>-4.585537918871252E-2</c:v>
                </c:pt>
                <c:pt idx="205">
                  <c:v>5.5045871559633586E-3</c:v>
                </c:pt>
                <c:pt idx="206">
                  <c:v>-1.4260249554367221E-2</c:v>
                </c:pt>
                <c:pt idx="207">
                  <c:v>-1.6187050359712241E-2</c:v>
                </c:pt>
                <c:pt idx="208">
                  <c:v>-2.8622540250447193E-2</c:v>
                </c:pt>
                <c:pt idx="209">
                  <c:v>-7.2859744990892983E-3</c:v>
                </c:pt>
                <c:pt idx="210">
                  <c:v>-1.46520146520146E-2</c:v>
                </c:pt>
                <c:pt idx="211">
                  <c:v>-1.4842300556586308E-2</c:v>
                </c:pt>
                <c:pt idx="212">
                  <c:v>-4.587155963302747E-2</c:v>
                </c:pt>
                <c:pt idx="213">
                  <c:v>-5.4945054945054972E-2</c:v>
                </c:pt>
                <c:pt idx="214">
                  <c:v>-7.8291814946619187E-2</c:v>
                </c:pt>
                <c:pt idx="215">
                  <c:v>-0.10053859964093359</c:v>
                </c:pt>
                <c:pt idx="216">
                  <c:v>-8.133086876155271E-2</c:v>
                </c:pt>
                <c:pt idx="217">
                  <c:v>-3.1021897810219023E-2</c:v>
                </c:pt>
                <c:pt idx="218">
                  <c:v>-5.0632911392405111E-2</c:v>
                </c:pt>
                <c:pt idx="219">
                  <c:v>-2.9250457038391242E-2</c:v>
                </c:pt>
                <c:pt idx="220">
                  <c:v>5.5248618784531356E-3</c:v>
                </c:pt>
                <c:pt idx="221">
                  <c:v>-1.1009174311926606E-2</c:v>
                </c:pt>
                <c:pt idx="222">
                  <c:v>9.2936802973977439E-3</c:v>
                </c:pt>
                <c:pt idx="223">
                  <c:v>3.0131826741996326E-2</c:v>
                </c:pt>
                <c:pt idx="224">
                  <c:v>2.1153846153846079E-2</c:v>
                </c:pt>
                <c:pt idx="225">
                  <c:v>2.5193798449612448E-2</c:v>
                </c:pt>
                <c:pt idx="226">
                  <c:v>1.5444015444015413E-2</c:v>
                </c:pt>
                <c:pt idx="227">
                  <c:v>8.782435129740529E-2</c:v>
                </c:pt>
                <c:pt idx="228">
                  <c:v>8.6519114688128784E-2</c:v>
                </c:pt>
                <c:pt idx="229">
                  <c:v>5.8380414312617646E-2</c:v>
                </c:pt>
                <c:pt idx="230">
                  <c:v>2.4761904761904763E-2</c:v>
                </c:pt>
                <c:pt idx="231">
                  <c:v>-0.16384180790960456</c:v>
                </c:pt>
                <c:pt idx="232">
                  <c:v>-0.25457875457875456</c:v>
                </c:pt>
                <c:pt idx="233">
                  <c:v>-0.10204081632653061</c:v>
                </c:pt>
                <c:pt idx="234">
                  <c:v>9.2081031307550631E-2</c:v>
                </c:pt>
                <c:pt idx="235">
                  <c:v>0.1060329067641681</c:v>
                </c:pt>
                <c:pt idx="236">
                  <c:v>0.19774011299435035</c:v>
                </c:pt>
                <c:pt idx="237">
                  <c:v>0.24385633270321372</c:v>
                </c:pt>
                <c:pt idx="238">
                  <c:v>0.22813688212927752</c:v>
                </c:pt>
                <c:pt idx="239">
                  <c:v>0.19816513761467891</c:v>
                </c:pt>
                <c:pt idx="240">
                  <c:v>0.2314814814814814</c:v>
                </c:pt>
                <c:pt idx="241">
                  <c:v>9.7864768683274095E-2</c:v>
                </c:pt>
                <c:pt idx="242">
                  <c:v>0.12267657992565062</c:v>
                </c:pt>
                <c:pt idx="243">
                  <c:v>0.3423423423423424</c:v>
                </c:pt>
                <c:pt idx="244">
                  <c:v>0.45454545454545459</c:v>
                </c:pt>
                <c:pt idx="245">
                  <c:v>0.23347107438016534</c:v>
                </c:pt>
                <c:pt idx="246">
                  <c:v>1.6863406408094361E-2</c:v>
                </c:pt>
                <c:pt idx="247">
                  <c:v>-9.91735537190086E-3</c:v>
                </c:pt>
                <c:pt idx="248">
                  <c:v>-2.8301886792452824E-2</c:v>
                </c:pt>
                <c:pt idx="249">
                  <c:v>-5.9270516717325195E-2</c:v>
                </c:pt>
                <c:pt idx="250">
                  <c:v>-2.0123839009287936E-2</c:v>
                </c:pt>
                <c:pt idx="251">
                  <c:v>-6.738131699846861E-2</c:v>
                </c:pt>
                <c:pt idx="252">
                  <c:v>-2.4060150375939893E-2</c:v>
                </c:pt>
                <c:pt idx="253">
                  <c:v>-3.8897893030794162E-2</c:v>
                </c:pt>
                <c:pt idx="254">
                  <c:v>-4.801324503311255E-2</c:v>
                </c:pt>
                <c:pt idx="255">
                  <c:v>-6.0402684563758413E-2</c:v>
                </c:pt>
                <c:pt idx="256">
                  <c:v>-8.6148648648648685E-2</c:v>
                </c:pt>
                <c:pt idx="257">
                  <c:v>-0.14405360134003353</c:v>
                </c:pt>
                <c:pt idx="258">
                  <c:v>-0.20066334991708124</c:v>
                </c:pt>
                <c:pt idx="259">
                  <c:v>-0.20200333889816358</c:v>
                </c:pt>
                <c:pt idx="260">
                  <c:v>-0.23786407766990292</c:v>
                </c:pt>
                <c:pt idx="261">
                  <c:v>-0.28271405492730206</c:v>
                </c:pt>
                <c:pt idx="262">
                  <c:v>-0.34913112164297</c:v>
                </c:pt>
                <c:pt idx="263">
                  <c:v>-0.3382594417077176</c:v>
                </c:pt>
                <c:pt idx="264">
                  <c:v>-0.38366718027734981</c:v>
                </c:pt>
                <c:pt idx="265">
                  <c:v>-0.23271500843170323</c:v>
                </c:pt>
                <c:pt idx="266">
                  <c:v>-0.22956521739130431</c:v>
                </c:pt>
                <c:pt idx="267">
                  <c:v>-0.23392857142857137</c:v>
                </c:pt>
                <c:pt idx="268">
                  <c:v>-0.20517560073937158</c:v>
                </c:pt>
                <c:pt idx="269">
                  <c:v>-0.18590998043052842</c:v>
                </c:pt>
                <c:pt idx="270">
                  <c:v>-0.15560165975103735</c:v>
                </c:pt>
                <c:pt idx="271">
                  <c:v>-0.15481171548117156</c:v>
                </c:pt>
                <c:pt idx="272">
                  <c:v>-0.16135881104033967</c:v>
                </c:pt>
                <c:pt idx="273">
                  <c:v>-0.14639639639639634</c:v>
                </c:pt>
                <c:pt idx="274">
                  <c:v>-7.2815533980582492E-2</c:v>
                </c:pt>
                <c:pt idx="275">
                  <c:v>-6.2034739454094323E-2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78-45B1-9095-75FDFF7FE8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03792"/>
        <c:axId val="500225792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3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0022579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913703792"/>
        <c:crosses val="max"/>
        <c:crossBetween val="between"/>
      </c:valAx>
      <c:catAx>
        <c:axId val="913703792"/>
        <c:scaling>
          <c:orientation val="minMax"/>
        </c:scaling>
        <c:delete val="1"/>
        <c:axPos val="b"/>
        <c:majorTickMark val="out"/>
        <c:minorTickMark val="none"/>
        <c:tickLblPos val="nextTo"/>
        <c:crossAx val="50022579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'Housing Market'!$O$2</c:f>
              <c:strCache>
                <c:ptCount val="1"/>
                <c:pt idx="0">
                  <c:v>New House Sales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Market'!$A$483:$A$758</c:f>
              <c:numCache>
                <c:formatCode>[$-416]mmm\-yy;@</c:formatCode>
                <c:ptCount val="276"/>
                <c:pt idx="0">
                  <c:v>36892</c:v>
                </c:pt>
                <c:pt idx="1">
                  <c:v>36923</c:v>
                </c:pt>
                <c:pt idx="2">
                  <c:v>36951</c:v>
                </c:pt>
                <c:pt idx="3">
                  <c:v>36982</c:v>
                </c:pt>
                <c:pt idx="4">
                  <c:v>37012</c:v>
                </c:pt>
                <c:pt idx="5">
                  <c:v>37043</c:v>
                </c:pt>
                <c:pt idx="6">
                  <c:v>37073</c:v>
                </c:pt>
                <c:pt idx="7">
                  <c:v>37104</c:v>
                </c:pt>
                <c:pt idx="8">
                  <c:v>37135</c:v>
                </c:pt>
                <c:pt idx="9">
                  <c:v>37165</c:v>
                </c:pt>
                <c:pt idx="10">
                  <c:v>37196</c:v>
                </c:pt>
                <c:pt idx="11">
                  <c:v>37226</c:v>
                </c:pt>
                <c:pt idx="12">
                  <c:v>37257</c:v>
                </c:pt>
                <c:pt idx="13">
                  <c:v>37288</c:v>
                </c:pt>
                <c:pt idx="14">
                  <c:v>37316</c:v>
                </c:pt>
                <c:pt idx="15">
                  <c:v>37347</c:v>
                </c:pt>
                <c:pt idx="16">
                  <c:v>37377</c:v>
                </c:pt>
                <c:pt idx="17">
                  <c:v>37408</c:v>
                </c:pt>
                <c:pt idx="18">
                  <c:v>37438</c:v>
                </c:pt>
                <c:pt idx="19">
                  <c:v>37469</c:v>
                </c:pt>
                <c:pt idx="20">
                  <c:v>37500</c:v>
                </c:pt>
                <c:pt idx="21">
                  <c:v>37530</c:v>
                </c:pt>
                <c:pt idx="22">
                  <c:v>37561</c:v>
                </c:pt>
                <c:pt idx="23">
                  <c:v>37591</c:v>
                </c:pt>
                <c:pt idx="24">
                  <c:v>37622</c:v>
                </c:pt>
                <c:pt idx="25">
                  <c:v>37653</c:v>
                </c:pt>
                <c:pt idx="26">
                  <c:v>37681</c:v>
                </c:pt>
                <c:pt idx="27">
                  <c:v>37712</c:v>
                </c:pt>
                <c:pt idx="28">
                  <c:v>37742</c:v>
                </c:pt>
                <c:pt idx="29">
                  <c:v>37773</c:v>
                </c:pt>
                <c:pt idx="30">
                  <c:v>37803</c:v>
                </c:pt>
                <c:pt idx="31">
                  <c:v>37834</c:v>
                </c:pt>
                <c:pt idx="32">
                  <c:v>37865</c:v>
                </c:pt>
                <c:pt idx="33">
                  <c:v>37895</c:v>
                </c:pt>
                <c:pt idx="34">
                  <c:v>37926</c:v>
                </c:pt>
                <c:pt idx="35">
                  <c:v>37956</c:v>
                </c:pt>
                <c:pt idx="36">
                  <c:v>37987</c:v>
                </c:pt>
                <c:pt idx="37">
                  <c:v>38018</c:v>
                </c:pt>
                <c:pt idx="38">
                  <c:v>38047</c:v>
                </c:pt>
                <c:pt idx="39">
                  <c:v>38078</c:v>
                </c:pt>
                <c:pt idx="40">
                  <c:v>38108</c:v>
                </c:pt>
                <c:pt idx="41">
                  <c:v>38139</c:v>
                </c:pt>
                <c:pt idx="42">
                  <c:v>38169</c:v>
                </c:pt>
                <c:pt idx="43">
                  <c:v>38200</c:v>
                </c:pt>
                <c:pt idx="44">
                  <c:v>38231</c:v>
                </c:pt>
                <c:pt idx="45">
                  <c:v>38261</c:v>
                </c:pt>
                <c:pt idx="46">
                  <c:v>38292</c:v>
                </c:pt>
                <c:pt idx="47">
                  <c:v>38322</c:v>
                </c:pt>
                <c:pt idx="48">
                  <c:v>38353</c:v>
                </c:pt>
                <c:pt idx="49">
                  <c:v>38384</c:v>
                </c:pt>
                <c:pt idx="50">
                  <c:v>38412</c:v>
                </c:pt>
                <c:pt idx="51">
                  <c:v>38443</c:v>
                </c:pt>
                <c:pt idx="52">
                  <c:v>38473</c:v>
                </c:pt>
                <c:pt idx="53">
                  <c:v>38504</c:v>
                </c:pt>
                <c:pt idx="54">
                  <c:v>38534</c:v>
                </c:pt>
                <c:pt idx="55">
                  <c:v>38565</c:v>
                </c:pt>
                <c:pt idx="56">
                  <c:v>38596</c:v>
                </c:pt>
                <c:pt idx="57">
                  <c:v>38626</c:v>
                </c:pt>
                <c:pt idx="58">
                  <c:v>38657</c:v>
                </c:pt>
                <c:pt idx="59">
                  <c:v>38687</c:v>
                </c:pt>
                <c:pt idx="60">
                  <c:v>38718</c:v>
                </c:pt>
                <c:pt idx="61">
                  <c:v>38749</c:v>
                </c:pt>
                <c:pt idx="62">
                  <c:v>38777</c:v>
                </c:pt>
                <c:pt idx="63">
                  <c:v>38808</c:v>
                </c:pt>
                <c:pt idx="64">
                  <c:v>38838</c:v>
                </c:pt>
                <c:pt idx="65">
                  <c:v>38869</c:v>
                </c:pt>
                <c:pt idx="66">
                  <c:v>38899</c:v>
                </c:pt>
                <c:pt idx="67">
                  <c:v>38930</c:v>
                </c:pt>
                <c:pt idx="68">
                  <c:v>38961</c:v>
                </c:pt>
                <c:pt idx="69">
                  <c:v>38991</c:v>
                </c:pt>
                <c:pt idx="70">
                  <c:v>39022</c:v>
                </c:pt>
                <c:pt idx="71">
                  <c:v>39052</c:v>
                </c:pt>
                <c:pt idx="72">
                  <c:v>39083</c:v>
                </c:pt>
                <c:pt idx="73">
                  <c:v>39114</c:v>
                </c:pt>
                <c:pt idx="74">
                  <c:v>39142</c:v>
                </c:pt>
                <c:pt idx="75">
                  <c:v>39173</c:v>
                </c:pt>
                <c:pt idx="76">
                  <c:v>39203</c:v>
                </c:pt>
                <c:pt idx="77">
                  <c:v>39234</c:v>
                </c:pt>
                <c:pt idx="78">
                  <c:v>39264</c:v>
                </c:pt>
                <c:pt idx="79">
                  <c:v>39295</c:v>
                </c:pt>
                <c:pt idx="80">
                  <c:v>39326</c:v>
                </c:pt>
                <c:pt idx="81">
                  <c:v>39356</c:v>
                </c:pt>
                <c:pt idx="82">
                  <c:v>39387</c:v>
                </c:pt>
                <c:pt idx="83">
                  <c:v>39417</c:v>
                </c:pt>
                <c:pt idx="84">
                  <c:v>39448</c:v>
                </c:pt>
                <c:pt idx="85">
                  <c:v>39479</c:v>
                </c:pt>
                <c:pt idx="86">
                  <c:v>39508</c:v>
                </c:pt>
                <c:pt idx="87">
                  <c:v>39539</c:v>
                </c:pt>
                <c:pt idx="88">
                  <c:v>39569</c:v>
                </c:pt>
                <c:pt idx="89">
                  <c:v>39600</c:v>
                </c:pt>
                <c:pt idx="90">
                  <c:v>39630</c:v>
                </c:pt>
                <c:pt idx="91">
                  <c:v>39661</c:v>
                </c:pt>
                <c:pt idx="92">
                  <c:v>39692</c:v>
                </c:pt>
                <c:pt idx="93">
                  <c:v>39722</c:v>
                </c:pt>
                <c:pt idx="94">
                  <c:v>39753</c:v>
                </c:pt>
                <c:pt idx="95">
                  <c:v>39783</c:v>
                </c:pt>
                <c:pt idx="96">
                  <c:v>39814</c:v>
                </c:pt>
                <c:pt idx="97">
                  <c:v>39845</c:v>
                </c:pt>
                <c:pt idx="98">
                  <c:v>39873</c:v>
                </c:pt>
                <c:pt idx="99">
                  <c:v>39904</c:v>
                </c:pt>
                <c:pt idx="100">
                  <c:v>39934</c:v>
                </c:pt>
                <c:pt idx="101">
                  <c:v>39965</c:v>
                </c:pt>
                <c:pt idx="102">
                  <c:v>39995</c:v>
                </c:pt>
                <c:pt idx="103">
                  <c:v>40026</c:v>
                </c:pt>
                <c:pt idx="104">
                  <c:v>40057</c:v>
                </c:pt>
                <c:pt idx="105">
                  <c:v>40087</c:v>
                </c:pt>
                <c:pt idx="106">
                  <c:v>40118</c:v>
                </c:pt>
                <c:pt idx="107">
                  <c:v>40148</c:v>
                </c:pt>
                <c:pt idx="108">
                  <c:v>40179</c:v>
                </c:pt>
                <c:pt idx="109">
                  <c:v>40210</c:v>
                </c:pt>
                <c:pt idx="110">
                  <c:v>40238</c:v>
                </c:pt>
                <c:pt idx="111">
                  <c:v>40269</c:v>
                </c:pt>
                <c:pt idx="112">
                  <c:v>40299</c:v>
                </c:pt>
                <c:pt idx="113">
                  <c:v>40330</c:v>
                </c:pt>
                <c:pt idx="114">
                  <c:v>40360</c:v>
                </c:pt>
                <c:pt idx="115">
                  <c:v>40391</c:v>
                </c:pt>
                <c:pt idx="116">
                  <c:v>40422</c:v>
                </c:pt>
                <c:pt idx="117">
                  <c:v>40452</c:v>
                </c:pt>
                <c:pt idx="118">
                  <c:v>40483</c:v>
                </c:pt>
                <c:pt idx="119">
                  <c:v>40513</c:v>
                </c:pt>
                <c:pt idx="120">
                  <c:v>40544</c:v>
                </c:pt>
                <c:pt idx="121">
                  <c:v>40575</c:v>
                </c:pt>
                <c:pt idx="122">
                  <c:v>40603</c:v>
                </c:pt>
                <c:pt idx="123">
                  <c:v>40634</c:v>
                </c:pt>
                <c:pt idx="124">
                  <c:v>40664</c:v>
                </c:pt>
                <c:pt idx="125">
                  <c:v>40695</c:v>
                </c:pt>
                <c:pt idx="126">
                  <c:v>40725</c:v>
                </c:pt>
                <c:pt idx="127">
                  <c:v>40756</c:v>
                </c:pt>
                <c:pt idx="128">
                  <c:v>40787</c:v>
                </c:pt>
                <c:pt idx="129">
                  <c:v>40817</c:v>
                </c:pt>
                <c:pt idx="130">
                  <c:v>40848</c:v>
                </c:pt>
                <c:pt idx="131">
                  <c:v>40878</c:v>
                </c:pt>
                <c:pt idx="132">
                  <c:v>40909</c:v>
                </c:pt>
                <c:pt idx="133">
                  <c:v>40940</c:v>
                </c:pt>
                <c:pt idx="134">
                  <c:v>40969</c:v>
                </c:pt>
                <c:pt idx="135">
                  <c:v>41000</c:v>
                </c:pt>
                <c:pt idx="136">
                  <c:v>41030</c:v>
                </c:pt>
                <c:pt idx="137">
                  <c:v>41061</c:v>
                </c:pt>
                <c:pt idx="138">
                  <c:v>41091</c:v>
                </c:pt>
                <c:pt idx="139">
                  <c:v>41122</c:v>
                </c:pt>
                <c:pt idx="140">
                  <c:v>41153</c:v>
                </c:pt>
                <c:pt idx="141">
                  <c:v>41183</c:v>
                </c:pt>
                <c:pt idx="142">
                  <c:v>41214</c:v>
                </c:pt>
                <c:pt idx="143">
                  <c:v>41244</c:v>
                </c:pt>
                <c:pt idx="144">
                  <c:v>41275</c:v>
                </c:pt>
                <c:pt idx="145">
                  <c:v>41306</c:v>
                </c:pt>
                <c:pt idx="146">
                  <c:v>41334</c:v>
                </c:pt>
                <c:pt idx="147">
                  <c:v>41365</c:v>
                </c:pt>
                <c:pt idx="148">
                  <c:v>41395</c:v>
                </c:pt>
                <c:pt idx="149">
                  <c:v>41426</c:v>
                </c:pt>
                <c:pt idx="150">
                  <c:v>41456</c:v>
                </c:pt>
                <c:pt idx="151">
                  <c:v>41487</c:v>
                </c:pt>
                <c:pt idx="152">
                  <c:v>41518</c:v>
                </c:pt>
                <c:pt idx="153">
                  <c:v>41548</c:v>
                </c:pt>
                <c:pt idx="154">
                  <c:v>41579</c:v>
                </c:pt>
                <c:pt idx="155">
                  <c:v>41609</c:v>
                </c:pt>
                <c:pt idx="156">
                  <c:v>41640</c:v>
                </c:pt>
                <c:pt idx="157">
                  <c:v>41671</c:v>
                </c:pt>
                <c:pt idx="158">
                  <c:v>41699</c:v>
                </c:pt>
                <c:pt idx="159">
                  <c:v>41730</c:v>
                </c:pt>
                <c:pt idx="160">
                  <c:v>41760</c:v>
                </c:pt>
                <c:pt idx="161">
                  <c:v>41791</c:v>
                </c:pt>
                <c:pt idx="162">
                  <c:v>41821</c:v>
                </c:pt>
                <c:pt idx="163">
                  <c:v>41852</c:v>
                </c:pt>
                <c:pt idx="164">
                  <c:v>41883</c:v>
                </c:pt>
                <c:pt idx="165">
                  <c:v>41913</c:v>
                </c:pt>
                <c:pt idx="166">
                  <c:v>41944</c:v>
                </c:pt>
                <c:pt idx="167">
                  <c:v>41974</c:v>
                </c:pt>
                <c:pt idx="168">
                  <c:v>42005</c:v>
                </c:pt>
                <c:pt idx="169">
                  <c:v>42036</c:v>
                </c:pt>
                <c:pt idx="170">
                  <c:v>42064</c:v>
                </c:pt>
                <c:pt idx="171">
                  <c:v>42095</c:v>
                </c:pt>
                <c:pt idx="172">
                  <c:v>42125</c:v>
                </c:pt>
                <c:pt idx="173">
                  <c:v>42156</c:v>
                </c:pt>
                <c:pt idx="174">
                  <c:v>42186</c:v>
                </c:pt>
                <c:pt idx="175">
                  <c:v>42217</c:v>
                </c:pt>
                <c:pt idx="176">
                  <c:v>42248</c:v>
                </c:pt>
                <c:pt idx="177">
                  <c:v>42278</c:v>
                </c:pt>
                <c:pt idx="178">
                  <c:v>42309</c:v>
                </c:pt>
                <c:pt idx="179">
                  <c:v>42339</c:v>
                </c:pt>
                <c:pt idx="180">
                  <c:v>42370</c:v>
                </c:pt>
                <c:pt idx="181">
                  <c:v>42401</c:v>
                </c:pt>
                <c:pt idx="182">
                  <c:v>42430</c:v>
                </c:pt>
                <c:pt idx="183">
                  <c:v>42461</c:v>
                </c:pt>
                <c:pt idx="184">
                  <c:v>42491</c:v>
                </c:pt>
                <c:pt idx="185">
                  <c:v>42522</c:v>
                </c:pt>
                <c:pt idx="186">
                  <c:v>42552</c:v>
                </c:pt>
                <c:pt idx="187">
                  <c:v>42583</c:v>
                </c:pt>
                <c:pt idx="188">
                  <c:v>42614</c:v>
                </c:pt>
                <c:pt idx="189">
                  <c:v>42644</c:v>
                </c:pt>
                <c:pt idx="190">
                  <c:v>42675</c:v>
                </c:pt>
                <c:pt idx="191">
                  <c:v>42705</c:v>
                </c:pt>
                <c:pt idx="192">
                  <c:v>42736</c:v>
                </c:pt>
                <c:pt idx="193">
                  <c:v>42767</c:v>
                </c:pt>
                <c:pt idx="194">
                  <c:v>42795</c:v>
                </c:pt>
                <c:pt idx="195">
                  <c:v>42826</c:v>
                </c:pt>
                <c:pt idx="196">
                  <c:v>42856</c:v>
                </c:pt>
                <c:pt idx="197">
                  <c:v>42887</c:v>
                </c:pt>
                <c:pt idx="198">
                  <c:v>42917</c:v>
                </c:pt>
                <c:pt idx="199">
                  <c:v>42948</c:v>
                </c:pt>
                <c:pt idx="200">
                  <c:v>42979</c:v>
                </c:pt>
                <c:pt idx="201">
                  <c:v>43009</c:v>
                </c:pt>
                <c:pt idx="202">
                  <c:v>43040</c:v>
                </c:pt>
                <c:pt idx="203">
                  <c:v>43070</c:v>
                </c:pt>
                <c:pt idx="204">
                  <c:v>43101</c:v>
                </c:pt>
                <c:pt idx="205">
                  <c:v>43132</c:v>
                </c:pt>
                <c:pt idx="206">
                  <c:v>43160</c:v>
                </c:pt>
                <c:pt idx="207">
                  <c:v>43191</c:v>
                </c:pt>
                <c:pt idx="208">
                  <c:v>43221</c:v>
                </c:pt>
                <c:pt idx="209">
                  <c:v>43252</c:v>
                </c:pt>
                <c:pt idx="210">
                  <c:v>43282</c:v>
                </c:pt>
                <c:pt idx="211">
                  <c:v>43313</c:v>
                </c:pt>
                <c:pt idx="212">
                  <c:v>43344</c:v>
                </c:pt>
                <c:pt idx="213">
                  <c:v>43374</c:v>
                </c:pt>
                <c:pt idx="214">
                  <c:v>43405</c:v>
                </c:pt>
                <c:pt idx="215">
                  <c:v>43435</c:v>
                </c:pt>
                <c:pt idx="216">
                  <c:v>43466</c:v>
                </c:pt>
                <c:pt idx="217">
                  <c:v>43497</c:v>
                </c:pt>
                <c:pt idx="218">
                  <c:v>43525</c:v>
                </c:pt>
                <c:pt idx="219">
                  <c:v>43556</c:v>
                </c:pt>
                <c:pt idx="220">
                  <c:v>43586</c:v>
                </c:pt>
                <c:pt idx="221">
                  <c:v>43617</c:v>
                </c:pt>
                <c:pt idx="222">
                  <c:v>43647</c:v>
                </c:pt>
                <c:pt idx="223">
                  <c:v>43678</c:v>
                </c:pt>
                <c:pt idx="224">
                  <c:v>43709</c:v>
                </c:pt>
                <c:pt idx="225">
                  <c:v>43739</c:v>
                </c:pt>
                <c:pt idx="226">
                  <c:v>43770</c:v>
                </c:pt>
                <c:pt idx="227">
                  <c:v>43800</c:v>
                </c:pt>
                <c:pt idx="228">
                  <c:v>43831</c:v>
                </c:pt>
                <c:pt idx="229">
                  <c:v>43862</c:v>
                </c:pt>
                <c:pt idx="230">
                  <c:v>43891</c:v>
                </c:pt>
                <c:pt idx="231">
                  <c:v>43922</c:v>
                </c:pt>
                <c:pt idx="232">
                  <c:v>43952</c:v>
                </c:pt>
                <c:pt idx="233">
                  <c:v>43983</c:v>
                </c:pt>
                <c:pt idx="234">
                  <c:v>44013</c:v>
                </c:pt>
                <c:pt idx="235">
                  <c:v>44044</c:v>
                </c:pt>
                <c:pt idx="236">
                  <c:v>44075</c:v>
                </c:pt>
                <c:pt idx="237">
                  <c:v>44105</c:v>
                </c:pt>
                <c:pt idx="238">
                  <c:v>44136</c:v>
                </c:pt>
                <c:pt idx="239">
                  <c:v>44166</c:v>
                </c:pt>
                <c:pt idx="240">
                  <c:v>44197</c:v>
                </c:pt>
                <c:pt idx="241">
                  <c:v>44228</c:v>
                </c:pt>
                <c:pt idx="242">
                  <c:v>44256</c:v>
                </c:pt>
                <c:pt idx="243">
                  <c:v>44287</c:v>
                </c:pt>
                <c:pt idx="244">
                  <c:v>44317</c:v>
                </c:pt>
                <c:pt idx="245">
                  <c:v>44348</c:v>
                </c:pt>
                <c:pt idx="246">
                  <c:v>44378</c:v>
                </c:pt>
                <c:pt idx="247">
                  <c:v>44409</c:v>
                </c:pt>
                <c:pt idx="248">
                  <c:v>44440</c:v>
                </c:pt>
                <c:pt idx="249">
                  <c:v>44470</c:v>
                </c:pt>
                <c:pt idx="250">
                  <c:v>44501</c:v>
                </c:pt>
                <c:pt idx="251">
                  <c:v>44531</c:v>
                </c:pt>
                <c:pt idx="252">
                  <c:v>44562</c:v>
                </c:pt>
                <c:pt idx="253">
                  <c:v>44593</c:v>
                </c:pt>
                <c:pt idx="254">
                  <c:v>44621</c:v>
                </c:pt>
                <c:pt idx="255">
                  <c:v>44652</c:v>
                </c:pt>
                <c:pt idx="256">
                  <c:v>44682</c:v>
                </c:pt>
                <c:pt idx="257">
                  <c:v>44713</c:v>
                </c:pt>
                <c:pt idx="258">
                  <c:v>44743</c:v>
                </c:pt>
                <c:pt idx="259">
                  <c:v>44774</c:v>
                </c:pt>
                <c:pt idx="260">
                  <c:v>44805</c:v>
                </c:pt>
                <c:pt idx="261">
                  <c:v>44835</c:v>
                </c:pt>
                <c:pt idx="262">
                  <c:v>44866</c:v>
                </c:pt>
                <c:pt idx="263">
                  <c:v>44896</c:v>
                </c:pt>
                <c:pt idx="264">
                  <c:v>44927</c:v>
                </c:pt>
                <c:pt idx="265">
                  <c:v>44958</c:v>
                </c:pt>
                <c:pt idx="266">
                  <c:v>44986</c:v>
                </c:pt>
                <c:pt idx="267">
                  <c:v>45017</c:v>
                </c:pt>
                <c:pt idx="268">
                  <c:v>45047</c:v>
                </c:pt>
                <c:pt idx="269">
                  <c:v>45078</c:v>
                </c:pt>
                <c:pt idx="270">
                  <c:v>45108</c:v>
                </c:pt>
                <c:pt idx="271">
                  <c:v>45139</c:v>
                </c:pt>
                <c:pt idx="272">
                  <c:v>45170</c:v>
                </c:pt>
                <c:pt idx="273">
                  <c:v>45200</c:v>
                </c:pt>
                <c:pt idx="274">
                  <c:v>45231</c:v>
                </c:pt>
                <c:pt idx="275">
                  <c:v>45261</c:v>
                </c:pt>
              </c:numCache>
            </c:numRef>
          </c:cat>
          <c:val>
            <c:numRef>
              <c:f>'Housing Market'!$O$483:$O$758</c:f>
              <c:numCache>
                <c:formatCode>_-* #,##0_-;\-* #,##0_-;_-* "-"??_-;_-@_-</c:formatCode>
                <c:ptCount val="276"/>
                <c:pt idx="0">
                  <c:v>936</c:v>
                </c:pt>
                <c:pt idx="1">
                  <c:v>963</c:v>
                </c:pt>
                <c:pt idx="2">
                  <c:v>939</c:v>
                </c:pt>
                <c:pt idx="3">
                  <c:v>909</c:v>
                </c:pt>
                <c:pt idx="4">
                  <c:v>885</c:v>
                </c:pt>
                <c:pt idx="5">
                  <c:v>882</c:v>
                </c:pt>
                <c:pt idx="6">
                  <c:v>880</c:v>
                </c:pt>
                <c:pt idx="7">
                  <c:v>866</c:v>
                </c:pt>
                <c:pt idx="8">
                  <c:v>853</c:v>
                </c:pt>
                <c:pt idx="9">
                  <c:v>871</c:v>
                </c:pt>
                <c:pt idx="10">
                  <c:v>924</c:v>
                </c:pt>
                <c:pt idx="11">
                  <c:v>979</c:v>
                </c:pt>
                <c:pt idx="12">
                  <c:v>880</c:v>
                </c:pt>
                <c:pt idx="13">
                  <c:v>948</c:v>
                </c:pt>
                <c:pt idx="14">
                  <c:v>923</c:v>
                </c:pt>
                <c:pt idx="15">
                  <c:v>936</c:v>
                </c:pt>
                <c:pt idx="16">
                  <c:v>978</c:v>
                </c:pt>
                <c:pt idx="17">
                  <c:v>957</c:v>
                </c:pt>
                <c:pt idx="18">
                  <c:v>956</c:v>
                </c:pt>
                <c:pt idx="19">
                  <c:v>1014</c:v>
                </c:pt>
                <c:pt idx="20">
                  <c:v>1044</c:v>
                </c:pt>
                <c:pt idx="21">
                  <c:v>1006</c:v>
                </c:pt>
                <c:pt idx="22">
                  <c:v>1024</c:v>
                </c:pt>
                <c:pt idx="23">
                  <c:v>1048</c:v>
                </c:pt>
                <c:pt idx="24">
                  <c:v>999</c:v>
                </c:pt>
                <c:pt idx="25">
                  <c:v>936</c:v>
                </c:pt>
                <c:pt idx="26">
                  <c:v>999</c:v>
                </c:pt>
                <c:pt idx="27">
                  <c:v>1012</c:v>
                </c:pt>
                <c:pt idx="28">
                  <c:v>1078</c:v>
                </c:pt>
                <c:pt idx="29">
                  <c:v>1193</c:v>
                </c:pt>
                <c:pt idx="30">
                  <c:v>1168</c:v>
                </c:pt>
                <c:pt idx="31">
                  <c:v>1206</c:v>
                </c:pt>
                <c:pt idx="32">
                  <c:v>1131</c:v>
                </c:pt>
                <c:pt idx="33">
                  <c:v>1144</c:v>
                </c:pt>
                <c:pt idx="34">
                  <c:v>1093</c:v>
                </c:pt>
                <c:pt idx="35">
                  <c:v>1129</c:v>
                </c:pt>
                <c:pt idx="36">
                  <c:v>1165</c:v>
                </c:pt>
                <c:pt idx="37">
                  <c:v>1159</c:v>
                </c:pt>
                <c:pt idx="38">
                  <c:v>1276</c:v>
                </c:pt>
                <c:pt idx="39">
                  <c:v>1186</c:v>
                </c:pt>
                <c:pt idx="40">
                  <c:v>1241</c:v>
                </c:pt>
                <c:pt idx="41">
                  <c:v>1180</c:v>
                </c:pt>
                <c:pt idx="42">
                  <c:v>1088</c:v>
                </c:pt>
                <c:pt idx="43">
                  <c:v>1175</c:v>
                </c:pt>
                <c:pt idx="44">
                  <c:v>1214</c:v>
                </c:pt>
                <c:pt idx="45">
                  <c:v>1305</c:v>
                </c:pt>
                <c:pt idx="46">
                  <c:v>1179</c:v>
                </c:pt>
                <c:pt idx="47">
                  <c:v>1242</c:v>
                </c:pt>
                <c:pt idx="48">
                  <c:v>1203</c:v>
                </c:pt>
                <c:pt idx="49">
                  <c:v>1319</c:v>
                </c:pt>
                <c:pt idx="50">
                  <c:v>1328</c:v>
                </c:pt>
                <c:pt idx="51">
                  <c:v>1260</c:v>
                </c:pt>
                <c:pt idx="52">
                  <c:v>1286</c:v>
                </c:pt>
                <c:pt idx="53">
                  <c:v>1274</c:v>
                </c:pt>
                <c:pt idx="54">
                  <c:v>1389</c:v>
                </c:pt>
                <c:pt idx="55">
                  <c:v>1255</c:v>
                </c:pt>
                <c:pt idx="56">
                  <c:v>1244</c:v>
                </c:pt>
                <c:pt idx="57">
                  <c:v>1336</c:v>
                </c:pt>
                <c:pt idx="58">
                  <c:v>1214</c:v>
                </c:pt>
                <c:pt idx="59">
                  <c:v>1239</c:v>
                </c:pt>
                <c:pt idx="60">
                  <c:v>1174</c:v>
                </c:pt>
                <c:pt idx="61">
                  <c:v>1061</c:v>
                </c:pt>
                <c:pt idx="62">
                  <c:v>1116</c:v>
                </c:pt>
                <c:pt idx="63">
                  <c:v>1123</c:v>
                </c:pt>
                <c:pt idx="64">
                  <c:v>1086</c:v>
                </c:pt>
                <c:pt idx="65">
                  <c:v>1074</c:v>
                </c:pt>
                <c:pt idx="66">
                  <c:v>965</c:v>
                </c:pt>
                <c:pt idx="67">
                  <c:v>1035</c:v>
                </c:pt>
                <c:pt idx="68">
                  <c:v>1016</c:v>
                </c:pt>
                <c:pt idx="69">
                  <c:v>941</c:v>
                </c:pt>
                <c:pt idx="70">
                  <c:v>1003</c:v>
                </c:pt>
                <c:pt idx="71">
                  <c:v>998</c:v>
                </c:pt>
                <c:pt idx="72">
                  <c:v>891</c:v>
                </c:pt>
                <c:pt idx="73">
                  <c:v>828</c:v>
                </c:pt>
                <c:pt idx="74">
                  <c:v>833</c:v>
                </c:pt>
                <c:pt idx="75">
                  <c:v>887</c:v>
                </c:pt>
                <c:pt idx="76">
                  <c:v>842</c:v>
                </c:pt>
                <c:pt idx="77">
                  <c:v>793</c:v>
                </c:pt>
                <c:pt idx="78">
                  <c:v>778</c:v>
                </c:pt>
                <c:pt idx="79">
                  <c:v>699</c:v>
                </c:pt>
                <c:pt idx="80">
                  <c:v>686</c:v>
                </c:pt>
                <c:pt idx="81">
                  <c:v>727</c:v>
                </c:pt>
                <c:pt idx="82">
                  <c:v>641</c:v>
                </c:pt>
                <c:pt idx="83">
                  <c:v>619</c:v>
                </c:pt>
                <c:pt idx="84">
                  <c:v>627</c:v>
                </c:pt>
                <c:pt idx="85">
                  <c:v>593</c:v>
                </c:pt>
                <c:pt idx="86">
                  <c:v>535</c:v>
                </c:pt>
                <c:pt idx="87">
                  <c:v>536</c:v>
                </c:pt>
                <c:pt idx="88">
                  <c:v>504</c:v>
                </c:pt>
                <c:pt idx="89">
                  <c:v>487</c:v>
                </c:pt>
                <c:pt idx="90">
                  <c:v>477</c:v>
                </c:pt>
                <c:pt idx="91">
                  <c:v>435</c:v>
                </c:pt>
                <c:pt idx="92">
                  <c:v>433</c:v>
                </c:pt>
                <c:pt idx="93">
                  <c:v>393</c:v>
                </c:pt>
                <c:pt idx="94">
                  <c:v>389</c:v>
                </c:pt>
                <c:pt idx="95">
                  <c:v>377</c:v>
                </c:pt>
                <c:pt idx="96">
                  <c:v>336</c:v>
                </c:pt>
                <c:pt idx="97">
                  <c:v>372</c:v>
                </c:pt>
                <c:pt idx="98">
                  <c:v>339</c:v>
                </c:pt>
                <c:pt idx="99">
                  <c:v>337</c:v>
                </c:pt>
                <c:pt idx="100">
                  <c:v>376</c:v>
                </c:pt>
                <c:pt idx="101">
                  <c:v>393</c:v>
                </c:pt>
                <c:pt idx="102">
                  <c:v>411</c:v>
                </c:pt>
                <c:pt idx="103">
                  <c:v>418</c:v>
                </c:pt>
                <c:pt idx="104">
                  <c:v>386</c:v>
                </c:pt>
                <c:pt idx="105">
                  <c:v>396</c:v>
                </c:pt>
                <c:pt idx="106">
                  <c:v>375</c:v>
                </c:pt>
                <c:pt idx="107">
                  <c:v>352</c:v>
                </c:pt>
                <c:pt idx="108">
                  <c:v>345</c:v>
                </c:pt>
                <c:pt idx="109">
                  <c:v>336</c:v>
                </c:pt>
                <c:pt idx="110">
                  <c:v>381</c:v>
                </c:pt>
                <c:pt idx="111">
                  <c:v>422</c:v>
                </c:pt>
                <c:pt idx="112">
                  <c:v>280</c:v>
                </c:pt>
                <c:pt idx="113">
                  <c:v>305</c:v>
                </c:pt>
                <c:pt idx="114">
                  <c:v>283</c:v>
                </c:pt>
                <c:pt idx="115">
                  <c:v>282</c:v>
                </c:pt>
                <c:pt idx="116">
                  <c:v>317</c:v>
                </c:pt>
                <c:pt idx="117">
                  <c:v>291</c:v>
                </c:pt>
                <c:pt idx="118">
                  <c:v>287</c:v>
                </c:pt>
                <c:pt idx="119">
                  <c:v>326</c:v>
                </c:pt>
                <c:pt idx="120">
                  <c:v>307</c:v>
                </c:pt>
                <c:pt idx="121">
                  <c:v>270</c:v>
                </c:pt>
                <c:pt idx="122">
                  <c:v>300</c:v>
                </c:pt>
                <c:pt idx="123">
                  <c:v>310</c:v>
                </c:pt>
                <c:pt idx="124">
                  <c:v>305</c:v>
                </c:pt>
                <c:pt idx="125">
                  <c:v>301</c:v>
                </c:pt>
                <c:pt idx="126">
                  <c:v>296</c:v>
                </c:pt>
                <c:pt idx="127">
                  <c:v>299</c:v>
                </c:pt>
                <c:pt idx="128">
                  <c:v>304</c:v>
                </c:pt>
                <c:pt idx="129">
                  <c:v>316</c:v>
                </c:pt>
                <c:pt idx="130">
                  <c:v>328</c:v>
                </c:pt>
                <c:pt idx="131">
                  <c:v>341</c:v>
                </c:pt>
                <c:pt idx="132">
                  <c:v>335</c:v>
                </c:pt>
                <c:pt idx="133">
                  <c:v>366</c:v>
                </c:pt>
                <c:pt idx="134">
                  <c:v>354</c:v>
                </c:pt>
                <c:pt idx="135">
                  <c:v>354</c:v>
                </c:pt>
                <c:pt idx="136">
                  <c:v>370</c:v>
                </c:pt>
                <c:pt idx="137">
                  <c:v>360</c:v>
                </c:pt>
                <c:pt idx="138">
                  <c:v>369</c:v>
                </c:pt>
                <c:pt idx="139">
                  <c:v>375</c:v>
                </c:pt>
                <c:pt idx="140">
                  <c:v>385</c:v>
                </c:pt>
                <c:pt idx="141">
                  <c:v>358</c:v>
                </c:pt>
                <c:pt idx="142">
                  <c:v>392</c:v>
                </c:pt>
                <c:pt idx="143">
                  <c:v>399</c:v>
                </c:pt>
                <c:pt idx="144">
                  <c:v>446</c:v>
                </c:pt>
                <c:pt idx="145">
                  <c:v>447</c:v>
                </c:pt>
                <c:pt idx="146">
                  <c:v>444</c:v>
                </c:pt>
                <c:pt idx="147">
                  <c:v>441</c:v>
                </c:pt>
                <c:pt idx="148">
                  <c:v>428</c:v>
                </c:pt>
                <c:pt idx="149">
                  <c:v>470</c:v>
                </c:pt>
                <c:pt idx="150">
                  <c:v>375</c:v>
                </c:pt>
                <c:pt idx="151">
                  <c:v>381</c:v>
                </c:pt>
                <c:pt idx="152">
                  <c:v>403</c:v>
                </c:pt>
                <c:pt idx="153">
                  <c:v>444</c:v>
                </c:pt>
                <c:pt idx="154">
                  <c:v>446</c:v>
                </c:pt>
                <c:pt idx="155">
                  <c:v>433</c:v>
                </c:pt>
                <c:pt idx="156">
                  <c:v>443</c:v>
                </c:pt>
                <c:pt idx="157">
                  <c:v>420</c:v>
                </c:pt>
                <c:pt idx="158">
                  <c:v>405</c:v>
                </c:pt>
                <c:pt idx="159">
                  <c:v>403</c:v>
                </c:pt>
                <c:pt idx="160">
                  <c:v>451</c:v>
                </c:pt>
                <c:pt idx="161">
                  <c:v>418</c:v>
                </c:pt>
                <c:pt idx="162">
                  <c:v>402</c:v>
                </c:pt>
                <c:pt idx="163">
                  <c:v>456</c:v>
                </c:pt>
                <c:pt idx="164">
                  <c:v>470</c:v>
                </c:pt>
                <c:pt idx="165">
                  <c:v>476</c:v>
                </c:pt>
                <c:pt idx="166">
                  <c:v>442</c:v>
                </c:pt>
                <c:pt idx="167">
                  <c:v>497</c:v>
                </c:pt>
                <c:pt idx="168">
                  <c:v>515</c:v>
                </c:pt>
                <c:pt idx="169">
                  <c:v>540</c:v>
                </c:pt>
                <c:pt idx="170">
                  <c:v>480</c:v>
                </c:pt>
                <c:pt idx="171">
                  <c:v>502</c:v>
                </c:pt>
                <c:pt idx="172">
                  <c:v>502</c:v>
                </c:pt>
                <c:pt idx="173">
                  <c:v>480</c:v>
                </c:pt>
                <c:pt idx="174">
                  <c:v>506</c:v>
                </c:pt>
                <c:pt idx="175">
                  <c:v>518</c:v>
                </c:pt>
                <c:pt idx="176">
                  <c:v>456</c:v>
                </c:pt>
                <c:pt idx="177">
                  <c:v>482</c:v>
                </c:pt>
                <c:pt idx="178">
                  <c:v>504</c:v>
                </c:pt>
                <c:pt idx="179">
                  <c:v>546</c:v>
                </c:pt>
                <c:pt idx="180">
                  <c:v>505</c:v>
                </c:pt>
                <c:pt idx="181">
                  <c:v>517</c:v>
                </c:pt>
                <c:pt idx="182">
                  <c:v>532</c:v>
                </c:pt>
                <c:pt idx="183">
                  <c:v>576</c:v>
                </c:pt>
                <c:pt idx="184">
                  <c:v>571</c:v>
                </c:pt>
                <c:pt idx="185">
                  <c:v>557</c:v>
                </c:pt>
                <c:pt idx="186">
                  <c:v>628</c:v>
                </c:pt>
                <c:pt idx="187">
                  <c:v>575</c:v>
                </c:pt>
                <c:pt idx="188">
                  <c:v>558</c:v>
                </c:pt>
                <c:pt idx="189">
                  <c:v>575</c:v>
                </c:pt>
                <c:pt idx="190">
                  <c:v>571</c:v>
                </c:pt>
                <c:pt idx="191">
                  <c:v>561</c:v>
                </c:pt>
                <c:pt idx="192">
                  <c:v>573</c:v>
                </c:pt>
                <c:pt idx="193">
                  <c:v>587</c:v>
                </c:pt>
                <c:pt idx="194">
                  <c:v>632</c:v>
                </c:pt>
                <c:pt idx="195">
                  <c:v>598</c:v>
                </c:pt>
                <c:pt idx="196">
                  <c:v>635</c:v>
                </c:pt>
                <c:pt idx="197">
                  <c:v>619</c:v>
                </c:pt>
                <c:pt idx="198">
                  <c:v>572</c:v>
                </c:pt>
                <c:pt idx="199">
                  <c:v>556</c:v>
                </c:pt>
                <c:pt idx="200">
                  <c:v>637</c:v>
                </c:pt>
                <c:pt idx="201">
                  <c:v>626</c:v>
                </c:pt>
                <c:pt idx="202">
                  <c:v>711</c:v>
                </c:pt>
                <c:pt idx="203">
                  <c:v>630</c:v>
                </c:pt>
                <c:pt idx="204">
                  <c:v>590</c:v>
                </c:pt>
                <c:pt idx="205">
                  <c:v>618</c:v>
                </c:pt>
                <c:pt idx="206">
                  <c:v>679</c:v>
                </c:pt>
                <c:pt idx="207">
                  <c:v>642</c:v>
                </c:pt>
                <c:pt idx="208">
                  <c:v>662</c:v>
                </c:pt>
                <c:pt idx="209">
                  <c:v>636</c:v>
                </c:pt>
                <c:pt idx="210">
                  <c:v>628</c:v>
                </c:pt>
                <c:pt idx="211">
                  <c:v>593</c:v>
                </c:pt>
                <c:pt idx="212">
                  <c:v>595</c:v>
                </c:pt>
                <c:pt idx="213">
                  <c:v>554</c:v>
                </c:pt>
                <c:pt idx="214">
                  <c:v>625</c:v>
                </c:pt>
                <c:pt idx="215">
                  <c:v>546</c:v>
                </c:pt>
                <c:pt idx="216">
                  <c:v>591</c:v>
                </c:pt>
                <c:pt idx="217">
                  <c:v>638</c:v>
                </c:pt>
                <c:pt idx="218">
                  <c:v>705</c:v>
                </c:pt>
                <c:pt idx="219">
                  <c:v>695</c:v>
                </c:pt>
                <c:pt idx="220">
                  <c:v>602</c:v>
                </c:pt>
                <c:pt idx="221">
                  <c:v>763</c:v>
                </c:pt>
                <c:pt idx="222">
                  <c:v>669</c:v>
                </c:pt>
                <c:pt idx="223">
                  <c:v>720</c:v>
                </c:pt>
                <c:pt idx="224">
                  <c:v>715</c:v>
                </c:pt>
                <c:pt idx="225">
                  <c:v>721</c:v>
                </c:pt>
                <c:pt idx="226">
                  <c:v>710</c:v>
                </c:pt>
                <c:pt idx="227">
                  <c:v>693</c:v>
                </c:pt>
                <c:pt idx="228">
                  <c:v>685</c:v>
                </c:pt>
                <c:pt idx="229">
                  <c:v>699</c:v>
                </c:pt>
                <c:pt idx="230">
                  <c:v>609</c:v>
                </c:pt>
                <c:pt idx="231">
                  <c:v>569</c:v>
                </c:pt>
                <c:pt idx="232">
                  <c:v>696</c:v>
                </c:pt>
                <c:pt idx="233">
                  <c:v>936</c:v>
                </c:pt>
                <c:pt idx="234">
                  <c:v>1019</c:v>
                </c:pt>
                <c:pt idx="235">
                  <c:v>1029</c:v>
                </c:pt>
                <c:pt idx="236">
                  <c:v>988</c:v>
                </c:pt>
                <c:pt idx="237">
                  <c:v>1027</c:v>
                </c:pt>
                <c:pt idx="238">
                  <c:v>863</c:v>
                </c:pt>
                <c:pt idx="239">
                  <c:v>873</c:v>
                </c:pt>
                <c:pt idx="240">
                  <c:v>901</c:v>
                </c:pt>
                <c:pt idx="241">
                  <c:v>765</c:v>
                </c:pt>
                <c:pt idx="242">
                  <c:v>850</c:v>
                </c:pt>
                <c:pt idx="243">
                  <c:v>810</c:v>
                </c:pt>
                <c:pt idx="244">
                  <c:v>715</c:v>
                </c:pt>
                <c:pt idx="245">
                  <c:v>716</c:v>
                </c:pt>
                <c:pt idx="246">
                  <c:v>760</c:v>
                </c:pt>
                <c:pt idx="247">
                  <c:v>690</c:v>
                </c:pt>
                <c:pt idx="248">
                  <c:v>742</c:v>
                </c:pt>
                <c:pt idx="249">
                  <c:v>680</c:v>
                </c:pt>
                <c:pt idx="250">
                  <c:v>772</c:v>
                </c:pt>
                <c:pt idx="251">
                  <c:v>830</c:v>
                </c:pt>
                <c:pt idx="252">
                  <c:v>810</c:v>
                </c:pt>
                <c:pt idx="253">
                  <c:v>773</c:v>
                </c:pt>
                <c:pt idx="254">
                  <c:v>707</c:v>
                </c:pt>
                <c:pt idx="255">
                  <c:v>611</c:v>
                </c:pt>
                <c:pt idx="256">
                  <c:v>636</c:v>
                </c:pt>
                <c:pt idx="257">
                  <c:v>563</c:v>
                </c:pt>
                <c:pt idx="258">
                  <c:v>543</c:v>
                </c:pt>
                <c:pt idx="259">
                  <c:v>638</c:v>
                </c:pt>
                <c:pt idx="260">
                  <c:v>567</c:v>
                </c:pt>
                <c:pt idx="261">
                  <c:v>577</c:v>
                </c:pt>
                <c:pt idx="262">
                  <c:v>582</c:v>
                </c:pt>
                <c:pt idx="263">
                  <c:v>636</c:v>
                </c:pt>
                <c:pt idx="264">
                  <c:v>649</c:v>
                </c:pt>
                <c:pt idx="265">
                  <c:v>625</c:v>
                </c:pt>
                <c:pt idx="266">
                  <c:v>640</c:v>
                </c:pt>
                <c:pt idx="267">
                  <c:v>679</c:v>
                </c:pt>
                <c:pt idx="268">
                  <c:v>710</c:v>
                </c:pt>
                <c:pt idx="269">
                  <c:v>683</c:v>
                </c:pt>
                <c:pt idx="270">
                  <c:v>728</c:v>
                </c:pt>
                <c:pt idx="271">
                  <c:v>662</c:v>
                </c:pt>
                <c:pt idx="272">
                  <c:v>719</c:v>
                </c:pt>
                <c:pt idx="273">
                  <c:v>679</c:v>
                </c:pt>
                <c:pt idx="274">
                  <c:v>590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02-4FBD-A053-48C0509DA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1"/>
          <c:order val="1"/>
          <c:tx>
            <c:strRef>
              <c:f>'Housing Market'!$Q$2</c:f>
              <c:strCache>
                <c:ptCount val="1"/>
                <c:pt idx="0">
                  <c:v>New House Sales a/a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'Housing Market'!$Q$483:$Q$758</c:f>
              <c:numCache>
                <c:formatCode>0.0%</c:formatCode>
                <c:ptCount val="276"/>
                <c:pt idx="0">
                  <c:v>7.2164948453608213E-2</c:v>
                </c:pt>
                <c:pt idx="1">
                  <c:v>0.125</c:v>
                </c:pt>
                <c:pt idx="2">
                  <c:v>4.3333333333333224E-2</c:v>
                </c:pt>
                <c:pt idx="3">
                  <c:v>8.0856123662306878E-2</c:v>
                </c:pt>
                <c:pt idx="4">
                  <c:v>3.2672112018669708E-2</c:v>
                </c:pt>
                <c:pt idx="5">
                  <c:v>0.11223203026481721</c:v>
                </c:pt>
                <c:pt idx="6">
                  <c:v>-7.8917700112739464E-3</c:v>
                </c:pt>
                <c:pt idx="7">
                  <c:v>2.1226415094339535E-2</c:v>
                </c:pt>
                <c:pt idx="8">
                  <c:v>-6.4692982456140302E-2</c:v>
                </c:pt>
                <c:pt idx="9">
                  <c:v>-6.645230439442662E-2</c:v>
                </c:pt>
                <c:pt idx="10">
                  <c:v>5.0000000000000044E-2</c:v>
                </c:pt>
                <c:pt idx="11">
                  <c:v>-4.0691759918616288E-3</c:v>
                </c:pt>
                <c:pt idx="12">
                  <c:v>-5.9829059829059839E-2</c:v>
                </c:pt>
                <c:pt idx="13">
                  <c:v>-1.5576323987538943E-2</c:v>
                </c:pt>
                <c:pt idx="14">
                  <c:v>-1.7039403620873306E-2</c:v>
                </c:pt>
                <c:pt idx="15">
                  <c:v>2.9702970297029729E-2</c:v>
                </c:pt>
                <c:pt idx="16">
                  <c:v>0.10508474576271176</c:v>
                </c:pt>
                <c:pt idx="17">
                  <c:v>8.503401360544216E-2</c:v>
                </c:pt>
                <c:pt idx="18">
                  <c:v>8.636363636363642E-2</c:v>
                </c:pt>
                <c:pt idx="19">
                  <c:v>0.17090069284064668</c:v>
                </c:pt>
                <c:pt idx="20">
                  <c:v>0.22391559202813593</c:v>
                </c:pt>
                <c:pt idx="21">
                  <c:v>0.1549942594718714</c:v>
                </c:pt>
                <c:pt idx="22">
                  <c:v>0.10822510822510822</c:v>
                </c:pt>
                <c:pt idx="23">
                  <c:v>7.0480081716036702E-2</c:v>
                </c:pt>
                <c:pt idx="24">
                  <c:v>0.13522727272727275</c:v>
                </c:pt>
                <c:pt idx="25">
                  <c:v>-1.2658227848101222E-2</c:v>
                </c:pt>
                <c:pt idx="26">
                  <c:v>8.234019501625145E-2</c:v>
                </c:pt>
                <c:pt idx="27">
                  <c:v>8.119658119658113E-2</c:v>
                </c:pt>
                <c:pt idx="28">
                  <c:v>0.10224948875255624</c:v>
                </c:pt>
                <c:pt idx="29">
                  <c:v>0.24660397074190188</c:v>
                </c:pt>
                <c:pt idx="30">
                  <c:v>0.2217573221757323</c:v>
                </c:pt>
                <c:pt idx="31">
                  <c:v>0.18934911242603558</c:v>
                </c:pt>
                <c:pt idx="32">
                  <c:v>8.3333333333333259E-2</c:v>
                </c:pt>
                <c:pt idx="33">
                  <c:v>0.1371769383697814</c:v>
                </c:pt>
                <c:pt idx="34">
                  <c:v>6.73828125E-2</c:v>
                </c:pt>
                <c:pt idx="35">
                  <c:v>7.7290076335877922E-2</c:v>
                </c:pt>
                <c:pt idx="36">
                  <c:v>0.1661661661661662</c:v>
                </c:pt>
                <c:pt idx="37">
                  <c:v>0.23824786324786329</c:v>
                </c:pt>
                <c:pt idx="38">
                  <c:v>0.27727727727727736</c:v>
                </c:pt>
                <c:pt idx="39">
                  <c:v>0.17193675889328053</c:v>
                </c:pt>
                <c:pt idx="40">
                  <c:v>0.15120593692022255</c:v>
                </c:pt>
                <c:pt idx="41">
                  <c:v>-1.0896898575020963E-2</c:v>
                </c:pt>
                <c:pt idx="42">
                  <c:v>-6.8493150684931559E-2</c:v>
                </c:pt>
                <c:pt idx="43">
                  <c:v>-2.5704809286898889E-2</c:v>
                </c:pt>
                <c:pt idx="44">
                  <c:v>7.3386383731211424E-2</c:v>
                </c:pt>
                <c:pt idx="45">
                  <c:v>0.14073426573426584</c:v>
                </c:pt>
                <c:pt idx="46">
                  <c:v>7.8682525160109762E-2</c:v>
                </c:pt>
                <c:pt idx="47">
                  <c:v>0.10008857395925608</c:v>
                </c:pt>
                <c:pt idx="48">
                  <c:v>3.2618025751072866E-2</c:v>
                </c:pt>
                <c:pt idx="49">
                  <c:v>0.1380500431406384</c:v>
                </c:pt>
                <c:pt idx="50">
                  <c:v>4.0752351097178785E-2</c:v>
                </c:pt>
                <c:pt idx="51">
                  <c:v>6.2394603709949426E-2</c:v>
                </c:pt>
                <c:pt idx="52">
                  <c:v>3.6261079774375427E-2</c:v>
                </c:pt>
                <c:pt idx="53">
                  <c:v>7.9661016949152508E-2</c:v>
                </c:pt>
                <c:pt idx="54">
                  <c:v>0.27665441176470584</c:v>
                </c:pt>
                <c:pt idx="55">
                  <c:v>6.8085106382978822E-2</c:v>
                </c:pt>
                <c:pt idx="56">
                  <c:v>2.4711696869851751E-2</c:v>
                </c:pt>
                <c:pt idx="57">
                  <c:v>2.3754789272030674E-2</c:v>
                </c:pt>
                <c:pt idx="58">
                  <c:v>2.9686174724342651E-2</c:v>
                </c:pt>
                <c:pt idx="59">
                  <c:v>-2.4154589371980784E-3</c:v>
                </c:pt>
                <c:pt idx="60">
                  <c:v>-2.4106400665004135E-2</c:v>
                </c:pt>
                <c:pt idx="61">
                  <c:v>-0.19560272934040945</c:v>
                </c:pt>
                <c:pt idx="62">
                  <c:v>-0.15963855421686746</c:v>
                </c:pt>
                <c:pt idx="63">
                  <c:v>-0.10873015873015868</c:v>
                </c:pt>
                <c:pt idx="64">
                  <c:v>-0.15552099533437014</c:v>
                </c:pt>
                <c:pt idx="65">
                  <c:v>-0.15698587127158559</c:v>
                </c:pt>
                <c:pt idx="66">
                  <c:v>-0.30525557955363569</c:v>
                </c:pt>
                <c:pt idx="67">
                  <c:v>-0.17529880478087645</c:v>
                </c:pt>
                <c:pt idx="68">
                  <c:v>-0.18327974276527326</c:v>
                </c:pt>
                <c:pt idx="69">
                  <c:v>-0.2956586826347305</c:v>
                </c:pt>
                <c:pt idx="70">
                  <c:v>-0.17380560131795719</c:v>
                </c:pt>
                <c:pt idx="71">
                  <c:v>-0.19451170298627929</c:v>
                </c:pt>
                <c:pt idx="72">
                  <c:v>-0.24105621805792166</c:v>
                </c:pt>
                <c:pt idx="73">
                  <c:v>-0.21960414703110276</c:v>
                </c:pt>
                <c:pt idx="74">
                  <c:v>-0.25358422939068104</c:v>
                </c:pt>
                <c:pt idx="75">
                  <c:v>-0.21015138023152269</c:v>
                </c:pt>
                <c:pt idx="76">
                  <c:v>-0.22467771639042355</c:v>
                </c:pt>
                <c:pt idx="77">
                  <c:v>-0.26163873370577284</c:v>
                </c:pt>
                <c:pt idx="78">
                  <c:v>-0.19378238341968912</c:v>
                </c:pt>
                <c:pt idx="79">
                  <c:v>-0.32463768115942027</c:v>
                </c:pt>
                <c:pt idx="80">
                  <c:v>-0.32480314960629919</c:v>
                </c:pt>
                <c:pt idx="81">
                  <c:v>-0.22741764080765148</c:v>
                </c:pt>
                <c:pt idx="82">
                  <c:v>-0.3609172482552343</c:v>
                </c:pt>
                <c:pt idx="83">
                  <c:v>-0.37975951903807614</c:v>
                </c:pt>
                <c:pt idx="84">
                  <c:v>-0.29629629629629628</c:v>
                </c:pt>
                <c:pt idx="85">
                  <c:v>-0.28381642512077299</c:v>
                </c:pt>
                <c:pt idx="86">
                  <c:v>-0.35774309723889552</c:v>
                </c:pt>
                <c:pt idx="87">
                  <c:v>-0.39571589627959414</c:v>
                </c:pt>
                <c:pt idx="88">
                  <c:v>-0.40142517814726841</c:v>
                </c:pt>
                <c:pt idx="89">
                  <c:v>-0.38587641866330391</c:v>
                </c:pt>
                <c:pt idx="90">
                  <c:v>-0.38688946015424164</c:v>
                </c:pt>
                <c:pt idx="91">
                  <c:v>-0.37768240343347637</c:v>
                </c:pt>
                <c:pt idx="92">
                  <c:v>-0.36880466472303208</c:v>
                </c:pt>
                <c:pt idx="93">
                  <c:v>-0.45942228335625857</c:v>
                </c:pt>
                <c:pt idx="94">
                  <c:v>-0.3931357254290172</c:v>
                </c:pt>
                <c:pt idx="95">
                  <c:v>-0.39095315024232635</c:v>
                </c:pt>
                <c:pt idx="96">
                  <c:v>-0.46411483253588515</c:v>
                </c:pt>
                <c:pt idx="97">
                  <c:v>-0.37268128161888703</c:v>
                </c:pt>
                <c:pt idx="98">
                  <c:v>-0.36635514018691584</c:v>
                </c:pt>
                <c:pt idx="99">
                  <c:v>-0.37126865671641796</c:v>
                </c:pt>
                <c:pt idx="100">
                  <c:v>-0.25396825396825395</c:v>
                </c:pt>
                <c:pt idx="101">
                  <c:v>-0.19301848049281312</c:v>
                </c:pt>
                <c:pt idx="102">
                  <c:v>-0.13836477987421381</c:v>
                </c:pt>
                <c:pt idx="103">
                  <c:v>-3.9080459770114984E-2</c:v>
                </c:pt>
                <c:pt idx="104">
                  <c:v>-0.10854503464203236</c:v>
                </c:pt>
                <c:pt idx="105">
                  <c:v>7.6335877862594437E-3</c:v>
                </c:pt>
                <c:pt idx="106">
                  <c:v>-3.5989717223650408E-2</c:v>
                </c:pt>
                <c:pt idx="107">
                  <c:v>-6.6312997347480085E-2</c:v>
                </c:pt>
                <c:pt idx="108">
                  <c:v>2.6785714285714191E-2</c:v>
                </c:pt>
                <c:pt idx="109">
                  <c:v>-9.6774193548387122E-2</c:v>
                </c:pt>
                <c:pt idx="110">
                  <c:v>0.12389380530973448</c:v>
                </c:pt>
                <c:pt idx="111">
                  <c:v>0.25222551928783377</c:v>
                </c:pt>
                <c:pt idx="112">
                  <c:v>-0.25531914893617025</c:v>
                </c:pt>
                <c:pt idx="113">
                  <c:v>-0.22391857506361323</c:v>
                </c:pt>
                <c:pt idx="114">
                  <c:v>-0.31143552311435518</c:v>
                </c:pt>
                <c:pt idx="115">
                  <c:v>-0.32535885167464118</c:v>
                </c:pt>
                <c:pt idx="116">
                  <c:v>-0.17875647668393779</c:v>
                </c:pt>
                <c:pt idx="117">
                  <c:v>-0.26515151515151514</c:v>
                </c:pt>
                <c:pt idx="118">
                  <c:v>-0.23466666666666669</c:v>
                </c:pt>
                <c:pt idx="119">
                  <c:v>-7.3863636363636354E-2</c:v>
                </c:pt>
                <c:pt idx="120">
                  <c:v>-0.11014492753623184</c:v>
                </c:pt>
                <c:pt idx="121">
                  <c:v>-0.1964285714285714</c:v>
                </c:pt>
                <c:pt idx="122">
                  <c:v>-0.21259842519685035</c:v>
                </c:pt>
                <c:pt idx="123">
                  <c:v>-0.2654028436018957</c:v>
                </c:pt>
                <c:pt idx="124">
                  <c:v>8.9285714285714191E-2</c:v>
                </c:pt>
                <c:pt idx="125">
                  <c:v>-1.3114754098360604E-2</c:v>
                </c:pt>
                <c:pt idx="126">
                  <c:v>4.5936395759717419E-2</c:v>
                </c:pt>
                <c:pt idx="127">
                  <c:v>6.0283687943262443E-2</c:v>
                </c:pt>
                <c:pt idx="128">
                  <c:v>-4.1009463722397443E-2</c:v>
                </c:pt>
                <c:pt idx="129">
                  <c:v>8.5910652920962116E-2</c:v>
                </c:pt>
                <c:pt idx="130">
                  <c:v>0.14285714285714279</c:v>
                </c:pt>
                <c:pt idx="131">
                  <c:v>4.6012269938650263E-2</c:v>
                </c:pt>
                <c:pt idx="132">
                  <c:v>9.1205211726384405E-2</c:v>
                </c:pt>
                <c:pt idx="133">
                  <c:v>0.35555555555555562</c:v>
                </c:pt>
                <c:pt idx="134">
                  <c:v>0.17999999999999994</c:v>
                </c:pt>
                <c:pt idx="135">
                  <c:v>0.14193548387096766</c:v>
                </c:pt>
                <c:pt idx="136">
                  <c:v>0.21311475409836067</c:v>
                </c:pt>
                <c:pt idx="137">
                  <c:v>0.19601328903654491</c:v>
                </c:pt>
                <c:pt idx="138">
                  <c:v>0.24662162162162171</c:v>
                </c:pt>
                <c:pt idx="139">
                  <c:v>0.25418060200668902</c:v>
                </c:pt>
                <c:pt idx="140">
                  <c:v>0.26644736842105265</c:v>
                </c:pt>
                <c:pt idx="141">
                  <c:v>0.13291139240506333</c:v>
                </c:pt>
                <c:pt idx="142">
                  <c:v>0.19512195121951215</c:v>
                </c:pt>
                <c:pt idx="143">
                  <c:v>0.17008797653958951</c:v>
                </c:pt>
                <c:pt idx="144">
                  <c:v>0.33134328358208953</c:v>
                </c:pt>
                <c:pt idx="145">
                  <c:v>0.22131147540983598</c:v>
                </c:pt>
                <c:pt idx="146">
                  <c:v>0.25423728813559321</c:v>
                </c:pt>
                <c:pt idx="147">
                  <c:v>0.24576271186440679</c:v>
                </c:pt>
                <c:pt idx="148">
                  <c:v>0.15675675675675671</c:v>
                </c:pt>
                <c:pt idx="149">
                  <c:v>0.30555555555555558</c:v>
                </c:pt>
                <c:pt idx="150">
                  <c:v>1.6260162601626105E-2</c:v>
                </c:pt>
                <c:pt idx="151">
                  <c:v>1.6000000000000014E-2</c:v>
                </c:pt>
                <c:pt idx="152">
                  <c:v>4.6753246753246769E-2</c:v>
                </c:pt>
                <c:pt idx="153">
                  <c:v>0.24022346368715075</c:v>
                </c:pt>
                <c:pt idx="154">
                  <c:v>0.13775510204081631</c:v>
                </c:pt>
                <c:pt idx="155">
                  <c:v>8.521303258145374E-2</c:v>
                </c:pt>
                <c:pt idx="156">
                  <c:v>-6.7264573991031584E-3</c:v>
                </c:pt>
                <c:pt idx="157">
                  <c:v>-6.0402684563758413E-2</c:v>
                </c:pt>
                <c:pt idx="158">
                  <c:v>-8.7837837837837829E-2</c:v>
                </c:pt>
                <c:pt idx="159">
                  <c:v>-8.6167800453514687E-2</c:v>
                </c:pt>
                <c:pt idx="160">
                  <c:v>5.3738317757009435E-2</c:v>
                </c:pt>
                <c:pt idx="161">
                  <c:v>-0.11063829787234047</c:v>
                </c:pt>
                <c:pt idx="162">
                  <c:v>7.2000000000000064E-2</c:v>
                </c:pt>
                <c:pt idx="163">
                  <c:v>0.1968503937007875</c:v>
                </c:pt>
                <c:pt idx="164">
                  <c:v>0.16625310173697261</c:v>
                </c:pt>
                <c:pt idx="165">
                  <c:v>7.2072072072072002E-2</c:v>
                </c:pt>
                <c:pt idx="166">
                  <c:v>-8.9686098654708779E-3</c:v>
                </c:pt>
                <c:pt idx="167">
                  <c:v>0.14780600461893756</c:v>
                </c:pt>
                <c:pt idx="168">
                  <c:v>0.16252821670428896</c:v>
                </c:pt>
                <c:pt idx="169">
                  <c:v>0.28571428571428581</c:v>
                </c:pt>
                <c:pt idx="170">
                  <c:v>0.18518518518518512</c:v>
                </c:pt>
                <c:pt idx="171">
                  <c:v>0.24565756823821339</c:v>
                </c:pt>
                <c:pt idx="172">
                  <c:v>0.11308203991130816</c:v>
                </c:pt>
                <c:pt idx="173">
                  <c:v>0.14832535885167464</c:v>
                </c:pt>
                <c:pt idx="174">
                  <c:v>0.25870646766169147</c:v>
                </c:pt>
                <c:pt idx="175">
                  <c:v>0.13596491228070184</c:v>
                </c:pt>
                <c:pt idx="176">
                  <c:v>-2.9787234042553234E-2</c:v>
                </c:pt>
                <c:pt idx="177">
                  <c:v>1.2605042016806678E-2</c:v>
                </c:pt>
                <c:pt idx="178">
                  <c:v>0.14027149321266963</c:v>
                </c:pt>
                <c:pt idx="179">
                  <c:v>9.8591549295774739E-2</c:v>
                </c:pt>
                <c:pt idx="180">
                  <c:v>-1.9417475728155331E-2</c:v>
                </c:pt>
                <c:pt idx="181">
                  <c:v>-4.2592592592592626E-2</c:v>
                </c:pt>
                <c:pt idx="182">
                  <c:v>0.10833333333333339</c:v>
                </c:pt>
                <c:pt idx="183">
                  <c:v>0.14741035856573714</c:v>
                </c:pt>
                <c:pt idx="184">
                  <c:v>0.13745019920318735</c:v>
                </c:pt>
                <c:pt idx="185">
                  <c:v>0.16041666666666665</c:v>
                </c:pt>
                <c:pt idx="186">
                  <c:v>0.24110671936758887</c:v>
                </c:pt>
                <c:pt idx="187">
                  <c:v>0.11003861003860993</c:v>
                </c:pt>
                <c:pt idx="188">
                  <c:v>0.22368421052631571</c:v>
                </c:pt>
                <c:pt idx="189">
                  <c:v>0.19294605809128629</c:v>
                </c:pt>
                <c:pt idx="190">
                  <c:v>0.13293650793650791</c:v>
                </c:pt>
                <c:pt idx="191">
                  <c:v>2.7472527472527375E-2</c:v>
                </c:pt>
                <c:pt idx="192">
                  <c:v>0.13465346534653455</c:v>
                </c:pt>
                <c:pt idx="193">
                  <c:v>0.13539651837524169</c:v>
                </c:pt>
                <c:pt idx="194">
                  <c:v>0.18796992481203012</c:v>
                </c:pt>
                <c:pt idx="195">
                  <c:v>3.819444444444442E-2</c:v>
                </c:pt>
                <c:pt idx="196">
                  <c:v>0.11208406304728546</c:v>
                </c:pt>
                <c:pt idx="197">
                  <c:v>0.11131059245960495</c:v>
                </c:pt>
                <c:pt idx="198">
                  <c:v>-8.9171974522292974E-2</c:v>
                </c:pt>
                <c:pt idx="199">
                  <c:v>-3.3043478260869619E-2</c:v>
                </c:pt>
                <c:pt idx="200">
                  <c:v>0.14157706093189959</c:v>
                </c:pt>
                <c:pt idx="201">
                  <c:v>8.8695652173913064E-2</c:v>
                </c:pt>
                <c:pt idx="202">
                  <c:v>0.24518388791593693</c:v>
                </c:pt>
                <c:pt idx="203">
                  <c:v>0.12299465240641716</c:v>
                </c:pt>
                <c:pt idx="204">
                  <c:v>2.9668411867364686E-2</c:v>
                </c:pt>
                <c:pt idx="205">
                  <c:v>5.2810902896081702E-2</c:v>
                </c:pt>
                <c:pt idx="206">
                  <c:v>7.4367088607594889E-2</c:v>
                </c:pt>
                <c:pt idx="207">
                  <c:v>7.3578595317725703E-2</c:v>
                </c:pt>
                <c:pt idx="208">
                  <c:v>4.2519685039370092E-2</c:v>
                </c:pt>
                <c:pt idx="209">
                  <c:v>2.7463651050080751E-2</c:v>
                </c:pt>
                <c:pt idx="210">
                  <c:v>9.7902097902097918E-2</c:v>
                </c:pt>
                <c:pt idx="211">
                  <c:v>6.6546762589928088E-2</c:v>
                </c:pt>
                <c:pt idx="212">
                  <c:v>-6.5934065934065922E-2</c:v>
                </c:pt>
                <c:pt idx="213">
                  <c:v>-0.11501597444089462</c:v>
                </c:pt>
                <c:pt idx="214">
                  <c:v>-0.1209563994374121</c:v>
                </c:pt>
                <c:pt idx="215">
                  <c:v>-0.1333333333333333</c:v>
                </c:pt>
                <c:pt idx="216">
                  <c:v>1.6949152542373724E-3</c:v>
                </c:pt>
                <c:pt idx="217">
                  <c:v>3.2362459546925626E-2</c:v>
                </c:pt>
                <c:pt idx="218">
                  <c:v>3.8291605301914666E-2</c:v>
                </c:pt>
                <c:pt idx="219">
                  <c:v>8.255451713395634E-2</c:v>
                </c:pt>
                <c:pt idx="220">
                  <c:v>-9.0634441087613316E-2</c:v>
                </c:pt>
                <c:pt idx="221">
                  <c:v>0.19968553459119498</c:v>
                </c:pt>
                <c:pt idx="222">
                  <c:v>6.5286624203821697E-2</c:v>
                </c:pt>
                <c:pt idx="223">
                  <c:v>0.21416526138279934</c:v>
                </c:pt>
                <c:pt idx="224">
                  <c:v>0.20168067226890751</c:v>
                </c:pt>
                <c:pt idx="225">
                  <c:v>0.3014440433212997</c:v>
                </c:pt>
                <c:pt idx="226">
                  <c:v>0.1359999999999999</c:v>
                </c:pt>
                <c:pt idx="227">
                  <c:v>0.26923076923076916</c:v>
                </c:pt>
                <c:pt idx="228">
                  <c:v>0.15905245346869723</c:v>
                </c:pt>
                <c:pt idx="229">
                  <c:v>9.561128526645768E-2</c:v>
                </c:pt>
                <c:pt idx="230">
                  <c:v>-0.13617021276595742</c:v>
                </c:pt>
                <c:pt idx="231">
                  <c:v>-0.18129496402877698</c:v>
                </c:pt>
                <c:pt idx="232">
                  <c:v>0.15614617940199338</c:v>
                </c:pt>
                <c:pt idx="233">
                  <c:v>0.22673656618610738</c:v>
                </c:pt>
                <c:pt idx="234">
                  <c:v>0.52316890881913314</c:v>
                </c:pt>
                <c:pt idx="235">
                  <c:v>0.4291666666666667</c:v>
                </c:pt>
                <c:pt idx="236">
                  <c:v>0.38181818181818183</c:v>
                </c:pt>
                <c:pt idx="237">
                  <c:v>0.42441054091539532</c:v>
                </c:pt>
                <c:pt idx="238">
                  <c:v>0.21549295774647881</c:v>
                </c:pt>
                <c:pt idx="239">
                  <c:v>0.25974025974025983</c:v>
                </c:pt>
                <c:pt idx="240">
                  <c:v>0.31532846715328477</c:v>
                </c:pt>
                <c:pt idx="241">
                  <c:v>9.4420600858369008E-2</c:v>
                </c:pt>
                <c:pt idx="242">
                  <c:v>0.39573070607553373</c:v>
                </c:pt>
                <c:pt idx="243">
                  <c:v>0.42355008787346216</c:v>
                </c:pt>
                <c:pt idx="244">
                  <c:v>2.7298850574712707E-2</c:v>
                </c:pt>
                <c:pt idx="245">
                  <c:v>-0.2350427350427351</c:v>
                </c:pt>
                <c:pt idx="246">
                  <c:v>-0.25417075564278702</c:v>
                </c:pt>
                <c:pt idx="247">
                  <c:v>-0.32944606413994171</c:v>
                </c:pt>
                <c:pt idx="248">
                  <c:v>-0.24898785425101211</c:v>
                </c:pt>
                <c:pt idx="249">
                  <c:v>-0.33787731256085685</c:v>
                </c:pt>
                <c:pt idx="250">
                  <c:v>-0.10544611819235228</c:v>
                </c:pt>
                <c:pt idx="251">
                  <c:v>-4.9255441008018375E-2</c:v>
                </c:pt>
                <c:pt idx="252">
                  <c:v>-0.10099889012208652</c:v>
                </c:pt>
                <c:pt idx="253">
                  <c:v>1.0457516339869244E-2</c:v>
                </c:pt>
                <c:pt idx="254">
                  <c:v>-0.16823529411764704</c:v>
                </c:pt>
                <c:pt idx="255">
                  <c:v>-0.24567901234567902</c:v>
                </c:pt>
                <c:pt idx="256">
                  <c:v>-0.1104895104895105</c:v>
                </c:pt>
                <c:pt idx="257">
                  <c:v>-0.21368715083798884</c:v>
                </c:pt>
                <c:pt idx="258">
                  <c:v>-0.28552631578947374</c:v>
                </c:pt>
                <c:pt idx="259">
                  <c:v>-7.5362318840579756E-2</c:v>
                </c:pt>
                <c:pt idx="260">
                  <c:v>-0.23584905660377353</c:v>
                </c:pt>
                <c:pt idx="261">
                  <c:v>-0.15147058823529413</c:v>
                </c:pt>
                <c:pt idx="262">
                  <c:v>-0.24611398963730569</c:v>
                </c:pt>
                <c:pt idx="263">
                  <c:v>-0.23373493975903614</c:v>
                </c:pt>
                <c:pt idx="264">
                  <c:v>-0.1987654320987654</c:v>
                </c:pt>
                <c:pt idx="265">
                  <c:v>-0.19146183699870634</c:v>
                </c:pt>
                <c:pt idx="266">
                  <c:v>-9.4766619519094819E-2</c:v>
                </c:pt>
                <c:pt idx="267">
                  <c:v>0.1112929623567922</c:v>
                </c:pt>
                <c:pt idx="268">
                  <c:v>0.11635220125786172</c:v>
                </c:pt>
                <c:pt idx="269">
                  <c:v>0.21314387211367669</c:v>
                </c:pt>
                <c:pt idx="270">
                  <c:v>0.34069981583793729</c:v>
                </c:pt>
                <c:pt idx="271">
                  <c:v>3.7617554858934144E-2</c:v>
                </c:pt>
                <c:pt idx="272">
                  <c:v>0.26807760141093473</c:v>
                </c:pt>
                <c:pt idx="273">
                  <c:v>0.17677642980935881</c:v>
                </c:pt>
                <c:pt idx="274">
                  <c:v>1.3745704467353903E-2</c:v>
                </c:pt>
                <c:pt idx="275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02-4FBD-A053-48C0509DAB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25270336"/>
        <c:axId val="1542398112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ax val="1500"/>
          <c:min val="2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1542398112"/>
        <c:scaling>
          <c:orientation val="minMax"/>
        </c:scaling>
        <c:delete val="0"/>
        <c:axPos val="r"/>
        <c:numFmt formatCode="0%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225270336"/>
        <c:crosses val="max"/>
        <c:crossBetween val="between"/>
      </c:valAx>
      <c:catAx>
        <c:axId val="225270336"/>
        <c:scaling>
          <c:orientation val="minMax"/>
        </c:scaling>
        <c:delete val="1"/>
        <c:axPos val="b"/>
        <c:majorTickMark val="out"/>
        <c:minorTickMark val="none"/>
        <c:tickLblPos val="nextTo"/>
        <c:crossAx val="154239811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'Housing Market'!$M$2</c:f>
              <c:strCache>
                <c:ptCount val="1"/>
                <c:pt idx="0">
                  <c:v>Existing Home Sales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numRef>
              <c:f>'Housing Market'!$A$567:$A$758</c:f>
              <c:numCache>
                <c:formatCode>[$-416]mmm\-yy;@</c:formatCode>
                <c:ptCount val="192"/>
                <c:pt idx="0">
                  <c:v>39448</c:v>
                </c:pt>
                <c:pt idx="1">
                  <c:v>39479</c:v>
                </c:pt>
                <c:pt idx="2">
                  <c:v>39508</c:v>
                </c:pt>
                <c:pt idx="3">
                  <c:v>39539</c:v>
                </c:pt>
                <c:pt idx="4">
                  <c:v>39569</c:v>
                </c:pt>
                <c:pt idx="5">
                  <c:v>39600</c:v>
                </c:pt>
                <c:pt idx="6">
                  <c:v>39630</c:v>
                </c:pt>
                <c:pt idx="7">
                  <c:v>39661</c:v>
                </c:pt>
                <c:pt idx="8">
                  <c:v>39692</c:v>
                </c:pt>
                <c:pt idx="9">
                  <c:v>39722</c:v>
                </c:pt>
                <c:pt idx="10">
                  <c:v>39753</c:v>
                </c:pt>
                <c:pt idx="11">
                  <c:v>39783</c:v>
                </c:pt>
                <c:pt idx="12">
                  <c:v>39814</c:v>
                </c:pt>
                <c:pt idx="13">
                  <c:v>39845</c:v>
                </c:pt>
                <c:pt idx="14">
                  <c:v>39873</c:v>
                </c:pt>
                <c:pt idx="15">
                  <c:v>39904</c:v>
                </c:pt>
                <c:pt idx="16">
                  <c:v>39934</c:v>
                </c:pt>
                <c:pt idx="17">
                  <c:v>39965</c:v>
                </c:pt>
                <c:pt idx="18">
                  <c:v>39995</c:v>
                </c:pt>
                <c:pt idx="19">
                  <c:v>40026</c:v>
                </c:pt>
                <c:pt idx="20">
                  <c:v>40057</c:v>
                </c:pt>
                <c:pt idx="21">
                  <c:v>40087</c:v>
                </c:pt>
                <c:pt idx="22">
                  <c:v>40118</c:v>
                </c:pt>
                <c:pt idx="23">
                  <c:v>40148</c:v>
                </c:pt>
                <c:pt idx="24">
                  <c:v>40179</c:v>
                </c:pt>
                <c:pt idx="25">
                  <c:v>40210</c:v>
                </c:pt>
                <c:pt idx="26">
                  <c:v>40238</c:v>
                </c:pt>
                <c:pt idx="27">
                  <c:v>40269</c:v>
                </c:pt>
                <c:pt idx="28">
                  <c:v>40299</c:v>
                </c:pt>
                <c:pt idx="29">
                  <c:v>40330</c:v>
                </c:pt>
                <c:pt idx="30">
                  <c:v>40360</c:v>
                </c:pt>
                <c:pt idx="31">
                  <c:v>40391</c:v>
                </c:pt>
                <c:pt idx="32">
                  <c:v>40422</c:v>
                </c:pt>
                <c:pt idx="33">
                  <c:v>40452</c:v>
                </c:pt>
                <c:pt idx="34">
                  <c:v>40483</c:v>
                </c:pt>
                <c:pt idx="35">
                  <c:v>40513</c:v>
                </c:pt>
                <c:pt idx="36">
                  <c:v>40544</c:v>
                </c:pt>
                <c:pt idx="37">
                  <c:v>40575</c:v>
                </c:pt>
                <c:pt idx="38">
                  <c:v>40603</c:v>
                </c:pt>
                <c:pt idx="39">
                  <c:v>40634</c:v>
                </c:pt>
                <c:pt idx="40">
                  <c:v>40664</c:v>
                </c:pt>
                <c:pt idx="41">
                  <c:v>40695</c:v>
                </c:pt>
                <c:pt idx="42">
                  <c:v>40725</c:v>
                </c:pt>
                <c:pt idx="43">
                  <c:v>40756</c:v>
                </c:pt>
                <c:pt idx="44">
                  <c:v>40787</c:v>
                </c:pt>
                <c:pt idx="45">
                  <c:v>40817</c:v>
                </c:pt>
                <c:pt idx="46">
                  <c:v>40848</c:v>
                </c:pt>
                <c:pt idx="47">
                  <c:v>40878</c:v>
                </c:pt>
                <c:pt idx="48">
                  <c:v>40909</c:v>
                </c:pt>
                <c:pt idx="49">
                  <c:v>40940</c:v>
                </c:pt>
                <c:pt idx="50">
                  <c:v>40969</c:v>
                </c:pt>
                <c:pt idx="51">
                  <c:v>41000</c:v>
                </c:pt>
                <c:pt idx="52">
                  <c:v>41030</c:v>
                </c:pt>
                <c:pt idx="53">
                  <c:v>41061</c:v>
                </c:pt>
                <c:pt idx="54">
                  <c:v>41091</c:v>
                </c:pt>
                <c:pt idx="55">
                  <c:v>41122</c:v>
                </c:pt>
                <c:pt idx="56">
                  <c:v>41153</c:v>
                </c:pt>
                <c:pt idx="57">
                  <c:v>41183</c:v>
                </c:pt>
                <c:pt idx="58">
                  <c:v>41214</c:v>
                </c:pt>
                <c:pt idx="59">
                  <c:v>41244</c:v>
                </c:pt>
                <c:pt idx="60">
                  <c:v>41275</c:v>
                </c:pt>
                <c:pt idx="61">
                  <c:v>41306</c:v>
                </c:pt>
                <c:pt idx="62">
                  <c:v>41334</c:v>
                </c:pt>
                <c:pt idx="63">
                  <c:v>41365</c:v>
                </c:pt>
                <c:pt idx="64">
                  <c:v>41395</c:v>
                </c:pt>
                <c:pt idx="65">
                  <c:v>41426</c:v>
                </c:pt>
                <c:pt idx="66">
                  <c:v>41456</c:v>
                </c:pt>
                <c:pt idx="67">
                  <c:v>41487</c:v>
                </c:pt>
                <c:pt idx="68">
                  <c:v>41518</c:v>
                </c:pt>
                <c:pt idx="69">
                  <c:v>41548</c:v>
                </c:pt>
                <c:pt idx="70">
                  <c:v>41579</c:v>
                </c:pt>
                <c:pt idx="71">
                  <c:v>41609</c:v>
                </c:pt>
                <c:pt idx="72">
                  <c:v>41640</c:v>
                </c:pt>
                <c:pt idx="73">
                  <c:v>41671</c:v>
                </c:pt>
                <c:pt idx="74">
                  <c:v>41699</c:v>
                </c:pt>
                <c:pt idx="75">
                  <c:v>41730</c:v>
                </c:pt>
                <c:pt idx="76">
                  <c:v>41760</c:v>
                </c:pt>
                <c:pt idx="77">
                  <c:v>41791</c:v>
                </c:pt>
                <c:pt idx="78">
                  <c:v>41821</c:v>
                </c:pt>
                <c:pt idx="79">
                  <c:v>41852</c:v>
                </c:pt>
                <c:pt idx="80">
                  <c:v>41883</c:v>
                </c:pt>
                <c:pt idx="81">
                  <c:v>41913</c:v>
                </c:pt>
                <c:pt idx="82">
                  <c:v>41944</c:v>
                </c:pt>
                <c:pt idx="83">
                  <c:v>41974</c:v>
                </c:pt>
                <c:pt idx="84">
                  <c:v>42005</c:v>
                </c:pt>
                <c:pt idx="85">
                  <c:v>42036</c:v>
                </c:pt>
                <c:pt idx="86">
                  <c:v>42064</c:v>
                </c:pt>
                <c:pt idx="87">
                  <c:v>42095</c:v>
                </c:pt>
                <c:pt idx="88">
                  <c:v>42125</c:v>
                </c:pt>
                <c:pt idx="89">
                  <c:v>42156</c:v>
                </c:pt>
                <c:pt idx="90">
                  <c:v>42186</c:v>
                </c:pt>
                <c:pt idx="91">
                  <c:v>42217</c:v>
                </c:pt>
                <c:pt idx="92">
                  <c:v>42248</c:v>
                </c:pt>
                <c:pt idx="93">
                  <c:v>42278</c:v>
                </c:pt>
                <c:pt idx="94">
                  <c:v>42309</c:v>
                </c:pt>
                <c:pt idx="95">
                  <c:v>42339</c:v>
                </c:pt>
                <c:pt idx="96">
                  <c:v>42370</c:v>
                </c:pt>
                <c:pt idx="97">
                  <c:v>42401</c:v>
                </c:pt>
                <c:pt idx="98">
                  <c:v>42430</c:v>
                </c:pt>
                <c:pt idx="99">
                  <c:v>42461</c:v>
                </c:pt>
                <c:pt idx="100">
                  <c:v>42491</c:v>
                </c:pt>
                <c:pt idx="101">
                  <c:v>42522</c:v>
                </c:pt>
                <c:pt idx="102">
                  <c:v>42552</c:v>
                </c:pt>
                <c:pt idx="103">
                  <c:v>42583</c:v>
                </c:pt>
                <c:pt idx="104">
                  <c:v>42614</c:v>
                </c:pt>
                <c:pt idx="105">
                  <c:v>42644</c:v>
                </c:pt>
                <c:pt idx="106">
                  <c:v>42675</c:v>
                </c:pt>
                <c:pt idx="107">
                  <c:v>42705</c:v>
                </c:pt>
                <c:pt idx="108">
                  <c:v>42736</c:v>
                </c:pt>
                <c:pt idx="109">
                  <c:v>42767</c:v>
                </c:pt>
                <c:pt idx="110">
                  <c:v>42795</c:v>
                </c:pt>
                <c:pt idx="111">
                  <c:v>42826</c:v>
                </c:pt>
                <c:pt idx="112">
                  <c:v>42856</c:v>
                </c:pt>
                <c:pt idx="113">
                  <c:v>42887</c:v>
                </c:pt>
                <c:pt idx="114">
                  <c:v>42917</c:v>
                </c:pt>
                <c:pt idx="115">
                  <c:v>42948</c:v>
                </c:pt>
                <c:pt idx="116">
                  <c:v>42979</c:v>
                </c:pt>
                <c:pt idx="117">
                  <c:v>43009</c:v>
                </c:pt>
                <c:pt idx="118">
                  <c:v>43040</c:v>
                </c:pt>
                <c:pt idx="119">
                  <c:v>43070</c:v>
                </c:pt>
                <c:pt idx="120">
                  <c:v>43101</c:v>
                </c:pt>
                <c:pt idx="121">
                  <c:v>43132</c:v>
                </c:pt>
                <c:pt idx="122">
                  <c:v>43160</c:v>
                </c:pt>
                <c:pt idx="123">
                  <c:v>43191</c:v>
                </c:pt>
                <c:pt idx="124">
                  <c:v>43221</c:v>
                </c:pt>
                <c:pt idx="125">
                  <c:v>43252</c:v>
                </c:pt>
                <c:pt idx="126">
                  <c:v>43282</c:v>
                </c:pt>
                <c:pt idx="127">
                  <c:v>43313</c:v>
                </c:pt>
                <c:pt idx="128">
                  <c:v>43344</c:v>
                </c:pt>
                <c:pt idx="129">
                  <c:v>43374</c:v>
                </c:pt>
                <c:pt idx="130">
                  <c:v>43405</c:v>
                </c:pt>
                <c:pt idx="131">
                  <c:v>43435</c:v>
                </c:pt>
                <c:pt idx="132">
                  <c:v>43466</c:v>
                </c:pt>
                <c:pt idx="133">
                  <c:v>43497</c:v>
                </c:pt>
                <c:pt idx="134">
                  <c:v>43525</c:v>
                </c:pt>
                <c:pt idx="135">
                  <c:v>43556</c:v>
                </c:pt>
                <c:pt idx="136">
                  <c:v>43586</c:v>
                </c:pt>
                <c:pt idx="137">
                  <c:v>43617</c:v>
                </c:pt>
                <c:pt idx="138">
                  <c:v>43647</c:v>
                </c:pt>
                <c:pt idx="139">
                  <c:v>43678</c:v>
                </c:pt>
                <c:pt idx="140">
                  <c:v>43709</c:v>
                </c:pt>
                <c:pt idx="141">
                  <c:v>43739</c:v>
                </c:pt>
                <c:pt idx="142">
                  <c:v>43770</c:v>
                </c:pt>
                <c:pt idx="143">
                  <c:v>43800</c:v>
                </c:pt>
                <c:pt idx="144">
                  <c:v>43831</c:v>
                </c:pt>
                <c:pt idx="145">
                  <c:v>43862</c:v>
                </c:pt>
                <c:pt idx="146">
                  <c:v>43891</c:v>
                </c:pt>
                <c:pt idx="147">
                  <c:v>43922</c:v>
                </c:pt>
                <c:pt idx="148">
                  <c:v>43952</c:v>
                </c:pt>
                <c:pt idx="149">
                  <c:v>43983</c:v>
                </c:pt>
                <c:pt idx="150">
                  <c:v>44013</c:v>
                </c:pt>
                <c:pt idx="151">
                  <c:v>44044</c:v>
                </c:pt>
                <c:pt idx="152">
                  <c:v>44075</c:v>
                </c:pt>
                <c:pt idx="153">
                  <c:v>44105</c:v>
                </c:pt>
                <c:pt idx="154">
                  <c:v>44136</c:v>
                </c:pt>
                <c:pt idx="155">
                  <c:v>44166</c:v>
                </c:pt>
                <c:pt idx="156">
                  <c:v>44197</c:v>
                </c:pt>
                <c:pt idx="157">
                  <c:v>44228</c:v>
                </c:pt>
                <c:pt idx="158">
                  <c:v>44256</c:v>
                </c:pt>
                <c:pt idx="159">
                  <c:v>44287</c:v>
                </c:pt>
                <c:pt idx="160">
                  <c:v>44317</c:v>
                </c:pt>
                <c:pt idx="161">
                  <c:v>44348</c:v>
                </c:pt>
                <c:pt idx="162">
                  <c:v>44378</c:v>
                </c:pt>
                <c:pt idx="163">
                  <c:v>44409</c:v>
                </c:pt>
                <c:pt idx="164">
                  <c:v>44440</c:v>
                </c:pt>
                <c:pt idx="165">
                  <c:v>44470</c:v>
                </c:pt>
                <c:pt idx="166">
                  <c:v>44501</c:v>
                </c:pt>
                <c:pt idx="167">
                  <c:v>44531</c:v>
                </c:pt>
                <c:pt idx="168">
                  <c:v>44562</c:v>
                </c:pt>
                <c:pt idx="169">
                  <c:v>44593</c:v>
                </c:pt>
                <c:pt idx="170">
                  <c:v>44621</c:v>
                </c:pt>
                <c:pt idx="171">
                  <c:v>44652</c:v>
                </c:pt>
                <c:pt idx="172">
                  <c:v>44682</c:v>
                </c:pt>
                <c:pt idx="173">
                  <c:v>44713</c:v>
                </c:pt>
                <c:pt idx="174">
                  <c:v>44743</c:v>
                </c:pt>
                <c:pt idx="175">
                  <c:v>44774</c:v>
                </c:pt>
                <c:pt idx="176">
                  <c:v>44805</c:v>
                </c:pt>
                <c:pt idx="177">
                  <c:v>44835</c:v>
                </c:pt>
                <c:pt idx="178">
                  <c:v>44866</c:v>
                </c:pt>
                <c:pt idx="179">
                  <c:v>44896</c:v>
                </c:pt>
                <c:pt idx="180">
                  <c:v>44927</c:v>
                </c:pt>
                <c:pt idx="181">
                  <c:v>44958</c:v>
                </c:pt>
                <c:pt idx="182">
                  <c:v>44986</c:v>
                </c:pt>
                <c:pt idx="183">
                  <c:v>45017</c:v>
                </c:pt>
                <c:pt idx="184">
                  <c:v>45047</c:v>
                </c:pt>
                <c:pt idx="185">
                  <c:v>45078</c:v>
                </c:pt>
                <c:pt idx="186">
                  <c:v>45108</c:v>
                </c:pt>
                <c:pt idx="187">
                  <c:v>45139</c:v>
                </c:pt>
                <c:pt idx="188">
                  <c:v>45170</c:v>
                </c:pt>
                <c:pt idx="189">
                  <c:v>45200</c:v>
                </c:pt>
                <c:pt idx="190">
                  <c:v>45231</c:v>
                </c:pt>
                <c:pt idx="191">
                  <c:v>45261</c:v>
                </c:pt>
              </c:numCache>
            </c:numRef>
          </c:cat>
          <c:val>
            <c:numRef>
              <c:f>'Housing Market'!$M$567:$M$758</c:f>
              <c:numCache>
                <c:formatCode>#,##0</c:formatCode>
                <c:ptCount val="192"/>
                <c:pt idx="0">
                  <c:v>4170</c:v>
                </c:pt>
                <c:pt idx="1">
                  <c:v>4120</c:v>
                </c:pt>
                <c:pt idx="2">
                  <c:v>4160</c:v>
                </c:pt>
                <c:pt idx="3">
                  <c:v>4110</c:v>
                </c:pt>
                <c:pt idx="4">
                  <c:v>4140</c:v>
                </c:pt>
                <c:pt idx="5">
                  <c:v>4090</c:v>
                </c:pt>
                <c:pt idx="6">
                  <c:v>4150</c:v>
                </c:pt>
                <c:pt idx="7">
                  <c:v>4190</c:v>
                </c:pt>
                <c:pt idx="8">
                  <c:v>4270</c:v>
                </c:pt>
                <c:pt idx="9">
                  <c:v>4090</c:v>
                </c:pt>
                <c:pt idx="10">
                  <c:v>3770</c:v>
                </c:pt>
                <c:pt idx="11">
                  <c:v>4010</c:v>
                </c:pt>
                <c:pt idx="12">
                  <c:v>3820</c:v>
                </c:pt>
                <c:pt idx="13">
                  <c:v>3970</c:v>
                </c:pt>
                <c:pt idx="14">
                  <c:v>3860</c:v>
                </c:pt>
                <c:pt idx="15">
                  <c:v>3900</c:v>
                </c:pt>
                <c:pt idx="16">
                  <c:v>4000</c:v>
                </c:pt>
                <c:pt idx="17">
                  <c:v>4100</c:v>
                </c:pt>
                <c:pt idx="18">
                  <c:v>4370</c:v>
                </c:pt>
                <c:pt idx="19">
                  <c:v>4450</c:v>
                </c:pt>
                <c:pt idx="20">
                  <c:v>4620</c:v>
                </c:pt>
                <c:pt idx="21">
                  <c:v>5020</c:v>
                </c:pt>
                <c:pt idx="22">
                  <c:v>5440</c:v>
                </c:pt>
                <c:pt idx="23">
                  <c:v>4400</c:v>
                </c:pt>
                <c:pt idx="24">
                  <c:v>4190</c:v>
                </c:pt>
                <c:pt idx="25">
                  <c:v>4270</c:v>
                </c:pt>
                <c:pt idx="26">
                  <c:v>4490</c:v>
                </c:pt>
                <c:pt idx="27">
                  <c:v>4820</c:v>
                </c:pt>
                <c:pt idx="28">
                  <c:v>4880</c:v>
                </c:pt>
                <c:pt idx="29">
                  <c:v>4450</c:v>
                </c:pt>
                <c:pt idx="30">
                  <c:v>3450</c:v>
                </c:pt>
                <c:pt idx="31">
                  <c:v>3680</c:v>
                </c:pt>
                <c:pt idx="32">
                  <c:v>3840</c:v>
                </c:pt>
                <c:pt idx="33">
                  <c:v>3830</c:v>
                </c:pt>
                <c:pt idx="34">
                  <c:v>4020</c:v>
                </c:pt>
                <c:pt idx="35">
                  <c:v>4270</c:v>
                </c:pt>
                <c:pt idx="36">
                  <c:v>4420</c:v>
                </c:pt>
                <c:pt idx="37">
                  <c:v>4160</c:v>
                </c:pt>
                <c:pt idx="38">
                  <c:v>4260</c:v>
                </c:pt>
                <c:pt idx="39">
                  <c:v>4170</c:v>
                </c:pt>
                <c:pt idx="40">
                  <c:v>4140</c:v>
                </c:pt>
                <c:pt idx="41">
                  <c:v>4230</c:v>
                </c:pt>
                <c:pt idx="42">
                  <c:v>4150</c:v>
                </c:pt>
                <c:pt idx="43">
                  <c:v>4380</c:v>
                </c:pt>
                <c:pt idx="44">
                  <c:v>4330</c:v>
                </c:pt>
                <c:pt idx="45">
                  <c:v>4340</c:v>
                </c:pt>
                <c:pt idx="46">
                  <c:v>4390</c:v>
                </c:pt>
                <c:pt idx="47">
                  <c:v>4350</c:v>
                </c:pt>
                <c:pt idx="48">
                  <c:v>4480</c:v>
                </c:pt>
                <c:pt idx="49">
                  <c:v>4580</c:v>
                </c:pt>
                <c:pt idx="50">
                  <c:v>4520</c:v>
                </c:pt>
                <c:pt idx="51">
                  <c:v>4590</c:v>
                </c:pt>
                <c:pt idx="52">
                  <c:v>4600</c:v>
                </c:pt>
                <c:pt idx="53">
                  <c:v>4470</c:v>
                </c:pt>
                <c:pt idx="54">
                  <c:v>4530</c:v>
                </c:pt>
                <c:pt idx="55">
                  <c:v>4760</c:v>
                </c:pt>
                <c:pt idx="56">
                  <c:v>4710</c:v>
                </c:pt>
                <c:pt idx="57">
                  <c:v>4790</c:v>
                </c:pt>
                <c:pt idx="58">
                  <c:v>4960</c:v>
                </c:pt>
                <c:pt idx="59">
                  <c:v>4890</c:v>
                </c:pt>
                <c:pt idx="60">
                  <c:v>4980</c:v>
                </c:pt>
                <c:pt idx="61">
                  <c:v>5060</c:v>
                </c:pt>
                <c:pt idx="62">
                  <c:v>5070</c:v>
                </c:pt>
                <c:pt idx="63">
                  <c:v>5090</c:v>
                </c:pt>
                <c:pt idx="64">
                  <c:v>5140</c:v>
                </c:pt>
                <c:pt idx="65">
                  <c:v>5110</c:v>
                </c:pt>
                <c:pt idx="66">
                  <c:v>5270</c:v>
                </c:pt>
                <c:pt idx="67">
                  <c:v>5260</c:v>
                </c:pt>
                <c:pt idx="68">
                  <c:v>5140</c:v>
                </c:pt>
                <c:pt idx="69">
                  <c:v>5040</c:v>
                </c:pt>
                <c:pt idx="70">
                  <c:v>4920</c:v>
                </c:pt>
                <c:pt idx="71">
                  <c:v>4860</c:v>
                </c:pt>
                <c:pt idx="72">
                  <c:v>4760</c:v>
                </c:pt>
                <c:pt idx="73">
                  <c:v>4780</c:v>
                </c:pt>
                <c:pt idx="74">
                  <c:v>4750</c:v>
                </c:pt>
                <c:pt idx="75">
                  <c:v>4790</c:v>
                </c:pt>
                <c:pt idx="76">
                  <c:v>4900</c:v>
                </c:pt>
                <c:pt idx="77">
                  <c:v>4940</c:v>
                </c:pt>
                <c:pt idx="78">
                  <c:v>4980</c:v>
                </c:pt>
                <c:pt idx="79">
                  <c:v>4970</c:v>
                </c:pt>
                <c:pt idx="80">
                  <c:v>5000</c:v>
                </c:pt>
                <c:pt idx="81">
                  <c:v>5120</c:v>
                </c:pt>
                <c:pt idx="82">
                  <c:v>4990</c:v>
                </c:pt>
                <c:pt idx="83">
                  <c:v>5090</c:v>
                </c:pt>
                <c:pt idx="84">
                  <c:v>4920</c:v>
                </c:pt>
                <c:pt idx="85">
                  <c:v>5080</c:v>
                </c:pt>
                <c:pt idx="86">
                  <c:v>5250</c:v>
                </c:pt>
                <c:pt idx="87">
                  <c:v>5170</c:v>
                </c:pt>
                <c:pt idx="88">
                  <c:v>5250</c:v>
                </c:pt>
                <c:pt idx="89">
                  <c:v>5360</c:v>
                </c:pt>
                <c:pt idx="90">
                  <c:v>5440</c:v>
                </c:pt>
                <c:pt idx="91">
                  <c:v>5360</c:v>
                </c:pt>
                <c:pt idx="92">
                  <c:v>5410</c:v>
                </c:pt>
                <c:pt idx="93">
                  <c:v>5280</c:v>
                </c:pt>
                <c:pt idx="94">
                  <c:v>4780</c:v>
                </c:pt>
                <c:pt idx="95">
                  <c:v>5440</c:v>
                </c:pt>
                <c:pt idx="96">
                  <c:v>5430</c:v>
                </c:pt>
                <c:pt idx="97">
                  <c:v>5260</c:v>
                </c:pt>
                <c:pt idx="98">
                  <c:v>5340</c:v>
                </c:pt>
                <c:pt idx="99">
                  <c:v>5470</c:v>
                </c:pt>
                <c:pt idx="100">
                  <c:v>5440</c:v>
                </c:pt>
                <c:pt idx="101">
                  <c:v>5470</c:v>
                </c:pt>
                <c:pt idx="102">
                  <c:v>5370</c:v>
                </c:pt>
                <c:pt idx="103">
                  <c:v>5400</c:v>
                </c:pt>
                <c:pt idx="104">
                  <c:v>5470</c:v>
                </c:pt>
                <c:pt idx="105">
                  <c:v>5560</c:v>
                </c:pt>
                <c:pt idx="106">
                  <c:v>5510</c:v>
                </c:pt>
                <c:pt idx="107">
                  <c:v>5520</c:v>
                </c:pt>
                <c:pt idx="108">
                  <c:v>5670</c:v>
                </c:pt>
                <c:pt idx="109">
                  <c:v>5450</c:v>
                </c:pt>
                <c:pt idx="110">
                  <c:v>5610</c:v>
                </c:pt>
                <c:pt idx="111">
                  <c:v>5560</c:v>
                </c:pt>
                <c:pt idx="112">
                  <c:v>5590</c:v>
                </c:pt>
                <c:pt idx="113">
                  <c:v>5490</c:v>
                </c:pt>
                <c:pt idx="114">
                  <c:v>5460</c:v>
                </c:pt>
                <c:pt idx="115">
                  <c:v>5390</c:v>
                </c:pt>
                <c:pt idx="116">
                  <c:v>5450</c:v>
                </c:pt>
                <c:pt idx="117">
                  <c:v>5460</c:v>
                </c:pt>
                <c:pt idx="118">
                  <c:v>5620</c:v>
                </c:pt>
                <c:pt idx="119">
                  <c:v>5570</c:v>
                </c:pt>
                <c:pt idx="120">
                  <c:v>5410</c:v>
                </c:pt>
                <c:pt idx="121">
                  <c:v>5480</c:v>
                </c:pt>
                <c:pt idx="122">
                  <c:v>5530</c:v>
                </c:pt>
                <c:pt idx="123">
                  <c:v>5470</c:v>
                </c:pt>
                <c:pt idx="124">
                  <c:v>5430</c:v>
                </c:pt>
                <c:pt idx="125">
                  <c:v>5450</c:v>
                </c:pt>
                <c:pt idx="126">
                  <c:v>5380</c:v>
                </c:pt>
                <c:pt idx="127">
                  <c:v>5310</c:v>
                </c:pt>
                <c:pt idx="128">
                  <c:v>5200</c:v>
                </c:pt>
                <c:pt idx="129">
                  <c:v>5160</c:v>
                </c:pt>
                <c:pt idx="130">
                  <c:v>5180</c:v>
                </c:pt>
                <c:pt idx="131">
                  <c:v>5010</c:v>
                </c:pt>
                <c:pt idx="132">
                  <c:v>4970</c:v>
                </c:pt>
                <c:pt idx="133">
                  <c:v>5310</c:v>
                </c:pt>
                <c:pt idx="134">
                  <c:v>5250</c:v>
                </c:pt>
                <c:pt idx="135">
                  <c:v>5310</c:v>
                </c:pt>
                <c:pt idx="136">
                  <c:v>5460</c:v>
                </c:pt>
                <c:pt idx="137">
                  <c:v>5390</c:v>
                </c:pt>
                <c:pt idx="138">
                  <c:v>5430</c:v>
                </c:pt>
                <c:pt idx="139">
                  <c:v>5470</c:v>
                </c:pt>
                <c:pt idx="140">
                  <c:v>5310</c:v>
                </c:pt>
                <c:pt idx="141">
                  <c:v>5290</c:v>
                </c:pt>
                <c:pt idx="142">
                  <c:v>5260</c:v>
                </c:pt>
                <c:pt idx="143">
                  <c:v>5450</c:v>
                </c:pt>
                <c:pt idx="144">
                  <c:v>5400</c:v>
                </c:pt>
                <c:pt idx="145">
                  <c:v>5620</c:v>
                </c:pt>
                <c:pt idx="146">
                  <c:v>5380</c:v>
                </c:pt>
                <c:pt idx="147">
                  <c:v>4440</c:v>
                </c:pt>
                <c:pt idx="148">
                  <c:v>4070</c:v>
                </c:pt>
                <c:pt idx="149">
                  <c:v>4840</c:v>
                </c:pt>
                <c:pt idx="150">
                  <c:v>5930</c:v>
                </c:pt>
                <c:pt idx="151">
                  <c:v>6050</c:v>
                </c:pt>
                <c:pt idx="152">
                  <c:v>6360</c:v>
                </c:pt>
                <c:pt idx="153">
                  <c:v>6580</c:v>
                </c:pt>
                <c:pt idx="154">
                  <c:v>6460</c:v>
                </c:pt>
                <c:pt idx="155">
                  <c:v>6530</c:v>
                </c:pt>
                <c:pt idx="156">
                  <c:v>6650</c:v>
                </c:pt>
                <c:pt idx="157">
                  <c:v>6170</c:v>
                </c:pt>
                <c:pt idx="158">
                  <c:v>6040</c:v>
                </c:pt>
                <c:pt idx="159">
                  <c:v>5960</c:v>
                </c:pt>
                <c:pt idx="160">
                  <c:v>5920</c:v>
                </c:pt>
                <c:pt idx="161">
                  <c:v>5970</c:v>
                </c:pt>
                <c:pt idx="162">
                  <c:v>6030</c:v>
                </c:pt>
                <c:pt idx="163">
                  <c:v>5990</c:v>
                </c:pt>
                <c:pt idx="164">
                  <c:v>6180</c:v>
                </c:pt>
                <c:pt idx="165">
                  <c:v>6190</c:v>
                </c:pt>
                <c:pt idx="166">
                  <c:v>6330</c:v>
                </c:pt>
                <c:pt idx="167">
                  <c:v>6090</c:v>
                </c:pt>
                <c:pt idx="168">
                  <c:v>6490</c:v>
                </c:pt>
                <c:pt idx="169">
                  <c:v>5930</c:v>
                </c:pt>
                <c:pt idx="170">
                  <c:v>5750</c:v>
                </c:pt>
                <c:pt idx="171">
                  <c:v>5600</c:v>
                </c:pt>
                <c:pt idx="172">
                  <c:v>5410</c:v>
                </c:pt>
                <c:pt idx="173">
                  <c:v>5110</c:v>
                </c:pt>
                <c:pt idx="174">
                  <c:v>4820</c:v>
                </c:pt>
                <c:pt idx="175">
                  <c:v>4780</c:v>
                </c:pt>
                <c:pt idx="176">
                  <c:v>4710</c:v>
                </c:pt>
                <c:pt idx="177">
                  <c:v>4440</c:v>
                </c:pt>
                <c:pt idx="178">
                  <c:v>4120</c:v>
                </c:pt>
                <c:pt idx="179">
                  <c:v>4030</c:v>
                </c:pt>
                <c:pt idx="180">
                  <c:v>4000</c:v>
                </c:pt>
                <c:pt idx="181">
                  <c:v>4550</c:v>
                </c:pt>
                <c:pt idx="182">
                  <c:v>4430</c:v>
                </c:pt>
                <c:pt idx="183">
                  <c:v>4290</c:v>
                </c:pt>
                <c:pt idx="184">
                  <c:v>4300</c:v>
                </c:pt>
                <c:pt idx="185">
                  <c:v>4160</c:v>
                </c:pt>
                <c:pt idx="186">
                  <c:v>4070</c:v>
                </c:pt>
                <c:pt idx="187">
                  <c:v>4040</c:v>
                </c:pt>
                <c:pt idx="188">
                  <c:v>3950</c:v>
                </c:pt>
                <c:pt idx="189">
                  <c:v>3790</c:v>
                </c:pt>
                <c:pt idx="190">
                  <c:v>3820</c:v>
                </c:pt>
                <c:pt idx="191">
                  <c:v>3780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9E-47DD-B427-356DADA7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28998512"/>
        <c:axId val="1229000176"/>
      </c:lineChart>
      <c:lineChart>
        <c:grouping val="standard"/>
        <c:varyColors val="0"/>
        <c:ser>
          <c:idx val="2"/>
          <c:order val="1"/>
          <c:tx>
            <c:strRef>
              <c:f>'Monetary Policy + Market'!$C$3</c:f>
              <c:strCache>
                <c:ptCount val="1"/>
                <c:pt idx="0">
                  <c:v>30y Mortgage Rate</c:v>
                </c:pt>
              </c:strCache>
            </c:strRef>
          </c:tx>
          <c:spPr>
            <a:ln w="28575" cap="rnd">
              <a:solidFill>
                <a:schemeClr val="tx2"/>
              </a:solidFill>
              <a:round/>
            </a:ln>
            <a:effectLst/>
          </c:spPr>
          <c:marker>
            <c:symbol val="none"/>
          </c:marker>
          <c:val>
            <c:numRef>
              <c:f>'Monetary Policy + Market'!$C$640:$C$831</c:f>
              <c:numCache>
                <c:formatCode>0.00</c:formatCode>
                <c:ptCount val="192"/>
                <c:pt idx="0">
                  <c:v>5.68</c:v>
                </c:pt>
                <c:pt idx="1">
                  <c:v>6.24</c:v>
                </c:pt>
                <c:pt idx="2">
                  <c:v>5.85</c:v>
                </c:pt>
                <c:pt idx="3">
                  <c:v>6.03</c:v>
                </c:pt>
                <c:pt idx="4">
                  <c:v>6.08</c:v>
                </c:pt>
                <c:pt idx="5">
                  <c:v>6.45</c:v>
                </c:pt>
                <c:pt idx="6">
                  <c:v>6.52</c:v>
                </c:pt>
                <c:pt idx="7">
                  <c:v>6.4</c:v>
                </c:pt>
                <c:pt idx="8">
                  <c:v>6.09</c:v>
                </c:pt>
                <c:pt idx="9">
                  <c:v>6.46</c:v>
                </c:pt>
                <c:pt idx="10">
                  <c:v>5.97</c:v>
                </c:pt>
                <c:pt idx="11">
                  <c:v>5.0999999999999996</c:v>
                </c:pt>
                <c:pt idx="12">
                  <c:v>5.0999999999999996</c:v>
                </c:pt>
                <c:pt idx="13">
                  <c:v>5.07</c:v>
                </c:pt>
                <c:pt idx="14">
                  <c:v>4.8499999999999996</c:v>
                </c:pt>
                <c:pt idx="15">
                  <c:v>4.78</c:v>
                </c:pt>
                <c:pt idx="16">
                  <c:v>4.91</c:v>
                </c:pt>
                <c:pt idx="17">
                  <c:v>5.42</c:v>
                </c:pt>
                <c:pt idx="18">
                  <c:v>5.25</c:v>
                </c:pt>
                <c:pt idx="19">
                  <c:v>5.14</c:v>
                </c:pt>
                <c:pt idx="20">
                  <c:v>5.04</c:v>
                </c:pt>
                <c:pt idx="21">
                  <c:v>5.03</c:v>
                </c:pt>
                <c:pt idx="22">
                  <c:v>4.78</c:v>
                </c:pt>
                <c:pt idx="23">
                  <c:v>5.14</c:v>
                </c:pt>
                <c:pt idx="24">
                  <c:v>4.9800000000000004</c:v>
                </c:pt>
                <c:pt idx="25">
                  <c:v>5.05</c:v>
                </c:pt>
                <c:pt idx="26">
                  <c:v>4.99</c:v>
                </c:pt>
                <c:pt idx="27">
                  <c:v>5.0599999999999996</c:v>
                </c:pt>
                <c:pt idx="28">
                  <c:v>4.78</c:v>
                </c:pt>
                <c:pt idx="29">
                  <c:v>4.6900000000000004</c:v>
                </c:pt>
                <c:pt idx="30">
                  <c:v>4.54</c:v>
                </c:pt>
                <c:pt idx="31">
                  <c:v>4.3600000000000003</c:v>
                </c:pt>
                <c:pt idx="32">
                  <c:v>4.32</c:v>
                </c:pt>
                <c:pt idx="33">
                  <c:v>4.2300000000000004</c:v>
                </c:pt>
                <c:pt idx="34">
                  <c:v>4.4000000000000004</c:v>
                </c:pt>
                <c:pt idx="35">
                  <c:v>4.8600000000000003</c:v>
                </c:pt>
                <c:pt idx="36">
                  <c:v>4.8</c:v>
                </c:pt>
                <c:pt idx="37">
                  <c:v>4.95</c:v>
                </c:pt>
                <c:pt idx="38">
                  <c:v>4.8600000000000003</c:v>
                </c:pt>
                <c:pt idx="39">
                  <c:v>4.78</c:v>
                </c:pt>
                <c:pt idx="40">
                  <c:v>4.5999999999999996</c:v>
                </c:pt>
                <c:pt idx="41">
                  <c:v>4.51</c:v>
                </c:pt>
                <c:pt idx="42">
                  <c:v>4.55</c:v>
                </c:pt>
                <c:pt idx="43">
                  <c:v>4.22</c:v>
                </c:pt>
                <c:pt idx="44">
                  <c:v>4.01</c:v>
                </c:pt>
                <c:pt idx="45">
                  <c:v>4.0999999999999996</c:v>
                </c:pt>
                <c:pt idx="46">
                  <c:v>3.98</c:v>
                </c:pt>
                <c:pt idx="47">
                  <c:v>3.95</c:v>
                </c:pt>
                <c:pt idx="48">
                  <c:v>3.98</c:v>
                </c:pt>
                <c:pt idx="49">
                  <c:v>3.95</c:v>
                </c:pt>
                <c:pt idx="50">
                  <c:v>3.99</c:v>
                </c:pt>
                <c:pt idx="51">
                  <c:v>3.88</c:v>
                </c:pt>
                <c:pt idx="52">
                  <c:v>3.75</c:v>
                </c:pt>
                <c:pt idx="53">
                  <c:v>3.66</c:v>
                </c:pt>
                <c:pt idx="54">
                  <c:v>3.49</c:v>
                </c:pt>
                <c:pt idx="55">
                  <c:v>3.59</c:v>
                </c:pt>
                <c:pt idx="56">
                  <c:v>3.4</c:v>
                </c:pt>
                <c:pt idx="57">
                  <c:v>3.41</c:v>
                </c:pt>
                <c:pt idx="58">
                  <c:v>3.32</c:v>
                </c:pt>
                <c:pt idx="59">
                  <c:v>3.35</c:v>
                </c:pt>
                <c:pt idx="60">
                  <c:v>3.53</c:v>
                </c:pt>
                <c:pt idx="61">
                  <c:v>3.51</c:v>
                </c:pt>
                <c:pt idx="62">
                  <c:v>3.57</c:v>
                </c:pt>
                <c:pt idx="63">
                  <c:v>3.4</c:v>
                </c:pt>
                <c:pt idx="64">
                  <c:v>3.81</c:v>
                </c:pt>
                <c:pt idx="65">
                  <c:v>4.46</c:v>
                </c:pt>
                <c:pt idx="66">
                  <c:v>4.3099999999999996</c:v>
                </c:pt>
                <c:pt idx="67">
                  <c:v>4.51</c:v>
                </c:pt>
                <c:pt idx="68">
                  <c:v>4.32</c:v>
                </c:pt>
                <c:pt idx="69">
                  <c:v>4.0999999999999996</c:v>
                </c:pt>
                <c:pt idx="70">
                  <c:v>4.29</c:v>
                </c:pt>
                <c:pt idx="71">
                  <c:v>4.4800000000000004</c:v>
                </c:pt>
                <c:pt idx="72">
                  <c:v>4.32</c:v>
                </c:pt>
                <c:pt idx="73">
                  <c:v>4.37</c:v>
                </c:pt>
                <c:pt idx="74">
                  <c:v>4.4000000000000004</c:v>
                </c:pt>
                <c:pt idx="75">
                  <c:v>4.33</c:v>
                </c:pt>
                <c:pt idx="76">
                  <c:v>4.12</c:v>
                </c:pt>
                <c:pt idx="77">
                  <c:v>4.1399999999999997</c:v>
                </c:pt>
                <c:pt idx="78">
                  <c:v>4.12</c:v>
                </c:pt>
                <c:pt idx="79">
                  <c:v>4.0999999999999996</c:v>
                </c:pt>
                <c:pt idx="80">
                  <c:v>4.2</c:v>
                </c:pt>
                <c:pt idx="81">
                  <c:v>3.98</c:v>
                </c:pt>
                <c:pt idx="82">
                  <c:v>3.97</c:v>
                </c:pt>
                <c:pt idx="83">
                  <c:v>3.87</c:v>
                </c:pt>
                <c:pt idx="84">
                  <c:v>3.66</c:v>
                </c:pt>
                <c:pt idx="85">
                  <c:v>3.8</c:v>
                </c:pt>
                <c:pt idx="86">
                  <c:v>3.69</c:v>
                </c:pt>
                <c:pt idx="87">
                  <c:v>3.68</c:v>
                </c:pt>
                <c:pt idx="88">
                  <c:v>3.87</c:v>
                </c:pt>
                <c:pt idx="89">
                  <c:v>4.0199999999999996</c:v>
                </c:pt>
                <c:pt idx="90">
                  <c:v>3.98</c:v>
                </c:pt>
                <c:pt idx="91">
                  <c:v>3.84</c:v>
                </c:pt>
                <c:pt idx="92">
                  <c:v>3.86</c:v>
                </c:pt>
                <c:pt idx="93">
                  <c:v>3.76</c:v>
                </c:pt>
                <c:pt idx="94">
                  <c:v>3.95</c:v>
                </c:pt>
                <c:pt idx="95">
                  <c:v>4.01</c:v>
                </c:pt>
                <c:pt idx="96">
                  <c:v>3.79</c:v>
                </c:pt>
                <c:pt idx="97">
                  <c:v>3.62</c:v>
                </c:pt>
                <c:pt idx="98">
                  <c:v>3.71</c:v>
                </c:pt>
                <c:pt idx="99">
                  <c:v>3.66</c:v>
                </c:pt>
                <c:pt idx="100">
                  <c:v>3.64</c:v>
                </c:pt>
                <c:pt idx="101">
                  <c:v>3.48</c:v>
                </c:pt>
                <c:pt idx="102">
                  <c:v>3.48</c:v>
                </c:pt>
                <c:pt idx="103">
                  <c:v>3.43</c:v>
                </c:pt>
                <c:pt idx="104">
                  <c:v>3.42</c:v>
                </c:pt>
                <c:pt idx="105">
                  <c:v>3.47</c:v>
                </c:pt>
                <c:pt idx="106">
                  <c:v>4.03</c:v>
                </c:pt>
                <c:pt idx="107">
                  <c:v>4.32</c:v>
                </c:pt>
                <c:pt idx="108">
                  <c:v>4.1900000000000004</c:v>
                </c:pt>
                <c:pt idx="109">
                  <c:v>4.16</c:v>
                </c:pt>
                <c:pt idx="110">
                  <c:v>4.1399999999999997</c:v>
                </c:pt>
                <c:pt idx="111">
                  <c:v>4.03</c:v>
                </c:pt>
                <c:pt idx="112">
                  <c:v>3.95</c:v>
                </c:pt>
                <c:pt idx="113">
                  <c:v>3.88</c:v>
                </c:pt>
                <c:pt idx="114">
                  <c:v>3.92</c:v>
                </c:pt>
                <c:pt idx="115">
                  <c:v>3.82</c:v>
                </c:pt>
                <c:pt idx="116">
                  <c:v>3.83</c:v>
                </c:pt>
                <c:pt idx="117">
                  <c:v>3.94</c:v>
                </c:pt>
                <c:pt idx="118">
                  <c:v>3.9</c:v>
                </c:pt>
                <c:pt idx="119">
                  <c:v>3.99</c:v>
                </c:pt>
                <c:pt idx="120">
                  <c:v>4.1500000000000004</c:v>
                </c:pt>
                <c:pt idx="121">
                  <c:v>4.4000000000000004</c:v>
                </c:pt>
                <c:pt idx="122">
                  <c:v>4.4400000000000004</c:v>
                </c:pt>
                <c:pt idx="123">
                  <c:v>4.58</c:v>
                </c:pt>
                <c:pt idx="124">
                  <c:v>4.5599999999999996</c:v>
                </c:pt>
                <c:pt idx="125">
                  <c:v>4.55</c:v>
                </c:pt>
                <c:pt idx="126">
                  <c:v>4.54</c:v>
                </c:pt>
                <c:pt idx="127">
                  <c:v>4.5199999999999996</c:v>
                </c:pt>
                <c:pt idx="128">
                  <c:v>4.72</c:v>
                </c:pt>
                <c:pt idx="129">
                  <c:v>4.8600000000000003</c:v>
                </c:pt>
                <c:pt idx="130">
                  <c:v>4.8099999999999996</c:v>
                </c:pt>
                <c:pt idx="131">
                  <c:v>4.55</c:v>
                </c:pt>
                <c:pt idx="132">
                  <c:v>4.46</c:v>
                </c:pt>
                <c:pt idx="133">
                  <c:v>4.3499999999999996</c:v>
                </c:pt>
                <c:pt idx="134">
                  <c:v>4.0599999999999996</c:v>
                </c:pt>
                <c:pt idx="135">
                  <c:v>4.2</c:v>
                </c:pt>
                <c:pt idx="136">
                  <c:v>3.99</c:v>
                </c:pt>
                <c:pt idx="137">
                  <c:v>3.73</c:v>
                </c:pt>
                <c:pt idx="138">
                  <c:v>3.75</c:v>
                </c:pt>
                <c:pt idx="139">
                  <c:v>3.58</c:v>
                </c:pt>
                <c:pt idx="140">
                  <c:v>3.64</c:v>
                </c:pt>
                <c:pt idx="141">
                  <c:v>3.78</c:v>
                </c:pt>
                <c:pt idx="142">
                  <c:v>3.68</c:v>
                </c:pt>
                <c:pt idx="143">
                  <c:v>3.74</c:v>
                </c:pt>
                <c:pt idx="144">
                  <c:v>3.51</c:v>
                </c:pt>
                <c:pt idx="145">
                  <c:v>3.45</c:v>
                </c:pt>
                <c:pt idx="146">
                  <c:v>3.5</c:v>
                </c:pt>
                <c:pt idx="147">
                  <c:v>3.23</c:v>
                </c:pt>
                <c:pt idx="148">
                  <c:v>3.15</c:v>
                </c:pt>
                <c:pt idx="149">
                  <c:v>3.13</c:v>
                </c:pt>
                <c:pt idx="150">
                  <c:v>2.99</c:v>
                </c:pt>
                <c:pt idx="151">
                  <c:v>2.91</c:v>
                </c:pt>
                <c:pt idx="152">
                  <c:v>2.9</c:v>
                </c:pt>
                <c:pt idx="153">
                  <c:v>2.81</c:v>
                </c:pt>
                <c:pt idx="154">
                  <c:v>2.72</c:v>
                </c:pt>
                <c:pt idx="155">
                  <c:v>2.67</c:v>
                </c:pt>
                <c:pt idx="156">
                  <c:v>2.73</c:v>
                </c:pt>
                <c:pt idx="157">
                  <c:v>2.97</c:v>
                </c:pt>
                <c:pt idx="158">
                  <c:v>3.17</c:v>
                </c:pt>
                <c:pt idx="159">
                  <c:v>2.98</c:v>
                </c:pt>
                <c:pt idx="160">
                  <c:v>2.95</c:v>
                </c:pt>
                <c:pt idx="161">
                  <c:v>3.02</c:v>
                </c:pt>
                <c:pt idx="162">
                  <c:v>2.8</c:v>
                </c:pt>
                <c:pt idx="163">
                  <c:v>2.87</c:v>
                </c:pt>
                <c:pt idx="164">
                  <c:v>3.01</c:v>
                </c:pt>
                <c:pt idx="165">
                  <c:v>3.14</c:v>
                </c:pt>
                <c:pt idx="166">
                  <c:v>3.1</c:v>
                </c:pt>
                <c:pt idx="167">
                  <c:v>3.11</c:v>
                </c:pt>
                <c:pt idx="168">
                  <c:v>3.55</c:v>
                </c:pt>
                <c:pt idx="169">
                  <c:v>3.89</c:v>
                </c:pt>
                <c:pt idx="170">
                  <c:v>4.67</c:v>
                </c:pt>
                <c:pt idx="171">
                  <c:v>5.0999999999999996</c:v>
                </c:pt>
                <c:pt idx="172">
                  <c:v>5.0999999999999996</c:v>
                </c:pt>
                <c:pt idx="173">
                  <c:v>5.7</c:v>
                </c:pt>
                <c:pt idx="174">
                  <c:v>5.3</c:v>
                </c:pt>
                <c:pt idx="175">
                  <c:v>5.55</c:v>
                </c:pt>
                <c:pt idx="176">
                  <c:v>6.7</c:v>
                </c:pt>
                <c:pt idx="177">
                  <c:v>7.08</c:v>
                </c:pt>
                <c:pt idx="178">
                  <c:v>6.58</c:v>
                </c:pt>
                <c:pt idx="179">
                  <c:v>6.42</c:v>
                </c:pt>
                <c:pt idx="180">
                  <c:v>6.13</c:v>
                </c:pt>
                <c:pt idx="181">
                  <c:v>6.5</c:v>
                </c:pt>
                <c:pt idx="182">
                  <c:v>6.32</c:v>
                </c:pt>
                <c:pt idx="183">
                  <c:v>6.43</c:v>
                </c:pt>
                <c:pt idx="184">
                  <c:v>6.57</c:v>
                </c:pt>
                <c:pt idx="185">
                  <c:v>6.71</c:v>
                </c:pt>
                <c:pt idx="186">
                  <c:v>6.81</c:v>
                </c:pt>
                <c:pt idx="187">
                  <c:v>7.18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79E-47DD-B427-356DADA7B5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13703792"/>
        <c:axId val="500225792"/>
      </c:lineChart>
      <c:dateAx>
        <c:axId val="1228998512"/>
        <c:scaling>
          <c:orientation val="minMax"/>
        </c:scaling>
        <c:delete val="0"/>
        <c:axPos val="b"/>
        <c:numFmt formatCode="[$-416]mmm\-yy;@" sourceLinked="1"/>
        <c:majorTickMark val="out"/>
        <c:minorTickMark val="none"/>
        <c:tickLblPos val="low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9000176"/>
        <c:crosses val="autoZero"/>
        <c:auto val="1"/>
        <c:lblOffset val="100"/>
        <c:baseTimeUnit val="months"/>
      </c:dateAx>
      <c:valAx>
        <c:axId val="1229000176"/>
        <c:scaling>
          <c:orientation val="minMax"/>
          <c:min val="3000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1228998512"/>
        <c:crossesAt val="5"/>
        <c:crossBetween val="between"/>
      </c:valAx>
      <c:valAx>
        <c:axId val="500225792"/>
        <c:scaling>
          <c:orientation val="maxMin"/>
          <c:max val="8"/>
          <c:min val="2.5"/>
        </c:scaling>
        <c:delete val="0"/>
        <c:axPos val="r"/>
        <c:numFmt formatCode="#,##0.0" sourceLinked="0"/>
        <c:majorTickMark val="out"/>
        <c:minorTickMark val="none"/>
        <c:tickLblPos val="nextTo"/>
        <c:spPr>
          <a:noFill/>
          <a:ln>
            <a:solidFill>
              <a:sysClr val="windowText" lastClr="000000"/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Arial Nova" panose="020B0504020202020204" pitchFamily="34" charset="0"/>
                <a:ea typeface="+mn-ea"/>
                <a:cs typeface="+mn-cs"/>
              </a:defRPr>
            </a:pPr>
            <a:endParaRPr lang="pt-BR"/>
          </a:p>
        </c:txPr>
        <c:crossAx val="913703792"/>
        <c:crosses val="max"/>
        <c:crossBetween val="between"/>
      </c:valAx>
      <c:catAx>
        <c:axId val="913703792"/>
        <c:scaling>
          <c:orientation val="minMax"/>
        </c:scaling>
        <c:delete val="1"/>
        <c:axPos val="t"/>
        <c:majorTickMark val="out"/>
        <c:minorTickMark val="none"/>
        <c:tickLblPos val="nextTo"/>
        <c:crossAx val="500225792"/>
        <c:crosses val="autoZero"/>
        <c:auto val="1"/>
        <c:lblAlgn val="ctr"/>
        <c:lblOffset val="100"/>
        <c:tickLblSkip val="1"/>
        <c:tickMarkSkip val="1"/>
        <c:noMultiLvlLbl val="0"/>
      </c:catAx>
      <c:spPr>
        <a:noFill/>
        <a:ln>
          <a:noFill/>
        </a:ln>
        <a:effectLst/>
      </c:spPr>
    </c:plotArea>
    <c:legend>
      <c:legendPos val="t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ysClr val="windowText" lastClr="000000"/>
              </a:solidFill>
              <a:latin typeface="Arial Nova" panose="020B05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 sz="900" b="1">
          <a:solidFill>
            <a:sysClr val="windowText" lastClr="000000"/>
          </a:solidFill>
          <a:latin typeface="Arial Nova" panose="020B05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8.xml"/><Relationship Id="rId13" Type="http://schemas.openxmlformats.org/officeDocument/2006/relationships/chart" Target="../charts/chart23.xml"/><Relationship Id="rId3" Type="http://schemas.openxmlformats.org/officeDocument/2006/relationships/chart" Target="../charts/chart13.xml"/><Relationship Id="rId7" Type="http://schemas.openxmlformats.org/officeDocument/2006/relationships/chart" Target="../charts/chart17.xml"/><Relationship Id="rId12" Type="http://schemas.openxmlformats.org/officeDocument/2006/relationships/chart" Target="../charts/chart22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6" Type="http://schemas.openxmlformats.org/officeDocument/2006/relationships/chart" Target="../charts/chart16.xml"/><Relationship Id="rId11" Type="http://schemas.openxmlformats.org/officeDocument/2006/relationships/chart" Target="../charts/chart21.xml"/><Relationship Id="rId5" Type="http://schemas.openxmlformats.org/officeDocument/2006/relationships/chart" Target="../charts/chart15.xml"/><Relationship Id="rId15" Type="http://schemas.openxmlformats.org/officeDocument/2006/relationships/chart" Target="../charts/chart25.xml"/><Relationship Id="rId10" Type="http://schemas.openxmlformats.org/officeDocument/2006/relationships/chart" Target="../charts/chart20.xml"/><Relationship Id="rId4" Type="http://schemas.openxmlformats.org/officeDocument/2006/relationships/chart" Target="../charts/chart14.xml"/><Relationship Id="rId9" Type="http://schemas.openxmlformats.org/officeDocument/2006/relationships/chart" Target="../charts/chart19.xml"/><Relationship Id="rId14" Type="http://schemas.openxmlformats.org/officeDocument/2006/relationships/chart" Target="../charts/chart24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3.xml"/><Relationship Id="rId3" Type="http://schemas.openxmlformats.org/officeDocument/2006/relationships/chart" Target="../charts/chart28.xml"/><Relationship Id="rId7" Type="http://schemas.openxmlformats.org/officeDocument/2006/relationships/chart" Target="../charts/chart32.xml"/><Relationship Id="rId12" Type="http://schemas.openxmlformats.org/officeDocument/2006/relationships/chart" Target="../charts/chart37.xml"/><Relationship Id="rId2" Type="http://schemas.openxmlformats.org/officeDocument/2006/relationships/chart" Target="../charts/chart27.xml"/><Relationship Id="rId1" Type="http://schemas.openxmlformats.org/officeDocument/2006/relationships/chart" Target="../charts/chart26.xml"/><Relationship Id="rId6" Type="http://schemas.openxmlformats.org/officeDocument/2006/relationships/chart" Target="../charts/chart31.xml"/><Relationship Id="rId11" Type="http://schemas.openxmlformats.org/officeDocument/2006/relationships/chart" Target="../charts/chart36.xml"/><Relationship Id="rId5" Type="http://schemas.openxmlformats.org/officeDocument/2006/relationships/chart" Target="../charts/chart30.xml"/><Relationship Id="rId10" Type="http://schemas.openxmlformats.org/officeDocument/2006/relationships/chart" Target="../charts/chart35.xml"/><Relationship Id="rId4" Type="http://schemas.openxmlformats.org/officeDocument/2006/relationships/chart" Target="../charts/chart29.xml"/><Relationship Id="rId9" Type="http://schemas.openxmlformats.org/officeDocument/2006/relationships/chart" Target="../charts/chart34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5.xml"/><Relationship Id="rId3" Type="http://schemas.openxmlformats.org/officeDocument/2006/relationships/chart" Target="../charts/chart40.xml"/><Relationship Id="rId7" Type="http://schemas.openxmlformats.org/officeDocument/2006/relationships/chart" Target="../charts/chart44.xml"/><Relationship Id="rId2" Type="http://schemas.openxmlformats.org/officeDocument/2006/relationships/chart" Target="../charts/chart39.xml"/><Relationship Id="rId1" Type="http://schemas.openxmlformats.org/officeDocument/2006/relationships/chart" Target="../charts/chart38.xml"/><Relationship Id="rId6" Type="http://schemas.openxmlformats.org/officeDocument/2006/relationships/chart" Target="../charts/chart43.xml"/><Relationship Id="rId11" Type="http://schemas.openxmlformats.org/officeDocument/2006/relationships/chart" Target="../charts/chart48.xml"/><Relationship Id="rId5" Type="http://schemas.openxmlformats.org/officeDocument/2006/relationships/chart" Target="../charts/chart42.xml"/><Relationship Id="rId10" Type="http://schemas.openxmlformats.org/officeDocument/2006/relationships/chart" Target="../charts/chart47.xml"/><Relationship Id="rId4" Type="http://schemas.openxmlformats.org/officeDocument/2006/relationships/chart" Target="../charts/chart41.xml"/><Relationship Id="rId9" Type="http://schemas.openxmlformats.org/officeDocument/2006/relationships/chart" Target="../charts/chart46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6.xml"/><Relationship Id="rId3" Type="http://schemas.openxmlformats.org/officeDocument/2006/relationships/chart" Target="../charts/chart51.xml"/><Relationship Id="rId7" Type="http://schemas.openxmlformats.org/officeDocument/2006/relationships/chart" Target="../charts/chart55.xml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6" Type="http://schemas.openxmlformats.org/officeDocument/2006/relationships/chart" Target="../charts/chart54.xml"/><Relationship Id="rId5" Type="http://schemas.openxmlformats.org/officeDocument/2006/relationships/chart" Target="../charts/chart53.xml"/><Relationship Id="rId4" Type="http://schemas.openxmlformats.org/officeDocument/2006/relationships/chart" Target="../charts/chart5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37</xdr:col>
      <xdr:colOff>291383</xdr:colOff>
      <xdr:row>4</xdr:row>
      <xdr:rowOff>33617</xdr:rowOff>
    </xdr:from>
    <xdr:to>
      <xdr:col>38</xdr:col>
      <xdr:colOff>495912</xdr:colOff>
      <xdr:row>4</xdr:row>
      <xdr:rowOff>357617</xdr:rowOff>
    </xdr:to>
    <xdr:sp macro="[0]!Graphs1" textlink="">
      <xdr:nvSpPr>
        <xdr:cNvPr id="3" name="Retângulo 2">
          <a:extLst>
            <a:ext uri="{FF2B5EF4-FFF2-40B4-BE49-F238E27FC236}">
              <a16:creationId xmlns:a16="http://schemas.microsoft.com/office/drawing/2014/main" id="{3A066ED0-4784-43DB-B86F-CC45AA323DA9}"/>
            </a:ext>
          </a:extLst>
        </xdr:cNvPr>
        <xdr:cNvSpPr/>
      </xdr:nvSpPr>
      <xdr:spPr>
        <a:xfrm>
          <a:off x="20181824" y="1400735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GRAPH</a:t>
          </a:r>
        </a:p>
      </xdr:txBody>
    </xdr:sp>
    <xdr:clientData/>
  </xdr:twoCellAnchor>
  <xdr:twoCellAnchor>
    <xdr:from>
      <xdr:col>37</xdr:col>
      <xdr:colOff>291383</xdr:colOff>
      <xdr:row>17</xdr:row>
      <xdr:rowOff>22412</xdr:rowOff>
    </xdr:from>
    <xdr:to>
      <xdr:col>38</xdr:col>
      <xdr:colOff>495912</xdr:colOff>
      <xdr:row>17</xdr:row>
      <xdr:rowOff>346412</xdr:rowOff>
    </xdr:to>
    <xdr:sp macro="[0]!Graphs2" textlink="">
      <xdr:nvSpPr>
        <xdr:cNvPr id="4" name="Retângulo 3">
          <a:extLst>
            <a:ext uri="{FF2B5EF4-FFF2-40B4-BE49-F238E27FC236}">
              <a16:creationId xmlns:a16="http://schemas.microsoft.com/office/drawing/2014/main" id="{959C350C-9A04-409C-9A0A-C6B73778AE8F}"/>
            </a:ext>
          </a:extLst>
        </xdr:cNvPr>
        <xdr:cNvSpPr/>
      </xdr:nvSpPr>
      <xdr:spPr>
        <a:xfrm>
          <a:off x="20361118" y="4717677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GRAPH</a:t>
          </a:r>
        </a:p>
      </xdr:txBody>
    </xdr:sp>
    <xdr:clientData/>
  </xdr:twoCellAnchor>
  <xdr:twoCellAnchor>
    <xdr:from>
      <xdr:col>37</xdr:col>
      <xdr:colOff>291383</xdr:colOff>
      <xdr:row>43</xdr:row>
      <xdr:rowOff>33618</xdr:rowOff>
    </xdr:from>
    <xdr:to>
      <xdr:col>38</xdr:col>
      <xdr:colOff>495912</xdr:colOff>
      <xdr:row>43</xdr:row>
      <xdr:rowOff>357618</xdr:rowOff>
    </xdr:to>
    <xdr:sp macro="[0]!Graphs3" textlink="">
      <xdr:nvSpPr>
        <xdr:cNvPr id="6" name="Retângulo 5">
          <a:extLst>
            <a:ext uri="{FF2B5EF4-FFF2-40B4-BE49-F238E27FC236}">
              <a16:creationId xmlns:a16="http://schemas.microsoft.com/office/drawing/2014/main" id="{A548D9EE-199F-49F7-8897-DBCA81863510}"/>
            </a:ext>
          </a:extLst>
        </xdr:cNvPr>
        <xdr:cNvSpPr/>
      </xdr:nvSpPr>
      <xdr:spPr>
        <a:xfrm>
          <a:off x="20361118" y="8303559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GRAPH</a:t>
          </a:r>
        </a:p>
      </xdr:txBody>
    </xdr:sp>
    <xdr:clientData/>
  </xdr:twoCellAnchor>
  <xdr:twoCellAnchor>
    <xdr:from>
      <xdr:col>37</xdr:col>
      <xdr:colOff>291383</xdr:colOff>
      <xdr:row>33</xdr:row>
      <xdr:rowOff>22412</xdr:rowOff>
    </xdr:from>
    <xdr:to>
      <xdr:col>38</xdr:col>
      <xdr:colOff>495912</xdr:colOff>
      <xdr:row>33</xdr:row>
      <xdr:rowOff>346412</xdr:rowOff>
    </xdr:to>
    <xdr:sp macro="[0]!Graphs4" textlink="">
      <xdr:nvSpPr>
        <xdr:cNvPr id="8" name="Retângulo 7">
          <a:extLst>
            <a:ext uri="{FF2B5EF4-FFF2-40B4-BE49-F238E27FC236}">
              <a16:creationId xmlns:a16="http://schemas.microsoft.com/office/drawing/2014/main" id="{5814366F-7F3E-4970-A430-2C3A9FD5584C}"/>
            </a:ext>
          </a:extLst>
        </xdr:cNvPr>
        <xdr:cNvSpPr/>
      </xdr:nvSpPr>
      <xdr:spPr>
        <a:xfrm>
          <a:off x="20361118" y="12360088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GRAPH</a:t>
          </a:r>
        </a:p>
      </xdr:txBody>
    </xdr:sp>
    <xdr:clientData/>
  </xdr:twoCellAnchor>
  <xdr:twoCellAnchor>
    <xdr:from>
      <xdr:col>37</xdr:col>
      <xdr:colOff>291383</xdr:colOff>
      <xdr:row>59</xdr:row>
      <xdr:rowOff>22412</xdr:rowOff>
    </xdr:from>
    <xdr:to>
      <xdr:col>38</xdr:col>
      <xdr:colOff>495912</xdr:colOff>
      <xdr:row>59</xdr:row>
      <xdr:rowOff>346412</xdr:rowOff>
    </xdr:to>
    <xdr:sp macro="[0]!Graphs5" textlink="">
      <xdr:nvSpPr>
        <xdr:cNvPr id="9" name="Retângulo 8">
          <a:extLst>
            <a:ext uri="{FF2B5EF4-FFF2-40B4-BE49-F238E27FC236}">
              <a16:creationId xmlns:a16="http://schemas.microsoft.com/office/drawing/2014/main" id="{1270F503-C234-42FA-8A1E-F10E4CB90C91}"/>
            </a:ext>
          </a:extLst>
        </xdr:cNvPr>
        <xdr:cNvSpPr/>
      </xdr:nvSpPr>
      <xdr:spPr>
        <a:xfrm>
          <a:off x="20361118" y="14948647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GRAPH</a:t>
          </a:r>
        </a:p>
      </xdr:txBody>
    </xdr:sp>
    <xdr:clientData/>
  </xdr:twoCellAnchor>
  <xdr:twoCellAnchor>
    <xdr:from>
      <xdr:col>36</xdr:col>
      <xdr:colOff>22412</xdr:colOff>
      <xdr:row>4</xdr:row>
      <xdr:rowOff>33618</xdr:rowOff>
    </xdr:from>
    <xdr:to>
      <xdr:col>37</xdr:col>
      <xdr:colOff>260559</xdr:colOff>
      <xdr:row>4</xdr:row>
      <xdr:rowOff>357618</xdr:rowOff>
    </xdr:to>
    <xdr:sp macro="[0]!Housing" textlink="">
      <xdr:nvSpPr>
        <xdr:cNvPr id="2" name="Retângulo 1">
          <a:extLst>
            <a:ext uri="{FF2B5EF4-FFF2-40B4-BE49-F238E27FC236}">
              <a16:creationId xmlns:a16="http://schemas.microsoft.com/office/drawing/2014/main" id="{A5212EDA-79AC-4D99-9D6E-7B1B7D588405}"/>
            </a:ext>
          </a:extLst>
        </xdr:cNvPr>
        <xdr:cNvSpPr/>
      </xdr:nvSpPr>
      <xdr:spPr>
        <a:xfrm>
          <a:off x="19431000" y="1400736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DATA</a:t>
          </a:r>
        </a:p>
      </xdr:txBody>
    </xdr:sp>
    <xdr:clientData/>
  </xdr:twoCellAnchor>
  <xdr:twoCellAnchor>
    <xdr:from>
      <xdr:col>36</xdr:col>
      <xdr:colOff>22412</xdr:colOff>
      <xdr:row>17</xdr:row>
      <xdr:rowOff>22413</xdr:rowOff>
    </xdr:from>
    <xdr:to>
      <xdr:col>37</xdr:col>
      <xdr:colOff>260559</xdr:colOff>
      <xdr:row>17</xdr:row>
      <xdr:rowOff>346413</xdr:rowOff>
    </xdr:to>
    <xdr:sp macro="[0]!Economic" textlink="">
      <xdr:nvSpPr>
        <xdr:cNvPr id="5" name="Retângulo 4">
          <a:extLst>
            <a:ext uri="{FF2B5EF4-FFF2-40B4-BE49-F238E27FC236}">
              <a16:creationId xmlns:a16="http://schemas.microsoft.com/office/drawing/2014/main" id="{AF746016-302D-4E93-A377-8326345F14F9}"/>
            </a:ext>
          </a:extLst>
        </xdr:cNvPr>
        <xdr:cNvSpPr/>
      </xdr:nvSpPr>
      <xdr:spPr>
        <a:xfrm>
          <a:off x="19610294" y="4717678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DATA</a:t>
          </a:r>
        </a:p>
      </xdr:txBody>
    </xdr:sp>
    <xdr:clientData/>
  </xdr:twoCellAnchor>
  <xdr:twoCellAnchor>
    <xdr:from>
      <xdr:col>36</xdr:col>
      <xdr:colOff>22412</xdr:colOff>
      <xdr:row>43</xdr:row>
      <xdr:rowOff>33619</xdr:rowOff>
    </xdr:from>
    <xdr:to>
      <xdr:col>37</xdr:col>
      <xdr:colOff>260559</xdr:colOff>
      <xdr:row>43</xdr:row>
      <xdr:rowOff>357619</xdr:rowOff>
    </xdr:to>
    <xdr:sp macro="[0]!Inflation" textlink="">
      <xdr:nvSpPr>
        <xdr:cNvPr id="7" name="Retângulo 6">
          <a:extLst>
            <a:ext uri="{FF2B5EF4-FFF2-40B4-BE49-F238E27FC236}">
              <a16:creationId xmlns:a16="http://schemas.microsoft.com/office/drawing/2014/main" id="{75595DDF-1109-4356-8EFE-D2B51B279D48}"/>
            </a:ext>
          </a:extLst>
        </xdr:cNvPr>
        <xdr:cNvSpPr/>
      </xdr:nvSpPr>
      <xdr:spPr>
        <a:xfrm>
          <a:off x="19610294" y="8303560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DATA</a:t>
          </a:r>
        </a:p>
      </xdr:txBody>
    </xdr:sp>
    <xdr:clientData/>
  </xdr:twoCellAnchor>
  <xdr:twoCellAnchor>
    <xdr:from>
      <xdr:col>36</xdr:col>
      <xdr:colOff>22412</xdr:colOff>
      <xdr:row>33</xdr:row>
      <xdr:rowOff>22413</xdr:rowOff>
    </xdr:from>
    <xdr:to>
      <xdr:col>37</xdr:col>
      <xdr:colOff>260559</xdr:colOff>
      <xdr:row>33</xdr:row>
      <xdr:rowOff>346413</xdr:rowOff>
    </xdr:to>
    <xdr:sp macro="[0]!Labor" textlink="">
      <xdr:nvSpPr>
        <xdr:cNvPr id="10" name="Retângulo 9">
          <a:extLst>
            <a:ext uri="{FF2B5EF4-FFF2-40B4-BE49-F238E27FC236}">
              <a16:creationId xmlns:a16="http://schemas.microsoft.com/office/drawing/2014/main" id="{BD9262A2-50D6-4E5F-8380-09D2935FA836}"/>
            </a:ext>
          </a:extLst>
        </xdr:cNvPr>
        <xdr:cNvSpPr/>
      </xdr:nvSpPr>
      <xdr:spPr>
        <a:xfrm>
          <a:off x="19610294" y="12360089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DATA</a:t>
          </a:r>
        </a:p>
      </xdr:txBody>
    </xdr:sp>
    <xdr:clientData/>
  </xdr:twoCellAnchor>
  <xdr:twoCellAnchor>
    <xdr:from>
      <xdr:col>36</xdr:col>
      <xdr:colOff>22412</xdr:colOff>
      <xdr:row>59</xdr:row>
      <xdr:rowOff>22413</xdr:rowOff>
    </xdr:from>
    <xdr:to>
      <xdr:col>37</xdr:col>
      <xdr:colOff>260559</xdr:colOff>
      <xdr:row>59</xdr:row>
      <xdr:rowOff>346413</xdr:rowOff>
    </xdr:to>
    <xdr:sp macro="[0]!Market" textlink="">
      <xdr:nvSpPr>
        <xdr:cNvPr id="11" name="Retângulo 10">
          <a:extLst>
            <a:ext uri="{FF2B5EF4-FFF2-40B4-BE49-F238E27FC236}">
              <a16:creationId xmlns:a16="http://schemas.microsoft.com/office/drawing/2014/main" id="{FE8820FD-2974-4A47-899A-E69134AB3819}"/>
            </a:ext>
          </a:extLst>
        </xdr:cNvPr>
        <xdr:cNvSpPr/>
      </xdr:nvSpPr>
      <xdr:spPr>
        <a:xfrm>
          <a:off x="19610294" y="14948648"/>
          <a:ext cx="720000" cy="324000"/>
        </a:xfrm>
        <a:prstGeom prst="rect">
          <a:avLst/>
        </a:prstGeom>
        <a:solidFill>
          <a:srgbClr val="C00000"/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pt-BR" sz="1400" b="1">
              <a:latin typeface="Utsaah" panose="020B0604020202020204" pitchFamily="34" charset="0"/>
              <a:cs typeface="Utsaah" panose="020B0604020202020204" pitchFamily="34" charset="0"/>
            </a:rPr>
            <a:t>DATA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70882</xdr:colOff>
      <xdr:row>119</xdr:row>
      <xdr:rowOff>837</xdr:rowOff>
    </xdr:from>
    <xdr:to>
      <xdr:col>21</xdr:col>
      <xdr:colOff>271176</xdr:colOff>
      <xdr:row>146</xdr:row>
      <xdr:rowOff>185337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3D4F7583-DD83-4454-920B-50F4EF6675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271749</xdr:colOff>
      <xdr:row>61</xdr:row>
      <xdr:rowOff>840</xdr:rowOff>
    </xdr:from>
    <xdr:to>
      <xdr:col>35</xdr:col>
      <xdr:colOff>584102</xdr:colOff>
      <xdr:row>88</xdr:row>
      <xdr:rowOff>185340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E2F7F471-3087-43DC-BE9B-5089FFE739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271749</xdr:colOff>
      <xdr:row>119</xdr:row>
      <xdr:rowOff>837</xdr:rowOff>
    </xdr:from>
    <xdr:to>
      <xdr:col>35</xdr:col>
      <xdr:colOff>584102</xdr:colOff>
      <xdr:row>146</xdr:row>
      <xdr:rowOff>185337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6EF1A2EC-3F24-4916-96C8-92138228CE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25</xdr:col>
      <xdr:colOff>526675</xdr:colOff>
      <xdr:row>133</xdr:row>
      <xdr:rowOff>56030</xdr:rowOff>
    </xdr:from>
    <xdr:to>
      <xdr:col>28</xdr:col>
      <xdr:colOff>369795</xdr:colOff>
      <xdr:row>136</xdr:row>
      <xdr:rowOff>156882</xdr:rowOff>
    </xdr:to>
    <xdr:cxnSp macro="">
      <xdr:nvCxnSpPr>
        <xdr:cNvPr id="8" name="Conector de Seta Reta 7">
          <a:extLst>
            <a:ext uri="{FF2B5EF4-FFF2-40B4-BE49-F238E27FC236}">
              <a16:creationId xmlns:a16="http://schemas.microsoft.com/office/drawing/2014/main" id="{7958BC50-E7B5-4F5B-9BE6-8A828ECEBB7F}"/>
            </a:ext>
          </a:extLst>
        </xdr:cNvPr>
        <xdr:cNvCxnSpPr/>
      </xdr:nvCxnSpPr>
      <xdr:spPr>
        <a:xfrm>
          <a:off x="14668499" y="25392530"/>
          <a:ext cx="1658472" cy="672352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26</xdr:col>
      <xdr:colOff>555811</xdr:colOff>
      <xdr:row>133</xdr:row>
      <xdr:rowOff>44825</xdr:rowOff>
    </xdr:from>
    <xdr:ext cx="518604" cy="262957"/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D461143C-EFDB-4EBE-BD46-D047C64A79CA}"/>
            </a:ext>
          </a:extLst>
        </xdr:cNvPr>
        <xdr:cNvSpPr txBox="1"/>
      </xdr:nvSpPr>
      <xdr:spPr>
        <a:xfrm>
          <a:off x="15302752" y="25381325"/>
          <a:ext cx="518604" cy="2629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latin typeface="Arial Nova" panose="020B0504020202020204" pitchFamily="34" charset="0"/>
            </a:rPr>
            <a:t>-27%</a:t>
          </a:r>
        </a:p>
      </xdr:txBody>
    </xdr:sp>
    <xdr:clientData/>
  </xdr:oneCellAnchor>
  <xdr:twoCellAnchor>
    <xdr:from>
      <xdr:col>22</xdr:col>
      <xdr:colOff>159125</xdr:colOff>
      <xdr:row>84</xdr:row>
      <xdr:rowOff>186021</xdr:rowOff>
    </xdr:from>
    <xdr:to>
      <xdr:col>25</xdr:col>
      <xdr:colOff>252693</xdr:colOff>
      <xdr:row>86</xdr:row>
      <xdr:rowOff>69581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B054CE81-7B7E-4D69-8EA2-3E02B0D84718}"/>
            </a:ext>
          </a:extLst>
        </xdr:cNvPr>
        <xdr:cNvSpPr txBox="1"/>
      </xdr:nvSpPr>
      <xdr:spPr>
        <a:xfrm>
          <a:off x="12485596" y="1618802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7</xdr:col>
      <xdr:colOff>459442</xdr:colOff>
      <xdr:row>142</xdr:row>
      <xdr:rowOff>138957</xdr:rowOff>
    </xdr:from>
    <xdr:to>
      <xdr:col>10</xdr:col>
      <xdr:colOff>553010</xdr:colOff>
      <xdr:row>144</xdr:row>
      <xdr:rowOff>22517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9D77CF39-EDD1-448F-806E-4B28C01B098D}"/>
            </a:ext>
          </a:extLst>
        </xdr:cNvPr>
        <xdr:cNvSpPr txBox="1"/>
      </xdr:nvSpPr>
      <xdr:spPr>
        <a:xfrm>
          <a:off x="3709148" y="27189957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51548</xdr:colOff>
      <xdr:row>142</xdr:row>
      <xdr:rowOff>134475</xdr:rowOff>
    </xdr:from>
    <xdr:to>
      <xdr:col>25</xdr:col>
      <xdr:colOff>145116</xdr:colOff>
      <xdr:row>144</xdr:row>
      <xdr:rowOff>18035</xdr:rowOff>
    </xdr:to>
    <xdr:sp macro="" textlink="">
      <xdr:nvSpPr>
        <xdr:cNvPr id="17" name="CaixaDeTexto 16">
          <a:extLst>
            <a:ext uri="{FF2B5EF4-FFF2-40B4-BE49-F238E27FC236}">
              <a16:creationId xmlns:a16="http://schemas.microsoft.com/office/drawing/2014/main" id="{484231E1-6803-4705-B2ED-4B4D1589B478}"/>
            </a:ext>
          </a:extLst>
        </xdr:cNvPr>
        <xdr:cNvSpPr txBox="1"/>
      </xdr:nvSpPr>
      <xdr:spPr>
        <a:xfrm>
          <a:off x="12378019" y="2718547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3</xdr:row>
      <xdr:rowOff>1681</xdr:rowOff>
    </xdr:from>
    <xdr:to>
      <xdr:col>21</xdr:col>
      <xdr:colOff>271176</xdr:colOff>
      <xdr:row>30</xdr:row>
      <xdr:rowOff>186181</xdr:rowOff>
    </xdr:to>
    <xdr:graphicFrame macro="">
      <xdr:nvGraphicFramePr>
        <xdr:cNvPr id="18" name="Gráfico 17">
          <a:extLst>
            <a:ext uri="{FF2B5EF4-FFF2-40B4-BE49-F238E27FC236}">
              <a16:creationId xmlns:a16="http://schemas.microsoft.com/office/drawing/2014/main" id="{812BA222-D663-4B98-B24A-D2EACCA55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376516</xdr:colOff>
      <xdr:row>26</xdr:row>
      <xdr:rowOff>134473</xdr:rowOff>
    </xdr:from>
    <xdr:to>
      <xdr:col>10</xdr:col>
      <xdr:colOff>470084</xdr:colOff>
      <xdr:row>28</xdr:row>
      <xdr:rowOff>18033</xdr:rowOff>
    </xdr:to>
    <xdr:sp macro="" textlink="">
      <xdr:nvSpPr>
        <xdr:cNvPr id="20" name="CaixaDeTexto 19">
          <a:extLst>
            <a:ext uri="{FF2B5EF4-FFF2-40B4-BE49-F238E27FC236}">
              <a16:creationId xmlns:a16="http://schemas.microsoft.com/office/drawing/2014/main" id="{90E6B12F-D795-4F59-AAE1-256EBC115218}"/>
            </a:ext>
          </a:extLst>
        </xdr:cNvPr>
        <xdr:cNvSpPr txBox="1"/>
      </xdr:nvSpPr>
      <xdr:spPr>
        <a:xfrm>
          <a:off x="3626222" y="508747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11</xdr:col>
      <xdr:colOff>515471</xdr:colOff>
      <xdr:row>15</xdr:row>
      <xdr:rowOff>156882</xdr:rowOff>
    </xdr:from>
    <xdr:to>
      <xdr:col>20</xdr:col>
      <xdr:colOff>313765</xdr:colOff>
      <xdr:row>24</xdr:row>
      <xdr:rowOff>156882</xdr:rowOff>
    </xdr:to>
    <xdr:cxnSp macro="">
      <xdr:nvCxnSpPr>
        <xdr:cNvPr id="22" name="Conector de Seta Reta 21">
          <a:extLst>
            <a:ext uri="{FF2B5EF4-FFF2-40B4-BE49-F238E27FC236}">
              <a16:creationId xmlns:a16="http://schemas.microsoft.com/office/drawing/2014/main" id="{B66B681E-8261-4A24-9852-4FD239AAEFC4}"/>
            </a:ext>
          </a:extLst>
        </xdr:cNvPr>
        <xdr:cNvCxnSpPr/>
      </xdr:nvCxnSpPr>
      <xdr:spPr>
        <a:xfrm>
          <a:off x="6185647" y="3014382"/>
          <a:ext cx="5244353" cy="17145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268938</xdr:colOff>
      <xdr:row>3</xdr:row>
      <xdr:rowOff>1681</xdr:rowOff>
    </xdr:from>
    <xdr:to>
      <xdr:col>35</xdr:col>
      <xdr:colOff>581291</xdr:colOff>
      <xdr:row>30</xdr:row>
      <xdr:rowOff>186181</xdr:rowOff>
    </xdr:to>
    <xdr:graphicFrame macro="">
      <xdr:nvGraphicFramePr>
        <xdr:cNvPr id="24" name="Gráfico 23">
          <a:extLst>
            <a:ext uri="{FF2B5EF4-FFF2-40B4-BE49-F238E27FC236}">
              <a16:creationId xmlns:a16="http://schemas.microsoft.com/office/drawing/2014/main" id="{AE0454DD-7DD8-4477-9495-62A3C20A85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22</xdr:col>
      <xdr:colOff>147347</xdr:colOff>
      <xdr:row>26</xdr:row>
      <xdr:rowOff>188261</xdr:rowOff>
    </xdr:from>
    <xdr:to>
      <xdr:col>25</xdr:col>
      <xdr:colOff>240915</xdr:colOff>
      <xdr:row>28</xdr:row>
      <xdr:rowOff>71821</xdr:rowOff>
    </xdr:to>
    <xdr:sp macro="" textlink="">
      <xdr:nvSpPr>
        <xdr:cNvPr id="25" name="CaixaDeTexto 24">
          <a:extLst>
            <a:ext uri="{FF2B5EF4-FFF2-40B4-BE49-F238E27FC236}">
              <a16:creationId xmlns:a16="http://schemas.microsoft.com/office/drawing/2014/main" id="{CEB7B49D-3A7D-442C-9C58-CA55739A26E7}"/>
            </a:ext>
          </a:extLst>
        </xdr:cNvPr>
        <xdr:cNvSpPr txBox="1"/>
      </xdr:nvSpPr>
      <xdr:spPr>
        <a:xfrm>
          <a:off x="12473818" y="514126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21</xdr:col>
      <xdr:colOff>268944</xdr:colOff>
      <xdr:row>32</xdr:row>
      <xdr:rowOff>840</xdr:rowOff>
    </xdr:from>
    <xdr:to>
      <xdr:col>35</xdr:col>
      <xdr:colOff>581297</xdr:colOff>
      <xdr:row>59</xdr:row>
      <xdr:rowOff>185340</xdr:rowOff>
    </xdr:to>
    <xdr:graphicFrame macro="">
      <xdr:nvGraphicFramePr>
        <xdr:cNvPr id="29" name="Gráfico 28">
          <a:extLst>
            <a:ext uri="{FF2B5EF4-FFF2-40B4-BE49-F238E27FC236}">
              <a16:creationId xmlns:a16="http://schemas.microsoft.com/office/drawing/2014/main" id="{21C4D9FC-0DBD-40FB-A9B6-EB713CFCD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22</xdr:col>
      <xdr:colOff>94967</xdr:colOff>
      <xdr:row>55</xdr:row>
      <xdr:rowOff>170332</xdr:rowOff>
    </xdr:from>
    <xdr:to>
      <xdr:col>25</xdr:col>
      <xdr:colOff>188535</xdr:colOff>
      <xdr:row>57</xdr:row>
      <xdr:rowOff>53892</xdr:rowOff>
    </xdr:to>
    <xdr:sp macro="" textlink="">
      <xdr:nvSpPr>
        <xdr:cNvPr id="30" name="CaixaDeTexto 29">
          <a:extLst>
            <a:ext uri="{FF2B5EF4-FFF2-40B4-BE49-F238E27FC236}">
              <a16:creationId xmlns:a16="http://schemas.microsoft.com/office/drawing/2014/main" id="{7DDADD1A-D1B1-43E1-AA1D-D6F738B0371B}"/>
            </a:ext>
          </a:extLst>
        </xdr:cNvPr>
        <xdr:cNvSpPr txBox="1"/>
      </xdr:nvSpPr>
      <xdr:spPr>
        <a:xfrm>
          <a:off x="12421438" y="10647832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67235</xdr:colOff>
      <xdr:row>61</xdr:row>
      <xdr:rowOff>840</xdr:rowOff>
    </xdr:from>
    <xdr:to>
      <xdr:col>21</xdr:col>
      <xdr:colOff>267529</xdr:colOff>
      <xdr:row>88</xdr:row>
      <xdr:rowOff>185340</xdr:rowOff>
    </xdr:to>
    <xdr:graphicFrame macro="">
      <xdr:nvGraphicFramePr>
        <xdr:cNvPr id="31" name="Gráfico 30">
          <a:extLst>
            <a:ext uri="{FF2B5EF4-FFF2-40B4-BE49-F238E27FC236}">
              <a16:creationId xmlns:a16="http://schemas.microsoft.com/office/drawing/2014/main" id="{64ED557B-BA33-456C-84AD-5DCDEADF21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434787</xdr:colOff>
      <xdr:row>84</xdr:row>
      <xdr:rowOff>181539</xdr:rowOff>
    </xdr:from>
    <xdr:to>
      <xdr:col>10</xdr:col>
      <xdr:colOff>528355</xdr:colOff>
      <xdr:row>86</xdr:row>
      <xdr:rowOff>65099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1BDB116A-66D6-4E57-B746-D7B773431C6B}"/>
            </a:ext>
          </a:extLst>
        </xdr:cNvPr>
        <xdr:cNvSpPr txBox="1"/>
      </xdr:nvSpPr>
      <xdr:spPr>
        <a:xfrm>
          <a:off x="3684493" y="16183539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34</xdr:col>
      <xdr:colOff>215155</xdr:colOff>
      <xdr:row>123</xdr:row>
      <xdr:rowOff>138204</xdr:rowOff>
    </xdr:from>
    <xdr:to>
      <xdr:col>34</xdr:col>
      <xdr:colOff>431155</xdr:colOff>
      <xdr:row>124</xdr:row>
      <xdr:rowOff>163704</xdr:rowOff>
    </xdr:to>
    <xdr:cxnSp macro="">
      <xdr:nvCxnSpPr>
        <xdr:cNvPr id="21" name="Conector de Seta Reta 20">
          <a:extLst>
            <a:ext uri="{FF2B5EF4-FFF2-40B4-BE49-F238E27FC236}">
              <a16:creationId xmlns:a16="http://schemas.microsoft.com/office/drawing/2014/main" id="{924322A5-FFD6-424F-A2FF-22298C90DD6B}"/>
            </a:ext>
          </a:extLst>
        </xdr:cNvPr>
        <xdr:cNvCxnSpPr/>
      </xdr:nvCxnSpPr>
      <xdr:spPr>
        <a:xfrm>
          <a:off x="19803037" y="23569704"/>
          <a:ext cx="216000" cy="2160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33</xdr:col>
      <xdr:colOff>596153</xdr:colOff>
      <xdr:row>122</xdr:row>
      <xdr:rowOff>6724</xdr:rowOff>
    </xdr:from>
    <xdr:ext cx="438518" cy="262957"/>
    <xdr:sp macro="" textlink="">
      <xdr:nvSpPr>
        <xdr:cNvPr id="23" name="CaixaDeTexto 22">
          <a:extLst>
            <a:ext uri="{FF2B5EF4-FFF2-40B4-BE49-F238E27FC236}">
              <a16:creationId xmlns:a16="http://schemas.microsoft.com/office/drawing/2014/main" id="{CD4C1D00-942A-4CFD-B1B7-C5A848256D99}"/>
            </a:ext>
          </a:extLst>
        </xdr:cNvPr>
        <xdr:cNvSpPr txBox="1"/>
      </xdr:nvSpPr>
      <xdr:spPr>
        <a:xfrm>
          <a:off x="19578918" y="23247724"/>
          <a:ext cx="438518" cy="2629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latin typeface="Arial Nova" panose="020B0504020202020204" pitchFamily="34" charset="0"/>
            </a:rPr>
            <a:t>-5%</a:t>
          </a:r>
        </a:p>
      </xdr:txBody>
    </xdr:sp>
    <xdr:clientData/>
  </xdr:oneCellAnchor>
  <xdr:twoCellAnchor>
    <xdr:from>
      <xdr:col>21</xdr:col>
      <xdr:colOff>271749</xdr:colOff>
      <xdr:row>90</xdr:row>
      <xdr:rowOff>840</xdr:rowOff>
    </xdr:from>
    <xdr:to>
      <xdr:col>35</xdr:col>
      <xdr:colOff>584102</xdr:colOff>
      <xdr:row>117</xdr:row>
      <xdr:rowOff>185340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9602037B-09BF-4DB2-9727-54893BB465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159125</xdr:colOff>
      <xdr:row>113</xdr:row>
      <xdr:rowOff>186021</xdr:rowOff>
    </xdr:from>
    <xdr:to>
      <xdr:col>25</xdr:col>
      <xdr:colOff>252693</xdr:colOff>
      <xdr:row>115</xdr:row>
      <xdr:rowOff>69581</xdr:rowOff>
    </xdr:to>
    <xdr:sp macro="" textlink="">
      <xdr:nvSpPr>
        <xdr:cNvPr id="36" name="CaixaDeTexto 35">
          <a:extLst>
            <a:ext uri="{FF2B5EF4-FFF2-40B4-BE49-F238E27FC236}">
              <a16:creationId xmlns:a16="http://schemas.microsoft.com/office/drawing/2014/main" id="{316B8ABD-494D-456B-BC3D-D7E5F9B46FD8}"/>
            </a:ext>
          </a:extLst>
        </xdr:cNvPr>
        <xdr:cNvSpPr txBox="1"/>
      </xdr:nvSpPr>
      <xdr:spPr>
        <a:xfrm>
          <a:off x="12485596" y="2171252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230829</xdr:colOff>
      <xdr:row>103</xdr:row>
      <xdr:rowOff>96371</xdr:rowOff>
    </xdr:from>
    <xdr:to>
      <xdr:col>35</xdr:col>
      <xdr:colOff>32300</xdr:colOff>
      <xdr:row>103</xdr:row>
      <xdr:rowOff>96371</xdr:rowOff>
    </xdr:to>
    <xdr:cxnSp macro="">
      <xdr:nvCxnSpPr>
        <xdr:cNvPr id="40" name="Conector de Seta Reta 39">
          <a:extLst>
            <a:ext uri="{FF2B5EF4-FFF2-40B4-BE49-F238E27FC236}">
              <a16:creationId xmlns:a16="http://schemas.microsoft.com/office/drawing/2014/main" id="{44C147E7-530C-4E76-902F-A41C222401E5}"/>
            </a:ext>
          </a:extLst>
        </xdr:cNvPr>
        <xdr:cNvCxnSpPr/>
      </xdr:nvCxnSpPr>
      <xdr:spPr>
        <a:xfrm>
          <a:off x="12557300" y="19717871"/>
          <a:ext cx="7668000" cy="0"/>
        </a:xfrm>
        <a:prstGeom prst="straightConnector1">
          <a:avLst/>
        </a:prstGeom>
        <a:ln w="3810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67235</xdr:colOff>
      <xdr:row>90</xdr:row>
      <xdr:rowOff>840</xdr:rowOff>
    </xdr:from>
    <xdr:to>
      <xdr:col>21</xdr:col>
      <xdr:colOff>267529</xdr:colOff>
      <xdr:row>117</xdr:row>
      <xdr:rowOff>185340</xdr:rowOff>
    </xdr:to>
    <xdr:grpSp>
      <xdr:nvGrpSpPr>
        <xdr:cNvPr id="11" name="Agrupar 10">
          <a:extLst>
            <a:ext uri="{FF2B5EF4-FFF2-40B4-BE49-F238E27FC236}">
              <a16:creationId xmlns:a16="http://schemas.microsoft.com/office/drawing/2014/main" id="{E3361CF7-B170-D647-F37E-5D6EB1F9697B}"/>
            </a:ext>
          </a:extLst>
        </xdr:cNvPr>
        <xdr:cNvGrpSpPr/>
      </xdr:nvGrpSpPr>
      <xdr:grpSpPr>
        <a:xfrm>
          <a:off x="3204882" y="17145840"/>
          <a:ext cx="8784000" cy="5328000"/>
          <a:chOff x="3204882" y="17145840"/>
          <a:chExt cx="8784000" cy="5328000"/>
        </a:xfrm>
      </xdr:grpSpPr>
      <xdr:graphicFrame macro="">
        <xdr:nvGraphicFramePr>
          <xdr:cNvPr id="37" name="Gráfico 36">
            <a:extLst>
              <a:ext uri="{FF2B5EF4-FFF2-40B4-BE49-F238E27FC236}">
                <a16:creationId xmlns:a16="http://schemas.microsoft.com/office/drawing/2014/main" id="{5DC46FA3-5308-43F2-9617-305485BD236A}"/>
              </a:ext>
            </a:extLst>
          </xdr:cNvPr>
          <xdr:cNvGraphicFramePr>
            <a:graphicFrameLocks/>
          </xdr:cNvGraphicFramePr>
        </xdr:nvGraphicFramePr>
        <xdr:xfrm>
          <a:off x="3204882" y="17145840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41" name="CaixaDeTexto 40">
            <a:extLst>
              <a:ext uri="{FF2B5EF4-FFF2-40B4-BE49-F238E27FC236}">
                <a16:creationId xmlns:a16="http://schemas.microsoft.com/office/drawing/2014/main" id="{CD769B57-55F8-4D31-A898-570917777FBF}"/>
              </a:ext>
            </a:extLst>
          </xdr:cNvPr>
          <xdr:cNvSpPr txBox="1"/>
        </xdr:nvSpPr>
        <xdr:spPr>
          <a:xfrm>
            <a:off x="3684493" y="21663215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22</xdr:col>
      <xdr:colOff>89645</xdr:colOff>
      <xdr:row>45</xdr:row>
      <xdr:rowOff>156883</xdr:rowOff>
    </xdr:from>
    <xdr:to>
      <xdr:col>35</xdr:col>
      <xdr:colOff>503116</xdr:colOff>
      <xdr:row>45</xdr:row>
      <xdr:rowOff>156883</xdr:rowOff>
    </xdr:to>
    <xdr:cxnSp macro="">
      <xdr:nvCxnSpPr>
        <xdr:cNvPr id="5" name="Conector de Seta Reta 4">
          <a:extLst>
            <a:ext uri="{FF2B5EF4-FFF2-40B4-BE49-F238E27FC236}">
              <a16:creationId xmlns:a16="http://schemas.microsoft.com/office/drawing/2014/main" id="{300DEFF8-8EA6-4F70-AEA0-F24AC7FC7EAE}"/>
            </a:ext>
          </a:extLst>
        </xdr:cNvPr>
        <xdr:cNvCxnSpPr/>
      </xdr:nvCxnSpPr>
      <xdr:spPr>
        <a:xfrm flipV="1">
          <a:off x="12416116" y="8729383"/>
          <a:ext cx="8280000" cy="0"/>
        </a:xfrm>
        <a:prstGeom prst="straightConnector1">
          <a:avLst/>
        </a:prstGeom>
        <a:ln w="3810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70882</xdr:colOff>
      <xdr:row>32</xdr:row>
      <xdr:rowOff>840</xdr:rowOff>
    </xdr:from>
    <xdr:to>
      <xdr:col>21</xdr:col>
      <xdr:colOff>271176</xdr:colOff>
      <xdr:row>59</xdr:row>
      <xdr:rowOff>185340</xdr:rowOff>
    </xdr:to>
    <xdr:grpSp>
      <xdr:nvGrpSpPr>
        <xdr:cNvPr id="14" name="Agrupar 13">
          <a:extLst>
            <a:ext uri="{FF2B5EF4-FFF2-40B4-BE49-F238E27FC236}">
              <a16:creationId xmlns:a16="http://schemas.microsoft.com/office/drawing/2014/main" id="{C90C7B8B-1435-84A2-4147-CD05B334883A}"/>
            </a:ext>
          </a:extLst>
        </xdr:cNvPr>
        <xdr:cNvGrpSpPr/>
      </xdr:nvGrpSpPr>
      <xdr:grpSpPr>
        <a:xfrm>
          <a:off x="3208529" y="6096840"/>
          <a:ext cx="8784000" cy="5328000"/>
          <a:chOff x="3208529" y="6096840"/>
          <a:chExt cx="8784000" cy="5328000"/>
        </a:xfrm>
      </xdr:grpSpPr>
      <xdr:graphicFrame macro="">
        <xdr:nvGraphicFramePr>
          <xdr:cNvPr id="3" name="Gráfico 2">
            <a:extLst>
              <a:ext uri="{FF2B5EF4-FFF2-40B4-BE49-F238E27FC236}">
                <a16:creationId xmlns:a16="http://schemas.microsoft.com/office/drawing/2014/main" id="{F376F7A3-BEFD-4CF3-9E3F-699C17199E13}"/>
              </a:ext>
            </a:extLst>
          </xdr:cNvPr>
          <xdr:cNvGraphicFramePr>
            <a:graphicFrameLocks/>
          </xdr:cNvGraphicFramePr>
        </xdr:nvGraphicFramePr>
        <xdr:xfrm>
          <a:off x="3208529" y="6096840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B783F054-A966-4466-BAF7-C97C2E5B42DD}"/>
              </a:ext>
            </a:extLst>
          </xdr:cNvPr>
          <xdr:cNvSpPr txBox="1"/>
        </xdr:nvSpPr>
        <xdr:spPr>
          <a:xfrm>
            <a:off x="3525370" y="6936442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  <xdr:sp macro="" textlink="">
        <xdr:nvSpPr>
          <xdr:cNvPr id="7" name="Retângulo 6">
            <a:extLst>
              <a:ext uri="{FF2B5EF4-FFF2-40B4-BE49-F238E27FC236}">
                <a16:creationId xmlns:a16="http://schemas.microsoft.com/office/drawing/2014/main" id="{B657CBEC-9554-0AE5-C2FD-F0B9E75D7BB5}"/>
              </a:ext>
            </a:extLst>
          </xdr:cNvPr>
          <xdr:cNvSpPr/>
        </xdr:nvSpPr>
        <xdr:spPr>
          <a:xfrm>
            <a:off x="7732059" y="7283825"/>
            <a:ext cx="750794" cy="3204881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  <xdr:sp macro="" textlink="">
        <xdr:nvSpPr>
          <xdr:cNvPr id="10" name="Retângulo 9">
            <a:extLst>
              <a:ext uri="{FF2B5EF4-FFF2-40B4-BE49-F238E27FC236}">
                <a16:creationId xmlns:a16="http://schemas.microsoft.com/office/drawing/2014/main" id="{44137236-AF96-4062-8D68-CCB3BDBBEA41}"/>
              </a:ext>
            </a:extLst>
          </xdr:cNvPr>
          <xdr:cNvSpPr/>
        </xdr:nvSpPr>
        <xdr:spPr>
          <a:xfrm>
            <a:off x="11172264" y="8157882"/>
            <a:ext cx="403411" cy="2857500"/>
          </a:xfrm>
          <a:prstGeom prst="rect">
            <a:avLst/>
          </a:prstGeom>
          <a:noFill/>
          <a:ln w="28575">
            <a:solidFill>
              <a:srgbClr val="FF0000"/>
            </a:solidFill>
          </a:ln>
        </xdr:spPr>
        <xdr:style>
          <a:lnRef idx="2">
            <a:schemeClr val="accent1">
              <a:shade val="15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pt-BR" sz="1100"/>
          </a:p>
        </xdr:txBody>
      </xdr:sp>
    </xdr:grpSp>
    <xdr:clientData/>
  </xdr:twoCellAnchor>
  <xdr:oneCellAnchor>
    <xdr:from>
      <xdr:col>22</xdr:col>
      <xdr:colOff>85164</xdr:colOff>
      <xdr:row>44</xdr:row>
      <xdr:rowOff>67239</xdr:rowOff>
    </xdr:from>
    <xdr:ext cx="1139671" cy="262957"/>
    <xdr:sp macro="" textlink="">
      <xdr:nvSpPr>
        <xdr:cNvPr id="26" name="CaixaDeTexto 25">
          <a:extLst>
            <a:ext uri="{FF2B5EF4-FFF2-40B4-BE49-F238E27FC236}">
              <a16:creationId xmlns:a16="http://schemas.microsoft.com/office/drawing/2014/main" id="{06E998A4-DCEB-48AC-A2D1-3472CCEC3C55}"/>
            </a:ext>
          </a:extLst>
        </xdr:cNvPr>
        <xdr:cNvSpPr txBox="1"/>
      </xdr:nvSpPr>
      <xdr:spPr>
        <a:xfrm>
          <a:off x="12411635" y="8449239"/>
          <a:ext cx="1139671" cy="26295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100" b="1">
              <a:latin typeface="Arial Nova" panose="020B0504020202020204" pitchFamily="34" charset="0"/>
            </a:rPr>
            <a:t>&gt;8 = Recessão</a:t>
          </a:r>
        </a:p>
      </xdr:txBody>
    </xdr:sp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358586</xdr:colOff>
      <xdr:row>90</xdr:row>
      <xdr:rowOff>420</xdr:rowOff>
    </xdr:from>
    <xdr:to>
      <xdr:col>26</xdr:col>
      <xdr:colOff>161010</xdr:colOff>
      <xdr:row>117</xdr:row>
      <xdr:rowOff>184920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501F12BE-2E8D-4088-AB5E-174DACDFB0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67235</xdr:colOff>
      <xdr:row>90</xdr:row>
      <xdr:rowOff>420</xdr:rowOff>
    </xdr:from>
    <xdr:to>
      <xdr:col>16</xdr:col>
      <xdr:colOff>362717</xdr:colOff>
      <xdr:row>117</xdr:row>
      <xdr:rowOff>184920</xdr:rowOff>
    </xdr:to>
    <xdr:graphicFrame macro="">
      <xdr:nvGraphicFramePr>
        <xdr:cNvPr id="19" name="Gráfico 18">
          <a:extLst>
            <a:ext uri="{FF2B5EF4-FFF2-40B4-BE49-F238E27FC236}">
              <a16:creationId xmlns:a16="http://schemas.microsoft.com/office/drawing/2014/main" id="{3B41CEC0-D1F2-4CB6-9514-5005A541A2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268941</xdr:colOff>
      <xdr:row>32</xdr:row>
      <xdr:rowOff>11206</xdr:rowOff>
    </xdr:from>
    <xdr:to>
      <xdr:col>35</xdr:col>
      <xdr:colOff>581294</xdr:colOff>
      <xdr:row>60</xdr:row>
      <xdr:rowOff>5206</xdr:rowOff>
    </xdr:to>
    <xdr:graphicFrame macro="">
      <xdr:nvGraphicFramePr>
        <xdr:cNvPr id="49" name="Gráfico 48">
          <a:extLst>
            <a:ext uri="{FF2B5EF4-FFF2-40B4-BE49-F238E27FC236}">
              <a16:creationId xmlns:a16="http://schemas.microsoft.com/office/drawing/2014/main" id="{2A599E7A-87F3-4476-998F-B8986F6BFA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70882</xdr:colOff>
      <xdr:row>2</xdr:row>
      <xdr:rowOff>180131</xdr:rowOff>
    </xdr:from>
    <xdr:to>
      <xdr:col>21</xdr:col>
      <xdr:colOff>271176</xdr:colOff>
      <xdr:row>30</xdr:row>
      <xdr:rowOff>174131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8DA5A8DC-8CC0-4D30-8C85-F0BCBCB0EE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271749</xdr:colOff>
      <xdr:row>2</xdr:row>
      <xdr:rowOff>180131</xdr:rowOff>
    </xdr:from>
    <xdr:to>
      <xdr:col>35</xdr:col>
      <xdr:colOff>584102</xdr:colOff>
      <xdr:row>30</xdr:row>
      <xdr:rowOff>174131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67B74426-CF64-4C54-B5BF-C78A85B170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342897</xdr:colOff>
      <xdr:row>113</xdr:row>
      <xdr:rowOff>174815</xdr:rowOff>
    </xdr:from>
    <xdr:to>
      <xdr:col>10</xdr:col>
      <xdr:colOff>436465</xdr:colOff>
      <xdr:row>115</xdr:row>
      <xdr:rowOff>58375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8FF41AD0-96B0-498E-BCCC-3C05D30BCB8C}"/>
            </a:ext>
          </a:extLst>
        </xdr:cNvPr>
        <xdr:cNvSpPr txBox="1"/>
      </xdr:nvSpPr>
      <xdr:spPr>
        <a:xfrm>
          <a:off x="3592603" y="2170131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7</xdr:col>
      <xdr:colOff>504266</xdr:colOff>
      <xdr:row>27</xdr:row>
      <xdr:rowOff>52673</xdr:rowOff>
    </xdr:from>
    <xdr:to>
      <xdr:col>10</xdr:col>
      <xdr:colOff>597834</xdr:colOff>
      <xdr:row>28</xdr:row>
      <xdr:rowOff>126733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37AC2757-A024-44AE-B629-0C03E59AD78E}"/>
            </a:ext>
          </a:extLst>
        </xdr:cNvPr>
        <xdr:cNvSpPr txBox="1"/>
      </xdr:nvSpPr>
      <xdr:spPr>
        <a:xfrm>
          <a:off x="3753972" y="519617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62754</xdr:colOff>
      <xdr:row>28</xdr:row>
      <xdr:rowOff>41469</xdr:rowOff>
    </xdr:from>
    <xdr:to>
      <xdr:col>25</xdr:col>
      <xdr:colOff>156322</xdr:colOff>
      <xdr:row>29</xdr:row>
      <xdr:rowOff>115529</xdr:rowOff>
    </xdr:to>
    <xdr:sp macro="" textlink="">
      <xdr:nvSpPr>
        <xdr:cNvPr id="11" name="CaixaDeTexto 10">
          <a:extLst>
            <a:ext uri="{FF2B5EF4-FFF2-40B4-BE49-F238E27FC236}">
              <a16:creationId xmlns:a16="http://schemas.microsoft.com/office/drawing/2014/main" id="{AB731D82-FD58-4472-A2A7-5B74E58693C3}"/>
            </a:ext>
          </a:extLst>
        </xdr:cNvPr>
        <xdr:cNvSpPr txBox="1"/>
      </xdr:nvSpPr>
      <xdr:spPr>
        <a:xfrm>
          <a:off x="12389225" y="5375469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32</xdr:row>
      <xdr:rowOff>1681</xdr:rowOff>
    </xdr:from>
    <xdr:to>
      <xdr:col>21</xdr:col>
      <xdr:colOff>271176</xdr:colOff>
      <xdr:row>59</xdr:row>
      <xdr:rowOff>186181</xdr:rowOff>
    </xdr:to>
    <xdr:graphicFrame macro="">
      <xdr:nvGraphicFramePr>
        <xdr:cNvPr id="12" name="Gráfico 11">
          <a:extLst>
            <a:ext uri="{FF2B5EF4-FFF2-40B4-BE49-F238E27FC236}">
              <a16:creationId xmlns:a16="http://schemas.microsoft.com/office/drawing/2014/main" id="{CF0A0B41-34CA-4917-B7A5-5AD3688BF9E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17</xdr:col>
      <xdr:colOff>477383</xdr:colOff>
      <xdr:row>55</xdr:row>
      <xdr:rowOff>179297</xdr:rowOff>
    </xdr:from>
    <xdr:to>
      <xdr:col>20</xdr:col>
      <xdr:colOff>570951</xdr:colOff>
      <xdr:row>57</xdr:row>
      <xdr:rowOff>62857</xdr:rowOff>
    </xdr:to>
    <xdr:sp macro="" textlink="">
      <xdr:nvSpPr>
        <xdr:cNvPr id="13" name="CaixaDeTexto 12">
          <a:extLst>
            <a:ext uri="{FF2B5EF4-FFF2-40B4-BE49-F238E27FC236}">
              <a16:creationId xmlns:a16="http://schemas.microsoft.com/office/drawing/2014/main" id="{E6CA1769-ADB7-45DA-AA7A-69AC97C1928E}"/>
            </a:ext>
          </a:extLst>
        </xdr:cNvPr>
        <xdr:cNvSpPr txBox="1"/>
      </xdr:nvSpPr>
      <xdr:spPr>
        <a:xfrm>
          <a:off x="9778265" y="10656797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158553</xdr:colOff>
      <xdr:row>56</xdr:row>
      <xdr:rowOff>42585</xdr:rowOff>
    </xdr:from>
    <xdr:to>
      <xdr:col>25</xdr:col>
      <xdr:colOff>252121</xdr:colOff>
      <xdr:row>57</xdr:row>
      <xdr:rowOff>116645</xdr:rowOff>
    </xdr:to>
    <xdr:sp macro="" textlink="">
      <xdr:nvSpPr>
        <xdr:cNvPr id="16" name="CaixaDeTexto 15">
          <a:extLst>
            <a:ext uri="{FF2B5EF4-FFF2-40B4-BE49-F238E27FC236}">
              <a16:creationId xmlns:a16="http://schemas.microsoft.com/office/drawing/2014/main" id="{EE3CB6B7-2119-4C3E-B186-A945BC497B07}"/>
            </a:ext>
          </a:extLst>
        </xdr:cNvPr>
        <xdr:cNvSpPr txBox="1"/>
      </xdr:nvSpPr>
      <xdr:spPr>
        <a:xfrm>
          <a:off x="12485024" y="1071058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26</xdr:col>
      <xdr:colOff>156883</xdr:colOff>
      <xdr:row>90</xdr:row>
      <xdr:rowOff>420</xdr:rowOff>
    </xdr:from>
    <xdr:to>
      <xdr:col>35</xdr:col>
      <xdr:colOff>564424</xdr:colOff>
      <xdr:row>117</xdr:row>
      <xdr:rowOff>184920</xdr:rowOff>
    </xdr:to>
    <xdr:grpSp>
      <xdr:nvGrpSpPr>
        <xdr:cNvPr id="20" name="Agrupar 19">
          <a:extLst>
            <a:ext uri="{FF2B5EF4-FFF2-40B4-BE49-F238E27FC236}">
              <a16:creationId xmlns:a16="http://schemas.microsoft.com/office/drawing/2014/main" id="{1A328855-A851-55FF-F4F0-0603E9F04F32}"/>
            </a:ext>
          </a:extLst>
        </xdr:cNvPr>
        <xdr:cNvGrpSpPr/>
      </xdr:nvGrpSpPr>
      <xdr:grpSpPr>
        <a:xfrm>
          <a:off x="14903824" y="17145420"/>
          <a:ext cx="5853600" cy="5328000"/>
          <a:chOff x="14903824" y="17145420"/>
          <a:chExt cx="5853600" cy="5328000"/>
        </a:xfrm>
      </xdr:grpSpPr>
      <xdr:graphicFrame macro="">
        <xdr:nvGraphicFramePr>
          <xdr:cNvPr id="53" name="Gráfico 52">
            <a:extLst>
              <a:ext uri="{FF2B5EF4-FFF2-40B4-BE49-F238E27FC236}">
                <a16:creationId xmlns:a16="http://schemas.microsoft.com/office/drawing/2014/main" id="{9DA63B8C-BBF8-4952-B319-77F91703C385}"/>
              </a:ext>
            </a:extLst>
          </xdr:cNvPr>
          <xdr:cNvGraphicFramePr>
            <a:graphicFrameLocks/>
          </xdr:cNvGraphicFramePr>
        </xdr:nvGraphicFramePr>
        <xdr:xfrm>
          <a:off x="14903824" y="17145420"/>
          <a:ext cx="58536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18" name="CaixaDeTexto 17">
            <a:extLst>
              <a:ext uri="{FF2B5EF4-FFF2-40B4-BE49-F238E27FC236}">
                <a16:creationId xmlns:a16="http://schemas.microsoft.com/office/drawing/2014/main" id="{9CCC41D8-EA83-4F18-894E-40C19415576A}"/>
              </a:ext>
            </a:extLst>
          </xdr:cNvPr>
          <xdr:cNvSpPr txBox="1"/>
        </xdr:nvSpPr>
        <xdr:spPr>
          <a:xfrm>
            <a:off x="15402211" y="21678903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r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12</xdr:col>
      <xdr:colOff>381000</xdr:colOff>
      <xdr:row>36</xdr:row>
      <xdr:rowOff>123265</xdr:rowOff>
    </xdr:from>
    <xdr:to>
      <xdr:col>20</xdr:col>
      <xdr:colOff>56030</xdr:colOff>
      <xdr:row>48</xdr:row>
      <xdr:rowOff>134471</xdr:rowOff>
    </xdr:to>
    <xdr:cxnSp macro="">
      <xdr:nvCxnSpPr>
        <xdr:cNvPr id="41" name="Conector de Seta Reta 40">
          <a:extLst>
            <a:ext uri="{FF2B5EF4-FFF2-40B4-BE49-F238E27FC236}">
              <a16:creationId xmlns:a16="http://schemas.microsoft.com/office/drawing/2014/main" id="{80ACEC4C-2AF3-426D-AEFC-162C0C61970A}"/>
            </a:ext>
          </a:extLst>
        </xdr:cNvPr>
        <xdr:cNvCxnSpPr/>
      </xdr:nvCxnSpPr>
      <xdr:spPr>
        <a:xfrm flipV="1">
          <a:off x="6656294" y="6981265"/>
          <a:ext cx="4515971" cy="2297206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44822</xdr:colOff>
      <xdr:row>94</xdr:row>
      <xdr:rowOff>168088</xdr:rowOff>
    </xdr:from>
    <xdr:to>
      <xdr:col>16</xdr:col>
      <xdr:colOff>134470</xdr:colOff>
      <xdr:row>95</xdr:row>
      <xdr:rowOff>67236</xdr:rowOff>
    </xdr:to>
    <xdr:cxnSp macro="">
      <xdr:nvCxnSpPr>
        <xdr:cNvPr id="50" name="Conector de Seta Reta 49">
          <a:extLst>
            <a:ext uri="{FF2B5EF4-FFF2-40B4-BE49-F238E27FC236}">
              <a16:creationId xmlns:a16="http://schemas.microsoft.com/office/drawing/2014/main" id="{241D5990-CA9C-4F6A-A25C-BF6A7FA15B4F}"/>
            </a:ext>
          </a:extLst>
        </xdr:cNvPr>
        <xdr:cNvCxnSpPr/>
      </xdr:nvCxnSpPr>
      <xdr:spPr>
        <a:xfrm flipV="1">
          <a:off x="5109881" y="18075088"/>
          <a:ext cx="3720354" cy="89648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314611</xdr:colOff>
      <xdr:row>113</xdr:row>
      <xdr:rowOff>141197</xdr:rowOff>
    </xdr:from>
    <xdr:to>
      <xdr:col>20</xdr:col>
      <xdr:colOff>408179</xdr:colOff>
      <xdr:row>115</xdr:row>
      <xdr:rowOff>24757</xdr:rowOff>
    </xdr:to>
    <xdr:sp macro="" textlink="">
      <xdr:nvSpPr>
        <xdr:cNvPr id="54" name="CaixaDeTexto 53">
          <a:extLst>
            <a:ext uri="{FF2B5EF4-FFF2-40B4-BE49-F238E27FC236}">
              <a16:creationId xmlns:a16="http://schemas.microsoft.com/office/drawing/2014/main" id="{DA11A82F-D7B3-4CBA-8358-7DDB976BEED6}"/>
            </a:ext>
          </a:extLst>
        </xdr:cNvPr>
        <xdr:cNvSpPr txBox="1"/>
      </xdr:nvSpPr>
      <xdr:spPr>
        <a:xfrm>
          <a:off x="9615493" y="21667697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26</xdr:col>
      <xdr:colOff>145677</xdr:colOff>
      <xdr:row>61</xdr:row>
      <xdr:rowOff>0</xdr:rowOff>
    </xdr:from>
    <xdr:to>
      <xdr:col>35</xdr:col>
      <xdr:colOff>553218</xdr:colOff>
      <xdr:row>74</xdr:row>
      <xdr:rowOff>187500</xdr:rowOff>
    </xdr:to>
    <xdr:graphicFrame macro="">
      <xdr:nvGraphicFramePr>
        <xdr:cNvPr id="55" name="Gráfico 54">
          <a:extLst>
            <a:ext uri="{FF2B5EF4-FFF2-40B4-BE49-F238E27FC236}">
              <a16:creationId xmlns:a16="http://schemas.microsoft.com/office/drawing/2014/main" id="{80561793-7661-4D0C-A18E-7739CE8F8E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16</xdr:col>
      <xdr:colOff>347380</xdr:colOff>
      <xdr:row>61</xdr:row>
      <xdr:rowOff>0</xdr:rowOff>
    </xdr:from>
    <xdr:to>
      <xdr:col>26</xdr:col>
      <xdr:colOff>149804</xdr:colOff>
      <xdr:row>88</xdr:row>
      <xdr:rowOff>184500</xdr:rowOff>
    </xdr:to>
    <xdr:graphicFrame macro="">
      <xdr:nvGraphicFramePr>
        <xdr:cNvPr id="56" name="Gráfico 55">
          <a:extLst>
            <a:ext uri="{FF2B5EF4-FFF2-40B4-BE49-F238E27FC236}">
              <a16:creationId xmlns:a16="http://schemas.microsoft.com/office/drawing/2014/main" id="{0395EE9A-B526-4DA1-90BF-86AAFA202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6</xdr:col>
      <xdr:colOff>56029</xdr:colOff>
      <xdr:row>61</xdr:row>
      <xdr:rowOff>0</xdr:rowOff>
    </xdr:from>
    <xdr:to>
      <xdr:col>16</xdr:col>
      <xdr:colOff>351511</xdr:colOff>
      <xdr:row>88</xdr:row>
      <xdr:rowOff>184500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3D437DDE-AE5F-4585-AD0D-E5B8471ECB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13</xdr:col>
      <xdr:colOff>51552</xdr:colOff>
      <xdr:row>84</xdr:row>
      <xdr:rowOff>140777</xdr:rowOff>
    </xdr:from>
    <xdr:to>
      <xdr:col>16</xdr:col>
      <xdr:colOff>145120</xdr:colOff>
      <xdr:row>86</xdr:row>
      <xdr:rowOff>24337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95F42375-8F3E-4A62-8B00-8D184BC38CB2}"/>
            </a:ext>
          </a:extLst>
        </xdr:cNvPr>
        <xdr:cNvSpPr txBox="1"/>
      </xdr:nvSpPr>
      <xdr:spPr>
        <a:xfrm>
          <a:off x="6931964" y="16142777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27</xdr:col>
      <xdr:colOff>128594</xdr:colOff>
      <xdr:row>84</xdr:row>
      <xdr:rowOff>73541</xdr:rowOff>
    </xdr:from>
    <xdr:to>
      <xdr:col>30</xdr:col>
      <xdr:colOff>222162</xdr:colOff>
      <xdr:row>85</xdr:row>
      <xdr:rowOff>147601</xdr:rowOff>
    </xdr:to>
    <xdr:sp macro="" textlink="">
      <xdr:nvSpPr>
        <xdr:cNvPr id="59" name="CaixaDeTexto 58">
          <a:extLst>
            <a:ext uri="{FF2B5EF4-FFF2-40B4-BE49-F238E27FC236}">
              <a16:creationId xmlns:a16="http://schemas.microsoft.com/office/drawing/2014/main" id="{245457AE-29F7-43D2-9581-5B6B79E38EE3}"/>
            </a:ext>
          </a:extLst>
        </xdr:cNvPr>
        <xdr:cNvSpPr txBox="1"/>
      </xdr:nvSpPr>
      <xdr:spPr>
        <a:xfrm>
          <a:off x="15480653" y="2160004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11</xdr:col>
      <xdr:colOff>369795</xdr:colOff>
      <xdr:row>71</xdr:row>
      <xdr:rowOff>156882</xdr:rowOff>
    </xdr:from>
    <xdr:to>
      <xdr:col>16</xdr:col>
      <xdr:colOff>0</xdr:colOff>
      <xdr:row>82</xdr:row>
      <xdr:rowOff>22412</xdr:rowOff>
    </xdr:to>
    <xdr:cxnSp macro="">
      <xdr:nvCxnSpPr>
        <xdr:cNvPr id="60" name="Conector de Seta Reta 59">
          <a:extLst>
            <a:ext uri="{FF2B5EF4-FFF2-40B4-BE49-F238E27FC236}">
              <a16:creationId xmlns:a16="http://schemas.microsoft.com/office/drawing/2014/main" id="{038958B8-D7D4-4687-A8E6-4F51608480C9}"/>
            </a:ext>
          </a:extLst>
        </xdr:cNvPr>
        <xdr:cNvCxnSpPr/>
      </xdr:nvCxnSpPr>
      <xdr:spPr>
        <a:xfrm flipV="1">
          <a:off x="6039971" y="13682382"/>
          <a:ext cx="2655794" cy="196103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213757</xdr:colOff>
      <xdr:row>84</xdr:row>
      <xdr:rowOff>174395</xdr:rowOff>
    </xdr:from>
    <xdr:to>
      <xdr:col>20</xdr:col>
      <xdr:colOff>307325</xdr:colOff>
      <xdr:row>86</xdr:row>
      <xdr:rowOff>57955</xdr:rowOff>
    </xdr:to>
    <xdr:sp macro="" textlink="">
      <xdr:nvSpPr>
        <xdr:cNvPr id="61" name="CaixaDeTexto 60">
          <a:extLst>
            <a:ext uri="{FF2B5EF4-FFF2-40B4-BE49-F238E27FC236}">
              <a16:creationId xmlns:a16="http://schemas.microsoft.com/office/drawing/2014/main" id="{FB74BFB9-9920-4BAD-9271-C2D05FAB01E5}"/>
            </a:ext>
          </a:extLst>
        </xdr:cNvPr>
        <xdr:cNvSpPr txBox="1"/>
      </xdr:nvSpPr>
      <xdr:spPr>
        <a:xfrm>
          <a:off x="9514639" y="1617639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56029</xdr:colOff>
      <xdr:row>148</xdr:row>
      <xdr:rowOff>0</xdr:rowOff>
    </xdr:from>
    <xdr:to>
      <xdr:col>21</xdr:col>
      <xdr:colOff>256323</xdr:colOff>
      <xdr:row>175</xdr:row>
      <xdr:rowOff>184500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FE9B673-FC57-459A-ACD4-08DE225738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</xdr:col>
      <xdr:colOff>331691</xdr:colOff>
      <xdr:row>171</xdr:row>
      <xdr:rowOff>185601</xdr:rowOff>
    </xdr:from>
    <xdr:to>
      <xdr:col>10</xdr:col>
      <xdr:colOff>425259</xdr:colOff>
      <xdr:row>173</xdr:row>
      <xdr:rowOff>69161</xdr:rowOff>
    </xdr:to>
    <xdr:sp macro="" textlink="">
      <xdr:nvSpPr>
        <xdr:cNvPr id="7" name="CaixaDeTexto 6">
          <a:extLst>
            <a:ext uri="{FF2B5EF4-FFF2-40B4-BE49-F238E27FC236}">
              <a16:creationId xmlns:a16="http://schemas.microsoft.com/office/drawing/2014/main" id="{950454A2-3270-4D9D-B9B6-3B3336142703}"/>
            </a:ext>
          </a:extLst>
        </xdr:cNvPr>
        <xdr:cNvSpPr txBox="1"/>
      </xdr:nvSpPr>
      <xdr:spPr>
        <a:xfrm>
          <a:off x="3581397" y="3276110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9</xdr:col>
      <xdr:colOff>100853</xdr:colOff>
      <xdr:row>158</xdr:row>
      <xdr:rowOff>33618</xdr:rowOff>
    </xdr:from>
    <xdr:to>
      <xdr:col>11</xdr:col>
      <xdr:colOff>100853</xdr:colOff>
      <xdr:row>164</xdr:row>
      <xdr:rowOff>168088</xdr:rowOff>
    </xdr:to>
    <xdr:cxnSp macro="">
      <xdr:nvCxnSpPr>
        <xdr:cNvPr id="15" name="Conector de Seta Reta 14">
          <a:extLst>
            <a:ext uri="{FF2B5EF4-FFF2-40B4-BE49-F238E27FC236}">
              <a16:creationId xmlns:a16="http://schemas.microsoft.com/office/drawing/2014/main" id="{1E6EF662-C949-43C7-B3AD-66AC263FFF42}"/>
            </a:ext>
          </a:extLst>
        </xdr:cNvPr>
        <xdr:cNvCxnSpPr/>
      </xdr:nvCxnSpPr>
      <xdr:spPr>
        <a:xfrm flipV="1">
          <a:off x="4560794" y="30132618"/>
          <a:ext cx="1210235" cy="127747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376519</xdr:colOff>
      <xdr:row>154</xdr:row>
      <xdr:rowOff>78441</xdr:rowOff>
    </xdr:from>
    <xdr:to>
      <xdr:col>14</xdr:col>
      <xdr:colOff>134471</xdr:colOff>
      <xdr:row>165</xdr:row>
      <xdr:rowOff>163605</xdr:rowOff>
    </xdr:to>
    <xdr:cxnSp macro="">
      <xdr:nvCxnSpPr>
        <xdr:cNvPr id="22" name="Conector de Seta Reta 21">
          <a:extLst>
            <a:ext uri="{FF2B5EF4-FFF2-40B4-BE49-F238E27FC236}">
              <a16:creationId xmlns:a16="http://schemas.microsoft.com/office/drawing/2014/main" id="{5D2C495A-947F-426C-B7A8-D21F9B8E615A}"/>
            </a:ext>
          </a:extLst>
        </xdr:cNvPr>
        <xdr:cNvCxnSpPr/>
      </xdr:nvCxnSpPr>
      <xdr:spPr>
        <a:xfrm flipV="1">
          <a:off x="6046695" y="29415441"/>
          <a:ext cx="1573305" cy="2180664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537883</xdr:colOff>
      <xdr:row>156</xdr:row>
      <xdr:rowOff>67235</xdr:rowOff>
    </xdr:from>
    <xdr:to>
      <xdr:col>16</xdr:col>
      <xdr:colOff>112059</xdr:colOff>
      <xdr:row>161</xdr:row>
      <xdr:rowOff>123265</xdr:rowOff>
    </xdr:to>
    <xdr:cxnSp macro="">
      <xdr:nvCxnSpPr>
        <xdr:cNvPr id="25" name="Conector de Seta Reta 24">
          <a:extLst>
            <a:ext uri="{FF2B5EF4-FFF2-40B4-BE49-F238E27FC236}">
              <a16:creationId xmlns:a16="http://schemas.microsoft.com/office/drawing/2014/main" id="{9A81B3E5-8550-4A00-B04A-95686F0EC912}"/>
            </a:ext>
          </a:extLst>
        </xdr:cNvPr>
        <xdr:cNvCxnSpPr/>
      </xdr:nvCxnSpPr>
      <xdr:spPr>
        <a:xfrm flipV="1">
          <a:off x="8023412" y="29785235"/>
          <a:ext cx="784412" cy="100853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437029</xdr:colOff>
      <xdr:row>155</xdr:row>
      <xdr:rowOff>123265</xdr:rowOff>
    </xdr:from>
    <xdr:to>
      <xdr:col>19</xdr:col>
      <xdr:colOff>560294</xdr:colOff>
      <xdr:row>168</xdr:row>
      <xdr:rowOff>100853</xdr:rowOff>
    </xdr:to>
    <xdr:cxnSp macro="">
      <xdr:nvCxnSpPr>
        <xdr:cNvPr id="27" name="Conector de Seta Reta 26">
          <a:extLst>
            <a:ext uri="{FF2B5EF4-FFF2-40B4-BE49-F238E27FC236}">
              <a16:creationId xmlns:a16="http://schemas.microsoft.com/office/drawing/2014/main" id="{F1CD6B67-814D-4986-8C62-CFE0F01294B0}"/>
            </a:ext>
          </a:extLst>
        </xdr:cNvPr>
        <xdr:cNvCxnSpPr/>
      </xdr:nvCxnSpPr>
      <xdr:spPr>
        <a:xfrm flipV="1">
          <a:off x="9132794" y="29650765"/>
          <a:ext cx="1938618" cy="2454088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369794</xdr:colOff>
      <xdr:row>167</xdr:row>
      <xdr:rowOff>11206</xdr:rowOff>
    </xdr:from>
    <xdr:to>
      <xdr:col>21</xdr:col>
      <xdr:colOff>11206</xdr:colOff>
      <xdr:row>170</xdr:row>
      <xdr:rowOff>89647</xdr:rowOff>
    </xdr:to>
    <xdr:cxnSp macro="">
      <xdr:nvCxnSpPr>
        <xdr:cNvPr id="29" name="Conector de Seta Reta 28">
          <a:extLst>
            <a:ext uri="{FF2B5EF4-FFF2-40B4-BE49-F238E27FC236}">
              <a16:creationId xmlns:a16="http://schemas.microsoft.com/office/drawing/2014/main" id="{917D14C2-93C7-402D-8250-4C2A02373FBB}"/>
            </a:ext>
          </a:extLst>
        </xdr:cNvPr>
        <xdr:cNvCxnSpPr/>
      </xdr:nvCxnSpPr>
      <xdr:spPr>
        <a:xfrm flipV="1">
          <a:off x="11486029" y="31824706"/>
          <a:ext cx="246530" cy="649941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257736</xdr:colOff>
      <xdr:row>148</xdr:row>
      <xdr:rowOff>0</xdr:rowOff>
    </xdr:from>
    <xdr:to>
      <xdr:col>35</xdr:col>
      <xdr:colOff>570089</xdr:colOff>
      <xdr:row>175</xdr:row>
      <xdr:rowOff>184500</xdr:rowOff>
    </xdr:to>
    <xdr:graphicFrame macro="">
      <xdr:nvGraphicFramePr>
        <xdr:cNvPr id="3" name="Gráfico 2">
          <a:extLst>
            <a:ext uri="{FF2B5EF4-FFF2-40B4-BE49-F238E27FC236}">
              <a16:creationId xmlns:a16="http://schemas.microsoft.com/office/drawing/2014/main" id="{A8166DC5-A8C0-4C83-A5AB-428441693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26</xdr:col>
      <xdr:colOff>145676</xdr:colOff>
      <xdr:row>74</xdr:row>
      <xdr:rowOff>179292</xdr:rowOff>
    </xdr:from>
    <xdr:to>
      <xdr:col>35</xdr:col>
      <xdr:colOff>553217</xdr:colOff>
      <xdr:row>88</xdr:row>
      <xdr:rowOff>176292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E429524-5844-4857-8534-4D3D76975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23</xdr:col>
      <xdr:colOff>387725</xdr:colOff>
      <xdr:row>78</xdr:row>
      <xdr:rowOff>145676</xdr:rowOff>
    </xdr:from>
    <xdr:to>
      <xdr:col>25</xdr:col>
      <xdr:colOff>11205</xdr:colOff>
      <xdr:row>82</xdr:row>
      <xdr:rowOff>186019</xdr:rowOff>
    </xdr:to>
    <xdr:cxnSp macro="">
      <xdr:nvCxnSpPr>
        <xdr:cNvPr id="9" name="Conector de Seta Reta 8">
          <a:extLst>
            <a:ext uri="{FF2B5EF4-FFF2-40B4-BE49-F238E27FC236}">
              <a16:creationId xmlns:a16="http://schemas.microsoft.com/office/drawing/2014/main" id="{286B0B15-9F22-4C73-AE01-4C5B14F42B07}"/>
            </a:ext>
          </a:extLst>
        </xdr:cNvPr>
        <xdr:cNvCxnSpPr/>
      </xdr:nvCxnSpPr>
      <xdr:spPr>
        <a:xfrm flipV="1">
          <a:off x="13319313" y="15004676"/>
          <a:ext cx="833716" cy="802343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268941</xdr:colOff>
      <xdr:row>119</xdr:row>
      <xdr:rowOff>0</xdr:rowOff>
    </xdr:from>
    <xdr:to>
      <xdr:col>35</xdr:col>
      <xdr:colOff>581294</xdr:colOff>
      <xdr:row>146</xdr:row>
      <xdr:rowOff>184500</xdr:rowOff>
    </xdr:to>
    <xdr:graphicFrame macro="">
      <xdr:nvGraphicFramePr>
        <xdr:cNvPr id="39" name="Gráfico 38">
          <a:extLst>
            <a:ext uri="{FF2B5EF4-FFF2-40B4-BE49-F238E27FC236}">
              <a16:creationId xmlns:a16="http://schemas.microsoft.com/office/drawing/2014/main" id="{9329E7A2-C165-4BEA-AF4F-6A3C773B1C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21</xdr:col>
      <xdr:colOff>595581</xdr:colOff>
      <xdr:row>142</xdr:row>
      <xdr:rowOff>165849</xdr:rowOff>
    </xdr:from>
    <xdr:to>
      <xdr:col>25</xdr:col>
      <xdr:colOff>84031</xdr:colOff>
      <xdr:row>144</xdr:row>
      <xdr:rowOff>49409</xdr:rowOff>
    </xdr:to>
    <xdr:sp macro="" textlink="">
      <xdr:nvSpPr>
        <xdr:cNvPr id="40" name="CaixaDeTexto 39">
          <a:extLst>
            <a:ext uri="{FF2B5EF4-FFF2-40B4-BE49-F238E27FC236}">
              <a16:creationId xmlns:a16="http://schemas.microsoft.com/office/drawing/2014/main" id="{AB123439-1808-4F18-8D8E-FF3E6F140234}"/>
            </a:ext>
          </a:extLst>
        </xdr:cNvPr>
        <xdr:cNvSpPr txBox="1"/>
      </xdr:nvSpPr>
      <xdr:spPr>
        <a:xfrm>
          <a:off x="12316934" y="27216849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119</xdr:row>
      <xdr:rowOff>1681</xdr:rowOff>
    </xdr:from>
    <xdr:to>
      <xdr:col>21</xdr:col>
      <xdr:colOff>271176</xdr:colOff>
      <xdr:row>146</xdr:row>
      <xdr:rowOff>186181</xdr:rowOff>
    </xdr:to>
    <xdr:grpSp>
      <xdr:nvGrpSpPr>
        <xdr:cNvPr id="42" name="Agrupar 41">
          <a:extLst>
            <a:ext uri="{FF2B5EF4-FFF2-40B4-BE49-F238E27FC236}">
              <a16:creationId xmlns:a16="http://schemas.microsoft.com/office/drawing/2014/main" id="{A60F363F-0432-4642-AB33-5D7A481AF9C1}"/>
            </a:ext>
          </a:extLst>
        </xdr:cNvPr>
        <xdr:cNvGrpSpPr/>
      </xdr:nvGrpSpPr>
      <xdr:grpSpPr>
        <a:xfrm>
          <a:off x="3208529" y="22671181"/>
          <a:ext cx="8784000" cy="5328000"/>
          <a:chOff x="3208529" y="22671181"/>
          <a:chExt cx="8784000" cy="5328000"/>
        </a:xfrm>
      </xdr:grpSpPr>
      <xdr:graphicFrame macro="">
        <xdr:nvGraphicFramePr>
          <xdr:cNvPr id="43" name="Gráfico 42">
            <a:extLst>
              <a:ext uri="{FF2B5EF4-FFF2-40B4-BE49-F238E27FC236}">
                <a16:creationId xmlns:a16="http://schemas.microsoft.com/office/drawing/2014/main" id="{213010F3-3C94-C1D7-0095-99EF6F4D8082}"/>
              </a:ext>
            </a:extLst>
          </xdr:cNvPr>
          <xdr:cNvGraphicFramePr>
            <a:graphicFrameLocks/>
          </xdr:cNvGraphicFramePr>
        </xdr:nvGraphicFramePr>
        <xdr:xfrm>
          <a:off x="3208529" y="22671181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5"/>
          </a:graphicData>
        </a:graphic>
      </xdr:graphicFrame>
      <xdr:sp macro="" textlink="">
        <xdr:nvSpPr>
          <xdr:cNvPr id="44" name="CaixaDeTexto 43">
            <a:extLst>
              <a:ext uri="{FF2B5EF4-FFF2-40B4-BE49-F238E27FC236}">
                <a16:creationId xmlns:a16="http://schemas.microsoft.com/office/drawing/2014/main" id="{3C61EDAE-B3C2-5400-C7C3-2CAF4957E22F}"/>
              </a:ext>
            </a:extLst>
          </xdr:cNvPr>
          <xdr:cNvSpPr txBox="1"/>
        </xdr:nvSpPr>
        <xdr:spPr>
          <a:xfrm>
            <a:off x="3525368" y="27196679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268941</xdr:colOff>
      <xdr:row>61</xdr:row>
      <xdr:rowOff>420</xdr:rowOff>
    </xdr:from>
    <xdr:to>
      <xdr:col>35</xdr:col>
      <xdr:colOff>581294</xdr:colOff>
      <xdr:row>88</xdr:row>
      <xdr:rowOff>184920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C9860BFD-1E4B-4BBE-933C-1AC2BB2AA66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67235</xdr:colOff>
      <xdr:row>61</xdr:row>
      <xdr:rowOff>420</xdr:rowOff>
    </xdr:from>
    <xdr:to>
      <xdr:col>21</xdr:col>
      <xdr:colOff>267529</xdr:colOff>
      <xdr:row>88</xdr:row>
      <xdr:rowOff>184920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FD76A018-D0D3-4902-9859-91D781915C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268941</xdr:colOff>
      <xdr:row>32</xdr:row>
      <xdr:rowOff>1681</xdr:rowOff>
    </xdr:from>
    <xdr:to>
      <xdr:col>35</xdr:col>
      <xdr:colOff>581294</xdr:colOff>
      <xdr:row>59</xdr:row>
      <xdr:rowOff>186181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C417A3B7-B8AC-40AD-A829-1755839B2F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70882</xdr:colOff>
      <xdr:row>2</xdr:row>
      <xdr:rowOff>180131</xdr:rowOff>
    </xdr:from>
    <xdr:to>
      <xdr:col>21</xdr:col>
      <xdr:colOff>271176</xdr:colOff>
      <xdr:row>30</xdr:row>
      <xdr:rowOff>174131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FF091372-8F8B-4974-B305-6EF65ABBD7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21</xdr:col>
      <xdr:colOff>271749</xdr:colOff>
      <xdr:row>2</xdr:row>
      <xdr:rowOff>180131</xdr:rowOff>
    </xdr:from>
    <xdr:to>
      <xdr:col>35</xdr:col>
      <xdr:colOff>584102</xdr:colOff>
      <xdr:row>30</xdr:row>
      <xdr:rowOff>174131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BF6913BC-F913-42F7-8DB5-FFB0121970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499781</xdr:colOff>
      <xdr:row>84</xdr:row>
      <xdr:rowOff>141197</xdr:rowOff>
    </xdr:from>
    <xdr:to>
      <xdr:col>10</xdr:col>
      <xdr:colOff>593349</xdr:colOff>
      <xdr:row>86</xdr:row>
      <xdr:rowOff>24757</xdr:rowOff>
    </xdr:to>
    <xdr:sp macro="" textlink="">
      <xdr:nvSpPr>
        <xdr:cNvPr id="8" name="CaixaDeTexto 7">
          <a:extLst>
            <a:ext uri="{FF2B5EF4-FFF2-40B4-BE49-F238E27FC236}">
              <a16:creationId xmlns:a16="http://schemas.microsoft.com/office/drawing/2014/main" id="{0C46866F-4F78-448E-9667-8E30A6F1BBB1}"/>
            </a:ext>
          </a:extLst>
        </xdr:cNvPr>
        <xdr:cNvSpPr txBox="1"/>
      </xdr:nvSpPr>
      <xdr:spPr>
        <a:xfrm>
          <a:off x="3749487" y="16143197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7</xdr:col>
      <xdr:colOff>381000</xdr:colOff>
      <xdr:row>26</xdr:row>
      <xdr:rowOff>131113</xdr:rowOff>
    </xdr:from>
    <xdr:to>
      <xdr:col>10</xdr:col>
      <xdr:colOff>474568</xdr:colOff>
      <xdr:row>28</xdr:row>
      <xdr:rowOff>14673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7F04032E-C8EB-4B98-BB81-7DC5F28FCAC0}"/>
            </a:ext>
          </a:extLst>
        </xdr:cNvPr>
        <xdr:cNvSpPr txBox="1"/>
      </xdr:nvSpPr>
      <xdr:spPr>
        <a:xfrm>
          <a:off x="3630706" y="508411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85166</xdr:colOff>
      <xdr:row>26</xdr:row>
      <xdr:rowOff>131113</xdr:rowOff>
    </xdr:from>
    <xdr:to>
      <xdr:col>25</xdr:col>
      <xdr:colOff>178734</xdr:colOff>
      <xdr:row>28</xdr:row>
      <xdr:rowOff>14673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0C1A15A5-6EFE-4767-8F33-36E719706E8A}"/>
            </a:ext>
          </a:extLst>
        </xdr:cNvPr>
        <xdr:cNvSpPr txBox="1"/>
      </xdr:nvSpPr>
      <xdr:spPr>
        <a:xfrm>
          <a:off x="12411637" y="508411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192171</xdr:colOff>
      <xdr:row>56</xdr:row>
      <xdr:rowOff>76203</xdr:rowOff>
    </xdr:from>
    <xdr:to>
      <xdr:col>25</xdr:col>
      <xdr:colOff>285739</xdr:colOff>
      <xdr:row>57</xdr:row>
      <xdr:rowOff>150263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80BD9455-D71A-4F9C-8791-03AFA30D2CFD}"/>
            </a:ext>
          </a:extLst>
        </xdr:cNvPr>
        <xdr:cNvSpPr txBox="1"/>
      </xdr:nvSpPr>
      <xdr:spPr>
        <a:xfrm>
          <a:off x="12518642" y="1074420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162209</xdr:colOff>
      <xdr:row>84</xdr:row>
      <xdr:rowOff>152403</xdr:rowOff>
    </xdr:from>
    <xdr:to>
      <xdr:col>25</xdr:col>
      <xdr:colOff>255777</xdr:colOff>
      <xdr:row>86</xdr:row>
      <xdr:rowOff>35963</xdr:rowOff>
    </xdr:to>
    <xdr:sp macro="" textlink="">
      <xdr:nvSpPr>
        <xdr:cNvPr id="15" name="CaixaDeTexto 14">
          <a:extLst>
            <a:ext uri="{FF2B5EF4-FFF2-40B4-BE49-F238E27FC236}">
              <a16:creationId xmlns:a16="http://schemas.microsoft.com/office/drawing/2014/main" id="{06E1F945-CA78-4D2D-AF23-9B09299F89AF}"/>
            </a:ext>
          </a:extLst>
        </xdr:cNvPr>
        <xdr:cNvSpPr txBox="1"/>
      </xdr:nvSpPr>
      <xdr:spPr>
        <a:xfrm>
          <a:off x="12488680" y="1615440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r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8</xdr:col>
      <xdr:colOff>-1</xdr:colOff>
      <xdr:row>74</xdr:row>
      <xdr:rowOff>100850</xdr:rowOff>
    </xdr:from>
    <xdr:to>
      <xdr:col>20</xdr:col>
      <xdr:colOff>190588</xdr:colOff>
      <xdr:row>74</xdr:row>
      <xdr:rowOff>100850</xdr:rowOff>
    </xdr:to>
    <xdr:cxnSp macro="">
      <xdr:nvCxnSpPr>
        <xdr:cNvPr id="19" name="Conector de Seta Reta 18">
          <a:extLst>
            <a:ext uri="{FF2B5EF4-FFF2-40B4-BE49-F238E27FC236}">
              <a16:creationId xmlns:a16="http://schemas.microsoft.com/office/drawing/2014/main" id="{AB892D07-6CE4-48B7-B93C-A425CC21005C}"/>
            </a:ext>
          </a:extLst>
        </xdr:cNvPr>
        <xdr:cNvCxnSpPr/>
      </xdr:nvCxnSpPr>
      <xdr:spPr>
        <a:xfrm>
          <a:off x="3854823" y="14197850"/>
          <a:ext cx="7452000" cy="0"/>
        </a:xfrm>
        <a:prstGeom prst="straightConnector1">
          <a:avLst/>
        </a:prstGeom>
        <a:ln w="38100">
          <a:solidFill>
            <a:schemeClr val="tx1"/>
          </a:solidFill>
          <a:tailEnd type="non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70882</xdr:colOff>
      <xdr:row>32</xdr:row>
      <xdr:rowOff>1681</xdr:rowOff>
    </xdr:from>
    <xdr:to>
      <xdr:col>21</xdr:col>
      <xdr:colOff>271176</xdr:colOff>
      <xdr:row>59</xdr:row>
      <xdr:rowOff>186181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71B02294-4AE6-E3B2-2933-BAF2351475AF}"/>
            </a:ext>
          </a:extLst>
        </xdr:cNvPr>
        <xdr:cNvGrpSpPr/>
      </xdr:nvGrpSpPr>
      <xdr:grpSpPr>
        <a:xfrm>
          <a:off x="3208529" y="6097681"/>
          <a:ext cx="8784000" cy="5328000"/>
          <a:chOff x="3208529" y="6097681"/>
          <a:chExt cx="8784000" cy="5328000"/>
        </a:xfrm>
      </xdr:grpSpPr>
      <xdr:grpSp>
        <xdr:nvGrpSpPr>
          <xdr:cNvPr id="3" name="Agrupar 2">
            <a:extLst>
              <a:ext uri="{FF2B5EF4-FFF2-40B4-BE49-F238E27FC236}">
                <a16:creationId xmlns:a16="http://schemas.microsoft.com/office/drawing/2014/main" id="{29A6E095-8EC6-6DC4-B274-8DF2E82C2D6E}"/>
              </a:ext>
            </a:extLst>
          </xdr:cNvPr>
          <xdr:cNvGrpSpPr/>
        </xdr:nvGrpSpPr>
        <xdr:grpSpPr>
          <a:xfrm>
            <a:off x="3208529" y="6097681"/>
            <a:ext cx="8784000" cy="5328000"/>
            <a:chOff x="3208529" y="6097681"/>
            <a:chExt cx="8784000" cy="5328000"/>
          </a:xfrm>
        </xdr:grpSpPr>
        <xdr:graphicFrame macro="">
          <xdr:nvGraphicFramePr>
            <xdr:cNvPr id="11" name="Gráfico 10">
              <a:extLst>
                <a:ext uri="{FF2B5EF4-FFF2-40B4-BE49-F238E27FC236}">
                  <a16:creationId xmlns:a16="http://schemas.microsoft.com/office/drawing/2014/main" id="{EFD1F707-BDEA-4D07-A06A-897247D90ED0}"/>
                </a:ext>
              </a:extLst>
            </xdr:cNvPr>
            <xdr:cNvGraphicFramePr>
              <a:graphicFrameLocks/>
            </xdr:cNvGraphicFramePr>
          </xdr:nvGraphicFramePr>
          <xdr:xfrm>
            <a:off x="3208529" y="6097681"/>
            <a:ext cx="8784000" cy="532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6"/>
            </a:graphicData>
          </a:graphic>
        </xdr:graphicFrame>
        <xdr:sp macro="" textlink="">
          <xdr:nvSpPr>
            <xdr:cNvPr id="12" name="CaixaDeTexto 11">
              <a:extLst>
                <a:ext uri="{FF2B5EF4-FFF2-40B4-BE49-F238E27FC236}">
                  <a16:creationId xmlns:a16="http://schemas.microsoft.com/office/drawing/2014/main" id="{43068AD0-76A7-442E-AC19-BF9ACA6A5AAF}"/>
                </a:ext>
              </a:extLst>
            </xdr:cNvPr>
            <xdr:cNvSpPr txBox="1"/>
          </xdr:nvSpPr>
          <xdr:spPr>
            <a:xfrm>
              <a:off x="3558987" y="10611973"/>
              <a:ext cx="190892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l"/>
              <a:r>
                <a:rPr lang="pt-BR" sz="1100" b="1"/>
                <a:t>Fonte: Fred e Igor Mundstock</a:t>
              </a:r>
            </a:p>
          </xdr:txBody>
        </xdr:sp>
      </xdr:grpSp>
      <xdr:cxnSp macro="">
        <xdr:nvCxnSpPr>
          <xdr:cNvPr id="17" name="Conector de Seta Reta 16">
            <a:extLst>
              <a:ext uri="{FF2B5EF4-FFF2-40B4-BE49-F238E27FC236}">
                <a16:creationId xmlns:a16="http://schemas.microsoft.com/office/drawing/2014/main" id="{EFA85AB5-129C-4664-96EB-F6401EC53A56}"/>
              </a:ext>
            </a:extLst>
          </xdr:cNvPr>
          <xdr:cNvCxnSpPr/>
        </xdr:nvCxnSpPr>
        <xdr:spPr>
          <a:xfrm flipV="1">
            <a:off x="3608293" y="8684560"/>
            <a:ext cx="8244000" cy="0"/>
          </a:xfrm>
          <a:prstGeom prst="straightConnector1">
            <a:avLst/>
          </a:prstGeom>
          <a:ln w="19050">
            <a:solidFill>
              <a:schemeClr val="tx1"/>
            </a:solidFill>
            <a:prstDash val="das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29" name="Conector de Seta Reta 28">
            <a:extLst>
              <a:ext uri="{FF2B5EF4-FFF2-40B4-BE49-F238E27FC236}">
                <a16:creationId xmlns:a16="http://schemas.microsoft.com/office/drawing/2014/main" id="{4DD7A08D-5FAC-434C-B6C2-BD36C8901BD0}"/>
              </a:ext>
            </a:extLst>
          </xdr:cNvPr>
          <xdr:cNvCxnSpPr/>
        </xdr:nvCxnSpPr>
        <xdr:spPr>
          <a:xfrm flipV="1">
            <a:off x="3608293" y="9453284"/>
            <a:ext cx="8244000" cy="0"/>
          </a:xfrm>
          <a:prstGeom prst="straightConnector1">
            <a:avLst/>
          </a:prstGeom>
          <a:ln w="19050">
            <a:solidFill>
              <a:schemeClr val="tx1"/>
            </a:solidFill>
            <a:prstDash val="dash"/>
            <a:tailEnd type="non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70882</xdr:colOff>
      <xdr:row>89</xdr:row>
      <xdr:rowOff>180131</xdr:rowOff>
    </xdr:from>
    <xdr:to>
      <xdr:col>21</xdr:col>
      <xdr:colOff>271176</xdr:colOff>
      <xdr:row>117</xdr:row>
      <xdr:rowOff>174131</xdr:rowOff>
    </xdr:to>
    <xdr:graphicFrame macro="">
      <xdr:nvGraphicFramePr>
        <xdr:cNvPr id="32" name="Gráfico 31">
          <a:extLst>
            <a:ext uri="{FF2B5EF4-FFF2-40B4-BE49-F238E27FC236}">
              <a16:creationId xmlns:a16="http://schemas.microsoft.com/office/drawing/2014/main" id="{33DDDE15-C9B9-4FE1-948B-BA36F42CF3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21</xdr:col>
      <xdr:colOff>271749</xdr:colOff>
      <xdr:row>89</xdr:row>
      <xdr:rowOff>180131</xdr:rowOff>
    </xdr:from>
    <xdr:to>
      <xdr:col>35</xdr:col>
      <xdr:colOff>584102</xdr:colOff>
      <xdr:row>117</xdr:row>
      <xdr:rowOff>174131</xdr:rowOff>
    </xdr:to>
    <xdr:graphicFrame macro="">
      <xdr:nvGraphicFramePr>
        <xdr:cNvPr id="33" name="Gráfico 32">
          <a:extLst>
            <a:ext uri="{FF2B5EF4-FFF2-40B4-BE49-F238E27FC236}">
              <a16:creationId xmlns:a16="http://schemas.microsoft.com/office/drawing/2014/main" id="{DA96DC9C-5C59-4ACC-A472-3850F37C10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571502</xdr:colOff>
      <xdr:row>113</xdr:row>
      <xdr:rowOff>131113</xdr:rowOff>
    </xdr:from>
    <xdr:to>
      <xdr:col>11</xdr:col>
      <xdr:colOff>59953</xdr:colOff>
      <xdr:row>115</xdr:row>
      <xdr:rowOff>14673</xdr:rowOff>
    </xdr:to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8F186F90-C2E1-4199-900A-CBCFB919C20F}"/>
            </a:ext>
          </a:extLst>
        </xdr:cNvPr>
        <xdr:cNvSpPr txBox="1"/>
      </xdr:nvSpPr>
      <xdr:spPr>
        <a:xfrm>
          <a:off x="3821208" y="2165761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118784</xdr:colOff>
      <xdr:row>113</xdr:row>
      <xdr:rowOff>131113</xdr:rowOff>
    </xdr:from>
    <xdr:to>
      <xdr:col>25</xdr:col>
      <xdr:colOff>212352</xdr:colOff>
      <xdr:row>115</xdr:row>
      <xdr:rowOff>14673</xdr:rowOff>
    </xdr:to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5251076F-FF3E-4A3E-8159-CEDAFA038F82}"/>
            </a:ext>
          </a:extLst>
        </xdr:cNvPr>
        <xdr:cNvSpPr txBox="1"/>
      </xdr:nvSpPr>
      <xdr:spPr>
        <a:xfrm>
          <a:off x="12445255" y="21657613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118</xdr:row>
      <xdr:rowOff>180131</xdr:rowOff>
    </xdr:from>
    <xdr:to>
      <xdr:col>21</xdr:col>
      <xdr:colOff>271176</xdr:colOff>
      <xdr:row>146</xdr:row>
      <xdr:rowOff>174131</xdr:rowOff>
    </xdr:to>
    <xdr:grpSp>
      <xdr:nvGrpSpPr>
        <xdr:cNvPr id="30" name="Agrupar 29">
          <a:extLst>
            <a:ext uri="{FF2B5EF4-FFF2-40B4-BE49-F238E27FC236}">
              <a16:creationId xmlns:a16="http://schemas.microsoft.com/office/drawing/2014/main" id="{117C8B2F-842C-C2F9-01A3-E8419DB1F8D1}"/>
            </a:ext>
          </a:extLst>
        </xdr:cNvPr>
        <xdr:cNvGrpSpPr/>
      </xdr:nvGrpSpPr>
      <xdr:grpSpPr>
        <a:xfrm>
          <a:off x="3208529" y="22659131"/>
          <a:ext cx="8784000" cy="5328000"/>
          <a:chOff x="3208529" y="22659131"/>
          <a:chExt cx="8784000" cy="5328000"/>
        </a:xfrm>
      </xdr:grpSpPr>
      <xdr:graphicFrame macro="">
        <xdr:nvGraphicFramePr>
          <xdr:cNvPr id="36" name="Gráfico 35">
            <a:extLst>
              <a:ext uri="{FF2B5EF4-FFF2-40B4-BE49-F238E27FC236}">
                <a16:creationId xmlns:a16="http://schemas.microsoft.com/office/drawing/2014/main" id="{517C8681-A24D-4854-BA54-F756DF93703B}"/>
              </a:ext>
            </a:extLst>
          </xdr:cNvPr>
          <xdr:cNvGraphicFramePr>
            <a:graphicFrameLocks/>
          </xdr:cNvGraphicFramePr>
        </xdr:nvGraphicFramePr>
        <xdr:xfrm>
          <a:off x="3208529" y="22659131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9"/>
          </a:graphicData>
        </a:graphic>
      </xdr:graphicFrame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8C6D1B18-7014-44B3-9EFD-F1F5205A6FAC}"/>
              </a:ext>
            </a:extLst>
          </xdr:cNvPr>
          <xdr:cNvSpPr txBox="1"/>
        </xdr:nvSpPr>
        <xdr:spPr>
          <a:xfrm>
            <a:off x="3563472" y="27226937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21</xdr:col>
      <xdr:colOff>271749</xdr:colOff>
      <xdr:row>118</xdr:row>
      <xdr:rowOff>180131</xdr:rowOff>
    </xdr:from>
    <xdr:to>
      <xdr:col>35</xdr:col>
      <xdr:colOff>584102</xdr:colOff>
      <xdr:row>146</xdr:row>
      <xdr:rowOff>174131</xdr:rowOff>
    </xdr:to>
    <xdr:grpSp>
      <xdr:nvGrpSpPr>
        <xdr:cNvPr id="20" name="Agrupar 19">
          <a:extLst>
            <a:ext uri="{FF2B5EF4-FFF2-40B4-BE49-F238E27FC236}">
              <a16:creationId xmlns:a16="http://schemas.microsoft.com/office/drawing/2014/main" id="{412A9398-3520-7E4C-05F2-484B944A3C49}"/>
            </a:ext>
          </a:extLst>
        </xdr:cNvPr>
        <xdr:cNvGrpSpPr/>
      </xdr:nvGrpSpPr>
      <xdr:grpSpPr>
        <a:xfrm>
          <a:off x="11993102" y="22659131"/>
          <a:ext cx="8784000" cy="5328000"/>
          <a:chOff x="11993102" y="22659131"/>
          <a:chExt cx="8784000" cy="5328000"/>
        </a:xfrm>
      </xdr:grpSpPr>
      <xdr:graphicFrame macro="">
        <xdr:nvGraphicFramePr>
          <xdr:cNvPr id="37" name="Gráfico 36">
            <a:extLst>
              <a:ext uri="{FF2B5EF4-FFF2-40B4-BE49-F238E27FC236}">
                <a16:creationId xmlns:a16="http://schemas.microsoft.com/office/drawing/2014/main" id="{B79950CA-738B-41AA-9088-43A84244601C}"/>
              </a:ext>
            </a:extLst>
          </xdr:cNvPr>
          <xdr:cNvGraphicFramePr>
            <a:graphicFrameLocks/>
          </xdr:cNvGraphicFramePr>
        </xdr:nvGraphicFramePr>
        <xdr:xfrm>
          <a:off x="11993102" y="22659131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0"/>
          </a:graphicData>
        </a:graphic>
      </xdr:graphicFrame>
      <xdr:sp macro="" textlink="">
        <xdr:nvSpPr>
          <xdr:cNvPr id="39" name="CaixaDeTexto 38">
            <a:extLst>
              <a:ext uri="{FF2B5EF4-FFF2-40B4-BE49-F238E27FC236}">
                <a16:creationId xmlns:a16="http://schemas.microsoft.com/office/drawing/2014/main" id="{18C287F2-9EC5-4731-91FA-6BA91F46A5EB}"/>
              </a:ext>
            </a:extLst>
          </xdr:cNvPr>
          <xdr:cNvSpPr txBox="1"/>
        </xdr:nvSpPr>
        <xdr:spPr>
          <a:xfrm>
            <a:off x="12478873" y="23080752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  <xdr:cxnSp macro="">
        <xdr:nvCxnSpPr>
          <xdr:cNvPr id="13" name="Conector de Seta Reta 12">
            <a:extLst>
              <a:ext uri="{FF2B5EF4-FFF2-40B4-BE49-F238E27FC236}">
                <a16:creationId xmlns:a16="http://schemas.microsoft.com/office/drawing/2014/main" id="{6ECEC045-4B28-498F-807E-CB48CB96D298}"/>
              </a:ext>
            </a:extLst>
          </xdr:cNvPr>
          <xdr:cNvCxnSpPr/>
        </xdr:nvCxnSpPr>
        <xdr:spPr>
          <a:xfrm>
            <a:off x="13368618" y="23622000"/>
            <a:ext cx="6824382" cy="2420471"/>
          </a:xfrm>
          <a:prstGeom prst="straightConnector1">
            <a:avLst/>
          </a:prstGeom>
          <a:ln w="38100">
            <a:solidFill>
              <a:schemeClr val="tx1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70882</xdr:colOff>
      <xdr:row>147</xdr:row>
      <xdr:rowOff>180131</xdr:rowOff>
    </xdr:from>
    <xdr:to>
      <xdr:col>21</xdr:col>
      <xdr:colOff>271176</xdr:colOff>
      <xdr:row>175</xdr:row>
      <xdr:rowOff>174131</xdr:rowOff>
    </xdr:to>
    <xdr:grpSp>
      <xdr:nvGrpSpPr>
        <xdr:cNvPr id="24" name="Agrupar 23">
          <a:extLst>
            <a:ext uri="{FF2B5EF4-FFF2-40B4-BE49-F238E27FC236}">
              <a16:creationId xmlns:a16="http://schemas.microsoft.com/office/drawing/2014/main" id="{D6CC57F5-1DEA-4E65-A7EB-2305CA19D1F6}"/>
            </a:ext>
          </a:extLst>
        </xdr:cNvPr>
        <xdr:cNvGrpSpPr/>
      </xdr:nvGrpSpPr>
      <xdr:grpSpPr>
        <a:xfrm>
          <a:off x="3208529" y="28183631"/>
          <a:ext cx="8784000" cy="5328000"/>
          <a:chOff x="3208529" y="22659131"/>
          <a:chExt cx="8784000" cy="5328000"/>
        </a:xfrm>
      </xdr:grpSpPr>
      <xdr:graphicFrame macro="">
        <xdr:nvGraphicFramePr>
          <xdr:cNvPr id="25" name="Gráfico 24">
            <a:extLst>
              <a:ext uri="{FF2B5EF4-FFF2-40B4-BE49-F238E27FC236}">
                <a16:creationId xmlns:a16="http://schemas.microsoft.com/office/drawing/2014/main" id="{5D3D336C-7ECE-852A-0924-65200CA78823}"/>
              </a:ext>
            </a:extLst>
          </xdr:cNvPr>
          <xdr:cNvGraphicFramePr>
            <a:graphicFrameLocks/>
          </xdr:cNvGraphicFramePr>
        </xdr:nvGraphicFramePr>
        <xdr:xfrm>
          <a:off x="3208529" y="22659131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1"/>
          </a:graphicData>
        </a:graphic>
      </xdr:graphicFrame>
      <xdr:sp macro="" textlink="">
        <xdr:nvSpPr>
          <xdr:cNvPr id="26" name="CaixaDeTexto 25">
            <a:extLst>
              <a:ext uri="{FF2B5EF4-FFF2-40B4-BE49-F238E27FC236}">
                <a16:creationId xmlns:a16="http://schemas.microsoft.com/office/drawing/2014/main" id="{BF0E0A96-0CC3-80DD-0C1C-26B7CFD70B70}"/>
              </a:ext>
            </a:extLst>
          </xdr:cNvPr>
          <xdr:cNvSpPr txBox="1"/>
        </xdr:nvSpPr>
        <xdr:spPr>
          <a:xfrm>
            <a:off x="3866034" y="27137289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8</xdr:col>
      <xdr:colOff>11208</xdr:colOff>
      <xdr:row>163</xdr:row>
      <xdr:rowOff>112059</xdr:rowOff>
    </xdr:from>
    <xdr:to>
      <xdr:col>21</xdr:col>
      <xdr:colOff>64679</xdr:colOff>
      <xdr:row>169</xdr:row>
      <xdr:rowOff>13059</xdr:rowOff>
    </xdr:to>
    <xdr:sp macro="" textlink="">
      <xdr:nvSpPr>
        <xdr:cNvPr id="41" name="Retângulo 40">
          <a:extLst>
            <a:ext uri="{FF2B5EF4-FFF2-40B4-BE49-F238E27FC236}">
              <a16:creationId xmlns:a16="http://schemas.microsoft.com/office/drawing/2014/main" id="{ACF13B39-3603-5D1F-A4C7-B7E1D5C89B28}"/>
            </a:ext>
          </a:extLst>
        </xdr:cNvPr>
        <xdr:cNvSpPr/>
      </xdr:nvSpPr>
      <xdr:spPr>
        <a:xfrm>
          <a:off x="3866032" y="31163559"/>
          <a:ext cx="7920000" cy="1044000"/>
        </a:xfrm>
        <a:prstGeom prst="rect">
          <a:avLst/>
        </a:prstGeom>
        <a:solidFill>
          <a:srgbClr val="0000FF">
            <a:alpha val="15000"/>
          </a:srgbClr>
        </a:solidFill>
        <a:ln>
          <a:noFill/>
        </a:ln>
      </xdr:spPr>
      <xdr:style>
        <a:lnRef idx="2">
          <a:schemeClr val="accent1">
            <a:shade val="15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pt-BR" sz="1100"/>
        </a:p>
      </xdr:txBody>
    </xdr:sp>
    <xdr:clientData/>
  </xdr:twoCellAnchor>
  <xdr:twoCellAnchor>
    <xdr:from>
      <xdr:col>20</xdr:col>
      <xdr:colOff>190500</xdr:colOff>
      <xdr:row>103</xdr:row>
      <xdr:rowOff>123265</xdr:rowOff>
    </xdr:from>
    <xdr:to>
      <xdr:col>20</xdr:col>
      <xdr:colOff>268941</xdr:colOff>
      <xdr:row>106</xdr:row>
      <xdr:rowOff>11206</xdr:rowOff>
    </xdr:to>
    <xdr:cxnSp macro="">
      <xdr:nvCxnSpPr>
        <xdr:cNvPr id="22" name="Conector de Seta Reta 21">
          <a:extLst>
            <a:ext uri="{FF2B5EF4-FFF2-40B4-BE49-F238E27FC236}">
              <a16:creationId xmlns:a16="http://schemas.microsoft.com/office/drawing/2014/main" id="{978E8324-5CB3-C318-F196-CC6694BE3C73}"/>
            </a:ext>
          </a:extLst>
        </xdr:cNvPr>
        <xdr:cNvCxnSpPr/>
      </xdr:nvCxnSpPr>
      <xdr:spPr>
        <a:xfrm flipV="1">
          <a:off x="11306735" y="19744765"/>
          <a:ext cx="78441" cy="459441"/>
        </a:xfrm>
        <a:prstGeom prst="straightConnector1">
          <a:avLst/>
        </a:prstGeom>
        <a:ln w="38100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268941</xdr:colOff>
      <xdr:row>147</xdr:row>
      <xdr:rowOff>179294</xdr:rowOff>
    </xdr:from>
    <xdr:to>
      <xdr:col>35</xdr:col>
      <xdr:colOff>581294</xdr:colOff>
      <xdr:row>175</xdr:row>
      <xdr:rowOff>173294</xdr:rowOff>
    </xdr:to>
    <xdr:grpSp>
      <xdr:nvGrpSpPr>
        <xdr:cNvPr id="21" name="Agrupar 20">
          <a:extLst>
            <a:ext uri="{FF2B5EF4-FFF2-40B4-BE49-F238E27FC236}">
              <a16:creationId xmlns:a16="http://schemas.microsoft.com/office/drawing/2014/main" id="{2E230201-835F-44DC-9C92-A8A9CEEB8C6F}"/>
            </a:ext>
          </a:extLst>
        </xdr:cNvPr>
        <xdr:cNvGrpSpPr/>
      </xdr:nvGrpSpPr>
      <xdr:grpSpPr>
        <a:xfrm>
          <a:off x="11990294" y="28182794"/>
          <a:ext cx="8784000" cy="5328000"/>
          <a:chOff x="11993102" y="22659131"/>
          <a:chExt cx="8784000" cy="5328000"/>
        </a:xfrm>
      </xdr:grpSpPr>
      <xdr:graphicFrame macro="">
        <xdr:nvGraphicFramePr>
          <xdr:cNvPr id="23" name="Gráfico 22">
            <a:extLst>
              <a:ext uri="{FF2B5EF4-FFF2-40B4-BE49-F238E27FC236}">
                <a16:creationId xmlns:a16="http://schemas.microsoft.com/office/drawing/2014/main" id="{8E76A2C2-3159-CBE8-7065-E5B8FA0691AE}"/>
              </a:ext>
            </a:extLst>
          </xdr:cNvPr>
          <xdr:cNvGraphicFramePr>
            <a:graphicFrameLocks/>
          </xdr:cNvGraphicFramePr>
        </xdr:nvGraphicFramePr>
        <xdr:xfrm>
          <a:off x="11993102" y="22659131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2"/>
          </a:graphicData>
        </a:graphic>
      </xdr:graphicFrame>
      <xdr:sp macro="" textlink="">
        <xdr:nvSpPr>
          <xdr:cNvPr id="27" name="CaixaDeTexto 26">
            <a:extLst>
              <a:ext uri="{FF2B5EF4-FFF2-40B4-BE49-F238E27FC236}">
                <a16:creationId xmlns:a16="http://schemas.microsoft.com/office/drawing/2014/main" id="{0CD93EFA-076E-CDAE-6263-3E6DDF8275C5}"/>
              </a:ext>
            </a:extLst>
          </xdr:cNvPr>
          <xdr:cNvSpPr txBox="1"/>
        </xdr:nvSpPr>
        <xdr:spPr>
          <a:xfrm>
            <a:off x="12613345" y="23271254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21</xdr:col>
      <xdr:colOff>268941</xdr:colOff>
      <xdr:row>32</xdr:row>
      <xdr:rowOff>11206</xdr:rowOff>
    </xdr:from>
    <xdr:to>
      <xdr:col>35</xdr:col>
      <xdr:colOff>581294</xdr:colOff>
      <xdr:row>60</xdr:row>
      <xdr:rowOff>5206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944C5B1-EFB2-4C69-96DD-13813DDD5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6</xdr:col>
      <xdr:colOff>70882</xdr:colOff>
      <xdr:row>2</xdr:row>
      <xdr:rowOff>180131</xdr:rowOff>
    </xdr:from>
    <xdr:to>
      <xdr:col>21</xdr:col>
      <xdr:colOff>271176</xdr:colOff>
      <xdr:row>30</xdr:row>
      <xdr:rowOff>174131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4BC4DCBD-A1E5-472E-8055-950D184106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21</xdr:col>
      <xdr:colOff>271749</xdr:colOff>
      <xdr:row>2</xdr:row>
      <xdr:rowOff>180131</xdr:rowOff>
    </xdr:from>
    <xdr:to>
      <xdr:col>35</xdr:col>
      <xdr:colOff>584102</xdr:colOff>
      <xdr:row>30</xdr:row>
      <xdr:rowOff>174131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44EDEA55-7B44-4CF0-8F32-36D23A6967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549090</xdr:colOff>
      <xdr:row>26</xdr:row>
      <xdr:rowOff>52671</xdr:rowOff>
    </xdr:from>
    <xdr:to>
      <xdr:col>11</xdr:col>
      <xdr:colOff>37541</xdr:colOff>
      <xdr:row>27</xdr:row>
      <xdr:rowOff>126731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593928B6-2CFD-45E6-9A71-FBBD51C97AB5}"/>
            </a:ext>
          </a:extLst>
        </xdr:cNvPr>
        <xdr:cNvSpPr txBox="1"/>
      </xdr:nvSpPr>
      <xdr:spPr>
        <a:xfrm>
          <a:off x="3798796" y="500567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253256</xdr:colOff>
      <xdr:row>26</xdr:row>
      <xdr:rowOff>41465</xdr:rowOff>
    </xdr:from>
    <xdr:to>
      <xdr:col>25</xdr:col>
      <xdr:colOff>346824</xdr:colOff>
      <xdr:row>27</xdr:row>
      <xdr:rowOff>115525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7C69261A-2B66-450A-B7EB-EBEBD89F4068}"/>
            </a:ext>
          </a:extLst>
        </xdr:cNvPr>
        <xdr:cNvSpPr txBox="1"/>
      </xdr:nvSpPr>
      <xdr:spPr>
        <a:xfrm>
          <a:off x="12579727" y="499446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32</xdr:row>
      <xdr:rowOff>1681</xdr:rowOff>
    </xdr:from>
    <xdr:to>
      <xdr:col>21</xdr:col>
      <xdr:colOff>271176</xdr:colOff>
      <xdr:row>59</xdr:row>
      <xdr:rowOff>186181</xdr:rowOff>
    </xdr:to>
    <xdr:graphicFrame macro="">
      <xdr:nvGraphicFramePr>
        <xdr:cNvPr id="11" name="Gráfico 10">
          <a:extLst>
            <a:ext uri="{FF2B5EF4-FFF2-40B4-BE49-F238E27FC236}">
              <a16:creationId xmlns:a16="http://schemas.microsoft.com/office/drawing/2014/main" id="{EF8417DB-7C46-416C-9684-6D1A13E8BE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567022</xdr:colOff>
      <xdr:row>55</xdr:row>
      <xdr:rowOff>56029</xdr:rowOff>
    </xdr:from>
    <xdr:to>
      <xdr:col>11</xdr:col>
      <xdr:colOff>55473</xdr:colOff>
      <xdr:row>56</xdr:row>
      <xdr:rowOff>130089</xdr:rowOff>
    </xdr:to>
    <xdr:sp macro="" textlink="">
      <xdr:nvSpPr>
        <xdr:cNvPr id="12" name="CaixaDeTexto 11">
          <a:extLst>
            <a:ext uri="{FF2B5EF4-FFF2-40B4-BE49-F238E27FC236}">
              <a16:creationId xmlns:a16="http://schemas.microsoft.com/office/drawing/2014/main" id="{BB94BABC-2B56-432F-AD4F-6AB41CDD8F9C}"/>
            </a:ext>
          </a:extLst>
        </xdr:cNvPr>
        <xdr:cNvSpPr txBox="1"/>
      </xdr:nvSpPr>
      <xdr:spPr>
        <a:xfrm>
          <a:off x="3816728" y="10533529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248201</xdr:colOff>
      <xdr:row>55</xdr:row>
      <xdr:rowOff>53789</xdr:rowOff>
    </xdr:from>
    <xdr:to>
      <xdr:col>25</xdr:col>
      <xdr:colOff>341769</xdr:colOff>
      <xdr:row>56</xdr:row>
      <xdr:rowOff>127849</xdr:rowOff>
    </xdr:to>
    <xdr:sp macro="" textlink="">
      <xdr:nvSpPr>
        <xdr:cNvPr id="14" name="CaixaDeTexto 13">
          <a:extLst>
            <a:ext uri="{FF2B5EF4-FFF2-40B4-BE49-F238E27FC236}">
              <a16:creationId xmlns:a16="http://schemas.microsoft.com/office/drawing/2014/main" id="{A986FE8C-778D-4446-AE0F-0D11118BFB69}"/>
            </a:ext>
          </a:extLst>
        </xdr:cNvPr>
        <xdr:cNvSpPr txBox="1"/>
      </xdr:nvSpPr>
      <xdr:spPr>
        <a:xfrm>
          <a:off x="12574672" y="10531289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21</xdr:col>
      <xdr:colOff>268941</xdr:colOff>
      <xdr:row>90</xdr:row>
      <xdr:rowOff>0</xdr:rowOff>
    </xdr:from>
    <xdr:to>
      <xdr:col>35</xdr:col>
      <xdr:colOff>581294</xdr:colOff>
      <xdr:row>117</xdr:row>
      <xdr:rowOff>184500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98B5A55A-EBD5-4204-95B4-9FE39B967C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70882</xdr:colOff>
      <xdr:row>90</xdr:row>
      <xdr:rowOff>1681</xdr:rowOff>
    </xdr:from>
    <xdr:to>
      <xdr:col>21</xdr:col>
      <xdr:colOff>271176</xdr:colOff>
      <xdr:row>117</xdr:row>
      <xdr:rowOff>186181</xdr:rowOff>
    </xdr:to>
    <xdr:graphicFrame macro="">
      <xdr:nvGraphicFramePr>
        <xdr:cNvPr id="37" name="Gráfico 36">
          <a:extLst>
            <a:ext uri="{FF2B5EF4-FFF2-40B4-BE49-F238E27FC236}">
              <a16:creationId xmlns:a16="http://schemas.microsoft.com/office/drawing/2014/main" id="{A66B0719-9919-4274-BE16-5FF5353FD4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544609</xdr:colOff>
      <xdr:row>113</xdr:row>
      <xdr:rowOff>44821</xdr:rowOff>
    </xdr:from>
    <xdr:to>
      <xdr:col>11</xdr:col>
      <xdr:colOff>33060</xdr:colOff>
      <xdr:row>114</xdr:row>
      <xdr:rowOff>118881</xdr:rowOff>
    </xdr:to>
    <xdr:sp macro="" textlink="">
      <xdr:nvSpPr>
        <xdr:cNvPr id="38" name="CaixaDeTexto 37">
          <a:extLst>
            <a:ext uri="{FF2B5EF4-FFF2-40B4-BE49-F238E27FC236}">
              <a16:creationId xmlns:a16="http://schemas.microsoft.com/office/drawing/2014/main" id="{0313C878-ABB9-4A4C-BC6B-D372C053AF3D}"/>
            </a:ext>
          </a:extLst>
        </xdr:cNvPr>
        <xdr:cNvSpPr txBox="1"/>
      </xdr:nvSpPr>
      <xdr:spPr>
        <a:xfrm>
          <a:off x="3794315" y="1604682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203377</xdr:colOff>
      <xdr:row>92</xdr:row>
      <xdr:rowOff>64991</xdr:rowOff>
    </xdr:from>
    <xdr:to>
      <xdr:col>25</xdr:col>
      <xdr:colOff>296945</xdr:colOff>
      <xdr:row>93</xdr:row>
      <xdr:rowOff>139051</xdr:rowOff>
    </xdr:to>
    <xdr:sp macro="" textlink="">
      <xdr:nvSpPr>
        <xdr:cNvPr id="39" name="CaixaDeTexto 38">
          <a:extLst>
            <a:ext uri="{FF2B5EF4-FFF2-40B4-BE49-F238E27FC236}">
              <a16:creationId xmlns:a16="http://schemas.microsoft.com/office/drawing/2014/main" id="{A97D9CFA-0A92-4E96-894F-059B1343B35D}"/>
            </a:ext>
          </a:extLst>
        </xdr:cNvPr>
        <xdr:cNvSpPr txBox="1"/>
      </xdr:nvSpPr>
      <xdr:spPr>
        <a:xfrm>
          <a:off x="12529848" y="1206649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21</xdr:col>
      <xdr:colOff>268941</xdr:colOff>
      <xdr:row>148</xdr:row>
      <xdr:rowOff>11206</xdr:rowOff>
    </xdr:from>
    <xdr:to>
      <xdr:col>35</xdr:col>
      <xdr:colOff>581294</xdr:colOff>
      <xdr:row>176</xdr:row>
      <xdr:rowOff>5206</xdr:rowOff>
    </xdr:to>
    <xdr:graphicFrame macro="">
      <xdr:nvGraphicFramePr>
        <xdr:cNvPr id="40" name="Gráfico 39" descr="Igor Mundstock">
          <a:extLst>
            <a:ext uri="{FF2B5EF4-FFF2-40B4-BE49-F238E27FC236}">
              <a16:creationId xmlns:a16="http://schemas.microsoft.com/office/drawing/2014/main" id="{5C4831AF-AA64-4A9D-9F1E-7A3EFA2E4D6D}"/>
            </a:ext>
            <a:ext uri="{C183D7F6-B498-43B3-948B-1728B52AA6E4}">
              <adec:decorative xmlns:adec="http://schemas.microsoft.com/office/drawing/2017/decorative" val="0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6</xdr:col>
      <xdr:colOff>70882</xdr:colOff>
      <xdr:row>148</xdr:row>
      <xdr:rowOff>1681</xdr:rowOff>
    </xdr:from>
    <xdr:to>
      <xdr:col>21</xdr:col>
      <xdr:colOff>271176</xdr:colOff>
      <xdr:row>175</xdr:row>
      <xdr:rowOff>186181</xdr:rowOff>
    </xdr:to>
    <xdr:graphicFrame macro="">
      <xdr:nvGraphicFramePr>
        <xdr:cNvPr id="41" name="Gráfico 40">
          <a:extLst>
            <a:ext uri="{FF2B5EF4-FFF2-40B4-BE49-F238E27FC236}">
              <a16:creationId xmlns:a16="http://schemas.microsoft.com/office/drawing/2014/main" id="{3B9F3DD9-7BC5-4CA0-B8CB-6980CAC3E7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365315</xdr:colOff>
      <xdr:row>171</xdr:row>
      <xdr:rowOff>56031</xdr:rowOff>
    </xdr:from>
    <xdr:to>
      <xdr:col>10</xdr:col>
      <xdr:colOff>458883</xdr:colOff>
      <xdr:row>172</xdr:row>
      <xdr:rowOff>130091</xdr:rowOff>
    </xdr:to>
    <xdr:sp macro="" textlink="">
      <xdr:nvSpPr>
        <xdr:cNvPr id="42" name="CaixaDeTexto 41">
          <a:extLst>
            <a:ext uri="{FF2B5EF4-FFF2-40B4-BE49-F238E27FC236}">
              <a16:creationId xmlns:a16="http://schemas.microsoft.com/office/drawing/2014/main" id="{043B4C63-C7AF-42CA-BDBE-4BF247931D04}"/>
            </a:ext>
          </a:extLst>
        </xdr:cNvPr>
        <xdr:cNvSpPr txBox="1"/>
      </xdr:nvSpPr>
      <xdr:spPr>
        <a:xfrm>
          <a:off x="3615021" y="2158253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281819</xdr:colOff>
      <xdr:row>171</xdr:row>
      <xdr:rowOff>64995</xdr:rowOff>
    </xdr:from>
    <xdr:to>
      <xdr:col>25</xdr:col>
      <xdr:colOff>375387</xdr:colOff>
      <xdr:row>172</xdr:row>
      <xdr:rowOff>139055</xdr:rowOff>
    </xdr:to>
    <xdr:sp macro="" textlink="">
      <xdr:nvSpPr>
        <xdr:cNvPr id="43" name="CaixaDeTexto 42">
          <a:extLst>
            <a:ext uri="{FF2B5EF4-FFF2-40B4-BE49-F238E27FC236}">
              <a16:creationId xmlns:a16="http://schemas.microsoft.com/office/drawing/2014/main" id="{AF0AAF07-52BE-4857-8181-D670FA84877E}"/>
            </a:ext>
          </a:extLst>
        </xdr:cNvPr>
        <xdr:cNvSpPr txBox="1"/>
      </xdr:nvSpPr>
      <xdr:spPr>
        <a:xfrm>
          <a:off x="12608290" y="21591495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61</xdr:row>
      <xdr:rowOff>1681</xdr:rowOff>
    </xdr:from>
    <xdr:to>
      <xdr:col>21</xdr:col>
      <xdr:colOff>271176</xdr:colOff>
      <xdr:row>88</xdr:row>
      <xdr:rowOff>186181</xdr:rowOff>
    </xdr:to>
    <xdr:grpSp>
      <xdr:nvGrpSpPr>
        <xdr:cNvPr id="15" name="Agrupar 14">
          <a:extLst>
            <a:ext uri="{FF2B5EF4-FFF2-40B4-BE49-F238E27FC236}">
              <a16:creationId xmlns:a16="http://schemas.microsoft.com/office/drawing/2014/main" id="{F489662C-7380-6372-AAEB-5F5D97F2BF07}"/>
            </a:ext>
          </a:extLst>
        </xdr:cNvPr>
        <xdr:cNvGrpSpPr/>
      </xdr:nvGrpSpPr>
      <xdr:grpSpPr>
        <a:xfrm>
          <a:off x="3208529" y="11622181"/>
          <a:ext cx="8784000" cy="5328000"/>
          <a:chOff x="3208529" y="22671181"/>
          <a:chExt cx="8784000" cy="5328000"/>
        </a:xfrm>
      </xdr:grpSpPr>
      <xdr:grpSp>
        <xdr:nvGrpSpPr>
          <xdr:cNvPr id="13" name="Agrupar 12">
            <a:extLst>
              <a:ext uri="{FF2B5EF4-FFF2-40B4-BE49-F238E27FC236}">
                <a16:creationId xmlns:a16="http://schemas.microsoft.com/office/drawing/2014/main" id="{74E86DAF-BE3D-C51A-1000-6A9CDF69E512}"/>
              </a:ext>
            </a:extLst>
          </xdr:cNvPr>
          <xdr:cNvGrpSpPr/>
        </xdr:nvGrpSpPr>
        <xdr:grpSpPr>
          <a:xfrm>
            <a:off x="3208529" y="22671181"/>
            <a:ext cx="8784000" cy="5328000"/>
            <a:chOff x="3208529" y="22671181"/>
            <a:chExt cx="8784000" cy="5328000"/>
          </a:xfrm>
        </xdr:grpSpPr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6A3987CE-E4BB-4924-B3D5-B2D49B6A29EB}"/>
                </a:ext>
              </a:extLst>
            </xdr:cNvPr>
            <xdr:cNvGraphicFramePr>
              <a:graphicFrameLocks/>
            </xdr:cNvGraphicFramePr>
          </xdr:nvGraphicFramePr>
          <xdr:xfrm>
            <a:off x="3208529" y="22671181"/>
            <a:ext cx="8784000" cy="532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9"/>
            </a:graphicData>
          </a:graphic>
        </xdr:graphicFrame>
        <xdr:sp macro="" textlink="">
          <xdr:nvSpPr>
            <xdr:cNvPr id="4" name="CaixaDeTexto 3">
              <a:extLst>
                <a:ext uri="{FF2B5EF4-FFF2-40B4-BE49-F238E27FC236}">
                  <a16:creationId xmlns:a16="http://schemas.microsoft.com/office/drawing/2014/main" id="{25E9A68C-79DF-4074-969C-4D19C4A78589}"/>
                </a:ext>
              </a:extLst>
            </xdr:cNvPr>
            <xdr:cNvSpPr txBox="1"/>
          </xdr:nvSpPr>
          <xdr:spPr>
            <a:xfrm>
              <a:off x="3794315" y="27095821"/>
              <a:ext cx="190892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l"/>
              <a:r>
                <a:rPr lang="pt-BR" sz="1100" b="1"/>
                <a:t>Fonte: Fred e Igor Mundstock</a:t>
              </a:r>
            </a:p>
          </xdr:txBody>
        </xdr:sp>
      </xdr:grpSp>
      <xdr:cxnSp macro="">
        <xdr:nvCxnSpPr>
          <xdr:cNvPr id="8" name="Conector reto 7">
            <a:extLst>
              <a:ext uri="{FF2B5EF4-FFF2-40B4-BE49-F238E27FC236}">
                <a16:creationId xmlns:a16="http://schemas.microsoft.com/office/drawing/2014/main" id="{6A49232E-211B-9A2A-3811-4CEE668312BD}"/>
              </a:ext>
            </a:extLst>
          </xdr:cNvPr>
          <xdr:cNvCxnSpPr/>
        </xdr:nvCxnSpPr>
        <xdr:spPr>
          <a:xfrm>
            <a:off x="3787588" y="25504589"/>
            <a:ext cx="80640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32</xdr:col>
      <xdr:colOff>145676</xdr:colOff>
      <xdr:row>43</xdr:row>
      <xdr:rowOff>56029</xdr:rowOff>
    </xdr:from>
    <xdr:to>
      <xdr:col>34</xdr:col>
      <xdr:colOff>403411</xdr:colOff>
      <xdr:row>43</xdr:row>
      <xdr:rowOff>67235</xdr:rowOff>
    </xdr:to>
    <xdr:cxnSp macro="">
      <xdr:nvCxnSpPr>
        <xdr:cNvPr id="18" name="Conector de Seta Reta 17">
          <a:extLst>
            <a:ext uri="{FF2B5EF4-FFF2-40B4-BE49-F238E27FC236}">
              <a16:creationId xmlns:a16="http://schemas.microsoft.com/office/drawing/2014/main" id="{3B5F25DC-26A6-6A77-DC8E-FD5C4E03E0CD}"/>
            </a:ext>
          </a:extLst>
        </xdr:cNvPr>
        <xdr:cNvCxnSpPr/>
      </xdr:nvCxnSpPr>
      <xdr:spPr>
        <a:xfrm flipV="1">
          <a:off x="18523323" y="8247529"/>
          <a:ext cx="1467970" cy="11206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268941</xdr:colOff>
      <xdr:row>61</xdr:row>
      <xdr:rowOff>0</xdr:rowOff>
    </xdr:from>
    <xdr:to>
      <xdr:col>35</xdr:col>
      <xdr:colOff>581294</xdr:colOff>
      <xdr:row>88</xdr:row>
      <xdr:rowOff>184500</xdr:rowOff>
    </xdr:to>
    <xdr:grpSp>
      <xdr:nvGrpSpPr>
        <xdr:cNvPr id="19" name="Agrupar 18">
          <a:extLst>
            <a:ext uri="{FF2B5EF4-FFF2-40B4-BE49-F238E27FC236}">
              <a16:creationId xmlns:a16="http://schemas.microsoft.com/office/drawing/2014/main" id="{93C25C4A-682A-4C95-B5CE-A97D55083F52}"/>
            </a:ext>
          </a:extLst>
        </xdr:cNvPr>
        <xdr:cNvGrpSpPr/>
      </xdr:nvGrpSpPr>
      <xdr:grpSpPr>
        <a:xfrm>
          <a:off x="11990294" y="11620500"/>
          <a:ext cx="8784000" cy="5328000"/>
          <a:chOff x="3208529" y="22671181"/>
          <a:chExt cx="8784000" cy="5328000"/>
        </a:xfrm>
      </xdr:grpSpPr>
      <xdr:grpSp>
        <xdr:nvGrpSpPr>
          <xdr:cNvPr id="20" name="Agrupar 19">
            <a:extLst>
              <a:ext uri="{FF2B5EF4-FFF2-40B4-BE49-F238E27FC236}">
                <a16:creationId xmlns:a16="http://schemas.microsoft.com/office/drawing/2014/main" id="{AC31DE06-7D6A-0832-4151-68346FA38C60}"/>
              </a:ext>
            </a:extLst>
          </xdr:cNvPr>
          <xdr:cNvGrpSpPr/>
        </xdr:nvGrpSpPr>
        <xdr:grpSpPr>
          <a:xfrm>
            <a:off x="3208529" y="22671181"/>
            <a:ext cx="8784000" cy="5328000"/>
            <a:chOff x="3208529" y="22671181"/>
            <a:chExt cx="8784000" cy="5328000"/>
          </a:xfrm>
        </xdr:grpSpPr>
        <xdr:graphicFrame macro="">
          <xdr:nvGraphicFramePr>
            <xdr:cNvPr id="22" name="Gráfico 21">
              <a:extLst>
                <a:ext uri="{FF2B5EF4-FFF2-40B4-BE49-F238E27FC236}">
                  <a16:creationId xmlns:a16="http://schemas.microsoft.com/office/drawing/2014/main" id="{3367EB43-3861-9DB8-0125-570154673372}"/>
                </a:ext>
              </a:extLst>
            </xdr:cNvPr>
            <xdr:cNvGraphicFramePr>
              <a:graphicFrameLocks/>
            </xdr:cNvGraphicFramePr>
          </xdr:nvGraphicFramePr>
          <xdr:xfrm>
            <a:off x="3208529" y="22671181"/>
            <a:ext cx="8784000" cy="532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0"/>
            </a:graphicData>
          </a:graphic>
        </xdr:graphicFrame>
        <xdr:sp macro="" textlink="">
          <xdr:nvSpPr>
            <xdr:cNvPr id="23" name="CaixaDeTexto 22">
              <a:extLst>
                <a:ext uri="{FF2B5EF4-FFF2-40B4-BE49-F238E27FC236}">
                  <a16:creationId xmlns:a16="http://schemas.microsoft.com/office/drawing/2014/main" id="{55F380F4-7E22-2E4F-3DD1-E6C13806EE42}"/>
                </a:ext>
              </a:extLst>
            </xdr:cNvPr>
            <xdr:cNvSpPr txBox="1"/>
          </xdr:nvSpPr>
          <xdr:spPr>
            <a:xfrm>
              <a:off x="3794315" y="27095821"/>
              <a:ext cx="190892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l"/>
              <a:r>
                <a:rPr lang="pt-BR" sz="1100" b="1"/>
                <a:t>Fonte: Fred e Igor Mundstock</a:t>
              </a:r>
            </a:p>
          </xdr:txBody>
        </xdr:sp>
      </xdr:grpSp>
      <xdr:cxnSp macro="">
        <xdr:nvCxnSpPr>
          <xdr:cNvPr id="21" name="Conector reto 20">
            <a:extLst>
              <a:ext uri="{FF2B5EF4-FFF2-40B4-BE49-F238E27FC236}">
                <a16:creationId xmlns:a16="http://schemas.microsoft.com/office/drawing/2014/main" id="{21F4B885-999D-964B-17D4-4CC371C3FCB2}"/>
              </a:ext>
            </a:extLst>
          </xdr:cNvPr>
          <xdr:cNvCxnSpPr/>
        </xdr:nvCxnSpPr>
        <xdr:spPr>
          <a:xfrm>
            <a:off x="3787588" y="25504589"/>
            <a:ext cx="80640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6</xdr:col>
      <xdr:colOff>70882</xdr:colOff>
      <xdr:row>119</xdr:row>
      <xdr:rowOff>1681</xdr:rowOff>
    </xdr:from>
    <xdr:to>
      <xdr:col>21</xdr:col>
      <xdr:colOff>271176</xdr:colOff>
      <xdr:row>146</xdr:row>
      <xdr:rowOff>186181</xdr:rowOff>
    </xdr:to>
    <xdr:grpSp>
      <xdr:nvGrpSpPr>
        <xdr:cNvPr id="2" name="Agrupar 1">
          <a:extLst>
            <a:ext uri="{FF2B5EF4-FFF2-40B4-BE49-F238E27FC236}">
              <a16:creationId xmlns:a16="http://schemas.microsoft.com/office/drawing/2014/main" id="{D1142D6F-67CA-4C8C-8757-8D05B45E2B57}"/>
            </a:ext>
          </a:extLst>
        </xdr:cNvPr>
        <xdr:cNvGrpSpPr/>
      </xdr:nvGrpSpPr>
      <xdr:grpSpPr>
        <a:xfrm>
          <a:off x="3208529" y="22671181"/>
          <a:ext cx="8784000" cy="5328000"/>
          <a:chOff x="3208529" y="22671181"/>
          <a:chExt cx="8784000" cy="5328000"/>
        </a:xfrm>
      </xdr:grpSpPr>
      <xdr:grpSp>
        <xdr:nvGrpSpPr>
          <xdr:cNvPr id="24" name="Agrupar 23">
            <a:extLst>
              <a:ext uri="{FF2B5EF4-FFF2-40B4-BE49-F238E27FC236}">
                <a16:creationId xmlns:a16="http://schemas.microsoft.com/office/drawing/2014/main" id="{E68EE9ED-D55E-9285-42A1-44362F8EA32D}"/>
              </a:ext>
            </a:extLst>
          </xdr:cNvPr>
          <xdr:cNvGrpSpPr/>
        </xdr:nvGrpSpPr>
        <xdr:grpSpPr>
          <a:xfrm>
            <a:off x="3208529" y="22671181"/>
            <a:ext cx="8784000" cy="5328000"/>
            <a:chOff x="3208529" y="22671181"/>
            <a:chExt cx="8784000" cy="5328000"/>
          </a:xfrm>
        </xdr:grpSpPr>
        <xdr:graphicFrame macro="">
          <xdr:nvGraphicFramePr>
            <xdr:cNvPr id="26" name="Gráfico 25">
              <a:extLst>
                <a:ext uri="{FF2B5EF4-FFF2-40B4-BE49-F238E27FC236}">
                  <a16:creationId xmlns:a16="http://schemas.microsoft.com/office/drawing/2014/main" id="{2BEF536D-6D24-45B5-E780-F9A583E31274}"/>
                </a:ext>
              </a:extLst>
            </xdr:cNvPr>
            <xdr:cNvGraphicFramePr>
              <a:graphicFrameLocks/>
            </xdr:cNvGraphicFramePr>
          </xdr:nvGraphicFramePr>
          <xdr:xfrm>
            <a:off x="3208529" y="22671181"/>
            <a:ext cx="8784000" cy="5328000"/>
          </xdr:xfrm>
          <a:graphic>
            <a:graphicData uri="http://schemas.openxmlformats.org/drawingml/2006/chart">
              <c:chart xmlns:c="http://schemas.openxmlformats.org/drawingml/2006/chart" xmlns:r="http://schemas.openxmlformats.org/officeDocument/2006/relationships" r:id="rId11"/>
            </a:graphicData>
          </a:graphic>
        </xdr:graphicFrame>
        <xdr:sp macro="" textlink="">
          <xdr:nvSpPr>
            <xdr:cNvPr id="27" name="CaixaDeTexto 26">
              <a:extLst>
                <a:ext uri="{FF2B5EF4-FFF2-40B4-BE49-F238E27FC236}">
                  <a16:creationId xmlns:a16="http://schemas.microsoft.com/office/drawing/2014/main" id="{1772D01C-D1C4-6887-7C90-663E8838CFF4}"/>
                </a:ext>
              </a:extLst>
            </xdr:cNvPr>
            <xdr:cNvSpPr txBox="1"/>
          </xdr:nvSpPr>
          <xdr:spPr>
            <a:xfrm>
              <a:off x="3615019" y="27107027"/>
              <a:ext cx="1908921" cy="264560"/>
            </a:xfrm>
            <a:prstGeom prst="rect">
              <a:avLst/>
            </a:prstGeom>
            <a:noFill/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tx1"/>
            </a:fontRef>
          </xdr:style>
          <xdr:txBody>
            <a:bodyPr vertOverflow="clip" horzOverflow="clip" wrap="none" rtlCol="0" anchor="t">
              <a:noAutofit/>
            </a:bodyPr>
            <a:lstStyle/>
            <a:p>
              <a:pPr algn="l"/>
              <a:r>
                <a:rPr lang="pt-BR" sz="1100" b="1"/>
                <a:t>Fonte: Fred e Igor Mundstock</a:t>
              </a:r>
            </a:p>
          </xdr:txBody>
        </xdr:sp>
      </xdr:grpSp>
      <xdr:cxnSp macro="">
        <xdr:nvCxnSpPr>
          <xdr:cNvPr id="25" name="Conector reto 24">
            <a:extLst>
              <a:ext uri="{FF2B5EF4-FFF2-40B4-BE49-F238E27FC236}">
                <a16:creationId xmlns:a16="http://schemas.microsoft.com/office/drawing/2014/main" id="{5B18CEBF-7A7F-34CA-7726-3711DC9003E8}"/>
              </a:ext>
            </a:extLst>
          </xdr:cNvPr>
          <xdr:cNvCxnSpPr/>
        </xdr:nvCxnSpPr>
        <xdr:spPr>
          <a:xfrm>
            <a:off x="3608292" y="25190821"/>
            <a:ext cx="8244000" cy="0"/>
          </a:xfrm>
          <a:prstGeom prst="line">
            <a:avLst/>
          </a:prstGeom>
          <a:ln w="38100">
            <a:solidFill>
              <a:srgbClr val="FF0000"/>
            </a:solidFill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7</xdr:col>
      <xdr:colOff>537882</xdr:colOff>
      <xdr:row>105</xdr:row>
      <xdr:rowOff>168089</xdr:rowOff>
    </xdr:from>
    <xdr:to>
      <xdr:col>21</xdr:col>
      <xdr:colOff>130235</xdr:colOff>
      <xdr:row>105</xdr:row>
      <xdr:rowOff>168089</xdr:rowOff>
    </xdr:to>
    <xdr:cxnSp macro="">
      <xdr:nvCxnSpPr>
        <xdr:cNvPr id="34" name="Conector reto 33">
          <a:extLst>
            <a:ext uri="{FF2B5EF4-FFF2-40B4-BE49-F238E27FC236}">
              <a16:creationId xmlns:a16="http://schemas.microsoft.com/office/drawing/2014/main" id="{93E69D31-57FC-A825-B4E5-C475B4B51B7D}"/>
            </a:ext>
          </a:extLst>
        </xdr:cNvPr>
        <xdr:cNvCxnSpPr/>
      </xdr:nvCxnSpPr>
      <xdr:spPr>
        <a:xfrm flipV="1">
          <a:off x="3787588" y="14646089"/>
          <a:ext cx="8064000" cy="0"/>
        </a:xfrm>
        <a:prstGeom prst="line">
          <a:avLst/>
        </a:prstGeom>
        <a:ln w="28575">
          <a:solidFill>
            <a:srgbClr val="FF0000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24</xdr:col>
      <xdr:colOff>358588</xdr:colOff>
      <xdr:row>98</xdr:row>
      <xdr:rowOff>112059</xdr:rowOff>
    </xdr:from>
    <xdr:to>
      <xdr:col>34</xdr:col>
      <xdr:colOff>493059</xdr:colOff>
      <xdr:row>110</xdr:row>
      <xdr:rowOff>0</xdr:rowOff>
    </xdr:to>
    <xdr:cxnSp macro="">
      <xdr:nvCxnSpPr>
        <xdr:cNvPr id="35" name="Conector reto 34">
          <a:extLst>
            <a:ext uri="{FF2B5EF4-FFF2-40B4-BE49-F238E27FC236}">
              <a16:creationId xmlns:a16="http://schemas.microsoft.com/office/drawing/2014/main" id="{262518E7-A1DD-4DCE-842D-471C28464F05}"/>
            </a:ext>
          </a:extLst>
        </xdr:cNvPr>
        <xdr:cNvCxnSpPr/>
      </xdr:nvCxnSpPr>
      <xdr:spPr>
        <a:xfrm>
          <a:off x="13895294" y="18781059"/>
          <a:ext cx="6185647" cy="2173941"/>
        </a:xfrm>
        <a:prstGeom prst="line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31</xdr:col>
      <xdr:colOff>365312</xdr:colOff>
      <xdr:row>51</xdr:row>
      <xdr:rowOff>141194</xdr:rowOff>
    </xdr:from>
    <xdr:to>
      <xdr:col>34</xdr:col>
      <xdr:colOff>156883</xdr:colOff>
      <xdr:row>53</xdr:row>
      <xdr:rowOff>179294</xdr:rowOff>
    </xdr:to>
    <xdr:cxnSp macro="">
      <xdr:nvCxnSpPr>
        <xdr:cNvPr id="36" name="Conector de Seta Reta 35">
          <a:extLst>
            <a:ext uri="{FF2B5EF4-FFF2-40B4-BE49-F238E27FC236}">
              <a16:creationId xmlns:a16="http://schemas.microsoft.com/office/drawing/2014/main" id="{FD4DE293-C01E-494A-8CC1-F576FEBC73A0}"/>
            </a:ext>
          </a:extLst>
        </xdr:cNvPr>
        <xdr:cNvCxnSpPr/>
      </xdr:nvCxnSpPr>
      <xdr:spPr>
        <a:xfrm>
          <a:off x="18137841" y="9856694"/>
          <a:ext cx="1606924" cy="41910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70882</xdr:colOff>
      <xdr:row>2</xdr:row>
      <xdr:rowOff>180131</xdr:rowOff>
    </xdr:from>
    <xdr:to>
      <xdr:col>21</xdr:col>
      <xdr:colOff>271176</xdr:colOff>
      <xdr:row>30</xdr:row>
      <xdr:rowOff>174131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B00A4F64-5732-4ED0-96E8-3E16E5B5F95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21</xdr:col>
      <xdr:colOff>271749</xdr:colOff>
      <xdr:row>2</xdr:row>
      <xdr:rowOff>180131</xdr:rowOff>
    </xdr:from>
    <xdr:to>
      <xdr:col>35</xdr:col>
      <xdr:colOff>584102</xdr:colOff>
      <xdr:row>30</xdr:row>
      <xdr:rowOff>174131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A8D43338-9A97-436C-BECB-32C698079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381000</xdr:colOff>
      <xdr:row>26</xdr:row>
      <xdr:rowOff>164731</xdr:rowOff>
    </xdr:from>
    <xdr:to>
      <xdr:col>10</xdr:col>
      <xdr:colOff>474568</xdr:colOff>
      <xdr:row>28</xdr:row>
      <xdr:rowOff>48291</xdr:rowOff>
    </xdr:to>
    <xdr:sp macro="" textlink="">
      <xdr:nvSpPr>
        <xdr:cNvPr id="9" name="CaixaDeTexto 8">
          <a:extLst>
            <a:ext uri="{FF2B5EF4-FFF2-40B4-BE49-F238E27FC236}">
              <a16:creationId xmlns:a16="http://schemas.microsoft.com/office/drawing/2014/main" id="{30274FB1-CB32-4C64-AE7C-8455EA1125AC}"/>
            </a:ext>
          </a:extLst>
        </xdr:cNvPr>
        <xdr:cNvSpPr txBox="1"/>
      </xdr:nvSpPr>
      <xdr:spPr>
        <a:xfrm>
          <a:off x="3630706" y="5117731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22</xdr:col>
      <xdr:colOff>62754</xdr:colOff>
      <xdr:row>26</xdr:row>
      <xdr:rowOff>175937</xdr:rowOff>
    </xdr:from>
    <xdr:to>
      <xdr:col>25</xdr:col>
      <xdr:colOff>156322</xdr:colOff>
      <xdr:row>28</xdr:row>
      <xdr:rowOff>59497</xdr:rowOff>
    </xdr:to>
    <xdr:sp macro="" textlink="">
      <xdr:nvSpPr>
        <xdr:cNvPr id="10" name="CaixaDeTexto 9">
          <a:extLst>
            <a:ext uri="{FF2B5EF4-FFF2-40B4-BE49-F238E27FC236}">
              <a16:creationId xmlns:a16="http://schemas.microsoft.com/office/drawing/2014/main" id="{2E6538E6-4E6A-4160-8C1D-01B565293FCE}"/>
            </a:ext>
          </a:extLst>
        </xdr:cNvPr>
        <xdr:cNvSpPr txBox="1"/>
      </xdr:nvSpPr>
      <xdr:spPr>
        <a:xfrm>
          <a:off x="12389225" y="5128937"/>
          <a:ext cx="190892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70882</xdr:colOff>
      <xdr:row>32</xdr:row>
      <xdr:rowOff>6443</xdr:rowOff>
    </xdr:from>
    <xdr:to>
      <xdr:col>21</xdr:col>
      <xdr:colOff>271176</xdr:colOff>
      <xdr:row>60</xdr:row>
      <xdr:rowOff>443</xdr:rowOff>
    </xdr:to>
    <xdr:grpSp>
      <xdr:nvGrpSpPr>
        <xdr:cNvPr id="36" name="Agrupar 35">
          <a:extLst>
            <a:ext uri="{FF2B5EF4-FFF2-40B4-BE49-F238E27FC236}">
              <a16:creationId xmlns:a16="http://schemas.microsoft.com/office/drawing/2014/main" id="{E1F7A591-D8D8-2118-EE51-63D43620D721}"/>
            </a:ext>
          </a:extLst>
        </xdr:cNvPr>
        <xdr:cNvGrpSpPr/>
      </xdr:nvGrpSpPr>
      <xdr:grpSpPr>
        <a:xfrm>
          <a:off x="3208529" y="6102443"/>
          <a:ext cx="8784000" cy="5328000"/>
          <a:chOff x="3208529" y="6097681"/>
          <a:chExt cx="8784000" cy="5328000"/>
        </a:xfrm>
      </xdr:grpSpPr>
      <xdr:graphicFrame macro="">
        <xdr:nvGraphicFramePr>
          <xdr:cNvPr id="11" name="Gráfico 10">
            <a:extLst>
              <a:ext uri="{FF2B5EF4-FFF2-40B4-BE49-F238E27FC236}">
                <a16:creationId xmlns:a16="http://schemas.microsoft.com/office/drawing/2014/main" id="{778D9CBB-762D-4206-A6D8-FC9D845D13F9}"/>
              </a:ext>
            </a:extLst>
          </xdr:cNvPr>
          <xdr:cNvGraphicFramePr>
            <a:graphicFrameLocks/>
          </xdr:cNvGraphicFramePr>
        </xdr:nvGraphicFramePr>
        <xdr:xfrm>
          <a:off x="3208529" y="6097681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sp macro="" textlink="">
        <xdr:nvSpPr>
          <xdr:cNvPr id="12" name="CaixaDeTexto 11">
            <a:extLst>
              <a:ext uri="{FF2B5EF4-FFF2-40B4-BE49-F238E27FC236}">
                <a16:creationId xmlns:a16="http://schemas.microsoft.com/office/drawing/2014/main" id="{C92B62C8-CCDB-43E8-8FFE-78FF4B157EBA}"/>
              </a:ext>
            </a:extLst>
          </xdr:cNvPr>
          <xdr:cNvSpPr txBox="1"/>
        </xdr:nvSpPr>
        <xdr:spPr>
          <a:xfrm>
            <a:off x="3659841" y="10735239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9</xdr:col>
      <xdr:colOff>112059</xdr:colOff>
      <xdr:row>10</xdr:row>
      <xdr:rowOff>179294</xdr:rowOff>
    </xdr:from>
    <xdr:to>
      <xdr:col>20</xdr:col>
      <xdr:colOff>537883</xdr:colOff>
      <xdr:row>15</xdr:row>
      <xdr:rowOff>56029</xdr:rowOff>
    </xdr:to>
    <xdr:cxnSp macro="">
      <xdr:nvCxnSpPr>
        <xdr:cNvPr id="13" name="Conector de Seta Reta 12">
          <a:extLst>
            <a:ext uri="{FF2B5EF4-FFF2-40B4-BE49-F238E27FC236}">
              <a16:creationId xmlns:a16="http://schemas.microsoft.com/office/drawing/2014/main" id="{DA4BFAE1-C611-4E7A-85F4-B400FB3AA2FD}"/>
            </a:ext>
          </a:extLst>
        </xdr:cNvPr>
        <xdr:cNvCxnSpPr/>
      </xdr:nvCxnSpPr>
      <xdr:spPr>
        <a:xfrm>
          <a:off x="4572000" y="2084294"/>
          <a:ext cx="7082118" cy="829235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21</xdr:col>
      <xdr:colOff>268941</xdr:colOff>
      <xdr:row>32</xdr:row>
      <xdr:rowOff>6443</xdr:rowOff>
    </xdr:from>
    <xdr:to>
      <xdr:col>35</xdr:col>
      <xdr:colOff>581294</xdr:colOff>
      <xdr:row>60</xdr:row>
      <xdr:rowOff>443</xdr:rowOff>
    </xdr:to>
    <xdr:grpSp>
      <xdr:nvGrpSpPr>
        <xdr:cNvPr id="17" name="Agrupar 16">
          <a:extLst>
            <a:ext uri="{FF2B5EF4-FFF2-40B4-BE49-F238E27FC236}">
              <a16:creationId xmlns:a16="http://schemas.microsoft.com/office/drawing/2014/main" id="{385021FF-17D4-33F1-6DA3-E5B635012DF2}"/>
            </a:ext>
          </a:extLst>
        </xdr:cNvPr>
        <xdr:cNvGrpSpPr/>
      </xdr:nvGrpSpPr>
      <xdr:grpSpPr>
        <a:xfrm>
          <a:off x="11990294" y="6102443"/>
          <a:ext cx="8784000" cy="5328000"/>
          <a:chOff x="11990294" y="6107206"/>
          <a:chExt cx="8784000" cy="5328000"/>
        </a:xfrm>
      </xdr:grpSpPr>
      <xdr:graphicFrame macro="">
        <xdr:nvGraphicFramePr>
          <xdr:cNvPr id="5" name="Gráfico 4">
            <a:extLst>
              <a:ext uri="{FF2B5EF4-FFF2-40B4-BE49-F238E27FC236}">
                <a16:creationId xmlns:a16="http://schemas.microsoft.com/office/drawing/2014/main" id="{7A9B74B4-E888-4986-8A4E-E6B64C775A9B}"/>
              </a:ext>
            </a:extLst>
          </xdr:cNvPr>
          <xdr:cNvGraphicFramePr>
            <a:graphicFrameLocks/>
          </xdr:cNvGraphicFramePr>
        </xdr:nvGraphicFramePr>
        <xdr:xfrm>
          <a:off x="11990294" y="6107206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4"/>
          </a:graphicData>
        </a:graphic>
      </xdr:graphicFrame>
      <xdr:sp macro="" textlink="">
        <xdr:nvSpPr>
          <xdr:cNvPr id="14" name="CaixaDeTexto 13">
            <a:extLst>
              <a:ext uri="{FF2B5EF4-FFF2-40B4-BE49-F238E27FC236}">
                <a16:creationId xmlns:a16="http://schemas.microsoft.com/office/drawing/2014/main" id="{B8BDA88D-E8A9-417F-A077-7218BF13F2B5}"/>
              </a:ext>
            </a:extLst>
          </xdr:cNvPr>
          <xdr:cNvSpPr txBox="1"/>
        </xdr:nvSpPr>
        <xdr:spPr>
          <a:xfrm>
            <a:off x="12451408" y="6530786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12</xdr:col>
      <xdr:colOff>504264</xdr:colOff>
      <xdr:row>65</xdr:row>
      <xdr:rowOff>156883</xdr:rowOff>
    </xdr:from>
    <xdr:to>
      <xdr:col>15</xdr:col>
      <xdr:colOff>596911</xdr:colOff>
      <xdr:row>65</xdr:row>
      <xdr:rowOff>156883</xdr:rowOff>
    </xdr:to>
    <xdr:cxnSp macro="">
      <xdr:nvCxnSpPr>
        <xdr:cNvPr id="19" name="Conector de Seta Reta 18">
          <a:extLst>
            <a:ext uri="{FF2B5EF4-FFF2-40B4-BE49-F238E27FC236}">
              <a16:creationId xmlns:a16="http://schemas.microsoft.com/office/drawing/2014/main" id="{E7F39E30-DE3D-4B7F-8228-3AFE8775D1CC}"/>
            </a:ext>
          </a:extLst>
        </xdr:cNvPr>
        <xdr:cNvCxnSpPr/>
      </xdr:nvCxnSpPr>
      <xdr:spPr>
        <a:xfrm flipV="1">
          <a:off x="6828864" y="12539383"/>
          <a:ext cx="1921447" cy="0"/>
        </a:xfrm>
        <a:prstGeom prst="straightConnector1">
          <a:avLst/>
        </a:prstGeom>
        <a:ln w="38100">
          <a:solidFill>
            <a:schemeClr val="tx1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67235</xdr:colOff>
      <xdr:row>90</xdr:row>
      <xdr:rowOff>11204</xdr:rowOff>
    </xdr:from>
    <xdr:to>
      <xdr:col>21</xdr:col>
      <xdr:colOff>268941</xdr:colOff>
      <xdr:row>118</xdr:row>
      <xdr:rowOff>5204</xdr:rowOff>
    </xdr:to>
    <xdr:graphicFrame macro="">
      <xdr:nvGraphicFramePr>
        <xdr:cNvPr id="28" name="Gráfico 27">
          <a:extLst>
            <a:ext uri="{FF2B5EF4-FFF2-40B4-BE49-F238E27FC236}">
              <a16:creationId xmlns:a16="http://schemas.microsoft.com/office/drawing/2014/main" id="{89F692EC-E9C6-464C-BF3F-038630541D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18</xdr:col>
      <xdr:colOff>463541</xdr:colOff>
      <xdr:row>91</xdr:row>
      <xdr:rowOff>108479</xdr:rowOff>
    </xdr:from>
    <xdr:ext cx="1582677" cy="836768"/>
    <xdr:sp macro="" textlink="">
      <xdr:nvSpPr>
        <xdr:cNvPr id="29" name="CaixaDeTexto 28">
          <a:extLst>
            <a:ext uri="{FF2B5EF4-FFF2-40B4-BE49-F238E27FC236}">
              <a16:creationId xmlns:a16="http://schemas.microsoft.com/office/drawing/2014/main" id="{0D0F30F0-D679-459C-944B-A95D03F33479}"/>
            </a:ext>
          </a:extLst>
        </xdr:cNvPr>
        <xdr:cNvSpPr txBox="1"/>
      </xdr:nvSpPr>
      <xdr:spPr>
        <a:xfrm>
          <a:off x="10369541" y="17443979"/>
          <a:ext cx="1582677" cy="83676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latin typeface="Arial Nova" panose="020B0504020202020204" pitchFamily="34" charset="0"/>
            </a:rPr>
            <a:t>2021: </a:t>
          </a:r>
          <a:r>
            <a:rPr lang="pt-BR" sz="1600" b="1">
              <a:solidFill>
                <a:schemeClr val="accent2"/>
              </a:solidFill>
              <a:latin typeface="Arial Nova" panose="020B0504020202020204" pitchFamily="34" charset="0"/>
            </a:rPr>
            <a:t>Laranja</a:t>
          </a:r>
        </a:p>
        <a:p>
          <a:r>
            <a:rPr lang="pt-BR" sz="1600" b="1">
              <a:latin typeface="Arial Nova" panose="020B0504020202020204" pitchFamily="34" charset="0"/>
            </a:rPr>
            <a:t>2022: </a:t>
          </a:r>
          <a:r>
            <a:rPr lang="pt-BR" sz="1600" b="1">
              <a:solidFill>
                <a:schemeClr val="accent4"/>
              </a:solidFill>
              <a:latin typeface="Arial Nova" panose="020B0504020202020204" pitchFamily="34" charset="0"/>
            </a:rPr>
            <a:t>Amarelo</a:t>
          </a:r>
        </a:p>
        <a:p>
          <a:r>
            <a:rPr lang="pt-BR" sz="1600" b="1">
              <a:latin typeface="Arial Nova" panose="020B0504020202020204" pitchFamily="34" charset="0"/>
            </a:rPr>
            <a:t>2023: </a:t>
          </a:r>
          <a:r>
            <a:rPr lang="pt-BR" sz="1600" b="1">
              <a:solidFill>
                <a:schemeClr val="accent6"/>
              </a:solidFill>
              <a:latin typeface="Arial Nova" panose="020B0504020202020204" pitchFamily="34" charset="0"/>
            </a:rPr>
            <a:t>Verde</a:t>
          </a:r>
        </a:p>
      </xdr:txBody>
    </xdr:sp>
    <xdr:clientData/>
  </xdr:oneCellAnchor>
  <xdr:twoCellAnchor>
    <xdr:from>
      <xdr:col>19</xdr:col>
      <xdr:colOff>212908</xdr:colOff>
      <xdr:row>104</xdr:row>
      <xdr:rowOff>88527</xdr:rowOff>
    </xdr:from>
    <xdr:to>
      <xdr:col>19</xdr:col>
      <xdr:colOff>212908</xdr:colOff>
      <xdr:row>109</xdr:row>
      <xdr:rowOff>72027</xdr:rowOff>
    </xdr:to>
    <xdr:cxnSp macro="">
      <xdr:nvCxnSpPr>
        <xdr:cNvPr id="30" name="Conector de Seta Reta 29">
          <a:extLst>
            <a:ext uri="{FF2B5EF4-FFF2-40B4-BE49-F238E27FC236}">
              <a16:creationId xmlns:a16="http://schemas.microsoft.com/office/drawing/2014/main" id="{170B231E-13C6-4B2F-A124-86C74AEB7C9F}"/>
            </a:ext>
          </a:extLst>
        </xdr:cNvPr>
        <xdr:cNvCxnSpPr/>
      </xdr:nvCxnSpPr>
      <xdr:spPr>
        <a:xfrm flipV="1">
          <a:off x="10724026" y="19900527"/>
          <a:ext cx="0" cy="936000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2</xdr:colOff>
      <xdr:row>103</xdr:row>
      <xdr:rowOff>112059</xdr:rowOff>
    </xdr:from>
    <xdr:to>
      <xdr:col>18</xdr:col>
      <xdr:colOff>416649</xdr:colOff>
      <xdr:row>103</xdr:row>
      <xdr:rowOff>112059</xdr:rowOff>
    </xdr:to>
    <xdr:cxnSp macro="">
      <xdr:nvCxnSpPr>
        <xdr:cNvPr id="31" name="Conector de Seta Reta 30">
          <a:extLst>
            <a:ext uri="{FF2B5EF4-FFF2-40B4-BE49-F238E27FC236}">
              <a16:creationId xmlns:a16="http://schemas.microsoft.com/office/drawing/2014/main" id="{E9313CB4-E820-4D46-B596-B275530A4422}"/>
            </a:ext>
          </a:extLst>
        </xdr:cNvPr>
        <xdr:cNvCxnSpPr/>
      </xdr:nvCxnSpPr>
      <xdr:spPr>
        <a:xfrm flipH="1">
          <a:off x="8090649" y="19733559"/>
          <a:ext cx="2232000" cy="0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112060</xdr:colOff>
      <xdr:row>105</xdr:row>
      <xdr:rowOff>144556</xdr:rowOff>
    </xdr:from>
    <xdr:to>
      <xdr:col>16</xdr:col>
      <xdr:colOff>336177</xdr:colOff>
      <xdr:row>109</xdr:row>
      <xdr:rowOff>78440</xdr:rowOff>
    </xdr:to>
    <xdr:cxnSp macro="">
      <xdr:nvCxnSpPr>
        <xdr:cNvPr id="32" name="Conector de Seta Reta 31">
          <a:extLst>
            <a:ext uri="{FF2B5EF4-FFF2-40B4-BE49-F238E27FC236}">
              <a16:creationId xmlns:a16="http://schemas.microsoft.com/office/drawing/2014/main" id="{306CCD88-B131-4524-81A1-D9567D2C904E}"/>
            </a:ext>
          </a:extLst>
        </xdr:cNvPr>
        <xdr:cNvCxnSpPr/>
      </xdr:nvCxnSpPr>
      <xdr:spPr>
        <a:xfrm>
          <a:off x="8202707" y="20147056"/>
          <a:ext cx="829235" cy="695884"/>
        </a:xfrm>
        <a:prstGeom prst="straightConnector1">
          <a:avLst/>
        </a:prstGeom>
        <a:ln w="28575">
          <a:solidFill>
            <a:sysClr val="windowText" lastClr="00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19</xdr:col>
      <xdr:colOff>279765</xdr:colOff>
      <xdr:row>106</xdr:row>
      <xdr:rowOff>25554</xdr:rowOff>
    </xdr:from>
    <xdr:ext cx="650691" cy="340478"/>
    <xdr:sp macro="" textlink="">
      <xdr:nvSpPr>
        <xdr:cNvPr id="33" name="CaixaDeTexto 32">
          <a:extLst>
            <a:ext uri="{FF2B5EF4-FFF2-40B4-BE49-F238E27FC236}">
              <a16:creationId xmlns:a16="http://schemas.microsoft.com/office/drawing/2014/main" id="{77CC5EEA-B177-4D52-B182-939289ABFB40}"/>
            </a:ext>
          </a:extLst>
        </xdr:cNvPr>
        <xdr:cNvSpPr txBox="1"/>
      </xdr:nvSpPr>
      <xdr:spPr>
        <a:xfrm>
          <a:off x="10790883" y="20218554"/>
          <a:ext cx="650691" cy="34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latin typeface="Arial Nova" panose="020B0504020202020204" pitchFamily="34" charset="0"/>
            </a:rPr>
            <a:t>2021</a:t>
          </a:r>
          <a:endParaRPr lang="pt-BR" sz="1600" b="1">
            <a:solidFill>
              <a:schemeClr val="accent6"/>
            </a:solidFill>
            <a:latin typeface="Arial Nova" panose="020B0504020202020204" pitchFamily="34" charset="0"/>
          </a:endParaRPr>
        </a:p>
      </xdr:txBody>
    </xdr:sp>
    <xdr:clientData/>
  </xdr:oneCellAnchor>
  <xdr:oneCellAnchor>
    <xdr:from>
      <xdr:col>16</xdr:col>
      <xdr:colOff>140812</xdr:colOff>
      <xdr:row>101</xdr:row>
      <xdr:rowOff>133130</xdr:rowOff>
    </xdr:from>
    <xdr:ext cx="650691" cy="340478"/>
    <xdr:sp macro="" textlink="">
      <xdr:nvSpPr>
        <xdr:cNvPr id="34" name="CaixaDeTexto 33">
          <a:extLst>
            <a:ext uri="{FF2B5EF4-FFF2-40B4-BE49-F238E27FC236}">
              <a16:creationId xmlns:a16="http://schemas.microsoft.com/office/drawing/2014/main" id="{15281AED-6AC9-40CB-8024-06D843BEACC1}"/>
            </a:ext>
          </a:extLst>
        </xdr:cNvPr>
        <xdr:cNvSpPr txBox="1"/>
      </xdr:nvSpPr>
      <xdr:spPr>
        <a:xfrm>
          <a:off x="8836577" y="19373630"/>
          <a:ext cx="650691" cy="34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latin typeface="Arial Nova" panose="020B0504020202020204" pitchFamily="34" charset="0"/>
            </a:rPr>
            <a:t>2022</a:t>
          </a:r>
          <a:endParaRPr lang="pt-BR" sz="1600" b="1">
            <a:solidFill>
              <a:schemeClr val="accent6"/>
            </a:solidFill>
            <a:latin typeface="Arial Nova" panose="020B0504020202020204" pitchFamily="34" charset="0"/>
          </a:endParaRPr>
        </a:p>
      </xdr:txBody>
    </xdr:sp>
    <xdr:clientData/>
  </xdr:oneCellAnchor>
  <xdr:oneCellAnchor>
    <xdr:from>
      <xdr:col>14</xdr:col>
      <xdr:colOff>562153</xdr:colOff>
      <xdr:row>107</xdr:row>
      <xdr:rowOff>95031</xdr:rowOff>
    </xdr:from>
    <xdr:ext cx="650691" cy="340478"/>
    <xdr:sp macro="" textlink="">
      <xdr:nvSpPr>
        <xdr:cNvPr id="35" name="CaixaDeTexto 34">
          <a:extLst>
            <a:ext uri="{FF2B5EF4-FFF2-40B4-BE49-F238E27FC236}">
              <a16:creationId xmlns:a16="http://schemas.microsoft.com/office/drawing/2014/main" id="{B1377E0A-BFE2-45CB-8693-B4D13046C752}"/>
            </a:ext>
          </a:extLst>
        </xdr:cNvPr>
        <xdr:cNvSpPr txBox="1"/>
      </xdr:nvSpPr>
      <xdr:spPr>
        <a:xfrm>
          <a:off x="8047682" y="20478531"/>
          <a:ext cx="650691" cy="34047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pt-BR" sz="1600" b="1">
              <a:latin typeface="Arial Nova" panose="020B0504020202020204" pitchFamily="34" charset="0"/>
            </a:rPr>
            <a:t>2023</a:t>
          </a:r>
          <a:endParaRPr lang="pt-BR" sz="1600" b="1">
            <a:solidFill>
              <a:schemeClr val="accent6"/>
            </a:solidFill>
            <a:latin typeface="Arial Nova" panose="020B0504020202020204" pitchFamily="34" charset="0"/>
          </a:endParaRPr>
        </a:p>
      </xdr:txBody>
    </xdr:sp>
    <xdr:clientData/>
  </xdr:oneCellAnchor>
  <xdr:twoCellAnchor>
    <xdr:from>
      <xdr:col>6</xdr:col>
      <xdr:colOff>70881</xdr:colOff>
      <xdr:row>61</xdr:row>
      <xdr:rowOff>6443</xdr:rowOff>
    </xdr:from>
    <xdr:to>
      <xdr:col>36</xdr:col>
      <xdr:colOff>50410</xdr:colOff>
      <xdr:row>89</xdr:row>
      <xdr:rowOff>443</xdr:rowOff>
    </xdr:to>
    <xdr:grpSp>
      <xdr:nvGrpSpPr>
        <xdr:cNvPr id="18" name="Agrupar 17">
          <a:extLst>
            <a:ext uri="{FF2B5EF4-FFF2-40B4-BE49-F238E27FC236}">
              <a16:creationId xmlns:a16="http://schemas.microsoft.com/office/drawing/2014/main" id="{16BA2237-C1FA-4689-9716-9EC95FBEB51E}"/>
            </a:ext>
          </a:extLst>
        </xdr:cNvPr>
        <xdr:cNvGrpSpPr/>
      </xdr:nvGrpSpPr>
      <xdr:grpSpPr>
        <a:xfrm>
          <a:off x="3208528" y="11626943"/>
          <a:ext cx="17640000" cy="5328000"/>
          <a:chOff x="3208529" y="6097681"/>
          <a:chExt cx="5922588" cy="5328000"/>
        </a:xfrm>
      </xdr:grpSpPr>
      <xdr:graphicFrame macro="">
        <xdr:nvGraphicFramePr>
          <xdr:cNvPr id="37" name="Gráfico 36">
            <a:extLst>
              <a:ext uri="{FF2B5EF4-FFF2-40B4-BE49-F238E27FC236}">
                <a16:creationId xmlns:a16="http://schemas.microsoft.com/office/drawing/2014/main" id="{B91F348E-F0FF-9827-FD06-A9E724DBAC51}"/>
              </a:ext>
            </a:extLst>
          </xdr:cNvPr>
          <xdr:cNvGraphicFramePr>
            <a:graphicFrameLocks/>
          </xdr:cNvGraphicFramePr>
        </xdr:nvGraphicFramePr>
        <xdr:xfrm>
          <a:off x="3208529" y="6097681"/>
          <a:ext cx="5922588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6"/>
          </a:graphicData>
        </a:graphic>
      </xdr:graphicFrame>
      <xdr:sp macro="" textlink="">
        <xdr:nvSpPr>
          <xdr:cNvPr id="38" name="CaixaDeTexto 37">
            <a:extLst>
              <a:ext uri="{FF2B5EF4-FFF2-40B4-BE49-F238E27FC236}">
                <a16:creationId xmlns:a16="http://schemas.microsoft.com/office/drawing/2014/main" id="{6FD44B8E-B9F7-107D-C0AC-71DCA1436365}"/>
              </a:ext>
            </a:extLst>
          </xdr:cNvPr>
          <xdr:cNvSpPr txBox="1"/>
        </xdr:nvSpPr>
        <xdr:spPr>
          <a:xfrm>
            <a:off x="3344210" y="10623179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21</xdr:col>
      <xdr:colOff>268941</xdr:colOff>
      <xdr:row>90</xdr:row>
      <xdr:rowOff>6451</xdr:rowOff>
    </xdr:from>
    <xdr:to>
      <xdr:col>35</xdr:col>
      <xdr:colOff>581294</xdr:colOff>
      <xdr:row>118</xdr:row>
      <xdr:rowOff>451</xdr:rowOff>
    </xdr:to>
    <xdr:grpSp>
      <xdr:nvGrpSpPr>
        <xdr:cNvPr id="39" name="Agrupar 38">
          <a:extLst>
            <a:ext uri="{FF2B5EF4-FFF2-40B4-BE49-F238E27FC236}">
              <a16:creationId xmlns:a16="http://schemas.microsoft.com/office/drawing/2014/main" id="{EE85BFEA-BDCE-43B2-95B3-0B7B3BA093A6}"/>
            </a:ext>
          </a:extLst>
        </xdr:cNvPr>
        <xdr:cNvGrpSpPr/>
      </xdr:nvGrpSpPr>
      <xdr:grpSpPr>
        <a:xfrm>
          <a:off x="11990294" y="17151451"/>
          <a:ext cx="8784000" cy="5328000"/>
          <a:chOff x="11990294" y="6107206"/>
          <a:chExt cx="8784000" cy="5328000"/>
        </a:xfrm>
      </xdr:grpSpPr>
      <xdr:graphicFrame macro="">
        <xdr:nvGraphicFramePr>
          <xdr:cNvPr id="40" name="Gráfico 39">
            <a:extLst>
              <a:ext uri="{FF2B5EF4-FFF2-40B4-BE49-F238E27FC236}">
                <a16:creationId xmlns:a16="http://schemas.microsoft.com/office/drawing/2014/main" id="{94624DBC-4C48-8EF1-A168-EC631824E1BC}"/>
              </a:ext>
            </a:extLst>
          </xdr:cNvPr>
          <xdr:cNvGraphicFramePr>
            <a:graphicFrameLocks/>
          </xdr:cNvGraphicFramePr>
        </xdr:nvGraphicFramePr>
        <xdr:xfrm>
          <a:off x="11990294" y="6107206"/>
          <a:ext cx="8784000" cy="532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7"/>
          </a:graphicData>
        </a:graphic>
      </xdr:graphicFrame>
      <xdr:sp macro="" textlink="">
        <xdr:nvSpPr>
          <xdr:cNvPr id="41" name="CaixaDeTexto 40">
            <a:extLst>
              <a:ext uri="{FF2B5EF4-FFF2-40B4-BE49-F238E27FC236}">
                <a16:creationId xmlns:a16="http://schemas.microsoft.com/office/drawing/2014/main" id="{EF85B9D7-BDD3-154F-0D89-8696EC4E08CD}"/>
              </a:ext>
            </a:extLst>
          </xdr:cNvPr>
          <xdr:cNvSpPr txBox="1"/>
        </xdr:nvSpPr>
        <xdr:spPr>
          <a:xfrm>
            <a:off x="12451408" y="6530786"/>
            <a:ext cx="1908921" cy="264560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horzOverflow="clip" wrap="none" rtlCol="0" anchor="t">
            <a:noAutofit/>
          </a:bodyPr>
          <a:lstStyle/>
          <a:p>
            <a:pPr algn="l"/>
            <a:r>
              <a:rPr lang="pt-BR" sz="1100" b="1"/>
              <a:t>Fonte: Fred e Igor Mundstock</a:t>
            </a:r>
          </a:p>
        </xdr:txBody>
      </xdr:sp>
    </xdr:grpSp>
    <xdr:clientData/>
  </xdr:twoCellAnchor>
  <xdr:twoCellAnchor>
    <xdr:from>
      <xdr:col>22</xdr:col>
      <xdr:colOff>335573</xdr:colOff>
      <xdr:row>64</xdr:row>
      <xdr:rowOff>22412</xdr:rowOff>
    </xdr:from>
    <xdr:to>
      <xdr:col>23</xdr:col>
      <xdr:colOff>448236</xdr:colOff>
      <xdr:row>76</xdr:row>
      <xdr:rowOff>97663</xdr:rowOff>
    </xdr:to>
    <xdr:cxnSp macro="">
      <xdr:nvCxnSpPr>
        <xdr:cNvPr id="44" name="Conector de Seta Reta 43">
          <a:extLst>
            <a:ext uri="{FF2B5EF4-FFF2-40B4-BE49-F238E27FC236}">
              <a16:creationId xmlns:a16="http://schemas.microsoft.com/office/drawing/2014/main" id="{4340AC22-7093-4F10-9288-13FDDFC4B8F9}"/>
            </a:ext>
          </a:extLst>
        </xdr:cNvPr>
        <xdr:cNvCxnSpPr/>
      </xdr:nvCxnSpPr>
      <xdr:spPr>
        <a:xfrm flipV="1">
          <a:off x="12662044" y="12214412"/>
          <a:ext cx="717780" cy="236125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246530</xdr:colOff>
      <xdr:row>113</xdr:row>
      <xdr:rowOff>56029</xdr:rowOff>
    </xdr:from>
    <xdr:to>
      <xdr:col>11</xdr:col>
      <xdr:colOff>447178</xdr:colOff>
      <xdr:row>114</xdr:row>
      <xdr:rowOff>130089</xdr:rowOff>
    </xdr:to>
    <xdr:sp macro="" textlink="">
      <xdr:nvSpPr>
        <xdr:cNvPr id="56" name="CaixaDeTexto 55">
          <a:extLst>
            <a:ext uri="{FF2B5EF4-FFF2-40B4-BE49-F238E27FC236}">
              <a16:creationId xmlns:a16="http://schemas.microsoft.com/office/drawing/2014/main" id="{F39671B4-DB66-43B7-9AFE-E41ECCC4FE98}"/>
            </a:ext>
          </a:extLst>
        </xdr:cNvPr>
        <xdr:cNvSpPr txBox="1"/>
      </xdr:nvSpPr>
      <xdr:spPr>
        <a:xfrm>
          <a:off x="4101354" y="21582529"/>
          <a:ext cx="2016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6</xdr:col>
      <xdr:colOff>67236</xdr:colOff>
      <xdr:row>119</xdr:row>
      <xdr:rowOff>22412</xdr:rowOff>
    </xdr:from>
    <xdr:to>
      <xdr:col>21</xdr:col>
      <xdr:colOff>267530</xdr:colOff>
      <xdr:row>147</xdr:row>
      <xdr:rowOff>16412</xdr:rowOff>
    </xdr:to>
    <xdr:graphicFrame macro="">
      <xdr:nvGraphicFramePr>
        <xdr:cNvPr id="57" name="Gráfico 56">
          <a:extLst>
            <a:ext uri="{FF2B5EF4-FFF2-40B4-BE49-F238E27FC236}">
              <a16:creationId xmlns:a16="http://schemas.microsoft.com/office/drawing/2014/main" id="{1FB123BD-92CE-435A-B134-6C1D4E6DA6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560295</xdr:colOff>
      <xdr:row>143</xdr:row>
      <xdr:rowOff>44824</xdr:rowOff>
    </xdr:from>
    <xdr:to>
      <xdr:col>11</xdr:col>
      <xdr:colOff>155825</xdr:colOff>
      <xdr:row>144</xdr:row>
      <xdr:rowOff>118884</xdr:rowOff>
    </xdr:to>
    <xdr:sp macro="" textlink="">
      <xdr:nvSpPr>
        <xdr:cNvPr id="58" name="CaixaDeTexto 57">
          <a:extLst>
            <a:ext uri="{FF2B5EF4-FFF2-40B4-BE49-F238E27FC236}">
              <a16:creationId xmlns:a16="http://schemas.microsoft.com/office/drawing/2014/main" id="{423A92CF-4D07-49F2-8A48-3E311ECCB32F}"/>
            </a:ext>
          </a:extLst>
        </xdr:cNvPr>
        <xdr:cNvSpPr txBox="1"/>
      </xdr:nvSpPr>
      <xdr:spPr>
        <a:xfrm>
          <a:off x="3810001" y="27286324"/>
          <a:ext cx="2016000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pt-BR" sz="1100" b="1"/>
            <a:t>Fonte: Fred e Igor Mundstock</a:t>
          </a:r>
        </a:p>
      </xdr:txBody>
    </xdr:sp>
    <xdr:clientData/>
  </xdr:twoCellAnchor>
  <xdr:twoCellAnchor>
    <xdr:from>
      <xdr:col>18</xdr:col>
      <xdr:colOff>106973</xdr:colOff>
      <xdr:row>66</xdr:row>
      <xdr:rowOff>73959</xdr:rowOff>
    </xdr:from>
    <xdr:to>
      <xdr:col>19</xdr:col>
      <xdr:colOff>219635</xdr:colOff>
      <xdr:row>78</xdr:row>
      <xdr:rowOff>149210</xdr:rowOff>
    </xdr:to>
    <xdr:cxnSp macro="">
      <xdr:nvCxnSpPr>
        <xdr:cNvPr id="60" name="Conector de Seta Reta 59">
          <a:extLst>
            <a:ext uri="{FF2B5EF4-FFF2-40B4-BE49-F238E27FC236}">
              <a16:creationId xmlns:a16="http://schemas.microsoft.com/office/drawing/2014/main" id="{B7709B18-D91B-467C-B3DC-674F9C19C19E}"/>
            </a:ext>
          </a:extLst>
        </xdr:cNvPr>
        <xdr:cNvCxnSpPr/>
      </xdr:nvCxnSpPr>
      <xdr:spPr>
        <a:xfrm flipV="1">
          <a:off x="10012973" y="12646959"/>
          <a:ext cx="717780" cy="236125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393843</xdr:colOff>
      <xdr:row>66</xdr:row>
      <xdr:rowOff>24653</xdr:rowOff>
    </xdr:from>
    <xdr:to>
      <xdr:col>11</xdr:col>
      <xdr:colOff>506506</xdr:colOff>
      <xdr:row>78</xdr:row>
      <xdr:rowOff>99904</xdr:rowOff>
    </xdr:to>
    <xdr:cxnSp macro="">
      <xdr:nvCxnSpPr>
        <xdr:cNvPr id="61" name="Conector de Seta Reta 60">
          <a:extLst>
            <a:ext uri="{FF2B5EF4-FFF2-40B4-BE49-F238E27FC236}">
              <a16:creationId xmlns:a16="http://schemas.microsoft.com/office/drawing/2014/main" id="{5821A80C-A1C9-406D-80FE-16BC90949E42}"/>
            </a:ext>
          </a:extLst>
        </xdr:cNvPr>
        <xdr:cNvCxnSpPr/>
      </xdr:nvCxnSpPr>
      <xdr:spPr>
        <a:xfrm flipV="1">
          <a:off x="5458902" y="12597653"/>
          <a:ext cx="717780" cy="236125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156882</xdr:colOff>
      <xdr:row>65</xdr:row>
      <xdr:rowOff>134471</xdr:rowOff>
    </xdr:from>
    <xdr:to>
      <xdr:col>17</xdr:col>
      <xdr:colOff>358589</xdr:colOff>
      <xdr:row>77</xdr:row>
      <xdr:rowOff>11206</xdr:rowOff>
    </xdr:to>
    <xdr:cxnSp macro="">
      <xdr:nvCxnSpPr>
        <xdr:cNvPr id="62" name="Conector de Seta Reta 61">
          <a:extLst>
            <a:ext uri="{FF2B5EF4-FFF2-40B4-BE49-F238E27FC236}">
              <a16:creationId xmlns:a16="http://schemas.microsoft.com/office/drawing/2014/main" id="{1AAF4205-679A-4B56-AD22-6572CE1A410B}"/>
            </a:ext>
          </a:extLst>
        </xdr:cNvPr>
        <xdr:cNvCxnSpPr/>
      </xdr:nvCxnSpPr>
      <xdr:spPr>
        <a:xfrm>
          <a:off x="7037294" y="12516971"/>
          <a:ext cx="2622177" cy="216273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20</xdr:col>
      <xdr:colOff>320489</xdr:colOff>
      <xdr:row>64</xdr:row>
      <xdr:rowOff>62754</xdr:rowOff>
    </xdr:from>
    <xdr:to>
      <xdr:col>22</xdr:col>
      <xdr:colOff>168088</xdr:colOff>
      <xdr:row>77</xdr:row>
      <xdr:rowOff>44824</xdr:rowOff>
    </xdr:to>
    <xdr:cxnSp macro="">
      <xdr:nvCxnSpPr>
        <xdr:cNvPr id="65" name="Conector de Seta Reta 64">
          <a:extLst>
            <a:ext uri="{FF2B5EF4-FFF2-40B4-BE49-F238E27FC236}">
              <a16:creationId xmlns:a16="http://schemas.microsoft.com/office/drawing/2014/main" id="{98C24028-9FA1-4FDF-AD6D-6B571F207328}"/>
            </a:ext>
          </a:extLst>
        </xdr:cNvPr>
        <xdr:cNvCxnSpPr/>
      </xdr:nvCxnSpPr>
      <xdr:spPr>
        <a:xfrm>
          <a:off x="11436724" y="12254754"/>
          <a:ext cx="1057835" cy="2458570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34</xdr:col>
      <xdr:colOff>91889</xdr:colOff>
      <xdr:row>74</xdr:row>
      <xdr:rowOff>145676</xdr:rowOff>
    </xdr:from>
    <xdr:to>
      <xdr:col>34</xdr:col>
      <xdr:colOff>493059</xdr:colOff>
      <xdr:row>84</xdr:row>
      <xdr:rowOff>69477</xdr:rowOff>
    </xdr:to>
    <xdr:cxnSp macro="">
      <xdr:nvCxnSpPr>
        <xdr:cNvPr id="67" name="Conector de Seta Reta 66">
          <a:extLst>
            <a:ext uri="{FF2B5EF4-FFF2-40B4-BE49-F238E27FC236}">
              <a16:creationId xmlns:a16="http://schemas.microsoft.com/office/drawing/2014/main" id="{3AD05C20-2A1C-486F-9D31-BE1956B240A6}"/>
            </a:ext>
          </a:extLst>
        </xdr:cNvPr>
        <xdr:cNvCxnSpPr/>
      </xdr:nvCxnSpPr>
      <xdr:spPr>
        <a:xfrm flipV="1">
          <a:off x="19679771" y="14242676"/>
          <a:ext cx="401170" cy="1828801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33</xdr:col>
      <xdr:colOff>437029</xdr:colOff>
      <xdr:row>79</xdr:row>
      <xdr:rowOff>134471</xdr:rowOff>
    </xdr:from>
    <xdr:to>
      <xdr:col>34</xdr:col>
      <xdr:colOff>470647</xdr:colOff>
      <xdr:row>85</xdr:row>
      <xdr:rowOff>11206</xdr:rowOff>
    </xdr:to>
    <xdr:cxnSp macro="">
      <xdr:nvCxnSpPr>
        <xdr:cNvPr id="71" name="Conector de Seta Reta 70">
          <a:extLst>
            <a:ext uri="{FF2B5EF4-FFF2-40B4-BE49-F238E27FC236}">
              <a16:creationId xmlns:a16="http://schemas.microsoft.com/office/drawing/2014/main" id="{68434EAA-00F6-4C5B-80CA-3FDA605880A2}"/>
            </a:ext>
          </a:extLst>
        </xdr:cNvPr>
        <xdr:cNvCxnSpPr/>
      </xdr:nvCxnSpPr>
      <xdr:spPr>
        <a:xfrm>
          <a:off x="19419794" y="15183971"/>
          <a:ext cx="638735" cy="1019735"/>
        </a:xfrm>
        <a:prstGeom prst="straightConnector1">
          <a:avLst/>
        </a:prstGeom>
        <a:ln w="3810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D:\Mundstock%20Educacional\C.Servi&#231;os\1.%20YouTube\HeatMap\HeatMap%20USA.xlsm" TargetMode="External"/><Relationship Id="rId1" Type="http://schemas.openxmlformats.org/officeDocument/2006/relationships/externalLinkPath" Target="HeatMap/HeatMap%20USA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Heatmap"/>
      <sheetName val="Housing Market"/>
      <sheetName val="Graphs 1"/>
      <sheetName val="Economic Activity"/>
      <sheetName val="Graphs 2"/>
      <sheetName val="Labor Market"/>
      <sheetName val="Graphs 4"/>
      <sheetName val="Inflation"/>
      <sheetName val="Graphs 3"/>
      <sheetName val="Monetary Policy + Market"/>
      <sheetName val="Quarterly Data"/>
      <sheetName val="GDP Analysis"/>
      <sheetName val="Graphs 5"/>
      <sheetName val="Annual Data"/>
      <sheetName val="Recession"/>
      <sheetName val="HeatMap USA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BB7CACC-39FA-4E5E-A357-667F92B1573E}" name="Tabela1716" displayName="Tabela1716" ref="A2:V770" totalsRowShown="0" headerRowDxfId="150" dataDxfId="148" headerRowBorderDxfId="149">
  <autoFilter ref="A2:V770" xr:uid="{6BB7CACC-39FA-4E5E-A357-667F92B1573E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</autoFilter>
  <tableColumns count="22">
    <tableColumn id="2" xr3:uid="{23A2D228-8ABF-41BF-A5DB-7B9EAD823AAE}" name="Date" dataDxfId="147"/>
    <tableColumn id="7" xr3:uid="{FDBFBC7B-AE77-41A3-9595-C1C5C980C885}" name="30y Mortgage Rate" dataDxfId="146"/>
    <tableColumn id="8" xr3:uid="{1A851185-9C3E-4E05-9CAD-63D708274954}" name="NAHB" dataDxfId="145"/>
    <tableColumn id="17" xr3:uid="{550D0122-D98B-4D21-8272-A781277DF0AD}" name="Building Permits" dataDxfId="144"/>
    <tableColumn id="4" xr3:uid="{997F2899-AFCD-41F9-A9FC-99F02A0930E3}" name="Building Permits a/a" dataDxfId="143"/>
    <tableColumn id="19" xr3:uid="{89B73125-2AEF-4020-B0BC-D7A184D2BF78}" name="Houses Under Construction" dataDxfId="142" dataCellStyle="Vírgula"/>
    <tableColumn id="5" xr3:uid="{F473F700-F46C-4580-9424-D67F911D7454}" name="Houses Under Construction a/a" dataDxfId="141" dataCellStyle="Porcentagem"/>
    <tableColumn id="18" xr3:uid="{6A25B308-DDE8-4863-8292-C4813FE168A4}" name="Housing Starts" dataDxfId="140" dataCellStyle="Vírgula"/>
    <tableColumn id="12" xr3:uid="{C96D4653-022C-4CBA-ABCE-77F0BF177E69}" name="Housing Starts Change" dataDxfId="139" dataCellStyle="Vírgula">
      <calculatedColumnFormula>Tabela1716[[#This Row],[Housing Starts]]-H2</calculatedColumnFormula>
    </tableColumn>
    <tableColumn id="14" xr3:uid="{CA504546-536B-43AE-B77B-2F96FD2F663F}" name="Housing Starts a/a" dataDxfId="138" dataCellStyle="Porcentagem"/>
    <tableColumn id="20" xr3:uid="{3CE45755-101D-4E0D-8F1A-24E5D2D28038}" name="Total Construction Spending" dataDxfId="137"/>
    <tableColumn id="6" xr3:uid="{877CCDF1-DF38-4C5D-8C1C-CB964D932184}" name="Total Construction Spending a/a" dataDxfId="136" dataCellStyle="Porcentagem"/>
    <tableColumn id="10" xr3:uid="{6A064DD2-F574-4C24-A6DC-610F057E38FE}" name="Existing Home Sales" dataDxfId="135"/>
    <tableColumn id="16" xr3:uid="{4090EBBC-997B-4220-8FCD-9DFAA7313B68}" name="Existing Home Sales a/a" dataDxfId="134" dataCellStyle="Porcentagem"/>
    <tableColumn id="21" xr3:uid="{8E8A26A6-E9AB-4D7A-A5E9-C6EBE6D26C89}" name="New House Sales" dataDxfId="133" dataCellStyle="Vírgula"/>
    <tableColumn id="22" xr3:uid="{85962DF6-DA01-465D-A3EE-17C7C05EECA6}" name="New House Sales m/m" dataDxfId="132" dataCellStyle="Vírgula">
      <calculatedColumnFormula>IF(Tabela1716[[#This Row],[New House Sales]]="",#N/A,((Tabela1716[[#This Row],[New House Sales]]*1)/O2)-1)</calculatedColumnFormula>
    </tableColumn>
    <tableColumn id="15" xr3:uid="{4482F6B9-D4A3-4706-97F8-5D6ADF6102C1}" name="New House Sales a/a" dataDxfId="131" dataCellStyle="Porcentagem"/>
    <tableColumn id="9" xr3:uid="{18B5362D-4C44-45DC-9A30-F53C8B240D83}" name="Monthly Supply" dataDxfId="130"/>
    <tableColumn id="13" xr3:uid="{5686D749-3F8F-4D9A-9835-FA44CD86FD3F}" name="S&amp;P/Case-Shiller Home Price Index" dataDxfId="129" dataCellStyle="Vírgula"/>
    <tableColumn id="3" xr3:uid="{2C8DF105-FCC3-4FA9-A33B-61B1CF19C2D3}" name="S&amp;P/Case-Shiller m/m" dataDxfId="128" dataCellStyle="Vírgula"/>
    <tableColumn id="1" xr3:uid="{51F04B77-4937-4BC4-8741-0E9BC2F5B76E}" name="S&amp;P/Case-Shiller a/a" dataDxfId="127"/>
    <tableColumn id="11" xr3:uid="{A681AD5E-248B-4E0B-93BD-AF77E7E18170}" name="Affordability Index Fixed" dataDxfId="126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AC996F8A-C03A-4178-921A-C68551B64A0D}" name="Tabela1511" displayName="Tabela1511" ref="A2:AB566" totalsRowShown="0" headerRowDxfId="125" dataDxfId="123" headerRowBorderDxfId="124">
  <autoFilter ref="A2:AB566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</autoFilter>
  <sortState xmlns:xlrd2="http://schemas.microsoft.com/office/spreadsheetml/2017/richdata2" ref="A3:B12">
    <sortCondition ref="A2:A12"/>
  </sortState>
  <tableColumns count="28">
    <tableColumn id="1" xr3:uid="{73F6433A-F26F-400D-A0C1-5572F5081E04}" name="Date" dataDxfId="122"/>
    <tableColumn id="2" xr3:uid="{5F9E1379-4621-4C12-8E20-6396AA9AEB88}" name="Real PCE" dataDxfId="121" dataCellStyle="Vírgula"/>
    <tableColumn id="15" xr3:uid="{C97A3C3E-6351-43B7-A9BB-AFB64A166BF7}" name="Real PCE m/m" dataDxfId="120" dataCellStyle="Vírgula"/>
    <tableColumn id="14" xr3:uid="{A6A7231B-8306-4DF1-AE99-3B22F627CE50}" name="Real PCE a/a" dataDxfId="119" dataCellStyle="Vírgula"/>
    <tableColumn id="9" xr3:uid="{C479B786-EF56-4CF7-9201-EACA72D0650F}" name="Industrial Production" dataDxfId="118"/>
    <tableColumn id="7" xr3:uid="{C18843C0-2F48-4760-BE1B-87F1E2922676}" name="Industrial Production m/m" dataDxfId="117"/>
    <tableColumn id="3" xr3:uid="{C7A1168B-DD75-406E-BC8A-416AF57CEB8F}" name="Industrial Production a/a" dataDxfId="116"/>
    <tableColumn id="8" xr3:uid="{10F6BA00-2CE2-4A8C-B173-69F093DC4526}" name="Retail Sales" dataDxfId="115" dataCellStyle="Porcentagem"/>
    <tableColumn id="6" xr3:uid="{E6E22916-7FED-44BD-A4C9-872CB9945F6E}" name="Retail Sales m/m" dataDxfId="114" dataCellStyle="Porcentagem"/>
    <tableColumn id="5" xr3:uid="{CFD412EA-D3F9-431C-9A34-85055A653C70}" name="Retail Sales a/a" dataDxfId="113"/>
    <tableColumn id="11" xr3:uid="{E429D77F-7300-4497-84B1-9C91FD22F20B}" name="Core-Retail Sales" dataDxfId="112" dataCellStyle="Porcentagem"/>
    <tableColumn id="17" xr3:uid="{AA974109-A0DB-41C8-AB75-EFE1E614847F}" name="Core-Retail Sales m/m" dataDxfId="111" dataCellStyle="Porcentagem"/>
    <tableColumn id="18" xr3:uid="{AC049183-66EF-41DD-A136-DC188BB3957F}" name="Core-Retail Sales a/a" dataDxfId="110" dataCellStyle="Porcentagem"/>
    <tableColumn id="25" xr3:uid="{913D793C-1C81-4674-BD88-504DAD5A1A0B}" name="Real Retail Sales" dataDxfId="109" dataCellStyle="Porcentagem"/>
    <tableColumn id="24" xr3:uid="{84DB306E-9F7D-445E-9C3B-D08D65905788}" name="Real Retail Sales m/m" dataDxfId="108" dataCellStyle="Porcentagem">
      <calculatedColumnFormula>IF(Tabela1511[[#This Row],[Real Retail Sales]]="",#N/A,((Tabela1511[[#This Row],[Real Retail Sales]]*1)/N2)-1)</calculatedColumnFormula>
    </tableColumn>
    <tableColumn id="23" xr3:uid="{2085BAA3-3995-4844-BF43-1B7872B909A1}" name="Real Retail Sales a/a" dataDxfId="107" dataCellStyle="Porcentagem"/>
    <tableColumn id="13" xr3:uid="{FDB8537F-9A4F-4C53-AD7F-7687419FAA8A}" name="Core²-Retail Sales" dataDxfId="106" dataCellStyle="Porcentagem"/>
    <tableColumn id="12" xr3:uid="{9D2E0829-6612-4BE1-81E9-8216C00CD275}" name="Core²-Retail Sales m/m" dataDxfId="105" dataCellStyle="Porcentagem"/>
    <tableColumn id="10" xr3:uid="{656DAC5A-22CB-47AC-94F5-4D318B13431A}" name="Core²-Retail Sales a/a" dataDxfId="104" dataCellStyle="Porcentagem"/>
    <tableColumn id="4" xr3:uid="{61F2780B-293A-4B00-87CD-A1B93657E9B9}" name="Consumer Sentiment (U. Mich.)" dataDxfId="103"/>
    <tableColumn id="20" xr3:uid="{0383BF13-C13A-4E2B-8AE0-FD59C37C0F7C}" name="PMI ISM Manufacturing" dataDxfId="102"/>
    <tableColumn id="26" xr3:uid="{1CA1DFE5-5CEA-4324-97C9-AC077E4096FE}" name="Manufacturing New Orders" dataDxfId="101"/>
    <tableColumn id="16" xr3:uid="{98D7AED6-6373-45F4-AD2C-4A74669C82D5}" name="Manufacturing Employment" dataDxfId="100" dataCellStyle="Porcentagem"/>
    <tableColumn id="21" xr3:uid="{984F4F43-F3AA-44AC-A0DD-9A74B953ACE1}" name="PMI ISM Services" dataDxfId="99" dataCellStyle="Porcentagem"/>
    <tableColumn id="19" xr3:uid="{039D48FE-B7D3-42B0-8869-4D4DB9240088}" name="Services New Orders" dataDxfId="98" dataCellStyle="Porcentagem"/>
    <tableColumn id="27" xr3:uid="{D6E30C7C-C6F1-4620-A2E9-D91E832F9584}" name="Services Employment" dataDxfId="97" dataCellStyle="Porcentagem"/>
    <tableColumn id="22" xr3:uid="{99D1D0D3-47FB-4C53-980C-0D1518AFECD5}" name="Average New Orders" dataDxfId="96" dataCellStyle="Porcentagem">
      <calculatedColumnFormula>(Tabela1511[[#This Row],[Manufacturing Employment]]+Tabela1511[[#This Row],[Services New Orders]])/2</calculatedColumnFormula>
    </tableColumn>
    <tableColumn id="28" xr3:uid="{598B9C18-51D2-4E9C-9C24-FC192BAE5024}" name="Average Employment" dataDxfId="95" dataCellStyle="Porcentagem">
      <calculatedColumnFormula>IF([1]!Tabela1511[[#This Row],[Services Employment]]="",#N/A,([1]!Tabela1511[[#This Row],[Manufacturing Employment]]+[1]!Tabela1511[[#This Row],[Services Employment]])/2)</calculatedColumnFormula>
    </tableColumn>
  </tableColumns>
  <tableStyleInfo name="TableStyleLight1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753E23D1-A1BC-4200-867D-87E54F62ADB6}" name="Tabela1610" displayName="Tabela1610" ref="A2:P926" totalsRowShown="0" headerRowDxfId="94" dataDxfId="92" headerRowBorderDxfId="93">
  <autoFilter ref="A2:P926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</autoFilter>
  <sortState xmlns:xlrd2="http://schemas.microsoft.com/office/spreadsheetml/2017/richdata2" ref="A3:O206">
    <sortCondition ref="A2:A206"/>
  </sortState>
  <tableColumns count="16">
    <tableColumn id="1" xr3:uid="{225A599D-C145-4199-B54F-EEDE88972682}" name="Date" dataDxfId="91"/>
    <tableColumn id="4" xr3:uid="{79F09747-3392-48FB-A57C-761CC6DCC9F5}" name="Unemployment Rate" dataDxfId="90"/>
    <tableColumn id="8" xr3:uid="{F2474719-977A-4056-8939-EAE0A5B99203}" name="12 Month Moving Average" dataDxfId="89" dataCellStyle="Porcentagem"/>
    <tableColumn id="5" xr3:uid="{C6AD010D-0B48-42B7-9211-FD5ED44E736C}" name="Unemployment Level" dataDxfId="88"/>
    <tableColumn id="3" xr3:uid="{C067506F-DAB5-4538-A682-4C28985C2427}" name="Labor Force Participation Rate" dataDxfId="87"/>
    <tableColumn id="6" xr3:uid="{04F59AA9-FB7D-4B60-B3CB-3A20AE3E7D3A}" name="Average Hourly Earnings (12M)" dataDxfId="86"/>
    <tableColumn id="12" xr3:uid="{0FD881BA-B33A-41A4-9499-4193D034DF32}" name="Wage Growth Tracker" dataDxfId="85"/>
    <tableColumn id="14" xr3:uid="{D6F41DEB-BA95-4B9E-94BB-ACCCE14DAF50}" name="Real Disposable Income (RDI)" dataDxfId="84"/>
    <tableColumn id="15" xr3:uid="{2D0618DC-4A76-434A-B744-58F28A97C14D}" name="RDI m/m" dataDxfId="83"/>
    <tableColumn id="16" xr3:uid="{EA07F3B9-A34F-450A-A373-49EB240DDFF5}" name="RDI a/a" dataDxfId="82"/>
    <tableColumn id="7" xr3:uid="{76A4FD31-E41E-41A2-B2CF-A429CB30D454}" name="Initial Claims Monthly" dataDxfId="81"/>
    <tableColumn id="10" xr3:uid="{0F7D0B0E-61F0-4A9F-9E74-4DF814ADA755}" name="Average Weeks Unemployed" dataDxfId="80"/>
    <tableColumn id="11" xr3:uid="{B617145E-996D-4558-BDF8-BCF61FC700D4}" name="Payroll" dataDxfId="79"/>
    <tableColumn id="13" xr3:uid="{EC185473-301A-464C-A5EA-9B211188E3B9}" name="3 Month Average" dataDxfId="78">
      <calculatedColumnFormula>IF(Tabela1610[[#This Row],[Payroll]]="",#N/A,AVERAGE(M1:M3))</calculatedColumnFormula>
    </tableColumn>
    <tableColumn id="2" xr3:uid="{A4E7648C-ECE2-4B13-8197-3504B3D12D2F}" name="JOLTS" dataDxfId="77"/>
    <tableColumn id="9" xr3:uid="{E3B8AEF2-0D37-426D-B80F-517E46212E37}" name="JOLTS/Unemployment" dataDxfId="76">
      <calculatedColumnFormula>IF(Tabela1610[[#This Row],[JOLTS]]="",#N/A,Tabela1610[[#This Row],[JOLTS]]/Tabela1610[[#This Row],[Unemployment Level]])</calculatedColumnFormula>
    </tableColumn>
  </tableColumns>
  <tableStyleInfo name="TableStyleLight1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418C4866-B7DD-49D2-AC83-0E4CCAB89ADB}" name="Tabela1" displayName="Tabela1" ref="A2:AF938" totalsRowShown="0" headerRowDxfId="75" dataDxfId="73" headerRowBorderDxfId="74">
  <autoFilter ref="A2:AF938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</autoFilter>
  <tableColumns count="32">
    <tableColumn id="1" xr3:uid="{AB6BD96B-3A0C-43C4-ADC8-982311BC7013}" name="Date" dataDxfId="72"/>
    <tableColumn id="24" xr3:uid="{80DEC251-773F-4868-9ADB-BFC99A6F6DB5}" name="Consumer Price Index (CPI)" dataDxfId="71"/>
    <tableColumn id="2" xr3:uid="{96F852D0-5549-4FAC-9F7A-DCC0780E58A5}" name="Monthly CPI" dataDxfId="70"/>
    <tableColumn id="12" xr3:uid="{696C2070-5392-4576-8AE4-E2A786576335}" name="Annual CPI" dataDxfId="69"/>
    <tableColumn id="25" xr3:uid="{33586C0E-83ED-449C-8969-D566B6C2BAFA}" name="Core Consumer Price Index" dataDxfId="68"/>
    <tableColumn id="11" xr3:uid="{96158EF5-C66E-4F71-9EE4-76BDCB819C96}" name="Monthly Core-CPI" dataDxfId="67"/>
    <tableColumn id="10" xr3:uid="{9311AEE0-6FF4-4F2E-BA52-6BA824C8BA07}" name="Annual Core-CPI" dataDxfId="66"/>
    <tableColumn id="23" xr3:uid="{2423A1AD-C778-4AED-A59D-440C0DFF2F93}" name="Core-CPI 3M Annualized" dataDxfId="65" dataCellStyle="Porcentagem">
      <calculatedColumnFormula>SUM(F1:F3)*4</calculatedColumnFormula>
    </tableColumn>
    <tableColumn id="22" xr3:uid="{368A3740-3F90-4192-8F38-1173100D9A15}" name="Core-CPI 6M Annualized" dataDxfId="64" dataCellStyle="Porcentagem">
      <calculatedColumnFormula>SUM(G1:G3)*4</calculatedColumnFormula>
    </tableColumn>
    <tableColumn id="26" xr3:uid="{F76BDD6A-5812-4734-A3B0-A5A6AD286459}" name="Services CPI" dataDxfId="63" dataCellStyle="Porcentagem"/>
    <tableColumn id="15" xr3:uid="{1782223A-B124-4FE0-8EC1-19C52C9030AC}" name="Monthly Services CPI" dataDxfId="62" dataCellStyle="Porcentagem"/>
    <tableColumn id="9" xr3:uid="{12EBF95F-EF20-429F-A971-67B45DA2E469}" name="Annual Services CPI" dataDxfId="61" dataCellStyle="Porcentagem"/>
    <tableColumn id="30" xr3:uid="{C2CC8552-D77C-45C3-BCA5-96C6F683C76D}" name="Core-Services CPI" dataDxfId="60"/>
    <tableColumn id="29" xr3:uid="{41827591-EC82-43BA-9C2B-B9399FE40EC7}" name="Monthly Core-Services CPI" dataDxfId="59" dataCellStyle="Porcentagem">
      <calculatedColumnFormula>IF(Tabela1[[#This Row],[Core-Services CPI]]="",#N/A,((Tabela1[[#This Row],[Core-Services CPI]]*1)/M2)-1)</calculatedColumnFormula>
    </tableColumn>
    <tableColumn id="28" xr3:uid="{BECCD94E-0BC1-4802-A5EC-1E48095028BC}" name="Annual Core-Services CPI" dataDxfId="58" dataCellStyle="Porcentagem"/>
    <tableColumn id="27" xr3:uid="{598206AF-049E-4D27-82BE-F2D37162E1E6}" name="Durable Goods CPI" dataDxfId="57"/>
    <tableColumn id="16" xr3:uid="{0B0C5F55-BFB8-46A9-87E3-A13DF5DA7660}" name="Monthly Durable Goods CPI" dataDxfId="56" dataCellStyle="Porcentagem"/>
    <tableColumn id="8" xr3:uid="{6979B4AC-A880-4F9A-96D3-C1A241027106}" name="Annual Durable Goods CPI" dataDxfId="55" dataCellStyle="Porcentagem"/>
    <tableColumn id="17" xr3:uid="{8B808592-0076-4B08-8568-EAE72C2EFB19}" name="Sticky Price" dataDxfId="54"/>
    <tableColumn id="18" xr3:uid="{B960AB92-82C6-4EBE-8301-11F6F5BCC0F6}" name="Personal Consumption Expenditures (PCE)" dataDxfId="53"/>
    <tableColumn id="7" xr3:uid="{1E54EF9C-C859-4C84-A21A-B1563193E253}" name="Monthly PCE" dataDxfId="52"/>
    <tableColumn id="6" xr3:uid="{93611F1C-F7FD-4196-B38C-285640CF11E6}" name="Annual PCE" dataDxfId="51"/>
    <tableColumn id="19" xr3:uid="{EABB1BE7-C7F5-4583-A1E9-971EF902D064}" name="Core PCE" dataDxfId="50"/>
    <tableColumn id="5" xr3:uid="{6F9777DC-A9A1-4DAC-B8BF-346151062435}" name="Core-PCE" dataDxfId="49"/>
    <tableColumn id="13" xr3:uid="{80B66150-24B7-4B9C-AF7C-40644C9B729B}" name="Core-PCE 12M" dataDxfId="48"/>
    <tableColumn id="20" xr3:uid="{C1CBAD11-8A22-4A89-ACD1-AC0E4FA92551}" name="Core-PCE 3M Annualized" dataDxfId="47" dataCellStyle="Porcentagem"/>
    <tableColumn id="21" xr3:uid="{763A3F60-4BA4-4430-80F3-F4F1AF3BE63E}" name="Core-PCE 6M Annualized" dataDxfId="46" dataCellStyle="Porcentagem">
      <calculatedColumnFormula>SUM(Y1:Y3)*4</calculatedColumnFormula>
    </tableColumn>
    <tableColumn id="14" xr3:uid="{D99157A3-A76A-4C4F-B47B-2D1025A6A8AC}" name="Trimmed Mean PCE" dataDxfId="45"/>
    <tableColumn id="3" xr3:uid="{36EBA499-AAF2-444E-92D1-20A63CD607DE}" name="Producer Price Index (PPI)" dataDxfId="44"/>
    <tableColumn id="32" xr3:uid="{34321DBB-332A-4547-AFA1-7C04746AAA36}" name="Monthly PPI" dataDxfId="43" dataCellStyle="Porcentagem">
      <calculatedColumnFormula>IF(Tabela1[[#This Row],[Producer Price Index (PPI)]]="",#N/A,((Tabela1[[#This Row],[Producer Price Index (PPI)]]*1)/T2)-1)</calculatedColumnFormula>
    </tableColumn>
    <tableColumn id="31" xr3:uid="{DB467228-9058-4B9D-90F6-C70AFCBD4F0F}" name="Annual PPI" dataDxfId="42" dataCellStyle="Porcentagem"/>
    <tableColumn id="4" xr3:uid="{74DEB161-2866-41D8-8F1C-09E70B9FDECA}" name="U. Michigan One-Year Inflation Expectations" dataDxfId="41"/>
  </tableColumns>
  <tableStyleInfo name="TableStyleLight1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7CD0F97B-560D-437D-90E4-8D3E0496F237}" name="Tabela15115" displayName="Tabela15115" ref="A3:M843" totalsRowShown="0" headerRowDxfId="40" dataDxfId="38" headerRowBorderDxfId="39">
  <autoFilter ref="A3:M843" xr:uid="{418C4866-B7DD-49D2-AC83-0E4CCAB89ADB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</autoFilter>
  <sortState xmlns:xlrd2="http://schemas.microsoft.com/office/spreadsheetml/2017/richdata2" ref="A4:B205">
    <sortCondition ref="A3:A205"/>
  </sortState>
  <tableColumns count="13">
    <tableColumn id="1" xr3:uid="{014E8318-8186-412F-8B2F-520214A2FBDD}" name="Date" dataDxfId="37"/>
    <tableColumn id="2" xr3:uid="{00DF757F-D7D8-480F-8D0D-2F1962EE5059}" name="Fed Funds Rate (FFR)" dataDxfId="36"/>
    <tableColumn id="12" xr3:uid="{FA261F57-8B3B-45A7-BA5E-404762E75145}" name="30y Mortgage Rate" dataDxfId="35"/>
    <tableColumn id="3" xr3:uid="{B6E8742F-63F6-4BCE-B4DD-72F46F77EA62}" name="St. Louis Fed Financial Stress Index" dataDxfId="34" dataCellStyle="Vírgula"/>
    <tableColumn id="8" xr3:uid="{3AA32668-53C7-4B0B-AD1E-20F84FDBEE30}" name="Chicago Fed National Financial Conditions Index" dataDxfId="33" dataCellStyle="Porcentagem"/>
    <tableColumn id="4" xr3:uid="{9C0687FA-F752-4FD5-A7C6-93F35FBF72C6}" name="UST10Y - UST02Y" dataDxfId="32"/>
    <tableColumn id="5" xr3:uid="{AF9045C0-2F22-4484-B241-E68BF94809F0}" name="UST02Y - UST03MY" dataDxfId="31"/>
    <tableColumn id="10" xr3:uid="{3EB60C13-F20D-412A-8E8E-92C7088F1728}" name="10y TIPS" dataDxfId="30"/>
    <tableColumn id="6" xr3:uid="{D0348728-C923-4AB4-9FC9-C2C64D94E27E}" name="S&amp;P 500 CAPE Ratio" dataDxfId="29"/>
    <tableColumn id="7" xr3:uid="{2C045D98-678E-4366-9245-AF9645C713BE}" name="Fed Assets" dataDxfId="28"/>
    <tableColumn id="9" xr3:uid="{E86F18BD-E6CC-49AC-BA59-D4D7BCCC46BD}" name="Fed Assets Growth" dataDxfId="27"/>
    <tableColumn id="11" xr3:uid="{CD768A67-9375-4B93-922A-846B461CBA52}" name="Personal Savings Rate" dataDxfId="26"/>
    <tableColumn id="13" xr3:uid="{650CCD4E-82CD-4760-8451-1EE452D19091}" name="US Bank Credit Standards" dataDxfId="25"/>
  </tableColumns>
  <tableStyleInfo name="TableStyleLight1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225AF0D4-100C-47A7-98A5-54B118DDA422}" name="Tabela3" displayName="Tabela3" ref="A2:K313" totalsRowShown="0" headerRowDxfId="24" dataDxfId="22" headerRowBorderDxfId="23" tableBorderDxfId="21">
  <autoFilter ref="A2:K313" xr:uid="{225AF0D4-100C-47A7-98A5-54B118DDA422}"/>
  <tableColumns count="11">
    <tableColumn id="1" xr3:uid="{02345040-DC03-4331-B23C-7EF83DBB618F}" name="Quarters" dataDxfId="20"/>
    <tableColumn id="2" xr3:uid="{D738DD31-88CD-41CA-B71D-A9893F8D9EB7}" name="Real GDP" dataDxfId="19"/>
    <tableColumn id="5" xr3:uid="{D9B98001-6588-4B3F-BA23-2B040FA1EC57}" name="Real GDP a.a." dataDxfId="18"/>
    <tableColumn id="9" xr3:uid="{5FD5B469-15B3-42AE-A16B-3798C2B29B7A}" name="Employment Cost Index (ECI)" dataDxfId="17"/>
    <tableColumn id="11" xr3:uid="{7AE98939-3820-4A66-95A5-31A09B750819}" name="Quarterly ECI" dataDxfId="16">
      <calculatedColumnFormula>IF(Tabela3[[#This Row],[Employment Cost Index (ECI)]]="",#N/A,((Tabela3[[#This Row],[Employment Cost Index (ECI)]]*1)/D2)-1)</calculatedColumnFormula>
    </tableColumn>
    <tableColumn id="3" xr3:uid="{39DC5F63-ECEE-47E5-9F29-FDE59C457C7E}" name="Annual ECI" dataDxfId="15"/>
    <tableColumn id="10" xr3:uid="{316C5C05-7D7F-464F-AF71-E615C412ECDF}" name="Average ECI" dataDxfId="14" dataCellStyle="Porcentagem"/>
    <tableColumn id="6" xr3:uid="{11F2CDAD-F91B-4B53-8938-E381FF00A258}" name="Households and Nonprofit Organizations Exposure to Equities" dataDxfId="13"/>
    <tableColumn id="7" xr3:uid="{5810B708-884F-496C-B391-2EBC5DF1480B}" name="Delinquency Rate on Credit Cards" dataDxfId="12"/>
    <tableColumn id="8" xr3:uid="{102B614C-883E-4310-AE03-E51AC0B9A64E}" name="Household Debt Service to Disposable Income" dataDxfId="11"/>
    <tableColumn id="4" xr3:uid="{3AEEC88D-E943-4A04-998C-A50DB069CFDA}" name="Recession" dataDxfId="10"/>
  </tableColumns>
  <tableStyleInfo name="TableStyleLight1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13CE8984-C87B-4917-B9DF-DFDC58E6B6D5}" name="Tabela33" displayName="Tabela33" ref="A2:C76" totalsRowShown="0" headerRowDxfId="9" dataDxfId="7" headerRowBorderDxfId="8" tableBorderDxfId="6">
  <autoFilter ref="A2:C76" xr:uid="{225AF0D4-100C-47A7-98A5-54B118DDA422}"/>
  <tableColumns count="3">
    <tableColumn id="1" xr3:uid="{8B19FD39-02D1-4605-8F9C-EDDE296E412C}" name="Quarters" dataDxfId="5"/>
    <tableColumn id="2" xr3:uid="{984D1552-ADEF-43B8-859F-B5BAB81F3D23}" name="Government Deficit as % to GDP" dataDxfId="4"/>
    <tableColumn id="5" xr3:uid="{40424445-82E3-4CE6-8C5D-E96EDB66E56C}" name="Unemployment Rate" dataDxfId="3"/>
  </tableColumns>
  <tableStyleInfo name="TableStyleLight1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851D9B94-3B51-42E4-8084-A275433983F1}" name="Tabela5" displayName="Tabela5" ref="A1:C925" totalsRowShown="0">
  <autoFilter ref="A1:C925" xr:uid="{851D9B94-3B51-42E4-8084-A275433983F1}"/>
  <tableColumns count="3">
    <tableColumn id="1" xr3:uid="{59C7B1A3-6618-40D4-AF2C-D690A305BF53}" name="Date" dataDxfId="2"/>
    <tableColumn id="2" xr3:uid="{6108BA7A-296D-4309-9ED6-70CC9249B6E3}" name="Recession" dataDxfId="1"/>
    <tableColumn id="3" xr3:uid="{3264CA1D-A697-415C-BC03-8C56DD95A57B}" name="PMI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hyperlink" Target="https://fred.stlouisfed.org/series/T10Y3M" TargetMode="External"/><Relationship Id="rId3" Type="http://schemas.openxmlformats.org/officeDocument/2006/relationships/hyperlink" Target="https://fred.stlouisfed.org/series/STLFSI4" TargetMode="External"/><Relationship Id="rId7" Type="http://schemas.openxmlformats.org/officeDocument/2006/relationships/hyperlink" Target="https://fred.stlouisfed.org/series/T10Y2Y" TargetMode="External"/><Relationship Id="rId12" Type="http://schemas.openxmlformats.org/officeDocument/2006/relationships/table" Target="../tables/table5.xml"/><Relationship Id="rId2" Type="http://schemas.openxmlformats.org/officeDocument/2006/relationships/hyperlink" Target="https://fred.stlouisfed.org/series/NFCI" TargetMode="External"/><Relationship Id="rId1" Type="http://schemas.openxmlformats.org/officeDocument/2006/relationships/hyperlink" Target="https://fred.stlouisfed.org/series/STLFSI4" TargetMode="External"/><Relationship Id="rId6" Type="http://schemas.openxmlformats.org/officeDocument/2006/relationships/hyperlink" Target="https://fred.stlouisfed.org/series/DFF" TargetMode="External"/><Relationship Id="rId11" Type="http://schemas.openxmlformats.org/officeDocument/2006/relationships/printerSettings" Target="../printerSettings/printerSettings6.bin"/><Relationship Id="rId5" Type="http://schemas.openxmlformats.org/officeDocument/2006/relationships/hyperlink" Target="https://fred.stlouisfed.org/series/WALCL" TargetMode="External"/><Relationship Id="rId10" Type="http://schemas.openxmlformats.org/officeDocument/2006/relationships/hyperlink" Target="https://fred.stlouisfed.org/series/PSAVERT" TargetMode="External"/><Relationship Id="rId4" Type="http://schemas.openxmlformats.org/officeDocument/2006/relationships/hyperlink" Target="https://fred.stlouisfed.org/series/NFCI" TargetMode="External"/><Relationship Id="rId9" Type="http://schemas.openxmlformats.org/officeDocument/2006/relationships/hyperlink" Target="https://fred.stlouisfed.org/series/DFII10" TargetMode="Externa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hyperlink" Target="https://fred.stlouisfed.org/series/BOGZ1FL153064476Q" TargetMode="External"/><Relationship Id="rId2" Type="http://schemas.openxmlformats.org/officeDocument/2006/relationships/hyperlink" Target="https://fred.stlouisfed.org/series/GDPC1" TargetMode="External"/><Relationship Id="rId1" Type="http://schemas.openxmlformats.org/officeDocument/2006/relationships/hyperlink" Target="https://fred.stlouisfed.org/series/ECIALLCIV" TargetMode="External"/><Relationship Id="rId6" Type="http://schemas.openxmlformats.org/officeDocument/2006/relationships/table" Target="../tables/table6.xml"/><Relationship Id="rId5" Type="http://schemas.openxmlformats.org/officeDocument/2006/relationships/hyperlink" Target="https://fred.stlouisfed.org/series/TDSP" TargetMode="External"/><Relationship Id="rId4" Type="http://schemas.openxmlformats.org/officeDocument/2006/relationships/hyperlink" Target="https://fred.stlouisfed.org/series/DRCCLACBS" TargetMode="Externa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hyperlink" Target="https://fred.stlouisfed.org/series/MSACSR" TargetMode="External"/><Relationship Id="rId13" Type="http://schemas.openxmlformats.org/officeDocument/2006/relationships/table" Target="../tables/table1.xml"/><Relationship Id="rId3" Type="http://schemas.openxmlformats.org/officeDocument/2006/relationships/hyperlink" Target="https://fred.stlouisfed.org/series/PERMIT" TargetMode="External"/><Relationship Id="rId7" Type="http://schemas.openxmlformats.org/officeDocument/2006/relationships/hyperlink" Target="https://fred.stlouisfed.org/series/CSUSHPINSA" TargetMode="External"/><Relationship Id="rId12" Type="http://schemas.openxmlformats.org/officeDocument/2006/relationships/printerSettings" Target="../printerSettings/printerSettings2.bin"/><Relationship Id="rId2" Type="http://schemas.openxmlformats.org/officeDocument/2006/relationships/hyperlink" Target="https://www.nahb.org/news-and-economics/housing-economics/indices/housing-market-index" TargetMode="External"/><Relationship Id="rId1" Type="http://schemas.openxmlformats.org/officeDocument/2006/relationships/hyperlink" Target="https://fred.stlouisfed.org/series/MORTGAGE30US" TargetMode="External"/><Relationship Id="rId6" Type="http://schemas.openxmlformats.org/officeDocument/2006/relationships/hyperlink" Target="https://fred.stlouisfed.org/series/HOUST" TargetMode="External"/><Relationship Id="rId11" Type="http://schemas.openxmlformats.org/officeDocument/2006/relationships/hyperlink" Target="https://fred.stlouisfed.org/series/HSN1F" TargetMode="External"/><Relationship Id="rId5" Type="http://schemas.openxmlformats.org/officeDocument/2006/relationships/hyperlink" Target="https://fred.stlouisfed.org/series/TTLCONS" TargetMode="External"/><Relationship Id="rId10" Type="http://schemas.openxmlformats.org/officeDocument/2006/relationships/hyperlink" Target="https://fred.stlouisfed.org/series/FIXHAI" TargetMode="External"/><Relationship Id="rId4" Type="http://schemas.openxmlformats.org/officeDocument/2006/relationships/hyperlink" Target="https://fred.stlouisfed.org/series/UNDCONTSA" TargetMode="External"/><Relationship Id="rId9" Type="http://schemas.openxmlformats.org/officeDocument/2006/relationships/hyperlink" Target="https://fred.stlouisfed.org/series/EXHOSLUSM495S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.bin"/><Relationship Id="rId3" Type="http://schemas.openxmlformats.org/officeDocument/2006/relationships/hyperlink" Target="https://fred.stlouisfed.org/series/RSAFS" TargetMode="External"/><Relationship Id="rId7" Type="http://schemas.openxmlformats.org/officeDocument/2006/relationships/hyperlink" Target="https://fred.stlouisfed.org/series/RRSFS" TargetMode="External"/><Relationship Id="rId2" Type="http://schemas.openxmlformats.org/officeDocument/2006/relationships/hyperlink" Target="https://fred.stlouisfed.org/series/INDPRO" TargetMode="External"/><Relationship Id="rId1" Type="http://schemas.openxmlformats.org/officeDocument/2006/relationships/hyperlink" Target="https://fred.stlouisfed.org/series/PCEC96" TargetMode="External"/><Relationship Id="rId6" Type="http://schemas.openxmlformats.org/officeDocument/2006/relationships/hyperlink" Target="https://fred.stlouisfed.org/series/UMCSENT" TargetMode="External"/><Relationship Id="rId5" Type="http://schemas.openxmlformats.org/officeDocument/2006/relationships/hyperlink" Target="https://fred.stlouisfed.org/series/MARTSSM44W72USS" TargetMode="External"/><Relationship Id="rId4" Type="http://schemas.openxmlformats.org/officeDocument/2006/relationships/hyperlink" Target="https://fred.stlouisfed.org/series/RSFSXMV" TargetMode="External"/><Relationship Id="rId9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https://fred.stlouisfed.org/series/JTSJOL" TargetMode="External"/><Relationship Id="rId3" Type="http://schemas.openxmlformats.org/officeDocument/2006/relationships/hyperlink" Target="https://fred.stlouisfed.org/series/CIVPART" TargetMode="External"/><Relationship Id="rId7" Type="http://schemas.openxmlformats.org/officeDocument/2006/relationships/hyperlink" Target="https://fred.stlouisfed.org/series/PAYEMS" TargetMode="External"/><Relationship Id="rId12" Type="http://schemas.openxmlformats.org/officeDocument/2006/relationships/table" Target="../tables/table3.xml"/><Relationship Id="rId2" Type="http://schemas.openxmlformats.org/officeDocument/2006/relationships/hyperlink" Target="https://fred.stlouisfed.org/series/UNEMPLOY" TargetMode="External"/><Relationship Id="rId1" Type="http://schemas.openxmlformats.org/officeDocument/2006/relationships/hyperlink" Target="https://fred.stlouisfed.org/series/UNRATE" TargetMode="External"/><Relationship Id="rId6" Type="http://schemas.openxmlformats.org/officeDocument/2006/relationships/hyperlink" Target="https://fred.stlouisfed.org/series/UEMPMEAN" TargetMode="External"/><Relationship Id="rId11" Type="http://schemas.openxmlformats.org/officeDocument/2006/relationships/printerSettings" Target="../printerSettings/printerSettings4.bin"/><Relationship Id="rId5" Type="http://schemas.openxmlformats.org/officeDocument/2006/relationships/hyperlink" Target="https://fred.stlouisfed.org/series/ICSA" TargetMode="External"/><Relationship Id="rId10" Type="http://schemas.openxmlformats.org/officeDocument/2006/relationships/hyperlink" Target="https://fred.stlouisfed.org/series/DSPIC96" TargetMode="External"/><Relationship Id="rId4" Type="http://schemas.openxmlformats.org/officeDocument/2006/relationships/hyperlink" Target="https://fred.stlouisfed.org/series/CES0500000003" TargetMode="External"/><Relationship Id="rId9" Type="http://schemas.openxmlformats.org/officeDocument/2006/relationships/hyperlink" Target="https://www.atlantafed.org/chcs/wage-growth-tracker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hyperlink" Target="https://fred.stlouisfed.org/series/PCETRIM12M159SFRBDAL" TargetMode="External"/><Relationship Id="rId13" Type="http://schemas.openxmlformats.org/officeDocument/2006/relationships/table" Target="../tables/table4.xml"/><Relationship Id="rId3" Type="http://schemas.openxmlformats.org/officeDocument/2006/relationships/hyperlink" Target="https://fred.stlouisfed.org/series/CUSR0000SASLE" TargetMode="External"/><Relationship Id="rId7" Type="http://schemas.openxmlformats.org/officeDocument/2006/relationships/hyperlink" Target="https://fred.stlouisfed.org/series/PCEPILFE" TargetMode="External"/><Relationship Id="rId12" Type="http://schemas.openxmlformats.org/officeDocument/2006/relationships/printerSettings" Target="../printerSettings/printerSettings5.bin"/><Relationship Id="rId2" Type="http://schemas.openxmlformats.org/officeDocument/2006/relationships/hyperlink" Target="https://fred.stlouisfed.org/series/CPILFESL" TargetMode="External"/><Relationship Id="rId1" Type="http://schemas.openxmlformats.org/officeDocument/2006/relationships/hyperlink" Target="https://fred.stlouisfed.org/series/CPIAUCSL" TargetMode="External"/><Relationship Id="rId6" Type="http://schemas.openxmlformats.org/officeDocument/2006/relationships/hyperlink" Target="https://fred.stlouisfed.org/series/PCEPI" TargetMode="External"/><Relationship Id="rId11" Type="http://schemas.openxmlformats.org/officeDocument/2006/relationships/hyperlink" Target="https://fred.stlouisfed.org/series/CUSR0000SAS" TargetMode="External"/><Relationship Id="rId5" Type="http://schemas.openxmlformats.org/officeDocument/2006/relationships/hyperlink" Target="https://fred.stlouisfed.org/series/CORESTICKM159SFRBATL" TargetMode="External"/><Relationship Id="rId10" Type="http://schemas.openxmlformats.org/officeDocument/2006/relationships/hyperlink" Target="https://fred.stlouisfed.org/series/MICH" TargetMode="External"/><Relationship Id="rId4" Type="http://schemas.openxmlformats.org/officeDocument/2006/relationships/hyperlink" Target="https://fred.stlouisfed.org/series/CUSR0000SAD" TargetMode="External"/><Relationship Id="rId9" Type="http://schemas.openxmlformats.org/officeDocument/2006/relationships/hyperlink" Target="https://fred.stlouisfed.org/series/PPIFIS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11A2F7-3FFF-4EFA-BEA7-03887021F31E}">
  <sheetPr codeName="Planilha1">
    <tabColor rgb="FFFF0000"/>
  </sheetPr>
  <dimension ref="A1:AY69"/>
  <sheetViews>
    <sheetView showGridLines="0" tabSelected="1" zoomScale="85" zoomScaleNormal="85" workbookViewId="0">
      <pane xSplit="1" ySplit="4" topLeftCell="B5" activePane="bottomRight" state="frozen"/>
      <selection activeCell="I37" sqref="I37"/>
      <selection pane="topRight" activeCell="I37" sqref="I37"/>
      <selection pane="bottomLeft" activeCell="I37" sqref="I37"/>
      <selection pane="bottomRight" activeCell="C31" sqref="C31"/>
    </sheetView>
  </sheetViews>
  <sheetFormatPr defaultRowHeight="15"/>
  <cols>
    <col min="1" max="1" width="1.5703125" style="4" customWidth="1"/>
    <col min="2" max="2" width="29.42578125" style="4" customWidth="1"/>
    <col min="3" max="3" width="5.7109375" style="51" customWidth="1"/>
    <col min="4" max="4" width="7.5703125" style="4" customWidth="1"/>
    <col min="5" max="5" width="7.5703125" style="4" bestFit="1" customWidth="1"/>
    <col min="6" max="6" width="8.140625" style="4" bestFit="1" customWidth="1"/>
    <col min="7" max="7" width="7.5703125" style="4" bestFit="1" customWidth="1"/>
    <col min="8" max="8" width="7.85546875" style="4" bestFit="1" customWidth="1"/>
    <col min="9" max="10" width="7.5703125" style="4" bestFit="1" customWidth="1"/>
    <col min="11" max="11" width="7.85546875" style="4" bestFit="1" customWidth="1"/>
    <col min="12" max="13" width="7.5703125" style="4" bestFit="1" customWidth="1"/>
    <col min="14" max="14" width="8" style="4" bestFit="1" customWidth="1"/>
    <col min="15" max="15" width="7.85546875" style="4" bestFit="1" customWidth="1"/>
    <col min="16" max="17" width="7.5703125" style="4" bestFit="1" customWidth="1"/>
    <col min="18" max="18" width="8.140625" style="4" bestFit="1" customWidth="1"/>
    <col min="19" max="19" width="7.5703125" style="4" bestFit="1" customWidth="1"/>
    <col min="20" max="20" width="7.85546875" style="4" bestFit="1" customWidth="1"/>
    <col min="21" max="21" width="7.5703125" style="4" bestFit="1" customWidth="1"/>
    <col min="22" max="23" width="8.140625" style="4" bestFit="1" customWidth="1"/>
    <col min="24" max="24" width="7.5703125" style="4" bestFit="1" customWidth="1"/>
    <col min="25" max="25" width="8.140625" style="4" bestFit="1" customWidth="1"/>
    <col min="26" max="26" width="8.42578125" style="4" bestFit="1" customWidth="1"/>
    <col min="27" max="30" width="8.140625" style="4" bestFit="1" customWidth="1"/>
    <col min="31" max="32" width="7.5703125" style="4" bestFit="1" customWidth="1"/>
    <col min="33" max="33" width="7" style="4" bestFit="1" customWidth="1"/>
    <col min="34" max="34" width="6.28515625" style="4" bestFit="1" customWidth="1"/>
    <col min="35" max="35" width="7.5703125" style="4" bestFit="1" customWidth="1"/>
    <col min="36" max="36" width="7" style="4" bestFit="1" customWidth="1"/>
    <col min="37" max="37" width="7.140625" style="4" bestFit="1" customWidth="1"/>
    <col min="38" max="38" width="7.7109375" style="4" bestFit="1" customWidth="1"/>
    <col min="39" max="39" width="7.5703125" style="4" bestFit="1" customWidth="1"/>
    <col min="40" max="16384" width="9.140625" style="4"/>
  </cols>
  <sheetData>
    <row r="1" spans="1:51" s="77" customFormat="1" ht="38.25" customHeight="1">
      <c r="A1" s="72"/>
      <c r="B1" s="73"/>
      <c r="C1" s="74"/>
      <c r="D1" s="75"/>
      <c r="E1" s="75"/>
      <c r="F1" s="75"/>
      <c r="G1" s="75"/>
      <c r="H1" s="75"/>
      <c r="I1" s="75"/>
      <c r="J1" s="75"/>
      <c r="K1" s="75"/>
      <c r="L1" s="75"/>
      <c r="M1" s="75"/>
      <c r="N1" s="76"/>
      <c r="O1" s="76"/>
      <c r="P1" s="76"/>
      <c r="Q1" s="76"/>
      <c r="R1" s="76"/>
      <c r="S1" s="76"/>
      <c r="T1" s="76"/>
      <c r="U1" s="76"/>
      <c r="V1" s="76"/>
      <c r="W1" s="76"/>
      <c r="X1" s="76"/>
      <c r="Y1" s="76"/>
      <c r="Z1" s="76"/>
      <c r="AA1" s="76"/>
      <c r="AB1" s="76"/>
      <c r="AC1" s="76"/>
      <c r="AD1" s="76"/>
      <c r="AE1" s="76"/>
      <c r="AF1" s="76"/>
      <c r="AG1" s="76"/>
      <c r="AH1" s="76"/>
      <c r="AI1" s="76"/>
      <c r="AJ1" s="76"/>
      <c r="AK1" s="76"/>
      <c r="AL1" s="76"/>
      <c r="AM1" s="76"/>
    </row>
    <row r="2" spans="1:51" s="77" customFormat="1" ht="38.25" customHeight="1">
      <c r="A2" s="72"/>
      <c r="B2" s="78" t="s">
        <v>3</v>
      </c>
      <c r="C2" s="74"/>
      <c r="D2" s="75"/>
      <c r="E2" s="75"/>
      <c r="F2" s="75"/>
      <c r="G2" s="75"/>
      <c r="H2" s="75"/>
      <c r="I2" s="75"/>
      <c r="J2" s="75"/>
      <c r="K2" s="75"/>
      <c r="L2" s="75"/>
      <c r="M2" s="75"/>
      <c r="N2" s="76"/>
      <c r="O2" s="76"/>
      <c r="P2" s="76"/>
      <c r="Q2" s="76"/>
      <c r="R2" s="76"/>
      <c r="S2" s="76"/>
      <c r="T2" s="76"/>
      <c r="U2" s="76"/>
      <c r="V2" s="76"/>
      <c r="W2" s="76"/>
      <c r="X2" s="76"/>
      <c r="Y2" s="76"/>
      <c r="Z2" s="76"/>
      <c r="AA2" s="76"/>
      <c r="AB2" s="76"/>
      <c r="AC2" s="76"/>
      <c r="AD2" s="76"/>
      <c r="AE2" s="76"/>
      <c r="AF2" s="76"/>
      <c r="AG2" s="76"/>
      <c r="AH2" s="76"/>
      <c r="AI2" s="76"/>
      <c r="AJ2" s="76"/>
      <c r="AK2" s="76"/>
      <c r="AL2" s="76"/>
      <c r="AM2" s="76"/>
    </row>
    <row r="3" spans="1:51" ht="9" customHeight="1">
      <c r="A3" s="1"/>
      <c r="B3" s="1"/>
      <c r="C3" s="45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3"/>
      <c r="AH3" s="3"/>
      <c r="AI3" s="3"/>
      <c r="AJ3" s="3"/>
      <c r="AK3" s="3"/>
      <c r="AL3" s="3"/>
      <c r="AM3" s="3"/>
    </row>
    <row r="4" spans="1:51" s="82" customFormat="1" ht="22.5" customHeight="1">
      <c r="A4" s="81"/>
      <c r="B4" s="14" t="s">
        <v>1</v>
      </c>
      <c r="C4" s="46"/>
      <c r="D4" s="15">
        <v>44197</v>
      </c>
      <c r="E4" s="15">
        <v>44228</v>
      </c>
      <c r="F4" s="15">
        <v>44256</v>
      </c>
      <c r="G4" s="15">
        <v>44287</v>
      </c>
      <c r="H4" s="15">
        <v>44317</v>
      </c>
      <c r="I4" s="15">
        <v>44348</v>
      </c>
      <c r="J4" s="15">
        <v>44378</v>
      </c>
      <c r="K4" s="15">
        <v>44409</v>
      </c>
      <c r="L4" s="15">
        <v>44440</v>
      </c>
      <c r="M4" s="15">
        <v>44470</v>
      </c>
      <c r="N4" s="15">
        <v>44501</v>
      </c>
      <c r="O4" s="15">
        <v>44531</v>
      </c>
      <c r="P4" s="15">
        <v>44562</v>
      </c>
      <c r="Q4" s="15">
        <v>44593</v>
      </c>
      <c r="R4" s="15">
        <v>44621</v>
      </c>
      <c r="S4" s="15">
        <v>44652</v>
      </c>
      <c r="T4" s="15">
        <v>44682</v>
      </c>
      <c r="U4" s="15">
        <v>44713</v>
      </c>
      <c r="V4" s="15">
        <v>44743</v>
      </c>
      <c r="W4" s="15">
        <v>44774</v>
      </c>
      <c r="X4" s="15">
        <v>44805</v>
      </c>
      <c r="Y4" s="15">
        <v>44835</v>
      </c>
      <c r="Z4" s="15">
        <v>44866</v>
      </c>
      <c r="AA4" s="15">
        <v>44896</v>
      </c>
      <c r="AB4" s="15">
        <v>44927</v>
      </c>
      <c r="AC4" s="15">
        <v>44958</v>
      </c>
      <c r="AD4" s="15">
        <v>44986</v>
      </c>
      <c r="AE4" s="15">
        <v>45017</v>
      </c>
      <c r="AF4" s="15">
        <v>45047</v>
      </c>
      <c r="AG4" s="15">
        <v>45078</v>
      </c>
      <c r="AH4" s="15">
        <v>45108</v>
      </c>
      <c r="AI4" s="15">
        <v>45139</v>
      </c>
      <c r="AJ4" s="15">
        <v>45170</v>
      </c>
      <c r="AK4" s="15">
        <v>45200</v>
      </c>
      <c r="AL4" s="15">
        <v>45231</v>
      </c>
      <c r="AM4" s="15">
        <v>45261</v>
      </c>
      <c r="AN4" s="15">
        <v>45292</v>
      </c>
      <c r="AO4" s="15">
        <v>45323</v>
      </c>
      <c r="AP4" s="15">
        <v>45352</v>
      </c>
      <c r="AQ4" s="15">
        <v>45383</v>
      </c>
      <c r="AR4" s="15">
        <v>45413</v>
      </c>
      <c r="AS4" s="15">
        <v>45444</v>
      </c>
      <c r="AT4" s="15">
        <v>45474</v>
      </c>
      <c r="AU4" s="15">
        <v>45505</v>
      </c>
      <c r="AV4" s="15">
        <v>45536</v>
      </c>
      <c r="AW4" s="15">
        <v>45566</v>
      </c>
      <c r="AX4" s="15">
        <v>45597</v>
      </c>
      <c r="AY4" s="15">
        <v>45627</v>
      </c>
    </row>
    <row r="5" spans="1:51" s="82" customFormat="1" ht="29.25" customHeight="1">
      <c r="A5" s="83"/>
      <c r="B5" s="42" t="s">
        <v>101</v>
      </c>
      <c r="C5" s="48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O5" s="43"/>
      <c r="P5" s="43"/>
      <c r="Q5" s="43"/>
      <c r="R5" s="43"/>
      <c r="S5" s="43"/>
      <c r="T5" s="43"/>
      <c r="U5" s="43"/>
      <c r="V5" s="43"/>
      <c r="W5" s="43"/>
      <c r="X5" s="43"/>
      <c r="Y5" s="43"/>
      <c r="Z5" s="43"/>
      <c r="AA5" s="43"/>
      <c r="AB5" s="43"/>
      <c r="AC5" s="43"/>
      <c r="AD5" s="43"/>
      <c r="AE5" s="43"/>
      <c r="AF5" s="43"/>
      <c r="AG5" s="43"/>
      <c r="AH5" s="43"/>
      <c r="AI5" s="43"/>
      <c r="AJ5" s="43"/>
      <c r="AK5" s="43"/>
      <c r="AL5" s="43"/>
      <c r="AM5" s="44"/>
    </row>
    <row r="6" spans="1:51" ht="19.5" customHeight="1">
      <c r="A6" s="3"/>
      <c r="B6" s="2" t="s">
        <v>11</v>
      </c>
      <c r="C6" s="47" t="s">
        <v>94</v>
      </c>
      <c r="D6" s="16">
        <f>IF(VLOOKUP(D$4,'Housing Market'!$A:$AE,2,0)="","",VLOOKUP(D$4,'Housing Market'!$A:$AE,2,0))</f>
        <v>2.73</v>
      </c>
      <c r="E6" s="16">
        <f>IF(VLOOKUP(E$4,'Housing Market'!$A:$AE,2,0)="","",VLOOKUP(E$4,'Housing Market'!$A:$AE,2,0))</f>
        <v>2.97</v>
      </c>
      <c r="F6" s="16">
        <f>IF(VLOOKUP(F$4,'Housing Market'!$A:$AE,2,0)="","",VLOOKUP(F$4,'Housing Market'!$A:$AE,2,0))</f>
        <v>3.17</v>
      </c>
      <c r="G6" s="16">
        <f>IF(VLOOKUP(G$4,'Housing Market'!$A:$AE,2,0)="","",VLOOKUP(G$4,'Housing Market'!$A:$AE,2,0))</f>
        <v>2.98</v>
      </c>
      <c r="H6" s="16">
        <f>IF(VLOOKUP(H$4,'Housing Market'!$A:$AE,2,0)="","",VLOOKUP(H$4,'Housing Market'!$A:$AE,2,0))</f>
        <v>2.95</v>
      </c>
      <c r="I6" s="16">
        <f>IF(VLOOKUP(I$4,'Housing Market'!$A:$AE,2,0)="","",VLOOKUP(I$4,'Housing Market'!$A:$AE,2,0))</f>
        <v>3.02</v>
      </c>
      <c r="J6" s="16">
        <f>IF(VLOOKUP(J$4,'Housing Market'!$A:$AE,2,0)="","",VLOOKUP(J$4,'Housing Market'!$A:$AE,2,0))</f>
        <v>2.8</v>
      </c>
      <c r="K6" s="16">
        <f>IF(VLOOKUP(K$4,'Housing Market'!$A:$AE,2,0)="","",VLOOKUP(K$4,'Housing Market'!$A:$AE,2,0))</f>
        <v>2.87</v>
      </c>
      <c r="L6" s="16">
        <f>IF(VLOOKUP(L$4,'Housing Market'!$A:$AE,2,0)="","",VLOOKUP(L$4,'Housing Market'!$A:$AE,2,0))</f>
        <v>3.01</v>
      </c>
      <c r="M6" s="16">
        <f>IF(VLOOKUP(M$4,'Housing Market'!$A:$AE,2,0)="","",VLOOKUP(M$4,'Housing Market'!$A:$AE,2,0))</f>
        <v>3.14</v>
      </c>
      <c r="N6" s="16">
        <f>IF(VLOOKUP(N$4,'Housing Market'!$A:$AE,2,0)="","",VLOOKUP(N$4,'Housing Market'!$A:$AE,2,0))</f>
        <v>3.1</v>
      </c>
      <c r="O6" s="16">
        <f>IF(VLOOKUP(O$4,'Housing Market'!$A:$AE,2,0)="","",VLOOKUP(O$4,'Housing Market'!$A:$AE,2,0))</f>
        <v>3.11</v>
      </c>
      <c r="P6" s="16">
        <f>IF(VLOOKUP(P$4,'Housing Market'!$A:$AE,2,0)="","",VLOOKUP(P$4,'Housing Market'!$A:$AE,2,0))</f>
        <v>3.55</v>
      </c>
      <c r="Q6" s="16">
        <f>IF(VLOOKUP(Q$4,'Housing Market'!$A:$AE,2,0)="","",VLOOKUP(Q$4,'Housing Market'!$A:$AE,2,0))</f>
        <v>3.89</v>
      </c>
      <c r="R6" s="16">
        <f>IF(VLOOKUP(R$4,'Housing Market'!$A:$AE,2,0)="","",VLOOKUP(R$4,'Housing Market'!$A:$AE,2,0))</f>
        <v>4.67</v>
      </c>
      <c r="S6" s="16">
        <f>IF(VLOOKUP(S$4,'Housing Market'!$A:$AE,2,0)="","",VLOOKUP(S$4,'Housing Market'!$A:$AE,2,0))</f>
        <v>5.0999999999999996</v>
      </c>
      <c r="T6" s="16">
        <f>IF(VLOOKUP(T$4,'Housing Market'!$A:$AE,2,0)="","",VLOOKUP(T$4,'Housing Market'!$A:$AE,2,0))</f>
        <v>5.0999999999999996</v>
      </c>
      <c r="U6" s="16">
        <f>IF(VLOOKUP(U$4,'Housing Market'!$A:$AE,2,0)="","",VLOOKUP(U$4,'Housing Market'!$A:$AE,2,0))</f>
        <v>5.7</v>
      </c>
      <c r="V6" s="16">
        <f>IF(VLOOKUP(V$4,'Housing Market'!$A:$AE,2,0)="","",VLOOKUP(V$4,'Housing Market'!$A:$AE,2,0))</f>
        <v>5.3</v>
      </c>
      <c r="W6" s="16">
        <f>IF(VLOOKUP(W$4,'Housing Market'!$A:$AE,2,0)="","",VLOOKUP(W$4,'Housing Market'!$A:$AE,2,0))</f>
        <v>5.55</v>
      </c>
      <c r="X6" s="16">
        <f>IF(VLOOKUP(X$4,'Housing Market'!$A:$AE,2,0)="","",VLOOKUP(X$4,'Housing Market'!$A:$AE,2,0))</f>
        <v>6.7</v>
      </c>
      <c r="Y6" s="16">
        <f>IF(VLOOKUP(Y$4,'Housing Market'!$A:$AE,2,0)="","",VLOOKUP(Y$4,'Housing Market'!$A:$AE,2,0))</f>
        <v>7.08</v>
      </c>
      <c r="Z6" s="16">
        <f>IF(VLOOKUP(Z$4,'Housing Market'!$A:$AE,2,0)="","",VLOOKUP(Z$4,'Housing Market'!$A:$AE,2,0))</f>
        <v>6.58</v>
      </c>
      <c r="AA6" s="16">
        <f>IF(VLOOKUP(AA$4,'Housing Market'!$A:$AE,2,0)="","",VLOOKUP(AA$4,'Housing Market'!$A:$AE,2,0))</f>
        <v>6.42</v>
      </c>
      <c r="AB6" s="16">
        <f>IF(VLOOKUP(AB$4,'Housing Market'!$A:$AE,2,0)="","",VLOOKUP(AB$4,'Housing Market'!$A:$AE,2,0))</f>
        <v>6.13</v>
      </c>
      <c r="AC6" s="16">
        <f>IF(VLOOKUP(AC$4,'Housing Market'!$A:$AE,2,0)="","",VLOOKUP(AC$4,'Housing Market'!$A:$AE,2,0))</f>
        <v>6.5</v>
      </c>
      <c r="AD6" s="16">
        <f>IF(VLOOKUP(AD$4,'Housing Market'!$A:$AE,2,0)="","",VLOOKUP(AD$4,'Housing Market'!$A:$AE,2,0))</f>
        <v>6.32</v>
      </c>
      <c r="AE6" s="16">
        <f>IF(VLOOKUP(AE$4,'Housing Market'!$A:$AE,2,0)="","",VLOOKUP(AE$4,'Housing Market'!$A:$AE,2,0))</f>
        <v>6.43</v>
      </c>
      <c r="AF6" s="16">
        <f>IF(VLOOKUP(AF$4,'Housing Market'!$A:$AE,2,0)="","",VLOOKUP(AF$4,'Housing Market'!$A:$AE,2,0))</f>
        <v>6.57</v>
      </c>
      <c r="AG6" s="16">
        <f>IF(VLOOKUP(AG$4,'Housing Market'!$A:$AE,2,0)="","",VLOOKUP(AG$4,'Housing Market'!$A:$AE,2,0))</f>
        <v>6.71</v>
      </c>
      <c r="AH6" s="16">
        <f>IF(VLOOKUP(AH$4,'Housing Market'!$A:$AE,2,0)="","",VLOOKUP(AH$4,'Housing Market'!$A:$AE,2,0))</f>
        <v>6.81</v>
      </c>
      <c r="AI6" s="16">
        <f>IF(VLOOKUP(AI$4,'Housing Market'!$A:$AE,2,0)="","",VLOOKUP(AI$4,'Housing Market'!$A:$AE,2,0))</f>
        <v>7.18</v>
      </c>
      <c r="AJ6" s="16">
        <f>IF(VLOOKUP(AJ$4,'Housing Market'!$A:$AE,2,0)="","",VLOOKUP(AJ$4,'Housing Market'!$A:$AE,2,0))</f>
        <v>7.31</v>
      </c>
      <c r="AK6" s="16">
        <f>IF(VLOOKUP(AK$4,'Housing Market'!$A:$AE,2,0)="","",VLOOKUP(AK$4,'Housing Market'!$A:$AE,2,0))</f>
        <v>7.79</v>
      </c>
      <c r="AL6" s="16">
        <f>IF(VLOOKUP(AL$4,'Housing Market'!$A:$AE,2,0)="","",VLOOKUP(AL$4,'Housing Market'!$A:$AE,2,0))</f>
        <v>7.22</v>
      </c>
      <c r="AM6" s="16">
        <f>IF(VLOOKUP(AM$4,'Housing Market'!$A:$AE,2,0)="","",VLOOKUP(AM$4,'Housing Market'!$A:$AE,2,0))</f>
        <v>6.61</v>
      </c>
      <c r="AN6" s="16">
        <f>IF(VLOOKUP(AN$4,'Housing Market'!$A:$AE,2,0)="","",VLOOKUP(AN$4,'Housing Market'!$A:$AE,2,0))</f>
        <v>6.6</v>
      </c>
      <c r="AO6" s="16" t="str">
        <f>IF(VLOOKUP(AO$4,'Housing Market'!$A:$AE,2,0)="","",VLOOKUP(AO$4,'Housing Market'!$A:$AE,2,0))</f>
        <v/>
      </c>
      <c r="AP6" s="16" t="str">
        <f>IF(VLOOKUP(AP$4,'Housing Market'!$A:$AE,2,0)="","",VLOOKUP(AP$4,'Housing Market'!$A:$AE,2,0))</f>
        <v/>
      </c>
      <c r="AQ6" s="16" t="str">
        <f>IF(VLOOKUP(AQ$4,'Housing Market'!$A:$AE,2,0)="","",VLOOKUP(AQ$4,'Housing Market'!$A:$AE,2,0))</f>
        <v/>
      </c>
      <c r="AR6" s="16" t="str">
        <f>IF(VLOOKUP(AR$4,'Housing Market'!$A:$AE,2,0)="","",VLOOKUP(AR$4,'Housing Market'!$A:$AE,2,0))</f>
        <v/>
      </c>
      <c r="AS6" s="16" t="str">
        <f>IF(VLOOKUP(AS$4,'Housing Market'!$A:$AE,2,0)="","",VLOOKUP(AS$4,'Housing Market'!$A:$AE,2,0))</f>
        <v/>
      </c>
      <c r="AT6" s="16" t="str">
        <f>IF(VLOOKUP(AT$4,'Housing Market'!$A:$AE,2,0)="","",VLOOKUP(AT$4,'Housing Market'!$A:$AE,2,0))</f>
        <v/>
      </c>
      <c r="AU6" s="16" t="str">
        <f>IF(VLOOKUP(AU$4,'Housing Market'!$A:$AE,2,0)="","",VLOOKUP(AU$4,'Housing Market'!$A:$AE,2,0))</f>
        <v/>
      </c>
      <c r="AV6" s="16" t="str">
        <f>IF(VLOOKUP(AV$4,'Housing Market'!$A:$AE,2,0)="","",VLOOKUP(AV$4,'Housing Market'!$A:$AE,2,0))</f>
        <v/>
      </c>
      <c r="AW6" s="16" t="str">
        <f>IF(VLOOKUP(AW$4,'Housing Market'!$A:$AE,2,0)="","",VLOOKUP(AW$4,'Housing Market'!$A:$AE,2,0))</f>
        <v/>
      </c>
      <c r="AX6" s="16" t="str">
        <f>IF(VLOOKUP(AX$4,'Housing Market'!$A:$AE,2,0)="","",VLOOKUP(AX$4,'Housing Market'!$A:$AE,2,0))</f>
        <v/>
      </c>
      <c r="AY6" s="16" t="str">
        <f>IF(VLOOKUP(AY$4,'Housing Market'!$A:$AE,2,0)="","",VLOOKUP(AY$4,'Housing Market'!$A:$AE,2,0))</f>
        <v/>
      </c>
    </row>
    <row r="7" spans="1:51" ht="19.5" customHeight="1">
      <c r="A7" s="3"/>
      <c r="B7" s="2" t="s">
        <v>15</v>
      </c>
      <c r="C7" s="47" t="s">
        <v>95</v>
      </c>
      <c r="D7" s="17">
        <f>IF(VLOOKUP(D$4,'Housing Market'!$A:$AE,3,0)="","",VLOOKUP(D$4,'Housing Market'!$A:$AE,3,0))</f>
        <v>83</v>
      </c>
      <c r="E7" s="17">
        <f>IF(VLOOKUP(E$4,'Housing Market'!$A:$AE,3,0)="","",VLOOKUP(E$4,'Housing Market'!$A:$AE,3,0))</f>
        <v>84</v>
      </c>
      <c r="F7" s="17">
        <f>IF(VLOOKUP(F$4,'Housing Market'!$A:$AE,3,0)="","",VLOOKUP(F$4,'Housing Market'!$A:$AE,3,0))</f>
        <v>82</v>
      </c>
      <c r="G7" s="17">
        <f>IF(VLOOKUP(G$4,'Housing Market'!$A:$AE,3,0)="","",VLOOKUP(G$4,'Housing Market'!$A:$AE,3,0))</f>
        <v>83</v>
      </c>
      <c r="H7" s="17">
        <f>IF(VLOOKUP(H$4,'Housing Market'!$A:$AE,3,0)="","",VLOOKUP(H$4,'Housing Market'!$A:$AE,3,0))</f>
        <v>83</v>
      </c>
      <c r="I7" s="17">
        <f>IF(VLOOKUP(I$4,'Housing Market'!$A:$AE,3,0)="","",VLOOKUP(I$4,'Housing Market'!$A:$AE,3,0))</f>
        <v>81</v>
      </c>
      <c r="J7" s="17">
        <f>IF(VLOOKUP(J$4,'Housing Market'!$A:$AE,3,0)="","",VLOOKUP(J$4,'Housing Market'!$A:$AE,3,0))</f>
        <v>80</v>
      </c>
      <c r="K7" s="17">
        <f>IF(VLOOKUP(K$4,'Housing Market'!$A:$AE,3,0)="","",VLOOKUP(K$4,'Housing Market'!$A:$AE,3,0))</f>
        <v>75</v>
      </c>
      <c r="L7" s="17">
        <f>IF(VLOOKUP(L$4,'Housing Market'!$A:$AE,3,0)="","",VLOOKUP(L$4,'Housing Market'!$A:$AE,3,0))</f>
        <v>76</v>
      </c>
      <c r="M7" s="17">
        <f>IF(VLOOKUP(M$4,'Housing Market'!$A:$AE,3,0)="","",VLOOKUP(M$4,'Housing Market'!$A:$AE,3,0))</f>
        <v>80</v>
      </c>
      <c r="N7" s="17">
        <f>IF(VLOOKUP(N$4,'Housing Market'!$A:$AE,3,0)="","",VLOOKUP(N$4,'Housing Market'!$A:$AE,3,0))</f>
        <v>83</v>
      </c>
      <c r="O7" s="17">
        <f>IF(VLOOKUP(O$4,'Housing Market'!$A:$AE,3,0)="","",VLOOKUP(O$4,'Housing Market'!$A:$AE,3,0))</f>
        <v>84</v>
      </c>
      <c r="P7" s="17">
        <f>IF(VLOOKUP(P$4,'Housing Market'!$A:$AE,3,0)="","",VLOOKUP(P$4,'Housing Market'!$A:$AE,3,0))</f>
        <v>83</v>
      </c>
      <c r="Q7" s="17">
        <f>IF(VLOOKUP(Q$4,'Housing Market'!$A:$AE,3,0)="","",VLOOKUP(Q$4,'Housing Market'!$A:$AE,3,0))</f>
        <v>81</v>
      </c>
      <c r="R7" s="17">
        <f>IF(VLOOKUP(R$4,'Housing Market'!$A:$AE,3,0)="","",VLOOKUP(R$4,'Housing Market'!$A:$AE,3,0))</f>
        <v>79</v>
      </c>
      <c r="S7" s="17">
        <f>IF(VLOOKUP(S$4,'Housing Market'!$A:$AE,3,0)="","",VLOOKUP(S$4,'Housing Market'!$A:$AE,3,0))</f>
        <v>77</v>
      </c>
      <c r="T7" s="17">
        <f>IF(VLOOKUP(T$4,'Housing Market'!$A:$AE,3,0)="","",VLOOKUP(T$4,'Housing Market'!$A:$AE,3,0))</f>
        <v>69</v>
      </c>
      <c r="U7" s="17">
        <f>IF(VLOOKUP(U$4,'Housing Market'!$A:$AE,3,0)="","",VLOOKUP(U$4,'Housing Market'!$A:$AE,3,0))</f>
        <v>67</v>
      </c>
      <c r="V7" s="17">
        <f>IF(VLOOKUP(V$4,'Housing Market'!$A:$AE,3,0)="","",VLOOKUP(V$4,'Housing Market'!$A:$AE,3,0))</f>
        <v>55</v>
      </c>
      <c r="W7" s="17">
        <f>IF(VLOOKUP(W$4,'Housing Market'!$A:$AE,3,0)="","",VLOOKUP(W$4,'Housing Market'!$A:$AE,3,0))</f>
        <v>49</v>
      </c>
      <c r="X7" s="17">
        <f>IF(VLOOKUP(X$4,'Housing Market'!$A:$AE,3,0)="","",VLOOKUP(X$4,'Housing Market'!$A:$AE,3,0))</f>
        <v>46</v>
      </c>
      <c r="Y7" s="17">
        <f>IF(VLOOKUP(Y$4,'Housing Market'!$A:$AE,3,0)="","",VLOOKUP(Y$4,'Housing Market'!$A:$AE,3,0))</f>
        <v>38</v>
      </c>
      <c r="Z7" s="17">
        <f>IF(VLOOKUP(Z$4,'Housing Market'!$A:$AE,3,0)="","",VLOOKUP(Z$4,'Housing Market'!$A:$AE,3,0))</f>
        <v>33</v>
      </c>
      <c r="AA7" s="17">
        <f>IF(VLOOKUP(AA$4,'Housing Market'!$A:$AE,3,0)="","",VLOOKUP(AA$4,'Housing Market'!$A:$AE,3,0))</f>
        <v>31</v>
      </c>
      <c r="AB7" s="17">
        <f>IF(VLOOKUP(AB$4,'Housing Market'!$A:$AE,3,0)="","",VLOOKUP(AB$4,'Housing Market'!$A:$AE,3,0))</f>
        <v>35</v>
      </c>
      <c r="AC7" s="17">
        <f>IF(VLOOKUP(AC$4,'Housing Market'!$A:$AE,3,0)="","",VLOOKUP(AC$4,'Housing Market'!$A:$AE,3,0))</f>
        <v>42</v>
      </c>
      <c r="AD7" s="17">
        <f>IF(VLOOKUP(AD$4,'Housing Market'!$A:$AE,3,0)="","",VLOOKUP(AD$4,'Housing Market'!$A:$AE,3,0))</f>
        <v>44</v>
      </c>
      <c r="AE7" s="17">
        <f>IF(VLOOKUP(AE$4,'Housing Market'!$A:$AE,3,0)="","",VLOOKUP(AE$4,'Housing Market'!$A:$AE,3,0))</f>
        <v>45</v>
      </c>
      <c r="AF7" s="17">
        <f>IF(VLOOKUP(AF$4,'Housing Market'!$A:$AE,3,0)="","",VLOOKUP(AF$4,'Housing Market'!$A:$AE,3,0))</f>
        <v>50</v>
      </c>
      <c r="AG7" s="17">
        <f>IF(VLOOKUP(AG$4,'Housing Market'!$A:$AE,3,0)="","",VLOOKUP(AG$4,'Housing Market'!$A:$AE,3,0))</f>
        <v>55</v>
      </c>
      <c r="AH7" s="17">
        <f>IF(VLOOKUP(AH$4,'Housing Market'!$A:$AE,3,0)="","",VLOOKUP(AH$4,'Housing Market'!$A:$AE,3,0))</f>
        <v>56</v>
      </c>
      <c r="AI7" s="17">
        <f>IF(VLOOKUP(AI$4,'Housing Market'!$A:$AE,3,0)="","",VLOOKUP(AI$4,'Housing Market'!$A:$AE,3,0))</f>
        <v>50</v>
      </c>
      <c r="AJ7" s="17">
        <f>IF(VLOOKUP(AJ$4,'Housing Market'!$A:$AE,3,0)="","",VLOOKUP(AJ$4,'Housing Market'!$A:$AE,3,0))</f>
        <v>44</v>
      </c>
      <c r="AK7" s="17">
        <f>IF(VLOOKUP(AK$4,'Housing Market'!$A:$AE,3,0)="","",VLOOKUP(AK$4,'Housing Market'!$A:$AE,3,0))</f>
        <v>40</v>
      </c>
      <c r="AL7" s="17">
        <f>IF(VLOOKUP(AL$4,'Housing Market'!$A:$AE,3,0)="","",VLOOKUP(AL$4,'Housing Market'!$A:$AE,3,0))</f>
        <v>34</v>
      </c>
      <c r="AM7" s="17">
        <f>IF(VLOOKUP(AM$4,'Housing Market'!$A:$AE,3,0)="","",VLOOKUP(AM$4,'Housing Market'!$A:$AE,3,0))</f>
        <v>37</v>
      </c>
      <c r="AN7" s="17">
        <f>IF(VLOOKUP(AN$4,'Housing Market'!$A:$AE,3,0)="","",VLOOKUP(AN$4,'Housing Market'!$A:$AE,3,0))</f>
        <v>44</v>
      </c>
      <c r="AO7" s="17" t="str">
        <f>IF(VLOOKUP(AO$4,'Housing Market'!$A:$AE,3,0)="","",VLOOKUP(AO$4,'Housing Market'!$A:$AE,3,0))</f>
        <v/>
      </c>
      <c r="AP7" s="17" t="str">
        <f>IF(VLOOKUP(AP$4,'Housing Market'!$A:$AE,3,0)="","",VLOOKUP(AP$4,'Housing Market'!$A:$AE,3,0))</f>
        <v/>
      </c>
      <c r="AQ7" s="17" t="str">
        <f>IF(VLOOKUP(AQ$4,'Housing Market'!$A:$AE,3,0)="","",VLOOKUP(AQ$4,'Housing Market'!$A:$AE,3,0))</f>
        <v/>
      </c>
      <c r="AR7" s="17" t="str">
        <f>IF(VLOOKUP(AR$4,'Housing Market'!$A:$AE,3,0)="","",VLOOKUP(AR$4,'Housing Market'!$A:$AE,3,0))</f>
        <v/>
      </c>
      <c r="AS7" s="17" t="str">
        <f>IF(VLOOKUP(AS$4,'Housing Market'!$A:$AE,3,0)="","",VLOOKUP(AS$4,'Housing Market'!$A:$AE,3,0))</f>
        <v/>
      </c>
      <c r="AT7" s="17" t="str">
        <f>IF(VLOOKUP(AT$4,'Housing Market'!$A:$AE,3,0)="","",VLOOKUP(AT$4,'Housing Market'!$A:$AE,3,0))</f>
        <v/>
      </c>
      <c r="AU7" s="17" t="str">
        <f>IF(VLOOKUP(AU$4,'Housing Market'!$A:$AE,3,0)="","",VLOOKUP(AU$4,'Housing Market'!$A:$AE,3,0))</f>
        <v/>
      </c>
      <c r="AV7" s="17" t="str">
        <f>IF(VLOOKUP(AV$4,'Housing Market'!$A:$AE,3,0)="","",VLOOKUP(AV$4,'Housing Market'!$A:$AE,3,0))</f>
        <v/>
      </c>
      <c r="AW7" s="17" t="str">
        <f>IF(VLOOKUP(AW$4,'Housing Market'!$A:$AE,3,0)="","",VLOOKUP(AW$4,'Housing Market'!$A:$AE,3,0))</f>
        <v/>
      </c>
      <c r="AX7" s="17" t="str">
        <f>IF(VLOOKUP(AX$4,'Housing Market'!$A:$AE,3,0)="","",VLOOKUP(AX$4,'Housing Market'!$A:$AE,3,0))</f>
        <v/>
      </c>
      <c r="AY7" s="17" t="str">
        <f>IF(VLOOKUP(AY$4,'Housing Market'!$A:$AE,3,0)="","",VLOOKUP(AY$4,'Housing Market'!$A:$AE,3,0))</f>
        <v/>
      </c>
    </row>
    <row r="8" spans="1:51" ht="19.5" customHeight="1">
      <c r="A8" s="3"/>
      <c r="B8" s="2" t="s">
        <v>21</v>
      </c>
      <c r="C8" s="47" t="s">
        <v>94</v>
      </c>
      <c r="D8" s="16">
        <f>IFERROR(IF(VLOOKUP(D$4,'Housing Market'!$A:$AE,5,0)*100="",#N/A,VLOOKUP(D$4,'Housing Market'!$A:$AE,5,0)*100),"")</f>
        <v>23.442732752846606</v>
      </c>
      <c r="E8" s="16">
        <f>IFERROR(IF(VLOOKUP(E$4,'Housing Market'!$A:$AE,5,0)*100="",#N/A,VLOOKUP(E$4,'Housing Market'!$A:$AE,5,0)*100),"")</f>
        <v>19.629375428963613</v>
      </c>
      <c r="F8" s="16">
        <f>IFERROR(IF(VLOOKUP(F$4,'Housing Market'!$A:$AE,5,0)*100="",#N/A,VLOOKUP(F$4,'Housing Market'!$A:$AE,5,0)*100),"")</f>
        <v>28.199566160520618</v>
      </c>
      <c r="G8" s="16">
        <f>IFERROR(IF(VLOOKUP(G$4,'Housing Market'!$A:$AE,5,0)*100="",#N/A,VLOOKUP(G$4,'Housing Market'!$A:$AE,5,0)*100),"")</f>
        <v>62.822878228782301</v>
      </c>
      <c r="H8" s="16">
        <f>IFERROR(IF(VLOOKUP(H$4,'Housing Market'!$A:$AE,5,0)*100="",#N/A,VLOOKUP(H$4,'Housing Market'!$A:$AE,5,0)*100),"")</f>
        <v>34.633757961783431</v>
      </c>
      <c r="I8" s="16">
        <f>IFERROR(IF(VLOOKUP(I$4,'Housing Market'!$A:$AE,5,0)*100="",#N/A,VLOOKUP(I$4,'Housing Market'!$A:$AE,5,0)*100),"")</f>
        <v>24.140508221225708</v>
      </c>
      <c r="J8" s="16">
        <f>IFERROR(IF(VLOOKUP(J$4,'Housing Market'!$A:$AE,5,0)*100="",#N/A,VLOOKUP(J$4,'Housing Market'!$A:$AE,5,0)*100),"")</f>
        <v>6.5679330328396679</v>
      </c>
      <c r="K8" s="16">
        <f>IFERROR(IF(VLOOKUP(K$4,'Housing Market'!$A:$AE,5,0)*100="",#N/A,VLOOKUP(K$4,'Housing Market'!$A:$AE,5,0)*100),"")</f>
        <v>16.578947368421048</v>
      </c>
      <c r="L8" s="16">
        <f>IFERROR(IF(VLOOKUP(L$4,'Housing Market'!$A:$AE,5,0)*100="",#N/A,VLOOKUP(L$4,'Housing Market'!$A:$AE,5,0)*100),"")</f>
        <v>6.1957868649309411E-2</v>
      </c>
      <c r="M8" s="16">
        <f>IFERROR(IF(VLOOKUP(M$4,'Housing Market'!$A:$AE,5,0)*100="",#N/A,VLOOKUP(M$4,'Housing Market'!$A:$AE,5,0)*100),"")</f>
        <v>6.1913696060037493</v>
      </c>
      <c r="N8" s="16">
        <f>IFERROR(IF(VLOOKUP(N$4,'Housing Market'!$A:$AE,5,0)*100="",#N/A,VLOOKUP(N$4,'Housing Market'!$A:$AE,5,0)*100),"")</f>
        <v>2.7942925089179615</v>
      </c>
      <c r="O8" s="16">
        <f>IFERROR(IF(VLOOKUP(O$4,'Housing Market'!$A:$AE,5,0)*100="",#N/A,VLOOKUP(O$4,'Housing Market'!$A:$AE,5,0)*100),"")</f>
        <v>9.5953757225433414</v>
      </c>
      <c r="P8" s="16">
        <f>IFERROR(IF(VLOOKUP(P$4,'Housing Market'!$A:$AE,5,0)*100="",#N/A,VLOOKUP(P$4,'Housing Market'!$A:$AE,5,0)*100),"")</f>
        <v>2.9842647856755278</v>
      </c>
      <c r="Q8" s="16">
        <f>IFERROR(IF(VLOOKUP(Q$4,'Housing Market'!$A:$AE,5,0)*100="",#N/A,VLOOKUP(Q$4,'Housing Market'!$A:$AE,5,0)*100),"")</f>
        <v>4.2455536431440066</v>
      </c>
      <c r="R8" s="16">
        <f>IFERROR(IF(VLOOKUP(R$4,'Housing Market'!$A:$AE,5,0)*100="",#N/A,VLOOKUP(R$4,'Housing Market'!$A:$AE,5,0)*100),"")</f>
        <v>5.8657642413987521</v>
      </c>
      <c r="S8" s="16">
        <f>IFERROR(IF(VLOOKUP(S$4,'Housing Market'!$A:$AE,5,0)*100="",#N/A,VLOOKUP(S$4,'Housing Market'!$A:$AE,5,0)*100),"")</f>
        <v>1.6997167138810276</v>
      </c>
      <c r="T8" s="16">
        <f>IFERROR(IF(VLOOKUP(T$4,'Housing Market'!$A:$AE,5,0)*100="",#N/A,VLOOKUP(T$4,'Housing Market'!$A:$AE,5,0)*100),"")</f>
        <v>1.0053222945002993</v>
      </c>
      <c r="U8" s="16">
        <f>IFERROR(IF(VLOOKUP(U$4,'Housing Market'!$A:$AE,5,0)*100="",#N/A,VLOOKUP(U$4,'Housing Market'!$A:$AE,5,0)*100),"")</f>
        <v>2.4081878386514211</v>
      </c>
      <c r="V8" s="16">
        <f>IFERROR(IF(VLOOKUP(V$4,'Housing Market'!$A:$AE,5,0)*100="",#N/A,VLOOKUP(V$4,'Housing Market'!$A:$AE,5,0)*100),"")</f>
        <v>0.18126888217522286</v>
      </c>
      <c r="W8" s="16">
        <f>IFERROR(IF(VLOOKUP(W$4,'Housing Market'!$A:$AE,5,0)*100="",#N/A,VLOOKUP(W$4,'Housing Market'!$A:$AE,5,0)*100),"")</f>
        <v>-10.496613995485326</v>
      </c>
      <c r="X8" s="16">
        <f>IFERROR(IF(VLOOKUP(X$4,'Housing Market'!$A:$AE,5,0)*100="",#N/A,VLOOKUP(X$4,'Housing Market'!$A:$AE,5,0)*100),"")</f>
        <v>-1.6718266253869962</v>
      </c>
      <c r="Y8" s="16">
        <f>IFERROR(IF(VLOOKUP(Y$4,'Housing Market'!$A:$AE,5,0)*100="",#N/A,VLOOKUP(Y$4,'Housing Market'!$A:$AE,5,0)*100),"")</f>
        <v>-8.4216725559481791</v>
      </c>
      <c r="Z8" s="16">
        <f>IFERROR(IF(VLOOKUP(Z$4,'Housing Market'!$A:$AE,5,0)*100="",#N/A,VLOOKUP(Z$4,'Housing Market'!$A:$AE,5,0)*100),"")</f>
        <v>-18.912666281087333</v>
      </c>
      <c r="AA8" s="16">
        <f>IFERROR(IF(VLOOKUP(AA$4,'Housing Market'!$A:$AE,5,0)*100="",#N/A,VLOOKUP(AA$4,'Housing Market'!$A:$AE,5,0)*100),"")</f>
        <v>-25.685654008438817</v>
      </c>
      <c r="AB8" s="16">
        <f>IFERROR(IF(VLOOKUP(AB$4,'Housing Market'!$A:$AE,5,0)*100="",#N/A,VLOOKUP(AB$4,'Housing Market'!$A:$AE,5,0)*100),"")</f>
        <v>-28.66174920969442</v>
      </c>
      <c r="AC8" s="16">
        <f>IFERROR(IF(VLOOKUP(AC$4,'Housing Market'!$A:$AE,5,0)*100="",#N/A,VLOOKUP(AC$4,'Housing Market'!$A:$AE,5,0)*100),"")</f>
        <v>-18.436984039625759</v>
      </c>
      <c r="AD8" s="16">
        <f>IFERROR(IF(VLOOKUP(AD$4,'Housing Market'!$A:$AE,5,0)*100="",#N/A,VLOOKUP(AD$4,'Housing Market'!$A:$AE,5,0)*100),"")</f>
        <v>-23.441662226957916</v>
      </c>
      <c r="AE8" s="16">
        <f>IFERROR(IF(VLOOKUP(AE$4,'Housing Market'!$A:$AE,5,0)*100="",#N/A,VLOOKUP(AE$4,'Housing Market'!$A:$AE,5,0)*100),"")</f>
        <v>-21.058495821727018</v>
      </c>
      <c r="AF8" s="16">
        <f>IFERROR(IF(VLOOKUP(AF$4,'Housing Market'!$A:$AE,5,0)*100="",#N/A,VLOOKUP(AF$4,'Housing Market'!$A:$AE,5,0)*100),"")</f>
        <v>-12.41217798594848</v>
      </c>
      <c r="AG8" s="16">
        <f>IFERROR(IF(VLOOKUP(AG$4,'Housing Market'!$A:$AE,5,0)*100="",#N/A,VLOOKUP(AG$4,'Housing Market'!$A:$AE,5,0)*100),"")</f>
        <v>-15.285126396237503</v>
      </c>
      <c r="AH8" s="16">
        <f>IFERROR(IF(VLOOKUP(AH$4,'Housing Market'!$A:$AE,5,0)*100="",#N/A,VLOOKUP(AH$4,'Housing Market'!$A:$AE,5,0)*100),"")</f>
        <v>-12.967430639324483</v>
      </c>
      <c r="AI8" s="16">
        <f>IFERROR(IF(VLOOKUP(AI$4,'Housing Market'!$A:$AE,5,0)*100="",#N/A,VLOOKUP(AI$4,'Housing Market'!$A:$AE,5,0)*100),"")</f>
        <v>-2.8373266078184134</v>
      </c>
      <c r="AJ8" s="16">
        <f>IFERROR(IF(VLOOKUP(AJ$4,'Housing Market'!$A:$AE,5,0)*100="",#N/A,VLOOKUP(AJ$4,'Housing Market'!$A:$AE,5,0)*100),"")</f>
        <v>-7.367758186397988</v>
      </c>
      <c r="AK8" s="16">
        <f>IFERROR(IF(VLOOKUP(AK$4,'Housing Market'!$A:$AE,5,0)*100="",#N/A,VLOOKUP(AK$4,'Housing Market'!$A:$AE,5,0)*100),"")</f>
        <v>-3.6655948553054651</v>
      </c>
      <c r="AL8" s="16">
        <f>IFERROR(IF(VLOOKUP(AL$4,'Housing Market'!$A:$AE,5,0)*100="",#N/A,VLOOKUP(AL$4,'Housing Market'!$A:$AE,5,0)*100),"")</f>
        <v>4.636233951497859</v>
      </c>
      <c r="AM8" s="16">
        <f>IFERROR(IF(VLOOKUP(AM$4,'Housing Market'!$A:$AE,5,0)*100="",#N/A,VLOOKUP(AM$4,'Housing Market'!$A:$AE,5,0)*100),"")</f>
        <v>6.1036195883605426</v>
      </c>
      <c r="AN8" s="16" t="str">
        <f>IFERROR(IF(VLOOKUP(AN$4,'Housing Market'!$A:$AE,5,0)*100="",#N/A,VLOOKUP(AN$4,'Housing Market'!$A:$AE,5,0)*100),"")</f>
        <v/>
      </c>
      <c r="AO8" s="16" t="str">
        <f>IFERROR(IF(VLOOKUP(AO$4,'Housing Market'!$A:$AE,5,0)*100="",#N/A,VLOOKUP(AO$4,'Housing Market'!$A:$AE,5,0)*100),"")</f>
        <v/>
      </c>
      <c r="AP8" s="16" t="str">
        <f>IFERROR(IF(VLOOKUP(AP$4,'Housing Market'!$A:$AE,5,0)*100="",#N/A,VLOOKUP(AP$4,'Housing Market'!$A:$AE,5,0)*100),"")</f>
        <v/>
      </c>
      <c r="AQ8" s="16" t="str">
        <f>IFERROR(IF(VLOOKUP(AQ$4,'Housing Market'!$A:$AE,5,0)*100="",#N/A,VLOOKUP(AQ$4,'Housing Market'!$A:$AE,5,0)*100),"")</f>
        <v/>
      </c>
      <c r="AR8" s="16" t="str">
        <f>IFERROR(IF(VLOOKUP(AR$4,'Housing Market'!$A:$AE,5,0)*100="",#N/A,VLOOKUP(AR$4,'Housing Market'!$A:$AE,5,0)*100),"")</f>
        <v/>
      </c>
      <c r="AS8" s="16" t="str">
        <f>IFERROR(IF(VLOOKUP(AS$4,'Housing Market'!$A:$AE,5,0)*100="",#N/A,VLOOKUP(AS$4,'Housing Market'!$A:$AE,5,0)*100),"")</f>
        <v/>
      </c>
      <c r="AT8" s="16" t="str">
        <f>IFERROR(IF(VLOOKUP(AT$4,'Housing Market'!$A:$AE,5,0)*100="",#N/A,VLOOKUP(AT$4,'Housing Market'!$A:$AE,5,0)*100),"")</f>
        <v/>
      </c>
      <c r="AU8" s="16" t="str">
        <f>IFERROR(IF(VLOOKUP(AU$4,'Housing Market'!$A:$AE,5,0)*100="",#N/A,VLOOKUP(AU$4,'Housing Market'!$A:$AE,5,0)*100),"")</f>
        <v/>
      </c>
      <c r="AV8" s="16" t="str">
        <f>IFERROR(IF(VLOOKUP(AV$4,'Housing Market'!$A:$AE,5,0)*100="",#N/A,VLOOKUP(AV$4,'Housing Market'!$A:$AE,5,0)*100),"")</f>
        <v/>
      </c>
      <c r="AW8" s="16" t="str">
        <f>IFERROR(IF(VLOOKUP(AW$4,'Housing Market'!$A:$AE,5,0)*100="",#N/A,VLOOKUP(AW$4,'Housing Market'!$A:$AE,5,0)*100),"")</f>
        <v/>
      </c>
      <c r="AX8" s="16" t="str">
        <f>IFERROR(IF(VLOOKUP(AX$4,'Housing Market'!$A:$AE,5,0)*100="",#N/A,VLOOKUP(AX$4,'Housing Market'!$A:$AE,5,0)*100),"")</f>
        <v/>
      </c>
      <c r="AY8" s="16" t="str">
        <f>IFERROR(IF(VLOOKUP(AY$4,'Housing Market'!$A:$AE,5,0)*100="",#N/A,VLOOKUP(AY$4,'Housing Market'!$A:$AE,5,0)*100),"")</f>
        <v/>
      </c>
    </row>
    <row r="9" spans="1:51" ht="19.5" customHeight="1">
      <c r="A9" s="3"/>
      <c r="B9" s="2" t="s">
        <v>16</v>
      </c>
      <c r="C9" s="47" t="s">
        <v>94</v>
      </c>
      <c r="D9" s="16">
        <f>IFERROR(IF(VLOOKUP(D$4,'Housing Market'!$A:$AE,10,0)*100="",#N/A,VLOOKUP(D$4,'Housing Market'!$A:$AE,10,0)*100),"")</f>
        <v>1.9083969465648831</v>
      </c>
      <c r="E9" s="16">
        <f>IFERROR(IF(VLOOKUP(E$4,'Housing Market'!$A:$AE,10,0)*100="",#N/A,VLOOKUP(E$4,'Housing Market'!$A:$AE,10,0)*100),"")</f>
        <v>-9.1373801916932891</v>
      </c>
      <c r="F9" s="16">
        <f>IFERROR(IF(VLOOKUP(F$4,'Housing Market'!$A:$AE,10,0)*100="",#N/A,VLOOKUP(F$4,'Housing Market'!$A:$AE,10,0)*100),"")</f>
        <v>34.175217048145235</v>
      </c>
      <c r="G9" s="16">
        <f>IFERROR(IF(VLOOKUP(G$4,'Housing Market'!$A:$AE,10,0)*100="",#N/A,VLOOKUP(G$4,'Housing Market'!$A:$AE,10,0)*100),"")</f>
        <v>60.432432432432435</v>
      </c>
      <c r="H9" s="16">
        <f>IFERROR(IF(VLOOKUP(H$4,'Housing Market'!$A:$AE,10,0)*100="",#N/A,VLOOKUP(H$4,'Housing Market'!$A:$AE,10,0)*100),"")</f>
        <v>51.802656546489565</v>
      </c>
      <c r="I9" s="16">
        <f>IFERROR(IF(VLOOKUP(I$4,'Housing Market'!$A:$AE,10,0)*100="",#N/A,VLOOKUP(I$4,'Housing Market'!$A:$AE,10,0)*100),"")</f>
        <v>31.200631911532394</v>
      </c>
      <c r="J9" s="16">
        <f>IFERROR(IF(VLOOKUP(J$4,'Housing Market'!$A:$AE,10,0)*100="",#N/A,VLOOKUP(J$4,'Housing Market'!$A:$AE,10,0)*100),"")</f>
        <v>4.1857423152387163</v>
      </c>
      <c r="K9" s="16">
        <f>IFERROR(IF(VLOOKUP(K$4,'Housing Market'!$A:$AE,10,0)*100="",#N/A,VLOOKUP(K$4,'Housing Market'!$A:$AE,10,0)*100),"")</f>
        <v>14.45170660856936</v>
      </c>
      <c r="L9" s="16">
        <f>IFERROR(IF(VLOOKUP(L$4,'Housing Market'!$A:$AE,10,0)*100="",#N/A,VLOOKUP(L$4,'Housing Market'!$A:$AE,10,0)*100),"")</f>
        <v>6.6302118933697862</v>
      </c>
      <c r="M9" s="16">
        <f>IFERROR(IF(VLOOKUP(M$4,'Housing Market'!$A:$AE,10,0)*100="",#N/A,VLOOKUP(M$4,'Housing Market'!$A:$AE,10,0)*100),"")</f>
        <v>2.2771633051398732</v>
      </c>
      <c r="N9" s="16">
        <f>IFERROR(IF(VLOOKUP(N$4,'Housing Market'!$A:$AE,10,0)*100="",#N/A,VLOOKUP(N$4,'Housing Market'!$A:$AE,10,0)*100),"")</f>
        <v>10.809061488673134</v>
      </c>
      <c r="O9" s="16">
        <f>IFERROR(IF(VLOOKUP(O$4,'Housing Market'!$A:$AE,10,0)*100="",#N/A,VLOOKUP(O$4,'Housing Market'!$A:$AE,10,0)*100),"")</f>
        <v>7.4564040889957939</v>
      </c>
      <c r="P9" s="16">
        <f>IFERROR(IF(VLOOKUP(P$4,'Housing Market'!$A:$AE,10,0)*100="",#N/A,VLOOKUP(P$4,'Housing Market'!$A:$AE,10,0)*100),"")</f>
        <v>4.1822721598002488</v>
      </c>
      <c r="Q9" s="16">
        <f>IFERROR(IF(VLOOKUP(Q$4,'Housing Market'!$A:$AE,10,0)*100="",#N/A,VLOOKUP(Q$4,'Housing Market'!$A:$AE,10,0)*100),"")</f>
        <v>24.542897327707447</v>
      </c>
      <c r="R9" s="16">
        <f>IFERROR(IF(VLOOKUP(R$4,'Housing Market'!$A:$AE,10,0)*100="",#N/A,VLOOKUP(R$4,'Housing Market'!$A:$AE,10,0)*100),"")</f>
        <v>0.76470588235293402</v>
      </c>
      <c r="S9" s="16">
        <f>IFERROR(IF(VLOOKUP(S$4,'Housing Market'!$A:$AE,10,0)*100="",#N/A,VLOOKUP(S$4,'Housing Market'!$A:$AE,10,0)*100),"")</f>
        <v>21.495956873315357</v>
      </c>
      <c r="T9" s="16">
        <f>IFERROR(IF(VLOOKUP(T$4,'Housing Market'!$A:$AE,10,0)*100="",#N/A,VLOOKUP(T$4,'Housing Market'!$A:$AE,10,0)*100),"")</f>
        <v>-3.5625000000000018</v>
      </c>
      <c r="U9" s="16">
        <f>IFERROR(IF(VLOOKUP(U$4,'Housing Market'!$A:$AE,10,0)*100="",#N/A,VLOOKUP(U$4,'Housing Market'!$A:$AE,10,0)*100),"")</f>
        <v>-6.0204695966285415</v>
      </c>
      <c r="V9" s="16">
        <f>IFERROR(IF(VLOOKUP(V$4,'Housing Market'!$A:$AE,10,0)*100="",#N/A,VLOOKUP(V$4,'Housing Market'!$A:$AE,10,0)*100),"")</f>
        <v>-13.93596986817326</v>
      </c>
      <c r="W9" s="16">
        <f>IFERROR(IF(VLOOKUP(W$4,'Housing Market'!$A:$AE,10,0)*100="",#N/A,VLOOKUP(W$4,'Housing Market'!$A:$AE,10,0)*100),"")</f>
        <v>-4.5050761421319807</v>
      </c>
      <c r="X9" s="16">
        <f>IFERROR(IF(VLOOKUP(X$4,'Housing Market'!$A:$AE,10,0)*100="",#N/A,VLOOKUP(X$4,'Housing Market'!$A:$AE,10,0)*100),"")</f>
        <v>-6.2179487179487181</v>
      </c>
      <c r="Y9" s="16">
        <f>IFERROR(IF(VLOOKUP(Y$4,'Housing Market'!$A:$AE,10,0)*100="",#N/A,VLOOKUP(Y$4,'Housing Market'!$A:$AE,10,0)*100),"")</f>
        <v>-8.9058524173027962</v>
      </c>
      <c r="Z9" s="16">
        <f>IFERROR(IF(VLOOKUP(Z$4,'Housing Market'!$A:$AE,10,0)*100="",#N/A,VLOOKUP(Z$4,'Housing Market'!$A:$AE,10,0)*100),"")</f>
        <v>-16.64719626168224</v>
      </c>
      <c r="AA9" s="16">
        <f>IFERROR(IF(VLOOKUP(AA$4,'Housing Market'!$A:$AE,10,0)*100="",#N/A,VLOOKUP(AA$4,'Housing Market'!$A:$AE,10,0)*100),"")</f>
        <v>-24.06267487409065</v>
      </c>
      <c r="AB9" s="16">
        <f>IFERROR(IF(VLOOKUP(AB$4,'Housing Market'!$A:$AE,10,0)*100="",#N/A,VLOOKUP(AB$4,'Housing Market'!$A:$AE,10,0)*100),"")</f>
        <v>-19.712402636309168</v>
      </c>
      <c r="AC9" s="16">
        <f>IFERROR(IF(VLOOKUP(AC$4,'Housing Market'!$A:$AE,10,0)*100="",#N/A,VLOOKUP(AC$4,'Housing Market'!$A:$AE,10,0)*100),"")</f>
        <v>-18.915866741953703</v>
      </c>
      <c r="AD9" s="16">
        <f>IFERROR(IF(VLOOKUP(AD$4,'Housing Market'!$A:$AE,10,0)*100="",#N/A,VLOOKUP(AD$4,'Housing Market'!$A:$AE,10,0)*100),"")</f>
        <v>-19.439579684763576</v>
      </c>
      <c r="AE9" s="16">
        <f>IFERROR(IF(VLOOKUP(AE$4,'Housing Market'!$A:$AE,10,0)*100="",#N/A,VLOOKUP(AE$4,'Housing Market'!$A:$AE,10,0)*100),"")</f>
        <v>-25.235718247365501</v>
      </c>
      <c r="AF9" s="16">
        <f>IFERROR(IF(VLOOKUP(AF$4,'Housing Market'!$A:$AE,10,0)*100="",#N/A,VLOOKUP(AF$4,'Housing Market'!$A:$AE,10,0)*100),"")</f>
        <v>2.5923525599481634</v>
      </c>
      <c r="AG9" s="16">
        <f>IFERROR(IF(VLOOKUP(AG$4,'Housing Market'!$A:$AE,10,0)*100="",#N/A,VLOOKUP(AG$4,'Housing Market'!$A:$AE,10,0)*100),"")</f>
        <v>-9.1607943625880868</v>
      </c>
      <c r="AH9" s="16">
        <f>IFERROR(IF(VLOOKUP(AH$4,'Housing Market'!$A:$AE,10,0)*100="",#N/A,VLOOKUP(AH$4,'Housing Market'!$A:$AE,10,0)*100),"")</f>
        <v>5.8351568198395265</v>
      </c>
      <c r="AI9" s="16">
        <f>IFERROR(IF(VLOOKUP(AI$4,'Housing Market'!$A:$AE,10,0)*100="",#N/A,VLOOKUP(AI$4,'Housing Market'!$A:$AE,10,0)*100),"")</f>
        <v>-13.289036544850497</v>
      </c>
      <c r="AJ9" s="16">
        <f>IFERROR(IF(VLOOKUP(AJ$4,'Housing Market'!$A:$AE,10,0)*100="",#N/A,VLOOKUP(AJ$4,'Housing Market'!$A:$AE,10,0)*100),"")</f>
        <v>-7.3137388926862617</v>
      </c>
      <c r="AK9" s="16">
        <f>IFERROR(IF(VLOOKUP(AK$4,'Housing Market'!$A:$AE,10,0)*100="",#N/A,VLOOKUP(AK$4,'Housing Market'!$A:$AE,10,0)*100),"")</f>
        <v>-3.9106145251396662</v>
      </c>
      <c r="AL9" s="16">
        <f>IFERROR(IF(VLOOKUP(AL$4,'Housing Market'!$A:$AE,10,0)*100="",#N/A,VLOOKUP(AL$4,'Housing Market'!$A:$AE,10,0)*100),"")</f>
        <v>6.8675543097407088</v>
      </c>
      <c r="AM9" s="16">
        <f>IFERROR(IF(VLOOKUP(AM$4,'Housing Market'!$A:$AE,10,0)*100="",#N/A,VLOOKUP(AM$4,'Housing Market'!$A:$AE,10,0)*100),"")</f>
        <v>7.5902726602800286</v>
      </c>
      <c r="AN9" s="16" t="str">
        <f>IFERROR(IF(VLOOKUP(AN$4,'Housing Market'!$A:$AE,10,0)*100="",#N/A,VLOOKUP(AN$4,'Housing Market'!$A:$AE,10,0)*100),"")</f>
        <v/>
      </c>
      <c r="AO9" s="16" t="str">
        <f>IFERROR(IF(VLOOKUP(AO$4,'Housing Market'!$A:$AE,10,0)*100="",#N/A,VLOOKUP(AO$4,'Housing Market'!$A:$AE,10,0)*100),"")</f>
        <v/>
      </c>
      <c r="AP9" s="16" t="str">
        <f>IFERROR(IF(VLOOKUP(AP$4,'Housing Market'!$A:$AE,10,0)*100="",#N/A,VLOOKUP(AP$4,'Housing Market'!$A:$AE,10,0)*100),"")</f>
        <v/>
      </c>
      <c r="AQ9" s="16" t="str">
        <f>IFERROR(IF(VLOOKUP(AQ$4,'Housing Market'!$A:$AE,10,0)*100="",#N/A,VLOOKUP(AQ$4,'Housing Market'!$A:$AE,10,0)*100),"")</f>
        <v/>
      </c>
      <c r="AR9" s="16" t="str">
        <f>IFERROR(IF(VLOOKUP(AR$4,'Housing Market'!$A:$AE,10,0)*100="",#N/A,VLOOKUP(AR$4,'Housing Market'!$A:$AE,10,0)*100),"")</f>
        <v/>
      </c>
      <c r="AS9" s="16" t="str">
        <f>IFERROR(IF(VLOOKUP(AS$4,'Housing Market'!$A:$AE,10,0)*100="",#N/A,VLOOKUP(AS$4,'Housing Market'!$A:$AE,10,0)*100),"")</f>
        <v/>
      </c>
      <c r="AT9" s="16" t="str">
        <f>IFERROR(IF(VLOOKUP(AT$4,'Housing Market'!$A:$AE,10,0)*100="",#N/A,VLOOKUP(AT$4,'Housing Market'!$A:$AE,10,0)*100),"")</f>
        <v/>
      </c>
      <c r="AU9" s="16" t="str">
        <f>IFERROR(IF(VLOOKUP(AU$4,'Housing Market'!$A:$AE,10,0)*100="",#N/A,VLOOKUP(AU$4,'Housing Market'!$A:$AE,10,0)*100),"")</f>
        <v/>
      </c>
      <c r="AV9" s="16" t="str">
        <f>IFERROR(IF(VLOOKUP(AV$4,'Housing Market'!$A:$AE,10,0)*100="",#N/A,VLOOKUP(AV$4,'Housing Market'!$A:$AE,10,0)*100),"")</f>
        <v/>
      </c>
      <c r="AW9" s="16" t="str">
        <f>IFERROR(IF(VLOOKUP(AW$4,'Housing Market'!$A:$AE,10,0)*100="",#N/A,VLOOKUP(AW$4,'Housing Market'!$A:$AE,10,0)*100),"")</f>
        <v/>
      </c>
      <c r="AX9" s="16" t="str">
        <f>IFERROR(IF(VLOOKUP(AX$4,'Housing Market'!$A:$AE,10,0)*100="",#N/A,VLOOKUP(AX$4,'Housing Market'!$A:$AE,10,0)*100),"")</f>
        <v/>
      </c>
      <c r="AY9" s="16" t="str">
        <f>IFERROR(IF(VLOOKUP(AY$4,'Housing Market'!$A:$AE,10,0)*100="",#N/A,VLOOKUP(AY$4,'Housing Market'!$A:$AE,10,0)*100),"")</f>
        <v/>
      </c>
    </row>
    <row r="10" spans="1:51" ht="19.5" customHeight="1">
      <c r="A10" s="3"/>
      <c r="B10" s="2" t="s">
        <v>14</v>
      </c>
      <c r="C10" s="47" t="s">
        <v>94</v>
      </c>
      <c r="D10" s="16">
        <f>IFERROR(IF(VLOOKUP(D$4,'Housing Market'!$A:$AE,14,0)*100="",#N/A,VLOOKUP(D$4,'Housing Market'!$A:$AE,14,0)*100),"")</f>
        <v>23.148148148148138</v>
      </c>
      <c r="E10" s="16">
        <f>IFERROR(IF(VLOOKUP(E$4,'Housing Market'!$A:$AE,14,0)*100="",#N/A,VLOOKUP(E$4,'Housing Market'!$A:$AE,14,0)*100),"")</f>
        <v>9.7864768683274086</v>
      </c>
      <c r="F10" s="16">
        <f>IFERROR(IF(VLOOKUP(F$4,'Housing Market'!$A:$AE,14,0)*100="",#N/A,VLOOKUP(F$4,'Housing Market'!$A:$AE,14,0)*100),"")</f>
        <v>12.267657992565063</v>
      </c>
      <c r="G10" s="16">
        <f>IFERROR(IF(VLOOKUP(G$4,'Housing Market'!$A:$AE,14,0)*100="",#N/A,VLOOKUP(G$4,'Housing Market'!$A:$AE,14,0)*100),"")</f>
        <v>34.234234234234236</v>
      </c>
      <c r="H10" s="16">
        <f>IFERROR(IF(VLOOKUP(H$4,'Housing Market'!$A:$AE,14,0)*100="",#N/A,VLOOKUP(H$4,'Housing Market'!$A:$AE,14,0)*100),"")</f>
        <v>45.45454545454546</v>
      </c>
      <c r="I10" s="16">
        <f>IFERROR(IF(VLOOKUP(I$4,'Housing Market'!$A:$AE,14,0)*100="",#N/A,VLOOKUP(I$4,'Housing Market'!$A:$AE,14,0)*100),"")</f>
        <v>23.347107438016536</v>
      </c>
      <c r="J10" s="16">
        <f>IFERROR(IF(VLOOKUP(J$4,'Housing Market'!$A:$AE,14,0)*100="",#N/A,VLOOKUP(J$4,'Housing Market'!$A:$AE,14,0)*100),"")</f>
        <v>1.6863406408094361</v>
      </c>
      <c r="K10" s="16">
        <f>IFERROR(IF(VLOOKUP(K$4,'Housing Market'!$A:$AE,14,0)*100="",#N/A,VLOOKUP(K$4,'Housing Market'!$A:$AE,14,0)*100),"")</f>
        <v>-0.991735537190086</v>
      </c>
      <c r="L10" s="16">
        <f>IFERROR(IF(VLOOKUP(L$4,'Housing Market'!$A:$AE,14,0)*100="",#N/A,VLOOKUP(L$4,'Housing Market'!$A:$AE,14,0)*100),"")</f>
        <v>-2.8301886792452824</v>
      </c>
      <c r="M10" s="16">
        <f>IFERROR(IF(VLOOKUP(M$4,'Housing Market'!$A:$AE,14,0)*100="",#N/A,VLOOKUP(M$4,'Housing Market'!$A:$AE,14,0)*100),"")</f>
        <v>-5.927051671732519</v>
      </c>
      <c r="N10" s="16">
        <f>IFERROR(IF(VLOOKUP(N$4,'Housing Market'!$A:$AE,14,0)*100="",#N/A,VLOOKUP(N$4,'Housing Market'!$A:$AE,14,0)*100),"")</f>
        <v>-2.0123839009287936</v>
      </c>
      <c r="O10" s="16">
        <f>IFERROR(IF(VLOOKUP(O$4,'Housing Market'!$A:$AE,14,0)*100="",#N/A,VLOOKUP(O$4,'Housing Market'!$A:$AE,14,0)*100),"")</f>
        <v>-6.7381316998468606</v>
      </c>
      <c r="P10" s="16">
        <f>IFERROR(IF(VLOOKUP(P$4,'Housing Market'!$A:$AE,14,0)*100="",#N/A,VLOOKUP(P$4,'Housing Market'!$A:$AE,14,0)*100),"")</f>
        <v>-2.4060150375939893</v>
      </c>
      <c r="Q10" s="16">
        <f>IFERROR(IF(VLOOKUP(Q$4,'Housing Market'!$A:$AE,14,0)*100="",#N/A,VLOOKUP(Q$4,'Housing Market'!$A:$AE,14,0)*100),"")</f>
        <v>-3.8897893030794162</v>
      </c>
      <c r="R10" s="16">
        <f>IFERROR(IF(VLOOKUP(R$4,'Housing Market'!$A:$AE,14,0)*100="",#N/A,VLOOKUP(R$4,'Housing Market'!$A:$AE,14,0)*100),"")</f>
        <v>-4.801324503311255</v>
      </c>
      <c r="S10" s="16">
        <f>IFERROR(IF(VLOOKUP(S$4,'Housing Market'!$A:$AE,14,0)*100="",#N/A,VLOOKUP(S$4,'Housing Market'!$A:$AE,14,0)*100),"")</f>
        <v>-6.0402684563758413</v>
      </c>
      <c r="T10" s="16">
        <f>IFERROR(IF(VLOOKUP(T$4,'Housing Market'!$A:$AE,14,0)*100="",#N/A,VLOOKUP(T$4,'Housing Market'!$A:$AE,14,0)*100),"")</f>
        <v>-8.6148648648648685</v>
      </c>
      <c r="U10" s="16">
        <f>IFERROR(IF(VLOOKUP(U$4,'Housing Market'!$A:$AE,14,0)*100="",#N/A,VLOOKUP(U$4,'Housing Market'!$A:$AE,14,0)*100),"")</f>
        <v>-14.405360134003352</v>
      </c>
      <c r="V10" s="16">
        <f>IFERROR(IF(VLOOKUP(V$4,'Housing Market'!$A:$AE,14,0)*100="",#N/A,VLOOKUP(V$4,'Housing Market'!$A:$AE,14,0)*100),"")</f>
        <v>-20.066334991708125</v>
      </c>
      <c r="W10" s="16">
        <f>IFERROR(IF(VLOOKUP(W$4,'Housing Market'!$A:$AE,14,0)*100="",#N/A,VLOOKUP(W$4,'Housing Market'!$A:$AE,14,0)*100),"")</f>
        <v>-20.200333889816356</v>
      </c>
      <c r="X10" s="16">
        <f>IFERROR(IF(VLOOKUP(X$4,'Housing Market'!$A:$AE,14,0)*100="",#N/A,VLOOKUP(X$4,'Housing Market'!$A:$AE,14,0)*100),"")</f>
        <v>-23.78640776699029</v>
      </c>
      <c r="Y10" s="16">
        <f>IFERROR(IF(VLOOKUP(Y$4,'Housing Market'!$A:$AE,14,0)*100="",#N/A,VLOOKUP(Y$4,'Housing Market'!$A:$AE,14,0)*100),"")</f>
        <v>-28.271405492730207</v>
      </c>
      <c r="Z10" s="16">
        <f>IFERROR(IF(VLOOKUP(Z$4,'Housing Market'!$A:$AE,14,0)*100="",#N/A,VLOOKUP(Z$4,'Housing Market'!$A:$AE,14,0)*100),"")</f>
        <v>-34.913112164296997</v>
      </c>
      <c r="AA10" s="16">
        <f>IFERROR(IF(VLOOKUP(AA$4,'Housing Market'!$A:$AE,14,0)*100="",#N/A,VLOOKUP(AA$4,'Housing Market'!$A:$AE,14,0)*100),"")</f>
        <v>-33.825944170771763</v>
      </c>
      <c r="AB10" s="16">
        <f>IFERROR(IF(VLOOKUP(AB$4,'Housing Market'!$A:$AE,14,0)*100="",#N/A,VLOOKUP(AB$4,'Housing Market'!$A:$AE,14,0)*100),"")</f>
        <v>-38.366718027734983</v>
      </c>
      <c r="AC10" s="16">
        <f>IFERROR(IF(VLOOKUP(AC$4,'Housing Market'!$A:$AE,14,0)*100="",#N/A,VLOOKUP(AC$4,'Housing Market'!$A:$AE,14,0)*100),"")</f>
        <v>-23.271500843170323</v>
      </c>
      <c r="AD10" s="16">
        <f>IFERROR(IF(VLOOKUP(AD$4,'Housing Market'!$A:$AE,14,0)*100="",#N/A,VLOOKUP(AD$4,'Housing Market'!$A:$AE,14,0)*100),"")</f>
        <v>-22.95652173913043</v>
      </c>
      <c r="AE10" s="16">
        <f>IFERROR(IF(VLOOKUP(AE$4,'Housing Market'!$A:$AE,14,0)*100="",#N/A,VLOOKUP(AE$4,'Housing Market'!$A:$AE,14,0)*100),"")</f>
        <v>-23.392857142857139</v>
      </c>
      <c r="AF10" s="16">
        <f>IFERROR(IF(VLOOKUP(AF$4,'Housing Market'!$A:$AE,14,0)*100="",#N/A,VLOOKUP(AF$4,'Housing Market'!$A:$AE,14,0)*100),"")</f>
        <v>-20.517560073937158</v>
      </c>
      <c r="AG10" s="16">
        <f>IFERROR(IF(VLOOKUP(AG$4,'Housing Market'!$A:$AE,14,0)*100="",#N/A,VLOOKUP(AG$4,'Housing Market'!$A:$AE,14,0)*100),"")</f>
        <v>-18.590998043052842</v>
      </c>
      <c r="AH10" s="16">
        <f>IFERROR(IF(VLOOKUP(AH$4,'Housing Market'!$A:$AE,14,0)*100="",#N/A,VLOOKUP(AH$4,'Housing Market'!$A:$AE,14,0)*100),"")</f>
        <v>-15.560165975103734</v>
      </c>
      <c r="AI10" s="16">
        <f>IFERROR(IF(VLOOKUP(AI$4,'Housing Market'!$A:$AE,14,0)*100="",#N/A,VLOOKUP(AI$4,'Housing Market'!$A:$AE,14,0)*100),"")</f>
        <v>-15.481171548117157</v>
      </c>
      <c r="AJ10" s="16">
        <f>IFERROR(IF(VLOOKUP(AJ$4,'Housing Market'!$A:$AE,14,0)*100="",#N/A,VLOOKUP(AJ$4,'Housing Market'!$A:$AE,14,0)*100),"")</f>
        <v>-16.135881104033967</v>
      </c>
      <c r="AK10" s="16">
        <f>IFERROR(IF(VLOOKUP(AK$4,'Housing Market'!$A:$AE,14,0)*100="",#N/A,VLOOKUP(AK$4,'Housing Market'!$A:$AE,14,0)*100),"")</f>
        <v>-14.639639639639634</v>
      </c>
      <c r="AL10" s="16">
        <f>IFERROR(IF(VLOOKUP(AL$4,'Housing Market'!$A:$AE,14,0)*100="",#N/A,VLOOKUP(AL$4,'Housing Market'!$A:$AE,14,0)*100),"")</f>
        <v>-7.2815533980582492</v>
      </c>
      <c r="AM10" s="16">
        <f>IFERROR(IF(VLOOKUP(AM$4,'Housing Market'!$A:$AE,14,0)*100="",#N/A,VLOOKUP(AM$4,'Housing Market'!$A:$AE,14,0)*100),"")</f>
        <v>-6.2034739454094323</v>
      </c>
      <c r="AN10" s="16" t="str">
        <f>IFERROR(IF(VLOOKUP(AN$4,'Housing Market'!$A:$AE,14,0)*100="",#N/A,VLOOKUP(AN$4,'Housing Market'!$A:$AE,14,0)*100),"")</f>
        <v/>
      </c>
      <c r="AO10" s="16" t="str">
        <f>IFERROR(IF(VLOOKUP(AO$4,'Housing Market'!$A:$AE,14,0)*100="",#N/A,VLOOKUP(AO$4,'Housing Market'!$A:$AE,14,0)*100),"")</f>
        <v/>
      </c>
      <c r="AP10" s="16" t="str">
        <f>IFERROR(IF(VLOOKUP(AP$4,'Housing Market'!$A:$AE,14,0)*100="",#N/A,VLOOKUP(AP$4,'Housing Market'!$A:$AE,14,0)*100),"")</f>
        <v/>
      </c>
      <c r="AQ10" s="16" t="str">
        <f>IFERROR(IF(VLOOKUP(AQ$4,'Housing Market'!$A:$AE,14,0)*100="",#N/A,VLOOKUP(AQ$4,'Housing Market'!$A:$AE,14,0)*100),"")</f>
        <v/>
      </c>
      <c r="AR10" s="16" t="str">
        <f>IFERROR(IF(VLOOKUP(AR$4,'Housing Market'!$A:$AE,14,0)*100="",#N/A,VLOOKUP(AR$4,'Housing Market'!$A:$AE,14,0)*100),"")</f>
        <v/>
      </c>
      <c r="AS10" s="16" t="str">
        <f>IFERROR(IF(VLOOKUP(AS$4,'Housing Market'!$A:$AE,14,0)*100="",#N/A,VLOOKUP(AS$4,'Housing Market'!$A:$AE,14,0)*100),"")</f>
        <v/>
      </c>
      <c r="AT10" s="16" t="str">
        <f>IFERROR(IF(VLOOKUP(AT$4,'Housing Market'!$A:$AE,14,0)*100="",#N/A,VLOOKUP(AT$4,'Housing Market'!$A:$AE,14,0)*100),"")</f>
        <v/>
      </c>
      <c r="AU10" s="16" t="str">
        <f>IFERROR(IF(VLOOKUP(AU$4,'Housing Market'!$A:$AE,14,0)*100="",#N/A,VLOOKUP(AU$4,'Housing Market'!$A:$AE,14,0)*100),"")</f>
        <v/>
      </c>
      <c r="AV10" s="16" t="str">
        <f>IFERROR(IF(VLOOKUP(AV$4,'Housing Market'!$A:$AE,14,0)*100="",#N/A,VLOOKUP(AV$4,'Housing Market'!$A:$AE,14,0)*100),"")</f>
        <v/>
      </c>
      <c r="AW10" s="16" t="str">
        <f>IFERROR(IF(VLOOKUP(AW$4,'Housing Market'!$A:$AE,14,0)*100="",#N/A,VLOOKUP(AW$4,'Housing Market'!$A:$AE,14,0)*100),"")</f>
        <v/>
      </c>
      <c r="AX10" s="16" t="str">
        <f>IFERROR(IF(VLOOKUP(AX$4,'Housing Market'!$A:$AE,14,0)*100="",#N/A,VLOOKUP(AX$4,'Housing Market'!$A:$AE,14,0)*100),"")</f>
        <v/>
      </c>
      <c r="AY10" s="16" t="str">
        <f>IFERROR(IF(VLOOKUP(AY$4,'Housing Market'!$A:$AE,14,0)*100="",#N/A,VLOOKUP(AY$4,'Housing Market'!$A:$AE,14,0)*100),"")</f>
        <v/>
      </c>
    </row>
    <row r="11" spans="1:51" ht="19.5" customHeight="1">
      <c r="A11" s="3"/>
      <c r="B11" s="2" t="s">
        <v>60</v>
      </c>
      <c r="C11" s="47" t="s">
        <v>94</v>
      </c>
      <c r="D11" s="16">
        <f>IFERROR(IF(VLOOKUP(D$4,'Housing Market'!$A:$AE,17,0)*100="",#N/A,VLOOKUP(D$4,'Housing Market'!$A:$AE,17,0)*100),"")</f>
        <v>31.532846715328478</v>
      </c>
      <c r="E11" s="16">
        <f>IFERROR(IF(VLOOKUP(E$4,'Housing Market'!$A:$AE,17,0)*100="",#N/A,VLOOKUP(E$4,'Housing Market'!$A:$AE,17,0)*100),"")</f>
        <v>9.4420600858368999</v>
      </c>
      <c r="F11" s="16">
        <f>IFERROR(IF(VLOOKUP(F$4,'Housing Market'!$A:$AE,17,0)*100="",#N/A,VLOOKUP(F$4,'Housing Market'!$A:$AE,17,0)*100),"")</f>
        <v>39.573070607553376</v>
      </c>
      <c r="G11" s="16">
        <f>IFERROR(IF(VLOOKUP(G$4,'Housing Market'!$A:$AE,17,0)*100="",#N/A,VLOOKUP(G$4,'Housing Market'!$A:$AE,17,0)*100),"")</f>
        <v>42.355008787346215</v>
      </c>
      <c r="H11" s="16">
        <f>IFERROR(IF(VLOOKUP(H$4,'Housing Market'!$A:$AE,17,0)*100="",#N/A,VLOOKUP(H$4,'Housing Market'!$A:$AE,17,0)*100),"")</f>
        <v>2.7298850574712707</v>
      </c>
      <c r="I11" s="16">
        <f>IFERROR(IF(VLOOKUP(I$4,'Housing Market'!$A:$AE,17,0)*100="",#N/A,VLOOKUP(I$4,'Housing Market'!$A:$AE,17,0)*100),"")</f>
        <v>-23.50427350427351</v>
      </c>
      <c r="J11" s="16">
        <f>IFERROR(IF(VLOOKUP(J$4,'Housing Market'!$A:$AE,17,0)*100="",#N/A,VLOOKUP(J$4,'Housing Market'!$A:$AE,17,0)*100),"")</f>
        <v>-25.417075564278701</v>
      </c>
      <c r="K11" s="16">
        <f>IFERROR(IF(VLOOKUP(K$4,'Housing Market'!$A:$AE,17,0)*100="",#N/A,VLOOKUP(K$4,'Housing Market'!$A:$AE,17,0)*100),"")</f>
        <v>-32.944606413994173</v>
      </c>
      <c r="L11" s="16">
        <f>IFERROR(IF(VLOOKUP(L$4,'Housing Market'!$A:$AE,17,0)*100="",#N/A,VLOOKUP(L$4,'Housing Market'!$A:$AE,17,0)*100),"")</f>
        <v>-24.89878542510121</v>
      </c>
      <c r="M11" s="16">
        <f>IFERROR(IF(VLOOKUP(M$4,'Housing Market'!$A:$AE,17,0)*100="",#N/A,VLOOKUP(M$4,'Housing Market'!$A:$AE,17,0)*100),"")</f>
        <v>-33.787731256085685</v>
      </c>
      <c r="N11" s="16">
        <f>IFERROR(IF(VLOOKUP(N$4,'Housing Market'!$A:$AE,17,0)*100="",#N/A,VLOOKUP(N$4,'Housing Market'!$A:$AE,17,0)*100),"")</f>
        <v>-10.544611819235229</v>
      </c>
      <c r="O11" s="16">
        <f>IFERROR(IF(VLOOKUP(O$4,'Housing Market'!$A:$AE,17,0)*100="",#N/A,VLOOKUP(O$4,'Housing Market'!$A:$AE,17,0)*100),"")</f>
        <v>-4.9255441008018375</v>
      </c>
      <c r="P11" s="16">
        <f>IFERROR(IF(VLOOKUP(P$4,'Housing Market'!$A:$AE,17,0)*100="",#N/A,VLOOKUP(P$4,'Housing Market'!$A:$AE,17,0)*100),"")</f>
        <v>-10.099889012208651</v>
      </c>
      <c r="Q11" s="16">
        <f>IFERROR(IF(VLOOKUP(Q$4,'Housing Market'!$A:$AE,17,0)*100="",#N/A,VLOOKUP(Q$4,'Housing Market'!$A:$AE,17,0)*100),"")</f>
        <v>1.0457516339869244</v>
      </c>
      <c r="R11" s="16">
        <f>IFERROR(IF(VLOOKUP(R$4,'Housing Market'!$A:$AE,17,0)*100="",#N/A,VLOOKUP(R$4,'Housing Market'!$A:$AE,17,0)*100),"")</f>
        <v>-16.823529411764703</v>
      </c>
      <c r="S11" s="16">
        <f>IFERROR(IF(VLOOKUP(S$4,'Housing Market'!$A:$AE,17,0)*100="",#N/A,VLOOKUP(S$4,'Housing Market'!$A:$AE,17,0)*100),"")</f>
        <v>-24.567901234567902</v>
      </c>
      <c r="T11" s="16">
        <f>IFERROR(IF(VLOOKUP(T$4,'Housing Market'!$A:$AE,17,0)*100="",#N/A,VLOOKUP(T$4,'Housing Market'!$A:$AE,17,0)*100),"")</f>
        <v>-11.04895104895105</v>
      </c>
      <c r="U11" s="16">
        <f>IFERROR(IF(VLOOKUP(U$4,'Housing Market'!$A:$AE,17,0)*100="",#N/A,VLOOKUP(U$4,'Housing Market'!$A:$AE,17,0)*100),"")</f>
        <v>-21.368715083798882</v>
      </c>
      <c r="V11" s="16">
        <f>IFERROR(IF(VLOOKUP(V$4,'Housing Market'!$A:$AE,17,0)*100="",#N/A,VLOOKUP(V$4,'Housing Market'!$A:$AE,17,0)*100),"")</f>
        <v>-28.552631578947373</v>
      </c>
      <c r="W11" s="16">
        <f>IFERROR(IF(VLOOKUP(W$4,'Housing Market'!$A:$AE,17,0)*100="",#N/A,VLOOKUP(W$4,'Housing Market'!$A:$AE,17,0)*100),"")</f>
        <v>-7.5362318840579761</v>
      </c>
      <c r="X11" s="16">
        <f>IFERROR(IF(VLOOKUP(X$4,'Housing Market'!$A:$AE,17,0)*100="",#N/A,VLOOKUP(X$4,'Housing Market'!$A:$AE,17,0)*100),"")</f>
        <v>-23.584905660377352</v>
      </c>
      <c r="Y11" s="16">
        <f>IFERROR(IF(VLOOKUP(Y$4,'Housing Market'!$A:$AE,17,0)*100="",#N/A,VLOOKUP(Y$4,'Housing Market'!$A:$AE,17,0)*100),"")</f>
        <v>-15.147058823529413</v>
      </c>
      <c r="Z11" s="16">
        <f>IFERROR(IF(VLOOKUP(Z$4,'Housing Market'!$A:$AE,17,0)*100="",#N/A,VLOOKUP(Z$4,'Housing Market'!$A:$AE,17,0)*100),"")</f>
        <v>-24.611398963730569</v>
      </c>
      <c r="AA11" s="16">
        <f>IFERROR(IF(VLOOKUP(AA$4,'Housing Market'!$A:$AE,17,0)*100="",#N/A,VLOOKUP(AA$4,'Housing Market'!$A:$AE,17,0)*100),"")</f>
        <v>-23.373493975903614</v>
      </c>
      <c r="AB11" s="16">
        <f>IFERROR(IF(VLOOKUP(AB$4,'Housing Market'!$A:$AE,17,0)*100="",#N/A,VLOOKUP(AB$4,'Housing Market'!$A:$AE,17,0)*100),"")</f>
        <v>-19.876543209876541</v>
      </c>
      <c r="AC11" s="16">
        <f>IFERROR(IF(VLOOKUP(AC$4,'Housing Market'!$A:$AE,17,0)*100="",#N/A,VLOOKUP(AC$4,'Housing Market'!$A:$AE,17,0)*100),"")</f>
        <v>-19.146183699870633</v>
      </c>
      <c r="AD11" s="16">
        <f>IFERROR(IF(VLOOKUP(AD$4,'Housing Market'!$A:$AE,17,0)*100="",#N/A,VLOOKUP(AD$4,'Housing Market'!$A:$AE,17,0)*100),"")</f>
        <v>-9.476661951909481</v>
      </c>
      <c r="AE11" s="16">
        <f>IFERROR(IF(VLOOKUP(AE$4,'Housing Market'!$A:$AE,17,0)*100="",#N/A,VLOOKUP(AE$4,'Housing Market'!$A:$AE,17,0)*100),"")</f>
        <v>11.12929623567922</v>
      </c>
      <c r="AF11" s="16">
        <f>IFERROR(IF(VLOOKUP(AF$4,'Housing Market'!$A:$AE,17,0)*100="",#N/A,VLOOKUP(AF$4,'Housing Market'!$A:$AE,17,0)*100),"")</f>
        <v>11.635220125786173</v>
      </c>
      <c r="AG11" s="16">
        <f>IFERROR(IF(VLOOKUP(AG$4,'Housing Market'!$A:$AE,17,0)*100="",#N/A,VLOOKUP(AG$4,'Housing Market'!$A:$AE,17,0)*100),"")</f>
        <v>21.31438721136767</v>
      </c>
      <c r="AH11" s="16">
        <f>IFERROR(IF(VLOOKUP(AH$4,'Housing Market'!$A:$AE,17,0)*100="",#N/A,VLOOKUP(AH$4,'Housing Market'!$A:$AE,17,0)*100),"")</f>
        <v>34.069981583793727</v>
      </c>
      <c r="AI11" s="16">
        <f>IFERROR(IF(VLOOKUP(AI$4,'Housing Market'!$A:$AE,17,0)*100="",#N/A,VLOOKUP(AI$4,'Housing Market'!$A:$AE,17,0)*100),"")</f>
        <v>3.7617554858934144</v>
      </c>
      <c r="AJ11" s="16">
        <f>IFERROR(IF(VLOOKUP(AJ$4,'Housing Market'!$A:$AE,17,0)*100="",#N/A,VLOOKUP(AJ$4,'Housing Market'!$A:$AE,17,0)*100),"")</f>
        <v>26.807760141093475</v>
      </c>
      <c r="AK11" s="16">
        <f>IFERROR(IF(VLOOKUP(AK$4,'Housing Market'!$A:$AE,17,0)*100="",#N/A,VLOOKUP(AK$4,'Housing Market'!$A:$AE,17,0)*100),"")</f>
        <v>17.677642980935882</v>
      </c>
      <c r="AL11" s="16">
        <f>IFERROR(IF(VLOOKUP(AL$4,'Housing Market'!$A:$AE,17,0)*100="",#N/A,VLOOKUP(AL$4,'Housing Market'!$A:$AE,17,0)*100),"")</f>
        <v>1.3745704467353903</v>
      </c>
      <c r="AM11" s="16" t="str">
        <f>IFERROR(IF(VLOOKUP(AM$4,'Housing Market'!$A:$AE,17,0)*100="",#N/A,VLOOKUP(AM$4,'Housing Market'!$A:$AE,17,0)*100),"")</f>
        <v/>
      </c>
      <c r="AN11" s="16" t="str">
        <f>IFERROR(IF(VLOOKUP(AN$4,'Housing Market'!$A:$AE,17,0)*100="",#N/A,VLOOKUP(AN$4,'Housing Market'!$A:$AE,17,0)*100),"")</f>
        <v/>
      </c>
      <c r="AO11" s="16" t="str">
        <f>IFERROR(IF(VLOOKUP(AO$4,'Housing Market'!$A:$AE,17,0)*100="",#N/A,VLOOKUP(AO$4,'Housing Market'!$A:$AE,17,0)*100),"")</f>
        <v/>
      </c>
      <c r="AP11" s="16" t="str">
        <f>IFERROR(IF(VLOOKUP(AP$4,'Housing Market'!$A:$AE,17,0)*100="",#N/A,VLOOKUP(AP$4,'Housing Market'!$A:$AE,17,0)*100),"")</f>
        <v/>
      </c>
      <c r="AQ11" s="16" t="str">
        <f>IFERROR(IF(VLOOKUP(AQ$4,'Housing Market'!$A:$AE,17,0)*100="",#N/A,VLOOKUP(AQ$4,'Housing Market'!$A:$AE,17,0)*100),"")</f>
        <v/>
      </c>
      <c r="AR11" s="16" t="str">
        <f>IFERROR(IF(VLOOKUP(AR$4,'Housing Market'!$A:$AE,17,0)*100="",#N/A,VLOOKUP(AR$4,'Housing Market'!$A:$AE,17,0)*100),"")</f>
        <v/>
      </c>
      <c r="AS11" s="16" t="str">
        <f>IFERROR(IF(VLOOKUP(AS$4,'Housing Market'!$A:$AE,17,0)*100="",#N/A,VLOOKUP(AS$4,'Housing Market'!$A:$AE,17,0)*100),"")</f>
        <v/>
      </c>
      <c r="AT11" s="16" t="str">
        <f>IFERROR(IF(VLOOKUP(AT$4,'Housing Market'!$A:$AE,17,0)*100="",#N/A,VLOOKUP(AT$4,'Housing Market'!$A:$AE,17,0)*100),"")</f>
        <v/>
      </c>
      <c r="AU11" s="16" t="str">
        <f>IFERROR(IF(VLOOKUP(AU$4,'Housing Market'!$A:$AE,17,0)*100="",#N/A,VLOOKUP(AU$4,'Housing Market'!$A:$AE,17,0)*100),"")</f>
        <v/>
      </c>
      <c r="AV11" s="16" t="str">
        <f>IFERROR(IF(VLOOKUP(AV$4,'Housing Market'!$A:$AE,17,0)*100="",#N/A,VLOOKUP(AV$4,'Housing Market'!$A:$AE,17,0)*100),"")</f>
        <v/>
      </c>
      <c r="AW11" s="16" t="str">
        <f>IFERROR(IF(VLOOKUP(AW$4,'Housing Market'!$A:$AE,17,0)*100="",#N/A,VLOOKUP(AW$4,'Housing Market'!$A:$AE,17,0)*100),"")</f>
        <v/>
      </c>
      <c r="AX11" s="16" t="str">
        <f>IFERROR(IF(VLOOKUP(AX$4,'Housing Market'!$A:$AE,17,0)*100="",#N/A,VLOOKUP(AX$4,'Housing Market'!$A:$AE,17,0)*100),"")</f>
        <v/>
      </c>
      <c r="AY11" s="16" t="str">
        <f>IFERROR(IF(VLOOKUP(AY$4,'Housing Market'!$A:$AE,17,0)*100="",#N/A,VLOOKUP(AY$4,'Housing Market'!$A:$AE,17,0)*100),"")</f>
        <v/>
      </c>
    </row>
    <row r="12" spans="1:51" ht="19.5" customHeight="1">
      <c r="A12" s="3"/>
      <c r="B12" s="2" t="s">
        <v>13</v>
      </c>
      <c r="C12" s="47" t="s">
        <v>42</v>
      </c>
      <c r="D12" s="16">
        <f>IFERROR(IF(VLOOKUP(D$4,'Housing Market'!$A:$AE,18,0)="",#N/A,VLOOKUP(D$4,'Housing Market'!$A:$AE,18,0)),"")</f>
        <v>4</v>
      </c>
      <c r="E12" s="16">
        <f>IFERROR(IF(VLOOKUP(E$4,'Housing Market'!$A:$AE,18,0)="",#N/A,VLOOKUP(E$4,'Housing Market'!$A:$AE,18,0)),"")</f>
        <v>4.9000000000000004</v>
      </c>
      <c r="F12" s="16">
        <f>IFERROR(IF(VLOOKUP(F$4,'Housing Market'!$A:$AE,18,0)="",#N/A,VLOOKUP(F$4,'Housing Market'!$A:$AE,18,0)),"")</f>
        <v>4.4000000000000004</v>
      </c>
      <c r="G12" s="16">
        <f>IFERROR(IF(VLOOKUP(G$4,'Housing Market'!$A:$AE,18,0)="",#N/A,VLOOKUP(G$4,'Housing Market'!$A:$AE,18,0)),"")</f>
        <v>4.7</v>
      </c>
      <c r="H12" s="16">
        <f>IFERROR(IF(VLOOKUP(H$4,'Housing Market'!$A:$AE,18,0)="",#N/A,VLOOKUP(H$4,'Housing Market'!$A:$AE,18,0)),"")</f>
        <v>5.6</v>
      </c>
      <c r="I12" s="16">
        <f>IFERROR(IF(VLOOKUP(I$4,'Housing Market'!$A:$AE,18,0)="",#N/A,VLOOKUP(I$4,'Housing Market'!$A:$AE,18,0)),"")</f>
        <v>5.8</v>
      </c>
      <c r="J12" s="16">
        <f>IFERROR(IF(VLOOKUP(J$4,'Housing Market'!$A:$AE,18,0)="",#N/A,VLOOKUP(J$4,'Housing Market'!$A:$AE,18,0)),"")</f>
        <v>5.7</v>
      </c>
      <c r="K12" s="16">
        <f>IFERROR(IF(VLOOKUP(K$4,'Housing Market'!$A:$AE,18,0)="",#N/A,VLOOKUP(K$4,'Housing Market'!$A:$AE,18,0)),"")</f>
        <v>6.5</v>
      </c>
      <c r="L12" s="16">
        <f>IFERROR(IF(VLOOKUP(L$4,'Housing Market'!$A:$AE,18,0)="",#N/A,VLOOKUP(L$4,'Housing Market'!$A:$AE,18,0)),"")</f>
        <v>6</v>
      </c>
      <c r="M12" s="16">
        <f>IFERROR(IF(VLOOKUP(M$4,'Housing Market'!$A:$AE,18,0)="",#N/A,VLOOKUP(M$4,'Housing Market'!$A:$AE,18,0)),"")</f>
        <v>6.8</v>
      </c>
      <c r="N12" s="16">
        <f>IFERROR(IF(VLOOKUP(N$4,'Housing Market'!$A:$AE,18,0)="",#N/A,VLOOKUP(N$4,'Housing Market'!$A:$AE,18,0)),"")</f>
        <v>6</v>
      </c>
      <c r="O12" s="16">
        <f>IFERROR(IF(VLOOKUP(O$4,'Housing Market'!$A:$AE,18,0)="",#N/A,VLOOKUP(O$4,'Housing Market'!$A:$AE,18,0)),"")</f>
        <v>5.6</v>
      </c>
      <c r="P12" s="16">
        <f>IFERROR(IF(VLOOKUP(P$4,'Housing Market'!$A:$AE,18,0)="",#N/A,VLOOKUP(P$4,'Housing Market'!$A:$AE,18,0)),"")</f>
        <v>5.8</v>
      </c>
      <c r="Q12" s="16">
        <f>IFERROR(IF(VLOOKUP(Q$4,'Housing Market'!$A:$AE,18,0)="",#N/A,VLOOKUP(Q$4,'Housing Market'!$A:$AE,18,0)),"")</f>
        <v>6.2</v>
      </c>
      <c r="R12" s="16">
        <f>IFERROR(IF(VLOOKUP(R$4,'Housing Market'!$A:$AE,18,0)="",#N/A,VLOOKUP(R$4,'Housing Market'!$A:$AE,18,0)),"")</f>
        <v>7</v>
      </c>
      <c r="S12" s="16">
        <f>IFERROR(IF(VLOOKUP(S$4,'Housing Market'!$A:$AE,18,0)="",#N/A,VLOOKUP(S$4,'Housing Market'!$A:$AE,18,0)),"")</f>
        <v>8.5</v>
      </c>
      <c r="T12" s="16">
        <f>IFERROR(IF(VLOOKUP(T$4,'Housing Market'!$A:$AE,18,0)="",#N/A,VLOOKUP(T$4,'Housing Market'!$A:$AE,18,0)),"")</f>
        <v>8.3000000000000007</v>
      </c>
      <c r="U12" s="16">
        <f>IFERROR(IF(VLOOKUP(U$4,'Housing Market'!$A:$AE,18,0)="",#N/A,VLOOKUP(U$4,'Housing Market'!$A:$AE,18,0)),"")</f>
        <v>9.5</v>
      </c>
      <c r="V12" s="16">
        <f>IFERROR(IF(VLOOKUP(V$4,'Housing Market'!$A:$AE,18,0)="",#N/A,VLOOKUP(V$4,'Housing Market'!$A:$AE,18,0)),"")</f>
        <v>10.1</v>
      </c>
      <c r="W12" s="16">
        <f>IFERROR(IF(VLOOKUP(W$4,'Housing Market'!$A:$AE,18,0)="",#N/A,VLOOKUP(W$4,'Housing Market'!$A:$AE,18,0)),"")</f>
        <v>8.6999999999999993</v>
      </c>
      <c r="X12" s="16">
        <f>IFERROR(IF(VLOOKUP(X$4,'Housing Market'!$A:$AE,18,0)="",#N/A,VLOOKUP(X$4,'Housing Market'!$A:$AE,18,0)),"")</f>
        <v>9.6999999999999993</v>
      </c>
      <c r="Y12" s="16">
        <f>IFERROR(IF(VLOOKUP(Y$4,'Housing Market'!$A:$AE,18,0)="",#N/A,VLOOKUP(Y$4,'Housing Market'!$A:$AE,18,0)),"")</f>
        <v>9.6999999999999993</v>
      </c>
      <c r="Z12" s="16">
        <f>IFERROR(IF(VLOOKUP(Z$4,'Housing Market'!$A:$AE,18,0)="",#N/A,VLOOKUP(Z$4,'Housing Market'!$A:$AE,18,0)),"")</f>
        <v>9.4</v>
      </c>
      <c r="AA12" s="16">
        <f>IFERROR(IF(VLOOKUP(AA$4,'Housing Market'!$A:$AE,18,0)="",#N/A,VLOOKUP(AA$4,'Housing Market'!$A:$AE,18,0)),"")</f>
        <v>8.5</v>
      </c>
      <c r="AB12" s="16">
        <f>IFERROR(IF(VLOOKUP(AB$4,'Housing Market'!$A:$AE,18,0)="",#N/A,VLOOKUP(AB$4,'Housing Market'!$A:$AE,18,0)),"")</f>
        <v>8.1</v>
      </c>
      <c r="AC12" s="16">
        <f>IFERROR(IF(VLOOKUP(AC$4,'Housing Market'!$A:$AE,18,0)="",#N/A,VLOOKUP(AC$4,'Housing Market'!$A:$AE,18,0)),"")</f>
        <v>8.4</v>
      </c>
      <c r="AD12" s="16">
        <f>IFERROR(IF(VLOOKUP(AD$4,'Housing Market'!$A:$AE,18,0)="",#N/A,VLOOKUP(AD$4,'Housing Market'!$A:$AE,18,0)),"")</f>
        <v>8.1</v>
      </c>
      <c r="AE12" s="16">
        <f>IFERROR(IF(VLOOKUP(AE$4,'Housing Market'!$A:$AE,18,0)="",#N/A,VLOOKUP(AE$4,'Housing Market'!$A:$AE,18,0)),"")</f>
        <v>7.6</v>
      </c>
      <c r="AF12" s="16">
        <f>IFERROR(IF(VLOOKUP(AF$4,'Housing Market'!$A:$AE,18,0)="",#N/A,VLOOKUP(AF$4,'Housing Market'!$A:$AE,18,0)),"")</f>
        <v>7.2</v>
      </c>
      <c r="AG12" s="16">
        <f>IFERROR(IF(VLOOKUP(AG$4,'Housing Market'!$A:$AE,18,0)="",#N/A,VLOOKUP(AG$4,'Housing Market'!$A:$AE,18,0)),"")</f>
        <v>7.5</v>
      </c>
      <c r="AH12" s="16">
        <f>IFERROR(IF(VLOOKUP(AH$4,'Housing Market'!$A:$AE,18,0)="",#N/A,VLOOKUP(AH$4,'Housing Market'!$A:$AE,18,0)),"")</f>
        <v>7.1</v>
      </c>
      <c r="AI12" s="16">
        <f>IFERROR(IF(VLOOKUP(AI$4,'Housing Market'!$A:$AE,18,0)="",#N/A,VLOOKUP(AI$4,'Housing Market'!$A:$AE,18,0)),"")</f>
        <v>7.9</v>
      </c>
      <c r="AJ12" s="16">
        <f>IFERROR(IF(VLOOKUP(AJ$4,'Housing Market'!$A:$AE,18,0)="",#N/A,VLOOKUP(AJ$4,'Housing Market'!$A:$AE,18,0)),"")</f>
        <v>7.4</v>
      </c>
      <c r="AK12" s="16">
        <f>IFERROR(IF(VLOOKUP(AK$4,'Housing Market'!$A:$AE,18,0)="",#N/A,VLOOKUP(AK$4,'Housing Market'!$A:$AE,18,0)),"")</f>
        <v>7.9</v>
      </c>
      <c r="AL12" s="16">
        <f>IFERROR(IF(VLOOKUP(AL$4,'Housing Market'!$A:$AE,18,0)="",#N/A,VLOOKUP(AL$4,'Housing Market'!$A:$AE,18,0)),"")</f>
        <v>9.1999999999999993</v>
      </c>
      <c r="AM12" s="16" t="str">
        <f>IFERROR(IF(VLOOKUP(AM$4,'Housing Market'!$A:$AE,18,0)="",#N/A,VLOOKUP(AM$4,'Housing Market'!$A:$AE,18,0)),"")</f>
        <v/>
      </c>
      <c r="AN12" s="16" t="str">
        <f>IFERROR(IF(VLOOKUP(AN$4,'Housing Market'!$A:$AE,18,0)="",#N/A,VLOOKUP(AN$4,'Housing Market'!$A:$AE,18,0)),"")</f>
        <v/>
      </c>
      <c r="AO12" s="16" t="str">
        <f>IFERROR(IF(VLOOKUP(AO$4,'Housing Market'!$A:$AE,18,0)="",#N/A,VLOOKUP(AO$4,'Housing Market'!$A:$AE,18,0)),"")</f>
        <v/>
      </c>
      <c r="AP12" s="16" t="str">
        <f>IFERROR(IF(VLOOKUP(AP$4,'Housing Market'!$A:$AE,18,0)="",#N/A,VLOOKUP(AP$4,'Housing Market'!$A:$AE,18,0)),"")</f>
        <v/>
      </c>
      <c r="AQ12" s="16" t="str">
        <f>IFERROR(IF(VLOOKUP(AQ$4,'Housing Market'!$A:$AE,18,0)="",#N/A,VLOOKUP(AQ$4,'Housing Market'!$A:$AE,18,0)),"")</f>
        <v/>
      </c>
      <c r="AR12" s="16" t="str">
        <f>IFERROR(IF(VLOOKUP(AR$4,'Housing Market'!$A:$AE,18,0)="",#N/A,VLOOKUP(AR$4,'Housing Market'!$A:$AE,18,0)),"")</f>
        <v/>
      </c>
      <c r="AS12" s="16" t="str">
        <f>IFERROR(IF(VLOOKUP(AS$4,'Housing Market'!$A:$AE,18,0)="",#N/A,VLOOKUP(AS$4,'Housing Market'!$A:$AE,18,0)),"")</f>
        <v/>
      </c>
      <c r="AT12" s="16" t="str">
        <f>IFERROR(IF(VLOOKUP(AT$4,'Housing Market'!$A:$AE,18,0)="",#N/A,VLOOKUP(AT$4,'Housing Market'!$A:$AE,18,0)),"")</f>
        <v/>
      </c>
      <c r="AU12" s="16" t="str">
        <f>IFERROR(IF(VLOOKUP(AU$4,'Housing Market'!$A:$AE,18,0)="",#N/A,VLOOKUP(AU$4,'Housing Market'!$A:$AE,18,0)),"")</f>
        <v/>
      </c>
      <c r="AV12" s="16" t="str">
        <f>IFERROR(IF(VLOOKUP(AV$4,'Housing Market'!$A:$AE,18,0)="",#N/A,VLOOKUP(AV$4,'Housing Market'!$A:$AE,18,0)),"")</f>
        <v/>
      </c>
      <c r="AW12" s="16" t="str">
        <f>IFERROR(IF(VLOOKUP(AW$4,'Housing Market'!$A:$AE,18,0)="",#N/A,VLOOKUP(AW$4,'Housing Market'!$A:$AE,18,0)),"")</f>
        <v/>
      </c>
      <c r="AX12" s="16" t="str">
        <f>IFERROR(IF(VLOOKUP(AX$4,'Housing Market'!$A:$AE,18,0)="",#N/A,VLOOKUP(AX$4,'Housing Market'!$A:$AE,18,0)),"")</f>
        <v/>
      </c>
      <c r="AY12" s="16" t="str">
        <f>IFERROR(IF(VLOOKUP(AY$4,'Housing Market'!$A:$AE,18,0)="",#N/A,VLOOKUP(AY$4,'Housing Market'!$A:$AE,18,0)),"")</f>
        <v/>
      </c>
    </row>
    <row r="13" spans="1:51" ht="19.5" customHeight="1">
      <c r="A13" s="3"/>
      <c r="B13" s="2" t="s">
        <v>59</v>
      </c>
      <c r="C13" s="47" t="s">
        <v>94</v>
      </c>
      <c r="D13" s="16">
        <f>IFERROR(IF(VLOOKUP(D$4,'Housing Market'!$A:$AE,7,0)*100="",#N/A,VLOOKUP(D$4,'Housing Market'!$A:$AE,7,0)*100),"")</f>
        <v>7.2803347280334663</v>
      </c>
      <c r="E13" s="16">
        <f>IFERROR(IF(VLOOKUP(E$4,'Housing Market'!$A:$AE,7,0)*100="",#N/A,VLOOKUP(E$4,'Housing Market'!$A:$AE,7,0)*100),"")</f>
        <v>6.0181368507831845</v>
      </c>
      <c r="F13" s="16">
        <f>IFERROR(IF(VLOOKUP(F$4,'Housing Market'!$A:$AE,7,0)*100="",#N/A,VLOOKUP(F$4,'Housing Market'!$A:$AE,7,0)*100),"")</f>
        <v>7.6543209876543283</v>
      </c>
      <c r="G13" s="16">
        <f>IFERROR(IF(VLOOKUP(G$4,'Housing Market'!$A:$AE,7,0)*100="",#N/A,VLOOKUP(G$4,'Housing Market'!$A:$AE,7,0)*100),"")</f>
        <v>10.645431684828166</v>
      </c>
      <c r="H13" s="16">
        <f>IFERROR(IF(VLOOKUP(H$4,'Housing Market'!$A:$AE,7,0)*100="",#N/A,VLOOKUP(H$4,'Housing Market'!$A:$AE,7,0)*100),"")</f>
        <v>13.389830508474576</v>
      </c>
      <c r="I13" s="16">
        <f>IFERROR(IF(VLOOKUP(I$4,'Housing Market'!$A:$AE,7,0)*100="",#N/A,VLOOKUP(I$4,'Housing Market'!$A:$AE,7,0)*100),"")</f>
        <v>15.976331360946737</v>
      </c>
      <c r="J13" s="16">
        <f>IFERROR(IF(VLOOKUP(J$4,'Housing Market'!$A:$AE,7,0)*100="",#N/A,VLOOKUP(J$4,'Housing Market'!$A:$AE,7,0)*100),"")</f>
        <v>15.48709408825979</v>
      </c>
      <c r="K13" s="16">
        <f>IFERROR(IF(VLOOKUP(K$4,'Housing Market'!$A:$AE,7,0)*100="",#N/A,VLOOKUP(K$4,'Housing Market'!$A:$AE,7,0)*100),"")</f>
        <v>16.40560593569662</v>
      </c>
      <c r="L13" s="16">
        <f>IFERROR(IF(VLOOKUP(L$4,'Housing Market'!$A:$AE,7,0)*100="",#N/A,VLOOKUP(L$4,'Housing Market'!$A:$AE,7,0)*100),"")</f>
        <v>17.98029556650247</v>
      </c>
      <c r="M13" s="16">
        <f>IFERROR(IF(VLOOKUP(M$4,'Housing Market'!$A:$AE,7,0)*100="",#N/A,VLOOKUP(M$4,'Housing Market'!$A:$AE,7,0)*100),"")</f>
        <v>19.218241042345284</v>
      </c>
      <c r="N13" s="16">
        <f>IFERROR(IF(VLOOKUP(N$4,'Housing Market'!$A:$AE,7,0)*100="",#N/A,VLOOKUP(N$4,'Housing Market'!$A:$AE,7,0)*100),"")</f>
        <v>19.631410256410263</v>
      </c>
      <c r="O13" s="16">
        <f>IFERROR(IF(VLOOKUP(O$4,'Housing Market'!$A:$AE,7,0)*100="",#N/A,VLOOKUP(O$4,'Housing Market'!$A:$AE,7,0)*100),"")</f>
        <v>20.919175911251987</v>
      </c>
      <c r="P13" s="16">
        <f>IFERROR(IF(VLOOKUP(P$4,'Housing Market'!$A:$AE,7,0)*100="",#N/A,VLOOKUP(P$4,'Housing Market'!$A:$AE,7,0)*100),"")</f>
        <v>21.138845553822151</v>
      </c>
      <c r="Q13" s="16">
        <f>IFERROR(IF(VLOOKUP(Q$4,'Housing Market'!$A:$AE,7,0)*100="",#N/A,VLOOKUP(Q$4,'Housing Market'!$A:$AE,7,0)*100),"")</f>
        <v>22.939346811819593</v>
      </c>
      <c r="R13" s="16">
        <f>IFERROR(IF(VLOOKUP(R$4,'Housing Market'!$A:$AE,7,0)*100="",#N/A,VLOOKUP(R$4,'Housing Market'!$A:$AE,7,0)*100),"")</f>
        <v>24.694189602446492</v>
      </c>
      <c r="S13" s="16">
        <f>IFERROR(IF(VLOOKUP(S$4,'Housing Market'!$A:$AE,7,0)*100="",#N/A,VLOOKUP(S$4,'Housing Market'!$A:$AE,7,0)*100),"")</f>
        <v>26.439393939393941</v>
      </c>
      <c r="T13" s="16">
        <f>IFERROR(IF(VLOOKUP(T$4,'Housing Market'!$A:$AE,7,0)*100="",#N/A,VLOOKUP(T$4,'Housing Market'!$A:$AE,7,0)*100),"")</f>
        <v>25.560538116591935</v>
      </c>
      <c r="U13" s="16">
        <f>IFERROR(IF(VLOOKUP(U$4,'Housing Market'!$A:$AE,7,0)*100="",#N/A,VLOOKUP(U$4,'Housing Market'!$A:$AE,7,0)*100),"")</f>
        <v>23.03206997084548</v>
      </c>
      <c r="V13" s="16">
        <f>IFERROR(IF(VLOOKUP(V$4,'Housing Market'!$A:$AE,7,0)*100="",#N/A,VLOOKUP(V$4,'Housing Market'!$A:$AE,7,0)*100),"")</f>
        <v>21.341023792357603</v>
      </c>
      <c r="W13" s="16">
        <f>IFERROR(IF(VLOOKUP(W$4,'Housing Market'!$A:$AE,7,0)*100="",#N/A,VLOOKUP(W$4,'Housing Market'!$A:$AE,7,0)*100),"")</f>
        <v>20.538243626062314</v>
      </c>
      <c r="X13" s="16">
        <f>IFERROR(IF(VLOOKUP(X$4,'Housing Market'!$A:$AE,7,0)*100="",#N/A,VLOOKUP(X$4,'Housing Market'!$A:$AE,7,0)*100),"")</f>
        <v>18.162839248434249</v>
      </c>
      <c r="Y13" s="16">
        <f>IFERROR(IF(VLOOKUP(Y$4,'Housing Market'!$A:$AE,7,0)*100="",#N/A,VLOOKUP(Y$4,'Housing Market'!$A:$AE,7,0)*100),"")</f>
        <v>16.803278688524582</v>
      </c>
      <c r="Z13" s="16">
        <f>IFERROR(IF(VLOOKUP(Z$4,'Housing Market'!$A:$AE,7,0)*100="",#N/A,VLOOKUP(Z$4,'Housing Market'!$A:$AE,7,0)*100),"")</f>
        <v>13.529805760214341</v>
      </c>
      <c r="AA13" s="16">
        <f>IFERROR(IF(VLOOKUP(AA$4,'Housing Market'!$A:$AE,7,0)*100="",#N/A,VLOOKUP(AA$4,'Housing Market'!$A:$AE,7,0)*100),"")</f>
        <v>11.140235910878115</v>
      </c>
      <c r="AB13" s="16">
        <f>IFERROR(IF(VLOOKUP(AB$4,'Housing Market'!$A:$AE,7,0)*100="",#N/A,VLOOKUP(AB$4,'Housing Market'!$A:$AE,7,0)*100),"")</f>
        <v>9.1435930457179673</v>
      </c>
      <c r="AC13" s="16">
        <f>IFERROR(IF(VLOOKUP(AC$4,'Housing Market'!$A:$AE,7,0)*100="",#N/A,VLOOKUP(AC$4,'Housing Market'!$A:$AE,7,0)*100),"")</f>
        <v>6.6413662239089177</v>
      </c>
      <c r="AD13" s="16">
        <f>IFERROR(IF(VLOOKUP(AD$4,'Housing Market'!$A:$AE,7,0)*100="",#N/A,VLOOKUP(AD$4,'Housing Market'!$A:$AE,7,0)*100),"")</f>
        <v>3.0042918454935563</v>
      </c>
      <c r="AE13" s="16">
        <f>IFERROR(IF(VLOOKUP(AE$4,'Housing Market'!$A:$AE,7,0)*100="",#N/A,VLOOKUP(AE$4,'Housing Market'!$A:$AE,7,0)*100),"")</f>
        <v>0.65907729179148777</v>
      </c>
      <c r="AF13" s="16">
        <f>IFERROR(IF(VLOOKUP(AF$4,'Housing Market'!$A:$AE,7,0)*100="",#N/A,VLOOKUP(AF$4,'Housing Market'!$A:$AE,7,0)*100),"")</f>
        <v>0.41666666666666519</v>
      </c>
      <c r="AG13" s="16">
        <f>IFERROR(IF(VLOOKUP(AG$4,'Housing Market'!$A:$AE,7,0)*100="",#N/A,VLOOKUP(AG$4,'Housing Market'!$A:$AE,7,0)*100),"")</f>
        <v>0.23696682464455776</v>
      </c>
      <c r="AH13" s="16">
        <f>IFERROR(IF(VLOOKUP(AH$4,'Housing Market'!$A:$AE,7,0)*100="",#N/A,VLOOKUP(AH$4,'Housing Market'!$A:$AE,7,0)*100),"")</f>
        <v>0.83184789067141107</v>
      </c>
      <c r="AI13" s="16">
        <f>IFERROR(IF(VLOOKUP(AI$4,'Housing Market'!$A:$AE,7,0)*100="",#N/A,VLOOKUP(AI$4,'Housing Market'!$A:$AE,7,0)*100),"")</f>
        <v>-0.47003525264395218</v>
      </c>
      <c r="AJ13" s="16">
        <f>IFERROR(IF(VLOOKUP(AJ$4,'Housing Market'!$A:$AE,7,0)*100="",#N/A,VLOOKUP(AJ$4,'Housing Market'!$A:$AE,7,0)*100),"")</f>
        <v>-1.1189634864546494</v>
      </c>
      <c r="AK13" s="16">
        <f>IFERROR(IF(VLOOKUP(AK$4,'Housing Market'!$A:$AE,7,0)*100="",#N/A,VLOOKUP(AK$4,'Housing Market'!$A:$AE,7,0)*100),"")</f>
        <v>-1.7543859649122862</v>
      </c>
      <c r="AL13" s="16">
        <f>IFERROR(IF(VLOOKUP(AL$4,'Housing Market'!$A:$AE,7,0)*100="",#N/A,VLOOKUP(AL$4,'Housing Market'!$A:$AE,7,0)*100),"")</f>
        <v>-0.58997050147492347</v>
      </c>
      <c r="AM13" s="16">
        <f>IFERROR(IF(VLOOKUP(AM$4,'Housing Market'!$A:$AE,7,0)*100="",#N/A,VLOOKUP(AM$4,'Housing Market'!$A:$AE,7,0)*100),"")</f>
        <v>-1.0023584905660354</v>
      </c>
      <c r="AN13" s="16" t="str">
        <f>IFERROR(IF(VLOOKUP(AN$4,'Housing Market'!$A:$AE,7,0)*100="",#N/A,VLOOKUP(AN$4,'Housing Market'!$A:$AE,7,0)*100),"")</f>
        <v/>
      </c>
      <c r="AO13" s="16" t="str">
        <f>IFERROR(IF(VLOOKUP(AO$4,'Housing Market'!$A:$AE,7,0)*100="",#N/A,VLOOKUP(AO$4,'Housing Market'!$A:$AE,7,0)*100),"")</f>
        <v/>
      </c>
      <c r="AP13" s="16" t="str">
        <f>IFERROR(IF(VLOOKUP(AP$4,'Housing Market'!$A:$AE,7,0)*100="",#N/A,VLOOKUP(AP$4,'Housing Market'!$A:$AE,7,0)*100),"")</f>
        <v/>
      </c>
      <c r="AQ13" s="16" t="str">
        <f>IFERROR(IF(VLOOKUP(AQ$4,'Housing Market'!$A:$AE,7,0)*100="",#N/A,VLOOKUP(AQ$4,'Housing Market'!$A:$AE,7,0)*100),"")</f>
        <v/>
      </c>
      <c r="AR13" s="16" t="str">
        <f>IFERROR(IF(VLOOKUP(AR$4,'Housing Market'!$A:$AE,7,0)*100="",#N/A,VLOOKUP(AR$4,'Housing Market'!$A:$AE,7,0)*100),"")</f>
        <v/>
      </c>
      <c r="AS13" s="16" t="str">
        <f>IFERROR(IF(VLOOKUP(AS$4,'Housing Market'!$A:$AE,7,0)*100="",#N/A,VLOOKUP(AS$4,'Housing Market'!$A:$AE,7,0)*100),"")</f>
        <v/>
      </c>
      <c r="AT13" s="16" t="str">
        <f>IFERROR(IF(VLOOKUP(AT$4,'Housing Market'!$A:$AE,7,0)*100="",#N/A,VLOOKUP(AT$4,'Housing Market'!$A:$AE,7,0)*100),"")</f>
        <v/>
      </c>
      <c r="AU13" s="16" t="str">
        <f>IFERROR(IF(VLOOKUP(AU$4,'Housing Market'!$A:$AE,7,0)*100="",#N/A,VLOOKUP(AU$4,'Housing Market'!$A:$AE,7,0)*100),"")</f>
        <v/>
      </c>
      <c r="AV13" s="16" t="str">
        <f>IFERROR(IF(VLOOKUP(AV$4,'Housing Market'!$A:$AE,7,0)*100="",#N/A,VLOOKUP(AV$4,'Housing Market'!$A:$AE,7,0)*100),"")</f>
        <v/>
      </c>
      <c r="AW13" s="16" t="str">
        <f>IFERROR(IF(VLOOKUP(AW$4,'Housing Market'!$A:$AE,7,0)*100="",#N/A,VLOOKUP(AW$4,'Housing Market'!$A:$AE,7,0)*100),"")</f>
        <v/>
      </c>
      <c r="AX13" s="16" t="str">
        <f>IFERROR(IF(VLOOKUP(AX$4,'Housing Market'!$A:$AE,7,0)*100="",#N/A,VLOOKUP(AX$4,'Housing Market'!$A:$AE,7,0)*100),"")</f>
        <v/>
      </c>
      <c r="AY13" s="16" t="str">
        <f>IFERROR(IF(VLOOKUP(AY$4,'Housing Market'!$A:$AE,7,0)*100="",#N/A,VLOOKUP(AY$4,'Housing Market'!$A:$AE,7,0)*100),"")</f>
        <v/>
      </c>
    </row>
    <row r="14" spans="1:51" ht="19.5" customHeight="1">
      <c r="A14" s="3"/>
      <c r="B14" s="2" t="s">
        <v>12</v>
      </c>
      <c r="C14" s="47" t="s">
        <v>94</v>
      </c>
      <c r="D14" s="16">
        <f>IFERROR(IF(VLOOKUP(D$4,'Housing Market'!$A:$AE,12,0)*100="",#N/A,VLOOKUP(D$4,'Housing Market'!$A:$AE,12,0)*100),"")</f>
        <v>7.5257827867563298</v>
      </c>
      <c r="E14" s="16">
        <f>IFERROR(IF(VLOOKUP(E$4,'Housing Market'!$A:$AE,12,0)*100="",#N/A,VLOOKUP(E$4,'Housing Market'!$A:$AE,12,0)*100),"")</f>
        <v>5.5436512428501894</v>
      </c>
      <c r="F14" s="16">
        <f>IFERROR(IF(VLOOKUP(F$4,'Housing Market'!$A:$AE,12,0)*100="",#N/A,VLOOKUP(F$4,'Housing Market'!$A:$AE,12,0)*100),"")</f>
        <v>7.0840815622023046</v>
      </c>
      <c r="G14" s="16">
        <f>IFERROR(IF(VLOOKUP(G$4,'Housing Market'!$A:$AE,12,0)*100="",#N/A,VLOOKUP(G$4,'Housing Market'!$A:$AE,12,0)*100),"")</f>
        <v>10.624449235897181</v>
      </c>
      <c r="H14" s="16">
        <f>IFERROR(IF(VLOOKUP(H$4,'Housing Market'!$A:$AE,12,0)*100="",#N/A,VLOOKUP(H$4,'Housing Market'!$A:$AE,12,0)*100),"")</f>
        <v>12.133923197386377</v>
      </c>
      <c r="I14" s="16">
        <f>IFERROR(IF(VLOOKUP(I$4,'Housing Market'!$A:$AE,12,0)*100="",#N/A,VLOOKUP(I$4,'Housing Market'!$A:$AE,12,0)*100),"")</f>
        <v>12.376129737909025</v>
      </c>
      <c r="J14" s="16">
        <f>IFERROR(IF(VLOOKUP(J$4,'Housing Market'!$A:$AE,12,0)*100="",#N/A,VLOOKUP(J$4,'Housing Market'!$A:$AE,12,0)*100),"")</f>
        <v>12.738184505336946</v>
      </c>
      <c r="K14" s="16">
        <f>IFERROR(IF(VLOOKUP(K$4,'Housing Market'!$A:$AE,12,0)*100="",#N/A,VLOOKUP(K$4,'Housing Market'!$A:$AE,12,0)*100),"")</f>
        <v>11.88985258183186</v>
      </c>
      <c r="L14" s="16">
        <f>IFERROR(IF(VLOOKUP(L$4,'Housing Market'!$A:$AE,12,0)*100="",#N/A,VLOOKUP(L$4,'Housing Market'!$A:$AE,12,0)*100),"")</f>
        <v>10.406030531419397</v>
      </c>
      <c r="M14" s="16">
        <f>IFERROR(IF(VLOOKUP(M$4,'Housing Market'!$A:$AE,12,0)*100="",#N/A,VLOOKUP(M$4,'Housing Market'!$A:$AE,12,0)*100),"")</f>
        <v>9.7949703563749999</v>
      </c>
      <c r="N14" s="16">
        <f>IFERROR(IF(VLOOKUP(N$4,'Housing Market'!$A:$AE,12,0)*100="",#N/A,VLOOKUP(N$4,'Housing Market'!$A:$AE,12,0)*100),"")</f>
        <v>11.322547866633649</v>
      </c>
      <c r="O14" s="16">
        <f>IFERROR(IF(VLOOKUP(O$4,'Housing Market'!$A:$AE,12,0)*100="",#N/A,VLOOKUP(O$4,'Housing Market'!$A:$AE,12,0)*100),"")</f>
        <v>11.550776978051314</v>
      </c>
      <c r="P14" s="16">
        <f>IFERROR(IF(VLOOKUP(P$4,'Housing Market'!$A:$AE,12,0)*100="",#N/A,VLOOKUP(P$4,'Housing Market'!$A:$AE,12,0)*100),"")</f>
        <v>11.820217221755037</v>
      </c>
      <c r="Q14" s="16">
        <f>IFERROR(IF(VLOOKUP(Q$4,'Housing Market'!$A:$AE,12,0)*100="",#N/A,VLOOKUP(Q$4,'Housing Market'!$A:$AE,12,0)*100),"")</f>
        <v>15.05850941677329</v>
      </c>
      <c r="R14" s="16">
        <f>IFERROR(IF(VLOOKUP(R$4,'Housing Market'!$A:$AE,12,0)*100="",#N/A,VLOOKUP(R$4,'Housing Market'!$A:$AE,12,0)*100),"")</f>
        <v>14.667414734244865</v>
      </c>
      <c r="S14" s="16">
        <f>IFERROR(IF(VLOOKUP(S$4,'Housing Market'!$A:$AE,12,0)*100="",#N/A,VLOOKUP(S$4,'Housing Market'!$A:$AE,12,0)*100),"")</f>
        <v>16.533097141810238</v>
      </c>
      <c r="T14" s="16">
        <f>IFERROR(IF(VLOOKUP(T$4,'Housing Market'!$A:$AE,12,0)*100="",#N/A,VLOOKUP(T$4,'Housing Market'!$A:$AE,12,0)*100),"")</f>
        <v>15.514214069930187</v>
      </c>
      <c r="U14" s="16">
        <f>IFERROR(IF(VLOOKUP(U$4,'Housing Market'!$A:$AE,12,0)*100="",#N/A,VLOOKUP(U$4,'Housing Market'!$A:$AE,12,0)*100),"")</f>
        <v>14.233930304022667</v>
      </c>
      <c r="V14" s="16">
        <f>IFERROR(IF(VLOOKUP(V$4,'Housing Market'!$A:$AE,12,0)*100="",#N/A,VLOOKUP(V$4,'Housing Market'!$A:$AE,12,0)*100),"")</f>
        <v>12.718455617826429</v>
      </c>
      <c r="W14" s="16">
        <f>IFERROR(IF(VLOOKUP(W$4,'Housing Market'!$A:$AE,12,0)*100="",#N/A,VLOOKUP(W$4,'Housing Market'!$A:$AE,12,0)*100),"")</f>
        <v>10.831159449853489</v>
      </c>
      <c r="X14" s="16">
        <f>IFERROR(IF(VLOOKUP(X$4,'Housing Market'!$A:$AE,12,0)*100="",#N/A,VLOOKUP(X$4,'Housing Market'!$A:$AE,12,0)*100),"")</f>
        <v>10.171819409691651</v>
      </c>
      <c r="Y14" s="16">
        <f>IFERROR(IF(VLOOKUP(Y$4,'Housing Market'!$A:$AE,12,0)*100="",#N/A,VLOOKUP(Y$4,'Housing Market'!$A:$AE,12,0)*100),"")</f>
        <v>8.6179856554811316</v>
      </c>
      <c r="Z14" s="16">
        <f>IFERROR(IF(VLOOKUP(Z$4,'Housing Market'!$A:$AE,12,0)*100="",#N/A,VLOOKUP(Z$4,'Housing Market'!$A:$AE,12,0)*100),"")</f>
        <v>6.6964518419586394</v>
      </c>
      <c r="AA14" s="16">
        <f>IFERROR(IF(VLOOKUP(AA$4,'Housing Market'!$A:$AE,12,0)*100="",#N/A,VLOOKUP(AA$4,'Housing Market'!$A:$AE,12,0)*100),"")</f>
        <v>4.9286775275788175</v>
      </c>
      <c r="AB14" s="16">
        <f>IFERROR(IF(VLOOKUP(AB$4,'Housing Market'!$A:$AE,12,0)*100="",#N/A,VLOOKUP(AB$4,'Housing Market'!$A:$AE,12,0)*100),"")</f>
        <v>4.7726640170112411</v>
      </c>
      <c r="AC14" s="16">
        <f>IFERROR(IF(VLOOKUP(AC$4,'Housing Market'!$A:$AE,12,0)*100="",#N/A,VLOOKUP(AC$4,'Housing Market'!$A:$AE,12,0)*100),"")</f>
        <v>3.6098584876692152</v>
      </c>
      <c r="AD14" s="16">
        <f>IFERROR(IF(VLOOKUP(AD$4,'Housing Market'!$A:$AE,12,0)*100="",#N/A,VLOOKUP(AD$4,'Housing Market'!$A:$AE,12,0)*100),"")</f>
        <v>2.7986031853817872</v>
      </c>
      <c r="AE14" s="16">
        <f>IFERROR(IF(VLOOKUP(AE$4,'Housing Market'!$A:$AE,12,0)*100="",#N/A,VLOOKUP(AE$4,'Housing Market'!$A:$AE,12,0)*100),"")</f>
        <v>1.3323043436924475</v>
      </c>
      <c r="AF14" s="16">
        <f>IFERROR(IF(VLOOKUP(AF$4,'Housing Market'!$A:$AE,12,0)*100="",#N/A,VLOOKUP(AF$4,'Housing Market'!$A:$AE,12,0)*100),"")</f>
        <v>3.5002998570893951</v>
      </c>
      <c r="AG14" s="16">
        <f>IFERROR(IF(VLOOKUP(AG$4,'Housing Market'!$A:$AE,12,0)*100="",#N/A,VLOOKUP(AG$4,'Housing Market'!$A:$AE,12,0)*100),"")</f>
        <v>4.433200368997392</v>
      </c>
      <c r="AH14" s="16">
        <f>IFERROR(IF(VLOOKUP(AH$4,'Housing Market'!$A:$AE,12,0)*100="",#N/A,VLOOKUP(AH$4,'Housing Market'!$A:$AE,12,0)*100),"")</f>
        <v>5.3359561153011104</v>
      </c>
      <c r="AI14" s="16">
        <f>IFERROR(IF(VLOOKUP(AI$4,'Housing Market'!$A:$AE,12,0)*100="",#N/A,VLOOKUP(AI$4,'Housing Market'!$A:$AE,12,0)*100),"")</f>
        <v>8.8160733184105222</v>
      </c>
      <c r="AJ14" s="16">
        <f>IFERROR(IF(VLOOKUP(AJ$4,'Housing Market'!$A:$AE,12,0)*100="",#N/A,VLOOKUP(AJ$4,'Housing Market'!$A:$AE,12,0)*100),"")</f>
        <v>9.8305324644923928</v>
      </c>
      <c r="AK14" s="16">
        <f>IFERROR(IF(VLOOKUP(AK$4,'Housing Market'!$A:$AE,12,0)*100="",#N/A,VLOOKUP(AK$4,'Housing Market'!$A:$AE,12,0)*100),"")</f>
        <v>11.583920475373354</v>
      </c>
      <c r="AL14" s="16">
        <f>IFERROR(IF(VLOOKUP(AL$4,'Housing Market'!$A:$AE,12,0)*100="",#N/A,VLOOKUP(AL$4,'Housing Market'!$A:$AE,12,0)*100),"")</f>
        <v>11.282777278979662</v>
      </c>
      <c r="AM14" s="16" t="str">
        <f>IFERROR(IF(VLOOKUP(AM$4,'Housing Market'!$A:$AE,12,0)*100="",#N/A,VLOOKUP(AM$4,'Housing Market'!$A:$AE,12,0)*100),"")</f>
        <v/>
      </c>
      <c r="AN14" s="16" t="str">
        <f>IFERROR(IF(VLOOKUP(AN$4,'Housing Market'!$A:$AE,12,0)*100="",#N/A,VLOOKUP(AN$4,'Housing Market'!$A:$AE,12,0)*100),"")</f>
        <v/>
      </c>
      <c r="AO14" s="16" t="str">
        <f>IFERROR(IF(VLOOKUP(AO$4,'Housing Market'!$A:$AE,12,0)*100="",#N/A,VLOOKUP(AO$4,'Housing Market'!$A:$AE,12,0)*100),"")</f>
        <v/>
      </c>
      <c r="AP14" s="16" t="str">
        <f>IFERROR(IF(VLOOKUP(AP$4,'Housing Market'!$A:$AE,12,0)*100="",#N/A,VLOOKUP(AP$4,'Housing Market'!$A:$AE,12,0)*100),"")</f>
        <v/>
      </c>
      <c r="AQ14" s="16" t="str">
        <f>IFERROR(IF(VLOOKUP(AQ$4,'Housing Market'!$A:$AE,12,0)*100="",#N/A,VLOOKUP(AQ$4,'Housing Market'!$A:$AE,12,0)*100),"")</f>
        <v/>
      </c>
      <c r="AR14" s="16" t="str">
        <f>IFERROR(IF(VLOOKUP(AR$4,'Housing Market'!$A:$AE,12,0)*100="",#N/A,VLOOKUP(AR$4,'Housing Market'!$A:$AE,12,0)*100),"")</f>
        <v/>
      </c>
      <c r="AS14" s="16" t="str">
        <f>IFERROR(IF(VLOOKUP(AS$4,'Housing Market'!$A:$AE,12,0)*100="",#N/A,VLOOKUP(AS$4,'Housing Market'!$A:$AE,12,0)*100),"")</f>
        <v/>
      </c>
      <c r="AT14" s="16" t="str">
        <f>IFERROR(IF(VLOOKUP(AT$4,'Housing Market'!$A:$AE,12,0)*100="",#N/A,VLOOKUP(AT$4,'Housing Market'!$A:$AE,12,0)*100),"")</f>
        <v/>
      </c>
      <c r="AU14" s="16" t="str">
        <f>IFERROR(IF(VLOOKUP(AU$4,'Housing Market'!$A:$AE,12,0)*100="",#N/A,VLOOKUP(AU$4,'Housing Market'!$A:$AE,12,0)*100),"")</f>
        <v/>
      </c>
      <c r="AV14" s="16" t="str">
        <f>IFERROR(IF(VLOOKUP(AV$4,'Housing Market'!$A:$AE,12,0)*100="",#N/A,VLOOKUP(AV$4,'Housing Market'!$A:$AE,12,0)*100),"")</f>
        <v/>
      </c>
      <c r="AW14" s="16" t="str">
        <f>IFERROR(IF(VLOOKUP(AW$4,'Housing Market'!$A:$AE,12,0)*100="",#N/A,VLOOKUP(AW$4,'Housing Market'!$A:$AE,12,0)*100),"")</f>
        <v/>
      </c>
      <c r="AX14" s="16" t="str">
        <f>IFERROR(IF(VLOOKUP(AX$4,'Housing Market'!$A:$AE,12,0)*100="",#N/A,VLOOKUP(AX$4,'Housing Market'!$A:$AE,12,0)*100),"")</f>
        <v/>
      </c>
      <c r="AY14" s="16" t="str">
        <f>IFERROR(IF(VLOOKUP(AY$4,'Housing Market'!$A:$AE,12,0)*100="",#N/A,VLOOKUP(AY$4,'Housing Market'!$A:$AE,12,0)*100),"")</f>
        <v/>
      </c>
    </row>
    <row r="15" spans="1:51" ht="19.5" customHeight="1">
      <c r="A15" s="3"/>
      <c r="B15" s="2" t="s">
        <v>77</v>
      </c>
      <c r="C15" s="47" t="s">
        <v>95</v>
      </c>
      <c r="D15" s="16">
        <f>IFERROR(IF(VLOOKUP(D$4,'Housing Market'!$A:$AE,20,0)*100="",#N/A,VLOOKUP(D$4,'Housing Market'!$A:$AE,20,0)*100),"")</f>
        <v>0.88531066938020153</v>
      </c>
      <c r="E15" s="16">
        <f>IFERROR(IF(VLOOKUP(E$4,'Housing Market'!$A:$AE,20,0)*100="",#N/A,VLOOKUP(E$4,'Housing Market'!$A:$AE,20,0)*100),"")</f>
        <v>1.1765402442737827</v>
      </c>
      <c r="F15" s="16">
        <f>IFERROR(IF(VLOOKUP(F$4,'Housing Market'!$A:$AE,20,0)*100="",#N/A,VLOOKUP(F$4,'Housing Market'!$A:$AE,20,0)*100),"")</f>
        <v>2.0882970096723907</v>
      </c>
      <c r="G15" s="16">
        <f>IFERROR(IF(VLOOKUP(G$4,'Housing Market'!$A:$AE,20,0)*100="",#N/A,VLOOKUP(G$4,'Housing Market'!$A:$AE,20,0)*100),"")</f>
        <v>2.295749158593785</v>
      </c>
      <c r="H15" s="16">
        <f>IFERROR(IF(VLOOKUP(H$4,'Housing Market'!$A:$AE,20,0)*100="",#N/A,VLOOKUP(H$4,'Housing Market'!$A:$AE,20,0)*100),"")</f>
        <v>2.2510316561333177</v>
      </c>
      <c r="I15" s="16">
        <f>IFERROR(IF(VLOOKUP(I$4,'Housing Market'!$A:$AE,20,0)*100="",#N/A,VLOOKUP(I$4,'Housing Market'!$A:$AE,20,0)*100),"")</f>
        <v>2.2402286027439988</v>
      </c>
      <c r="J15" s="16">
        <f>IFERROR(IF(VLOOKUP(J$4,'Housing Market'!$A:$AE,20,0)*100="",#N/A,VLOOKUP(J$4,'Housing Market'!$A:$AE,20,0)*100),"")</f>
        <v>1.6601068961820564</v>
      </c>
      <c r="K15" s="16">
        <f>IFERROR(IF(VLOOKUP(K$4,'Housing Market'!$A:$AE,20,0)*100="",#N/A,VLOOKUP(K$4,'Housing Market'!$A:$AE,20,0)*100),"")</f>
        <v>1.2337867763366095</v>
      </c>
      <c r="L15" s="16">
        <f>IFERROR(IF(VLOOKUP(L$4,'Housing Market'!$A:$AE,20,0)*100="",#N/A,VLOOKUP(L$4,'Housing Market'!$A:$AE,20,0)*100),"")</f>
        <v>0.98772321428570731</v>
      </c>
      <c r="M15" s="16">
        <f>IFERROR(IF(VLOOKUP(M$4,'Housing Market'!$A:$AE,20,0)*100="",#N/A,VLOOKUP(M$4,'Housing Market'!$A:$AE,20,0)*100),"")</f>
        <v>0.81486802600800878</v>
      </c>
      <c r="N15" s="16">
        <f>IFERROR(IF(VLOOKUP(N$4,'Housing Market'!$A:$AE,20,0)*100="",#N/A,VLOOKUP(N$4,'Housing Market'!$A:$AE,20,0)*100),"")</f>
        <v>0.86528518235666763</v>
      </c>
      <c r="O15" s="16">
        <f>IFERROR(IF(VLOOKUP(O$4,'Housing Market'!$A:$AE,20,0)*100="",#N/A,VLOOKUP(O$4,'Housing Market'!$A:$AE,20,0)*100),"")</f>
        <v>0.93393953665295015</v>
      </c>
      <c r="P15" s="16">
        <f>IFERROR(IF(VLOOKUP(P$4,'Housing Market'!$A:$AE,20,0)*100="",#N/A,VLOOKUP(P$4,'Housing Market'!$A:$AE,20,0)*100),"")</f>
        <v>1.2120755312925224</v>
      </c>
      <c r="Q15" s="16">
        <f>IFERROR(IF(VLOOKUP(Q$4,'Housing Market'!$A:$AE,20,0)*100="",#N/A,VLOOKUP(Q$4,'Housing Market'!$A:$AE,20,0)*100),"")</f>
        <v>1.8560941877371562</v>
      </c>
      <c r="R15" s="16">
        <f>IFERROR(IF(VLOOKUP(R$4,'Housing Market'!$A:$AE,20,0)*100="",#N/A,VLOOKUP(R$4,'Housing Market'!$A:$AE,20,0)*100),"")</f>
        <v>2.7226137091608038</v>
      </c>
      <c r="S15" s="16">
        <f>IFERROR(IF(VLOOKUP(S$4,'Housing Market'!$A:$AE,20,0)*100="",#N/A,VLOOKUP(S$4,'Housing Market'!$A:$AE,20,0)*100),"")</f>
        <v>2.2542400455525025</v>
      </c>
      <c r="T15" s="16">
        <f>IFERROR(IF(VLOOKUP(T$4,'Housing Market'!$A:$AE,20,0)*100="",#N/A,VLOOKUP(T$4,'Housing Market'!$A:$AE,20,0)*100),"")</f>
        <v>1.5833871956777434</v>
      </c>
      <c r="U15" s="16">
        <f>IFERROR(IF(VLOOKUP(U$4,'Housing Market'!$A:$AE,20,0)*100="",#N/A,VLOOKUP(U$4,'Housing Market'!$A:$AE,20,0)*100),"")</f>
        <v>0.58537158370095543</v>
      </c>
      <c r="V15" s="16">
        <f>IFERROR(IF(VLOOKUP(V$4,'Housing Market'!$A:$AE,20,0)*100="",#N/A,VLOOKUP(V$4,'Housing Market'!$A:$AE,20,0)*100),"")</f>
        <v>-0.37694718197917032</v>
      </c>
      <c r="W15" s="16">
        <f>IFERROR(IF(VLOOKUP(W$4,'Housing Market'!$A:$AE,20,0)*100="",#N/A,VLOOKUP(W$4,'Housing Market'!$A:$AE,20,0)*100),"")</f>
        <v>-1.1220954464937094</v>
      </c>
      <c r="X15" s="16">
        <f>IFERROR(IF(VLOOKUP(X$4,'Housing Market'!$A:$AE,20,0)*100="",#N/A,VLOOKUP(X$4,'Housing Market'!$A:$AE,20,0)*100),"")</f>
        <v>-1.0462428126379097</v>
      </c>
      <c r="Y15" s="16">
        <f>IFERROR(IF(VLOOKUP(Y$4,'Housing Market'!$A:$AE,20,0)*100="",#N/A,VLOOKUP(Y$4,'Housing Market'!$A:$AE,20,0)*100),"")</f>
        <v>-0.59038674658298262</v>
      </c>
      <c r="Z15" s="16">
        <f>IFERROR(IF(VLOOKUP(Z$4,'Housing Market'!$A:$AE,20,0)*100="",#N/A,VLOOKUP(Z$4,'Housing Market'!$A:$AE,20,0)*100),"")</f>
        <v>-0.60360152256224708</v>
      </c>
      <c r="AA15" s="16">
        <f>IFERROR(IF(VLOOKUP(AA$4,'Housing Market'!$A:$AE,20,0)*100="",#N/A,VLOOKUP(AA$4,'Housing Market'!$A:$AE,20,0)*100),"")</f>
        <v>-0.84606472125670074</v>
      </c>
      <c r="AB15" s="16">
        <f>IFERROR(IF(VLOOKUP(AB$4,'Housing Market'!$A:$AE,20,0)*100="",#N/A,VLOOKUP(AB$4,'Housing Market'!$A:$AE,20,0)*100),"")</f>
        <v>-0.53398190168211235</v>
      </c>
      <c r="AC15" s="16">
        <f>IFERROR(IF(VLOOKUP(AC$4,'Housing Market'!$A:$AE,20,0)*100="",#N/A,VLOOKUP(AC$4,'Housing Market'!$A:$AE,20,0)*100),"")</f>
        <v>0.2100266375247628</v>
      </c>
      <c r="AD15" s="16">
        <f>IFERROR(IF(VLOOKUP(AD$4,'Housing Market'!$A:$AE,20,0)*100="",#N/A,VLOOKUP(AD$4,'Housing Market'!$A:$AE,20,0)*100),"")</f>
        <v>1.3209058224138204</v>
      </c>
      <c r="AE15" s="16">
        <f>IFERROR(IF(VLOOKUP(AE$4,'Housing Market'!$A:$AE,20,0)*100="",#N/A,VLOOKUP(AE$4,'Housing Market'!$A:$AE,20,0)*100),"")</f>
        <v>1.405598851034795</v>
      </c>
      <c r="AF15" s="16">
        <f>IFERROR(IF(VLOOKUP(AF$4,'Housing Market'!$A:$AE,20,0)*100="",#N/A,VLOOKUP(AF$4,'Housing Market'!$A:$AE,20,0)*100),"")</f>
        <v>1.2852830939666271</v>
      </c>
      <c r="AG15" s="16">
        <f>IFERROR(IF(VLOOKUP(AG$4,'Housing Market'!$A:$AE,20,0)*100="",#N/A,VLOOKUP(AG$4,'Housing Market'!$A:$AE,20,0)*100),"")</f>
        <v>0.95623270512337211</v>
      </c>
      <c r="AH15" s="16">
        <f>IFERROR(IF(VLOOKUP(AH$4,'Housing Market'!$A:$AE,20,0)*100="",#N/A,VLOOKUP(AH$4,'Housing Market'!$A:$AE,20,0)*100),"")</f>
        <v>0.60366219569552015</v>
      </c>
      <c r="AI15" s="16">
        <f>IFERROR(IF(VLOOKUP(AI$4,'Housing Market'!$A:$AE,20,0)*100="",#N/A,VLOOKUP(AI$4,'Housing Market'!$A:$AE,20,0)*100),"")</f>
        <v>0.44269473086870903</v>
      </c>
      <c r="AJ15" s="16">
        <f>IFERROR(IF(VLOOKUP(AJ$4,'Housing Market'!$A:$AE,20,0)*100="",#N/A,VLOOKUP(AJ$4,'Housing Market'!$A:$AE,20,0)*100),"")</f>
        <v>0.28826492124076619</v>
      </c>
      <c r="AK15" s="16">
        <f>IFERROR(IF(VLOOKUP(AK$4,'Housing Market'!$A:$AE,20,0)*100="",#N/A,VLOOKUP(AK$4,'Housing Market'!$A:$AE,20,0)*100),"")</f>
        <v>0.17156556781479093</v>
      </c>
      <c r="AL15" s="16" t="str">
        <f>IFERROR(IF(VLOOKUP(AL$4,'Housing Market'!$A:$AE,20,0)*100="",#N/A,VLOOKUP(AL$4,'Housing Market'!$A:$AE,20,0)*100),"")</f>
        <v/>
      </c>
      <c r="AM15" s="16" t="str">
        <f>IFERROR(IF(VLOOKUP(AM$4,'Housing Market'!$A:$AE,20,0)*100="",#N/A,VLOOKUP(AM$4,'Housing Market'!$A:$AE,20,0)*100),"")</f>
        <v/>
      </c>
      <c r="AN15" s="16" t="str">
        <f>IFERROR(IF(VLOOKUP(AN$4,'Housing Market'!$A:$AE,20,0)*100="",#N/A,VLOOKUP(AN$4,'Housing Market'!$A:$AE,20,0)*100),"")</f>
        <v/>
      </c>
      <c r="AO15" s="16" t="str">
        <f>IFERROR(IF(VLOOKUP(AO$4,'Housing Market'!$A:$AE,20,0)*100="",#N/A,VLOOKUP(AO$4,'Housing Market'!$A:$AE,20,0)*100),"")</f>
        <v/>
      </c>
      <c r="AP15" s="16" t="str">
        <f>IFERROR(IF(VLOOKUP(AP$4,'Housing Market'!$A:$AE,20,0)*100="",#N/A,VLOOKUP(AP$4,'Housing Market'!$A:$AE,20,0)*100),"")</f>
        <v/>
      </c>
      <c r="AQ15" s="16" t="str">
        <f>IFERROR(IF(VLOOKUP(AQ$4,'Housing Market'!$A:$AE,20,0)*100="",#N/A,VLOOKUP(AQ$4,'Housing Market'!$A:$AE,20,0)*100),"")</f>
        <v/>
      </c>
      <c r="AR15" s="16" t="str">
        <f>IFERROR(IF(VLOOKUP(AR$4,'Housing Market'!$A:$AE,20,0)*100="",#N/A,VLOOKUP(AR$4,'Housing Market'!$A:$AE,20,0)*100),"")</f>
        <v/>
      </c>
      <c r="AS15" s="16" t="str">
        <f>IFERROR(IF(VLOOKUP(AS$4,'Housing Market'!$A:$AE,20,0)*100="",#N/A,VLOOKUP(AS$4,'Housing Market'!$A:$AE,20,0)*100),"")</f>
        <v/>
      </c>
      <c r="AT15" s="16" t="str">
        <f>IFERROR(IF(VLOOKUP(AT$4,'Housing Market'!$A:$AE,20,0)*100="",#N/A,VLOOKUP(AT$4,'Housing Market'!$A:$AE,20,0)*100),"")</f>
        <v/>
      </c>
      <c r="AU15" s="16" t="str">
        <f>IFERROR(IF(VLOOKUP(AU$4,'Housing Market'!$A:$AE,20,0)*100="",#N/A,VLOOKUP(AU$4,'Housing Market'!$A:$AE,20,0)*100),"")</f>
        <v/>
      </c>
      <c r="AV15" s="16" t="str">
        <f>IFERROR(IF(VLOOKUP(AV$4,'Housing Market'!$A:$AE,20,0)*100="",#N/A,VLOOKUP(AV$4,'Housing Market'!$A:$AE,20,0)*100),"")</f>
        <v/>
      </c>
      <c r="AW15" s="16" t="str">
        <f>IFERROR(IF(VLOOKUP(AW$4,'Housing Market'!$A:$AE,20,0)*100="",#N/A,VLOOKUP(AW$4,'Housing Market'!$A:$AE,20,0)*100),"")</f>
        <v/>
      </c>
      <c r="AX15" s="16" t="str">
        <f>IFERROR(IF(VLOOKUP(AX$4,'Housing Market'!$A:$AE,20,0)*100="",#N/A,VLOOKUP(AX$4,'Housing Market'!$A:$AE,20,0)*100),"")</f>
        <v/>
      </c>
      <c r="AY15" s="16" t="str">
        <f>IFERROR(IF(VLOOKUP(AY$4,'Housing Market'!$A:$AE,20,0)*100="",#N/A,VLOOKUP(AY$4,'Housing Market'!$A:$AE,20,0)*100),"")</f>
        <v/>
      </c>
    </row>
    <row r="16" spans="1:51" ht="19.5" customHeight="1">
      <c r="A16" s="3"/>
      <c r="B16" s="2" t="s">
        <v>77</v>
      </c>
      <c r="C16" s="47" t="s">
        <v>94</v>
      </c>
      <c r="D16" s="16">
        <f>IFERROR(IF(VLOOKUP(D$4,'Housing Market'!$A:$AE,21,0)*100="",#N/A,VLOOKUP(D$4,'Housing Market'!$A:$AE,21,0)*100),"")</f>
        <v>11.32370388504922</v>
      </c>
      <c r="E16" s="16">
        <f>IFERROR(IF(VLOOKUP(E$4,'Housing Market'!$A:$AE,21,0)*100="",#N/A,VLOOKUP(E$4,'Housing Market'!$A:$AE,21,0)*100),"")</f>
        <v>12.200315161520269</v>
      </c>
      <c r="F16" s="16">
        <f>IFERROR(IF(VLOOKUP(F$4,'Housing Market'!$A:$AE,21,0)*100="",#N/A,VLOOKUP(F$4,'Housing Market'!$A:$AE,21,0)*100),"")</f>
        <v>13.491635687732352</v>
      </c>
      <c r="G16" s="16">
        <f>IFERROR(IF(VLOOKUP(G$4,'Housing Market'!$A:$AE,21,0)*100="",#N/A,VLOOKUP(G$4,'Housing Market'!$A:$AE,21,0)*100),"")</f>
        <v>15.00425786554349</v>
      </c>
      <c r="H16" s="16">
        <f>IFERROR(IF(VLOOKUP(H$4,'Housing Market'!$A:$AE,21,0)*100="",#N/A,VLOOKUP(H$4,'Housing Market'!$A:$AE,21,0)*100),"")</f>
        <v>16.921365901882446</v>
      </c>
      <c r="I16" s="16">
        <f>IFERROR(IF(VLOOKUP(I$4,'Housing Market'!$A:$AE,21,0)*100="",#N/A,VLOOKUP(I$4,'Housing Market'!$A:$AE,21,0)*100),"")</f>
        <v>18.819033754890356</v>
      </c>
      <c r="J16" s="16">
        <f>IFERROR(IF(VLOOKUP(J$4,'Housing Market'!$A:$AE,21,0)*100="",#N/A,VLOOKUP(J$4,'Housing Market'!$A:$AE,21,0)*100),"")</f>
        <v>19.833196436469326</v>
      </c>
      <c r="K16" s="16">
        <f>IFERROR(IF(VLOOKUP(K$4,'Housing Market'!$A:$AE,21,0)*100="",#N/A,VLOOKUP(K$4,'Housing Market'!$A:$AE,21,0)*100),"")</f>
        <v>19.968401180046325</v>
      </c>
      <c r="L16" s="16">
        <f>IFERROR(IF(VLOOKUP(L$4,'Housing Market'!$A:$AE,21,0)*100="",#N/A,VLOOKUP(L$4,'Housing Market'!$A:$AE,21,0)*100),"")</f>
        <v>19.68282101476111</v>
      </c>
      <c r="M16" s="16">
        <f>IFERROR(IF(VLOOKUP(M$4,'Housing Market'!$A:$AE,21,0)*100="",#N/A,VLOOKUP(M$4,'Housing Market'!$A:$AE,21,0)*100),"")</f>
        <v>19.076771790587578</v>
      </c>
      <c r="N16" s="16">
        <f>IFERROR(IF(VLOOKUP(N$4,'Housing Market'!$A:$AE,21,0)*100="",#N/A,VLOOKUP(N$4,'Housing Market'!$A:$AE,21,0)*100),"")</f>
        <v>18.811604183704222</v>
      </c>
      <c r="O16" s="16">
        <f>IFERROR(IF(VLOOKUP(O$4,'Housing Market'!$A:$AE,21,0)*100="",#N/A,VLOOKUP(O$4,'Housing Market'!$A:$AE,21,0)*100),"")</f>
        <v>18.871836880975867</v>
      </c>
      <c r="P16" s="16">
        <f>IFERROR(IF(VLOOKUP(P$4,'Housing Market'!$A:$AE,21,0)*100="",#N/A,VLOOKUP(P$4,'Housing Market'!$A:$AE,21,0)*100),"")</f>
        <v>19.256859627161084</v>
      </c>
      <c r="Q16" s="16">
        <f>IFERROR(IF(VLOOKUP(Q$4,'Housing Market'!$A:$AE,21,0)*100="",#N/A,VLOOKUP(Q$4,'Housing Market'!$A:$AE,21,0)*100),"")</f>
        <v>20.057850341500938</v>
      </c>
      <c r="R16" s="16">
        <f>IFERROR(IF(VLOOKUP(R$4,'Housing Market'!$A:$AE,21,0)*100="",#N/A,VLOOKUP(R$4,'Housing Market'!$A:$AE,21,0)*100),"")</f>
        <v>20.803819288059834</v>
      </c>
      <c r="S16" s="16">
        <f>IFERROR(IF(VLOOKUP(S$4,'Housing Market'!$A:$AE,21,0)*100="",#N/A,VLOOKUP(S$4,'Housing Market'!$A:$AE,21,0)*100),"")</f>
        <v>20.754800052833609</v>
      </c>
      <c r="T16" s="16">
        <f>IFERROR(IF(VLOOKUP(T$4,'Housing Market'!$A:$AE,21,0)*100="",#N/A,VLOOKUP(T$4,'Housing Market'!$A:$AE,21,0)*100),"")</f>
        <v>19.966335897285337</v>
      </c>
      <c r="U16" s="16">
        <f>IFERROR(IF(VLOOKUP(U$4,'Housing Market'!$A:$AE,21,0)*100="",#N/A,VLOOKUP(U$4,'Housing Market'!$A:$AE,21,0)*100),"")</f>
        <v>18.024564681378919</v>
      </c>
      <c r="V16" s="16">
        <f>IFERROR(IF(VLOOKUP(V$4,'Housing Market'!$A:$AE,21,0)*100="",#N/A,VLOOKUP(V$4,'Housing Market'!$A:$AE,21,0)*100),"")</f>
        <v>15.659601391964584</v>
      </c>
      <c r="W16" s="16">
        <f>IFERROR(IF(VLOOKUP(W$4,'Housing Market'!$A:$AE,21,0)*100="",#N/A,VLOOKUP(W$4,'Housing Market'!$A:$AE,21,0)*100),"")</f>
        <v>12.968005952380945</v>
      </c>
      <c r="X16" s="16">
        <f>IFERROR(IF(VLOOKUP(X$4,'Housing Market'!$A:$AE,21,0)*100="",#N/A,VLOOKUP(X$4,'Housing Market'!$A:$AE,21,0)*100),"")</f>
        <v>10.692748337661872</v>
      </c>
      <c r="Y16" s="16">
        <f>IFERROR(IF(VLOOKUP(Y$4,'Housing Market'!$A:$AE,21,0)*100="",#N/A,VLOOKUP(Y$4,'Housing Market'!$A:$AE,21,0)*100),"")</f>
        <v>9.1498061512714113</v>
      </c>
      <c r="Z16" s="16">
        <f>IFERROR(IF(VLOOKUP(Z$4,'Housing Market'!$A:$AE,21,0)*100="",#N/A,VLOOKUP(Z$4,'Housing Market'!$A:$AE,21,0)*100),"")</f>
        <v>7.5602731537667278</v>
      </c>
      <c r="AA16" s="16">
        <f>IFERROR(IF(VLOOKUP(AA$4,'Housing Market'!$A:$AE,21,0)*100="",#N/A,VLOOKUP(AA$4,'Housing Market'!$A:$AE,21,0)*100),"")</f>
        <v>5.6634112550383531</v>
      </c>
      <c r="AB16" s="16">
        <f>IFERROR(IF(VLOOKUP(AB$4,'Housing Market'!$A:$AE,21,0)*100="",#N/A,VLOOKUP(AB$4,'Housing Market'!$A:$AE,21,0)*100),"")</f>
        <v>3.8405617220468757</v>
      </c>
      <c r="AC16" s="16">
        <f>IFERROR(IF(VLOOKUP(AC$4,'Housing Market'!$A:$AE,21,0)*100="",#N/A,VLOOKUP(AC$4,'Housing Market'!$A:$AE,21,0)*100),"")</f>
        <v>2.1624237528897305</v>
      </c>
      <c r="AD16" s="16">
        <f>IFERROR(IF(VLOOKUP(AD$4,'Housing Market'!$A:$AE,21,0)*100="",#N/A,VLOOKUP(AD$4,'Housing Market'!$A:$AE,21,0)*100),"")</f>
        <v>0.76835997342767914</v>
      </c>
      <c r="AE16" s="16">
        <f>IFERROR(IF(VLOOKUP(AE$4,'Housing Market'!$A:$AE,21,0)*100="",#N/A,VLOOKUP(AE$4,'Housing Market'!$A:$AE,21,0)*100),"")</f>
        <v>-6.7949419115331811E-2</v>
      </c>
      <c r="AF16" s="16">
        <f>IFERROR(IF(VLOOKUP(AF$4,'Housing Market'!$A:$AE,21,0)*100="",#N/A,VLOOKUP(AF$4,'Housing Market'!$A:$AE,21,0)*100),"")</f>
        <v>-0.36120754913987474</v>
      </c>
      <c r="AG16" s="16">
        <f>IFERROR(IF(VLOOKUP(AG$4,'Housing Market'!$A:$AE,21,0)*100="",#N/A,VLOOKUP(AG$4,'Housing Market'!$A:$AE,21,0)*100),"")</f>
        <v>6.163508139089835E-3</v>
      </c>
      <c r="AH16" s="16">
        <f>IFERROR(IF(VLOOKUP(AH$4,'Housing Market'!$A:$AE,21,0)*100="",#N/A,VLOOKUP(AH$4,'Housing Market'!$A:$AE,21,0)*100),"")</f>
        <v>0.99054391997497326</v>
      </c>
      <c r="AI16" s="16">
        <f>IFERROR(IF(VLOOKUP(AI$4,'Housing Market'!$A:$AE,21,0)*100="",#N/A,VLOOKUP(AI$4,'Housing Market'!$A:$AE,21,0)*100),"")</f>
        <v>2.5887676267379645</v>
      </c>
      <c r="AJ16" s="16">
        <f>IFERROR(IF(VLOOKUP(AJ$4,'Housing Market'!$A:$AE,21,0)*100="",#N/A,VLOOKUP(AJ$4,'Housing Market'!$A:$AE,21,0)*100),"")</f>
        <v>3.9722977492753442</v>
      </c>
      <c r="AK16" s="16">
        <f>IFERROR(IF(VLOOKUP(AK$4,'Housing Market'!$A:$AE,21,0)*100="",#N/A,VLOOKUP(AK$4,'Housing Market'!$A:$AE,21,0)*100),"")</f>
        <v>4.7692220135450381</v>
      </c>
      <c r="AL16" s="16" t="str">
        <f>IFERROR(IF(VLOOKUP(AL$4,'Housing Market'!$A:$AE,21,0)*100="",#N/A,VLOOKUP(AL$4,'Housing Market'!$A:$AE,21,0)*100),"")</f>
        <v/>
      </c>
      <c r="AM16" s="16" t="str">
        <f>IFERROR(IF(VLOOKUP(AM$4,'Housing Market'!$A:$AE,21,0)*100="",#N/A,VLOOKUP(AM$4,'Housing Market'!$A:$AE,21,0)*100),"")</f>
        <v/>
      </c>
      <c r="AN16" s="16" t="str">
        <f>IFERROR(IF(VLOOKUP(AN$4,'Housing Market'!$A:$AE,21,0)*100="",#N/A,VLOOKUP(AN$4,'Housing Market'!$A:$AE,21,0)*100),"")</f>
        <v/>
      </c>
      <c r="AO16" s="16" t="str">
        <f>IFERROR(IF(VLOOKUP(AO$4,'Housing Market'!$A:$AE,21,0)*100="",#N/A,VLOOKUP(AO$4,'Housing Market'!$A:$AE,21,0)*100),"")</f>
        <v/>
      </c>
      <c r="AP16" s="16" t="str">
        <f>IFERROR(IF(VLOOKUP(AP$4,'Housing Market'!$A:$AE,21,0)*100="",#N/A,VLOOKUP(AP$4,'Housing Market'!$A:$AE,21,0)*100),"")</f>
        <v/>
      </c>
      <c r="AQ16" s="16" t="str">
        <f>IFERROR(IF(VLOOKUP(AQ$4,'Housing Market'!$A:$AE,21,0)*100="",#N/A,VLOOKUP(AQ$4,'Housing Market'!$A:$AE,21,0)*100),"")</f>
        <v/>
      </c>
      <c r="AR16" s="16" t="str">
        <f>IFERROR(IF(VLOOKUP(AR$4,'Housing Market'!$A:$AE,21,0)*100="",#N/A,VLOOKUP(AR$4,'Housing Market'!$A:$AE,21,0)*100),"")</f>
        <v/>
      </c>
      <c r="AS16" s="16" t="str">
        <f>IFERROR(IF(VLOOKUP(AS$4,'Housing Market'!$A:$AE,21,0)*100="",#N/A,VLOOKUP(AS$4,'Housing Market'!$A:$AE,21,0)*100),"")</f>
        <v/>
      </c>
      <c r="AT16" s="16" t="str">
        <f>IFERROR(IF(VLOOKUP(AT$4,'Housing Market'!$A:$AE,21,0)*100="",#N/A,VLOOKUP(AT$4,'Housing Market'!$A:$AE,21,0)*100),"")</f>
        <v/>
      </c>
      <c r="AU16" s="16" t="str">
        <f>IFERROR(IF(VLOOKUP(AU$4,'Housing Market'!$A:$AE,21,0)*100="",#N/A,VLOOKUP(AU$4,'Housing Market'!$A:$AE,21,0)*100),"")</f>
        <v/>
      </c>
      <c r="AV16" s="16" t="str">
        <f>IFERROR(IF(VLOOKUP(AV$4,'Housing Market'!$A:$AE,21,0)*100="",#N/A,VLOOKUP(AV$4,'Housing Market'!$A:$AE,21,0)*100),"")</f>
        <v/>
      </c>
      <c r="AW16" s="16" t="str">
        <f>IFERROR(IF(VLOOKUP(AW$4,'Housing Market'!$A:$AE,21,0)*100="",#N/A,VLOOKUP(AW$4,'Housing Market'!$A:$AE,21,0)*100),"")</f>
        <v/>
      </c>
      <c r="AX16" s="16" t="str">
        <f>IFERROR(IF(VLOOKUP(AX$4,'Housing Market'!$A:$AE,21,0)*100="",#N/A,VLOOKUP(AX$4,'Housing Market'!$A:$AE,21,0)*100),"")</f>
        <v/>
      </c>
      <c r="AY16" s="16" t="str">
        <f>IFERROR(IF(VLOOKUP(AY$4,'Housing Market'!$A:$AE,21,0)*100="",#N/A,VLOOKUP(AY$4,'Housing Market'!$A:$AE,21,0)*100),"")</f>
        <v/>
      </c>
    </row>
    <row r="17" spans="1:51" ht="19.5" customHeight="1">
      <c r="A17" s="3"/>
      <c r="B17" s="2" t="s">
        <v>61</v>
      </c>
      <c r="C17" s="47" t="s">
        <v>94</v>
      </c>
      <c r="D17" s="16" t="str">
        <f>IFERROR(IF(VLOOKUP(D$4,'Housing Market'!$A:$AE,22,0)="",#N/A,VLOOKUP(D$4,'Housing Market'!$A:$AE,22,0)),"")</f>
        <v/>
      </c>
      <c r="E17" s="16" t="str">
        <f>IFERROR(IF(VLOOKUP(E$4,'Housing Market'!$A:$AE,22,0)="",#N/A,VLOOKUP(E$4,'Housing Market'!$A:$AE,22,0)),"")</f>
        <v/>
      </c>
      <c r="F17" s="16" t="str">
        <f>IFERROR(IF(VLOOKUP(F$4,'Housing Market'!$A:$AE,22,0)="",#N/A,VLOOKUP(F$4,'Housing Market'!$A:$AE,22,0)),"")</f>
        <v/>
      </c>
      <c r="G17" s="16" t="str">
        <f>IFERROR(IF(VLOOKUP(G$4,'Housing Market'!$A:$AE,22,0)="",#N/A,VLOOKUP(G$4,'Housing Market'!$A:$AE,22,0)),"")</f>
        <v/>
      </c>
      <c r="H17" s="16" t="str">
        <f>IFERROR(IF(VLOOKUP(H$4,'Housing Market'!$A:$AE,22,0)="",#N/A,VLOOKUP(H$4,'Housing Market'!$A:$AE,22,0)),"")</f>
        <v/>
      </c>
      <c r="I17" s="16" t="str">
        <f>IFERROR(IF(VLOOKUP(I$4,'Housing Market'!$A:$AE,22,0)="",#N/A,VLOOKUP(I$4,'Housing Market'!$A:$AE,22,0)),"")</f>
        <v/>
      </c>
      <c r="J17" s="16" t="str">
        <f>IFERROR(IF(VLOOKUP(J$4,'Housing Market'!$A:$AE,22,0)="",#N/A,VLOOKUP(J$4,'Housing Market'!$A:$AE,22,0)),"")</f>
        <v/>
      </c>
      <c r="K17" s="16" t="str">
        <f>IFERROR(IF(VLOOKUP(K$4,'Housing Market'!$A:$AE,22,0)="",#N/A,VLOOKUP(K$4,'Housing Market'!$A:$AE,22,0)),"")</f>
        <v/>
      </c>
      <c r="L17" s="16" t="str">
        <f>IFERROR(IF(VLOOKUP(L$4,'Housing Market'!$A:$AE,22,0)="",#N/A,VLOOKUP(L$4,'Housing Market'!$A:$AE,22,0)),"")</f>
        <v/>
      </c>
      <c r="M17" s="16" t="str">
        <f>IFERROR(IF(VLOOKUP(M$4,'Housing Market'!$A:$AE,22,0)="",#N/A,VLOOKUP(M$4,'Housing Market'!$A:$AE,22,0)),"")</f>
        <v/>
      </c>
      <c r="N17" s="16" t="str">
        <f>IFERROR(IF(VLOOKUP(N$4,'Housing Market'!$A:$AE,22,0)="",#N/A,VLOOKUP(N$4,'Housing Market'!$A:$AE,22,0)),"")</f>
        <v/>
      </c>
      <c r="O17" s="16" t="str">
        <f>IFERROR(IF(VLOOKUP(O$4,'Housing Market'!$A:$AE,22,0)="",#N/A,VLOOKUP(O$4,'Housing Market'!$A:$AE,22,0)),"")</f>
        <v/>
      </c>
      <c r="P17" s="16" t="str">
        <f>IFERROR(IF(VLOOKUP(P$4,'Housing Market'!$A:$AE,22,0)="",#N/A,VLOOKUP(P$4,'Housing Market'!$A:$AE,22,0)),"")</f>
        <v/>
      </c>
      <c r="Q17" s="16" t="str">
        <f>IFERROR(IF(VLOOKUP(Q$4,'Housing Market'!$A:$AE,22,0)="",#N/A,VLOOKUP(Q$4,'Housing Market'!$A:$AE,22,0)),"")</f>
        <v/>
      </c>
      <c r="R17" s="16">
        <f>IFERROR(IF(VLOOKUP(R$4,'Housing Market'!$A:$AE,22,0)="",#N/A,VLOOKUP(R$4,'Housing Market'!$A:$AE,22,0)),"")</f>
        <v>118.8</v>
      </c>
      <c r="S17" s="16">
        <f>IFERROR(IF(VLOOKUP(S$4,'Housing Market'!$A:$AE,22,0)="",#N/A,VLOOKUP(S$4,'Housing Market'!$A:$AE,22,0)),"")</f>
        <v>104.1</v>
      </c>
      <c r="T17" s="16">
        <f>IFERROR(IF(VLOOKUP(T$4,'Housing Market'!$A:$AE,22,0)="",#N/A,VLOOKUP(T$4,'Housing Market'!$A:$AE,22,0)),"")</f>
        <v>98.3</v>
      </c>
      <c r="U17" s="16">
        <f>IFERROR(IF(VLOOKUP(U$4,'Housing Market'!$A:$AE,22,0)="",#N/A,VLOOKUP(U$4,'Housing Market'!$A:$AE,22,0)),"")</f>
        <v>94.5</v>
      </c>
      <c r="V17" s="16">
        <f>IFERROR(IF(VLOOKUP(V$4,'Housing Market'!$A:$AE,22,0)="",#N/A,VLOOKUP(V$4,'Housing Market'!$A:$AE,22,0)),"")</f>
        <v>99.6</v>
      </c>
      <c r="W17" s="16">
        <f>IFERROR(IF(VLOOKUP(W$4,'Housing Market'!$A:$AE,22,0)="",#N/A,VLOOKUP(W$4,'Housing Market'!$A:$AE,22,0)),"")</f>
        <v>103.8</v>
      </c>
      <c r="X17" s="16">
        <f>IFERROR(IF(VLOOKUP(X$4,'Housing Market'!$A:$AE,22,0)="",#N/A,VLOOKUP(X$4,'Housing Market'!$A:$AE,22,0)),"")</f>
        <v>97</v>
      </c>
      <c r="Y17" s="16">
        <f>IFERROR(IF(VLOOKUP(Y$4,'Housing Market'!$A:$AE,22,0)="",#N/A,VLOOKUP(Y$4,'Housing Market'!$A:$AE,22,0)),"")</f>
        <v>91.3</v>
      </c>
      <c r="Z17" s="16">
        <f>IFERROR(IF(VLOOKUP(Z$4,'Housing Market'!$A:$AE,22,0)="",#N/A,VLOOKUP(Z$4,'Housing Market'!$A:$AE,22,0)),"")</f>
        <v>101.8</v>
      </c>
      <c r="AA17" s="16">
        <f>IFERROR(IF(VLOOKUP(AA$4,'Housing Market'!$A:$AE,22,0)="",#N/A,VLOOKUP(AA$4,'Housing Market'!$A:$AE,22,0)),"")</f>
        <v>109.3</v>
      </c>
      <c r="AB17" s="16">
        <f>IFERROR(IF(VLOOKUP(AB$4,'Housing Market'!$A:$AE,22,0)="",#N/A,VLOOKUP(AB$4,'Housing Market'!$A:$AE,22,0)),"")</f>
        <v>109.2</v>
      </c>
      <c r="AC17" s="16">
        <f>IFERROR(IF(VLOOKUP(AC$4,'Housing Market'!$A:$AE,22,0)="",#N/A,VLOOKUP(AC$4,'Housing Market'!$A:$AE,22,0)),"")</f>
        <v>109.3</v>
      </c>
      <c r="AD17" s="16">
        <f>IFERROR(IF(VLOOKUP(AD$4,'Housing Market'!$A:$AE,22,0)="",#N/A,VLOOKUP(AD$4,'Housing Market'!$A:$AE,22,0)),"")</f>
        <v>103.5</v>
      </c>
      <c r="AE17" s="16">
        <f>IFERROR(IF(VLOOKUP(AE$4,'Housing Market'!$A:$AE,22,0)="",#N/A,VLOOKUP(AE$4,'Housing Market'!$A:$AE,22,0)),"")</f>
        <v>103</v>
      </c>
      <c r="AF17" s="16">
        <f>IFERROR(IF(VLOOKUP(AF$4,'Housing Market'!$A:$AE,22,0)="",#N/A,VLOOKUP(AF$4,'Housing Market'!$A:$AE,22,0)),"")</f>
        <v>99.6</v>
      </c>
      <c r="AG17" s="16">
        <f>IFERROR(IF(VLOOKUP(AG$4,'Housing Market'!$A:$AE,22,0)="",#N/A,VLOOKUP(AG$4,'Housing Market'!$A:$AE,22,0)),"")</f>
        <v>93.7</v>
      </c>
      <c r="AH17" s="16">
        <f>IFERROR(IF(VLOOKUP(AH$4,'Housing Market'!$A:$AE,22,0)="",#N/A,VLOOKUP(AH$4,'Housing Market'!$A:$AE,22,0)),"")</f>
        <v>93.79</v>
      </c>
      <c r="AI17" s="16">
        <f>IFERROR(IF(VLOOKUP(AI$4,'Housing Market'!$A:$AE,22,0)="",#N/A,VLOOKUP(AI$4,'Housing Market'!$A:$AE,22,0)),"")</f>
        <v>92.4</v>
      </c>
      <c r="AJ17" s="16">
        <f>IFERROR(IF(VLOOKUP(AJ$4,'Housing Market'!$A:$AE,22,0)="",#N/A,VLOOKUP(AJ$4,'Housing Market'!$A:$AE,22,0)),"")</f>
        <v>94.5</v>
      </c>
      <c r="AK17" s="16">
        <f>IFERROR(IF(VLOOKUP(AK$4,'Housing Market'!$A:$AE,22,0)="",#N/A,VLOOKUP(AK$4,'Housing Market'!$A:$AE,22,0)),"")</f>
        <v>91.4</v>
      </c>
      <c r="AL17" s="16" t="str">
        <f>IFERROR(IF(VLOOKUP(AL$4,'Housing Market'!$A:$AE,22,0)="",#N/A,VLOOKUP(AL$4,'Housing Market'!$A:$AE,22,0)),"")</f>
        <v/>
      </c>
      <c r="AM17" s="16" t="str">
        <f>IFERROR(IF(VLOOKUP(AM$4,'Housing Market'!$A:$AE,22,0)="",#N/A,VLOOKUP(AM$4,'Housing Market'!$A:$AE,22,0)),"")</f>
        <v/>
      </c>
      <c r="AN17" s="16" t="str">
        <f>IFERROR(IF(VLOOKUP(AN$4,'Housing Market'!$A:$AE,22,0)="",#N/A,VLOOKUP(AN$4,'Housing Market'!$A:$AE,22,0)),"")</f>
        <v/>
      </c>
      <c r="AO17" s="16" t="str">
        <f>IFERROR(IF(VLOOKUP(AO$4,'Housing Market'!$A:$AE,22,0)="",#N/A,VLOOKUP(AO$4,'Housing Market'!$A:$AE,22,0)),"")</f>
        <v/>
      </c>
      <c r="AP17" s="16" t="str">
        <f>IFERROR(IF(VLOOKUP(AP$4,'Housing Market'!$A:$AE,22,0)="",#N/A,VLOOKUP(AP$4,'Housing Market'!$A:$AE,22,0)),"")</f>
        <v/>
      </c>
      <c r="AQ17" s="16" t="str">
        <f>IFERROR(IF(VLOOKUP(AQ$4,'Housing Market'!$A:$AE,22,0)="",#N/A,VLOOKUP(AQ$4,'Housing Market'!$A:$AE,22,0)),"")</f>
        <v/>
      </c>
      <c r="AR17" s="16" t="str">
        <f>IFERROR(IF(VLOOKUP(AR$4,'Housing Market'!$A:$AE,22,0)="",#N/A,VLOOKUP(AR$4,'Housing Market'!$A:$AE,22,0)),"")</f>
        <v/>
      </c>
      <c r="AS17" s="16" t="str">
        <f>IFERROR(IF(VLOOKUP(AS$4,'Housing Market'!$A:$AE,22,0)="",#N/A,VLOOKUP(AS$4,'Housing Market'!$A:$AE,22,0)),"")</f>
        <v/>
      </c>
      <c r="AT17" s="16" t="str">
        <f>IFERROR(IF(VLOOKUP(AT$4,'Housing Market'!$A:$AE,22,0)="",#N/A,VLOOKUP(AT$4,'Housing Market'!$A:$AE,22,0)),"")</f>
        <v/>
      </c>
      <c r="AU17" s="16" t="str">
        <f>IFERROR(IF(VLOOKUP(AU$4,'Housing Market'!$A:$AE,22,0)="",#N/A,VLOOKUP(AU$4,'Housing Market'!$A:$AE,22,0)),"")</f>
        <v/>
      </c>
      <c r="AV17" s="16" t="str">
        <f>IFERROR(IF(VLOOKUP(AV$4,'Housing Market'!$A:$AE,22,0)="",#N/A,VLOOKUP(AV$4,'Housing Market'!$A:$AE,22,0)),"")</f>
        <v/>
      </c>
      <c r="AW17" s="16" t="str">
        <f>IFERROR(IF(VLOOKUP(AW$4,'Housing Market'!$A:$AE,22,0)="",#N/A,VLOOKUP(AW$4,'Housing Market'!$A:$AE,22,0)),"")</f>
        <v/>
      </c>
      <c r="AX17" s="16" t="str">
        <f>IFERROR(IF(VLOOKUP(AX$4,'Housing Market'!$A:$AE,22,0)="",#N/A,VLOOKUP(AX$4,'Housing Market'!$A:$AE,22,0)),"")</f>
        <v/>
      </c>
      <c r="AY17" s="16" t="str">
        <f>IFERROR(IF(VLOOKUP(AY$4,'Housing Market'!$A:$AE,22,0)="",#N/A,VLOOKUP(AY$4,'Housing Market'!$A:$AE,22,0)),"")</f>
        <v/>
      </c>
    </row>
    <row r="18" spans="1:51" s="82" customFormat="1" ht="29.25" customHeight="1">
      <c r="A18" s="83"/>
      <c r="B18" s="42" t="s">
        <v>102</v>
      </c>
      <c r="C18" s="48"/>
      <c r="D18" s="43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4"/>
    </row>
    <row r="19" spans="1:51" ht="19.5" customHeight="1">
      <c r="A19" s="3"/>
      <c r="B19" s="23" t="s">
        <v>37</v>
      </c>
      <c r="C19" s="49" t="s">
        <v>0</v>
      </c>
      <c r="D19" s="16">
        <f>IFERROR(IF(VLOOKUP(D$4,'Economic Activity'!$A:$Y,18,0)="","",VLOOKUP(D$4,'Economic Activity'!$A:$Y,18,0)),"")</f>
        <v>3.8426486935795534E-2</v>
      </c>
      <c r="E19" s="16">
        <f>IFERROR(IF(VLOOKUP(E$4,'Economic Activity'!$A:$Y,18,0)="","",VLOOKUP(E$4,'Economic Activity'!$A:$Y,18,0)),"")</f>
        <v>-2.9038480084868312E-2</v>
      </c>
      <c r="F19" s="16">
        <f>IFERROR(IF(VLOOKUP(F$4,'Economic Activity'!$A:$Y,18,0)="","",VLOOKUP(F$4,'Economic Activity'!$A:$Y,18,0)),"")</f>
        <v>8.9785357423097123E-2</v>
      </c>
      <c r="G19" s="16">
        <f>IFERROR(IF(VLOOKUP(G$4,'Economic Activity'!$A:$Y,18,0)="","",VLOOKUP(G$4,'Economic Activity'!$A:$Y,18,0)),"")</f>
        <v>7.9476113873229171E-3</v>
      </c>
      <c r="H19" s="16">
        <f>IFERROR(IF(VLOOKUP(H$4,'Economic Activity'!$A:$Y,18,0)="","",VLOOKUP(H$4,'Economic Activity'!$A:$Y,18,0)),"")</f>
        <v>-6.6416193072641461E-3</v>
      </c>
      <c r="I19" s="16">
        <f>IFERROR(IF(VLOOKUP(I$4,'Economic Activity'!$A:$Y,18,0)="","",VLOOKUP(I$4,'Economic Activity'!$A:$Y,18,0)),"")</f>
        <v>2.0829540489367915E-2</v>
      </c>
      <c r="J19" s="16">
        <f>IFERROR(IF(VLOOKUP(J$4,'Economic Activity'!$A:$Y,18,0)="","",VLOOKUP(J$4,'Economic Activity'!$A:$Y,18,0)),"")</f>
        <v>-1.111291929813607E-2</v>
      </c>
      <c r="K19" s="16">
        <f>IFERROR(IF(VLOOKUP(K$4,'Economic Activity'!$A:$Y,18,0)="","",VLOOKUP(K$4,'Economic Activity'!$A:$Y,18,0)),"")</f>
        <v>1.3821259175097911E-2</v>
      </c>
      <c r="L19" s="16">
        <f>IFERROR(IF(VLOOKUP(L$4,'Economic Activity'!$A:$Y,18,0)="","",VLOOKUP(L$4,'Economic Activity'!$A:$Y,18,0)),"")</f>
        <v>3.3198213122300757E-3</v>
      </c>
      <c r="M19" s="16">
        <f>IFERROR(IF(VLOOKUP(M$4,'Economic Activity'!$A:$Y,18,0)="","",VLOOKUP(M$4,'Economic Activity'!$A:$Y,18,0)),"")</f>
        <v>1.3971135775327159E-2</v>
      </c>
      <c r="N19" s="16">
        <f>IFERROR(IF(VLOOKUP(N$4,'Economic Activity'!$A:$Y,18,0)="","",VLOOKUP(N$4,'Economic Activity'!$A:$Y,18,0)),"")</f>
        <v>8.6182024829515314E-3</v>
      </c>
      <c r="O19" s="16">
        <f>IFERROR(IF(VLOOKUP(O$4,'Economic Activity'!$A:$Y,18,0)="","",VLOOKUP(O$4,'Economic Activity'!$A:$Y,18,0)),"")</f>
        <v>-6.154339567852718E-3</v>
      </c>
      <c r="P19" s="16">
        <f>IFERROR(IF(VLOOKUP(P$4,'Economic Activity'!$A:$Y,18,0)="","",VLOOKUP(P$4,'Economic Activity'!$A:$Y,18,0)),"")</f>
        <v>9.5808539911865775E-3</v>
      </c>
      <c r="Q19" s="16">
        <f>IFERROR(IF(VLOOKUP(Q$4,'Economic Activity'!$A:$Y,18,0)="","",VLOOKUP(Q$4,'Economic Activity'!$A:$Y,18,0)),"")</f>
        <v>8.641151404807923E-3</v>
      </c>
      <c r="R19" s="16">
        <f>IFERROR(IF(VLOOKUP(R$4,'Economic Activity'!$A:$Y,18,0)="","",VLOOKUP(R$4,'Economic Activity'!$A:$Y,18,0)),"")</f>
        <v>1.7093559563014615E-2</v>
      </c>
      <c r="S19" s="16">
        <f>IFERROR(IF(VLOOKUP(S$4,'Economic Activity'!$A:$Y,18,0)="","",VLOOKUP(S$4,'Economic Activity'!$A:$Y,18,0)),"")</f>
        <v>1.3094709274296346E-2</v>
      </c>
      <c r="T19" s="16">
        <f>IFERROR(IF(VLOOKUP(T$4,'Economic Activity'!$A:$Y,18,0)="","",VLOOKUP(T$4,'Economic Activity'!$A:$Y,18,0)),"")</f>
        <v>1.7414036378295972E-3</v>
      </c>
      <c r="U19" s="16">
        <f>IFERROR(IF(VLOOKUP(U$4,'Economic Activity'!$A:$Y,18,0)="","",VLOOKUP(U$4,'Economic Activity'!$A:$Y,18,0)),"")</f>
        <v>8.2500274862620238E-3</v>
      </c>
      <c r="V19" s="16">
        <f>IFERROR(IF(VLOOKUP(V$4,'Economic Activity'!$A:$Y,18,0)="","",VLOOKUP(V$4,'Economic Activity'!$A:$Y,18,0)),"")</f>
        <v>-1.8496572270366718E-3</v>
      </c>
      <c r="W19" s="16">
        <f>IFERROR(IF(VLOOKUP(W$4,'Economic Activity'!$A:$Y,18,0)="","",VLOOKUP(W$4,'Economic Activity'!$A:$Y,18,0)),"")</f>
        <v>1.1695665348138817E-2</v>
      </c>
      <c r="X19" s="16">
        <f>IFERROR(IF(VLOOKUP(X$4,'Economic Activity'!$A:$Y,18,0)="","",VLOOKUP(X$4,'Economic Activity'!$A:$Y,18,0)),"")</f>
        <v>3.363820289276287E-3</v>
      </c>
      <c r="Y19" s="16">
        <f>IFERROR(IF(VLOOKUP(Y$4,'Economic Activity'!$A:$Y,18,0)="","",VLOOKUP(Y$4,'Economic Activity'!$A:$Y,18,0)),"")</f>
        <v>1.0276935073163074E-2</v>
      </c>
      <c r="Z19" s="16">
        <f>IFERROR(IF(VLOOKUP(Z$4,'Economic Activity'!$A:$Y,18,0)="","",VLOOKUP(Z$4,'Economic Activity'!$A:$Y,18,0)),"")</f>
        <v>-1.3094871995867563E-2</v>
      </c>
      <c r="AA19" s="16">
        <f>IFERROR(IF(VLOOKUP(AA$4,'Economic Activity'!$A:$Y,18,0)="","",VLOOKUP(AA$4,'Economic Activity'!$A:$Y,18,0)),"")</f>
        <v>3.0956725755995063E-3</v>
      </c>
      <c r="AB19" s="16">
        <f>IFERROR(IF(VLOOKUP(AB$4,'Economic Activity'!$A:$Y,18,0)="","",VLOOKUP(AB$4,'Economic Activity'!$A:$Y,18,0)),"")</f>
        <v>2.1651560926485347E-2</v>
      </c>
      <c r="AC19" s="16">
        <f>IFERROR(IF(VLOOKUP(AC$4,'Economic Activity'!$A:$Y,18,0)="","",VLOOKUP(AC$4,'Economic Activity'!$A:$Y,18,0)),"")</f>
        <v>-4.1157252102577147E-3</v>
      </c>
      <c r="AD19" s="16">
        <f>IFERROR(IF(VLOOKUP(AD$4,'Economic Activity'!$A:$Y,18,0)="","",VLOOKUP(AD$4,'Economic Activity'!$A:$Y,18,0)),"")</f>
        <v>-8.1876433037130214E-3</v>
      </c>
      <c r="AE19" s="16">
        <f>IFERROR(IF(VLOOKUP(AE$4,'Economic Activity'!$A:$Y,18,0)="","",VLOOKUP(AE$4,'Economic Activity'!$A:$Y,18,0)),"")</f>
        <v>4.8790989461147127E-3</v>
      </c>
      <c r="AF19" s="16">
        <f>IFERROR(IF(VLOOKUP(AF$4,'Economic Activity'!$A:$Y,18,0)="","",VLOOKUP(AF$4,'Economic Activity'!$A:$Y,18,0)),"")</f>
        <v>7.8387323478354975E-3</v>
      </c>
      <c r="AG19" s="16">
        <f>IFERROR(IF(VLOOKUP(AG$4,'Economic Activity'!$A:$Y,18,0)="","",VLOOKUP(AG$4,'Economic Activity'!$A:$Y,18,0)),"")</f>
        <v>1.9449377977502902E-3</v>
      </c>
      <c r="AH19" s="16">
        <f>IFERROR(IF(VLOOKUP(AH$4,'Economic Activity'!$A:$Y,18,0)="","",VLOOKUP(AH$4,'Economic Activity'!$A:$Y,18,0)),"")</f>
        <v>8.1156052401469836E-3</v>
      </c>
      <c r="AI19" s="16">
        <f>IFERROR(IF(VLOOKUP(AI$4,'Economic Activity'!$A:$Y,18,0)="","",VLOOKUP(AI$4,'Economic Activity'!$A:$Y,18,0)),"")</f>
        <v>2.2028597840411113E-3</v>
      </c>
      <c r="AJ19" s="16">
        <f>IFERROR(IF(VLOOKUP(AJ$4,'Economic Activity'!$A:$Y,18,0)="","",VLOOKUP(AJ$4,'Economic Activity'!$A:$Y,18,0)),"")</f>
        <v>7.3535472475714236E-3</v>
      </c>
      <c r="AK19" s="16">
        <f>IFERROR(IF(VLOOKUP(AK$4,'Economic Activity'!$A:$Y,18,0)="","",VLOOKUP(AK$4,'Economic Activity'!$A:$Y,18,0)),"")</f>
        <v>9.8968043842062592E-4</v>
      </c>
      <c r="AL19" s="16">
        <f>IFERROR(IF(VLOOKUP(AL$4,'Economic Activity'!$A:$Y,18,0)="","",VLOOKUP(AL$4,'Economic Activity'!$A:$Y,18,0)),"")</f>
        <v>6.4401864520586827E-3</v>
      </c>
      <c r="AM19" s="16">
        <f>IFERROR(IF(VLOOKUP(AM$4,'Economic Activity'!$A:$Y,18,0)="","",VLOOKUP(AM$4,'Economic Activity'!$A:$Y,18,0)),"")</f>
        <v>5.9948096551243335E-3</v>
      </c>
      <c r="AN19" s="16" t="str">
        <f>IFERROR(IF(VLOOKUP(AN$4,'Economic Activity'!$A:$Y,18,0)="","",VLOOKUP(AN$4,'Economic Activity'!$A:$Y,18,0)),"")</f>
        <v/>
      </c>
      <c r="AO19" s="16" t="str">
        <f>IFERROR(IF(VLOOKUP(AO$4,'Economic Activity'!$A:$Y,18,0)="","",VLOOKUP(AO$4,'Economic Activity'!$A:$Y,18,0)),"")</f>
        <v/>
      </c>
      <c r="AP19" s="16" t="str">
        <f>IFERROR(IF(VLOOKUP(AP$4,'Economic Activity'!$A:$Y,18,0)="","",VLOOKUP(AP$4,'Economic Activity'!$A:$Y,18,0)),"")</f>
        <v/>
      </c>
      <c r="AQ19" s="16" t="str">
        <f>IFERROR(IF(VLOOKUP(AQ$4,'Economic Activity'!$A:$Y,18,0)="","",VLOOKUP(AQ$4,'Economic Activity'!$A:$Y,18,0)),"")</f>
        <v/>
      </c>
      <c r="AR19" s="16" t="str">
        <f>IFERROR(IF(VLOOKUP(AR$4,'Economic Activity'!$A:$Y,18,0)="","",VLOOKUP(AR$4,'Economic Activity'!$A:$Y,18,0)),"")</f>
        <v/>
      </c>
      <c r="AS19" s="16" t="str">
        <f>IFERROR(IF(VLOOKUP(AS$4,'Economic Activity'!$A:$Y,18,0)="","",VLOOKUP(AS$4,'Economic Activity'!$A:$Y,18,0)),"")</f>
        <v/>
      </c>
      <c r="AT19" s="16" t="str">
        <f>IFERROR(IF(VLOOKUP(AT$4,'Economic Activity'!$A:$Y,18,0)="","",VLOOKUP(AT$4,'Economic Activity'!$A:$Y,18,0)),"")</f>
        <v/>
      </c>
      <c r="AU19" s="16" t="str">
        <f>IFERROR(IF(VLOOKUP(AU$4,'Economic Activity'!$A:$Y,18,0)="","",VLOOKUP(AU$4,'Economic Activity'!$A:$Y,18,0)),"")</f>
        <v/>
      </c>
      <c r="AV19" s="16" t="str">
        <f>IFERROR(IF(VLOOKUP(AV$4,'Economic Activity'!$A:$Y,18,0)="","",VLOOKUP(AV$4,'Economic Activity'!$A:$Y,18,0)),"")</f>
        <v/>
      </c>
      <c r="AW19" s="16" t="str">
        <f>IFERROR(IF(VLOOKUP(AW$4,'Economic Activity'!$A:$Y,18,0)="","",VLOOKUP(AW$4,'Economic Activity'!$A:$Y,18,0)),"")</f>
        <v/>
      </c>
      <c r="AX19" s="16" t="str">
        <f>IFERROR(IF(VLOOKUP(AX$4,'Economic Activity'!$A:$Y,18,0)="","",VLOOKUP(AX$4,'Economic Activity'!$A:$Y,18,0)),"")</f>
        <v/>
      </c>
      <c r="AY19" s="16" t="str">
        <f>IFERROR(IF(VLOOKUP(AY$4,'Economic Activity'!$A:$Y,18,0)="","",VLOOKUP(AY$4,'Economic Activity'!$A:$Y,18,0)),"")</f>
        <v/>
      </c>
    </row>
    <row r="20" spans="1:51" ht="19.5" customHeight="1">
      <c r="A20" s="3"/>
      <c r="B20" s="2" t="s">
        <v>130</v>
      </c>
      <c r="C20" s="47"/>
      <c r="D20" s="16">
        <f>IFERROR(IF(VLOOKUP(D$4,'Economic Activity'!$A:$Y,19,0)="","",VLOOKUP(D$4,'Economic Activity'!$A:$Y,19,0)),"")</f>
        <v>9.2825336600532271E-2</v>
      </c>
      <c r="E20" s="16">
        <f>IFERROR(IF(VLOOKUP(E$4,'Economic Activity'!$A:$Y,19,0)="","",VLOOKUP(E$4,'Economic Activity'!$A:$Y,19,0)),"")</f>
        <v>5.7183284199583628E-2</v>
      </c>
      <c r="F20" s="16">
        <f>IFERROR(IF(VLOOKUP(F$4,'Economic Activity'!$A:$Y,19,0)="","",VLOOKUP(F$4,'Economic Activity'!$A:$Y,19,0)),"")</f>
        <v>0.19540874832826249</v>
      </c>
      <c r="G20" s="16">
        <f>IFERROR(IF(VLOOKUP(G$4,'Economic Activity'!$A:$Y,19,0)="","",VLOOKUP(G$4,'Economic Activity'!$A:$Y,19,0)),"")</f>
        <v>0.39960514076352105</v>
      </c>
      <c r="H20" s="16">
        <f>IFERROR(IF(VLOOKUP(H$4,'Economic Activity'!$A:$Y,19,0)="","",VLOOKUP(H$4,'Economic Activity'!$A:$Y,19,0)),"")</f>
        <v>0.23004229614016225</v>
      </c>
      <c r="I20" s="16">
        <f>IFERROR(IF(VLOOKUP(I$4,'Economic Activity'!$A:$Y,19,0)="","",VLOOKUP(I$4,'Economic Activity'!$A:$Y,19,0)),"")</f>
        <v>0.15972802130327435</v>
      </c>
      <c r="J20" s="16">
        <f>IFERROR(IF(VLOOKUP(J$4,'Economic Activity'!$A:$Y,19,0)="","",VLOOKUP(J$4,'Economic Activity'!$A:$Y,19,0)),"")</f>
        <v>0.12486591894023347</v>
      </c>
      <c r="K20" s="16">
        <f>IFERROR(IF(VLOOKUP(K$4,'Economic Activity'!$A:$Y,19,0)="","",VLOOKUP(K$4,'Economic Activity'!$A:$Y,19,0)),"")</f>
        <v>0.1312505502521728</v>
      </c>
      <c r="L20" s="16">
        <f>IFERROR(IF(VLOOKUP(L$4,'Economic Activity'!$A:$Y,19,0)="","",VLOOKUP(L$4,'Economic Activity'!$A:$Y,19,0)),"")</f>
        <v>0.11574173670714538</v>
      </c>
      <c r="M20" s="16">
        <f>IFERROR(IF(VLOOKUP(M$4,'Economic Activity'!$A:$Y,19,0)="","",VLOOKUP(M$4,'Economic Activity'!$A:$Y,19,0)),"")</f>
        <v>0.13552768084504385</v>
      </c>
      <c r="N20" s="16">
        <f>IFERROR(IF(VLOOKUP(N$4,'Economic Activity'!$A:$Y,19,0)="","",VLOOKUP(N$4,'Economic Activity'!$A:$Y,19,0)),"")</f>
        <v>0.15353637868023862</v>
      </c>
      <c r="O20" s="16">
        <f>IFERROR(IF(VLOOKUP(O$4,'Economic Activity'!$A:$Y,19,0)="","",VLOOKUP(O$4,'Economic Activity'!$A:$Y,19,0)),"")</f>
        <v>0.14824542076852976</v>
      </c>
      <c r="P20" s="16">
        <f>IFERROR(IF(VLOOKUP(P$4,'Economic Activity'!$A:$Y,19,0)="","",VLOOKUP(P$4,'Economic Activity'!$A:$Y,19,0)),"")</f>
        <v>0.11634921400327891</v>
      </c>
      <c r="Q20" s="16">
        <f>IFERROR(IF(VLOOKUP(Q$4,'Economic Activity'!$A:$Y,19,0)="","",VLOOKUP(Q$4,'Economic Activity'!$A:$Y,19,0)),"")</f>
        <v>0.15967083503014523</v>
      </c>
      <c r="R20" s="16">
        <f>IFERROR(IF(VLOOKUP(R$4,'Economic Activity'!$A:$Y,19,0)="","",VLOOKUP(R$4,'Economic Activity'!$A:$Y,19,0)),"")</f>
        <v>8.2317476086530617E-2</v>
      </c>
      <c r="S20" s="16">
        <f>IFERROR(IF(VLOOKUP(S$4,'Economic Activity'!$A:$Y,19,0)="","",VLOOKUP(S$4,'Economic Activity'!$A:$Y,19,0)),"")</f>
        <v>8.7844344676984099E-2</v>
      </c>
      <c r="T20" s="16">
        <f>IFERROR(IF(VLOOKUP(T$4,'Economic Activity'!$A:$Y,19,0)="","",VLOOKUP(T$4,'Economic Activity'!$A:$Y,19,0)),"")</f>
        <v>9.7024741479755372E-2</v>
      </c>
      <c r="U20" s="16">
        <f>IFERROR(IF(VLOOKUP(U$4,'Economic Activity'!$A:$Y,19,0)="","",VLOOKUP(U$4,'Economic Activity'!$A:$Y,19,0)),"")</f>
        <v>8.3506287660758405E-2</v>
      </c>
      <c r="V20" s="16">
        <f>IFERROR(IF(VLOOKUP(V$4,'Economic Activity'!$A:$Y,19,0)="","",VLOOKUP(V$4,'Economic Activity'!$A:$Y,19,0)),"")</f>
        <v>9.3655881981640876E-2</v>
      </c>
      <c r="W20" s="16">
        <f>IFERROR(IF(VLOOKUP(W$4,'Economic Activity'!$A:$Y,19,0)="","",VLOOKUP(W$4,'Economic Activity'!$A:$Y,19,0)),"")</f>
        <v>9.1362905610787193E-2</v>
      </c>
      <c r="X20" s="16">
        <f>IFERROR(IF(VLOOKUP(X$4,'Economic Activity'!$A:$Y,19,0)="","",VLOOKUP(X$4,'Economic Activity'!$A:$Y,19,0)),"")</f>
        <v>9.1410765575688835E-2</v>
      </c>
      <c r="Y20" s="16">
        <f>IFERROR(IF(VLOOKUP(Y$4,'Economic Activity'!$A:$Y,19,0)="","",VLOOKUP(Y$4,'Economic Activity'!$A:$Y,19,0)),"")</f>
        <v>8.7434429095995858E-2</v>
      </c>
      <c r="Z20" s="16">
        <f>IFERROR(IF(VLOOKUP(Z$4,'Economic Activity'!$A:$Y,19,0)="","",VLOOKUP(Z$4,'Economic Activity'!$A:$Y,19,0)),"")</f>
        <v>6.4024634694439309E-2</v>
      </c>
      <c r="AA20" s="16">
        <f>IFERROR(IF(VLOOKUP(AA$4,'Economic Activity'!$A:$Y,19,0)="","",VLOOKUP(AA$4,'Economic Activity'!$A:$Y,19,0)),"")</f>
        <v>7.3927823070365051E-2</v>
      </c>
      <c r="AB20" s="16">
        <f>IFERROR(IF(VLOOKUP(AB$4,'Economic Activity'!$A:$Y,19,0)="","",VLOOKUP(AB$4,'Economic Activity'!$A:$Y,19,0)),"")</f>
        <v>8.6767872453927142E-2</v>
      </c>
      <c r="AC20" s="16">
        <f>IFERROR(IF(VLOOKUP(AC$4,'Economic Activity'!$A:$Y,19,0)="","",VLOOKUP(AC$4,'Economic Activity'!$A:$Y,19,0)),"")</f>
        <v>7.3022881345044421E-2</v>
      </c>
      <c r="AD20" s="16">
        <f>IFERROR(IF(VLOOKUP(AD$4,'Economic Activity'!$A:$Y,19,0)="","",VLOOKUP(AD$4,'Economic Activity'!$A:$Y,19,0)),"")</f>
        <v>4.6351481365302316E-2</v>
      </c>
      <c r="AE20" s="16">
        <f>IFERROR(IF(VLOOKUP(AE$4,'Economic Activity'!$A:$Y,19,0)="","",VLOOKUP(AE$4,'Economic Activity'!$A:$Y,19,0)),"")</f>
        <v>3.7866177909941623E-2</v>
      </c>
      <c r="AF20" s="16">
        <f>IFERROR(IF(VLOOKUP(AF$4,'Economic Activity'!$A:$Y,19,0)="","",VLOOKUP(AF$4,'Economic Activity'!$A:$Y,19,0)),"")</f>
        <v>4.4183388340431451E-2</v>
      </c>
      <c r="AG20" s="16">
        <f>IFERROR(IF(VLOOKUP(AG$4,'Economic Activity'!$A:$Y,19,0)="","",VLOOKUP(AG$4,'Economic Activity'!$A:$Y,19,0)),"")</f>
        <v>3.765358944604924E-2</v>
      </c>
      <c r="AH20" s="16">
        <f>IFERROR(IF(VLOOKUP(AH$4,'Economic Activity'!$A:$Y,19,0)="","",VLOOKUP(AH$4,'Economic Activity'!$A:$Y,19,0)),"")</f>
        <v>4.8013241620408209E-2</v>
      </c>
      <c r="AI20" s="16">
        <f>IFERROR(IF(VLOOKUP(AI$4,'Economic Activity'!$A:$Y,19,0)="","",VLOOKUP(AI$4,'Economic Activity'!$A:$Y,19,0)),"")</f>
        <v>3.817966589990851E-2</v>
      </c>
      <c r="AJ20" s="16">
        <f>IFERROR(IF(VLOOKUP(AJ$4,'Economic Activity'!$A:$Y,19,0)="","",VLOOKUP(AJ$4,'Economic Activity'!$A:$Y,19,0)),"")</f>
        <v>4.2307832888629049E-2</v>
      </c>
      <c r="AK20" s="16">
        <f>IFERROR(IF(VLOOKUP(AK$4,'Economic Activity'!$A:$Y,19,0)="","",VLOOKUP(AK$4,'Economic Activity'!$A:$Y,19,0)),"")</f>
        <v>3.272612522436158E-2</v>
      </c>
      <c r="AL20" s="16">
        <f>IFERROR(IF(VLOOKUP(AL$4,'Economic Activity'!$A:$Y,19,0)="","",VLOOKUP(AL$4,'Economic Activity'!$A:$Y,19,0)),"")</f>
        <v>5.3168176485922869E-2</v>
      </c>
      <c r="AM20" s="16">
        <f>IFERROR(IF(VLOOKUP(AM$4,'Economic Activity'!$A:$Y,19,0)="","",VLOOKUP(AM$4,'Economic Activity'!$A:$Y,19,0)),"")</f>
        <v>5.6212032615404528E-2</v>
      </c>
      <c r="AN20" s="16" t="str">
        <f>IFERROR(IF(VLOOKUP(AN$4,'Economic Activity'!$A:$Y,19,0)="","",VLOOKUP(AN$4,'Economic Activity'!$A:$Y,19,0)),"")</f>
        <v/>
      </c>
      <c r="AO20" s="16" t="str">
        <f>IFERROR(IF(VLOOKUP(AO$4,'Economic Activity'!$A:$Y,19,0)="","",VLOOKUP(AO$4,'Economic Activity'!$A:$Y,19,0)),"")</f>
        <v/>
      </c>
      <c r="AP20" s="16" t="str">
        <f>IFERROR(IF(VLOOKUP(AP$4,'Economic Activity'!$A:$Y,19,0)="","",VLOOKUP(AP$4,'Economic Activity'!$A:$Y,19,0)),"")</f>
        <v/>
      </c>
      <c r="AQ20" s="16" t="str">
        <f>IFERROR(IF(VLOOKUP(AQ$4,'Economic Activity'!$A:$Y,19,0)="","",VLOOKUP(AQ$4,'Economic Activity'!$A:$Y,19,0)),"")</f>
        <v/>
      </c>
      <c r="AR20" s="16" t="str">
        <f>IFERROR(IF(VLOOKUP(AR$4,'Economic Activity'!$A:$Y,19,0)="","",VLOOKUP(AR$4,'Economic Activity'!$A:$Y,19,0)),"")</f>
        <v/>
      </c>
      <c r="AS20" s="16" t="str">
        <f>IFERROR(IF(VLOOKUP(AS$4,'Economic Activity'!$A:$Y,19,0)="","",VLOOKUP(AS$4,'Economic Activity'!$A:$Y,19,0)),"")</f>
        <v/>
      </c>
      <c r="AT20" s="16" t="str">
        <f>IFERROR(IF(VLOOKUP(AT$4,'Economic Activity'!$A:$Y,19,0)="","",VLOOKUP(AT$4,'Economic Activity'!$A:$Y,19,0)),"")</f>
        <v/>
      </c>
      <c r="AU20" s="16" t="str">
        <f>IFERROR(IF(VLOOKUP(AU$4,'Economic Activity'!$A:$Y,19,0)="","",VLOOKUP(AU$4,'Economic Activity'!$A:$Y,19,0)),"")</f>
        <v/>
      </c>
      <c r="AV20" s="16" t="str">
        <f>IFERROR(IF(VLOOKUP(AV$4,'Economic Activity'!$A:$Y,19,0)="","",VLOOKUP(AV$4,'Economic Activity'!$A:$Y,19,0)),"")</f>
        <v/>
      </c>
      <c r="AW20" s="16" t="str">
        <f>IFERROR(IF(VLOOKUP(AW$4,'Economic Activity'!$A:$Y,19,0)="","",VLOOKUP(AW$4,'Economic Activity'!$A:$Y,19,0)),"")</f>
        <v/>
      </c>
      <c r="AX20" s="16" t="str">
        <f>IFERROR(IF(VLOOKUP(AX$4,'Economic Activity'!$A:$Y,19,0)="","",VLOOKUP(AX$4,'Economic Activity'!$A:$Y,19,0)),"")</f>
        <v/>
      </c>
      <c r="AY20" s="16" t="str">
        <f>IFERROR(IF(VLOOKUP(AY$4,'Economic Activity'!$A:$Y,19,0)="","",VLOOKUP(AY$4,'Economic Activity'!$A:$Y,19,0)),"")</f>
        <v/>
      </c>
    </row>
    <row r="21" spans="1:51" ht="19.5" customHeight="1">
      <c r="A21" s="3"/>
      <c r="B21" s="2" t="s">
        <v>38</v>
      </c>
      <c r="C21" s="69" t="s">
        <v>0</v>
      </c>
      <c r="D21" s="16">
        <f>IFERROR(IF(VLOOKUP(D$4,'Economic Activity'!$A:$Y,20,0)="","",VLOOKUP(D$4,'Economic Activity'!$A:$Y,20,0)),"")</f>
        <v>79</v>
      </c>
      <c r="E21" s="16">
        <f>IFERROR(IF(VLOOKUP(E$4,'Economic Activity'!$A:$Y,20,0)="","",VLOOKUP(E$4,'Economic Activity'!$A:$Y,20,0)),"")</f>
        <v>76.8</v>
      </c>
      <c r="F21" s="16">
        <f>IFERROR(IF(VLOOKUP(F$4,'Economic Activity'!$A:$Y,20,0)="","",VLOOKUP(F$4,'Economic Activity'!$A:$Y,20,0)),"")</f>
        <v>84.9</v>
      </c>
      <c r="G21" s="16">
        <f>IFERROR(IF(VLOOKUP(G$4,'Economic Activity'!$A:$Y,20,0)="","",VLOOKUP(G$4,'Economic Activity'!$A:$Y,20,0)),"")</f>
        <v>88.3</v>
      </c>
      <c r="H21" s="16">
        <f>IFERROR(IF(VLOOKUP(H$4,'Economic Activity'!$A:$Y,20,0)="","",VLOOKUP(H$4,'Economic Activity'!$A:$Y,20,0)),"")</f>
        <v>82.9</v>
      </c>
      <c r="I21" s="16">
        <f>IFERROR(IF(VLOOKUP(I$4,'Economic Activity'!$A:$Y,20,0)="","",VLOOKUP(I$4,'Economic Activity'!$A:$Y,20,0)),"")</f>
        <v>85.5</v>
      </c>
      <c r="J21" s="16">
        <f>IFERROR(IF(VLOOKUP(J$4,'Economic Activity'!$A:$Y,20,0)="","",VLOOKUP(J$4,'Economic Activity'!$A:$Y,20,0)),"")</f>
        <v>81.2</v>
      </c>
      <c r="K21" s="16">
        <f>IFERROR(IF(VLOOKUP(K$4,'Economic Activity'!$A:$Y,20,0)="","",VLOOKUP(K$4,'Economic Activity'!$A:$Y,20,0)),"")</f>
        <v>70.3</v>
      </c>
      <c r="L21" s="16">
        <f>IFERROR(IF(VLOOKUP(L$4,'Economic Activity'!$A:$Y,20,0)="","",VLOOKUP(L$4,'Economic Activity'!$A:$Y,20,0)),"")</f>
        <v>72.8</v>
      </c>
      <c r="M21" s="16">
        <f>IFERROR(IF(VLOOKUP(M$4,'Economic Activity'!$A:$Y,20,0)="","",VLOOKUP(M$4,'Economic Activity'!$A:$Y,20,0)),"")</f>
        <v>71.7</v>
      </c>
      <c r="N21" s="16">
        <f>IFERROR(IF(VLOOKUP(N$4,'Economic Activity'!$A:$Y,20,0)="","",VLOOKUP(N$4,'Economic Activity'!$A:$Y,20,0)),"")</f>
        <v>67.400000000000006</v>
      </c>
      <c r="O21" s="16">
        <f>IFERROR(IF(VLOOKUP(O$4,'Economic Activity'!$A:$Y,20,0)="","",VLOOKUP(O$4,'Economic Activity'!$A:$Y,20,0)),"")</f>
        <v>70.599999999999994</v>
      </c>
      <c r="P21" s="16">
        <f>IFERROR(IF(VLOOKUP(P$4,'Economic Activity'!$A:$Y,20,0)="","",VLOOKUP(P$4,'Economic Activity'!$A:$Y,20,0)),"")</f>
        <v>67.2</v>
      </c>
      <c r="Q21" s="16">
        <f>IFERROR(IF(VLOOKUP(Q$4,'Economic Activity'!$A:$Y,20,0)="","",VLOOKUP(Q$4,'Economic Activity'!$A:$Y,20,0)),"")</f>
        <v>62.8</v>
      </c>
      <c r="R21" s="16">
        <f>IFERROR(IF(VLOOKUP(R$4,'Economic Activity'!$A:$Y,20,0)="","",VLOOKUP(R$4,'Economic Activity'!$A:$Y,20,0)),"")</f>
        <v>59.4</v>
      </c>
      <c r="S21" s="16">
        <f>IFERROR(IF(VLOOKUP(S$4,'Economic Activity'!$A:$Y,20,0)="","",VLOOKUP(S$4,'Economic Activity'!$A:$Y,20,0)),"")</f>
        <v>65.2</v>
      </c>
      <c r="T21" s="16">
        <f>IFERROR(IF(VLOOKUP(T$4,'Economic Activity'!$A:$Y,20,0)="","",VLOOKUP(T$4,'Economic Activity'!$A:$Y,20,0)),"")</f>
        <v>58.4</v>
      </c>
      <c r="U21" s="16">
        <f>IFERROR(IF(VLOOKUP(U$4,'Economic Activity'!$A:$Y,20,0)="","",VLOOKUP(U$4,'Economic Activity'!$A:$Y,20,0)),"")</f>
        <v>50</v>
      </c>
      <c r="V21" s="16">
        <f>IFERROR(IF(VLOOKUP(V$4,'Economic Activity'!$A:$Y,20,0)="","",VLOOKUP(V$4,'Economic Activity'!$A:$Y,20,0)),"")</f>
        <v>51.5</v>
      </c>
      <c r="W21" s="16">
        <f>IFERROR(IF(VLOOKUP(W$4,'Economic Activity'!$A:$Y,20,0)="","",VLOOKUP(W$4,'Economic Activity'!$A:$Y,20,0)),"")</f>
        <v>58.2</v>
      </c>
      <c r="X21" s="16">
        <f>IFERROR(IF(VLOOKUP(X$4,'Economic Activity'!$A:$Y,20,0)="","",VLOOKUP(X$4,'Economic Activity'!$A:$Y,20,0)),"")</f>
        <v>58.6</v>
      </c>
      <c r="Y21" s="16">
        <f>IFERROR(IF(VLOOKUP(Y$4,'Economic Activity'!$A:$Y,20,0)="","",VLOOKUP(Y$4,'Economic Activity'!$A:$Y,20,0)),"")</f>
        <v>59.9</v>
      </c>
      <c r="Z21" s="16">
        <f>IFERROR(IF(VLOOKUP(Z$4,'Economic Activity'!$A:$Y,20,0)="","",VLOOKUP(Z$4,'Economic Activity'!$A:$Y,20,0)),"")</f>
        <v>56.7</v>
      </c>
      <c r="AA21" s="16">
        <f>IFERROR(IF(VLOOKUP(AA$4,'Economic Activity'!$A:$Y,20,0)="","",VLOOKUP(AA$4,'Economic Activity'!$A:$Y,20,0)),"")</f>
        <v>59.8</v>
      </c>
      <c r="AB21" s="16">
        <f>IFERROR(IF(VLOOKUP(AB$4,'Economic Activity'!$A:$Y,20,0)="","",VLOOKUP(AB$4,'Economic Activity'!$A:$Y,20,0)),"")</f>
        <v>64.900000000000006</v>
      </c>
      <c r="AC21" s="16">
        <f>IFERROR(IF(VLOOKUP(AC$4,'Economic Activity'!$A:$Y,20,0)="","",VLOOKUP(AC$4,'Economic Activity'!$A:$Y,20,0)),"")</f>
        <v>66.900000000000006</v>
      </c>
      <c r="AD21" s="16">
        <f>IFERROR(IF(VLOOKUP(AD$4,'Economic Activity'!$A:$Y,20,0)="","",VLOOKUP(AD$4,'Economic Activity'!$A:$Y,20,0)),"")</f>
        <v>62</v>
      </c>
      <c r="AE21" s="16">
        <f>IFERROR(IF(VLOOKUP(AE$4,'Economic Activity'!$A:$Y,20,0)="","",VLOOKUP(AE$4,'Economic Activity'!$A:$Y,20,0)),"")</f>
        <v>63.7</v>
      </c>
      <c r="AF21" s="16">
        <f>IFERROR(IF(VLOOKUP(AF$4,'Economic Activity'!$A:$Y,20,0)="","",VLOOKUP(AF$4,'Economic Activity'!$A:$Y,20,0)),"")</f>
        <v>59</v>
      </c>
      <c r="AG21" s="16">
        <f>IFERROR(IF(VLOOKUP(AG$4,'Economic Activity'!$A:$Y,20,0)="","",VLOOKUP(AG$4,'Economic Activity'!$A:$Y,20,0)),"")</f>
        <v>64.2</v>
      </c>
      <c r="AH21" s="16">
        <f>IFERROR(IF(VLOOKUP(AH$4,'Economic Activity'!$A:$Y,20,0)="","",VLOOKUP(AH$4,'Economic Activity'!$A:$Y,20,0)),"")</f>
        <v>71.5</v>
      </c>
      <c r="AI21" s="16">
        <f>IFERROR(IF(VLOOKUP(AI$4,'Economic Activity'!$A:$Y,20,0)="","",VLOOKUP(AI$4,'Economic Activity'!$A:$Y,20,0)),"")</f>
        <v>69.400000000000006</v>
      </c>
      <c r="AJ21" s="16">
        <f>IFERROR(IF(VLOOKUP(AJ$4,'Economic Activity'!$A:$Y,20,0)="","",VLOOKUP(AJ$4,'Economic Activity'!$A:$Y,20,0)),"")</f>
        <v>67.900000000000006</v>
      </c>
      <c r="AK21" s="16">
        <f>IFERROR(IF(VLOOKUP(AK$4,'Economic Activity'!$A:$Y,20,0)="","",VLOOKUP(AK$4,'Economic Activity'!$A:$Y,20,0)),"")</f>
        <v>63.8</v>
      </c>
      <c r="AL21" s="16">
        <f>IFERROR(IF(VLOOKUP(AL$4,'Economic Activity'!$A:$Y,20,0)="","",VLOOKUP(AL$4,'Economic Activity'!$A:$Y,20,0)),"")</f>
        <v>61.3</v>
      </c>
      <c r="AM21" s="16" t="str">
        <f>IFERROR(IF(VLOOKUP(AM$4,'Economic Activity'!$A:$Y,20,0)="","",VLOOKUP(AM$4,'Economic Activity'!$A:$Y,20,0)),"")</f>
        <v/>
      </c>
      <c r="AN21" s="16" t="str">
        <f>IFERROR(IF(VLOOKUP(AN$4,'Economic Activity'!$A:$Y,20,0)="","",VLOOKUP(AN$4,'Economic Activity'!$A:$Y,20,0)),"")</f>
        <v/>
      </c>
      <c r="AO21" s="16" t="str">
        <f>IFERROR(IF(VLOOKUP(AO$4,'Economic Activity'!$A:$Y,20,0)="","",VLOOKUP(AO$4,'Economic Activity'!$A:$Y,20,0)),"")</f>
        <v/>
      </c>
      <c r="AP21" s="16" t="str">
        <f>IFERROR(IF(VLOOKUP(AP$4,'Economic Activity'!$A:$Y,20,0)="","",VLOOKUP(AP$4,'Economic Activity'!$A:$Y,20,0)),"")</f>
        <v/>
      </c>
      <c r="AQ21" s="16" t="str">
        <f>IFERROR(IF(VLOOKUP(AQ$4,'Economic Activity'!$A:$Y,20,0)="","",VLOOKUP(AQ$4,'Economic Activity'!$A:$Y,20,0)),"")</f>
        <v/>
      </c>
      <c r="AR21" s="16" t="str">
        <f>IFERROR(IF(VLOOKUP(AR$4,'Economic Activity'!$A:$Y,20,0)="","",VLOOKUP(AR$4,'Economic Activity'!$A:$Y,20,0)),"")</f>
        <v/>
      </c>
      <c r="AS21" s="16" t="str">
        <f>IFERROR(IF(VLOOKUP(AS$4,'Economic Activity'!$A:$Y,20,0)="","",VLOOKUP(AS$4,'Economic Activity'!$A:$Y,20,0)),"")</f>
        <v/>
      </c>
      <c r="AT21" s="16" t="str">
        <f>IFERROR(IF(VLOOKUP(AT$4,'Economic Activity'!$A:$Y,20,0)="","",VLOOKUP(AT$4,'Economic Activity'!$A:$Y,20,0)),"")</f>
        <v/>
      </c>
      <c r="AU21" s="16" t="str">
        <f>IFERROR(IF(VLOOKUP(AU$4,'Economic Activity'!$A:$Y,20,0)="","",VLOOKUP(AU$4,'Economic Activity'!$A:$Y,20,0)),"")</f>
        <v/>
      </c>
      <c r="AV21" s="16" t="str">
        <f>IFERROR(IF(VLOOKUP(AV$4,'Economic Activity'!$A:$Y,20,0)="","",VLOOKUP(AV$4,'Economic Activity'!$A:$Y,20,0)),"")</f>
        <v/>
      </c>
      <c r="AW21" s="16" t="str">
        <f>IFERROR(IF(VLOOKUP(AW$4,'Economic Activity'!$A:$Y,20,0)="","",VLOOKUP(AW$4,'Economic Activity'!$A:$Y,20,0)),"")</f>
        <v/>
      </c>
      <c r="AX21" s="16" t="str">
        <f>IFERROR(IF(VLOOKUP(AX$4,'Economic Activity'!$A:$Y,20,0)="","",VLOOKUP(AX$4,'Economic Activity'!$A:$Y,20,0)),"")</f>
        <v/>
      </c>
      <c r="AY21" s="16" t="str">
        <f>IFERROR(IF(VLOOKUP(AY$4,'Economic Activity'!$A:$Y,20,0)="","",VLOOKUP(AY$4,'Economic Activity'!$A:$Y,20,0)),"")</f>
        <v/>
      </c>
    </row>
    <row r="22" spans="1:51" ht="19.5" customHeight="1">
      <c r="A22" s="3"/>
      <c r="B22" s="24" t="s">
        <v>131</v>
      </c>
      <c r="C22" s="68"/>
      <c r="D22" s="53">
        <f>IFERROR(IF(VLOOKUP(D$4,'Economic Activity'!$A:$Y,21,0)="","",VLOOKUP(D$4,'Economic Activity'!$A:$Y,21,0)),"")</f>
        <v>58.7</v>
      </c>
      <c r="E22" s="53">
        <f>IFERROR(IF(VLOOKUP(E$4,'Economic Activity'!$A:$Y,21,0)="","",VLOOKUP(E$4,'Economic Activity'!$A:$Y,21,0)),"")</f>
        <v>60.8</v>
      </c>
      <c r="F22" s="53">
        <f>IFERROR(IF(VLOOKUP(F$4,'Economic Activity'!$A:$Y,21,0)="","",VLOOKUP(F$4,'Economic Activity'!$A:$Y,21,0)),"")</f>
        <v>64.7</v>
      </c>
      <c r="G22" s="53">
        <f>IFERROR(IF(VLOOKUP(G$4,'Economic Activity'!$A:$Y,21,0)="","",VLOOKUP(G$4,'Economic Activity'!$A:$Y,21,0)),"")</f>
        <v>60.7</v>
      </c>
      <c r="H22" s="53">
        <f>IFERROR(IF(VLOOKUP(H$4,'Economic Activity'!$A:$Y,21,0)="","",VLOOKUP(H$4,'Economic Activity'!$A:$Y,21,0)),"")</f>
        <v>61.2</v>
      </c>
      <c r="I22" s="53">
        <f>IFERROR(IF(VLOOKUP(I$4,'Economic Activity'!$A:$Y,21,0)="","",VLOOKUP(I$4,'Economic Activity'!$A:$Y,21,0)),"")</f>
        <v>60.6</v>
      </c>
      <c r="J22" s="53">
        <f>IFERROR(IF(VLOOKUP(J$4,'Economic Activity'!$A:$Y,21,0)="","",VLOOKUP(J$4,'Economic Activity'!$A:$Y,21,0)),"")</f>
        <v>59.5</v>
      </c>
      <c r="K22" s="53">
        <f>IFERROR(IF(VLOOKUP(K$4,'Economic Activity'!$A:$Y,21,0)="","",VLOOKUP(K$4,'Economic Activity'!$A:$Y,21,0)),"")</f>
        <v>59.9</v>
      </c>
      <c r="L22" s="53">
        <f>IFERROR(IF(VLOOKUP(L$4,'Economic Activity'!$A:$Y,21,0)="","",VLOOKUP(L$4,'Economic Activity'!$A:$Y,21,0)),"")</f>
        <v>61.1</v>
      </c>
      <c r="M22" s="53">
        <f>IFERROR(IF(VLOOKUP(M$4,'Economic Activity'!$A:$Y,21,0)="","",VLOOKUP(M$4,'Economic Activity'!$A:$Y,21,0)),"")</f>
        <v>60.8</v>
      </c>
      <c r="N22" s="53">
        <f>IFERROR(IF(VLOOKUP(N$4,'Economic Activity'!$A:$Y,21,0)="","",VLOOKUP(N$4,'Economic Activity'!$A:$Y,21,0)),"")</f>
        <v>61.1</v>
      </c>
      <c r="O22" s="53">
        <f>IFERROR(IF(VLOOKUP(O$4,'Economic Activity'!$A:$Y,21,0)="","",VLOOKUP(O$4,'Economic Activity'!$A:$Y,21,0)),"")</f>
        <v>58.8</v>
      </c>
      <c r="P22" s="53">
        <f>IFERROR(IF(VLOOKUP(P$4,'Economic Activity'!$A:$Y,21,0)="","",VLOOKUP(P$4,'Economic Activity'!$A:$Y,21,0)),"")</f>
        <v>57.6</v>
      </c>
      <c r="Q22" s="53">
        <f>IFERROR(IF(VLOOKUP(Q$4,'Economic Activity'!$A:$Y,21,0)="","",VLOOKUP(Q$4,'Economic Activity'!$A:$Y,21,0)),"")</f>
        <v>58.6</v>
      </c>
      <c r="R22" s="53">
        <f>IFERROR(IF(VLOOKUP(R$4,'Economic Activity'!$A:$Y,21,0)="","",VLOOKUP(R$4,'Economic Activity'!$A:$Y,21,0)),"")</f>
        <v>57.1</v>
      </c>
      <c r="S22" s="53">
        <f>IFERROR(IF(VLOOKUP(S$4,'Economic Activity'!$A:$Y,21,0)="","",VLOOKUP(S$4,'Economic Activity'!$A:$Y,21,0)),"")</f>
        <v>55.4</v>
      </c>
      <c r="T22" s="53">
        <f>IFERROR(IF(VLOOKUP(T$4,'Economic Activity'!$A:$Y,21,0)="","",VLOOKUP(T$4,'Economic Activity'!$A:$Y,21,0)),"")</f>
        <v>56.1</v>
      </c>
      <c r="U22" s="53">
        <f>IFERROR(IF(VLOOKUP(U$4,'Economic Activity'!$A:$Y,21,0)="","",VLOOKUP(U$4,'Economic Activity'!$A:$Y,21,0)),"")</f>
        <v>53</v>
      </c>
      <c r="V22" s="53">
        <f>IFERROR(IF(VLOOKUP(V$4,'Economic Activity'!$A:$Y,21,0)="","",VLOOKUP(V$4,'Economic Activity'!$A:$Y,21,0)),"")</f>
        <v>52.8</v>
      </c>
      <c r="W22" s="53">
        <f>IFERROR(IF(VLOOKUP(W$4,'Economic Activity'!$A:$Y,21,0)="","",VLOOKUP(W$4,'Economic Activity'!$A:$Y,21,0)),"")</f>
        <v>52.8</v>
      </c>
      <c r="X22" s="53">
        <f>IFERROR(IF(VLOOKUP(X$4,'Economic Activity'!$A:$Y,21,0)="","",VLOOKUP(X$4,'Economic Activity'!$A:$Y,21,0)),"")</f>
        <v>50.9</v>
      </c>
      <c r="Y22" s="53">
        <f>IFERROR(IF(VLOOKUP(Y$4,'Economic Activity'!$A:$Y,21,0)="","",VLOOKUP(Y$4,'Economic Activity'!$A:$Y,21,0)),"")</f>
        <v>50.2</v>
      </c>
      <c r="Z22" s="53">
        <f>IFERROR(IF(VLOOKUP(Z$4,'Economic Activity'!$A:$Y,21,0)="","",VLOOKUP(Z$4,'Economic Activity'!$A:$Y,21,0)),"")</f>
        <v>49</v>
      </c>
      <c r="AA22" s="53">
        <f>IFERROR(IF(VLOOKUP(AA$4,'Economic Activity'!$A:$Y,21,0)="","",VLOOKUP(AA$4,'Economic Activity'!$A:$Y,21,0)),"")</f>
        <v>48.4</v>
      </c>
      <c r="AB22" s="53">
        <f>IFERROR(IF(VLOOKUP(AB$4,'Economic Activity'!$A:$Y,21,0)="","",VLOOKUP(AB$4,'Economic Activity'!$A:$Y,21,0)),"")</f>
        <v>47.4</v>
      </c>
      <c r="AC22" s="53">
        <f>IFERROR(IF(VLOOKUP(AC$4,'Economic Activity'!$A:$Y,21,0)="","",VLOOKUP(AC$4,'Economic Activity'!$A:$Y,21,0)),"")</f>
        <v>47.7</v>
      </c>
      <c r="AD22" s="53">
        <f>IFERROR(IF(VLOOKUP(AD$4,'Economic Activity'!$A:$Y,21,0)="","",VLOOKUP(AD$4,'Economic Activity'!$A:$Y,21,0)),"")</f>
        <v>46.3</v>
      </c>
      <c r="AE22" s="53">
        <f>IFERROR(IF(VLOOKUP(AE$4,'Economic Activity'!$A:$Y,21,0)="","",VLOOKUP(AE$4,'Economic Activity'!$A:$Y,21,0)),"")</f>
        <v>47.1</v>
      </c>
      <c r="AF22" s="53">
        <f>IFERROR(IF(VLOOKUP(AF$4,'Economic Activity'!$A:$Y,21,0)="","",VLOOKUP(AF$4,'Economic Activity'!$A:$Y,21,0)),"")</f>
        <v>46.9</v>
      </c>
      <c r="AG22" s="53">
        <f>IFERROR(IF(VLOOKUP(AG$4,'Economic Activity'!$A:$Y,21,0)="","",VLOOKUP(AG$4,'Economic Activity'!$A:$Y,21,0)),"")</f>
        <v>46</v>
      </c>
      <c r="AH22" s="53">
        <f>IFERROR(IF(VLOOKUP(AH$4,'Economic Activity'!$A:$Y,21,0)="","",VLOOKUP(AH$4,'Economic Activity'!$A:$Y,21,0)),"")</f>
        <v>46.4</v>
      </c>
      <c r="AI22" s="53">
        <f>IFERROR(IF(VLOOKUP(AI$4,'Economic Activity'!$A:$Y,21,0)="","",VLOOKUP(AI$4,'Economic Activity'!$A:$Y,21,0)),"")</f>
        <v>47.6</v>
      </c>
      <c r="AJ22" s="53">
        <f>IFERROR(IF(VLOOKUP(AJ$4,'Economic Activity'!$A:$Y,21,0)="","",VLOOKUP(AJ$4,'Economic Activity'!$A:$Y,21,0)),"")</f>
        <v>49</v>
      </c>
      <c r="AK22" s="53">
        <f>IFERROR(IF(VLOOKUP(AK$4,'Economic Activity'!$A:$Y,21,0)="","",VLOOKUP(AK$4,'Economic Activity'!$A:$Y,21,0)),"")</f>
        <v>46.7</v>
      </c>
      <c r="AL22" s="53">
        <f>IFERROR(IF(VLOOKUP(AL$4,'Economic Activity'!$A:$Y,21,0)="","",VLOOKUP(AL$4,'Economic Activity'!$A:$Y,21,0)),"")</f>
        <v>46.7</v>
      </c>
      <c r="AM22" s="53">
        <f>IFERROR(IF(VLOOKUP(AM$4,'Economic Activity'!$A:$Y,21,0)="","",VLOOKUP(AM$4,'Economic Activity'!$A:$Y,21,0)),"")</f>
        <v>47.4</v>
      </c>
      <c r="AN22" s="53" t="str">
        <f>IFERROR(IF(VLOOKUP(AN$4,'Economic Activity'!$A:$Y,21,0)="","",VLOOKUP(AN$4,'Economic Activity'!$A:$Y,21,0)),"")</f>
        <v/>
      </c>
      <c r="AO22" s="53" t="str">
        <f>IFERROR(IF(VLOOKUP(AO$4,'Economic Activity'!$A:$Y,21,0)="","",VLOOKUP(AO$4,'Economic Activity'!$A:$Y,21,0)),"")</f>
        <v/>
      </c>
      <c r="AP22" s="53" t="str">
        <f>IFERROR(IF(VLOOKUP(AP$4,'Economic Activity'!$A:$Y,21,0)="","",VLOOKUP(AP$4,'Economic Activity'!$A:$Y,21,0)),"")</f>
        <v/>
      </c>
      <c r="AQ22" s="53" t="str">
        <f>IFERROR(IF(VLOOKUP(AQ$4,'Economic Activity'!$A:$Y,21,0)="","",VLOOKUP(AQ$4,'Economic Activity'!$A:$Y,21,0)),"")</f>
        <v/>
      </c>
      <c r="AR22" s="53" t="str">
        <f>IFERROR(IF(VLOOKUP(AR$4,'Economic Activity'!$A:$Y,21,0)="","",VLOOKUP(AR$4,'Economic Activity'!$A:$Y,21,0)),"")</f>
        <v/>
      </c>
      <c r="AS22" s="53" t="str">
        <f>IFERROR(IF(VLOOKUP(AS$4,'Economic Activity'!$A:$Y,21,0)="","",VLOOKUP(AS$4,'Economic Activity'!$A:$Y,21,0)),"")</f>
        <v/>
      </c>
      <c r="AT22" s="53" t="str">
        <f>IFERROR(IF(VLOOKUP(AT$4,'Economic Activity'!$A:$Y,21,0)="","",VLOOKUP(AT$4,'Economic Activity'!$A:$Y,21,0)),"")</f>
        <v/>
      </c>
      <c r="AU22" s="53" t="str">
        <f>IFERROR(IF(VLOOKUP(AU$4,'Economic Activity'!$A:$Y,21,0)="","",VLOOKUP(AU$4,'Economic Activity'!$A:$Y,21,0)),"")</f>
        <v/>
      </c>
      <c r="AV22" s="53" t="str">
        <f>IFERROR(IF(VLOOKUP(AV$4,'Economic Activity'!$A:$Y,21,0)="","",VLOOKUP(AV$4,'Economic Activity'!$A:$Y,21,0)),"")</f>
        <v/>
      </c>
      <c r="AW22" s="53" t="str">
        <f>IFERROR(IF(VLOOKUP(AW$4,'Economic Activity'!$A:$Y,21,0)="","",VLOOKUP(AW$4,'Economic Activity'!$A:$Y,21,0)),"")</f>
        <v/>
      </c>
      <c r="AX22" s="53" t="str">
        <f>IFERROR(IF(VLOOKUP(AX$4,'Economic Activity'!$A:$Y,21,0)="","",VLOOKUP(AX$4,'Economic Activity'!$A:$Y,21,0)),"")</f>
        <v/>
      </c>
      <c r="AY22" s="53" t="str">
        <f>IFERROR(IF(VLOOKUP(AY$4,'Economic Activity'!$A:$Y,21,0)="","",VLOOKUP(AY$4,'Economic Activity'!$A:$Y,21,0)),"")</f>
        <v/>
      </c>
    </row>
    <row r="23" spans="1:51" ht="19.5" customHeight="1">
      <c r="A23" s="3"/>
      <c r="B23" s="23" t="s">
        <v>54</v>
      </c>
      <c r="C23" s="47" t="s">
        <v>95</v>
      </c>
      <c r="D23" s="16">
        <f>IFERROR(IF(VLOOKUP(D$4,'Economic Activity'!$A:$T,3,0)*100="","",VLOOKUP(D$4,'Economic Activity'!$A:$T,3,0)*100),"")</f>
        <v>1.2451539664294131</v>
      </c>
      <c r="E23" s="16">
        <f>IFERROR(IF(VLOOKUP(E$4,'Economic Activity'!$A:$T,3,0)*100="","",VLOOKUP(E$4,'Economic Activity'!$A:$T,3,0)*100),"")</f>
        <v>-1.0077076590013334</v>
      </c>
      <c r="F23" s="16">
        <f>IFERROR(IF(VLOOKUP(F$4,'Economic Activity'!$A:$T,3,0)*100="","",VLOOKUP(F$4,'Economic Activity'!$A:$T,3,0)*100),"")</f>
        <v>4.2136232173132449</v>
      </c>
      <c r="G23" s="16">
        <f>IFERROR(IF(VLOOKUP(G$4,'Economic Activity'!$A:$T,3,0)*100="","",VLOOKUP(G$4,'Economic Activity'!$A:$T,3,0)*100),"")</f>
        <v>0.6931295413997951</v>
      </c>
      <c r="H23" s="16">
        <f>IFERROR(IF(VLOOKUP(H$4,'Economic Activity'!$A:$T,3,0)*100="","",VLOOKUP(H$4,'Economic Activity'!$A:$T,3,0)*100),"")</f>
        <v>-0.27900914416830735</v>
      </c>
      <c r="I23" s="16">
        <f>IFERROR(IF(VLOOKUP(I$4,'Economic Activity'!$A:$T,3,0)*100="","",VLOOKUP(I$4,'Economic Activity'!$A:$T,3,0)*100),"")</f>
        <v>0.86319573031259367</v>
      </c>
      <c r="J23" s="16">
        <f>IFERROR(IF(VLOOKUP(J$4,'Economic Activity'!$A:$T,3,0)*100="","",VLOOKUP(J$4,'Economic Activity'!$A:$T,3,0)*100),"")</f>
        <v>-0.21867660160362901</v>
      </c>
      <c r="K23" s="16">
        <f>IFERROR(IF(VLOOKUP(K$4,'Economic Activity'!$A:$T,3,0)*100="","",VLOOKUP(K$4,'Economic Activity'!$A:$T,3,0)*100),"")</f>
        <v>0.53436147186147753</v>
      </c>
      <c r="L23" s="16">
        <f>IFERROR(IF(VLOOKUP(L$4,'Economic Activity'!$A:$T,3,0)*100="","",VLOOKUP(L$4,'Economic Activity'!$A:$T,3,0)*100),"")</f>
        <v>0.24490345152392567</v>
      </c>
      <c r="M23" s="16">
        <f>IFERROR(IF(VLOOKUP(M$4,'Economic Activity'!$A:$T,3,0)*100="","",VLOOKUP(M$4,'Economic Activity'!$A:$T,3,0)*100),"")</f>
        <v>0.65707343919889638</v>
      </c>
      <c r="N23" s="16">
        <f>IFERROR(IF(VLOOKUP(N$4,'Economic Activity'!$A:$T,3,0)*100="","",VLOOKUP(N$4,'Economic Activity'!$A:$T,3,0)*100),"")</f>
        <v>0.14602628473125989</v>
      </c>
      <c r="O23" s="16">
        <f>IFERROR(IF(VLOOKUP(O$4,'Economic Activity'!$A:$T,3,0)*100="","",VLOOKUP(O$4,'Economic Activity'!$A:$T,3,0)*100),"")</f>
        <v>-0.32491743901140735</v>
      </c>
      <c r="P23" s="16">
        <f>IFERROR(IF(VLOOKUP(P$4,'Economic Activity'!$A:$T,3,0)*100="","",VLOOKUP(P$4,'Economic Activity'!$A:$T,3,0)*100),"")</f>
        <v>4.6758937636948161E-3</v>
      </c>
      <c r="Q23" s="16">
        <f>IFERROR(IF(VLOOKUP(Q$4,'Economic Activity'!$A:$T,3,0)*100="","",VLOOKUP(Q$4,'Economic Activity'!$A:$T,3,0)*100),"")</f>
        <v>6.3455591105521236E-2</v>
      </c>
      <c r="R23" s="16">
        <f>IFERROR(IF(VLOOKUP(R$4,'Economic Activity'!$A:$T,3,0)*100="","",VLOOKUP(R$4,'Economic Activity'!$A:$T,3,0)*100),"")</f>
        <v>0.35646102292297144</v>
      </c>
      <c r="S23" s="16">
        <f>IFERROR(IF(VLOOKUP(S$4,'Economic Activity'!$A:$T,3,0)*100="","",VLOOKUP(S$4,'Economic Activity'!$A:$T,3,0)*100),"")</f>
        <v>0.31728083011839381</v>
      </c>
      <c r="T23" s="16">
        <f>IFERROR(IF(VLOOKUP(T$4,'Economic Activity'!$A:$T,3,0)*100="","",VLOOKUP(T$4,'Economic Activity'!$A:$T,3,0)*100),"")</f>
        <v>-0.14388298401374344</v>
      </c>
      <c r="U23" s="16">
        <f>IFERROR(IF(VLOOKUP(U$4,'Economic Activity'!$A:$T,3,0)*100="","",VLOOKUP(U$4,'Economic Activity'!$A:$T,3,0)*100),"")</f>
        <v>3.8512616201846761E-2</v>
      </c>
      <c r="V23" s="16">
        <f>IFERROR(IF(VLOOKUP(V$4,'Economic Activity'!$A:$T,3,0)*100="","",VLOOKUP(V$4,'Economic Activity'!$A:$T,3,0)*100),"")</f>
        <v>2.1903914826970627E-2</v>
      </c>
      <c r="W23" s="16">
        <f>IFERROR(IF(VLOOKUP(W$4,'Economic Activity'!$A:$T,3,0)*100="","",VLOOKUP(W$4,'Economic Activity'!$A:$T,3,0)*100),"")</f>
        <v>0.44594567691500497</v>
      </c>
      <c r="X23" s="16">
        <f>IFERROR(IF(VLOOKUP(X$4,'Economic Activity'!$A:$T,3,0)*100="","",VLOOKUP(X$4,'Economic Activity'!$A:$T,3,0)*100),"")</f>
        <v>0.26690802904276723</v>
      </c>
      <c r="Y23" s="16">
        <f>IFERROR(IF(VLOOKUP(Y$4,'Economic Activity'!$A:$T,3,0)*100="","",VLOOKUP(Y$4,'Economic Activity'!$A:$T,3,0)*100),"")</f>
        <v>0.17131523980840058</v>
      </c>
      <c r="Z23" s="16">
        <f>IFERROR(IF(VLOOKUP(Z$4,'Economic Activity'!$A:$T,3,0)*100="","",VLOOKUP(Z$4,'Economic Activity'!$A:$T,3,0)*100),"")</f>
        <v>-0.3479645063048098</v>
      </c>
      <c r="AA23" s="16">
        <f>IFERROR(IF(VLOOKUP(AA$4,'Economic Activity'!$A:$T,3,0)*100="","",VLOOKUP(AA$4,'Economic Activity'!$A:$T,3,0)*100),"")</f>
        <v>7.8548891734553372E-2</v>
      </c>
      <c r="AB23" s="16">
        <f>IFERROR(IF(VLOOKUP(AB$4,'Economic Activity'!$A:$T,3,0)*100="","",VLOOKUP(AB$4,'Economic Activity'!$A:$T,3,0)*100),"")</f>
        <v>1.028248811149135</v>
      </c>
      <c r="AC23" s="16">
        <f>IFERROR(IF(VLOOKUP(AC$4,'Economic Activity'!$A:$T,3,0)*100="","",VLOOKUP(AC$4,'Economic Activity'!$A:$T,3,0)*100),"")</f>
        <v>5.1574659215547491E-2</v>
      </c>
      <c r="AD23" s="16">
        <f>IFERROR(IF(VLOOKUP(AD$4,'Economic Activity'!$A:$T,3,0)*100="","",VLOOKUP(AD$4,'Economic Activity'!$A:$T,3,0)*100),"")</f>
        <v>-0.19640468500212727</v>
      </c>
      <c r="AE23" s="16">
        <f>IFERROR(IF(VLOOKUP(AE$4,'Economic Activity'!$A:$T,3,0)*100="","",VLOOKUP(AE$4,'Economic Activity'!$A:$T,3,0)*100),"")</f>
        <v>0.140565137230797</v>
      </c>
      <c r="AF23" s="16">
        <f>IFERROR(IF(VLOOKUP(AF$4,'Economic Activity'!$A:$T,3,0)*100="","",VLOOKUP(AF$4,'Economic Activity'!$A:$T,3,0)*100),"")</f>
        <v>0.13383909276680761</v>
      </c>
      <c r="AG23" s="16">
        <f>IFERROR(IF(VLOOKUP(AG$4,'Economic Activity'!$A:$T,3,0)*100="","",VLOOKUP(AG$4,'Economic Activity'!$A:$T,3,0)*100),"")</f>
        <v>0.25362838551514777</v>
      </c>
      <c r="AH23" s="16">
        <f>IFERROR(IF(VLOOKUP(AH$4,'Economic Activity'!$A:$T,3,0)*100="","",VLOOKUP(AH$4,'Economic Activity'!$A:$T,3,0)*100),"")</f>
        <v>0.46825309079556732</v>
      </c>
      <c r="AI23" s="16">
        <f>IFERROR(IF(VLOOKUP(AI$4,'Economic Activity'!$A:$T,3,0)*100="","",VLOOKUP(AI$4,'Economic Activity'!$A:$T,3,0)*100),"")</f>
        <v>-5.5022235456325674E-2</v>
      </c>
      <c r="AJ23" s="16">
        <f>IFERROR(IF(VLOOKUP(AJ$4,'Economic Activity'!$A:$T,3,0)*100="","",VLOOKUP(AJ$4,'Economic Activity'!$A:$T,3,0)*100),"")</f>
        <v>0.36399435225844545</v>
      </c>
      <c r="AK23" s="16">
        <f>IFERROR(IF(VLOOKUP(AK$4,'Economic Activity'!$A:$T,3,0)*100="","",VLOOKUP(AK$4,'Economic Activity'!$A:$T,3,0)*100),"")</f>
        <v>7.6148683531229722E-2</v>
      </c>
      <c r="AL23" s="16">
        <f>IFERROR(IF(VLOOKUP(AL$4,'Economic Activity'!$A:$T,3,0)*100="","",VLOOKUP(AL$4,'Economic Activity'!$A:$T,3,0)*100),"")</f>
        <v>0.32048388552858853</v>
      </c>
      <c r="AM23" s="16" t="str">
        <f>IFERROR(IF(VLOOKUP(AM$4,'Economic Activity'!$A:$T,3,0)*100="","",VLOOKUP(AM$4,'Economic Activity'!$A:$T,3,0)*100),"")</f>
        <v/>
      </c>
      <c r="AN23" s="16" t="str">
        <f>IFERROR(IF(VLOOKUP(AN$4,'Economic Activity'!$A:$T,3,0)*100="","",VLOOKUP(AN$4,'Economic Activity'!$A:$T,3,0)*100),"")</f>
        <v/>
      </c>
      <c r="AO23" s="16" t="str">
        <f>IFERROR(IF(VLOOKUP(AO$4,'Economic Activity'!$A:$T,3,0)*100="","",VLOOKUP(AO$4,'Economic Activity'!$A:$T,3,0)*100),"")</f>
        <v/>
      </c>
      <c r="AP23" s="16" t="str">
        <f>IFERROR(IF(VLOOKUP(AP$4,'Economic Activity'!$A:$T,3,0)*100="","",VLOOKUP(AP$4,'Economic Activity'!$A:$T,3,0)*100),"")</f>
        <v/>
      </c>
      <c r="AQ23" s="16" t="str">
        <f>IFERROR(IF(VLOOKUP(AQ$4,'Economic Activity'!$A:$T,3,0)*100="","",VLOOKUP(AQ$4,'Economic Activity'!$A:$T,3,0)*100),"")</f>
        <v/>
      </c>
      <c r="AR23" s="16" t="str">
        <f>IFERROR(IF(VLOOKUP(AR$4,'Economic Activity'!$A:$T,3,0)*100="","",VLOOKUP(AR$4,'Economic Activity'!$A:$T,3,0)*100),"")</f>
        <v/>
      </c>
      <c r="AS23" s="16" t="str">
        <f>IFERROR(IF(VLOOKUP(AS$4,'Economic Activity'!$A:$T,3,0)*100="","",VLOOKUP(AS$4,'Economic Activity'!$A:$T,3,0)*100),"")</f>
        <v/>
      </c>
      <c r="AT23" s="16" t="str">
        <f>IFERROR(IF(VLOOKUP(AT$4,'Economic Activity'!$A:$T,3,0)*100="","",VLOOKUP(AT$4,'Economic Activity'!$A:$T,3,0)*100),"")</f>
        <v/>
      </c>
      <c r="AU23" s="16" t="str">
        <f>IFERROR(IF(VLOOKUP(AU$4,'Economic Activity'!$A:$T,3,0)*100="","",VLOOKUP(AU$4,'Economic Activity'!$A:$T,3,0)*100),"")</f>
        <v/>
      </c>
      <c r="AV23" s="16" t="str">
        <f>IFERROR(IF(VLOOKUP(AV$4,'Economic Activity'!$A:$T,3,0)*100="","",VLOOKUP(AV$4,'Economic Activity'!$A:$T,3,0)*100),"")</f>
        <v/>
      </c>
      <c r="AW23" s="16" t="str">
        <f>IFERROR(IF(VLOOKUP(AW$4,'Economic Activity'!$A:$T,3,0)*100="","",VLOOKUP(AW$4,'Economic Activity'!$A:$T,3,0)*100),"")</f>
        <v/>
      </c>
      <c r="AX23" s="16" t="str">
        <f>IFERROR(IF(VLOOKUP(AX$4,'Economic Activity'!$A:$T,3,0)*100="","",VLOOKUP(AX$4,'Economic Activity'!$A:$T,3,0)*100),"")</f>
        <v/>
      </c>
      <c r="AY23" s="16" t="str">
        <f>IFERROR(IF(VLOOKUP(AY$4,'Economic Activity'!$A:$T,3,0)*100="","",VLOOKUP(AY$4,'Economic Activity'!$A:$T,3,0)*100),"")</f>
        <v/>
      </c>
    </row>
    <row r="24" spans="1:51" ht="19.5" customHeight="1">
      <c r="A24" s="3"/>
      <c r="B24" s="2" t="s">
        <v>74</v>
      </c>
      <c r="C24" s="47" t="s">
        <v>95</v>
      </c>
      <c r="D24" s="16">
        <f>IFERROR(IF(VLOOKUP(D$4,'Economic Activity'!$A:$T,6,0)*100="","",VLOOKUP(D$4,'Economic Activity'!$A:$T,6,0)*100),"")</f>
        <v>0.8249009445228328</v>
      </c>
      <c r="E24" s="16">
        <f>IFERROR(IF(VLOOKUP(E$4,'Economic Activity'!$A:$T,6,0)*100="","",VLOOKUP(E$4,'Economic Activity'!$A:$T,6,0)*100),"")</f>
        <v>-3.4511801554104271</v>
      </c>
      <c r="F24" s="16">
        <f>IFERROR(IF(VLOOKUP(F$4,'Economic Activity'!$A:$T,6,0)*100="","",VLOOKUP(F$4,'Economic Activity'!$A:$T,6,0)*100),"")</f>
        <v>2.8945922595581264</v>
      </c>
      <c r="G24" s="16">
        <f>IFERROR(IF(VLOOKUP(G$4,'Economic Activity'!$A:$T,6,0)*100="","",VLOOKUP(G$4,'Economic Activity'!$A:$T,6,0)*100),"")</f>
        <v>0.15641702102511257</v>
      </c>
      <c r="H24" s="16">
        <f>IFERROR(IF(VLOOKUP(H$4,'Economic Activity'!$A:$T,6,0)*100="","",VLOOKUP(H$4,'Economic Activity'!$A:$T,6,0)*100),"")</f>
        <v>0.8772126167226002</v>
      </c>
      <c r="I24" s="16">
        <f>IFERROR(IF(VLOOKUP(I$4,'Economic Activity'!$A:$T,6,0)*100="","",VLOOKUP(I$4,'Economic Activity'!$A:$T,6,0)*100),"")</f>
        <v>0.36187302573453817</v>
      </c>
      <c r="J24" s="16">
        <f>IFERROR(IF(VLOOKUP(J$4,'Economic Activity'!$A:$T,6,0)*100="","",VLOOKUP(J$4,'Economic Activity'!$A:$T,6,0)*100),"")</f>
        <v>0.61652343090514705</v>
      </c>
      <c r="K24" s="16">
        <f>IFERROR(IF(VLOOKUP(K$4,'Economic Activity'!$A:$T,6,0)*100="","",VLOOKUP(K$4,'Economic Activity'!$A:$T,6,0)*100),"")</f>
        <v>2.397049232394366E-3</v>
      </c>
      <c r="L24" s="16">
        <f>IFERROR(IF(VLOOKUP(L$4,'Economic Activity'!$A:$T,6,0)*100="","",VLOOKUP(L$4,'Economic Activity'!$A:$T,6,0)*100),"")</f>
        <v>-1.0627662283833716</v>
      </c>
      <c r="M24" s="16">
        <f>IFERROR(IF(VLOOKUP(M$4,'Economic Activity'!$A:$T,6,0)*100="","",VLOOKUP(M$4,'Economic Activity'!$A:$T,6,0)*100),"")</f>
        <v>1.254878287607486</v>
      </c>
      <c r="N24" s="16">
        <f>IFERROR(IF(VLOOKUP(N$4,'Economic Activity'!$A:$T,6,0)*100="","",VLOOKUP(N$4,'Economic Activity'!$A:$T,6,0)*100),"")</f>
        <v>0.88989028408497095</v>
      </c>
      <c r="O24" s="16">
        <f>IFERROR(IF(VLOOKUP(O$4,'Economic Activity'!$A:$T,6,0)*100="","",VLOOKUP(O$4,'Economic Activity'!$A:$T,6,0)*100),"")</f>
        <v>-0.30741987665655612</v>
      </c>
      <c r="P24" s="16">
        <f>IFERROR(IF(VLOOKUP(P$4,'Economic Activity'!$A:$T,6,0)*100="","",VLOOKUP(P$4,'Economic Activity'!$A:$T,6,0)*100),"")</f>
        <v>0.13549947465456569</v>
      </c>
      <c r="Q24" s="16">
        <f>IFERROR(IF(VLOOKUP(Q$4,'Economic Activity'!$A:$T,6,0)*100="","",VLOOKUP(Q$4,'Economic Activity'!$A:$T,6,0)*100),"")</f>
        <v>0.64728026473257483</v>
      </c>
      <c r="R24" s="16">
        <f>IFERROR(IF(VLOOKUP(R$4,'Economic Activity'!$A:$T,6,0)*100="","",VLOOKUP(R$4,'Economic Activity'!$A:$T,6,0)*100),"")</f>
        <v>0.78818528550326228</v>
      </c>
      <c r="S24" s="16">
        <f>IFERROR(IF(VLOOKUP(S$4,'Economic Activity'!$A:$T,6,0)*100="","",VLOOKUP(S$4,'Economic Activity'!$A:$T,6,0)*100),"")</f>
        <v>0.30962743222935352</v>
      </c>
      <c r="T24" s="16">
        <f>IFERROR(IF(VLOOKUP(T$4,'Economic Activity'!$A:$T,6,0)*100="","",VLOOKUP(T$4,'Economic Activity'!$A:$T,6,0)*100),"")</f>
        <v>-1.7899651054087418E-2</v>
      </c>
      <c r="U24" s="16">
        <f>IFERROR(IF(VLOOKUP(U$4,'Economic Activity'!$A:$T,6,0)*100="","",VLOOKUP(U$4,'Economic Activity'!$A:$T,6,0)*100),"")</f>
        <v>-8.8152104217964489E-2</v>
      </c>
      <c r="V24" s="16">
        <f>IFERROR(IF(VLOOKUP(V$4,'Economic Activity'!$A:$T,6,0)*100="","",VLOOKUP(V$4,'Economic Activity'!$A:$T,6,0)*100),"")</f>
        <v>0.43481944524246252</v>
      </c>
      <c r="W24" s="16">
        <f>IFERROR(IF(VLOOKUP(W$4,'Economic Activity'!$A:$T,6,0)*100="","",VLOOKUP(W$4,'Economic Activity'!$A:$T,6,0)*100),"")</f>
        <v>9.8513760898555347E-2</v>
      </c>
      <c r="X24" s="16">
        <f>IFERROR(IF(VLOOKUP(X$4,'Economic Activity'!$A:$T,6,0)*100="","",VLOOKUP(X$4,'Economic Activity'!$A:$T,6,0)*100),"")</f>
        <v>0.28469192439730673</v>
      </c>
      <c r="Y24" s="16">
        <f>IFERROR(IF(VLOOKUP(Y$4,'Economic Activity'!$A:$T,6,0)*100="","",VLOOKUP(Y$4,'Economic Activity'!$A:$T,6,0)*100),"")</f>
        <v>-0.11291598529098446</v>
      </c>
      <c r="Z24" s="16">
        <f>IFERROR(IF(VLOOKUP(Z$4,'Economic Activity'!$A:$T,6,0)*100="","",VLOOKUP(Z$4,'Economic Activity'!$A:$T,6,0)*100),"")</f>
        <v>-0.32946077511764038</v>
      </c>
      <c r="AA24" s="16">
        <f>IFERROR(IF(VLOOKUP(AA$4,'Economic Activity'!$A:$T,6,0)*100="","",VLOOKUP(AA$4,'Economic Activity'!$A:$T,6,0)*100),"")</f>
        <v>-1.5386525947723162</v>
      </c>
      <c r="AB24" s="16">
        <f>IFERROR(IF(VLOOKUP(AB$4,'Economic Activity'!$A:$T,6,0)*100="","",VLOOKUP(AB$4,'Economic Activity'!$A:$T,6,0)*100),"")</f>
        <v>1.04744749952701</v>
      </c>
      <c r="AC24" s="16">
        <f>IFERROR(IF(VLOOKUP(AC$4,'Economic Activity'!$A:$T,6,0)*100="","",VLOOKUP(AC$4,'Economic Activity'!$A:$T,6,0)*100),"")</f>
        <v>1.8820491517135274E-2</v>
      </c>
      <c r="AD24" s="16">
        <f>IFERROR(IF(VLOOKUP(AD$4,'Economic Activity'!$A:$T,6,0)*100="","",VLOOKUP(AD$4,'Economic Activity'!$A:$T,6,0)*100),"")</f>
        <v>8.9794875744764191E-2</v>
      </c>
      <c r="AE24" s="16">
        <f>IFERROR(IF(VLOOKUP(AE$4,'Economic Activity'!$A:$T,6,0)*100="","",VLOOKUP(AE$4,'Economic Activity'!$A:$T,6,0)*100),"")</f>
        <v>0.47925563417599015</v>
      </c>
      <c r="AF24" s="16">
        <f>IFERROR(IF(VLOOKUP(AF$4,'Economic Activity'!$A:$T,6,0)*100="","",VLOOKUP(AF$4,'Economic Activity'!$A:$T,6,0)*100),"")</f>
        <v>-0.22025919233125135</v>
      </c>
      <c r="AG24" s="16">
        <f>IFERROR(IF(VLOOKUP(AG$4,'Economic Activity'!$A:$T,6,0)*100="","",VLOOKUP(AG$4,'Economic Activity'!$A:$T,6,0)*100),"")</f>
        <v>-0.60607827134584458</v>
      </c>
      <c r="AH24" s="16">
        <f>IFERROR(IF(VLOOKUP(AH$4,'Economic Activity'!$A:$T,6,0)*100="","",VLOOKUP(AH$4,'Economic Activity'!$A:$T,6,0)*100),"")</f>
        <v>0.89579492513209846</v>
      </c>
      <c r="AI24" s="16">
        <f>IFERROR(IF(VLOOKUP(AI$4,'Economic Activity'!$A:$T,6,0)*100="","",VLOOKUP(AI$4,'Economic Activity'!$A:$T,6,0)*100),"")</f>
        <v>-7.7506912647962167E-4</v>
      </c>
      <c r="AJ24" s="16">
        <f>IFERROR(IF(VLOOKUP(AJ$4,'Economic Activity'!$A:$T,6,0)*100="","",VLOOKUP(AJ$4,'Economic Activity'!$A:$T,6,0)*100),"")</f>
        <v>0.11781142034457126</v>
      </c>
      <c r="AK24" s="16">
        <f>IFERROR(IF(VLOOKUP(AK$4,'Economic Activity'!$A:$T,6,0)*100="","",VLOOKUP(AK$4,'Economic Activity'!$A:$T,6,0)*100),"")</f>
        <v>-0.88883598774500694</v>
      </c>
      <c r="AL24" s="16">
        <f>IFERROR(IF(VLOOKUP(AL$4,'Economic Activity'!$A:$T,6,0)*100="","",VLOOKUP(AL$4,'Economic Activity'!$A:$T,6,0)*100),"")</f>
        <v>0.24038531950645314</v>
      </c>
      <c r="AM24" s="16" t="str">
        <f>IFERROR(IF(VLOOKUP(AM$4,'Economic Activity'!$A:$T,6,0)*100="","",VLOOKUP(AM$4,'Economic Activity'!$A:$T,6,0)*100),"")</f>
        <v/>
      </c>
      <c r="AN24" s="16" t="str">
        <f>IFERROR(IF(VLOOKUP(AN$4,'Economic Activity'!$A:$T,6,0)*100="","",VLOOKUP(AN$4,'Economic Activity'!$A:$T,6,0)*100),"")</f>
        <v/>
      </c>
      <c r="AO24" s="16" t="str">
        <f>IFERROR(IF(VLOOKUP(AO$4,'Economic Activity'!$A:$T,6,0)*100="","",VLOOKUP(AO$4,'Economic Activity'!$A:$T,6,0)*100),"")</f>
        <v/>
      </c>
      <c r="AP24" s="16" t="str">
        <f>IFERROR(IF(VLOOKUP(AP$4,'Economic Activity'!$A:$T,6,0)*100="","",VLOOKUP(AP$4,'Economic Activity'!$A:$T,6,0)*100),"")</f>
        <v/>
      </c>
      <c r="AQ24" s="16" t="str">
        <f>IFERROR(IF(VLOOKUP(AQ$4,'Economic Activity'!$A:$T,6,0)*100="","",VLOOKUP(AQ$4,'Economic Activity'!$A:$T,6,0)*100),"")</f>
        <v/>
      </c>
      <c r="AR24" s="16" t="str">
        <f>IFERROR(IF(VLOOKUP(AR$4,'Economic Activity'!$A:$T,6,0)*100="","",VLOOKUP(AR$4,'Economic Activity'!$A:$T,6,0)*100),"")</f>
        <v/>
      </c>
      <c r="AS24" s="16" t="str">
        <f>IFERROR(IF(VLOOKUP(AS$4,'Economic Activity'!$A:$T,6,0)*100="","",VLOOKUP(AS$4,'Economic Activity'!$A:$T,6,0)*100),"")</f>
        <v/>
      </c>
      <c r="AT24" s="16" t="str">
        <f>IFERROR(IF(VLOOKUP(AT$4,'Economic Activity'!$A:$T,6,0)*100="","",VLOOKUP(AT$4,'Economic Activity'!$A:$T,6,0)*100),"")</f>
        <v/>
      </c>
      <c r="AU24" s="16" t="str">
        <f>IFERROR(IF(VLOOKUP(AU$4,'Economic Activity'!$A:$T,6,0)*100="","",VLOOKUP(AU$4,'Economic Activity'!$A:$T,6,0)*100),"")</f>
        <v/>
      </c>
      <c r="AV24" s="16" t="str">
        <f>IFERROR(IF(VLOOKUP(AV$4,'Economic Activity'!$A:$T,6,0)*100="","",VLOOKUP(AV$4,'Economic Activity'!$A:$T,6,0)*100),"")</f>
        <v/>
      </c>
      <c r="AW24" s="16" t="str">
        <f>IFERROR(IF(VLOOKUP(AW$4,'Economic Activity'!$A:$T,6,0)*100="","",VLOOKUP(AW$4,'Economic Activity'!$A:$T,6,0)*100),"")</f>
        <v/>
      </c>
      <c r="AX24" s="16" t="str">
        <f>IFERROR(IF(VLOOKUP(AX$4,'Economic Activity'!$A:$T,6,0)*100="","",VLOOKUP(AX$4,'Economic Activity'!$A:$T,6,0)*100),"")</f>
        <v/>
      </c>
      <c r="AY24" s="16" t="str">
        <f>IFERROR(IF(VLOOKUP(AY$4,'Economic Activity'!$A:$T,6,0)*100="","",VLOOKUP(AY$4,'Economic Activity'!$A:$T,6,0)*100),"")</f>
        <v/>
      </c>
    </row>
    <row r="25" spans="1:51" ht="19.5" customHeight="1">
      <c r="A25" s="3"/>
      <c r="B25" s="2" t="s">
        <v>10</v>
      </c>
      <c r="C25" s="47" t="s">
        <v>95</v>
      </c>
      <c r="D25" s="16">
        <f>IFERROR(IF(VLOOKUP(D$4,'Economic Activity'!$A:$T,9,0)*100="","",VLOOKUP(D$4,'Economic Activity'!$A:$T,9,0)*100),"")</f>
        <v>3.473476821071686</v>
      </c>
      <c r="E25" s="16">
        <f>IFERROR(IF(VLOOKUP(E$4,'Economic Activity'!$A:$T,9,0)*100="","",VLOOKUP(E$4,'Economic Activity'!$A:$T,9,0)*100),"")</f>
        <v>-2.5258690798845573</v>
      </c>
      <c r="F25" s="16">
        <f>IFERROR(IF(VLOOKUP(F$4,'Economic Activity'!$A:$T,9,0)*100="","",VLOOKUP(F$4,'Economic Activity'!$A:$T,9,0)*100),"")</f>
        <v>10.928244874569536</v>
      </c>
      <c r="G25" s="16">
        <f>IFERROR(IF(VLOOKUP(G$4,'Economic Activity'!$A:$T,9,0)*100="","",VLOOKUP(G$4,'Economic Activity'!$A:$T,9,0)*100),"")</f>
        <v>0.80948969496712486</v>
      </c>
      <c r="H25" s="16">
        <f>IFERROR(IF(VLOOKUP(H$4,'Economic Activity'!$A:$T,9,0)*100="","",VLOOKUP(H$4,'Economic Activity'!$A:$T,9,0)*100),"")</f>
        <v>-0.83441301026820902</v>
      </c>
      <c r="I25" s="16">
        <f>IFERROR(IF(VLOOKUP(I$4,'Economic Activity'!$A:$T,9,0)*100="","",VLOOKUP(I$4,'Economic Activity'!$A:$T,9,0)*100),"")</f>
        <v>1.0130358901358161</v>
      </c>
      <c r="J25" s="16">
        <f>IFERROR(IF(VLOOKUP(J$4,'Economic Activity'!$A:$T,9,0)*100="","",VLOOKUP(J$4,'Economic Activity'!$A:$T,9,0)*100),"")</f>
        <v>-1.4829186051749321</v>
      </c>
      <c r="K25" s="16">
        <f>IFERROR(IF(VLOOKUP(K$4,'Economic Activity'!$A:$T,9,0)*100="","",VLOOKUP(K$4,'Economic Activity'!$A:$T,9,0)*100),"")</f>
        <v>0.85957733093400268</v>
      </c>
      <c r="L25" s="16">
        <f>IFERROR(IF(VLOOKUP(L$4,'Economic Activity'!$A:$T,9,0)*100="","",VLOOKUP(L$4,'Economic Activity'!$A:$T,9,0)*100),"")</f>
        <v>0.71981582040545611</v>
      </c>
      <c r="M25" s="16">
        <f>IFERROR(IF(VLOOKUP(M$4,'Economic Activity'!$A:$T,9,0)*100="","",VLOOKUP(M$4,'Economic Activity'!$A:$T,9,0)*100),"")</f>
        <v>1.6011792240525624</v>
      </c>
      <c r="N25" s="16">
        <f>IFERROR(IF(VLOOKUP(N$4,'Economic Activity'!$A:$T,9,0)*100="","",VLOOKUP(N$4,'Economic Activity'!$A:$T,9,0)*100),"")</f>
        <v>1.1332695213308819</v>
      </c>
      <c r="O25" s="16">
        <f>IFERROR(IF(VLOOKUP(O$4,'Economic Activity'!$A:$T,9,0)*100="","",VLOOKUP(O$4,'Economic Activity'!$A:$T,9,0)*100),"")</f>
        <v>-0.56787249619854041</v>
      </c>
      <c r="P25" s="16">
        <f>IFERROR(IF(VLOOKUP(P$4,'Economic Activity'!$A:$T,9,0)*100="","",VLOOKUP(P$4,'Economic Activity'!$A:$T,9,0)*100),"")</f>
        <v>1.4399038385898066</v>
      </c>
      <c r="Q25" s="16">
        <f>IFERROR(IF(VLOOKUP(Q$4,'Economic Activity'!$A:$T,9,0)*100="","",VLOOKUP(Q$4,'Economic Activity'!$A:$T,9,0)*100),"")</f>
        <v>1.3651803024428144</v>
      </c>
      <c r="R25" s="16">
        <f>IFERROR(IF(VLOOKUP(R$4,'Economic Activity'!$A:$T,9,0)*100="","",VLOOKUP(R$4,'Economic Activity'!$A:$T,9,0)*100),"")</f>
        <v>2.0653291551399056</v>
      </c>
      <c r="S25" s="16">
        <f>IFERROR(IF(VLOOKUP(S$4,'Economic Activity'!$A:$T,9,0)*100="","",VLOOKUP(S$4,'Economic Activity'!$A:$T,9,0)*100),"")</f>
        <v>1.3265872123529032</v>
      </c>
      <c r="T25" s="16">
        <f>IFERROR(IF(VLOOKUP(T$4,'Economic Activity'!$A:$T,9,0)*100="","",VLOOKUP(T$4,'Economic Activity'!$A:$T,9,0)*100),"")</f>
        <v>-0.14558388161545199</v>
      </c>
      <c r="U25" s="16">
        <f>IFERROR(IF(VLOOKUP(U$4,'Economic Activity'!$A:$T,9,0)*100="","",VLOOKUP(U$4,'Economic Activity'!$A:$T,9,0)*100),"")</f>
        <v>0.82973411466629177</v>
      </c>
      <c r="V25" s="16">
        <f>IFERROR(IF(VLOOKUP(V$4,'Economic Activity'!$A:$T,9,0)*100="","",VLOOKUP(V$4,'Economic Activity'!$A:$T,9,0)*100),"")</f>
        <v>-0.68962476947606044</v>
      </c>
      <c r="W25" s="16">
        <f>IFERROR(IF(VLOOKUP(W$4,'Economic Activity'!$A:$T,9,0)*100="","",VLOOKUP(W$4,'Economic Activity'!$A:$T,9,0)*100),"")</f>
        <v>0.65549804534330569</v>
      </c>
      <c r="X25" s="16">
        <f>IFERROR(IF(VLOOKUP(X$4,'Economic Activity'!$A:$T,9,0)*100="","",VLOOKUP(X$4,'Economic Activity'!$A:$T,9,0)*100),"")</f>
        <v>-0.30135890816932465</v>
      </c>
      <c r="Y25" s="16">
        <f>IFERROR(IF(VLOOKUP(Y$4,'Economic Activity'!$A:$T,9,0)*100="","",VLOOKUP(Y$4,'Economic Activity'!$A:$T,9,0)*100),"")</f>
        <v>1.496604256548939</v>
      </c>
      <c r="Z25" s="16">
        <f>IFERROR(IF(VLOOKUP(Z$4,'Economic Activity'!$A:$T,9,0)*100="","",VLOOKUP(Z$4,'Economic Activity'!$A:$T,9,0)*100),"")</f>
        <v>-1.5102738133978</v>
      </c>
      <c r="AA25" s="16">
        <f>IFERROR(IF(VLOOKUP(AA$4,'Economic Activity'!$A:$T,9,0)*100="","",VLOOKUP(AA$4,'Economic Activity'!$A:$T,9,0)*100),"")</f>
        <v>-0.63971703178377082</v>
      </c>
      <c r="AB25" s="16">
        <f>IFERROR(IF(VLOOKUP(AB$4,'Economic Activity'!$A:$T,9,0)*100="","",VLOOKUP(AB$4,'Economic Activity'!$A:$T,9,0)*100),"")</f>
        <v>2.8030682032424759</v>
      </c>
      <c r="AC25" s="16">
        <f>IFERROR(IF(VLOOKUP(AC$4,'Economic Activity'!$A:$T,9,0)*100="","",VLOOKUP(AC$4,'Economic Activity'!$A:$T,9,0)*100),"")</f>
        <v>-0.65833839951133788</v>
      </c>
      <c r="AD25" s="16">
        <f>IFERROR(IF(VLOOKUP(AD$4,'Economic Activity'!$A:$T,9,0)*100="","",VLOOKUP(AD$4,'Economic Activity'!$A:$T,9,0)*100),"")</f>
        <v>-0.91126868253428306</v>
      </c>
      <c r="AE25" s="16">
        <f>IFERROR(IF(VLOOKUP(AE$4,'Economic Activity'!$A:$T,9,0)*100="","",VLOOKUP(AE$4,'Economic Activity'!$A:$T,9,0)*100),"")</f>
        <v>0.43466588818978913</v>
      </c>
      <c r="AF25" s="16">
        <f>IFERROR(IF(VLOOKUP(AF$4,'Economic Activity'!$A:$T,9,0)*100="","",VLOOKUP(AF$4,'Economic Activity'!$A:$T,9,0)*100),"")</f>
        <v>0.66049696481049747</v>
      </c>
      <c r="AG25" s="16">
        <f>IFERROR(IF(VLOOKUP(AG$4,'Economic Activity'!$A:$T,9,0)*100="","",VLOOKUP(AG$4,'Economic Activity'!$A:$T,9,0)*100),"")</f>
        <v>0.19734226403813615</v>
      </c>
      <c r="AH25" s="16">
        <f>IFERROR(IF(VLOOKUP(AH$4,'Economic Activity'!$A:$T,9,0)*100="","",VLOOKUP(AH$4,'Economic Activity'!$A:$T,9,0)*100),"")</f>
        <v>0.56435893054200825</v>
      </c>
      <c r="AI25" s="16">
        <f>IFERROR(IF(VLOOKUP(AI$4,'Economic Activity'!$A:$T,9,0)*100="","",VLOOKUP(AI$4,'Economic Activity'!$A:$T,9,0)*100),"")</f>
        <v>0.73803129252680844</v>
      </c>
      <c r="AJ25" s="16">
        <f>IFERROR(IF(VLOOKUP(AJ$4,'Economic Activity'!$A:$T,9,0)*100="","",VLOOKUP(AJ$4,'Economic Activity'!$A:$T,9,0)*100),"")</f>
        <v>0.82397003745318109</v>
      </c>
      <c r="AK25" s="16">
        <f>IFERROR(IF(VLOOKUP(AK$4,'Economic Activity'!$A:$T,9,0)*100="","",VLOOKUP(AK$4,'Economic Activity'!$A:$T,9,0)*100),"")</f>
        <v>-0.25180631330603553</v>
      </c>
      <c r="AL25" s="16">
        <f>IFERROR(IF(VLOOKUP(AL$4,'Economic Activity'!$A:$T,9,0)*100="","",VLOOKUP(AL$4,'Economic Activity'!$A:$T,9,0)*100),"")</f>
        <v>0.34867126823665551</v>
      </c>
      <c r="AM25" s="16">
        <f>IFERROR(IF(VLOOKUP(AM$4,'Economic Activity'!$A:$T,9,0)*100="","",VLOOKUP(AM$4,'Economic Activity'!$A:$T,9,0)*100),"")</f>
        <v>0.5536976207574984</v>
      </c>
      <c r="AN25" s="16" t="str">
        <f>IFERROR(IF(VLOOKUP(AN$4,'Economic Activity'!$A:$T,9,0)*100="","",VLOOKUP(AN$4,'Economic Activity'!$A:$T,9,0)*100),"")</f>
        <v/>
      </c>
      <c r="AO25" s="16" t="str">
        <f>IFERROR(IF(VLOOKUP(AO$4,'Economic Activity'!$A:$T,9,0)*100="","",VLOOKUP(AO$4,'Economic Activity'!$A:$T,9,0)*100),"")</f>
        <v/>
      </c>
      <c r="AP25" s="16" t="str">
        <f>IFERROR(IF(VLOOKUP(AP$4,'Economic Activity'!$A:$T,9,0)*100="","",VLOOKUP(AP$4,'Economic Activity'!$A:$T,9,0)*100),"")</f>
        <v/>
      </c>
      <c r="AQ25" s="16" t="str">
        <f>IFERROR(IF(VLOOKUP(AQ$4,'Economic Activity'!$A:$T,9,0)*100="","",VLOOKUP(AQ$4,'Economic Activity'!$A:$T,9,0)*100),"")</f>
        <v/>
      </c>
      <c r="AR25" s="16" t="str">
        <f>IFERROR(IF(VLOOKUP(AR$4,'Economic Activity'!$A:$T,9,0)*100="","",VLOOKUP(AR$4,'Economic Activity'!$A:$T,9,0)*100),"")</f>
        <v/>
      </c>
      <c r="AS25" s="16" t="str">
        <f>IFERROR(IF(VLOOKUP(AS$4,'Economic Activity'!$A:$T,9,0)*100="","",VLOOKUP(AS$4,'Economic Activity'!$A:$T,9,0)*100),"")</f>
        <v/>
      </c>
      <c r="AT25" s="16" t="str">
        <f>IFERROR(IF(VLOOKUP(AT$4,'Economic Activity'!$A:$T,9,0)*100="","",VLOOKUP(AT$4,'Economic Activity'!$A:$T,9,0)*100),"")</f>
        <v/>
      </c>
      <c r="AU25" s="16" t="str">
        <f>IFERROR(IF(VLOOKUP(AU$4,'Economic Activity'!$A:$T,9,0)*100="","",VLOOKUP(AU$4,'Economic Activity'!$A:$T,9,0)*100),"")</f>
        <v/>
      </c>
      <c r="AV25" s="16" t="str">
        <f>IFERROR(IF(VLOOKUP(AV$4,'Economic Activity'!$A:$T,9,0)*100="","",VLOOKUP(AV$4,'Economic Activity'!$A:$T,9,0)*100),"")</f>
        <v/>
      </c>
      <c r="AW25" s="16" t="str">
        <f>IFERROR(IF(VLOOKUP(AW$4,'Economic Activity'!$A:$T,9,0)*100="","",VLOOKUP(AW$4,'Economic Activity'!$A:$T,9,0)*100),"")</f>
        <v/>
      </c>
      <c r="AX25" s="16" t="str">
        <f>IFERROR(IF(VLOOKUP(AX$4,'Economic Activity'!$A:$T,9,0)*100="","",VLOOKUP(AX$4,'Economic Activity'!$A:$T,9,0)*100),"")</f>
        <v/>
      </c>
      <c r="AY25" s="16" t="str">
        <f>IFERROR(IF(VLOOKUP(AY$4,'Economic Activity'!$A:$T,9,0)*100="","",VLOOKUP(AY$4,'Economic Activity'!$A:$T,9,0)*100),"")</f>
        <v/>
      </c>
    </row>
    <row r="26" spans="1:51" ht="19.5" customHeight="1">
      <c r="A26" s="3"/>
      <c r="B26" s="2" t="s">
        <v>75</v>
      </c>
      <c r="C26" s="47" t="s">
        <v>95</v>
      </c>
      <c r="D26" s="16">
        <f>IFERROR(IF(VLOOKUP(D$4,'Economic Activity'!$A:$T,12,0)*100="","",VLOOKUP(D$4,'Economic Activity'!$A:$T,12,0)*100),"")</f>
        <v>3.9491865694310846</v>
      </c>
      <c r="E26" s="16">
        <f>IFERROR(IF(VLOOKUP(E$4,'Economic Activity'!$A:$T,12,0)*100="","",VLOOKUP(E$4,'Economic Activity'!$A:$T,12,0)*100),"")</f>
        <v>-2.4408518043275707</v>
      </c>
      <c r="F26" s="16">
        <f>IFERROR(IF(VLOOKUP(F$4,'Economic Activity'!$A:$T,12,0)*100="","",VLOOKUP(F$4,'Economic Activity'!$A:$T,12,0)*100),"")</f>
        <v>9.2023089102042821</v>
      </c>
      <c r="G26" s="16">
        <f>IFERROR(IF(VLOOKUP(G$4,'Economic Activity'!$A:$T,12,0)*100="","",VLOOKUP(G$4,'Economic Activity'!$A:$T,12,0)*100),"")</f>
        <v>0.45475262900640523</v>
      </c>
      <c r="H26" s="16">
        <f>IFERROR(IF(VLOOKUP(H$4,'Economic Activity'!$A:$T,12,0)*100="","",VLOOKUP(H$4,'Economic Activity'!$A:$T,12,0)*100),"")</f>
        <v>-0.58449877228567981</v>
      </c>
      <c r="I26" s="16">
        <f>IFERROR(IF(VLOOKUP(I$4,'Economic Activity'!$A:$T,12,0)*100="","",VLOOKUP(I$4,'Economic Activity'!$A:$T,12,0)*100),"")</f>
        <v>2.0708867765164563</v>
      </c>
      <c r="J26" s="16">
        <f>IFERROR(IF(VLOOKUP(J$4,'Economic Activity'!$A:$T,12,0)*100="","",VLOOKUP(J$4,'Economic Activity'!$A:$T,12,0)*100),"")</f>
        <v>-0.81211495857484994</v>
      </c>
      <c r="K26" s="16">
        <f>IFERROR(IF(VLOOKUP(K$4,'Economic Activity'!$A:$T,12,0)*100="","",VLOOKUP(K$4,'Economic Activity'!$A:$T,12,0)*100),"")</f>
        <v>1.5616490328423493</v>
      </c>
      <c r="L26" s="16">
        <f>IFERROR(IF(VLOOKUP(L$4,'Economic Activity'!$A:$T,12,0)*100="","",VLOOKUP(L$4,'Economic Activity'!$A:$T,12,0)*100),"")</f>
        <v>0.61939277816942528</v>
      </c>
      <c r="M26" s="16">
        <f>IFERROR(IF(VLOOKUP(M$4,'Economic Activity'!$A:$T,12,0)*100="","",VLOOKUP(M$4,'Economic Activity'!$A:$T,12,0)*100),"")</f>
        <v>1.6345603014824572</v>
      </c>
      <c r="N26" s="16">
        <f>IFERROR(IF(VLOOKUP(N$4,'Economic Activity'!$A:$T,12,0)*100="","",VLOOKUP(N$4,'Economic Activity'!$A:$T,12,0)*100),"")</f>
        <v>0.94642366157351443</v>
      </c>
      <c r="O26" s="16">
        <f>IFERROR(IF(VLOOKUP(O$4,'Economic Activity'!$A:$T,12,0)*100="","",VLOOKUP(O$4,'Economic Activity'!$A:$T,12,0)*100),"")</f>
        <v>-0.30583717088943363</v>
      </c>
      <c r="P26" s="16">
        <f>IFERROR(IF(VLOOKUP(P$4,'Economic Activity'!$A:$T,12,0)*100="","",VLOOKUP(P$4,'Economic Activity'!$A:$T,12,0)*100),"")</f>
        <v>0.72907945912294991</v>
      </c>
      <c r="Q26" s="16">
        <f>IFERROR(IF(VLOOKUP(Q$4,'Economic Activity'!$A:$T,12,0)*100="","",VLOOKUP(Q$4,'Economic Activity'!$A:$T,12,0)*100),"")</f>
        <v>1.3408555049470916</v>
      </c>
      <c r="R26" s="16">
        <f>IFERROR(IF(VLOOKUP(R$4,'Economic Activity'!$A:$T,12,0)*100="","",VLOOKUP(R$4,'Economic Activity'!$A:$T,12,0)*100),"")</f>
        <v>2.9060342124783034</v>
      </c>
      <c r="S26" s="16">
        <f>IFERROR(IF(VLOOKUP(S$4,'Economic Activity'!$A:$T,12,0)*100="","",VLOOKUP(S$4,'Economic Activity'!$A:$T,12,0)*100),"")</f>
        <v>1.2560260828371694</v>
      </c>
      <c r="T26" s="16">
        <f>IFERROR(IF(VLOOKUP(T$4,'Economic Activity'!$A:$T,12,0)*100="","",VLOOKUP(T$4,'Economic Activity'!$A:$T,12,0)*100),"")</f>
        <v>0.6597608275264788</v>
      </c>
      <c r="U26" s="16">
        <f>IFERROR(IF(VLOOKUP(U$4,'Economic Activity'!$A:$T,12,0)*100="","",VLOOKUP(U$4,'Economic Activity'!$A:$T,12,0)*100),"")</f>
        <v>1.0299977034204488</v>
      </c>
      <c r="V26" s="16">
        <f>IFERROR(IF(VLOOKUP(V$4,'Economic Activity'!$A:$T,12,0)*100="","",VLOOKUP(V$4,'Economic Activity'!$A:$T,12,0)*100),"")</f>
        <v>-0.49883364935151553</v>
      </c>
      <c r="W26" s="16">
        <f>IFERROR(IF(VLOOKUP(W$4,'Economic Activity'!$A:$T,12,0)*100="","",VLOOKUP(W$4,'Economic Activity'!$A:$T,12,0)*100),"")</f>
        <v>0.14487025137437382</v>
      </c>
      <c r="X26" s="16">
        <f>IFERROR(IF(VLOOKUP(X$4,'Economic Activity'!$A:$T,12,0)*100="","",VLOOKUP(X$4,'Economic Activity'!$A:$T,12,0)*100),"")</f>
        <v>-0.205856313379571</v>
      </c>
      <c r="Y26" s="16">
        <f>IFERROR(IF(VLOOKUP(Y$4,'Economic Activity'!$A:$T,12,0)*100="","",VLOOKUP(Y$4,'Economic Activity'!$A:$T,12,0)*100),"")</f>
        <v>1.3461782688365176</v>
      </c>
      <c r="Z26" s="16">
        <f>IFERROR(IF(VLOOKUP(Z$4,'Economic Activity'!$A:$T,12,0)*100="","",VLOOKUP(Z$4,'Economic Activity'!$A:$T,12,0)*100),"")</f>
        <v>-1.3395750165589582</v>
      </c>
      <c r="AA26" s="16">
        <f>IFERROR(IF(VLOOKUP(AA$4,'Economic Activity'!$A:$T,12,0)*100="","",VLOOKUP(AA$4,'Economic Activity'!$A:$T,12,0)*100),"")</f>
        <v>-0.34492957158694937</v>
      </c>
      <c r="AB26" s="16">
        <f>IFERROR(IF(VLOOKUP(AB$4,'Economic Activity'!$A:$T,12,0)*100="","",VLOOKUP(AB$4,'Economic Activity'!$A:$T,12,0)*100),"")</f>
        <v>1.9035879583268134</v>
      </c>
      <c r="AC26" s="16">
        <f>IFERROR(IF(VLOOKUP(AC$4,'Economic Activity'!$A:$T,12,0)*100="","",VLOOKUP(AC$4,'Economic Activity'!$A:$T,12,0)*100),"")</f>
        <v>-0.5495987893103349</v>
      </c>
      <c r="AD26" s="16">
        <f>IFERROR(IF(VLOOKUP(AD$4,'Economic Activity'!$A:$T,12,0)*100="","",VLOOKUP(AD$4,'Economic Activity'!$A:$T,12,0)*100),"")</f>
        <v>-0.82536089327260864</v>
      </c>
      <c r="AE26" s="16">
        <f>IFERROR(IF(VLOOKUP(AE$4,'Economic Activity'!$A:$T,12,0)*100="","",VLOOKUP(AE$4,'Economic Activity'!$A:$T,12,0)*100),"")</f>
        <v>0.33658749553904244</v>
      </c>
      <c r="AF26" s="16">
        <f>IFERROR(IF(VLOOKUP(AF$4,'Economic Activity'!$A:$T,12,0)*100="","",VLOOKUP(AF$4,'Economic Activity'!$A:$T,12,0)*100),"")</f>
        <v>0.41760777367934043</v>
      </c>
      <c r="AG26" s="16">
        <f>IFERROR(IF(VLOOKUP(AG$4,'Economic Activity'!$A:$T,12,0)*100="","",VLOOKUP(AG$4,'Economic Activity'!$A:$T,12,0)*100),"")</f>
        <v>0.11758740843823556</v>
      </c>
      <c r="AH26" s="16">
        <f>IFERROR(IF(VLOOKUP(AH$4,'Economic Activity'!$A:$T,12,0)*100="","",VLOOKUP(AH$4,'Economic Activity'!$A:$T,12,0)*100),"")</f>
        <v>0.76252253805428882</v>
      </c>
      <c r="AI26" s="16">
        <f>IFERROR(IF(VLOOKUP(AI$4,'Economic Activity'!$A:$T,12,0)*100="","",VLOOKUP(AI$4,'Economic Activity'!$A:$T,12,0)*100),"")</f>
        <v>0.83267686363133198</v>
      </c>
      <c r="AJ26" s="16">
        <f>IFERROR(IF(VLOOKUP(AJ$4,'Economic Activity'!$A:$T,12,0)*100="","",VLOOKUP(AJ$4,'Economic Activity'!$A:$T,12,0)*100),"")</f>
        <v>0.75828010053839989</v>
      </c>
      <c r="AK26" s="16">
        <f>IFERROR(IF(VLOOKUP(AK$4,'Economic Activity'!$A:$T,12,0)*100="","",VLOOKUP(AK$4,'Economic Activity'!$A:$T,12,0)*100),"")</f>
        <v>-7.999382503807162E-2</v>
      </c>
      <c r="AL26" s="16">
        <f>IFERROR(IF(VLOOKUP(AL$4,'Economic Activity'!$A:$T,12,0)*100="","",VLOOKUP(AL$4,'Economic Activity'!$A:$T,12,0)*100),"")</f>
        <v>0.24350934359571585</v>
      </c>
      <c r="AM26" s="16">
        <f>IFERROR(IF(VLOOKUP(AM$4,'Economic Activity'!$A:$T,12,0)*100="","",VLOOKUP(AM$4,'Economic Activity'!$A:$T,12,0)*100),"")</f>
        <v>0.42173475195936838</v>
      </c>
      <c r="AN26" s="16" t="str">
        <f>IFERROR(IF(VLOOKUP(AN$4,'Economic Activity'!$A:$T,12,0)*100="","",VLOOKUP(AN$4,'Economic Activity'!$A:$T,12,0)*100),"")</f>
        <v/>
      </c>
      <c r="AO26" s="16" t="str">
        <f>IFERROR(IF(VLOOKUP(AO$4,'Economic Activity'!$A:$T,12,0)*100="","",VLOOKUP(AO$4,'Economic Activity'!$A:$T,12,0)*100),"")</f>
        <v/>
      </c>
      <c r="AP26" s="16" t="str">
        <f>IFERROR(IF(VLOOKUP(AP$4,'Economic Activity'!$A:$T,12,0)*100="","",VLOOKUP(AP$4,'Economic Activity'!$A:$T,12,0)*100),"")</f>
        <v/>
      </c>
      <c r="AQ26" s="16" t="str">
        <f>IFERROR(IF(VLOOKUP(AQ$4,'Economic Activity'!$A:$T,12,0)*100="","",VLOOKUP(AQ$4,'Economic Activity'!$A:$T,12,0)*100),"")</f>
        <v/>
      </c>
      <c r="AR26" s="16" t="str">
        <f>IFERROR(IF(VLOOKUP(AR$4,'Economic Activity'!$A:$T,12,0)*100="","",VLOOKUP(AR$4,'Economic Activity'!$A:$T,12,0)*100),"")</f>
        <v/>
      </c>
      <c r="AS26" s="16" t="str">
        <f>IFERROR(IF(VLOOKUP(AS$4,'Economic Activity'!$A:$T,12,0)*100="","",VLOOKUP(AS$4,'Economic Activity'!$A:$T,12,0)*100),"")</f>
        <v/>
      </c>
      <c r="AT26" s="16" t="str">
        <f>IFERROR(IF(VLOOKUP(AT$4,'Economic Activity'!$A:$T,12,0)*100="","",VLOOKUP(AT$4,'Economic Activity'!$A:$T,12,0)*100),"")</f>
        <v/>
      </c>
      <c r="AU26" s="16" t="str">
        <f>IFERROR(IF(VLOOKUP(AU$4,'Economic Activity'!$A:$T,12,0)*100="","",VLOOKUP(AU$4,'Economic Activity'!$A:$T,12,0)*100),"")</f>
        <v/>
      </c>
      <c r="AV26" s="16" t="str">
        <f>IFERROR(IF(VLOOKUP(AV$4,'Economic Activity'!$A:$T,12,0)*100="","",VLOOKUP(AV$4,'Economic Activity'!$A:$T,12,0)*100),"")</f>
        <v/>
      </c>
      <c r="AW26" s="16" t="str">
        <f>IFERROR(IF(VLOOKUP(AW$4,'Economic Activity'!$A:$T,12,0)*100="","",VLOOKUP(AW$4,'Economic Activity'!$A:$T,12,0)*100),"")</f>
        <v/>
      </c>
      <c r="AX26" s="16" t="str">
        <f>IFERROR(IF(VLOOKUP(AX$4,'Economic Activity'!$A:$T,12,0)*100="","",VLOOKUP(AX$4,'Economic Activity'!$A:$T,12,0)*100),"")</f>
        <v/>
      </c>
      <c r="AY26" s="16" t="str">
        <f>IFERROR(IF(VLOOKUP(AY$4,'Economic Activity'!$A:$T,12,0)*100="","",VLOOKUP(AY$4,'Economic Activity'!$A:$T,12,0)*100),"")</f>
        <v/>
      </c>
    </row>
    <row r="27" spans="1:51" ht="19.5" customHeight="1">
      <c r="A27" s="3"/>
      <c r="B27" s="2" t="s">
        <v>76</v>
      </c>
      <c r="C27" s="47" t="s">
        <v>95</v>
      </c>
      <c r="D27" s="52">
        <f>IFERROR(IF(VLOOKUP(D$4,'Economic Activity'!$A:$T,15,0)*100="","",VLOOKUP(D$4,'Economic Activity'!$A:$T,15,0)*100),"")</f>
        <v>3.2313986217144208</v>
      </c>
      <c r="E27" s="53">
        <f>IFERROR(IF(VLOOKUP(E$4,'Economic Activity'!$A:$T,15,0)*100="","",VLOOKUP(E$4,'Economic Activity'!$A:$T,15,0)*100),"")</f>
        <v>-2.8912694458284927</v>
      </c>
      <c r="F27" s="53">
        <f>IFERROR(IF(VLOOKUP(F$4,'Economic Activity'!$A:$T,15,0)*100="","",VLOOKUP(F$4,'Economic Activity'!$A:$T,15,0)*100),"")</f>
        <v>10.393892317413256</v>
      </c>
      <c r="G27" s="53">
        <f>IFERROR(IF(VLOOKUP(G$4,'Economic Activity'!$A:$T,15,0)*100="","",VLOOKUP(G$4,'Economic Activity'!$A:$T,15,0)*100),"")</f>
        <v>0.145889906914487</v>
      </c>
      <c r="H27" s="53">
        <f>IFERROR(IF(VLOOKUP(H$4,'Economic Activity'!$A:$T,15,0)*100="","",VLOOKUP(H$4,'Economic Activity'!$A:$T,15,0)*100),"")</f>
        <v>-1.4898627452665569</v>
      </c>
      <c r="I27" s="53">
        <f>IFERROR(IF(VLOOKUP(I$4,'Economic Activity'!$A:$T,15,0)*100="","",VLOOKUP(I$4,'Economic Activity'!$A:$T,15,0)*100),"")</f>
        <v>0.22334768516700798</v>
      </c>
      <c r="J27" s="53">
        <f>IFERROR(IF(VLOOKUP(J$4,'Economic Activity'!$A:$T,15,0)*100="","",VLOOKUP(J$4,'Economic Activity'!$A:$T,15,0)*100),"")</f>
        <v>-1.919904592363042</v>
      </c>
      <c r="K27" s="53">
        <f>IFERROR(IF(VLOOKUP(K$4,'Economic Activity'!$A:$T,15,0)*100="","",VLOOKUP(K$4,'Economic Activity'!$A:$T,15,0)*100),"")</f>
        <v>0.45087423449010622</v>
      </c>
      <c r="L27" s="53">
        <f>IFERROR(IF(VLOOKUP(L$4,'Economic Activity'!$A:$T,15,0)*100="","",VLOOKUP(L$4,'Economic Activity'!$A:$T,15,0)*100),"")</f>
        <v>0.29422679319301981</v>
      </c>
      <c r="M27" s="53">
        <f>IFERROR(IF(VLOOKUP(M$4,'Economic Activity'!$A:$T,15,0)*100="","",VLOOKUP(M$4,'Economic Activity'!$A:$T,15,0)*100),"")</f>
        <v>0.68495564306543244</v>
      </c>
      <c r="N27" s="53">
        <f>IFERROR(IF(VLOOKUP(N$4,'Economic Activity'!$A:$T,15,0)*100="","",VLOOKUP(N$4,'Economic Activity'!$A:$T,15,0)*100),"")</f>
        <v>0.33905423555300462</v>
      </c>
      <c r="O27" s="53">
        <f>IFERROR(IF(VLOOKUP(O$4,'Economic Activity'!$A:$T,15,0)*100="","",VLOOKUP(O$4,'Economic Activity'!$A:$T,15,0)*100),"")</f>
        <v>-1.3385538386410434</v>
      </c>
      <c r="P27" s="53">
        <f>IFERROR(IF(VLOOKUP(P$4,'Economic Activity'!$A:$T,15,0)*100="","",VLOOKUP(P$4,'Economic Activity'!$A:$T,15,0)*100),"")</f>
        <v>0.82551860068409422</v>
      </c>
      <c r="Q27" s="53">
        <f>IFERROR(IF(VLOOKUP(Q$4,'Economic Activity'!$A:$T,15,0)*100="","",VLOOKUP(Q$4,'Economic Activity'!$A:$T,15,0)*100),"")</f>
        <v>0.64913434144202586</v>
      </c>
      <c r="R27" s="53">
        <f>IFERROR(IF(VLOOKUP(R$4,'Economic Activity'!$A:$T,15,0)*100="","",VLOOKUP(R$4,'Economic Activity'!$A:$T,15,0)*100),"")</f>
        <v>1.0490743845560813</v>
      </c>
      <c r="S27" s="53">
        <f>IFERROR(IF(VLOOKUP(S$4,'Economic Activity'!$A:$T,15,0)*100="","",VLOOKUP(S$4,'Economic Activity'!$A:$T,15,0)*100),"")</f>
        <v>0.92656438545077879</v>
      </c>
      <c r="T27" s="53">
        <f>IFERROR(IF(VLOOKUP(T$4,'Economic Activity'!$A:$T,15,0)*100="","",VLOOKUP(T$4,'Economic Activity'!$A:$T,15,0)*100),"")</f>
        <v>-1.0564071907425587</v>
      </c>
      <c r="U27" s="53">
        <f>IFERROR(IF(VLOOKUP(U$4,'Economic Activity'!$A:$T,15,0)*100="","",VLOOKUP(U$4,'Economic Activity'!$A:$T,15,0)*100),"")</f>
        <v>-0.35388147559943794</v>
      </c>
      <c r="V27" s="53">
        <f>IFERROR(IF(VLOOKUP(V$4,'Economic Activity'!$A:$T,15,0)*100="","",VLOOKUP(V$4,'Economic Activity'!$A:$T,15,0)*100),"")</f>
        <v>-0.65613956066800094</v>
      </c>
      <c r="W27" s="53">
        <f>IFERROR(IF(VLOOKUP(W$4,'Economic Activity'!$A:$T,15,0)*100="","",VLOOKUP(W$4,'Economic Activity'!$A:$T,15,0)*100),"")</f>
        <v>0.41982553044934701</v>
      </c>
      <c r="X27" s="53">
        <f>IFERROR(IF(VLOOKUP(X$4,'Economic Activity'!$A:$T,15,0)*100="","",VLOOKUP(X$4,'Economic Activity'!$A:$T,15,0)*100),"")</f>
        <v>-0.71111033931858803</v>
      </c>
      <c r="Y27" s="53">
        <f>IFERROR(IF(VLOOKUP(Y$4,'Economic Activity'!$A:$T,15,0)*100="","",VLOOKUP(Y$4,'Economic Activity'!$A:$T,15,0)*100),"")</f>
        <v>1.0034717060330767</v>
      </c>
      <c r="Z27" s="53">
        <f>IFERROR(IF(VLOOKUP(Z$4,'Economic Activity'!$A:$T,15,0)*100="","",VLOOKUP(Z$4,'Economic Activity'!$A:$T,15,0)*100),"")</f>
        <v>-1.7121138003731606</v>
      </c>
      <c r="AA27" s="53">
        <f>IFERROR(IF(VLOOKUP(AA$4,'Economic Activity'!$A:$T,15,0)*100="","",VLOOKUP(AA$4,'Economic Activity'!$A:$T,15,0)*100),"")</f>
        <v>-0.76988804030900804</v>
      </c>
      <c r="AB27" s="53">
        <f>IFERROR(IF(VLOOKUP(AB$4,'Economic Activity'!$A:$T,15,0)*100="","",VLOOKUP(AB$4,'Economic Activity'!$A:$T,15,0)*100),"")</f>
        <v>2.2743211213592573</v>
      </c>
      <c r="AC27" s="53">
        <f>IFERROR(IF(VLOOKUP(AC$4,'Economic Activity'!$A:$T,15,0)*100="","",VLOOKUP(AC$4,'Economic Activity'!$A:$T,15,0)*100),"")</f>
        <v>-1.0246417442778877</v>
      </c>
      <c r="AD27" s="53">
        <f>IFERROR(IF(VLOOKUP(AD$4,'Economic Activity'!$A:$T,15,0)*100="","",VLOOKUP(AD$4,'Economic Activity'!$A:$T,15,0)*100),"")</f>
        <v>-0.96377723503799917</v>
      </c>
      <c r="AE27" s="53">
        <f>IFERROR(IF(VLOOKUP(AE$4,'Economic Activity'!$A:$T,15,0)*100="","",VLOOKUP(AE$4,'Economic Activity'!$A:$T,15,0)*100),"")</f>
        <v>6.6854686247852513E-2</v>
      </c>
      <c r="AF27" s="53">
        <f>IFERROR(IF(VLOOKUP(AF$4,'Economic Activity'!$A:$T,15,0)*100="","",VLOOKUP(AF$4,'Economic Activity'!$A:$T,15,0)*100),"")</f>
        <v>0.53536506588087729</v>
      </c>
      <c r="AG27" s="53">
        <f>IFERROR(IF(VLOOKUP(AG$4,'Economic Activity'!$A:$T,15,0)*100="","",VLOOKUP(AG$4,'Economic Activity'!$A:$T,15,0)*100),"")</f>
        <v>1.7163679892973072E-2</v>
      </c>
      <c r="AH27" s="53">
        <f>IFERROR(IF(VLOOKUP(AH$4,'Economic Activity'!$A:$T,15,0)*100="","",VLOOKUP(AH$4,'Economic Activity'!$A:$T,15,0)*100),"")</f>
        <v>0.39689698719105326</v>
      </c>
      <c r="AI27" s="53">
        <f>IFERROR(IF(VLOOKUP(AI$4,'Economic Activity'!$A:$T,15,0)*100="","",VLOOKUP(AI$4,'Economic Activity'!$A:$T,15,0)*100),"")</f>
        <v>0.10606359432867585</v>
      </c>
      <c r="AJ27" s="53">
        <f>IFERROR(IF(VLOOKUP(AJ$4,'Economic Activity'!$A:$T,15,0)*100="","",VLOOKUP(AJ$4,'Economic Activity'!$A:$T,15,0)*100),"")</f>
        <v>0.4264317643504878</v>
      </c>
      <c r="AK27" s="53">
        <f>IFERROR(IF(VLOOKUP(AK$4,'Economic Activity'!$A:$T,15,0)*100="","",VLOOKUP(AK$4,'Economic Activity'!$A:$T,15,0)*100),"")</f>
        <v>-0.29645001111687774</v>
      </c>
      <c r="AL27" s="53">
        <f>IFERROR(IF(VLOOKUP(AL$4,'Economic Activity'!$A:$T,15,0)*100="","",VLOOKUP(AL$4,'Economic Activity'!$A:$T,15,0)*100),"")</f>
        <v>0.25141997630093726</v>
      </c>
      <c r="AM27" s="53">
        <f>IFERROR(IF(VLOOKUP(AM$4,'Economic Activity'!$A:$T,15,0)*100="","",VLOOKUP(AM$4,'Economic Activity'!$A:$T,15,0)*100),"")</f>
        <v>0.24991713044539843</v>
      </c>
      <c r="AN27" s="53" t="str">
        <f>IFERROR(IF(VLOOKUP(AN$4,'Economic Activity'!$A:$T,15,0)*100="","",VLOOKUP(AN$4,'Economic Activity'!$A:$T,15,0)*100),"")</f>
        <v/>
      </c>
      <c r="AO27" s="53" t="str">
        <f>IFERROR(IF(VLOOKUP(AO$4,'Economic Activity'!$A:$T,15,0)*100="","",VLOOKUP(AO$4,'Economic Activity'!$A:$T,15,0)*100),"")</f>
        <v/>
      </c>
      <c r="AP27" s="53" t="str">
        <f>IFERROR(IF(VLOOKUP(AP$4,'Economic Activity'!$A:$T,15,0)*100="","",VLOOKUP(AP$4,'Economic Activity'!$A:$T,15,0)*100),"")</f>
        <v/>
      </c>
      <c r="AQ27" s="53" t="str">
        <f>IFERROR(IF(VLOOKUP(AQ$4,'Economic Activity'!$A:$T,15,0)*100="","",VLOOKUP(AQ$4,'Economic Activity'!$A:$T,15,0)*100),"")</f>
        <v/>
      </c>
      <c r="AR27" s="53" t="str">
        <f>IFERROR(IF(VLOOKUP(AR$4,'Economic Activity'!$A:$T,15,0)*100="","",VLOOKUP(AR$4,'Economic Activity'!$A:$T,15,0)*100),"")</f>
        <v/>
      </c>
      <c r="AS27" s="53" t="str">
        <f>IFERROR(IF(VLOOKUP(AS$4,'Economic Activity'!$A:$T,15,0)*100="","",VLOOKUP(AS$4,'Economic Activity'!$A:$T,15,0)*100),"")</f>
        <v/>
      </c>
      <c r="AT27" s="53" t="str">
        <f>IFERROR(IF(VLOOKUP(AT$4,'Economic Activity'!$A:$T,15,0)*100="","",VLOOKUP(AT$4,'Economic Activity'!$A:$T,15,0)*100),"")</f>
        <v/>
      </c>
      <c r="AU27" s="53" t="str">
        <f>IFERROR(IF(VLOOKUP(AU$4,'Economic Activity'!$A:$T,15,0)*100="","",VLOOKUP(AU$4,'Economic Activity'!$A:$T,15,0)*100),"")</f>
        <v/>
      </c>
      <c r="AV27" s="53" t="str">
        <f>IFERROR(IF(VLOOKUP(AV$4,'Economic Activity'!$A:$T,15,0)*100="","",VLOOKUP(AV$4,'Economic Activity'!$A:$T,15,0)*100),"")</f>
        <v/>
      </c>
      <c r="AW27" s="53" t="str">
        <f>IFERROR(IF(VLOOKUP(AW$4,'Economic Activity'!$A:$T,15,0)*100="","",VLOOKUP(AW$4,'Economic Activity'!$A:$T,15,0)*100),"")</f>
        <v/>
      </c>
      <c r="AX27" s="53" t="str">
        <f>IFERROR(IF(VLOOKUP(AX$4,'Economic Activity'!$A:$T,15,0)*100="","",VLOOKUP(AX$4,'Economic Activity'!$A:$T,15,0)*100),"")</f>
        <v/>
      </c>
      <c r="AY27" s="53" t="str">
        <f>IFERROR(IF(VLOOKUP(AY$4,'Economic Activity'!$A:$T,15,0)*100="","",VLOOKUP(AY$4,'Economic Activity'!$A:$T,15,0)*100),"")</f>
        <v/>
      </c>
    </row>
    <row r="28" spans="1:51" ht="19.5" customHeight="1">
      <c r="A28" s="3"/>
      <c r="B28" s="23" t="s">
        <v>54</v>
      </c>
      <c r="C28" s="47" t="s">
        <v>94</v>
      </c>
      <c r="D28" s="16">
        <f>IFERROR(IF(VLOOKUP(D$4,'Economic Activity'!$A:$T,4,0)*100="","",VLOOKUP(D$4,'Economic Activity'!$A:$T,4,0)*100),"")</f>
        <v>-2.8904179121302942E-2</v>
      </c>
      <c r="E28" s="16">
        <f>IFERROR(IF(VLOOKUP(E$4,'Economic Activity'!$A:$T,4,0)*100="","",VLOOKUP(E$4,'Economic Activity'!$A:$T,4,0)*100),"")</f>
        <v>-0.91757365293129167</v>
      </c>
      <c r="F28" s="16">
        <f>IFERROR(IF(VLOOKUP(F$4,'Economic Activity'!$A:$T,4,0)*100="","",VLOOKUP(F$4,'Economic Activity'!$A:$T,4,0)*100),"")</f>
        <v>10.540791730578869</v>
      </c>
      <c r="G28" s="16">
        <f>IFERROR(IF(VLOOKUP(G$4,'Economic Activity'!$A:$T,4,0)*100="","",VLOOKUP(G$4,'Economic Activity'!$A:$T,4,0)*100),"")</f>
        <v>25.013366374445202</v>
      </c>
      <c r="H28" s="16">
        <f>IFERROR(IF(VLOOKUP(H$4,'Economic Activity'!$A:$T,4,0)*100="","",VLOOKUP(H$4,'Economic Activity'!$A:$T,4,0)*100),"")</f>
        <v>15.140304122903281</v>
      </c>
      <c r="I28" s="16">
        <f>IFERROR(IF(VLOOKUP(I$4,'Economic Activity'!$A:$T,4,0)*100="","",VLOOKUP(I$4,'Economic Activity'!$A:$T,4,0)*100),"")</f>
        <v>10.038025072782375</v>
      </c>
      <c r="J28" s="16">
        <f>IFERROR(IF(VLOOKUP(J$4,'Economic Activity'!$A:$T,4,0)*100="","",VLOOKUP(J$4,'Economic Activity'!$A:$T,4,0)*100),"")</f>
        <v>8.1705969723354421</v>
      </c>
      <c r="K28" s="16">
        <f>IFERROR(IF(VLOOKUP(K$4,'Economic Activity'!$A:$T,4,0)*100="","",VLOOKUP(K$4,'Economic Activity'!$A:$T,4,0)*100),"")</f>
        <v>8.0073540632652929</v>
      </c>
      <c r="L28" s="16">
        <f>IFERROR(IF(VLOOKUP(L$4,'Economic Activity'!$A:$T,4,0)*100="","",VLOOKUP(L$4,'Economic Activity'!$A:$T,4,0)*100),"")</f>
        <v>6.7797096048274996</v>
      </c>
      <c r="M28" s="16">
        <f>IFERROR(IF(VLOOKUP(M$4,'Economic Activity'!$A:$T,4,0)*100="","",VLOOKUP(M$4,'Economic Activity'!$A:$T,4,0)*100),"")</f>
        <v>7.210871709820843</v>
      </c>
      <c r="N28" s="16">
        <f>IFERROR(IF(VLOOKUP(N$4,'Economic Activity'!$A:$T,4,0)*100="","",VLOOKUP(N$4,'Economic Activity'!$A:$T,4,0)*100),"")</f>
        <v>7.634424784468874</v>
      </c>
      <c r="O28" s="16">
        <f>IFERROR(IF(VLOOKUP(O$4,'Economic Activity'!$A:$T,4,0)*100="","",VLOOKUP(O$4,'Economic Activity'!$A:$T,4,0)*100),"")</f>
        <v>6.883331072445964</v>
      </c>
      <c r="P28" s="16">
        <f>IFERROR(IF(VLOOKUP(P$4,'Economic Activity'!$A:$T,4,0)*100="","",VLOOKUP(P$4,'Economic Activity'!$A:$T,4,0)*100),"")</f>
        <v>5.5737728038813383</v>
      </c>
      <c r="Q28" s="16">
        <f>IFERROR(IF(VLOOKUP(Q$4,'Economic Activity'!$A:$T,4,0)*100="","",VLOOKUP(Q$4,'Economic Activity'!$A:$T,4,0)*100),"")</f>
        <v>6.7161521036059879</v>
      </c>
      <c r="R28" s="16">
        <f>IFERROR(IF(VLOOKUP(R$4,'Economic Activity'!$A:$T,4,0)*100="","",VLOOKUP(R$4,'Economic Activity'!$A:$T,4,0)*100),"")</f>
        <v>2.7663661282494756</v>
      </c>
      <c r="S28" s="16">
        <f>IFERROR(IF(VLOOKUP(S$4,'Economic Activity'!$A:$T,4,0)*100="","",VLOOKUP(S$4,'Economic Activity'!$A:$T,4,0)*100),"")</f>
        <v>2.3827788224592084</v>
      </c>
      <c r="T28" s="16">
        <f>IFERROR(IF(VLOOKUP(T$4,'Economic Activity'!$A:$T,4,0)*100="","",VLOOKUP(T$4,'Economic Activity'!$A:$T,4,0)*100),"")</f>
        <v>2.5215118178847584</v>
      </c>
      <c r="U28" s="16">
        <f>IFERROR(IF(VLOOKUP(U$4,'Economic Activity'!$A:$T,4,0)*100="","",VLOOKUP(U$4,'Economic Activity'!$A:$T,4,0)*100),"")</f>
        <v>1.6832698901217524</v>
      </c>
      <c r="V28" s="16">
        <f>IFERROR(IF(VLOOKUP(V$4,'Economic Activity'!$A:$T,4,0)*100="","",VLOOKUP(V$4,'Economic Activity'!$A:$T,4,0)*100),"")</f>
        <v>1.9284361471861411</v>
      </c>
      <c r="W28" s="16">
        <f>IFERROR(IF(VLOOKUP(W$4,'Economic Activity'!$A:$T,4,0)*100="","",VLOOKUP(W$4,'Economic Activity'!$A:$T,4,0)*100),"")</f>
        <v>1.8387943214694058</v>
      </c>
      <c r="X28" s="16">
        <f>IFERROR(IF(VLOOKUP(X$4,'Economic Activity'!$A:$T,4,0)*100="","",VLOOKUP(X$4,'Economic Activity'!$A:$T,4,0)*100),"")</f>
        <v>1.8611487710914698</v>
      </c>
      <c r="Y28" s="16">
        <f>IFERROR(IF(VLOOKUP(Y$4,'Economic Activity'!$A:$T,4,0)*100="","",VLOOKUP(Y$4,'Economic Activity'!$A:$T,4,0)*100),"")</f>
        <v>1.3695798577077367</v>
      </c>
      <c r="Z28" s="16">
        <f>IFERROR(IF(VLOOKUP(Z$4,'Economic Activity'!$A:$T,4,0)*100="","",VLOOKUP(Z$4,'Economic Activity'!$A:$T,4,0)*100),"")</f>
        <v>0.86955363801000107</v>
      </c>
      <c r="AA28" s="16">
        <f>IFERROR(IF(VLOOKUP(AA$4,'Economic Activity'!$A:$T,4,0)*100="","",VLOOKUP(AA$4,'Economic Activity'!$A:$T,4,0)*100),"")</f>
        <v>1.2778549671351502</v>
      </c>
      <c r="AB28" s="16">
        <f>IFERROR(IF(VLOOKUP(AB$4,'Economic Activity'!$A:$T,4,0)*100="","",VLOOKUP(AB$4,'Economic Activity'!$A:$T,4,0)*100),"")</f>
        <v>2.3144591913753843</v>
      </c>
      <c r="AC28" s="16">
        <f>IFERROR(IF(VLOOKUP(AC$4,'Economic Activity'!$A:$T,4,0)*100="","",VLOOKUP(AC$4,'Economic Activity'!$A:$T,4,0)*100),"")</f>
        <v>2.3023109888789417</v>
      </c>
      <c r="AD28" s="16">
        <f>IFERROR(IF(VLOOKUP(AD$4,'Economic Activity'!$A:$T,4,0)*100="","",VLOOKUP(AD$4,'Economic Activity'!$A:$T,4,0)*100),"")</f>
        <v>1.7387255554077496</v>
      </c>
      <c r="AE28" s="16">
        <f>IFERROR(IF(VLOOKUP(AE$4,'Economic Activity'!$A:$T,4,0)*100="","",VLOOKUP(AE$4,'Economic Activity'!$A:$T,4,0)*100),"")</f>
        <v>1.5595058912456716</v>
      </c>
      <c r="AF28" s="16">
        <f>IFERROR(IF(VLOOKUP(AF$4,'Economic Activity'!$A:$T,4,0)*100="","",VLOOKUP(AF$4,'Economic Activity'!$A:$T,4,0)*100),"")</f>
        <v>1.8419654714475486</v>
      </c>
      <c r="AG28" s="16">
        <f>IFERROR(IF(VLOOKUP(AG$4,'Economic Activity'!$A:$T,4,0)*100="","",VLOOKUP(AG$4,'Economic Activity'!$A:$T,4,0)*100),"")</f>
        <v>2.0609592587184311</v>
      </c>
      <c r="AH28" s="16">
        <f>IFERROR(IF(VLOOKUP(AH$4,'Economic Activity'!$A:$T,4,0)*100="","",VLOOKUP(AH$4,'Economic Activity'!$A:$T,4,0)*100),"")</f>
        <v>2.5164077483061265</v>
      </c>
      <c r="AI28" s="16">
        <f>IFERROR(IF(VLOOKUP(AI$4,'Economic Activity'!$A:$T,4,0)*100="","",VLOOKUP(AI$4,'Economic Activity'!$A:$T,4,0)*100),"")</f>
        <v>2.0051135350118487</v>
      </c>
      <c r="AJ28" s="16">
        <f>IFERROR(IF(VLOOKUP(AJ$4,'Economic Activity'!$A:$T,4,0)*100="","",VLOOKUP(AJ$4,'Economic Activity'!$A:$T,4,0)*100),"")</f>
        <v>2.1038829258007263</v>
      </c>
      <c r="AK28" s="16">
        <f>IFERROR(IF(VLOOKUP(AK$4,'Economic Activity'!$A:$T,4,0)*100="","",VLOOKUP(AK$4,'Economic Activity'!$A:$T,4,0)*100),"")</f>
        <v>2.0068803567787175</v>
      </c>
      <c r="AL28" s="16">
        <f>IFERROR(IF(VLOOKUP(AL$4,'Economic Activity'!$A:$T,4,0)*100="","",VLOOKUP(AL$4,'Economic Activity'!$A:$T,4,0)*100),"")</f>
        <v>2.691124635308717</v>
      </c>
      <c r="AM28" s="16" t="str">
        <f>IFERROR(IF(VLOOKUP(AM$4,'Economic Activity'!$A:$T,4,0)*100="","",VLOOKUP(AM$4,'Economic Activity'!$A:$T,4,0)*100),"")</f>
        <v/>
      </c>
      <c r="AN28" s="16" t="str">
        <f>IFERROR(IF(VLOOKUP(AN$4,'Economic Activity'!$A:$T,4,0)*100="","",VLOOKUP(AN$4,'Economic Activity'!$A:$T,4,0)*100),"")</f>
        <v/>
      </c>
      <c r="AO28" s="16" t="str">
        <f>IFERROR(IF(VLOOKUP(AO$4,'Economic Activity'!$A:$T,4,0)*100="","",VLOOKUP(AO$4,'Economic Activity'!$A:$T,4,0)*100),"")</f>
        <v/>
      </c>
      <c r="AP28" s="16" t="str">
        <f>IFERROR(IF(VLOOKUP(AP$4,'Economic Activity'!$A:$T,4,0)*100="","",VLOOKUP(AP$4,'Economic Activity'!$A:$T,4,0)*100),"")</f>
        <v/>
      </c>
      <c r="AQ28" s="16" t="str">
        <f>IFERROR(IF(VLOOKUP(AQ$4,'Economic Activity'!$A:$T,4,0)*100="","",VLOOKUP(AQ$4,'Economic Activity'!$A:$T,4,0)*100),"")</f>
        <v/>
      </c>
      <c r="AR28" s="16" t="str">
        <f>IFERROR(IF(VLOOKUP(AR$4,'Economic Activity'!$A:$T,4,0)*100="","",VLOOKUP(AR$4,'Economic Activity'!$A:$T,4,0)*100),"")</f>
        <v/>
      </c>
      <c r="AS28" s="16" t="str">
        <f>IFERROR(IF(VLOOKUP(AS$4,'Economic Activity'!$A:$T,4,0)*100="","",VLOOKUP(AS$4,'Economic Activity'!$A:$T,4,0)*100),"")</f>
        <v/>
      </c>
      <c r="AT28" s="16" t="str">
        <f>IFERROR(IF(VLOOKUP(AT$4,'Economic Activity'!$A:$T,4,0)*100="","",VLOOKUP(AT$4,'Economic Activity'!$A:$T,4,0)*100),"")</f>
        <v/>
      </c>
      <c r="AU28" s="16" t="str">
        <f>IFERROR(IF(VLOOKUP(AU$4,'Economic Activity'!$A:$T,4,0)*100="","",VLOOKUP(AU$4,'Economic Activity'!$A:$T,4,0)*100),"")</f>
        <v/>
      </c>
      <c r="AV28" s="16" t="str">
        <f>IFERROR(IF(VLOOKUP(AV$4,'Economic Activity'!$A:$T,4,0)*100="","",VLOOKUP(AV$4,'Economic Activity'!$A:$T,4,0)*100),"")</f>
        <v/>
      </c>
      <c r="AW28" s="16" t="str">
        <f>IFERROR(IF(VLOOKUP(AW$4,'Economic Activity'!$A:$T,4,0)*100="","",VLOOKUP(AW$4,'Economic Activity'!$A:$T,4,0)*100),"")</f>
        <v/>
      </c>
      <c r="AX28" s="16" t="str">
        <f>IFERROR(IF(VLOOKUP(AX$4,'Economic Activity'!$A:$T,4,0)*100="","",VLOOKUP(AX$4,'Economic Activity'!$A:$T,4,0)*100),"")</f>
        <v/>
      </c>
      <c r="AY28" s="16" t="str">
        <f>IFERROR(IF(VLOOKUP(AY$4,'Economic Activity'!$A:$T,4,0)*100="","",VLOOKUP(AY$4,'Economic Activity'!$A:$T,4,0)*100),"")</f>
        <v/>
      </c>
    </row>
    <row r="29" spans="1:51" ht="19.5" customHeight="1">
      <c r="A29" s="3"/>
      <c r="B29" s="2" t="s">
        <v>74</v>
      </c>
      <c r="C29" s="47" t="s">
        <v>94</v>
      </c>
      <c r="D29" s="16">
        <f>IFERROR(IF(VLOOKUP(D$4,'Economic Activity'!$A:$T,7,0)*100="","",VLOOKUP(D$4,'Economic Activity'!$A:$T,7,0))*100,"")</f>
        <v>-2.5579817078463685</v>
      </c>
      <c r="E29" s="16">
        <f>IFERROR(IF(VLOOKUP(E$4,'Economic Activity'!$A:$T,7,0)*100="","",VLOOKUP(E$4,'Economic Activity'!$A:$T,7,0))*100,"")</f>
        <v>-6.1580392195448308</v>
      </c>
      <c r="F29" s="16">
        <f>IFERROR(IF(VLOOKUP(F$4,'Economic Activity'!$A:$T,7,0)*100="","",VLOOKUP(F$4,'Economic Activity'!$A:$T,7,0))*100,"")</f>
        <v>0.47907588217948049</v>
      </c>
      <c r="G29" s="16">
        <f>IFERROR(IF(VLOOKUP(G$4,'Economic Activity'!$A:$T,7,0)*100="","",VLOOKUP(G$4,'Economic Activity'!$A:$T,7,0))*100,"")</f>
        <v>16.183262232277642</v>
      </c>
      <c r="H29" s="16">
        <f>IFERROR(IF(VLOOKUP(H$4,'Economic Activity'!$A:$T,7,0)*100="","",VLOOKUP(H$4,'Economic Activity'!$A:$T,7,0))*100,"")</f>
        <v>15.327567195358549</v>
      </c>
      <c r="I29" s="16">
        <f>IFERROR(IF(VLOOKUP(I$4,'Economic Activity'!$A:$T,7,0)*100="","",VLOOKUP(I$4,'Economic Activity'!$A:$T,7,0))*100,"")</f>
        <v>8.6794266211604132</v>
      </c>
      <c r="J29" s="16">
        <f>IFERROR(IF(VLOOKUP(J$4,'Economic Activity'!$A:$T,7,0)*100="","",VLOOKUP(J$4,'Economic Activity'!$A:$T,7,0))*100,"")</f>
        <v>5.3767639431496761</v>
      </c>
      <c r="K29" s="16">
        <f>IFERROR(IF(VLOOKUP(K$4,'Economic Activity'!$A:$T,7,0)*100="","",VLOOKUP(K$4,'Economic Activity'!$A:$T,7,0))*100,"")</f>
        <v>4.4191093576783969</v>
      </c>
      <c r="L29" s="16">
        <f>IFERROR(IF(VLOOKUP(L$4,'Economic Activity'!$A:$T,7,0)*100="","",VLOOKUP(L$4,'Economic Activity'!$A:$T,7,0))*100,"")</f>
        <v>3.3564819645174993</v>
      </c>
      <c r="M29" s="16">
        <f>IFERROR(IF(VLOOKUP(M$4,'Economic Activity'!$A:$T,7,0)*100="","",VLOOKUP(M$4,'Economic Activity'!$A:$T,7,0))*100,"")</f>
        <v>4.0188034329850408</v>
      </c>
      <c r="N29" s="16">
        <f>IFERROR(IF(VLOOKUP(N$4,'Economic Activity'!$A:$T,7,0)*100="","",VLOOKUP(N$4,'Economic Activity'!$A:$T,7,0))*100,"")</f>
        <v>4.4815830445897431</v>
      </c>
      <c r="O29" s="16">
        <f>IFERROR(IF(VLOOKUP(O$4,'Economic Activity'!$A:$T,7,0)*100="","",VLOOKUP(O$4,'Economic Activity'!$A:$T,7,0))*100,"")</f>
        <v>2.9707457178026253</v>
      </c>
      <c r="P29" s="16">
        <f>IFERROR(IF(VLOOKUP(P$4,'Economic Activity'!$A:$T,7,0)*100="","",VLOOKUP(P$4,'Economic Activity'!$A:$T,7,0))*100,"")</f>
        <v>2.2666717957231741</v>
      </c>
      <c r="Q29" s="16">
        <f>IFERROR(IF(VLOOKUP(Q$4,'Economic Activity'!$A:$T,7,0)*100="","",VLOOKUP(Q$4,'Economic Activity'!$A:$T,7,0))*100,"")</f>
        <v>6.6078528410139503</v>
      </c>
      <c r="R29" s="16">
        <f>IFERROR(IF(VLOOKUP(R$4,'Economic Activity'!$A:$T,7,0)*100="","",VLOOKUP(R$4,'Economic Activity'!$A:$T,7,0))*100,"")</f>
        <v>4.4254298411068094</v>
      </c>
      <c r="S29" s="16">
        <f>IFERROR(IF(VLOOKUP(S$4,'Economic Activity'!$A:$T,7,0)*100="","",VLOOKUP(S$4,'Economic Activity'!$A:$T,7,0))*100,"")</f>
        <v>4.5851706098164025</v>
      </c>
      <c r="T29" s="16">
        <f>IFERROR(IF(VLOOKUP(T$4,'Economic Activity'!$A:$T,7,0)*100="","",VLOOKUP(T$4,'Economic Activity'!$A:$T,7,0))*100,"")</f>
        <v>3.6571565736231992</v>
      </c>
      <c r="U29" s="16">
        <f>IFERROR(IF(VLOOKUP(U$4,'Economic Activity'!$A:$T,7,0)*100="","",VLOOKUP(U$4,'Economic Activity'!$A:$T,7,0))*100,"")</f>
        <v>3.1923553104423963</v>
      </c>
      <c r="V29" s="16">
        <f>IFERROR(IF(VLOOKUP(V$4,'Economic Activity'!$A:$T,7,0)*100="","",VLOOKUP(V$4,'Economic Activity'!$A:$T,7,0))*100,"")</f>
        <v>3.005999614474586</v>
      </c>
      <c r="W29" s="16">
        <f>IFERROR(IF(VLOOKUP(W$4,'Economic Activity'!$A:$T,7,0)*100="","",VLOOKUP(W$4,'Economic Activity'!$A:$T,7,0))*100,"")</f>
        <v>3.1050032209576806</v>
      </c>
      <c r="X29" s="16">
        <f>IFERROR(IF(VLOOKUP(X$4,'Economic Activity'!$A:$T,7,0)*100="","",VLOOKUP(X$4,'Economic Activity'!$A:$T,7,0))*100,"")</f>
        <v>4.5092235724510266</v>
      </c>
      <c r="Y29" s="16">
        <f>IFERROR(IF(VLOOKUP(Y$4,'Economic Activity'!$A:$T,7,0)*100="","",VLOOKUP(Y$4,'Economic Activity'!$A:$T,7,0))*100,"")</f>
        <v>3.0974682093026784</v>
      </c>
      <c r="Z29" s="16">
        <f>IFERROR(IF(VLOOKUP(Z$4,'Economic Activity'!$A:$T,7,0)*100="","",VLOOKUP(Z$4,'Economic Activity'!$A:$T,7,0))*100,"")</f>
        <v>1.8514364542066897</v>
      </c>
      <c r="AA29" s="16">
        <f>IFERROR(IF(VLOOKUP(AA$4,'Economic Activity'!$A:$T,7,0)*100="","",VLOOKUP(AA$4,'Economic Activity'!$A:$T,7,0))*100,"")</f>
        <v>0.59354122474872817</v>
      </c>
      <c r="AB29" s="16">
        <f>IFERROR(IF(VLOOKUP(AB$4,'Economic Activity'!$A:$T,7,0)*100="","",VLOOKUP(AB$4,'Economic Activity'!$A:$T,7,0))*100,"")</f>
        <v>1.5096607000208762</v>
      </c>
      <c r="AC29" s="16">
        <f>IFERROR(IF(VLOOKUP(AC$4,'Economic Activity'!$A:$T,7,0)*100="","",VLOOKUP(AC$4,'Economic Activity'!$A:$T,7,0))*100,"")</f>
        <v>0.87581606780715582</v>
      </c>
      <c r="AD29" s="16">
        <f>IFERROR(IF(VLOOKUP(AD$4,'Economic Activity'!$A:$T,7,0)*100="","",VLOOKUP(AD$4,'Economic Activity'!$A:$T,7,0))*100,"")</f>
        <v>0.17681843907961792</v>
      </c>
      <c r="AE29" s="16">
        <f>IFERROR(IF(VLOOKUP(AE$4,'Economic Activity'!$A:$T,7,0)*100="","",VLOOKUP(AE$4,'Economic Activity'!$A:$T,7,0))*100,"")</f>
        <v>0.34622205489940328</v>
      </c>
      <c r="AF29" s="16">
        <f>IFERROR(IF(VLOOKUP(AF$4,'Economic Activity'!$A:$T,7,0)*100="","",VLOOKUP(AF$4,'Economic Activity'!$A:$T,7,0))*100,"")</f>
        <v>0.14312554669386746</v>
      </c>
      <c r="AG29" s="16">
        <f>IFERROR(IF(VLOOKUP(AG$4,'Economic Activity'!$A:$T,7,0)*100="","",VLOOKUP(AG$4,'Economic Activity'!$A:$T,7,0))*100,"")</f>
        <v>-0.3759995247662018</v>
      </c>
      <c r="AH29" s="16">
        <f>IFERROR(IF(VLOOKUP(AH$4,'Economic Activity'!$A:$T,7,0)*100="","",VLOOKUP(AH$4,'Economic Activity'!$A:$T,7,0))*100,"")</f>
        <v>8.1254460268698203E-2</v>
      </c>
      <c r="AI29" s="16">
        <f>IFERROR(IF(VLOOKUP(AI$4,'Economic Activity'!$A:$T,7,0)*100="","",VLOOKUP(AI$4,'Economic Activity'!$A:$T,7,0))*100,"")</f>
        <v>-1.8017250063928625E-2</v>
      </c>
      <c r="AJ29" s="16">
        <f>IFERROR(IF(VLOOKUP(AJ$4,'Economic Activity'!$A:$T,7,0)*100="","",VLOOKUP(AJ$4,'Economic Activity'!$A:$T,7,0))*100,"")</f>
        <v>-0.18439402559493612</v>
      </c>
      <c r="AK29" s="16">
        <f>IFERROR(IF(VLOOKUP(AK$4,'Economic Activity'!$A:$T,7,0)*100="","",VLOOKUP(AK$4,'Economic Activity'!$A:$T,7,0))*100,"")</f>
        <v>-0.95975878868287401</v>
      </c>
      <c r="AL29" s="16">
        <f>IFERROR(IF(VLOOKUP(AL$4,'Economic Activity'!$A:$T,7,0)*100="","",VLOOKUP(AL$4,'Economic Activity'!$A:$T,7,0))*100,"")</f>
        <v>-0.39351629512558439</v>
      </c>
      <c r="AM29" s="16" t="str">
        <f>IFERROR(IF(VLOOKUP(AM$4,'Economic Activity'!$A:$T,7,0)*100="","",VLOOKUP(AM$4,'Economic Activity'!$A:$T,7,0))*100,"")</f>
        <v/>
      </c>
      <c r="AN29" s="16" t="str">
        <f>IFERROR(IF(VLOOKUP(AN$4,'Economic Activity'!$A:$T,7,0)*100="","",VLOOKUP(AN$4,'Economic Activity'!$A:$T,7,0))*100,"")</f>
        <v/>
      </c>
      <c r="AO29" s="16" t="str">
        <f>IFERROR(IF(VLOOKUP(AO$4,'Economic Activity'!$A:$T,7,0)*100="","",VLOOKUP(AO$4,'Economic Activity'!$A:$T,7,0))*100,"")</f>
        <v/>
      </c>
      <c r="AP29" s="16" t="str">
        <f>IFERROR(IF(VLOOKUP(AP$4,'Economic Activity'!$A:$T,7,0)*100="","",VLOOKUP(AP$4,'Economic Activity'!$A:$T,7,0))*100,"")</f>
        <v/>
      </c>
      <c r="AQ29" s="16" t="str">
        <f>IFERROR(IF(VLOOKUP(AQ$4,'Economic Activity'!$A:$T,7,0)*100="","",VLOOKUP(AQ$4,'Economic Activity'!$A:$T,7,0))*100,"")</f>
        <v/>
      </c>
      <c r="AR29" s="16" t="str">
        <f>IFERROR(IF(VLOOKUP(AR$4,'Economic Activity'!$A:$T,7,0)*100="","",VLOOKUP(AR$4,'Economic Activity'!$A:$T,7,0))*100,"")</f>
        <v/>
      </c>
      <c r="AS29" s="16" t="str">
        <f>IFERROR(IF(VLOOKUP(AS$4,'Economic Activity'!$A:$T,7,0)*100="","",VLOOKUP(AS$4,'Economic Activity'!$A:$T,7,0))*100,"")</f>
        <v/>
      </c>
      <c r="AT29" s="16" t="str">
        <f>IFERROR(IF(VLOOKUP(AT$4,'Economic Activity'!$A:$T,7,0)*100="","",VLOOKUP(AT$4,'Economic Activity'!$A:$T,7,0))*100,"")</f>
        <v/>
      </c>
      <c r="AU29" s="16" t="str">
        <f>IFERROR(IF(VLOOKUP(AU$4,'Economic Activity'!$A:$T,7,0)*100="","",VLOOKUP(AU$4,'Economic Activity'!$A:$T,7,0))*100,"")</f>
        <v/>
      </c>
      <c r="AV29" s="16" t="str">
        <f>IFERROR(IF(VLOOKUP(AV$4,'Economic Activity'!$A:$T,7,0)*100="","",VLOOKUP(AV$4,'Economic Activity'!$A:$T,7,0))*100,"")</f>
        <v/>
      </c>
      <c r="AW29" s="16" t="str">
        <f>IFERROR(IF(VLOOKUP(AW$4,'Economic Activity'!$A:$T,7,0)*100="","",VLOOKUP(AW$4,'Economic Activity'!$A:$T,7,0))*100,"")</f>
        <v/>
      </c>
      <c r="AX29" s="16" t="str">
        <f>IFERROR(IF(VLOOKUP(AX$4,'Economic Activity'!$A:$T,7,0)*100="","",VLOOKUP(AX$4,'Economic Activity'!$A:$T,7,0))*100,"")</f>
        <v/>
      </c>
      <c r="AY29" s="16" t="str">
        <f>IFERROR(IF(VLOOKUP(AY$4,'Economic Activity'!$A:$T,7,0)*100="","",VLOOKUP(AY$4,'Economic Activity'!$A:$T,7,0))*100,"")</f>
        <v/>
      </c>
    </row>
    <row r="30" spans="1:51" ht="19.5" customHeight="1">
      <c r="A30" s="3"/>
      <c r="B30" s="2" t="s">
        <v>10</v>
      </c>
      <c r="C30" s="47" t="s">
        <v>94</v>
      </c>
      <c r="D30" s="16">
        <f>IFERROR(IF(VLOOKUP(D$4,'Economic Activity'!$A:$T,10,0)*100="","",VLOOKUP(D$4,'Economic Activity'!$A:$T,10,0)*100),"")</f>
        <v>8.4416685238413613</v>
      </c>
      <c r="E30" s="16">
        <f>IFERROR(IF(VLOOKUP(E$4,'Economic Activity'!$A:$T,10,0)*100="","",VLOOKUP(E$4,'Economic Activity'!$A:$T,10,0)*100),"")</f>
        <v>5.628532108520079</v>
      </c>
      <c r="F30" s="16">
        <f>IFERROR(IF(VLOOKUP(F$4,'Economic Activity'!$A:$T,10,0)*100="","",VLOOKUP(F$4,'Economic Activity'!$A:$T,10,0)*100),"")</f>
        <v>28.754295658430571</v>
      </c>
      <c r="G30" s="16">
        <f>IFERROR(IF(VLOOKUP(G$4,'Economic Activity'!$A:$T,10,0)*100="","",VLOOKUP(G$4,'Economic Activity'!$A:$T,10,0)*100),"")</f>
        <v>52.027379607875801</v>
      </c>
      <c r="H30" s="16">
        <f>IFERROR(IF(VLOOKUP(H$4,'Economic Activity'!$A:$T,10,0)*100="","",VLOOKUP(H$4,'Economic Activity'!$A:$T,10,0)*100),"")</f>
        <v>26.675463316529125</v>
      </c>
      <c r="I30" s="16">
        <f>IFERROR(IF(VLOOKUP(I$4,'Economic Activity'!$A:$T,10,0)*100="","",VLOOKUP(I$4,'Economic Activity'!$A:$T,10,0)*100),"")</f>
        <v>17.850297369084611</v>
      </c>
      <c r="J30" s="16">
        <f>IFERROR(IF(VLOOKUP(J$4,'Economic Activity'!$A:$T,10,0)*100="","",VLOOKUP(J$4,'Economic Activity'!$A:$T,10,0)*100),"")</f>
        <v>14.285874246982333</v>
      </c>
      <c r="K30" s="16">
        <f>IFERROR(IF(VLOOKUP(K$4,'Economic Activity'!$A:$T,10,0)*100="","",VLOOKUP(K$4,'Economic Activity'!$A:$T,10,0)*100),"")</f>
        <v>14.128970626005888</v>
      </c>
      <c r="L30" s="16">
        <f>IFERROR(IF(VLOOKUP(L$4,'Economic Activity'!$A:$T,10,0)*100="","",VLOOKUP(L$4,'Economic Activity'!$A:$T,10,0)*100),"")</f>
        <v>12.706125332898521</v>
      </c>
      <c r="M30" s="16">
        <f>IFERROR(IF(VLOOKUP(M$4,'Economic Activity'!$A:$T,10,0)*100="","",VLOOKUP(M$4,'Economic Activity'!$A:$T,10,0)*100),"")</f>
        <v>14.970032650314224</v>
      </c>
      <c r="N30" s="16">
        <f>IFERROR(IF(VLOOKUP(N$4,'Economic Activity'!$A:$T,10,0)*100="","",VLOOKUP(N$4,'Economic Activity'!$A:$T,10,0)*100),"")</f>
        <v>17.324200360106378</v>
      </c>
      <c r="O30" s="16">
        <f>IFERROR(IF(VLOOKUP(O$4,'Economic Activity'!$A:$T,10,0)*100="","",VLOOKUP(O$4,'Economic Activity'!$A:$T,10,0)*100),"")</f>
        <v>15.521684920701272</v>
      </c>
      <c r="P30" s="16">
        <f>IFERROR(IF(VLOOKUP(P$4,'Economic Activity'!$A:$T,10,0)*100="","",VLOOKUP(P$4,'Economic Activity'!$A:$T,10,0)*100),"")</f>
        <v>13.251327486479214</v>
      </c>
      <c r="Q30" s="16">
        <f>IFERROR(IF(VLOOKUP(Q$4,'Economic Activity'!$A:$T,10,0)*100="","",VLOOKUP(Q$4,'Economic Activity'!$A:$T,10,0)*100),"")</f>
        <v>17.772183468515792</v>
      </c>
      <c r="R30" s="16">
        <f>IFERROR(IF(VLOOKUP(R$4,'Economic Activity'!$A:$T,10,0)*100="","",VLOOKUP(R$4,'Economic Activity'!$A:$T,10,0)*100),"")</f>
        <v>8.3624525442149036</v>
      </c>
      <c r="S30" s="16">
        <f>IFERROR(IF(VLOOKUP(S$4,'Economic Activity'!$A:$T,10,0)*100="","",VLOOKUP(S$4,'Economic Activity'!$A:$T,10,0)*100),"")</f>
        <v>8.9182926279014261</v>
      </c>
      <c r="T30" s="16">
        <f>IFERROR(IF(VLOOKUP(T$4,'Economic Activity'!$A:$T,10,0)*100="","",VLOOKUP(T$4,'Economic Activity'!$A:$T,10,0)*100),"")</f>
        <v>9.6748665048149274</v>
      </c>
      <c r="U30" s="16">
        <f>IFERROR(IF(VLOOKUP(U$4,'Economic Activity'!$A:$T,10,0)*100="","",VLOOKUP(U$4,'Economic Activity'!$A:$T,10,0)*100),"")</f>
        <v>9.4758466696267085</v>
      </c>
      <c r="V30" s="16">
        <f>IFERROR(IF(VLOOKUP(V$4,'Economic Activity'!$A:$T,10,0)*100="","",VLOOKUP(V$4,'Economic Activity'!$A:$T,10,0)*100),"")</f>
        <v>10.357384298343874</v>
      </c>
      <c r="W30" s="16">
        <f>IFERROR(IF(VLOOKUP(W$4,'Economic Activity'!$A:$T,10,0)*100="","",VLOOKUP(W$4,'Economic Activity'!$A:$T,10,0)*100),"")</f>
        <v>10.134087148551462</v>
      </c>
      <c r="X30" s="16">
        <f>IFERROR(IF(VLOOKUP(X$4,'Economic Activity'!$A:$T,10,0)*100="","",VLOOKUP(X$4,'Economic Activity'!$A:$T,10,0)*100),"")</f>
        <v>9.0174633180304156</v>
      </c>
      <c r="Y30" s="16">
        <f>IFERROR(IF(VLOOKUP(Y$4,'Economic Activity'!$A:$T,10,0)*100="","",VLOOKUP(Y$4,'Economic Activity'!$A:$T,10,0)*100),"")</f>
        <v>8.9052549975081607</v>
      </c>
      <c r="Z30" s="16">
        <f>IFERROR(IF(VLOOKUP(Z$4,'Economic Activity'!$A:$T,10,0)*100="","",VLOOKUP(Z$4,'Economic Activity'!$A:$T,10,0)*100),"")</f>
        <v>6.0585581357512464</v>
      </c>
      <c r="AA30" s="16">
        <f>IFERROR(IF(VLOOKUP(AA$4,'Economic Activity'!$A:$T,10,0)*100="","",VLOOKUP(AA$4,'Economic Activity'!$A:$T,10,0)*100),"")</f>
        <v>5.9819256825855316</v>
      </c>
      <c r="AB30" s="16">
        <f>IFERROR(IF(VLOOKUP(AB$4,'Economic Activity'!$A:$T,10,0)*100="","",VLOOKUP(AB$4,'Economic Activity'!$A:$T,10,0)*100),"")</f>
        <v>7.4061264055835574</v>
      </c>
      <c r="AC30" s="16">
        <f>IFERROR(IF(VLOOKUP(AC$4,'Economic Activity'!$A:$T,10,0)*100="","",VLOOKUP(AC$4,'Economic Activity'!$A:$T,10,0)*100),"")</f>
        <v>5.262014346218824</v>
      </c>
      <c r="AD30" s="16">
        <f>IFERROR(IF(VLOOKUP(AD$4,'Economic Activity'!$A:$T,10,0)*100="","",VLOOKUP(AD$4,'Economic Activity'!$A:$T,10,0)*100),"")</f>
        <v>2.1921894910426509</v>
      </c>
      <c r="AE30" s="16">
        <f>IFERROR(IF(VLOOKUP(AE$4,'Economic Activity'!$A:$T,10,0)*100="","",VLOOKUP(AE$4,'Economic Activity'!$A:$T,10,0)*100),"")</f>
        <v>1.292648753733916</v>
      </c>
      <c r="AF30" s="16">
        <f>IFERROR(IF(VLOOKUP(AF$4,'Economic Activity'!$A:$T,10,0)*100="","",VLOOKUP(AF$4,'Economic Activity'!$A:$T,10,0)*100),"")</f>
        <v>2.1103398205700064</v>
      </c>
      <c r="AG30" s="16">
        <f>IFERROR(IF(VLOOKUP(AG$4,'Economic Activity'!$A:$T,10,0)*100="","",VLOOKUP(AG$4,'Economic Activity'!$A:$T,10,0)*100),"")</f>
        <v>1.469916166432772</v>
      </c>
      <c r="AH30" s="16">
        <f>IFERROR(IF(VLOOKUP(AH$4,'Economic Activity'!$A:$T,10,0)*100="","",VLOOKUP(AH$4,'Economic Activity'!$A:$T,10,0)*100),"")</f>
        <v>2.7511682070130883</v>
      </c>
      <c r="AI30" s="16">
        <f>IFERROR(IF(VLOOKUP(AI$4,'Economic Activity'!$A:$T,10,0)*100="","",VLOOKUP(AI$4,'Economic Activity'!$A:$T,10,0)*100),"")</f>
        <v>2.835419815009721</v>
      </c>
      <c r="AJ30" s="16">
        <f>IFERROR(IF(VLOOKUP(AJ$4,'Economic Activity'!$A:$T,10,0)*100="","",VLOOKUP(AJ$4,'Economic Activity'!$A:$T,10,0)*100),"")</f>
        <v>3.9961545380284846</v>
      </c>
      <c r="AK30" s="16">
        <f>IFERROR(IF(VLOOKUP(AK$4,'Economic Activity'!$A:$T,10,0)*100="","",VLOOKUP(AK$4,'Economic Activity'!$A:$T,10,0)*100),"")</f>
        <v>2.2046859746176484</v>
      </c>
      <c r="AL30" s="16">
        <f>IFERROR(IF(VLOOKUP(AL$4,'Economic Activity'!$A:$T,10,0)*100="","",VLOOKUP(AL$4,'Economic Activity'!$A:$T,10,0)*100),"")</f>
        <v>4.1337490928614828</v>
      </c>
      <c r="AM30" s="16">
        <f>IFERROR(IF(VLOOKUP(AM$4,'Economic Activity'!$A:$T,10,0)*100="","",VLOOKUP(AM$4,'Economic Activity'!$A:$T,10,0)*100),"")</f>
        <v>5.3844977650570947</v>
      </c>
      <c r="AN30" s="16" t="str">
        <f>IFERROR(IF(VLOOKUP(AN$4,'Economic Activity'!$A:$T,10,0)*100="","",VLOOKUP(AN$4,'Economic Activity'!$A:$T,10,0)*100),"")</f>
        <v/>
      </c>
      <c r="AO30" s="16" t="str">
        <f>IFERROR(IF(VLOOKUP(AO$4,'Economic Activity'!$A:$T,10,0)*100="","",VLOOKUP(AO$4,'Economic Activity'!$A:$T,10,0)*100),"")</f>
        <v/>
      </c>
      <c r="AP30" s="16" t="str">
        <f>IFERROR(IF(VLOOKUP(AP$4,'Economic Activity'!$A:$T,10,0)*100="","",VLOOKUP(AP$4,'Economic Activity'!$A:$T,10,0)*100),"")</f>
        <v/>
      </c>
      <c r="AQ30" s="16" t="str">
        <f>IFERROR(IF(VLOOKUP(AQ$4,'Economic Activity'!$A:$T,10,0)*100="","",VLOOKUP(AQ$4,'Economic Activity'!$A:$T,10,0)*100),"")</f>
        <v/>
      </c>
      <c r="AR30" s="16" t="str">
        <f>IFERROR(IF(VLOOKUP(AR$4,'Economic Activity'!$A:$T,10,0)*100="","",VLOOKUP(AR$4,'Economic Activity'!$A:$T,10,0)*100),"")</f>
        <v/>
      </c>
      <c r="AS30" s="16" t="str">
        <f>IFERROR(IF(VLOOKUP(AS$4,'Economic Activity'!$A:$T,10,0)*100="","",VLOOKUP(AS$4,'Economic Activity'!$A:$T,10,0)*100),"")</f>
        <v/>
      </c>
      <c r="AT30" s="16" t="str">
        <f>IFERROR(IF(VLOOKUP(AT$4,'Economic Activity'!$A:$T,10,0)*100="","",VLOOKUP(AT$4,'Economic Activity'!$A:$T,10,0)*100),"")</f>
        <v/>
      </c>
      <c r="AU30" s="16" t="str">
        <f>IFERROR(IF(VLOOKUP(AU$4,'Economic Activity'!$A:$T,10,0)*100="","",VLOOKUP(AU$4,'Economic Activity'!$A:$T,10,0)*100),"")</f>
        <v/>
      </c>
      <c r="AV30" s="16" t="str">
        <f>IFERROR(IF(VLOOKUP(AV$4,'Economic Activity'!$A:$T,10,0)*100="","",VLOOKUP(AV$4,'Economic Activity'!$A:$T,10,0)*100),"")</f>
        <v/>
      </c>
      <c r="AW30" s="16" t="str">
        <f>IFERROR(IF(VLOOKUP(AW$4,'Economic Activity'!$A:$T,10,0)*100="","",VLOOKUP(AW$4,'Economic Activity'!$A:$T,10,0)*100),"")</f>
        <v/>
      </c>
      <c r="AX30" s="16" t="str">
        <f>IFERROR(IF(VLOOKUP(AX$4,'Economic Activity'!$A:$T,10,0)*100="","",VLOOKUP(AX$4,'Economic Activity'!$A:$T,10,0)*100),"")</f>
        <v/>
      </c>
      <c r="AY30" s="16" t="str">
        <f>IFERROR(IF(VLOOKUP(AY$4,'Economic Activity'!$A:$T,10,0)*100="","",VLOOKUP(AY$4,'Economic Activity'!$A:$T,10,0)*100),"")</f>
        <v/>
      </c>
    </row>
    <row r="31" spans="1:51" ht="19.5" customHeight="1">
      <c r="A31" s="3"/>
      <c r="B31" s="2" t="s">
        <v>75</v>
      </c>
      <c r="C31" s="47" t="s">
        <v>94</v>
      </c>
      <c r="D31" s="16">
        <f>IFERROR(IF(VLOOKUP(D$4,'Economic Activity'!$A:$T,13,0)*100="","",VLOOKUP(D$4,'Economic Activity'!$A:$T,13,0)*100),"")</f>
        <v>7.6662858008000656</v>
      </c>
      <c r="E31" s="16">
        <f>IFERROR(IF(VLOOKUP(E$4,'Economic Activity'!$A:$T,13,0)*100="","",VLOOKUP(E$4,'Economic Activity'!$A:$T,13,0)*100),"")</f>
        <v>5.1328192148051066</v>
      </c>
      <c r="F31" s="16">
        <f>IFERROR(IF(VLOOKUP(F$4,'Economic Activity'!$A:$T,13,0)*100="","",VLOOKUP(F$4,'Economic Activity'!$A:$T,13,0)*100),"")</f>
        <v>20.592668125746115</v>
      </c>
      <c r="G31" s="16">
        <f>IFERROR(IF(VLOOKUP(G$4,'Economic Activity'!$A:$T,13,0)*100="","",VLOOKUP(G$4,'Economic Activity'!$A:$T,13,0)*100),"")</f>
        <v>42.002857059560952</v>
      </c>
      <c r="H31" s="16">
        <f>IFERROR(IF(VLOOKUP(H$4,'Economic Activity'!$A:$T,13,0)*100="","",VLOOKUP(H$4,'Economic Activity'!$A:$T,13,0)*100),"")</f>
        <v>25.096747526415044</v>
      </c>
      <c r="I31" s="16">
        <f>IFERROR(IF(VLOOKUP(I$4,'Economic Activity'!$A:$T,13,0)*100="","",VLOOKUP(I$4,'Economic Activity'!$A:$T,13,0)*100),"")</f>
        <v>17.577722641558815</v>
      </c>
      <c r="J31" s="16">
        <f>IFERROR(IF(VLOOKUP(J$4,'Economic Activity'!$A:$T,13,0)*100="","",VLOOKUP(J$4,'Economic Activity'!$A:$T,13,0)*100),"")</f>
        <v>14.116954218303368</v>
      </c>
      <c r="K31" s="16">
        <f>IFERROR(IF(VLOOKUP(K$4,'Economic Activity'!$A:$T,13,0)*100="","",VLOOKUP(K$4,'Economic Activity'!$A:$T,13,0)*100),"")</f>
        <v>14.798120463705033</v>
      </c>
      <c r="L31" s="16">
        <f>IFERROR(IF(VLOOKUP(L$4,'Economic Activity'!$A:$T,13,0)*100="","",VLOOKUP(L$4,'Economic Activity'!$A:$T,13,0)*100),"")</f>
        <v>13.648499971644078</v>
      </c>
      <c r="M31" s="16">
        <f>IFERROR(IF(VLOOKUP(M$4,'Economic Activity'!$A:$T,13,0)*100="","",VLOOKUP(M$4,'Economic Activity'!$A:$T,13,0)*100),"")</f>
        <v>15.917415841606708</v>
      </c>
      <c r="N31" s="16">
        <f>IFERROR(IF(VLOOKUP(N$4,'Economic Activity'!$A:$T,13,0)*100="","",VLOOKUP(N$4,'Economic Activity'!$A:$T,13,0)*100),"")</f>
        <v>18.077628151231551</v>
      </c>
      <c r="O31" s="16">
        <f>IFERROR(IF(VLOOKUP(O$4,'Economic Activity'!$A:$T,13,0)*100="","",VLOOKUP(O$4,'Economic Activity'!$A:$T,13,0)*100),"")</f>
        <v>17.036020254112838</v>
      </c>
      <c r="P31" s="16">
        <f>IFERROR(IF(VLOOKUP(P$4,'Economic Activity'!$A:$T,13,0)*100="","",VLOOKUP(P$4,'Economic Activity'!$A:$T,13,0)*100),"")</f>
        <v>13.410513086428445</v>
      </c>
      <c r="Q31" s="16">
        <f>IFERROR(IF(VLOOKUP(Q$4,'Economic Activity'!$A:$T,13,0)*100="","",VLOOKUP(Q$4,'Economic Activity'!$A:$T,13,0)*100),"")</f>
        <v>17.806670435274174</v>
      </c>
      <c r="R31" s="16">
        <f>IFERROR(IF(VLOOKUP(R$4,'Economic Activity'!$A:$T,13,0)*100="","",VLOOKUP(R$4,'Economic Activity'!$A:$T,13,0)*100),"")</f>
        <v>11.014294287853254</v>
      </c>
      <c r="S31" s="16">
        <f>IFERROR(IF(VLOOKUP(S$4,'Economic Activity'!$A:$T,13,0)*100="","",VLOOKUP(S$4,'Economic Activity'!$A:$T,13,0)*100),"")</f>
        <v>11.899795517816237</v>
      </c>
      <c r="T31" s="16">
        <f>IFERROR(IF(VLOOKUP(T$4,'Economic Activity'!$A:$T,13,0)*100="","",VLOOKUP(T$4,'Economic Activity'!$A:$T,13,0)*100),"")</f>
        <v>13.300305428953173</v>
      </c>
      <c r="U31" s="16">
        <f>IFERROR(IF(VLOOKUP(U$4,'Economic Activity'!$A:$T,13,0)*100="","",VLOOKUP(U$4,'Economic Activity'!$A:$T,13,0)*100),"")</f>
        <v>12.144902026240988</v>
      </c>
      <c r="V31" s="16">
        <f>IFERROR(IF(VLOOKUP(V$4,'Economic Activity'!$A:$T,13,0)*100="","",VLOOKUP(V$4,'Economic Activity'!$A:$T,13,0)*100),"")</f>
        <v>12.499107599984494</v>
      </c>
      <c r="W31" s="16">
        <f>IFERROR(IF(VLOOKUP(W$4,'Economic Activity'!$A:$T,13,0)*100="","",VLOOKUP(W$4,'Economic Activity'!$A:$T,13,0)*100),"")</f>
        <v>10.929751941627664</v>
      </c>
      <c r="X31" s="16">
        <f>IFERROR(IF(VLOOKUP(X$4,'Economic Activity'!$A:$T,13,0)*100="","",VLOOKUP(X$4,'Economic Activity'!$A:$T,13,0)*100),"")</f>
        <v>10.019940477972655</v>
      </c>
      <c r="Y31" s="16">
        <f>IFERROR(IF(VLOOKUP(Y$4,'Economic Activity'!$A:$T,13,0)*100="","",VLOOKUP(Y$4,'Economic Activity'!$A:$T,13,0)*100),"")</f>
        <v>9.7077654267645919</v>
      </c>
      <c r="Z31" s="16">
        <f>IFERROR(IF(VLOOKUP(Z$4,'Economic Activity'!$A:$T,13,0)*100="","",VLOOKUP(Z$4,'Economic Activity'!$A:$T,13,0)*100),"")</f>
        <v>7.2233603567322113</v>
      </c>
      <c r="AA31" s="16">
        <f>IFERROR(IF(VLOOKUP(AA$4,'Economic Activity'!$A:$T,13,0)*100="","",VLOOKUP(AA$4,'Economic Activity'!$A:$T,13,0)*100),"")</f>
        <v>7.1813155825122488</v>
      </c>
      <c r="AB31" s="16">
        <f>IFERROR(IF(VLOOKUP(AB$4,'Economic Activity'!$A:$T,13,0)*100="","",VLOOKUP(AB$4,'Economic Activity'!$A:$T,13,0)*100),"")</f>
        <v>8.4310576310196552</v>
      </c>
      <c r="AC31" s="16">
        <f>IFERROR(IF(VLOOKUP(AC$4,'Economic Activity'!$A:$T,13,0)*100="","",VLOOKUP(AC$4,'Economic Activity'!$A:$T,13,0)*100),"")</f>
        <v>6.4083397695207545</v>
      </c>
      <c r="AD31" s="16">
        <f>IFERROR(IF(VLOOKUP(AD$4,'Economic Activity'!$A:$T,13,0)*100="","",VLOOKUP(AD$4,'Economic Activity'!$A:$T,13,0)*100),"")</f>
        <v>2.5499503051357619</v>
      </c>
      <c r="AE31" s="16">
        <f>IFERROR(IF(VLOOKUP(AE$4,'Economic Activity'!$A:$T,13,0)*100="","",VLOOKUP(AE$4,'Economic Activity'!$A:$T,13,0)*100),"")</f>
        <v>1.6187624530773492</v>
      </c>
      <c r="AF31" s="16">
        <f>IFERROR(IF(VLOOKUP(AF$4,'Economic Activity'!$A:$T,13,0)*100="","",VLOOKUP(AF$4,'Economic Activity'!$A:$T,13,0)*100),"")</f>
        <v>1.3743023683932432</v>
      </c>
      <c r="AG31" s="16">
        <f>IFERROR(IF(VLOOKUP(AG$4,'Economic Activity'!$A:$T,13,0)*100="","",VLOOKUP(AG$4,'Economic Activity'!$A:$T,13,0)*100),"")</f>
        <v>0.45878262940357573</v>
      </c>
      <c r="AH31" s="16">
        <f>IFERROR(IF(VLOOKUP(AH$4,'Economic Activity'!$A:$T,13,0)*100="","",VLOOKUP(AH$4,'Economic Activity'!$A:$T,13,0)*100),"")</f>
        <v>1.7322783249445139</v>
      </c>
      <c r="AI31" s="16">
        <f>IFERROR(IF(VLOOKUP(AI$4,'Economic Activity'!$A:$T,13,0)*100="","",VLOOKUP(AI$4,'Economic Activity'!$A:$T,13,0)*100),"")</f>
        <v>2.4309874404112142</v>
      </c>
      <c r="AJ31" s="16">
        <f>IFERROR(IF(VLOOKUP(AJ$4,'Economic Activity'!$A:$T,13,0)*100="","",VLOOKUP(AJ$4,'Economic Activity'!$A:$T,13,0)*100),"")</f>
        <v>3.4205990674722075</v>
      </c>
      <c r="AK31" s="16">
        <f>IFERROR(IF(VLOOKUP(AK$4,'Economic Activity'!$A:$T,13,0)*100="","",VLOOKUP(AK$4,'Economic Activity'!$A:$T,13,0)*100),"")</f>
        <v>1.9652351372155819</v>
      </c>
      <c r="AL31" s="16">
        <f>IFERROR(IF(VLOOKUP(AL$4,'Economic Activity'!$A:$T,13,0)*100="","",VLOOKUP(AL$4,'Economic Activity'!$A:$T,13,0)*100),"")</f>
        <v>3.6013477837231633</v>
      </c>
      <c r="AM31" s="16">
        <f>IFERROR(IF(VLOOKUP(AM$4,'Economic Activity'!$A:$T,13,0)*100="","",VLOOKUP(AM$4,'Economic Activity'!$A:$T,13,0)*100),"")</f>
        <v>4.3983715264754419</v>
      </c>
      <c r="AN31" s="16" t="str">
        <f>IFERROR(IF(VLOOKUP(AN$4,'Economic Activity'!$A:$T,13,0)*100="","",VLOOKUP(AN$4,'Economic Activity'!$A:$T,13,0)*100),"")</f>
        <v/>
      </c>
      <c r="AO31" s="16" t="str">
        <f>IFERROR(IF(VLOOKUP(AO$4,'Economic Activity'!$A:$T,13,0)*100="","",VLOOKUP(AO$4,'Economic Activity'!$A:$T,13,0)*100),"")</f>
        <v/>
      </c>
      <c r="AP31" s="16" t="str">
        <f>IFERROR(IF(VLOOKUP(AP$4,'Economic Activity'!$A:$T,13,0)*100="","",VLOOKUP(AP$4,'Economic Activity'!$A:$T,13,0)*100),"")</f>
        <v/>
      </c>
      <c r="AQ31" s="16" t="str">
        <f>IFERROR(IF(VLOOKUP(AQ$4,'Economic Activity'!$A:$T,13,0)*100="","",VLOOKUP(AQ$4,'Economic Activity'!$A:$T,13,0)*100),"")</f>
        <v/>
      </c>
      <c r="AR31" s="16" t="str">
        <f>IFERROR(IF(VLOOKUP(AR$4,'Economic Activity'!$A:$T,13,0)*100="","",VLOOKUP(AR$4,'Economic Activity'!$A:$T,13,0)*100),"")</f>
        <v/>
      </c>
      <c r="AS31" s="16" t="str">
        <f>IFERROR(IF(VLOOKUP(AS$4,'Economic Activity'!$A:$T,13,0)*100="","",VLOOKUP(AS$4,'Economic Activity'!$A:$T,13,0)*100),"")</f>
        <v/>
      </c>
      <c r="AT31" s="16" t="str">
        <f>IFERROR(IF(VLOOKUP(AT$4,'Economic Activity'!$A:$T,13,0)*100="","",VLOOKUP(AT$4,'Economic Activity'!$A:$T,13,0)*100),"")</f>
        <v/>
      </c>
      <c r="AU31" s="16" t="str">
        <f>IFERROR(IF(VLOOKUP(AU$4,'Economic Activity'!$A:$T,13,0)*100="","",VLOOKUP(AU$4,'Economic Activity'!$A:$T,13,0)*100),"")</f>
        <v/>
      </c>
      <c r="AV31" s="16" t="str">
        <f>IFERROR(IF(VLOOKUP(AV$4,'Economic Activity'!$A:$T,13,0)*100="","",VLOOKUP(AV$4,'Economic Activity'!$A:$T,13,0)*100),"")</f>
        <v/>
      </c>
      <c r="AW31" s="16" t="str">
        <f>IFERROR(IF(VLOOKUP(AW$4,'Economic Activity'!$A:$T,13,0)*100="","",VLOOKUP(AW$4,'Economic Activity'!$A:$T,13,0)*100),"")</f>
        <v/>
      </c>
      <c r="AX31" s="16" t="str">
        <f>IFERROR(IF(VLOOKUP(AX$4,'Economic Activity'!$A:$T,13,0)*100="","",VLOOKUP(AX$4,'Economic Activity'!$A:$T,13,0)*100),"")</f>
        <v/>
      </c>
      <c r="AY31" s="16" t="str">
        <f>IFERROR(IF(VLOOKUP(AY$4,'Economic Activity'!$A:$T,13,0)*100="","",VLOOKUP(AY$4,'Economic Activity'!$A:$T,13,0)*100),"")</f>
        <v/>
      </c>
    </row>
    <row r="32" spans="1:51" ht="19.5" customHeight="1">
      <c r="A32" s="3"/>
      <c r="B32" s="2" t="s">
        <v>76</v>
      </c>
      <c r="C32" s="47" t="s">
        <v>94</v>
      </c>
      <c r="D32" s="16">
        <f>IFERROR(IF(VLOOKUP(D$4,'Economic Activity'!$A:$T,16,0)*100="","",VLOOKUP(D$4,'Economic Activity'!$A:$T,16,0)*100),"")</f>
        <v>6.9502146346277272</v>
      </c>
      <c r="E32" s="16">
        <f>IFERROR(IF(VLOOKUP(E$4,'Economic Activity'!$A:$T,16,0)*100="","",VLOOKUP(E$4,'Economic Activity'!$A:$T,16,0)*100),"")</f>
        <v>3.8697834164828526</v>
      </c>
      <c r="F32" s="16">
        <f>IFERROR(IF(VLOOKUP(F$4,'Economic Activity'!$A:$T,16,0)*100="","",VLOOKUP(F$4,'Economic Activity'!$A:$T,16,0)*100),"")</f>
        <v>25.453917212411127</v>
      </c>
      <c r="G32" s="16">
        <f>IFERROR(IF(VLOOKUP(G$4,'Economic Activity'!$A:$T,16,0)*100="","",VLOOKUP(G$4,'Economic Activity'!$A:$T,16,0)*100),"")</f>
        <v>45.996950894341595</v>
      </c>
      <c r="H32" s="16">
        <f>IFERROR(IF(VLOOKUP(H$4,'Economic Activity'!$A:$T,16,0)*100="","",VLOOKUP(H$4,'Economic Activity'!$A:$T,16,0)*100),"")</f>
        <v>20.741072369114089</v>
      </c>
      <c r="I32" s="16">
        <f>IFERROR(IF(VLOOKUP(I$4,'Economic Activity'!$A:$T,16,0)*100="","",VLOOKUP(I$4,'Economic Activity'!$A:$T,16,0)*100),"")</f>
        <v>11.938240567508585</v>
      </c>
      <c r="J32" s="16">
        <f>IFERROR(IF(VLOOKUP(J$4,'Economic Activity'!$A:$T,16,0)*100="","",VLOOKUP(J$4,'Economic Activity'!$A:$T,16,0)*100),"")</f>
        <v>8.6143405248038327</v>
      </c>
      <c r="K32" s="16">
        <f>IFERROR(IF(VLOOKUP(K$4,'Economic Activity'!$A:$T,16,0)*100="","",VLOOKUP(K$4,'Economic Activity'!$A:$T,16,0)*100),"")</f>
        <v>8.4995014955134618</v>
      </c>
      <c r="L32" s="16">
        <f>IFERROR(IF(VLOOKUP(L$4,'Economic Activity'!$A:$T,16,0)*100="","",VLOOKUP(L$4,'Economic Activity'!$A:$T,16,0)*100),"")</f>
        <v>6.9486319439210131</v>
      </c>
      <c r="M32" s="16">
        <f>IFERROR(IF(VLOOKUP(M$4,'Economic Activity'!$A:$T,16,0)*100="","",VLOOKUP(M$4,'Economic Activity'!$A:$T,16,0)*100),"")</f>
        <v>8.2195477615332191</v>
      </c>
      <c r="N32" s="16">
        <f>IFERROR(IF(VLOOKUP(N$4,'Economic Activity'!$A:$T,16,0)*100="","",VLOOKUP(N$4,'Economic Activity'!$A:$T,16,0)*100),"")</f>
        <v>9.7903303015796972</v>
      </c>
      <c r="O32" s="16">
        <f>IFERROR(IF(VLOOKUP(O$4,'Economic Activity'!$A:$T,16,0)*100="","",VLOOKUP(O$4,'Economic Activity'!$A:$T,16,0)*100),"")</f>
        <v>7.7682156107272027</v>
      </c>
      <c r="P32" s="16">
        <f>IFERROR(IF(VLOOKUP(P$4,'Economic Activity'!$A:$T,16,0)*100="","",VLOOKUP(P$4,'Economic Activity'!$A:$T,16,0)*100),"")</f>
        <v>5.2566018933732028</v>
      </c>
      <c r="Q32" s="16">
        <f>IFERROR(IF(VLOOKUP(Q$4,'Economic Activity'!$A:$T,16,0)*100="","",VLOOKUP(Q$4,'Economic Activity'!$A:$T,16,0)*100),"")</f>
        <v>9.0940619224757491</v>
      </c>
      <c r="R32" s="16">
        <f>IFERROR(IF(VLOOKUP(R$4,'Economic Activity'!$A:$T,16,0)*100="","",VLOOKUP(R$4,'Economic Activity'!$A:$T,16,0)*100),"")</f>
        <v>-0.14072566242194773</v>
      </c>
      <c r="S32" s="16">
        <f>IFERROR(IF(VLOOKUP(S$4,'Economic Activity'!$A:$T,16,0)*100="","",VLOOKUP(S$4,'Economic Activity'!$A:$T,16,0)*100),"")</f>
        <v>0.63771454109478043</v>
      </c>
      <c r="T32" s="16">
        <f>IFERROR(IF(VLOOKUP(T$4,'Economic Activity'!$A:$T,16,0)*100="","",VLOOKUP(T$4,'Economic Activity'!$A:$T,16,0)*100),"")</f>
        <v>1.0805316721849145</v>
      </c>
      <c r="U32" s="16">
        <f>IFERROR(IF(VLOOKUP(U$4,'Economic Activity'!$A:$T,16,0)*100="","",VLOOKUP(U$4,'Economic Activity'!$A:$T,16,0)*100),"")</f>
        <v>0.49836562191241107</v>
      </c>
      <c r="V32" s="16">
        <f>IFERROR(IF(VLOOKUP(V$4,'Economic Activity'!$A:$T,16,0)*100="","",VLOOKUP(V$4,'Economic Activity'!$A:$T,16,0)*100),"")</f>
        <v>1.793290139344994</v>
      </c>
      <c r="W32" s="16">
        <f>IFERROR(IF(VLOOKUP(W$4,'Economic Activity'!$A:$T,16,0)*100="","",VLOOKUP(W$4,'Economic Activity'!$A:$T,16,0)*100),"")</f>
        <v>1.7618265033840563</v>
      </c>
      <c r="X32" s="16">
        <f>IFERROR(IF(VLOOKUP(X$4,'Economic Activity'!$A:$T,16,0)*100="","",VLOOKUP(X$4,'Economic Activity'!$A:$T,16,0)*100),"")</f>
        <v>0.74177832985349301</v>
      </c>
      <c r="Y32" s="16">
        <f>IFERROR(IF(VLOOKUP(Y$4,'Economic Activity'!$A:$T,16,0)*100="","",VLOOKUP(Y$4,'Economic Activity'!$A:$T,16,0)*100),"")</f>
        <v>1.0604741509425697</v>
      </c>
      <c r="Z32" s="16">
        <f>IFERROR(IF(VLOOKUP(Z$4,'Economic Activity'!$A:$T,16,0)*100="","",VLOOKUP(Z$4,'Economic Activity'!$A:$T,16,0)*100),"")</f>
        <v>-1.0054414175590387</v>
      </c>
      <c r="AA32" s="16">
        <f>IFERROR(IF(VLOOKUP(AA$4,'Economic Activity'!$A:$T,16,0)*100="","",VLOOKUP(AA$4,'Economic Activity'!$A:$T,16,0)*100),"")</f>
        <v>-0.4348556226301703</v>
      </c>
      <c r="AB32" s="16">
        <f>IFERROR(IF(VLOOKUP(AB$4,'Economic Activity'!$A:$T,16,0)*100="","",VLOOKUP(AB$4,'Economic Activity'!$A:$T,16,0)*100),"")</f>
        <v>0.99583607275914865</v>
      </c>
      <c r="AC32" s="16">
        <f>IFERROR(IF(VLOOKUP(AC$4,'Economic Activity'!$A:$T,16,0)*100="","",VLOOKUP(AC$4,'Economic Activity'!$A:$T,16,0)*100),"")</f>
        <v>-0.68370559724079127</v>
      </c>
      <c r="AD32" s="16">
        <f>IFERROR(IF(VLOOKUP(AD$4,'Economic Activity'!$A:$T,16,0)*100="","",VLOOKUP(AD$4,'Economic Activity'!$A:$T,16,0)*100),"")</f>
        <v>-2.6620410274090678</v>
      </c>
      <c r="AE32" s="16">
        <f>IFERROR(IF(VLOOKUP(AE$4,'Economic Activity'!$A:$T,16,0)*100="","",VLOOKUP(AE$4,'Economic Activity'!$A:$T,16,0)*100),"")</f>
        <v>-3.4911823732866498</v>
      </c>
      <c r="AF32" s="16">
        <f>IFERROR(IF(VLOOKUP(AF$4,'Economic Activity'!$A:$T,16,0)*100="","",VLOOKUP(AF$4,'Economic Activity'!$A:$T,16,0)*100),"")</f>
        <v>-1.9385799858447461</v>
      </c>
      <c r="AG32" s="16">
        <f>IFERROR(IF(VLOOKUP(AG$4,'Economic Activity'!$A:$T,16,0)*100="","",VLOOKUP(AG$4,'Economic Activity'!$A:$T,16,0)*100),"")</f>
        <v>-1.5734356593444687</v>
      </c>
      <c r="AH32" s="16">
        <f>IFERROR(IF(VLOOKUP(AH$4,'Economic Activity'!$A:$T,16,0)*100="","",VLOOKUP(AH$4,'Economic Activity'!$A:$T,16,0)*100),"")</f>
        <v>-0.53012237282076269</v>
      </c>
      <c r="AI32" s="16">
        <f>IFERROR(IF(VLOOKUP(AI$4,'Economic Activity'!$A:$T,16,0)*100="","",VLOOKUP(AI$4,'Economic Activity'!$A:$T,16,0)*100),"")</f>
        <v>-0.84091619490848091</v>
      </c>
      <c r="AJ32" s="16">
        <f>IFERROR(IF(VLOOKUP(AJ$4,'Economic Activity'!$A:$T,16,0)*100="","",VLOOKUP(AJ$4,'Economic Activity'!$A:$T,16,0)*100),"")</f>
        <v>0.29513873706854543</v>
      </c>
      <c r="AK32" s="16">
        <f>IFERROR(IF(VLOOKUP(AK$4,'Economic Activity'!$A:$T,16,0)*100="","",VLOOKUP(AK$4,'Economic Activity'!$A:$T,16,0)*100),"")</f>
        <v>-0.99566668542560022</v>
      </c>
      <c r="AL32" s="16">
        <f>IFERROR(IF(VLOOKUP(AL$4,'Economic Activity'!$A:$T,16,0)*100="","",VLOOKUP(AL$4,'Economic Activity'!$A:$T,16,0)*100),"")</f>
        <v>0.98217982259101166</v>
      </c>
      <c r="AM32" s="16">
        <f>IFERROR(IF(VLOOKUP(AM$4,'Economic Activity'!$A:$T,16,0)*100="","",VLOOKUP(AM$4,'Economic Activity'!$A:$T,16,0)*100),"")</f>
        <v>2.019991300411017</v>
      </c>
      <c r="AN32" s="16" t="str">
        <f>IFERROR(IF(VLOOKUP(AN$4,'Economic Activity'!$A:$T,16,0)*100="","",VLOOKUP(AN$4,'Economic Activity'!$A:$T,16,0)*100),"")</f>
        <v/>
      </c>
      <c r="AO32" s="16" t="str">
        <f>IFERROR(IF(VLOOKUP(AO$4,'Economic Activity'!$A:$T,16,0)*100="","",VLOOKUP(AO$4,'Economic Activity'!$A:$T,16,0)*100),"")</f>
        <v/>
      </c>
      <c r="AP32" s="16" t="str">
        <f>IFERROR(IF(VLOOKUP(AP$4,'Economic Activity'!$A:$T,16,0)*100="","",VLOOKUP(AP$4,'Economic Activity'!$A:$T,16,0)*100),"")</f>
        <v/>
      </c>
      <c r="AQ32" s="16" t="str">
        <f>IFERROR(IF(VLOOKUP(AQ$4,'Economic Activity'!$A:$T,16,0)*100="","",VLOOKUP(AQ$4,'Economic Activity'!$A:$T,16,0)*100),"")</f>
        <v/>
      </c>
      <c r="AR32" s="16" t="str">
        <f>IFERROR(IF(VLOOKUP(AR$4,'Economic Activity'!$A:$T,16,0)*100="","",VLOOKUP(AR$4,'Economic Activity'!$A:$T,16,0)*100),"")</f>
        <v/>
      </c>
      <c r="AS32" s="16" t="str">
        <f>IFERROR(IF(VLOOKUP(AS$4,'Economic Activity'!$A:$T,16,0)*100="","",VLOOKUP(AS$4,'Economic Activity'!$A:$T,16,0)*100),"")</f>
        <v/>
      </c>
      <c r="AT32" s="16" t="str">
        <f>IFERROR(IF(VLOOKUP(AT$4,'Economic Activity'!$A:$T,16,0)*100="","",VLOOKUP(AT$4,'Economic Activity'!$A:$T,16,0)*100),"")</f>
        <v/>
      </c>
      <c r="AU32" s="16" t="str">
        <f>IFERROR(IF(VLOOKUP(AU$4,'Economic Activity'!$A:$T,16,0)*100="","",VLOOKUP(AU$4,'Economic Activity'!$A:$T,16,0)*100),"")</f>
        <v/>
      </c>
      <c r="AV32" s="16" t="str">
        <f>IFERROR(IF(VLOOKUP(AV$4,'Economic Activity'!$A:$T,16,0)*100="","",VLOOKUP(AV$4,'Economic Activity'!$A:$T,16,0)*100),"")</f>
        <v/>
      </c>
      <c r="AW32" s="16" t="str">
        <f>IFERROR(IF(VLOOKUP(AW$4,'Economic Activity'!$A:$T,16,0)*100="","",VLOOKUP(AW$4,'Economic Activity'!$A:$T,16,0)*100),"")</f>
        <v/>
      </c>
      <c r="AX32" s="16" t="str">
        <f>IFERROR(IF(VLOOKUP(AX$4,'Economic Activity'!$A:$T,16,0)*100="","",VLOOKUP(AX$4,'Economic Activity'!$A:$T,16,0)*100),"")</f>
        <v/>
      </c>
      <c r="AY32" s="16" t="str">
        <f>IFERROR(IF(VLOOKUP(AY$4,'Economic Activity'!$A:$T,16,0)*100="","",VLOOKUP(AY$4,'Economic Activity'!$A:$T,16,0)*100),"")</f>
        <v/>
      </c>
    </row>
    <row r="33" spans="1:51" ht="19.5" customHeight="1">
      <c r="A33" s="3"/>
      <c r="B33" s="2" t="s">
        <v>89</v>
      </c>
      <c r="C33" s="47" t="s">
        <v>94</v>
      </c>
      <c r="D33" s="16">
        <f>IFERROR(IF(VLOOKUP(D$4,'Economic Activity'!$A:$T,20,0)="","",VLOOKUP(D$4,'Economic Activity'!$A:$T,20,0)),"")</f>
        <v>79</v>
      </c>
      <c r="E33" s="16">
        <f>IFERROR(IF(VLOOKUP(E$4,'Economic Activity'!$A:$T,20,0)="","",VLOOKUP(E$4,'Economic Activity'!$A:$T,20,0)),"")</f>
        <v>76.8</v>
      </c>
      <c r="F33" s="16">
        <f>IFERROR(IF(VLOOKUP(F$4,'Economic Activity'!$A:$T,20,0)="","",VLOOKUP(F$4,'Economic Activity'!$A:$T,20,0)),"")</f>
        <v>84.9</v>
      </c>
      <c r="G33" s="16">
        <f>IFERROR(IF(VLOOKUP(G$4,'Economic Activity'!$A:$T,20,0)="","",VLOOKUP(G$4,'Economic Activity'!$A:$T,20,0)),"")</f>
        <v>88.3</v>
      </c>
      <c r="H33" s="16">
        <f>IFERROR(IF(VLOOKUP(H$4,'Economic Activity'!$A:$T,20,0)="","",VLOOKUP(H$4,'Economic Activity'!$A:$T,20,0)),"")</f>
        <v>82.9</v>
      </c>
      <c r="I33" s="16">
        <f>IFERROR(IF(VLOOKUP(I$4,'Economic Activity'!$A:$T,20,0)="","",VLOOKUP(I$4,'Economic Activity'!$A:$T,20,0)),"")</f>
        <v>85.5</v>
      </c>
      <c r="J33" s="16">
        <f>IFERROR(IF(VLOOKUP(J$4,'Economic Activity'!$A:$T,20,0)="","",VLOOKUP(J$4,'Economic Activity'!$A:$T,20,0)),"")</f>
        <v>81.2</v>
      </c>
      <c r="K33" s="16">
        <f>IFERROR(IF(VLOOKUP(K$4,'Economic Activity'!$A:$T,20,0)="","",VLOOKUP(K$4,'Economic Activity'!$A:$T,20,0)),"")</f>
        <v>70.3</v>
      </c>
      <c r="L33" s="16">
        <f>IFERROR(IF(VLOOKUP(L$4,'Economic Activity'!$A:$T,20,0)="","",VLOOKUP(L$4,'Economic Activity'!$A:$T,20,0)),"")</f>
        <v>72.8</v>
      </c>
      <c r="M33" s="16">
        <f>IFERROR(IF(VLOOKUP(M$4,'Economic Activity'!$A:$T,20,0)="","",VLOOKUP(M$4,'Economic Activity'!$A:$T,20,0)),"")</f>
        <v>71.7</v>
      </c>
      <c r="N33" s="16">
        <f>IFERROR(IF(VLOOKUP(N$4,'Economic Activity'!$A:$T,20,0)="","",VLOOKUP(N$4,'Economic Activity'!$A:$T,20,0)),"")</f>
        <v>67.400000000000006</v>
      </c>
      <c r="O33" s="16">
        <f>IFERROR(IF(VLOOKUP(O$4,'Economic Activity'!$A:$T,20,0)="","",VLOOKUP(O$4,'Economic Activity'!$A:$T,20,0)),"")</f>
        <v>70.599999999999994</v>
      </c>
      <c r="P33" s="16">
        <f>IFERROR(IF(VLOOKUP(P$4,'Economic Activity'!$A:$T,20,0)="","",VLOOKUP(P$4,'Economic Activity'!$A:$T,20,0)),"")</f>
        <v>67.2</v>
      </c>
      <c r="Q33" s="16">
        <f>IFERROR(IF(VLOOKUP(Q$4,'Economic Activity'!$A:$T,20,0)="","",VLOOKUP(Q$4,'Economic Activity'!$A:$T,20,0)),"")</f>
        <v>62.8</v>
      </c>
      <c r="R33" s="16">
        <f>IFERROR(IF(VLOOKUP(R$4,'Economic Activity'!$A:$T,20,0)="","",VLOOKUP(R$4,'Economic Activity'!$A:$T,20,0)),"")</f>
        <v>59.4</v>
      </c>
      <c r="S33" s="16">
        <f>IFERROR(IF(VLOOKUP(S$4,'Economic Activity'!$A:$T,20,0)="","",VLOOKUP(S$4,'Economic Activity'!$A:$T,20,0)),"")</f>
        <v>65.2</v>
      </c>
      <c r="T33" s="16">
        <f>IFERROR(IF(VLOOKUP(T$4,'Economic Activity'!$A:$T,20,0)="","",VLOOKUP(T$4,'Economic Activity'!$A:$T,20,0)),"")</f>
        <v>58.4</v>
      </c>
      <c r="U33" s="16">
        <f>IFERROR(IF(VLOOKUP(U$4,'Economic Activity'!$A:$T,20,0)="","",VLOOKUP(U$4,'Economic Activity'!$A:$T,20,0)),"")</f>
        <v>50</v>
      </c>
      <c r="V33" s="16">
        <f>IFERROR(IF(VLOOKUP(V$4,'Economic Activity'!$A:$T,20,0)="","",VLOOKUP(V$4,'Economic Activity'!$A:$T,20,0)),"")</f>
        <v>51.5</v>
      </c>
      <c r="W33" s="16">
        <f>IFERROR(IF(VLOOKUP(W$4,'Economic Activity'!$A:$T,20,0)="","",VLOOKUP(W$4,'Economic Activity'!$A:$T,20,0)),"")</f>
        <v>58.2</v>
      </c>
      <c r="X33" s="16">
        <f>IFERROR(IF(VLOOKUP(X$4,'Economic Activity'!$A:$T,20,0)="","",VLOOKUP(X$4,'Economic Activity'!$A:$T,20,0)),"")</f>
        <v>58.6</v>
      </c>
      <c r="Y33" s="16">
        <f>IFERROR(IF(VLOOKUP(Y$4,'Economic Activity'!$A:$T,20,0)="","",VLOOKUP(Y$4,'Economic Activity'!$A:$T,20,0)),"")</f>
        <v>59.9</v>
      </c>
      <c r="Z33" s="16">
        <f>IFERROR(IF(VLOOKUP(Z$4,'Economic Activity'!$A:$T,20,0)="","",VLOOKUP(Z$4,'Economic Activity'!$A:$T,20,0)),"")</f>
        <v>56.7</v>
      </c>
      <c r="AA33" s="16">
        <f>IFERROR(IF(VLOOKUP(AA$4,'Economic Activity'!$A:$T,20,0)="","",VLOOKUP(AA$4,'Economic Activity'!$A:$T,20,0)),"")</f>
        <v>59.8</v>
      </c>
      <c r="AB33" s="16">
        <f>IFERROR(IF(VLOOKUP(AB$4,'Economic Activity'!$A:$T,20,0)="","",VLOOKUP(AB$4,'Economic Activity'!$A:$T,20,0)),"")</f>
        <v>64.900000000000006</v>
      </c>
      <c r="AC33" s="16">
        <f>IFERROR(IF(VLOOKUP(AC$4,'Economic Activity'!$A:$T,20,0)="","",VLOOKUP(AC$4,'Economic Activity'!$A:$T,20,0)),"")</f>
        <v>66.900000000000006</v>
      </c>
      <c r="AD33" s="16">
        <f>IFERROR(IF(VLOOKUP(AD$4,'Economic Activity'!$A:$T,20,0)="","",VLOOKUP(AD$4,'Economic Activity'!$A:$T,20,0)),"")</f>
        <v>62</v>
      </c>
      <c r="AE33" s="16">
        <f>IFERROR(IF(VLOOKUP(AE$4,'Economic Activity'!$A:$T,20,0)="","",VLOOKUP(AE$4,'Economic Activity'!$A:$T,20,0)),"")</f>
        <v>63.7</v>
      </c>
      <c r="AF33" s="16">
        <f>IFERROR(IF(VLOOKUP(AF$4,'Economic Activity'!$A:$T,20,0)="","",VLOOKUP(AF$4,'Economic Activity'!$A:$T,20,0)),"")</f>
        <v>59</v>
      </c>
      <c r="AG33" s="16">
        <f>IFERROR(IF(VLOOKUP(AG$4,'Economic Activity'!$A:$T,20,0)="","",VLOOKUP(AG$4,'Economic Activity'!$A:$T,20,0)),"")</f>
        <v>64.2</v>
      </c>
      <c r="AH33" s="16">
        <f>IFERROR(IF(VLOOKUP(AH$4,'Economic Activity'!$A:$T,20,0)="","",VLOOKUP(AH$4,'Economic Activity'!$A:$T,20,0)),"")</f>
        <v>71.5</v>
      </c>
      <c r="AI33" s="16">
        <f>IFERROR(IF(VLOOKUP(AI$4,'Economic Activity'!$A:$T,20,0)="","",VLOOKUP(AI$4,'Economic Activity'!$A:$T,20,0)),"")</f>
        <v>69.400000000000006</v>
      </c>
      <c r="AJ33" s="16">
        <f>IFERROR(IF(VLOOKUP(AJ$4,'Economic Activity'!$A:$T,20,0)="","",VLOOKUP(AJ$4,'Economic Activity'!$A:$T,20,0)),"")</f>
        <v>67.900000000000006</v>
      </c>
      <c r="AK33" s="16">
        <f>IFERROR(IF(VLOOKUP(AK$4,'Economic Activity'!$A:$T,20,0)="","",VLOOKUP(AK$4,'Economic Activity'!$A:$T,20,0)),"")</f>
        <v>63.8</v>
      </c>
      <c r="AL33" s="16">
        <f>IFERROR(IF(VLOOKUP(AL$4,'Economic Activity'!$A:$T,20,0)="","",VLOOKUP(AL$4,'Economic Activity'!$A:$T,20,0)),"")</f>
        <v>61.3</v>
      </c>
      <c r="AM33" s="16" t="str">
        <f>IFERROR(IF(VLOOKUP(AM$4,'Economic Activity'!$A:$T,20,0)="","",VLOOKUP(AM$4,'Economic Activity'!$A:$T,20,0)),"")</f>
        <v/>
      </c>
      <c r="AN33" s="16" t="str">
        <f>IFERROR(IF(VLOOKUP(AN$4,'Economic Activity'!$A:$T,20,0)="","",VLOOKUP(AN$4,'Economic Activity'!$A:$T,20,0)),"")</f>
        <v/>
      </c>
      <c r="AO33" s="16" t="str">
        <f>IFERROR(IF(VLOOKUP(AO$4,'Economic Activity'!$A:$T,20,0)="","",VLOOKUP(AO$4,'Economic Activity'!$A:$T,20,0)),"")</f>
        <v/>
      </c>
      <c r="AP33" s="16" t="str">
        <f>IFERROR(IF(VLOOKUP(AP$4,'Economic Activity'!$A:$T,20,0)="","",VLOOKUP(AP$4,'Economic Activity'!$A:$T,20,0)),"")</f>
        <v/>
      </c>
      <c r="AQ33" s="16" t="str">
        <f>IFERROR(IF(VLOOKUP(AQ$4,'Economic Activity'!$A:$T,20,0)="","",VLOOKUP(AQ$4,'Economic Activity'!$A:$T,20,0)),"")</f>
        <v/>
      </c>
      <c r="AR33" s="16" t="str">
        <f>IFERROR(IF(VLOOKUP(AR$4,'Economic Activity'!$A:$T,20,0)="","",VLOOKUP(AR$4,'Economic Activity'!$A:$T,20,0)),"")</f>
        <v/>
      </c>
      <c r="AS33" s="16" t="str">
        <f>IFERROR(IF(VLOOKUP(AS$4,'Economic Activity'!$A:$T,20,0)="","",VLOOKUP(AS$4,'Economic Activity'!$A:$T,20,0)),"")</f>
        <v/>
      </c>
      <c r="AT33" s="16" t="str">
        <f>IFERROR(IF(VLOOKUP(AT$4,'Economic Activity'!$A:$T,20,0)="","",VLOOKUP(AT$4,'Economic Activity'!$A:$T,20,0)),"")</f>
        <v/>
      </c>
      <c r="AU33" s="16" t="str">
        <f>IFERROR(IF(VLOOKUP(AU$4,'Economic Activity'!$A:$T,20,0)="","",VLOOKUP(AU$4,'Economic Activity'!$A:$T,20,0)),"")</f>
        <v/>
      </c>
      <c r="AV33" s="16" t="str">
        <f>IFERROR(IF(VLOOKUP(AV$4,'Economic Activity'!$A:$T,20,0)="","",VLOOKUP(AV$4,'Economic Activity'!$A:$T,20,0)),"")</f>
        <v/>
      </c>
      <c r="AW33" s="16" t="str">
        <f>IFERROR(IF(VLOOKUP(AW$4,'Economic Activity'!$A:$T,20,0)="","",VLOOKUP(AW$4,'Economic Activity'!$A:$T,20,0)),"")</f>
        <v/>
      </c>
      <c r="AX33" s="16" t="str">
        <f>IFERROR(IF(VLOOKUP(AX$4,'Economic Activity'!$A:$T,20,0)="","",VLOOKUP(AX$4,'Economic Activity'!$A:$T,20,0)),"")</f>
        <v/>
      </c>
      <c r="AY33" s="16" t="str">
        <f>IFERROR(IF(VLOOKUP(AY$4,'Economic Activity'!$A:$T,20,0)="","",VLOOKUP(AY$4,'Economic Activity'!$A:$T,20,0)),"")</f>
        <v/>
      </c>
    </row>
    <row r="34" spans="1:51" s="82" customFormat="1" ht="29.25" customHeight="1">
      <c r="A34" s="83"/>
      <c r="B34" s="42" t="s">
        <v>104</v>
      </c>
      <c r="C34" s="43"/>
      <c r="D34" s="43"/>
      <c r="E34" s="43"/>
      <c r="F34" s="43"/>
      <c r="G34" s="43"/>
      <c r="H34" s="43"/>
      <c r="I34" s="43"/>
      <c r="J34" s="43"/>
      <c r="K34" s="43"/>
      <c r="L34" s="43"/>
      <c r="M34" s="43"/>
      <c r="N34" s="43"/>
      <c r="O34" s="43"/>
      <c r="P34" s="43"/>
      <c r="Q34" s="43"/>
      <c r="R34" s="43"/>
      <c r="S34" s="43"/>
      <c r="T34" s="43"/>
      <c r="U34" s="43"/>
      <c r="V34" s="43"/>
      <c r="W34" s="43"/>
      <c r="X34" s="43"/>
      <c r="Y34" s="43"/>
      <c r="Z34" s="43"/>
      <c r="AA34" s="43"/>
      <c r="AB34" s="43"/>
      <c r="AC34" s="43"/>
      <c r="AD34" s="43"/>
      <c r="AE34" s="43"/>
      <c r="AF34" s="43"/>
      <c r="AG34" s="43"/>
      <c r="AH34" s="43"/>
      <c r="AI34" s="43"/>
      <c r="AJ34" s="43"/>
      <c r="AK34" s="43"/>
      <c r="AL34" s="43"/>
      <c r="AM34" s="44"/>
    </row>
    <row r="35" spans="1:51" ht="19.5" customHeight="1">
      <c r="A35" s="3"/>
      <c r="B35" s="2" t="s">
        <v>8</v>
      </c>
      <c r="C35" s="47" t="s">
        <v>0</v>
      </c>
      <c r="D35" s="16">
        <f>IF(VLOOKUP(D$4,'Labor Market'!$A:$P,2,0)="","",VLOOKUP(D$4,'Labor Market'!$A:$P,2,0))</f>
        <v>6.3</v>
      </c>
      <c r="E35" s="16">
        <f>IF(VLOOKUP(E$4,'Labor Market'!$A:$P,2,0)="","",VLOOKUP(E$4,'Labor Market'!$A:$P,2,0))</f>
        <v>6.2</v>
      </c>
      <c r="F35" s="16">
        <f>IF(VLOOKUP(F$4,'Labor Market'!$A:$P,2,0)="","",VLOOKUP(F$4,'Labor Market'!$A:$P,2,0))</f>
        <v>6.1</v>
      </c>
      <c r="G35" s="16">
        <f>IF(VLOOKUP(G$4,'Labor Market'!$A:$P,2,0)="","",VLOOKUP(G$4,'Labor Market'!$A:$P,2,0))</f>
        <v>6.1</v>
      </c>
      <c r="H35" s="16">
        <f>IF(VLOOKUP(H$4,'Labor Market'!$A:$P,2,0)="","",VLOOKUP(H$4,'Labor Market'!$A:$P,2,0))</f>
        <v>5.8</v>
      </c>
      <c r="I35" s="16">
        <f>IF(VLOOKUP(I$4,'Labor Market'!$A:$P,2,0)="","",VLOOKUP(I$4,'Labor Market'!$A:$P,2,0))</f>
        <v>5.9</v>
      </c>
      <c r="J35" s="16">
        <f>IF(VLOOKUP(J$4,'Labor Market'!$A:$P,2,0)="","",VLOOKUP(J$4,'Labor Market'!$A:$P,2,0))</f>
        <v>5.4</v>
      </c>
      <c r="K35" s="16">
        <f>IF(VLOOKUP(K$4,'Labor Market'!$A:$P,2,0)="","",VLOOKUP(K$4,'Labor Market'!$A:$P,2,0))</f>
        <v>5.2</v>
      </c>
      <c r="L35" s="16">
        <f>IF(VLOOKUP(L$4,'Labor Market'!$A:$P,2,0)="","",VLOOKUP(L$4,'Labor Market'!$A:$P,2,0))</f>
        <v>4.8</v>
      </c>
      <c r="M35" s="16">
        <f>IF(VLOOKUP(M$4,'Labor Market'!$A:$P,2,0)="","",VLOOKUP(M$4,'Labor Market'!$A:$P,2,0))</f>
        <v>4.5</v>
      </c>
      <c r="N35" s="16">
        <f>IF(VLOOKUP(N$4,'Labor Market'!$A:$P,2,0)="","",VLOOKUP(N$4,'Labor Market'!$A:$P,2,0))</f>
        <v>4.2</v>
      </c>
      <c r="O35" s="16">
        <f>IF(VLOOKUP(O$4,'Labor Market'!$A:$P,2,0)="","",VLOOKUP(O$4,'Labor Market'!$A:$P,2,0))</f>
        <v>3.9</v>
      </c>
      <c r="P35" s="16">
        <f>IF(VLOOKUP(P$4,'Labor Market'!$A:$P,2,0)="","",VLOOKUP(P$4,'Labor Market'!$A:$P,2,0))</f>
        <v>4</v>
      </c>
      <c r="Q35" s="16">
        <f>IF(VLOOKUP(Q$4,'Labor Market'!$A:$P,2,0)="","",VLOOKUP(Q$4,'Labor Market'!$A:$P,2,0))</f>
        <v>3.8</v>
      </c>
      <c r="R35" s="16">
        <f>IF(VLOOKUP(R$4,'Labor Market'!$A:$P,2,0)="","",VLOOKUP(R$4,'Labor Market'!$A:$P,2,0))</f>
        <v>3.6</v>
      </c>
      <c r="S35" s="16">
        <f>IF(VLOOKUP(S$4,'Labor Market'!$A:$P,2,0)="","",VLOOKUP(S$4,'Labor Market'!$A:$P,2,0))</f>
        <v>3.6</v>
      </c>
      <c r="T35" s="16">
        <f>IF(VLOOKUP(T$4,'Labor Market'!$A:$P,2,0)="","",VLOOKUP(T$4,'Labor Market'!$A:$P,2,0))</f>
        <v>3.6</v>
      </c>
      <c r="U35" s="16">
        <f>IF(VLOOKUP(U$4,'Labor Market'!$A:$P,2,0)="","",VLOOKUP(U$4,'Labor Market'!$A:$P,2,0))</f>
        <v>3.6</v>
      </c>
      <c r="V35" s="16">
        <f>IF(VLOOKUP(V$4,'Labor Market'!$A:$P,2,0)="","",VLOOKUP(V$4,'Labor Market'!$A:$P,2,0))</f>
        <v>3.5</v>
      </c>
      <c r="W35" s="16">
        <f>IF(VLOOKUP(W$4,'Labor Market'!$A:$P,2,0)="","",VLOOKUP(W$4,'Labor Market'!$A:$P,2,0))</f>
        <v>3.7</v>
      </c>
      <c r="X35" s="16">
        <f>IF(VLOOKUP(X$4,'Labor Market'!$A:$P,2,0)="","",VLOOKUP(X$4,'Labor Market'!$A:$P,2,0))</f>
        <v>3.5</v>
      </c>
      <c r="Y35" s="16">
        <f>IF(VLOOKUP(Y$4,'Labor Market'!$A:$P,2,0)="","",VLOOKUP(Y$4,'Labor Market'!$A:$P,2,0))</f>
        <v>3.7</v>
      </c>
      <c r="Z35" s="16">
        <f>IF(VLOOKUP(Z$4,'Labor Market'!$A:$P,2,0)="","",VLOOKUP(Z$4,'Labor Market'!$A:$P,2,0))</f>
        <v>3.6</v>
      </c>
      <c r="AA35" s="16">
        <f>IF(VLOOKUP(AA$4,'Labor Market'!$A:$P,2,0)="","",VLOOKUP(AA$4,'Labor Market'!$A:$P,2,0))</f>
        <v>3.5</v>
      </c>
      <c r="AB35" s="16">
        <f>IF(VLOOKUP(AB$4,'Labor Market'!$A:$P,2,0)="","",VLOOKUP(AB$4,'Labor Market'!$A:$P,2,0))</f>
        <v>3.4</v>
      </c>
      <c r="AC35" s="16">
        <f>IF(VLOOKUP(AC$4,'Labor Market'!$A:$P,2,0)="","",VLOOKUP(AC$4,'Labor Market'!$A:$P,2,0))</f>
        <v>3.6</v>
      </c>
      <c r="AD35" s="16">
        <f>IF(VLOOKUP(AD$4,'Labor Market'!$A:$P,2,0)="","",VLOOKUP(AD$4,'Labor Market'!$A:$P,2,0))</f>
        <v>3.5</v>
      </c>
      <c r="AE35" s="16">
        <f>IF(VLOOKUP(AE$4,'Labor Market'!$A:$P,2,0)="","",VLOOKUP(AE$4,'Labor Market'!$A:$P,2,0))</f>
        <v>3.4</v>
      </c>
      <c r="AF35" s="16">
        <f>IF(VLOOKUP(AF$4,'Labor Market'!$A:$P,2,0)="","",VLOOKUP(AF$4,'Labor Market'!$A:$P,2,0))</f>
        <v>3.7</v>
      </c>
      <c r="AG35" s="16">
        <f>IF(VLOOKUP(AG$4,'Labor Market'!$A:$P,2,0)="","",VLOOKUP(AG$4,'Labor Market'!$A:$P,2,0))</f>
        <v>3.6</v>
      </c>
      <c r="AH35" s="16">
        <f>IF(VLOOKUP(AH$4,'Labor Market'!$A:$P,2,0)="","",VLOOKUP(AH$4,'Labor Market'!$A:$P,2,0))</f>
        <v>3.5</v>
      </c>
      <c r="AI35" s="16">
        <f>IF(VLOOKUP(AI$4,'Labor Market'!$A:$P,2,0)="","",VLOOKUP(AI$4,'Labor Market'!$A:$P,2,0))</f>
        <v>3.8</v>
      </c>
      <c r="AJ35" s="16">
        <f>IF(VLOOKUP(AJ$4,'Labor Market'!$A:$P,2,0)="","",VLOOKUP(AJ$4,'Labor Market'!$A:$P,2,0))</f>
        <v>3.8</v>
      </c>
      <c r="AK35" s="16">
        <f>IF(VLOOKUP(AK$4,'Labor Market'!$A:$P,2,0)="","",VLOOKUP(AK$4,'Labor Market'!$A:$P,2,0))</f>
        <v>3.9</v>
      </c>
      <c r="AL35" s="16">
        <f>IF(VLOOKUP(AL$4,'Labor Market'!$A:$P,2,0)="","",VLOOKUP(AL$4,'Labor Market'!$A:$P,2,0))</f>
        <v>3.7</v>
      </c>
      <c r="AM35" s="16">
        <f>IF(VLOOKUP(AM$4,'Labor Market'!$A:$P,2,0)="","",VLOOKUP(AM$4,'Labor Market'!$A:$P,2,0))</f>
        <v>3.7</v>
      </c>
      <c r="AN35" s="16" t="str">
        <f>IF(VLOOKUP(AN$4,'Labor Market'!$A:$P,2,0)="","",VLOOKUP(AN$4,'Labor Market'!$A:$P,2,0))</f>
        <v/>
      </c>
      <c r="AO35" s="16" t="str">
        <f>IF(VLOOKUP(AO$4,'Labor Market'!$A:$P,2,0)="","",VLOOKUP(AO$4,'Labor Market'!$A:$P,2,0))</f>
        <v/>
      </c>
      <c r="AP35" s="16" t="str">
        <f>IF(VLOOKUP(AP$4,'Labor Market'!$A:$P,2,0)="","",VLOOKUP(AP$4,'Labor Market'!$A:$P,2,0))</f>
        <v/>
      </c>
      <c r="AQ35" s="16" t="str">
        <f>IF(VLOOKUP(AQ$4,'Labor Market'!$A:$P,2,0)="","",VLOOKUP(AQ$4,'Labor Market'!$A:$P,2,0))</f>
        <v/>
      </c>
      <c r="AR35" s="16" t="str">
        <f>IF(VLOOKUP(AR$4,'Labor Market'!$A:$P,2,0)="","",VLOOKUP(AR$4,'Labor Market'!$A:$P,2,0))</f>
        <v/>
      </c>
      <c r="AS35" s="16" t="str">
        <f>IF(VLOOKUP(AS$4,'Labor Market'!$A:$P,2,0)="","",VLOOKUP(AS$4,'Labor Market'!$A:$P,2,0))</f>
        <v/>
      </c>
      <c r="AT35" s="16" t="str">
        <f>IF(VLOOKUP(AT$4,'Labor Market'!$A:$P,2,0)="","",VLOOKUP(AT$4,'Labor Market'!$A:$P,2,0))</f>
        <v/>
      </c>
      <c r="AU35" s="16" t="str">
        <f>IF(VLOOKUP(AU$4,'Labor Market'!$A:$P,2,0)="","",VLOOKUP(AU$4,'Labor Market'!$A:$P,2,0))</f>
        <v/>
      </c>
      <c r="AV35" s="16" t="str">
        <f>IF(VLOOKUP(AV$4,'Labor Market'!$A:$P,2,0)="","",VLOOKUP(AV$4,'Labor Market'!$A:$P,2,0))</f>
        <v/>
      </c>
      <c r="AW35" s="16" t="str">
        <f>IF(VLOOKUP(AW$4,'Labor Market'!$A:$P,2,0)="","",VLOOKUP(AW$4,'Labor Market'!$A:$P,2,0))</f>
        <v/>
      </c>
      <c r="AX35" s="16" t="str">
        <f>IF(VLOOKUP(AX$4,'Labor Market'!$A:$P,2,0)="","",VLOOKUP(AX$4,'Labor Market'!$A:$P,2,0))</f>
        <v/>
      </c>
      <c r="AY35" s="16" t="str">
        <f>IF(VLOOKUP(AY$4,'Labor Market'!$A:$P,2,0)="","",VLOOKUP(AY$4,'Labor Market'!$A:$P,2,0))</f>
        <v/>
      </c>
    </row>
    <row r="36" spans="1:51" ht="19.5" customHeight="1">
      <c r="A36" s="3"/>
      <c r="B36" s="2" t="s">
        <v>100</v>
      </c>
      <c r="C36" s="47" t="s">
        <v>95</v>
      </c>
      <c r="D36" s="17">
        <f>IFERROR(IF(VLOOKUP(D$4,'Labor Market'!$A:$P,14,0)="","",VLOOKUP(D$4,'Labor Market'!$A:$P,14,0)),"")</f>
        <v>163.33333333333334</v>
      </c>
      <c r="E36" s="17">
        <f>IFERROR(IF(VLOOKUP(E$4,'Labor Market'!$A:$P,14,0)="","",VLOOKUP(E$4,'Labor Market'!$A:$P,14,0)),"")</f>
        <v>267</v>
      </c>
      <c r="F36" s="17">
        <f>IFERROR(IF(VLOOKUP(F$4,'Labor Market'!$A:$P,14,0)="","",VLOOKUP(F$4,'Labor Market'!$A:$P,14,0)),"")</f>
        <v>617.66666666666663</v>
      </c>
      <c r="G36" s="17">
        <f>IFERROR(IF(VLOOKUP(G$4,'Labor Market'!$A:$P,14,0)="","",VLOOKUP(G$4,'Labor Market'!$A:$P,14,0)),"")</f>
        <v>548.33333333333337</v>
      </c>
      <c r="H36" s="17">
        <f>IFERROR(IF(VLOOKUP(H$4,'Labor Market'!$A:$P,14,0)="","",VLOOKUP(H$4,'Labor Market'!$A:$P,14,0)),"")</f>
        <v>517.33333333333337</v>
      </c>
      <c r="I36" s="17">
        <f>IFERROR(IF(VLOOKUP(I$4,'Labor Market'!$A:$P,14,0)="","",VLOOKUP(I$4,'Labor Market'!$A:$P,14,0)),"")</f>
        <v>487</v>
      </c>
      <c r="J36" s="17">
        <f>IFERROR(IF(VLOOKUP(J$4,'Labor Market'!$A:$P,14,0)="","",VLOOKUP(J$4,'Labor Market'!$A:$P,14,0)),"")</f>
        <v>648</v>
      </c>
      <c r="K36" s="17">
        <f>IFERROR(IF(VLOOKUP(K$4,'Labor Market'!$A:$P,14,0)="","",VLOOKUP(K$4,'Labor Market'!$A:$P,14,0)),"")</f>
        <v>708.33333333333337</v>
      </c>
      <c r="L36" s="17">
        <f>IFERROR(IF(VLOOKUP(L$4,'Labor Market'!$A:$P,14,0)="","",VLOOKUP(L$4,'Labor Market'!$A:$P,14,0)),"")</f>
        <v>663</v>
      </c>
      <c r="M36" s="17">
        <f>IFERROR(IF(VLOOKUP(M$4,'Labor Market'!$A:$P,14,0)="","",VLOOKUP(M$4,'Labor Market'!$A:$P,14,0)),"")</f>
        <v>667</v>
      </c>
      <c r="N36" s="17">
        <f>IFERROR(IF(VLOOKUP(N$4,'Labor Market'!$A:$P,14,0)="","",VLOOKUP(N$4,'Labor Market'!$A:$P,14,0)),"")</f>
        <v>650.66666666666663</v>
      </c>
      <c r="O36" s="17">
        <f>IFERROR(IF(VLOOKUP(O$4,'Labor Market'!$A:$P,14,0)="","",VLOOKUP(O$4,'Labor Market'!$A:$P,14,0)),"")</f>
        <v>654.66666666666663</v>
      </c>
      <c r="P36" s="17">
        <f>IFERROR(IF(VLOOKUP(P$4,'Labor Market'!$A:$P,14,0)="","",VLOOKUP(P$4,'Labor Market'!$A:$P,14,0)),"")</f>
        <v>515.66666666666663</v>
      </c>
      <c r="Q36" s="17">
        <f>IFERROR(IF(VLOOKUP(Q$4,'Labor Market'!$A:$P,14,0)="","",VLOOKUP(Q$4,'Labor Market'!$A:$P,14,0)),"")</f>
        <v>612.33333333333337</v>
      </c>
      <c r="R36" s="17">
        <f>IFERROR(IF(VLOOKUP(R$4,'Labor Market'!$A:$P,14,0)="","",VLOOKUP(R$4,'Labor Market'!$A:$P,14,0)),"")</f>
        <v>560.66666666666663</v>
      </c>
      <c r="S36" s="17">
        <f>IFERROR(IF(VLOOKUP(S$4,'Labor Market'!$A:$P,14,0)="","",VLOOKUP(S$4,'Labor Market'!$A:$P,14,0)),"")</f>
        <v>524</v>
      </c>
      <c r="T36" s="17">
        <f>IFERROR(IF(VLOOKUP(T$4,'Labor Market'!$A:$P,14,0)="","",VLOOKUP(T$4,'Labor Market'!$A:$P,14,0)),"")</f>
        <v>344</v>
      </c>
      <c r="U36" s="17">
        <f>IFERROR(IF(VLOOKUP(U$4,'Labor Market'!$A:$P,14,0)="","",VLOOKUP(U$4,'Labor Market'!$A:$P,14,0)),"")</f>
        <v>329.33333333333331</v>
      </c>
      <c r="V36" s="17">
        <f>IFERROR(IF(VLOOKUP(V$4,'Labor Market'!$A:$P,14,0)="","",VLOOKUP(V$4,'Labor Market'!$A:$P,14,0)),"")</f>
        <v>434</v>
      </c>
      <c r="W36" s="17">
        <f>IFERROR(IF(VLOOKUP(W$4,'Labor Market'!$A:$P,14,0)="","",VLOOKUP(W$4,'Labor Market'!$A:$P,14,0)),"")</f>
        <v>430</v>
      </c>
      <c r="X36" s="17">
        <f>IFERROR(IF(VLOOKUP(X$4,'Labor Market'!$A:$P,14,0)="","",VLOOKUP(X$4,'Labor Market'!$A:$P,14,0)),"")</f>
        <v>423.33333333333331</v>
      </c>
      <c r="Y36" s="17">
        <f>IFERROR(IF(VLOOKUP(Y$4,'Labor Market'!$A:$P,14,0)="","",VLOOKUP(Y$4,'Labor Market'!$A:$P,14,0)),"")</f>
        <v>342</v>
      </c>
      <c r="Z36" s="17">
        <f>IFERROR(IF(VLOOKUP(Z$4,'Labor Market'!$A:$P,14,0)="","",VLOOKUP(Z$4,'Labor Market'!$A:$P,14,0)),"")</f>
        <v>321.33333333333331</v>
      </c>
      <c r="AA36" s="17">
        <f>IFERROR(IF(VLOOKUP(AA$4,'Labor Market'!$A:$P,14,0)="","",VLOOKUP(AA$4,'Labor Market'!$A:$P,14,0)),"")</f>
        <v>284.33333333333331</v>
      </c>
      <c r="AB36" s="17">
        <f>IFERROR(IF(VLOOKUP(AB$4,'Labor Market'!$A:$P,14,0)="","",VLOOKUP(AB$4,'Labor Market'!$A:$P,14,0)),"")</f>
        <v>333.66666666666669</v>
      </c>
      <c r="AC36" s="17">
        <f>IFERROR(IF(VLOOKUP(AC$4,'Labor Market'!$A:$P,14,0)="","",VLOOKUP(AC$4,'Labor Market'!$A:$P,14,0)),"")</f>
        <v>345.66666666666669</v>
      </c>
      <c r="AD36" s="17">
        <f>IFERROR(IF(VLOOKUP(AD$4,'Labor Market'!$A:$P,14,0)="","",VLOOKUP(AD$4,'Labor Market'!$A:$P,14,0)),"")</f>
        <v>321</v>
      </c>
      <c r="AE36" s="17">
        <f>IFERROR(IF(VLOOKUP(AE$4,'Labor Market'!$A:$P,14,0)="","",VLOOKUP(AE$4,'Labor Market'!$A:$P,14,0)),"")</f>
        <v>261.66666666666669</v>
      </c>
      <c r="AF36" s="17">
        <f>IFERROR(IF(VLOOKUP(AF$4,'Labor Market'!$A:$P,14,0)="","",VLOOKUP(AF$4,'Labor Market'!$A:$P,14,0)),"")</f>
        <v>255</v>
      </c>
      <c r="AG36" s="17">
        <f>IFERROR(IF(VLOOKUP(AG$4,'Labor Market'!$A:$P,14,0)="","",VLOOKUP(AG$4,'Labor Market'!$A:$P,14,0)),"")</f>
        <v>261.66666666666669</v>
      </c>
      <c r="AH36" s="17">
        <f>IFERROR(IF(VLOOKUP(AH$4,'Labor Market'!$A:$P,14,0)="","",VLOOKUP(AH$4,'Labor Market'!$A:$P,14,0)),"")</f>
        <v>216</v>
      </c>
      <c r="AI36" s="17">
        <f>IFERROR(IF(VLOOKUP(AI$4,'Labor Market'!$A:$P,14,0)="","",VLOOKUP(AI$4,'Labor Market'!$A:$P,14,0)),"")</f>
        <v>189.66666666666666</v>
      </c>
      <c r="AJ36" s="17">
        <f>IFERROR(IF(VLOOKUP(AJ$4,'Labor Market'!$A:$P,14,0)="","",VLOOKUP(AJ$4,'Labor Market'!$A:$P,14,0)),"")</f>
        <v>227</v>
      </c>
      <c r="AK36" s="17">
        <f>IFERROR(IF(VLOOKUP(AK$4,'Labor Market'!$A:$P,14,0)="","",VLOOKUP(AK$4,'Labor Market'!$A:$P,14,0)),"")</f>
        <v>224.66666666666666</v>
      </c>
      <c r="AL36" s="17">
        <f>IFERROR(IF(VLOOKUP(AL$4,'Labor Market'!$A:$P,14,0)="","",VLOOKUP(AL$4,'Labor Market'!$A:$P,14,0)),"")</f>
        <v>206.66666666666666</v>
      </c>
      <c r="AM36" s="17">
        <f>IFERROR(IF(VLOOKUP(AM$4,'Labor Market'!$A:$P,14,0)="","",VLOOKUP(AM$4,'Labor Market'!$A:$P,14,0)),"")</f>
        <v>179.66666666666666</v>
      </c>
      <c r="AN36" s="17" t="str">
        <f>IFERROR(IF(VLOOKUP(AN$4,'Labor Market'!$A:$P,14,0)="","",VLOOKUP(AN$4,'Labor Market'!$A:$P,14,0)),"")</f>
        <v/>
      </c>
      <c r="AO36" s="17" t="str">
        <f>IFERROR(IF(VLOOKUP(AO$4,'Labor Market'!$A:$P,14,0)="","",VLOOKUP(AO$4,'Labor Market'!$A:$P,14,0)),"")</f>
        <v/>
      </c>
      <c r="AP36" s="17" t="str">
        <f>IFERROR(IF(VLOOKUP(AP$4,'Labor Market'!$A:$P,14,0)="","",VLOOKUP(AP$4,'Labor Market'!$A:$P,14,0)),"")</f>
        <v/>
      </c>
      <c r="AQ36" s="17" t="str">
        <f>IFERROR(IF(VLOOKUP(AQ$4,'Labor Market'!$A:$P,14,0)="","",VLOOKUP(AQ$4,'Labor Market'!$A:$P,14,0)),"")</f>
        <v/>
      </c>
      <c r="AR36" s="17" t="str">
        <f>IFERROR(IF(VLOOKUP(AR$4,'Labor Market'!$A:$P,14,0)="","",VLOOKUP(AR$4,'Labor Market'!$A:$P,14,0)),"")</f>
        <v/>
      </c>
      <c r="AS36" s="17" t="str">
        <f>IFERROR(IF(VLOOKUP(AS$4,'Labor Market'!$A:$P,14,0)="","",VLOOKUP(AS$4,'Labor Market'!$A:$P,14,0)),"")</f>
        <v/>
      </c>
      <c r="AT36" s="17" t="str">
        <f>IFERROR(IF(VLOOKUP(AT$4,'Labor Market'!$A:$P,14,0)="","",VLOOKUP(AT$4,'Labor Market'!$A:$P,14,0)),"")</f>
        <v/>
      </c>
      <c r="AU36" s="17" t="str">
        <f>IFERROR(IF(VLOOKUP(AU$4,'Labor Market'!$A:$P,14,0)="","",VLOOKUP(AU$4,'Labor Market'!$A:$P,14,0)),"")</f>
        <v/>
      </c>
      <c r="AV36" s="17" t="str">
        <f>IFERROR(IF(VLOOKUP(AV$4,'Labor Market'!$A:$P,14,0)="","",VLOOKUP(AV$4,'Labor Market'!$A:$P,14,0)),"")</f>
        <v/>
      </c>
      <c r="AW36" s="17" t="str">
        <f>IFERROR(IF(VLOOKUP(AW$4,'Labor Market'!$A:$P,14,0)="","",VLOOKUP(AW$4,'Labor Market'!$A:$P,14,0)),"")</f>
        <v/>
      </c>
      <c r="AX36" s="17" t="str">
        <f>IFERROR(IF(VLOOKUP(AX$4,'Labor Market'!$A:$P,14,0)="","",VLOOKUP(AX$4,'Labor Market'!$A:$P,14,0)),"")</f>
        <v/>
      </c>
      <c r="AY36" s="17" t="str">
        <f>IFERROR(IF(VLOOKUP(AY$4,'Labor Market'!$A:$P,14,0)="","",VLOOKUP(AY$4,'Labor Market'!$A:$P,14,0)),"")</f>
        <v/>
      </c>
    </row>
    <row r="37" spans="1:51" ht="19.5" customHeight="1">
      <c r="A37" s="3"/>
      <c r="B37" s="2" t="s">
        <v>19</v>
      </c>
      <c r="C37" s="47" t="s">
        <v>50</v>
      </c>
      <c r="D37" s="67">
        <f>IFERROR(IF(VLOOKUP(D$4,'Labor Market'!$A:$P,15,0)="","",VLOOKUP(D$4,'Labor Market'!$A:$P,15,0)),"")</f>
        <v>7175</v>
      </c>
      <c r="E37" s="67">
        <f>IFERROR(IF(VLOOKUP(E$4,'Labor Market'!$A:$P,15,0)="","",VLOOKUP(E$4,'Labor Market'!$A:$P,15,0)),"")</f>
        <v>7760</v>
      </c>
      <c r="F37" s="67">
        <f>IFERROR(IF(VLOOKUP(F$4,'Labor Market'!$A:$P,15,0)="","",VLOOKUP(F$4,'Labor Market'!$A:$P,15,0)),"")</f>
        <v>8399</v>
      </c>
      <c r="G37" s="67">
        <f>IFERROR(IF(VLOOKUP(G$4,'Labor Market'!$A:$P,15,0)="","",VLOOKUP(G$4,'Labor Market'!$A:$P,15,0)),"")</f>
        <v>9288</v>
      </c>
      <c r="H37" s="67">
        <f>IFERROR(IF(VLOOKUP(H$4,'Labor Market'!$A:$P,15,0)="","",VLOOKUP(H$4,'Labor Market'!$A:$P,15,0)),"")</f>
        <v>9840</v>
      </c>
      <c r="I37" s="67">
        <f>IFERROR(IF(VLOOKUP(I$4,'Labor Market'!$A:$P,15,0)="","",VLOOKUP(I$4,'Labor Market'!$A:$P,15,0)),"")</f>
        <v>10069</v>
      </c>
      <c r="J37" s="67">
        <f>IFERROR(IF(VLOOKUP(J$4,'Labor Market'!$A:$P,15,0)="","",VLOOKUP(J$4,'Labor Market'!$A:$P,15,0)),"")</f>
        <v>10882</v>
      </c>
      <c r="K37" s="67">
        <f>IFERROR(IF(VLOOKUP(K$4,'Labor Market'!$A:$P,15,0)="","",VLOOKUP(K$4,'Labor Market'!$A:$P,15,0)),"")</f>
        <v>10960</v>
      </c>
      <c r="L37" s="67">
        <f>IFERROR(IF(VLOOKUP(L$4,'Labor Market'!$A:$P,15,0)="","",VLOOKUP(L$4,'Labor Market'!$A:$P,15,0)),"")</f>
        <v>10882</v>
      </c>
      <c r="M37" s="67">
        <f>IFERROR(IF(VLOOKUP(M$4,'Labor Market'!$A:$P,15,0)="","",VLOOKUP(M$4,'Labor Market'!$A:$P,15,0)),"")</f>
        <v>11368</v>
      </c>
      <c r="N37" s="67">
        <f>IFERROR(IF(VLOOKUP(N$4,'Labor Market'!$A:$P,15,0)="","",VLOOKUP(N$4,'Labor Market'!$A:$P,15,0)),"")</f>
        <v>11232</v>
      </c>
      <c r="O37" s="67">
        <f>IFERROR(IF(VLOOKUP(O$4,'Labor Market'!$A:$P,15,0)="","",VLOOKUP(O$4,'Labor Market'!$A:$P,15,0)),"")</f>
        <v>11826</v>
      </c>
      <c r="P37" s="67">
        <f>IFERROR(IF(VLOOKUP(P$4,'Labor Market'!$A:$P,15,0)="","",VLOOKUP(P$4,'Labor Market'!$A:$P,15,0)),"")</f>
        <v>11487</v>
      </c>
      <c r="Q37" s="67">
        <f>IFERROR(IF(VLOOKUP(Q$4,'Labor Market'!$A:$P,15,0)="","",VLOOKUP(Q$4,'Labor Market'!$A:$P,15,0)),"")</f>
        <v>11601</v>
      </c>
      <c r="R37" s="67">
        <f>IFERROR(IF(VLOOKUP(R$4,'Labor Market'!$A:$P,15,0)="","",VLOOKUP(R$4,'Labor Market'!$A:$P,15,0)),"")</f>
        <v>12027</v>
      </c>
      <c r="S37" s="67">
        <f>IFERROR(IF(VLOOKUP(S$4,'Labor Market'!$A:$P,15,0)="","",VLOOKUP(S$4,'Labor Market'!$A:$P,15,0)),"")</f>
        <v>11755</v>
      </c>
      <c r="T37" s="67">
        <f>IFERROR(IF(VLOOKUP(T$4,'Labor Market'!$A:$P,15,0)="","",VLOOKUP(T$4,'Labor Market'!$A:$P,15,0)),"")</f>
        <v>11443</v>
      </c>
      <c r="U37" s="67">
        <f>IFERROR(IF(VLOOKUP(U$4,'Labor Market'!$A:$P,15,0)="","",VLOOKUP(U$4,'Labor Market'!$A:$P,15,0)),"")</f>
        <v>10961</v>
      </c>
      <c r="V37" s="67">
        <f>IFERROR(IF(VLOOKUP(V$4,'Labor Market'!$A:$P,15,0)="","",VLOOKUP(V$4,'Labor Market'!$A:$P,15,0)),"")</f>
        <v>11380</v>
      </c>
      <c r="W37" s="67">
        <f>IFERROR(IF(VLOOKUP(W$4,'Labor Market'!$A:$P,15,0)="","",VLOOKUP(W$4,'Labor Market'!$A:$P,15,0)),"")</f>
        <v>10198</v>
      </c>
      <c r="X37" s="67">
        <f>IFERROR(IF(VLOOKUP(X$4,'Labor Market'!$A:$P,15,0)="","",VLOOKUP(X$4,'Labor Market'!$A:$P,15,0)),"")</f>
        <v>10854</v>
      </c>
      <c r="Y37" s="67">
        <f>IFERROR(IF(VLOOKUP(Y$4,'Labor Market'!$A:$P,15,0)="","",VLOOKUP(Y$4,'Labor Market'!$A:$P,15,0)),"")</f>
        <v>10471</v>
      </c>
      <c r="Z37" s="67">
        <f>IFERROR(IF(VLOOKUP(Z$4,'Labor Market'!$A:$P,15,0)="","",VLOOKUP(Z$4,'Labor Market'!$A:$P,15,0)),"")</f>
        <v>10746</v>
      </c>
      <c r="AA37" s="67">
        <f>IFERROR(IF(VLOOKUP(AA$4,'Labor Market'!$A:$P,15,0)="","",VLOOKUP(AA$4,'Labor Market'!$A:$P,15,0)),"")</f>
        <v>11234</v>
      </c>
      <c r="AB37" s="67">
        <f>IFERROR(IF(VLOOKUP(AB$4,'Labor Market'!$A:$P,15,0)="","",VLOOKUP(AB$4,'Labor Market'!$A:$P,15,0)),"")</f>
        <v>10563</v>
      </c>
      <c r="AC37" s="67">
        <f>IFERROR(IF(VLOOKUP(AC$4,'Labor Market'!$A:$P,15,0)="","",VLOOKUP(AC$4,'Labor Market'!$A:$P,15,0)),"")</f>
        <v>9931</v>
      </c>
      <c r="AD37" s="67">
        <f>IFERROR(IF(VLOOKUP(AD$4,'Labor Market'!$A:$P,15,0)="","",VLOOKUP(AD$4,'Labor Market'!$A:$P,15,0)),"")</f>
        <v>9745</v>
      </c>
      <c r="AE37" s="67">
        <f>IFERROR(IF(VLOOKUP(AE$4,'Labor Market'!$A:$P,15,0)="","",VLOOKUP(AE$4,'Labor Market'!$A:$P,15,0)),"")</f>
        <v>10320</v>
      </c>
      <c r="AF37" s="67">
        <f>IFERROR(IF(VLOOKUP(AF$4,'Labor Market'!$A:$P,15,0)="","",VLOOKUP(AF$4,'Labor Market'!$A:$P,15,0)),"")</f>
        <v>9616</v>
      </c>
      <c r="AG37" s="67">
        <f>IFERROR(IF(VLOOKUP(AG$4,'Labor Market'!$A:$P,15,0)="","",VLOOKUP(AG$4,'Labor Market'!$A:$P,15,0)),"")</f>
        <v>9165</v>
      </c>
      <c r="AH37" s="67">
        <f>IFERROR(IF(VLOOKUP(AH$4,'Labor Market'!$A:$P,15,0)="","",VLOOKUP(AH$4,'Labor Market'!$A:$P,15,0)),"")</f>
        <v>8920</v>
      </c>
      <c r="AI37" s="67">
        <f>IFERROR(IF(VLOOKUP(AI$4,'Labor Market'!$A:$P,15,0)="","",VLOOKUP(AI$4,'Labor Market'!$A:$P,15,0)),"")</f>
        <v>9497</v>
      </c>
      <c r="AJ37" s="67">
        <f>IFERROR(IF(VLOOKUP(AJ$4,'Labor Market'!$A:$P,15,0)="","",VLOOKUP(AJ$4,'Labor Market'!$A:$P,15,0)),"")</f>
        <v>9350</v>
      </c>
      <c r="AK37" s="67">
        <f>IFERROR(IF(VLOOKUP(AK$4,'Labor Market'!$A:$P,15,0)="","",VLOOKUP(AK$4,'Labor Market'!$A:$P,15,0)),"")</f>
        <v>8852</v>
      </c>
      <c r="AL37" s="67">
        <f>IFERROR(IF(VLOOKUP(AL$4,'Labor Market'!$A:$P,15,0)="","",VLOOKUP(AL$4,'Labor Market'!$A:$P,15,0)),"")</f>
        <v>8790</v>
      </c>
      <c r="AM37" s="67">
        <f>IFERROR(IF(VLOOKUP(AM$4,'Labor Market'!$A:$P,15,0)="","",VLOOKUP(AM$4,'Labor Market'!$A:$P,15,0)),"")</f>
        <v>8790</v>
      </c>
      <c r="AN37" s="67" t="str">
        <f>IFERROR(IF(VLOOKUP(AN$4,'Labor Market'!$A:$P,15,0)="","",VLOOKUP(AN$4,'Labor Market'!$A:$P,15,0)),"")</f>
        <v/>
      </c>
      <c r="AO37" s="67" t="str">
        <f>IFERROR(IF(VLOOKUP(AO$4,'Labor Market'!$A:$P,15,0)="","",VLOOKUP(AO$4,'Labor Market'!$A:$P,15,0)),"")</f>
        <v/>
      </c>
      <c r="AP37" s="67" t="str">
        <f>IFERROR(IF(VLOOKUP(AP$4,'Labor Market'!$A:$P,15,0)="","",VLOOKUP(AP$4,'Labor Market'!$A:$P,15,0)),"")</f>
        <v/>
      </c>
      <c r="AQ37" s="67" t="str">
        <f>IFERROR(IF(VLOOKUP(AQ$4,'Labor Market'!$A:$P,15,0)="","",VLOOKUP(AQ$4,'Labor Market'!$A:$P,15,0)),"")</f>
        <v/>
      </c>
      <c r="AR37" s="67" t="str">
        <f>IFERROR(IF(VLOOKUP(AR$4,'Labor Market'!$A:$P,15,0)="","",VLOOKUP(AR$4,'Labor Market'!$A:$P,15,0)),"")</f>
        <v/>
      </c>
      <c r="AS37" s="67" t="str">
        <f>IFERROR(IF(VLOOKUP(AS$4,'Labor Market'!$A:$P,15,0)="","",VLOOKUP(AS$4,'Labor Market'!$A:$P,15,0)),"")</f>
        <v/>
      </c>
      <c r="AT37" s="67" t="str">
        <f>IFERROR(IF(VLOOKUP(AT$4,'Labor Market'!$A:$P,15,0)="","",VLOOKUP(AT$4,'Labor Market'!$A:$P,15,0)),"")</f>
        <v/>
      </c>
      <c r="AU37" s="67" t="str">
        <f>IFERROR(IF(VLOOKUP(AU$4,'Labor Market'!$A:$P,15,0)="","",VLOOKUP(AU$4,'Labor Market'!$A:$P,15,0)),"")</f>
        <v/>
      </c>
      <c r="AV37" s="67" t="str">
        <f>IFERROR(IF(VLOOKUP(AV$4,'Labor Market'!$A:$P,15,0)="","",VLOOKUP(AV$4,'Labor Market'!$A:$P,15,0)),"")</f>
        <v/>
      </c>
      <c r="AW37" s="67" t="str">
        <f>IFERROR(IF(VLOOKUP(AW$4,'Labor Market'!$A:$P,15,0)="","",VLOOKUP(AW$4,'Labor Market'!$A:$P,15,0)),"")</f>
        <v/>
      </c>
      <c r="AX37" s="67" t="str">
        <f>IFERROR(IF(VLOOKUP(AX$4,'Labor Market'!$A:$P,15,0)="","",VLOOKUP(AX$4,'Labor Market'!$A:$P,15,0)),"")</f>
        <v/>
      </c>
      <c r="AY37" s="67" t="str">
        <f>IFERROR(IF(VLOOKUP(AY$4,'Labor Market'!$A:$P,15,0)="","",VLOOKUP(AY$4,'Labor Market'!$A:$P,15,0)),"")</f>
        <v/>
      </c>
    </row>
    <row r="38" spans="1:51" ht="19.5" customHeight="1">
      <c r="A38" s="3"/>
      <c r="B38" s="2" t="s">
        <v>98</v>
      </c>
      <c r="C38" s="47" t="s">
        <v>94</v>
      </c>
      <c r="D38" s="16">
        <f>IF(VLOOKUP(D$4,'Labor Market'!$A:$P,6,0)="","",VLOOKUP(D$4,'Labor Market'!$A:$P,6,0))</f>
        <v>5.2409400000000002</v>
      </c>
      <c r="E38" s="16">
        <f>IF(VLOOKUP(E$4,'Labor Market'!$A:$P,6,0)="","",VLOOKUP(E$4,'Labor Market'!$A:$P,6,0))</f>
        <v>5.2539400000000001</v>
      </c>
      <c r="F38" s="16">
        <f>IF(VLOOKUP(F$4,'Labor Market'!$A:$P,6,0)="","",VLOOKUP(F$4,'Labor Market'!$A:$P,6,0))</f>
        <v>4.3402799999999999</v>
      </c>
      <c r="G38" s="16">
        <f>IF(VLOOKUP(G$4,'Labor Market'!$A:$P,6,0)="","",VLOOKUP(G$4,'Labor Market'!$A:$P,6,0))</f>
        <v>0.63312000000000002</v>
      </c>
      <c r="H38" s="16">
        <f>IF(VLOOKUP(H$4,'Labor Market'!$A:$P,6,0)="","",VLOOKUP(H$4,'Labor Market'!$A:$P,6,0))</f>
        <v>2.2207300000000001</v>
      </c>
      <c r="I38" s="16">
        <f>IF(VLOOKUP(I$4,'Labor Market'!$A:$P,6,0)="","",VLOOKUP(I$4,'Labor Market'!$A:$P,6,0))</f>
        <v>3.9496099999999998</v>
      </c>
      <c r="J38" s="16">
        <f>IF(VLOOKUP(J$4,'Labor Market'!$A:$P,6,0)="","",VLOOKUP(J$4,'Labor Market'!$A:$P,6,0))</f>
        <v>4.3212000000000002</v>
      </c>
      <c r="K38" s="16">
        <f>IF(VLOOKUP(K$4,'Labor Market'!$A:$P,6,0)="","",VLOOKUP(K$4,'Labor Market'!$A:$P,6,0))</f>
        <v>4.40977</v>
      </c>
      <c r="L38" s="16">
        <f>IF(VLOOKUP(L$4,'Labor Market'!$A:$P,6,0)="","",VLOOKUP(L$4,'Labor Market'!$A:$P,6,0))</f>
        <v>4.87805</v>
      </c>
      <c r="M38" s="16">
        <f>IF(VLOOKUP(M$4,'Labor Market'!$A:$P,6,0)="","",VLOOKUP(M$4,'Labor Market'!$A:$P,6,0))</f>
        <v>5.4163800000000002</v>
      </c>
      <c r="N38" s="16">
        <f>IF(VLOOKUP(N$4,'Labor Market'!$A:$P,6,0)="","",VLOOKUP(N$4,'Labor Market'!$A:$P,6,0))</f>
        <v>5.39811</v>
      </c>
      <c r="O38" s="16">
        <f>IF(VLOOKUP(O$4,'Labor Market'!$A:$P,6,0)="","",VLOOKUP(O$4,'Labor Market'!$A:$P,6,0))</f>
        <v>5.0133700000000001</v>
      </c>
      <c r="P38" s="16">
        <f>IF(VLOOKUP(P$4,'Labor Market'!$A:$P,6,0)="","",VLOOKUP(P$4,'Labor Market'!$A:$P,6,0))</f>
        <v>5.7152399999999997</v>
      </c>
      <c r="Q38" s="16">
        <f>IF(VLOOKUP(Q$4,'Labor Market'!$A:$P,6,0)="","",VLOOKUP(Q$4,'Labor Market'!$A:$P,6,0))</f>
        <v>5.2579000000000002</v>
      </c>
      <c r="R38" s="16">
        <f>IF(VLOOKUP(R$4,'Labor Market'!$A:$P,6,0)="","",VLOOKUP(R$4,'Labor Market'!$A:$P,6,0))</f>
        <v>5.9234600000000004</v>
      </c>
      <c r="S38" s="16">
        <f>IF(VLOOKUP(S$4,'Labor Market'!$A:$P,6,0)="","",VLOOKUP(S$4,'Labor Market'!$A:$P,6,0))</f>
        <v>5.76159</v>
      </c>
      <c r="T38" s="16">
        <f>IF(VLOOKUP(T$4,'Labor Market'!$A:$P,6,0)="","",VLOOKUP(T$4,'Labor Market'!$A:$P,6,0))</f>
        <v>5.5299500000000004</v>
      </c>
      <c r="U38" s="16">
        <f>IF(VLOOKUP(U$4,'Labor Market'!$A:$P,6,0)="","",VLOOKUP(U$4,'Labor Market'!$A:$P,6,0))</f>
        <v>5.4045199999999998</v>
      </c>
      <c r="V38" s="16">
        <f>IF(VLOOKUP(V$4,'Labor Market'!$A:$P,6,0)="","",VLOOKUP(V$4,'Labor Market'!$A:$P,6,0))</f>
        <v>5.4468399999999999</v>
      </c>
      <c r="W38" s="16">
        <f>IF(VLOOKUP(W$4,'Labor Market'!$A:$P,6,0)="","",VLOOKUP(W$4,'Labor Market'!$A:$P,6,0))</f>
        <v>5.3606199999999999</v>
      </c>
      <c r="X38" s="16">
        <f>IF(VLOOKUP(X$4,'Labor Market'!$A:$P,6,0)="","",VLOOKUP(X$4,'Labor Market'!$A:$P,6,0))</f>
        <v>5.0710600000000001</v>
      </c>
      <c r="Y38" s="16">
        <f>IF(VLOOKUP(Y$4,'Labor Market'!$A:$P,6,0)="","",VLOOKUP(Y$4,'Labor Market'!$A:$P,6,0))</f>
        <v>4.8811799999999996</v>
      </c>
      <c r="Z38" s="16">
        <f>IF(VLOOKUP(Z$4,'Labor Market'!$A:$P,6,0)="","",VLOOKUP(Z$4,'Labor Market'!$A:$P,6,0))</f>
        <v>4.9935999999999998</v>
      </c>
      <c r="AA38" s="16">
        <f>IF(VLOOKUP(AA$4,'Labor Market'!$A:$P,6,0)="","",VLOOKUP(AA$4,'Labor Market'!$A:$P,6,0))</f>
        <v>4.7740299999999998</v>
      </c>
      <c r="AB38" s="16">
        <f>IF(VLOOKUP(AB$4,'Labor Market'!$A:$P,6,0)="","",VLOOKUP(AB$4,'Labor Market'!$A:$P,6,0))</f>
        <v>4.3945600000000002</v>
      </c>
      <c r="AC38" s="16">
        <f>IF(VLOOKUP(AC$4,'Labor Market'!$A:$P,6,0)="","",VLOOKUP(AC$4,'Labor Market'!$A:$P,6,0))</f>
        <v>4.6158700000000001</v>
      </c>
      <c r="AD38" s="16">
        <f>IF(VLOOKUP(AD$4,'Labor Market'!$A:$P,6,0)="","",VLOOKUP(AD$4,'Labor Market'!$A:$P,6,0))</f>
        <v>4.3</v>
      </c>
      <c r="AE38" s="16">
        <f>IF(VLOOKUP(AE$4,'Labor Market'!$A:$P,6,0)="","",VLOOKUP(AE$4,'Labor Market'!$A:$P,6,0))</f>
        <v>4.4000000000000004</v>
      </c>
      <c r="AF38" s="16">
        <f>IF(VLOOKUP(AF$4,'Labor Market'!$A:$P,6,0)="","",VLOOKUP(AF$4,'Labor Market'!$A:$P,6,0))</f>
        <v>4.4000000000000004</v>
      </c>
      <c r="AG38" s="16">
        <f>IF(VLOOKUP(AG$4,'Labor Market'!$A:$P,6,0)="","",VLOOKUP(AG$4,'Labor Market'!$A:$P,6,0))</f>
        <v>4.4000000000000004</v>
      </c>
      <c r="AH38" s="16">
        <f>IF(VLOOKUP(AH$4,'Labor Market'!$A:$P,6,0)="","",VLOOKUP(AH$4,'Labor Market'!$A:$P,6,0))</f>
        <v>4.4000000000000004</v>
      </c>
      <c r="AI38" s="16">
        <f>IF(VLOOKUP(AI$4,'Labor Market'!$A:$P,6,0)="","",VLOOKUP(AI$4,'Labor Market'!$A:$P,6,0))</f>
        <v>4.3</v>
      </c>
      <c r="AJ38" s="16">
        <f>IF(VLOOKUP(AJ$4,'Labor Market'!$A:$P,6,0)="","",VLOOKUP(AJ$4,'Labor Market'!$A:$P,6,0))</f>
        <v>4.3</v>
      </c>
      <c r="AK38" s="16">
        <f>IF(VLOOKUP(AK$4,'Labor Market'!$A:$P,6,0)="","",VLOOKUP(AK$4,'Labor Market'!$A:$P,6,0))</f>
        <v>4.0999999999999996</v>
      </c>
      <c r="AL38" s="16">
        <f>IF(VLOOKUP(AL$4,'Labor Market'!$A:$P,6,0)="","",VLOOKUP(AL$4,'Labor Market'!$A:$P,6,0))</f>
        <v>4</v>
      </c>
      <c r="AM38" s="16">
        <f>IF(VLOOKUP(AM$4,'Labor Market'!$A:$P,6,0)="","",VLOOKUP(AM$4,'Labor Market'!$A:$P,6,0))</f>
        <v>4.0999999999999996</v>
      </c>
      <c r="AN38" s="16" t="str">
        <f>IF(VLOOKUP(AN$4,'Labor Market'!$A:$P,6,0)="","",VLOOKUP(AN$4,'Labor Market'!$A:$P,6,0))</f>
        <v/>
      </c>
      <c r="AO38" s="16" t="str">
        <f>IF(VLOOKUP(AO$4,'Labor Market'!$A:$P,6,0)="","",VLOOKUP(AO$4,'Labor Market'!$A:$P,6,0))</f>
        <v/>
      </c>
      <c r="AP38" s="16" t="str">
        <f>IF(VLOOKUP(AP$4,'Labor Market'!$A:$P,6,0)="","",VLOOKUP(AP$4,'Labor Market'!$A:$P,6,0))</f>
        <v/>
      </c>
      <c r="AQ38" s="16" t="str">
        <f>IF(VLOOKUP(AQ$4,'Labor Market'!$A:$P,6,0)="","",VLOOKUP(AQ$4,'Labor Market'!$A:$P,6,0))</f>
        <v/>
      </c>
      <c r="AR38" s="16" t="str">
        <f>IF(VLOOKUP(AR$4,'Labor Market'!$A:$P,6,0)="","",VLOOKUP(AR$4,'Labor Market'!$A:$P,6,0))</f>
        <v/>
      </c>
      <c r="AS38" s="16" t="str">
        <f>IF(VLOOKUP(AS$4,'Labor Market'!$A:$P,6,0)="","",VLOOKUP(AS$4,'Labor Market'!$A:$P,6,0))</f>
        <v/>
      </c>
      <c r="AT38" s="16" t="str">
        <f>IF(VLOOKUP(AT$4,'Labor Market'!$A:$P,6,0)="","",VLOOKUP(AT$4,'Labor Market'!$A:$P,6,0))</f>
        <v/>
      </c>
      <c r="AU38" s="16" t="str">
        <f>IF(VLOOKUP(AU$4,'Labor Market'!$A:$P,6,0)="","",VLOOKUP(AU$4,'Labor Market'!$A:$P,6,0))</f>
        <v/>
      </c>
      <c r="AV38" s="16" t="str">
        <f>IF(VLOOKUP(AV$4,'Labor Market'!$A:$P,6,0)="","",VLOOKUP(AV$4,'Labor Market'!$A:$P,6,0))</f>
        <v/>
      </c>
      <c r="AW38" s="16" t="str">
        <f>IF(VLOOKUP(AW$4,'Labor Market'!$A:$P,6,0)="","",VLOOKUP(AW$4,'Labor Market'!$A:$P,6,0))</f>
        <v/>
      </c>
      <c r="AX38" s="16" t="str">
        <f>IF(VLOOKUP(AX$4,'Labor Market'!$A:$P,6,0)="","",VLOOKUP(AX$4,'Labor Market'!$A:$P,6,0))</f>
        <v/>
      </c>
      <c r="AY38" s="16" t="str">
        <f>IF(VLOOKUP(AY$4,'Labor Market'!$A:$P,6,0)="","",VLOOKUP(AY$4,'Labor Market'!$A:$P,6,0))</f>
        <v/>
      </c>
    </row>
    <row r="39" spans="1:51" ht="19.5" customHeight="1">
      <c r="A39" s="3"/>
      <c r="B39" s="2" t="s">
        <v>31</v>
      </c>
      <c r="C39" s="47" t="s">
        <v>94</v>
      </c>
      <c r="D39" s="16">
        <f>IF(VLOOKUP(D$4,'Labor Market'!$A:$P,7,0)="","",VLOOKUP(D$4,'Labor Market'!$A:$P,7,0))</f>
        <v>3.4</v>
      </c>
      <c r="E39" s="16">
        <f>IF(VLOOKUP(E$4,'Labor Market'!$A:$P,7,0)="","",VLOOKUP(E$4,'Labor Market'!$A:$P,7,0))</f>
        <v>3.4</v>
      </c>
      <c r="F39" s="16">
        <f>IF(VLOOKUP(F$4,'Labor Market'!$A:$P,7,0)="","",VLOOKUP(F$4,'Labor Market'!$A:$P,7,0))</f>
        <v>3.4</v>
      </c>
      <c r="G39" s="16">
        <f>IF(VLOOKUP(G$4,'Labor Market'!$A:$P,7,0)="","",VLOOKUP(G$4,'Labor Market'!$A:$P,7,0))</f>
        <v>3.2</v>
      </c>
      <c r="H39" s="16">
        <f>IF(VLOOKUP(H$4,'Labor Market'!$A:$P,7,0)="","",VLOOKUP(H$4,'Labor Market'!$A:$P,7,0))</f>
        <v>3</v>
      </c>
      <c r="I39" s="16">
        <f>IF(VLOOKUP(I$4,'Labor Market'!$A:$P,7,0)="","",VLOOKUP(I$4,'Labor Market'!$A:$P,7,0))</f>
        <v>3.2</v>
      </c>
      <c r="J39" s="16">
        <f>IF(VLOOKUP(J$4,'Labor Market'!$A:$P,7,0)="","",VLOOKUP(J$4,'Labor Market'!$A:$P,7,0))</f>
        <v>3.7</v>
      </c>
      <c r="K39" s="16">
        <f>IF(VLOOKUP(K$4,'Labor Market'!$A:$P,7,0)="","",VLOOKUP(K$4,'Labor Market'!$A:$P,7,0))</f>
        <v>3.9</v>
      </c>
      <c r="L39" s="16">
        <f>IF(VLOOKUP(L$4,'Labor Market'!$A:$P,7,0)="","",VLOOKUP(L$4,'Labor Market'!$A:$P,7,0))</f>
        <v>4.2</v>
      </c>
      <c r="M39" s="16">
        <f>IF(VLOOKUP(M$4,'Labor Market'!$A:$P,7,0)="","",VLOOKUP(M$4,'Labor Market'!$A:$P,7,0))</f>
        <v>4.0999999999999996</v>
      </c>
      <c r="N39" s="16">
        <f>IF(VLOOKUP(N$4,'Labor Market'!$A:$P,7,0)="","",VLOOKUP(N$4,'Labor Market'!$A:$P,7,0))</f>
        <v>4.3</v>
      </c>
      <c r="O39" s="16">
        <f>IF(VLOOKUP(O$4,'Labor Market'!$A:$P,7,0)="","",VLOOKUP(O$4,'Labor Market'!$A:$P,7,0))</f>
        <v>4.5</v>
      </c>
      <c r="P39" s="16">
        <f>IF(VLOOKUP(P$4,'Labor Market'!$A:$P,7,0)="","",VLOOKUP(P$4,'Labor Market'!$A:$P,7,0))</f>
        <v>5.0999999999999996</v>
      </c>
      <c r="Q39" s="16">
        <f>IF(VLOOKUP(Q$4,'Labor Market'!$A:$P,7,0)="","",VLOOKUP(Q$4,'Labor Market'!$A:$P,7,0))</f>
        <v>5.8</v>
      </c>
      <c r="R39" s="16">
        <f>IF(VLOOKUP(R$4,'Labor Market'!$A:$P,7,0)="","",VLOOKUP(R$4,'Labor Market'!$A:$P,7,0))</f>
        <v>6</v>
      </c>
      <c r="S39" s="16">
        <f>IF(VLOOKUP(S$4,'Labor Market'!$A:$P,7,0)="","",VLOOKUP(S$4,'Labor Market'!$A:$P,7,0))</f>
        <v>6</v>
      </c>
      <c r="T39" s="16">
        <f>IF(VLOOKUP(T$4,'Labor Market'!$A:$P,7,0)="","",VLOOKUP(T$4,'Labor Market'!$A:$P,7,0))</f>
        <v>6.1</v>
      </c>
      <c r="U39" s="16">
        <f>IF(VLOOKUP(U$4,'Labor Market'!$A:$P,7,0)="","",VLOOKUP(U$4,'Labor Market'!$A:$P,7,0))</f>
        <v>6.7</v>
      </c>
      <c r="V39" s="16">
        <f>IF(VLOOKUP(V$4,'Labor Market'!$A:$P,7,0)="","",VLOOKUP(V$4,'Labor Market'!$A:$P,7,0))</f>
        <v>6.7</v>
      </c>
      <c r="W39" s="16">
        <f>IF(VLOOKUP(W$4,'Labor Market'!$A:$P,7,0)="","",VLOOKUP(W$4,'Labor Market'!$A:$P,7,0))</f>
        <v>6.7</v>
      </c>
      <c r="X39" s="16">
        <f>IF(VLOOKUP(X$4,'Labor Market'!$A:$P,7,0)="","",VLOOKUP(X$4,'Labor Market'!$A:$P,7,0))</f>
        <v>6.3</v>
      </c>
      <c r="Y39" s="16">
        <f>IF(VLOOKUP(Y$4,'Labor Market'!$A:$P,7,0)="","",VLOOKUP(Y$4,'Labor Market'!$A:$P,7,0))</f>
        <v>6.4</v>
      </c>
      <c r="Z39" s="16">
        <f>IF(VLOOKUP(Z$4,'Labor Market'!$A:$P,7,0)="","",VLOOKUP(Z$4,'Labor Market'!$A:$P,7,0))</f>
        <v>6.4</v>
      </c>
      <c r="AA39" s="16">
        <f>IF(VLOOKUP(AA$4,'Labor Market'!$A:$P,7,0)="","",VLOOKUP(AA$4,'Labor Market'!$A:$P,7,0))</f>
        <v>6.1</v>
      </c>
      <c r="AB39" s="16">
        <f>IF(VLOOKUP(AB$4,'Labor Market'!$A:$P,7,0)="","",VLOOKUP(AB$4,'Labor Market'!$A:$P,7,0))</f>
        <v>6.1</v>
      </c>
      <c r="AC39" s="16">
        <f>IF(VLOOKUP(AC$4,'Labor Market'!$A:$P,7,0)="","",VLOOKUP(AC$4,'Labor Market'!$A:$P,7,0))</f>
        <v>6.1</v>
      </c>
      <c r="AD39" s="16">
        <f>IF(VLOOKUP(AD$4,'Labor Market'!$A:$P,7,0)="","",VLOOKUP(AD$4,'Labor Market'!$A:$P,7,0))</f>
        <v>6.4</v>
      </c>
      <c r="AE39" s="16">
        <f>IF(VLOOKUP(AE$4,'Labor Market'!$A:$P,7,0)="","",VLOOKUP(AE$4,'Labor Market'!$A:$P,7,0))</f>
        <v>6.1</v>
      </c>
      <c r="AF39" s="16">
        <f>IF(VLOOKUP(AF$4,'Labor Market'!$A:$P,7,0)="","",VLOOKUP(AF$4,'Labor Market'!$A:$P,7,0))</f>
        <v>6</v>
      </c>
      <c r="AG39" s="16">
        <f>IF(VLOOKUP(AG$4,'Labor Market'!$A:$P,7,0)="","",VLOOKUP(AG$4,'Labor Market'!$A:$P,7,0))</f>
        <v>5.6</v>
      </c>
      <c r="AH39" s="16">
        <f>IF(VLOOKUP(AH$4,'Labor Market'!$A:$P,7,0)="","",VLOOKUP(AH$4,'Labor Market'!$A:$P,7,0))</f>
        <v>5.7</v>
      </c>
      <c r="AI39" s="16">
        <f>IF(VLOOKUP(AI$4,'Labor Market'!$A:$P,7,0)="","",VLOOKUP(AI$4,'Labor Market'!$A:$P,7,0))</f>
        <v>5.3</v>
      </c>
      <c r="AJ39" s="16">
        <f>IF(VLOOKUP(AJ$4,'Labor Market'!$A:$P,7,0)="","",VLOOKUP(AJ$4,'Labor Market'!$A:$P,7,0))</f>
        <v>5.2</v>
      </c>
      <c r="AK39" s="16">
        <f>IF(VLOOKUP(AK$4,'Labor Market'!$A:$P,7,0)="","",VLOOKUP(AK$4,'Labor Market'!$A:$P,7,0))</f>
        <v>5.2</v>
      </c>
      <c r="AL39" s="16">
        <f>IF(VLOOKUP(AL$4,'Labor Market'!$A:$P,7,0)="","",VLOOKUP(AL$4,'Labor Market'!$A:$P,7,0))</f>
        <v>5.2</v>
      </c>
      <c r="AM39" s="16">
        <f>IF(VLOOKUP(AM$4,'Labor Market'!$A:$P,7,0)="","",VLOOKUP(AM$4,'Labor Market'!$A:$P,7,0))</f>
        <v>5.2</v>
      </c>
      <c r="AN39" s="16" t="str">
        <f>IF(VLOOKUP(AN$4,'Labor Market'!$A:$P,7,0)="","",VLOOKUP(AN$4,'Labor Market'!$A:$P,7,0))</f>
        <v/>
      </c>
      <c r="AO39" s="16" t="str">
        <f>IF(VLOOKUP(AO$4,'Labor Market'!$A:$P,7,0)="","",VLOOKUP(AO$4,'Labor Market'!$A:$P,7,0))</f>
        <v/>
      </c>
      <c r="AP39" s="16" t="str">
        <f>IF(VLOOKUP(AP$4,'Labor Market'!$A:$P,7,0)="","",VLOOKUP(AP$4,'Labor Market'!$A:$P,7,0))</f>
        <v/>
      </c>
      <c r="AQ39" s="16" t="str">
        <f>IF(VLOOKUP(AQ$4,'Labor Market'!$A:$P,7,0)="","",VLOOKUP(AQ$4,'Labor Market'!$A:$P,7,0))</f>
        <v/>
      </c>
      <c r="AR39" s="16" t="str">
        <f>IF(VLOOKUP(AR$4,'Labor Market'!$A:$P,7,0)="","",VLOOKUP(AR$4,'Labor Market'!$A:$P,7,0))</f>
        <v/>
      </c>
      <c r="AS39" s="16" t="str">
        <f>IF(VLOOKUP(AS$4,'Labor Market'!$A:$P,7,0)="","",VLOOKUP(AS$4,'Labor Market'!$A:$P,7,0))</f>
        <v/>
      </c>
      <c r="AT39" s="16" t="str">
        <f>IF(VLOOKUP(AT$4,'Labor Market'!$A:$P,7,0)="","",VLOOKUP(AT$4,'Labor Market'!$A:$P,7,0))</f>
        <v/>
      </c>
      <c r="AU39" s="16" t="str">
        <f>IF(VLOOKUP(AU$4,'Labor Market'!$A:$P,7,0)="","",VLOOKUP(AU$4,'Labor Market'!$A:$P,7,0))</f>
        <v/>
      </c>
      <c r="AV39" s="16" t="str">
        <f>IF(VLOOKUP(AV$4,'Labor Market'!$A:$P,7,0)="","",VLOOKUP(AV$4,'Labor Market'!$A:$P,7,0))</f>
        <v/>
      </c>
      <c r="AW39" s="16" t="str">
        <f>IF(VLOOKUP(AW$4,'Labor Market'!$A:$P,7,0)="","",VLOOKUP(AW$4,'Labor Market'!$A:$P,7,0))</f>
        <v/>
      </c>
      <c r="AX39" s="16" t="str">
        <f>IF(VLOOKUP(AX$4,'Labor Market'!$A:$P,7,0)="","",VLOOKUP(AX$4,'Labor Market'!$A:$P,7,0))</f>
        <v/>
      </c>
      <c r="AY39" s="16" t="str">
        <f>IF(VLOOKUP(AY$4,'Labor Market'!$A:$P,7,0)="","",VLOOKUP(AY$4,'Labor Market'!$A:$P,7,0))</f>
        <v/>
      </c>
    </row>
    <row r="40" spans="1:51" ht="19.5" customHeight="1">
      <c r="A40" s="3"/>
      <c r="B40" s="2" t="s">
        <v>99</v>
      </c>
      <c r="C40" s="47" t="s">
        <v>95</v>
      </c>
      <c r="D40" s="16">
        <f>IFERROR(IF(VLOOKUP(D$4,'Labor Market'!$A:$P,9,0)="","",VLOOKUP(D$4,'Labor Market'!$A:$P,9,0))*100,"")</f>
        <v>10.369313852774287</v>
      </c>
      <c r="E40" s="16">
        <f>IFERROR(IF(VLOOKUP(E$4,'Labor Market'!$A:$P,9,0)="","",VLOOKUP(E$4,'Labor Market'!$A:$P,9,0))*100,"")</f>
        <v>-8.2972060991975525</v>
      </c>
      <c r="F40" s="16">
        <f>IFERROR(IF(VLOOKUP(F$4,'Labor Market'!$A:$P,9,0)="","",VLOOKUP(F$4,'Labor Market'!$A:$P,9,0))*100,"")</f>
        <v>22.991406151196301</v>
      </c>
      <c r="G40" s="16">
        <f>IFERROR(IF(VLOOKUP(G$4,'Labor Market'!$A:$P,9,0)="","",VLOOKUP(G$4,'Labor Market'!$A:$P,9,0))*100,"")</f>
        <v>-15.208641407068646</v>
      </c>
      <c r="H40" s="16">
        <f>IFERROR(IF(VLOOKUP(H$4,'Labor Market'!$A:$P,9,0)="","",VLOOKUP(H$4,'Labor Market'!$A:$P,9,0))*100,"")</f>
        <v>-2.8729658247000023</v>
      </c>
      <c r="I40" s="16">
        <f>IFERROR(IF(VLOOKUP(I$4,'Labor Market'!$A:$P,9,0)="","",VLOOKUP(I$4,'Labor Market'!$A:$P,9,0))*100,"")</f>
        <v>-0.49229744754475391</v>
      </c>
      <c r="J40" s="16">
        <f>IFERROR(IF(VLOOKUP(J$4,'Labor Market'!$A:$P,9,0)="","",VLOOKUP(J$4,'Labor Market'!$A:$P,9,0))*100,"")</f>
        <v>0.59630862257487038</v>
      </c>
      <c r="K40" s="16">
        <f>IFERROR(IF(VLOOKUP(K$4,'Labor Market'!$A:$P,9,0)="","",VLOOKUP(K$4,'Labor Market'!$A:$P,9,0))*100,"")</f>
        <v>-0.26371903231744431</v>
      </c>
      <c r="L40" s="16">
        <f>IFERROR(IF(VLOOKUP(L$4,'Labor Market'!$A:$P,9,0)="","",VLOOKUP(L$4,'Labor Market'!$A:$P,9,0))*100,"")</f>
        <v>-1.3542404878600811</v>
      </c>
      <c r="M40" s="16">
        <f>IFERROR(IF(VLOOKUP(M$4,'Labor Market'!$A:$P,9,0)="","",VLOOKUP(M$4,'Labor Market'!$A:$P,9,0))*100,"")</f>
        <v>-0.10202664766997271</v>
      </c>
      <c r="N40" s="16">
        <f>IFERROR(IF(VLOOKUP(N$4,'Labor Market'!$A:$P,9,0)="","",VLOOKUP(N$4,'Labor Market'!$A:$P,9,0))*100,"")</f>
        <v>-0.28765848411231865</v>
      </c>
      <c r="O40" s="16">
        <f>IFERROR(IF(VLOOKUP(O$4,'Labor Market'!$A:$P,9,0)="","",VLOOKUP(O$4,'Labor Market'!$A:$P,9,0))*100,"")</f>
        <v>-0.49273324525145323</v>
      </c>
      <c r="P40" s="16">
        <f>IFERROR(IF(VLOOKUP(P$4,'Labor Market'!$A:$P,9,0)="","",VLOOKUP(P$4,'Labor Market'!$A:$P,9,0))*100,"")</f>
        <v>-2.0568261412431177</v>
      </c>
      <c r="Q40" s="16">
        <f>IFERROR(IF(VLOOKUP(Q$4,'Labor Market'!$A:$P,9,0)="","",VLOOKUP(Q$4,'Labor Market'!$A:$P,9,0))*100,"")</f>
        <v>7.4001293467995666E-2</v>
      </c>
      <c r="R40" s="16">
        <f>IFERROR(IF(VLOOKUP(R$4,'Labor Market'!$A:$P,9,0)="","",VLOOKUP(R$4,'Labor Market'!$A:$P,9,0))*100,"")</f>
        <v>-0.40142424826163925</v>
      </c>
      <c r="S40" s="16">
        <f>IFERROR(IF(VLOOKUP(S$4,'Labor Market'!$A:$P,9,0)="","",VLOOKUP(S$4,'Labor Market'!$A:$P,9,0))*100,"")</f>
        <v>9.046611887872924E-2</v>
      </c>
      <c r="T40" s="16">
        <f>IFERROR(IF(VLOOKUP(T$4,'Labor Market'!$A:$P,9,0)="","",VLOOKUP(T$4,'Labor Market'!$A:$P,9,0))*100,"")</f>
        <v>-0.12092802912245793</v>
      </c>
      <c r="U40" s="16">
        <f>IFERROR(IF(VLOOKUP(U$4,'Labor Market'!$A:$P,9,0)="","",VLOOKUP(U$4,'Labor Market'!$A:$P,9,0))*100,"")</f>
        <v>-0.37320884717161329</v>
      </c>
      <c r="V40" s="16">
        <f>IFERROR(IF(VLOOKUP(V$4,'Labor Market'!$A:$P,9,0)="","",VLOOKUP(V$4,'Labor Market'!$A:$P,9,0))*100,"")</f>
        <v>0.91396569653081627</v>
      </c>
      <c r="W40" s="16">
        <f>IFERROR(IF(VLOOKUP(W$4,'Labor Market'!$A:$P,9,0)="","",VLOOKUP(W$4,'Labor Market'!$A:$P,9,0))*100,"")</f>
        <v>0.32341566672666744</v>
      </c>
      <c r="X40" s="16">
        <f>IFERROR(IF(VLOOKUP(X$4,'Labor Market'!$A:$P,9,0)="","",VLOOKUP(X$4,'Labor Market'!$A:$P,9,0))*100,"")</f>
        <v>0.14540819483459533</v>
      </c>
      <c r="Y40" s="16">
        <f>IFERROR(IF(VLOOKUP(Y$4,'Labor Market'!$A:$P,9,0)="","",VLOOKUP(Y$4,'Labor Market'!$A:$P,9,0))*100,"")</f>
        <v>0.23849390481252009</v>
      </c>
      <c r="Z40" s="16">
        <f>IFERROR(IF(VLOOKUP(Z$4,'Labor Market'!$A:$P,9,0)="","",VLOOKUP(Z$4,'Labor Market'!$A:$P,9,0))*100,"")</f>
        <v>3.7599778099672854E-2</v>
      </c>
      <c r="AA40" s="16">
        <f>IFERROR(IF(VLOOKUP(AA$4,'Labor Market'!$A:$P,9,0)="","",VLOOKUP(AA$4,'Labor Market'!$A:$P,9,0))*100,"")</f>
        <v>0.21873613644205481</v>
      </c>
      <c r="AB40" s="16">
        <f>IFERROR(IF(VLOOKUP(AB$4,'Labor Market'!$A:$P,9,0)="","",VLOOKUP(AB$4,'Labor Market'!$A:$P,9,0))*100,"")</f>
        <v>2.0706912346066142</v>
      </c>
      <c r="AC40" s="16">
        <f>IFERROR(IF(VLOOKUP(AC$4,'Labor Market'!$A:$P,9,0)="","",VLOOKUP(AC$4,'Labor Market'!$A:$P,9,0))*100,"")</f>
        <v>0.32646865720187268</v>
      </c>
      <c r="AD40" s="16">
        <f>IFERROR(IF(VLOOKUP(AD$4,'Labor Market'!$A:$P,9,0)="","",VLOOKUP(AD$4,'Labor Market'!$A:$P,9,0))*100,"")</f>
        <v>0.44488205522301705</v>
      </c>
      <c r="AE40" s="16">
        <f>IFERROR(IF(VLOOKUP(AE$4,'Labor Market'!$A:$P,9,0)="","",VLOOKUP(AE$4,'Labor Market'!$A:$P,9,0))*100,"")</f>
        <v>0.20143214067973592</v>
      </c>
      <c r="AF40" s="16">
        <f>IFERROR(IF(VLOOKUP(AF$4,'Labor Market'!$A:$P,9,0)="","",VLOOKUP(AF$4,'Labor Market'!$A:$P,9,0))*100,"")</f>
        <v>0.32569986697605913</v>
      </c>
      <c r="AG40" s="16">
        <f>IFERROR(IF(VLOOKUP(AG$4,'Labor Market'!$A:$P,9,0)="","",VLOOKUP(AG$4,'Labor Market'!$A:$P,9,0))*100,"")</f>
        <v>-5.3512501114838518E-2</v>
      </c>
      <c r="AH40" s="16">
        <f>IFERROR(IF(VLOOKUP(AH$4,'Labor Market'!$A:$P,9,0)="","",VLOOKUP(AH$4,'Labor Market'!$A:$P,9,0))*100,"")</f>
        <v>-6.5439186174409691E-3</v>
      </c>
      <c r="AI40" s="16">
        <f>IFERROR(IF(VLOOKUP(AI$4,'Labor Market'!$A:$P,9,0)="","",VLOOKUP(AI$4,'Labor Market'!$A:$P,9,0))*100,"")</f>
        <v>3.6886318745366076E-2</v>
      </c>
      <c r="AJ40" s="16">
        <f>IFERROR(IF(VLOOKUP(AJ$4,'Labor Market'!$A:$P,9,0)="","",VLOOKUP(AJ$4,'Labor Market'!$A:$P,9,0))*100,"")</f>
        <v>-6.0066846668960228E-2</v>
      </c>
      <c r="AK40" s="16">
        <f>IFERROR(IF(VLOOKUP(AK$4,'Labor Market'!$A:$P,9,0)="","",VLOOKUP(AK$4,'Labor Market'!$A:$P,9,0))*100,"")</f>
        <v>0.26123954893035872</v>
      </c>
      <c r="AL40" s="16">
        <f>IFERROR(IF(VLOOKUP(AL$4,'Labor Market'!$A:$P,9,0)="","",VLOOKUP(AL$4,'Labor Market'!$A:$P,9,0))*100,"")</f>
        <v>0.42437264072552328</v>
      </c>
      <c r="AM40" s="16" t="str">
        <f>IFERROR(IF(VLOOKUP(AM$4,'Labor Market'!$A:$P,9,0)="","",VLOOKUP(AM$4,'Labor Market'!$A:$P,9,0))*100,"")</f>
        <v/>
      </c>
      <c r="AN40" s="16" t="str">
        <f>IFERROR(IF(VLOOKUP(AN$4,'Labor Market'!$A:$P,9,0)="","",VLOOKUP(AN$4,'Labor Market'!$A:$P,9,0))*100,"")</f>
        <v/>
      </c>
      <c r="AO40" s="16" t="str">
        <f>IFERROR(IF(VLOOKUP(AO$4,'Labor Market'!$A:$P,9,0)="","",VLOOKUP(AO$4,'Labor Market'!$A:$P,9,0))*100,"")</f>
        <v/>
      </c>
      <c r="AP40" s="16" t="str">
        <f>IFERROR(IF(VLOOKUP(AP$4,'Labor Market'!$A:$P,9,0)="","",VLOOKUP(AP$4,'Labor Market'!$A:$P,9,0))*100,"")</f>
        <v/>
      </c>
      <c r="AQ40" s="16" t="str">
        <f>IFERROR(IF(VLOOKUP(AQ$4,'Labor Market'!$A:$P,9,0)="","",VLOOKUP(AQ$4,'Labor Market'!$A:$P,9,0))*100,"")</f>
        <v/>
      </c>
      <c r="AR40" s="16" t="str">
        <f>IFERROR(IF(VLOOKUP(AR$4,'Labor Market'!$A:$P,9,0)="","",VLOOKUP(AR$4,'Labor Market'!$A:$P,9,0))*100,"")</f>
        <v/>
      </c>
      <c r="AS40" s="16" t="str">
        <f>IFERROR(IF(VLOOKUP(AS$4,'Labor Market'!$A:$P,9,0)="","",VLOOKUP(AS$4,'Labor Market'!$A:$P,9,0))*100,"")</f>
        <v/>
      </c>
      <c r="AT40" s="16" t="str">
        <f>IFERROR(IF(VLOOKUP(AT$4,'Labor Market'!$A:$P,9,0)="","",VLOOKUP(AT$4,'Labor Market'!$A:$P,9,0))*100,"")</f>
        <v/>
      </c>
      <c r="AU40" s="16" t="str">
        <f>IFERROR(IF(VLOOKUP(AU$4,'Labor Market'!$A:$P,9,0)="","",VLOOKUP(AU$4,'Labor Market'!$A:$P,9,0))*100,"")</f>
        <v/>
      </c>
      <c r="AV40" s="16" t="str">
        <f>IFERROR(IF(VLOOKUP(AV$4,'Labor Market'!$A:$P,9,0)="","",VLOOKUP(AV$4,'Labor Market'!$A:$P,9,0))*100,"")</f>
        <v/>
      </c>
      <c r="AW40" s="16" t="str">
        <f>IFERROR(IF(VLOOKUP(AW$4,'Labor Market'!$A:$P,9,0)="","",VLOOKUP(AW$4,'Labor Market'!$A:$P,9,0))*100,"")</f>
        <v/>
      </c>
      <c r="AX40" s="16" t="str">
        <f>IFERROR(IF(VLOOKUP(AX$4,'Labor Market'!$A:$P,9,0)="","",VLOOKUP(AX$4,'Labor Market'!$A:$P,9,0))*100,"")</f>
        <v/>
      </c>
      <c r="AY40" s="16" t="str">
        <f>IFERROR(IF(VLOOKUP(AY$4,'Labor Market'!$A:$P,9,0)="","",VLOOKUP(AY$4,'Labor Market'!$A:$P,9,0))*100,"")</f>
        <v/>
      </c>
    </row>
    <row r="41" spans="1:51" ht="19.5" customHeight="1">
      <c r="A41" s="3"/>
      <c r="B41" s="2" t="s">
        <v>99</v>
      </c>
      <c r="C41" s="47" t="s">
        <v>94</v>
      </c>
      <c r="D41" s="16">
        <f>IFERROR(IF(VLOOKUP(D$4,'Labor Market'!$A:$P,10,0)="","",VLOOKUP(D$4,'Labor Market'!$A:$P,10,0))*100,"")</f>
        <v>14.223624034064031</v>
      </c>
      <c r="E41" s="16">
        <f>IFERROR(IF(VLOOKUP(E$4,'Labor Market'!$A:$P,10,0)="","",VLOOKUP(E$4,'Labor Market'!$A:$P,10,0))*100,"")</f>
        <v>4.3152406081166106</v>
      </c>
      <c r="F41" s="16">
        <f>IFERROR(IF(VLOOKUP(F$4,'Labor Market'!$A:$P,10,0)="","",VLOOKUP(F$4,'Labor Market'!$A:$P,10,0))*100,"")</f>
        <v>30.110917859622965</v>
      </c>
      <c r="G41" s="16">
        <f>IFERROR(IF(VLOOKUP(G$4,'Labor Market'!$A:$P,10,0)="","",VLOOKUP(G$4,'Labor Market'!$A:$P,10,0))*100,"")</f>
        <v>-3.9045071641824247</v>
      </c>
      <c r="H41" s="16">
        <f>IFERROR(IF(VLOOKUP(H$4,'Labor Market'!$A:$P,10,0)="","",VLOOKUP(H$4,'Labor Market'!$A:$P,10,0))*100,"")</f>
        <v>-1.6691416344141397</v>
      </c>
      <c r="I41" s="16">
        <f>IFERROR(IF(VLOOKUP(I$4,'Labor Market'!$A:$P,10,0)="","",VLOOKUP(I$4,'Labor Market'!$A:$P,10,0))*100,"")</f>
        <v>-1.7534487819195865</v>
      </c>
      <c r="J41" s="16">
        <f>IFERROR(IF(VLOOKUP(J$4,'Labor Market'!$A:$P,10,0)="","",VLOOKUP(J$4,'Labor Market'!$A:$P,10,0))*100,"")</f>
        <v>-2.0769839238768961</v>
      </c>
      <c r="K41" s="16">
        <f>IFERROR(IF(VLOOKUP(K$4,'Labor Market'!$A:$P,10,0)="","",VLOOKUP(K$4,'Labor Market'!$A:$P,10,0))*100,"")</f>
        <v>1.6089992617604132</v>
      </c>
      <c r="L41" s="16">
        <f>IFERROR(IF(VLOOKUP(L$4,'Labor Market'!$A:$P,10,0)="","",VLOOKUP(L$4,'Labor Market'!$A:$P,10,0))*100,"")</f>
        <v>-0.2625256654965491</v>
      </c>
      <c r="M41" s="16">
        <f>IFERROR(IF(VLOOKUP(M$4,'Labor Market'!$A:$P,10,0)="","",VLOOKUP(M$4,'Labor Market'!$A:$P,10,0))*100,"")</f>
        <v>-8.7550341446329671E-2</v>
      </c>
      <c r="N41" s="16">
        <f>IFERROR(IF(VLOOKUP(N$4,'Labor Market'!$A:$P,10,0)="","",VLOOKUP(N$4,'Labor Market'!$A:$P,10,0))*100,"")</f>
        <v>0.80461385255465867</v>
      </c>
      <c r="O41" s="16">
        <f>IFERROR(IF(VLOOKUP(O$4,'Labor Market'!$A:$P,10,0)="","",VLOOKUP(O$4,'Labor Market'!$A:$P,10,0))*100,"")</f>
        <v>7.5581643413125121E-2</v>
      </c>
      <c r="P41" s="16">
        <f>IFERROR(IF(VLOOKUP(P$4,'Labor Market'!$A:$P,10,0)="","",VLOOKUP(P$4,'Labor Market'!$A:$P,10,0))*100,"")</f>
        <v>-11.191618849856134</v>
      </c>
      <c r="Q41" s="16">
        <f>IFERROR(IF(VLOOKUP(Q$4,'Labor Market'!$A:$P,10,0)="","",VLOOKUP(Q$4,'Labor Market'!$A:$P,10,0))*100,"")</f>
        <v>-3.0846316448759126</v>
      </c>
      <c r="R41" s="16">
        <f>IFERROR(IF(VLOOKUP(R$4,'Labor Market'!$A:$P,10,0)="","",VLOOKUP(R$4,'Labor Market'!$A:$P,10,0))*100,"")</f>
        <v>-21.51782828826887</v>
      </c>
      <c r="S41" s="16">
        <f>IFERROR(IF(VLOOKUP(S$4,'Labor Market'!$A:$P,10,0)="","",VLOOKUP(S$4,'Labor Market'!$A:$P,10,0))*100,"")</f>
        <v>-7.3571024335031048</v>
      </c>
      <c r="T41" s="16">
        <f>IFERROR(IF(VLOOKUP(T$4,'Labor Market'!$A:$P,10,0)="","",VLOOKUP(T$4,'Labor Market'!$A:$P,10,0))*100,"")</f>
        <v>-4.7321200302037454</v>
      </c>
      <c r="U41" s="16">
        <f>IFERROR(IF(VLOOKUP(U$4,'Labor Market'!$A:$P,10,0)="","",VLOOKUP(U$4,'Labor Market'!$A:$P,10,0))*100,"")</f>
        <v>-4.6181055549912475</v>
      </c>
      <c r="V41" s="16">
        <f>IFERROR(IF(VLOOKUP(V$4,'Labor Market'!$A:$P,10,0)="","",VLOOKUP(V$4,'Labor Market'!$A:$P,10,0))*100,"")</f>
        <v>-4.3169142497371693</v>
      </c>
      <c r="W41" s="16">
        <f>IFERROR(IF(VLOOKUP(W$4,'Labor Market'!$A:$P,10,0)="","",VLOOKUP(W$4,'Labor Market'!$A:$P,10,0))*100,"")</f>
        <v>-3.7536401912849904</v>
      </c>
      <c r="X41" s="16">
        <f>IFERROR(IF(VLOOKUP(X$4,'Labor Market'!$A:$P,10,0)="","",VLOOKUP(X$4,'Labor Market'!$A:$P,10,0))*100,"")</f>
        <v>-2.2904680547925382</v>
      </c>
      <c r="Y41" s="16">
        <f>IFERROR(IF(VLOOKUP(Y$4,'Labor Market'!$A:$P,10,0)="","",VLOOKUP(Y$4,'Labor Market'!$A:$P,10,0))*100,"")</f>
        <v>-1.9574072059658998</v>
      </c>
      <c r="Z41" s="16">
        <f>IFERROR(IF(VLOOKUP(Z$4,'Labor Market'!$A:$P,10,0)="","",VLOOKUP(Z$4,'Labor Market'!$A:$P,10,0))*100,"")</f>
        <v>-1.6375956072194775</v>
      </c>
      <c r="AA41" s="16">
        <f>IFERROR(IF(VLOOKUP(AA$4,'Labor Market'!$A:$P,10,0)="","",VLOOKUP(AA$4,'Labor Market'!$A:$P,10,0))*100,"")</f>
        <v>-0.93431190425434796</v>
      </c>
      <c r="AB41" s="16">
        <f>IFERROR(IF(VLOOKUP(AB$4,'Labor Market'!$A:$P,10,0)="","",VLOOKUP(AB$4,'Labor Market'!$A:$P,10,0))*100,"")</f>
        <v>3.24051042236706</v>
      </c>
      <c r="AC41" s="16">
        <f>IFERROR(IF(VLOOKUP(AC$4,'Labor Market'!$A:$P,10,0)="","",VLOOKUP(AC$4,'Labor Market'!$A:$P,10,0))*100,"")</f>
        <v>3.5009662766347427</v>
      </c>
      <c r="AD41" s="16">
        <f>IFERROR(IF(VLOOKUP(AD$4,'Labor Market'!$A:$P,10,0)="","",VLOOKUP(AD$4,'Labor Market'!$A:$P,10,0))*100,"")</f>
        <v>4.3804318665344066</v>
      </c>
      <c r="AE41" s="16">
        <f>IFERROR(IF(VLOOKUP(AE$4,'Labor Market'!$A:$P,10,0)="","",VLOOKUP(AE$4,'Labor Market'!$A:$P,10,0))*100,"")</f>
        <v>4.4961539900016279</v>
      </c>
      <c r="AF41" s="16">
        <f>IFERROR(IF(VLOOKUP(AF$4,'Labor Market'!$A:$P,10,0)="","",VLOOKUP(AF$4,'Labor Market'!$A:$P,10,0))*100,"")</f>
        <v>4.9634280293574307</v>
      </c>
      <c r="AG41" s="16">
        <f>IFERROR(IF(VLOOKUP(AG$4,'Labor Market'!$A:$P,10,0)="","",VLOOKUP(AG$4,'Labor Market'!$A:$P,10,0))*100,"")</f>
        <v>5.3002493203202272</v>
      </c>
      <c r="AH41" s="16">
        <f>IFERROR(IF(VLOOKUP(AH$4,'Labor Market'!$A:$P,10,0)="","",VLOOKUP(AH$4,'Labor Market'!$A:$P,10,0))*100,"")</f>
        <v>4.3397292247335573</v>
      </c>
      <c r="AI41" s="16">
        <f>IFERROR(IF(VLOOKUP(AI$4,'Labor Market'!$A:$P,10,0)="","",VLOOKUP(AI$4,'Labor Market'!$A:$P,10,0))*100,"")</f>
        <v>4.0417290581261422</v>
      </c>
      <c r="AJ41" s="16">
        <f>IFERROR(IF(VLOOKUP(AJ$4,'Labor Market'!$A:$P,10,0)="","",VLOOKUP(AJ$4,'Labor Market'!$A:$P,10,0))*100,"")</f>
        <v>3.8282596741407104</v>
      </c>
      <c r="AK41" s="16">
        <f>IFERROR(IF(VLOOKUP(AK$4,'Labor Market'!$A:$P,10,0)="","",VLOOKUP(AK$4,'Labor Market'!$A:$P,10,0))*100,"")</f>
        <v>3.851819890899022</v>
      </c>
      <c r="AL41" s="16">
        <f>IFERROR(IF(VLOOKUP(AL$4,'Labor Market'!$A:$P,10,0)="","",VLOOKUP(AL$4,'Labor Market'!$A:$P,10,0))*100,"")</f>
        <v>4.2533395770690596</v>
      </c>
      <c r="AM41" s="16" t="str">
        <f>IFERROR(IF(VLOOKUP(AM$4,'Labor Market'!$A:$P,10,0)="","",VLOOKUP(AM$4,'Labor Market'!$A:$P,10,0))*100,"")</f>
        <v/>
      </c>
      <c r="AN41" s="16" t="str">
        <f>IFERROR(IF(VLOOKUP(AN$4,'Labor Market'!$A:$P,10,0)="","",VLOOKUP(AN$4,'Labor Market'!$A:$P,10,0))*100,"")</f>
        <v/>
      </c>
      <c r="AO41" s="16" t="str">
        <f>IFERROR(IF(VLOOKUP(AO$4,'Labor Market'!$A:$P,10,0)="","",VLOOKUP(AO$4,'Labor Market'!$A:$P,10,0))*100,"")</f>
        <v/>
      </c>
      <c r="AP41" s="16" t="str">
        <f>IFERROR(IF(VLOOKUP(AP$4,'Labor Market'!$A:$P,10,0)="","",VLOOKUP(AP$4,'Labor Market'!$A:$P,10,0))*100,"")</f>
        <v/>
      </c>
      <c r="AQ41" s="16" t="str">
        <f>IFERROR(IF(VLOOKUP(AQ$4,'Labor Market'!$A:$P,10,0)="","",VLOOKUP(AQ$4,'Labor Market'!$A:$P,10,0))*100,"")</f>
        <v/>
      </c>
      <c r="AR41" s="16" t="str">
        <f>IFERROR(IF(VLOOKUP(AR$4,'Labor Market'!$A:$P,10,0)="","",VLOOKUP(AR$4,'Labor Market'!$A:$P,10,0))*100,"")</f>
        <v/>
      </c>
      <c r="AS41" s="16" t="str">
        <f>IFERROR(IF(VLOOKUP(AS$4,'Labor Market'!$A:$P,10,0)="","",VLOOKUP(AS$4,'Labor Market'!$A:$P,10,0))*100,"")</f>
        <v/>
      </c>
      <c r="AT41" s="16" t="str">
        <f>IFERROR(IF(VLOOKUP(AT$4,'Labor Market'!$A:$P,10,0)="","",VLOOKUP(AT$4,'Labor Market'!$A:$P,10,0))*100,"")</f>
        <v/>
      </c>
      <c r="AU41" s="16" t="str">
        <f>IFERROR(IF(VLOOKUP(AU$4,'Labor Market'!$A:$P,10,0)="","",VLOOKUP(AU$4,'Labor Market'!$A:$P,10,0))*100,"")</f>
        <v/>
      </c>
      <c r="AV41" s="16" t="str">
        <f>IFERROR(IF(VLOOKUP(AV$4,'Labor Market'!$A:$P,10,0)="","",VLOOKUP(AV$4,'Labor Market'!$A:$P,10,0))*100,"")</f>
        <v/>
      </c>
      <c r="AW41" s="16" t="str">
        <f>IFERROR(IF(VLOOKUP(AW$4,'Labor Market'!$A:$P,10,0)="","",VLOOKUP(AW$4,'Labor Market'!$A:$P,10,0))*100,"")</f>
        <v/>
      </c>
      <c r="AX41" s="16" t="str">
        <f>IFERROR(IF(VLOOKUP(AX$4,'Labor Market'!$A:$P,10,0)="","",VLOOKUP(AX$4,'Labor Market'!$A:$P,10,0))*100,"")</f>
        <v/>
      </c>
      <c r="AY41" s="16" t="str">
        <f>IFERROR(IF(VLOOKUP(AY$4,'Labor Market'!$A:$P,10,0)="","",VLOOKUP(AY$4,'Labor Market'!$A:$P,10,0))*100,"")</f>
        <v/>
      </c>
    </row>
    <row r="42" spans="1:51" ht="19.5" customHeight="1">
      <c r="A42" s="3"/>
      <c r="B42" s="2" t="s">
        <v>51</v>
      </c>
      <c r="C42" s="47" t="s">
        <v>42</v>
      </c>
      <c r="D42" s="16">
        <f>IFERROR(IF(VLOOKUP(D$4,'Labor Market'!$A:$P,16,0)="","",VLOOKUP(D$4,'Labor Market'!$A:$P,16,0)),"")</f>
        <v>0.70654849827671096</v>
      </c>
      <c r="E42" s="16">
        <f>IFERROR(IF(VLOOKUP(E$4,'Labor Market'!$A:$P,16,0)="","",VLOOKUP(E$4,'Labor Market'!$A:$P,16,0)),"")</f>
        <v>0.77739931877379287</v>
      </c>
      <c r="F42" s="16">
        <f>IFERROR(IF(VLOOKUP(F$4,'Labor Market'!$A:$P,16,0)="","",VLOOKUP(F$4,'Labor Market'!$A:$P,16,0)),"")</f>
        <v>0.86480642504118621</v>
      </c>
      <c r="G42" s="16">
        <f>IFERROR(IF(VLOOKUP(G$4,'Labor Market'!$A:$P,16,0)="","",VLOOKUP(G$4,'Labor Market'!$A:$P,16,0)),"")</f>
        <v>0.95388723426106603</v>
      </c>
      <c r="H42" s="16">
        <f>IFERROR(IF(VLOOKUP(H$4,'Labor Market'!$A:$P,16,0)="","",VLOOKUP(H$4,'Labor Market'!$A:$P,16,0)),"")</f>
        <v>1.0629793669655396</v>
      </c>
      <c r="I42" s="16">
        <f>IFERROR(IF(VLOOKUP(I$4,'Labor Market'!$A:$P,16,0)="","",VLOOKUP(I$4,'Labor Market'!$A:$P,16,0)),"")</f>
        <v>1.059002944888515</v>
      </c>
      <c r="J42" s="16">
        <f>IFERROR(IF(VLOOKUP(J$4,'Labor Market'!$A:$P,16,0)="","",VLOOKUP(J$4,'Labor Market'!$A:$P,16,0)),"")</f>
        <v>1.2502297794117647</v>
      </c>
      <c r="K42" s="16">
        <f>IFERROR(IF(VLOOKUP(K$4,'Labor Market'!$A:$P,16,0)="","",VLOOKUP(K$4,'Labor Market'!$A:$P,16,0)),"")</f>
        <v>1.3166746756367131</v>
      </c>
      <c r="L42" s="16">
        <f>IFERROR(IF(VLOOKUP(L$4,'Labor Market'!$A:$P,16,0)="","",VLOOKUP(L$4,'Labor Market'!$A:$P,16,0)),"")</f>
        <v>1.4174807867656636</v>
      </c>
      <c r="M42" s="16">
        <f>IFERROR(IF(VLOOKUP(M$4,'Labor Market'!$A:$P,16,0)="","",VLOOKUP(M$4,'Labor Market'!$A:$P,16,0)),"")</f>
        <v>1.547719537100068</v>
      </c>
      <c r="N42" s="16">
        <f>IFERROR(IF(VLOOKUP(N$4,'Labor Market'!$A:$P,16,0)="","",VLOOKUP(N$4,'Labor Market'!$A:$P,16,0)),"")</f>
        <v>1.656637168141593</v>
      </c>
      <c r="O42" s="16">
        <f>IFERROR(IF(VLOOKUP(O$4,'Labor Market'!$A:$P,16,0)="","",VLOOKUP(O$4,'Labor Market'!$A:$P,16,0)),"")</f>
        <v>1.8685416337494074</v>
      </c>
      <c r="P42" s="16">
        <f>IFERROR(IF(VLOOKUP(P$4,'Labor Market'!$A:$P,16,0)="","",VLOOKUP(P$4,'Labor Market'!$A:$P,16,0)),"")</f>
        <v>1.7642451236369221</v>
      </c>
      <c r="Q42" s="16">
        <f>IFERROR(IF(VLOOKUP(Q$4,'Labor Market'!$A:$P,16,0)="","",VLOOKUP(Q$4,'Labor Market'!$A:$P,16,0)),"")</f>
        <v>1.8496492346938775</v>
      </c>
      <c r="R42" s="16">
        <f>IFERROR(IF(VLOOKUP(R$4,'Labor Market'!$A:$P,16,0)="","",VLOOKUP(R$4,'Labor Market'!$A:$P,16,0)),"")</f>
        <v>2.013898191560616</v>
      </c>
      <c r="S42" s="16">
        <f>IFERROR(IF(VLOOKUP(S$4,'Labor Market'!$A:$P,16,0)="","",VLOOKUP(S$4,'Labor Market'!$A:$P,16,0)),"")</f>
        <v>1.969671581769437</v>
      </c>
      <c r="T42" s="16">
        <f>IFERROR(IF(VLOOKUP(T$4,'Labor Market'!$A:$P,16,0)="","",VLOOKUP(T$4,'Labor Market'!$A:$P,16,0)),"")</f>
        <v>1.9138651948486369</v>
      </c>
      <c r="U42" s="16">
        <f>IFERROR(IF(VLOOKUP(U$4,'Labor Market'!$A:$P,16,0)="","",VLOOKUP(U$4,'Labor Market'!$A:$P,16,0)),"")</f>
        <v>1.8437342304457527</v>
      </c>
      <c r="V42" s="16">
        <f>IFERROR(IF(VLOOKUP(V$4,'Labor Market'!$A:$P,16,0)="","",VLOOKUP(V$4,'Labor Market'!$A:$P,16,0)),"")</f>
        <v>1.9902063658621896</v>
      </c>
      <c r="W42" s="16">
        <f>IFERROR(IF(VLOOKUP(W$4,'Labor Market'!$A:$P,16,0)="","",VLOOKUP(W$4,'Labor Market'!$A:$P,16,0)),"")</f>
        <v>1.6937385816309583</v>
      </c>
      <c r="X42" s="16">
        <f>IFERROR(IF(VLOOKUP(X$4,'Labor Market'!$A:$P,16,0)="","",VLOOKUP(X$4,'Labor Market'!$A:$P,16,0)),"")</f>
        <v>1.8811091854419411</v>
      </c>
      <c r="Y42" s="16">
        <f>IFERROR(IF(VLOOKUP(Y$4,'Labor Market'!$A:$P,16,0)="","",VLOOKUP(Y$4,'Labor Market'!$A:$P,16,0)),"")</f>
        <v>1.7298860069387081</v>
      </c>
      <c r="Z42" s="16">
        <f>IFERROR(IF(VLOOKUP(Z$4,'Labor Market'!$A:$P,16,0)="","",VLOOKUP(Z$4,'Labor Market'!$A:$P,16,0)),"")</f>
        <v>1.7909999999999999</v>
      </c>
      <c r="AA42" s="16">
        <f>IFERROR(IF(VLOOKUP(AA$4,'Labor Market'!$A:$P,16,0)="","",VLOOKUP(AA$4,'Labor Market'!$A:$P,16,0)),"")</f>
        <v>1.9632995456134219</v>
      </c>
      <c r="AB42" s="16">
        <f>IFERROR(IF(VLOOKUP(AB$4,'Labor Market'!$A:$P,16,0)="","",VLOOKUP(AB$4,'Labor Market'!$A:$P,16,0)),"")</f>
        <v>1.8551106427818758</v>
      </c>
      <c r="AC42" s="16">
        <f>IFERROR(IF(VLOOKUP(AC$4,'Labor Market'!$A:$P,16,0)="","",VLOOKUP(AC$4,'Labor Market'!$A:$P,16,0)),"")</f>
        <v>1.6730121293800539</v>
      </c>
      <c r="AD42" s="16">
        <f>IFERROR(IF(VLOOKUP(AD$4,'Labor Market'!$A:$P,16,0)="","",VLOOKUP(AD$4,'Labor Market'!$A:$P,16,0)),"")</f>
        <v>1.6689501626990924</v>
      </c>
      <c r="AE42" s="16">
        <f>IFERROR(IF(VLOOKUP(AE$4,'Labor Market'!$A:$P,16,0)="","",VLOOKUP(AE$4,'Labor Market'!$A:$P,16,0)),"")</f>
        <v>1.8105263157894738</v>
      </c>
      <c r="AF42" s="16">
        <f>IFERROR(IF(VLOOKUP(AF$4,'Labor Market'!$A:$P,16,0)="","",VLOOKUP(AF$4,'Labor Market'!$A:$P,16,0)),"")</f>
        <v>1.5763934426229509</v>
      </c>
      <c r="AG42" s="16">
        <f>IFERROR(IF(VLOOKUP(AG$4,'Labor Market'!$A:$P,16,0)="","",VLOOKUP(AG$4,'Labor Market'!$A:$P,16,0)),"")</f>
        <v>1.538526103743495</v>
      </c>
      <c r="AH42" s="16">
        <f>IFERROR(IF(VLOOKUP(AH$4,'Labor Market'!$A:$P,16,0)="","",VLOOKUP(AH$4,'Labor Market'!$A:$P,16,0)),"")</f>
        <v>1.5379310344827586</v>
      </c>
      <c r="AI42" s="16">
        <f>IFERROR(IF(VLOOKUP(AI$4,'Labor Market'!$A:$P,16,0)="","",VLOOKUP(AI$4,'Labor Market'!$A:$P,16,0)),"")</f>
        <v>1.4944138473642801</v>
      </c>
      <c r="AJ42" s="16">
        <f>IFERROR(IF(VLOOKUP(AJ$4,'Labor Market'!$A:$P,16,0)="","",VLOOKUP(AJ$4,'Labor Market'!$A:$P,16,0)),"")</f>
        <v>1.4609375</v>
      </c>
      <c r="AK42" s="16">
        <f>IFERROR(IF(VLOOKUP(AK$4,'Labor Market'!$A:$P,16,0)="","",VLOOKUP(AK$4,'Labor Market'!$A:$P,16,0)),"")</f>
        <v>1.3618461538461539</v>
      </c>
      <c r="AL42" s="16">
        <f>IFERROR(IF(VLOOKUP(AL$4,'Labor Market'!$A:$P,16,0)="","",VLOOKUP(AL$4,'Labor Market'!$A:$P,16,0)),"")</f>
        <v>1.3952380952380952</v>
      </c>
      <c r="AM42" s="16">
        <f>IFERROR(IF(VLOOKUP(AM$4,'Labor Market'!$A:$P,16,0)="","",VLOOKUP(AM$4,'Labor Market'!$A:$P,16,0)),"")</f>
        <v>1.3952380952380952</v>
      </c>
      <c r="AN42" s="16" t="str">
        <f>IFERROR(IF(VLOOKUP(AN$4,'Labor Market'!$A:$P,16,0)="","",VLOOKUP(AN$4,'Labor Market'!$A:$P,16,0)),"")</f>
        <v/>
      </c>
      <c r="AO42" s="16" t="str">
        <f>IFERROR(IF(VLOOKUP(AO$4,'Labor Market'!$A:$P,16,0)="","",VLOOKUP(AO$4,'Labor Market'!$A:$P,16,0)),"")</f>
        <v/>
      </c>
      <c r="AP42" s="16" t="str">
        <f>IFERROR(IF(VLOOKUP(AP$4,'Labor Market'!$A:$P,16,0)="","",VLOOKUP(AP$4,'Labor Market'!$A:$P,16,0)),"")</f>
        <v/>
      </c>
      <c r="AQ42" s="16" t="str">
        <f>IFERROR(IF(VLOOKUP(AQ$4,'Labor Market'!$A:$P,16,0)="","",VLOOKUP(AQ$4,'Labor Market'!$A:$P,16,0)),"")</f>
        <v/>
      </c>
      <c r="AR42" s="16" t="str">
        <f>IFERROR(IF(VLOOKUP(AR$4,'Labor Market'!$A:$P,16,0)="","",VLOOKUP(AR$4,'Labor Market'!$A:$P,16,0)),"")</f>
        <v/>
      </c>
      <c r="AS42" s="16" t="str">
        <f>IFERROR(IF(VLOOKUP(AS$4,'Labor Market'!$A:$P,16,0)="","",VLOOKUP(AS$4,'Labor Market'!$A:$P,16,0)),"")</f>
        <v/>
      </c>
      <c r="AT42" s="16" t="str">
        <f>IFERROR(IF(VLOOKUP(AT$4,'Labor Market'!$A:$P,16,0)="","",VLOOKUP(AT$4,'Labor Market'!$A:$P,16,0)),"")</f>
        <v/>
      </c>
      <c r="AU42" s="16" t="str">
        <f>IFERROR(IF(VLOOKUP(AU$4,'Labor Market'!$A:$P,16,0)="","",VLOOKUP(AU$4,'Labor Market'!$A:$P,16,0)),"")</f>
        <v/>
      </c>
      <c r="AV42" s="16" t="str">
        <f>IFERROR(IF(VLOOKUP(AV$4,'Labor Market'!$A:$P,16,0)="","",VLOOKUP(AV$4,'Labor Market'!$A:$P,16,0)),"")</f>
        <v/>
      </c>
      <c r="AW42" s="16" t="str">
        <f>IFERROR(IF(VLOOKUP(AW$4,'Labor Market'!$A:$P,16,0)="","",VLOOKUP(AW$4,'Labor Market'!$A:$P,16,0)),"")</f>
        <v/>
      </c>
      <c r="AX42" s="16" t="str">
        <f>IFERROR(IF(VLOOKUP(AX$4,'Labor Market'!$A:$P,16,0)="","",VLOOKUP(AX$4,'Labor Market'!$A:$P,16,0)),"")</f>
        <v/>
      </c>
      <c r="AY42" s="16" t="str">
        <f>IFERROR(IF(VLOOKUP(AY$4,'Labor Market'!$A:$P,16,0)="","",VLOOKUP(AY$4,'Labor Market'!$A:$P,16,0)),"")</f>
        <v/>
      </c>
    </row>
    <row r="43" spans="1:51" ht="19.5" customHeight="1">
      <c r="A43" s="3"/>
      <c r="B43" s="2" t="s">
        <v>24</v>
      </c>
      <c r="C43" s="47" t="s">
        <v>0</v>
      </c>
      <c r="D43" s="16">
        <f>IF(VLOOKUP(D$4,'Labor Market'!$A:$P,5,0)="","",VLOOKUP(D$4,'Labor Market'!$A:$P,5,0))</f>
        <v>61.3</v>
      </c>
      <c r="E43" s="16">
        <f>IF(VLOOKUP(E$4,'Labor Market'!$A:$P,5,0)="","",VLOOKUP(E$4,'Labor Market'!$A:$P,5,0))</f>
        <v>61.4</v>
      </c>
      <c r="F43" s="16">
        <f>IF(VLOOKUP(F$4,'Labor Market'!$A:$P,5,0)="","",VLOOKUP(F$4,'Labor Market'!$A:$P,5,0))</f>
        <v>61.5</v>
      </c>
      <c r="G43" s="16">
        <f>IF(VLOOKUP(G$4,'Labor Market'!$A:$P,5,0)="","",VLOOKUP(G$4,'Labor Market'!$A:$P,5,0))</f>
        <v>61.6</v>
      </c>
      <c r="H43" s="16">
        <f>IF(VLOOKUP(H$4,'Labor Market'!$A:$P,5,0)="","",VLOOKUP(H$4,'Labor Market'!$A:$P,5,0))</f>
        <v>61.5</v>
      </c>
      <c r="I43" s="16">
        <f>IF(VLOOKUP(I$4,'Labor Market'!$A:$P,5,0)="","",VLOOKUP(I$4,'Labor Market'!$A:$P,5,0))</f>
        <v>61.7</v>
      </c>
      <c r="J43" s="16">
        <f>IF(VLOOKUP(J$4,'Labor Market'!$A:$P,5,0)="","",VLOOKUP(J$4,'Labor Market'!$A:$P,5,0))</f>
        <v>61.8</v>
      </c>
      <c r="K43" s="16">
        <f>IF(VLOOKUP(K$4,'Labor Market'!$A:$P,5,0)="","",VLOOKUP(K$4,'Labor Market'!$A:$P,5,0))</f>
        <v>61.7</v>
      </c>
      <c r="L43" s="16">
        <f>IF(VLOOKUP(L$4,'Labor Market'!$A:$P,5,0)="","",VLOOKUP(L$4,'Labor Market'!$A:$P,5,0))</f>
        <v>61.7</v>
      </c>
      <c r="M43" s="16">
        <f>IF(VLOOKUP(M$4,'Labor Market'!$A:$P,5,0)="","",VLOOKUP(M$4,'Labor Market'!$A:$P,5,0))</f>
        <v>61.8</v>
      </c>
      <c r="N43" s="16">
        <f>IF(VLOOKUP(N$4,'Labor Market'!$A:$P,5,0)="","",VLOOKUP(N$4,'Labor Market'!$A:$P,5,0))</f>
        <v>61.9</v>
      </c>
      <c r="O43" s="16">
        <f>IF(VLOOKUP(O$4,'Labor Market'!$A:$P,5,0)="","",VLOOKUP(O$4,'Labor Market'!$A:$P,5,0))</f>
        <v>62</v>
      </c>
      <c r="P43" s="16">
        <f>IF(VLOOKUP(P$4,'Labor Market'!$A:$P,5,0)="","",VLOOKUP(P$4,'Labor Market'!$A:$P,5,0))</f>
        <v>62.2</v>
      </c>
      <c r="Q43" s="16">
        <f>IF(VLOOKUP(Q$4,'Labor Market'!$A:$P,5,0)="","",VLOOKUP(Q$4,'Labor Market'!$A:$P,5,0))</f>
        <v>62.2</v>
      </c>
      <c r="R43" s="16">
        <f>IF(VLOOKUP(R$4,'Labor Market'!$A:$P,5,0)="","",VLOOKUP(R$4,'Labor Market'!$A:$P,5,0))</f>
        <v>62.4</v>
      </c>
      <c r="S43" s="16">
        <f>IF(VLOOKUP(S$4,'Labor Market'!$A:$P,5,0)="","",VLOOKUP(S$4,'Labor Market'!$A:$P,5,0))</f>
        <v>62.2</v>
      </c>
      <c r="T43" s="16">
        <f>IF(VLOOKUP(T$4,'Labor Market'!$A:$P,5,0)="","",VLOOKUP(T$4,'Labor Market'!$A:$P,5,0))</f>
        <v>62.3</v>
      </c>
      <c r="U43" s="16">
        <f>IF(VLOOKUP(U$4,'Labor Market'!$A:$P,5,0)="","",VLOOKUP(U$4,'Labor Market'!$A:$P,5,0))</f>
        <v>62.2</v>
      </c>
      <c r="V43" s="16">
        <f>IF(VLOOKUP(V$4,'Labor Market'!$A:$P,5,0)="","",VLOOKUP(V$4,'Labor Market'!$A:$P,5,0))</f>
        <v>62.1</v>
      </c>
      <c r="W43" s="16">
        <f>IF(VLOOKUP(W$4,'Labor Market'!$A:$P,5,0)="","",VLOOKUP(W$4,'Labor Market'!$A:$P,5,0))</f>
        <v>62.3</v>
      </c>
      <c r="X43" s="16">
        <f>IF(VLOOKUP(X$4,'Labor Market'!$A:$P,5,0)="","",VLOOKUP(X$4,'Labor Market'!$A:$P,5,0))</f>
        <v>62.3</v>
      </c>
      <c r="Y43" s="16">
        <f>IF(VLOOKUP(Y$4,'Labor Market'!$A:$P,5,0)="","",VLOOKUP(Y$4,'Labor Market'!$A:$P,5,0))</f>
        <v>62.2</v>
      </c>
      <c r="Z43" s="16">
        <f>IF(VLOOKUP(Z$4,'Labor Market'!$A:$P,5,0)="","",VLOOKUP(Z$4,'Labor Market'!$A:$P,5,0))</f>
        <v>62.2</v>
      </c>
      <c r="AA43" s="16">
        <f>IF(VLOOKUP(AA$4,'Labor Market'!$A:$P,5,0)="","",VLOOKUP(AA$4,'Labor Market'!$A:$P,5,0))</f>
        <v>62.3</v>
      </c>
      <c r="AB43" s="16">
        <f>IF(VLOOKUP(AB$4,'Labor Market'!$A:$P,5,0)="","",VLOOKUP(AB$4,'Labor Market'!$A:$P,5,0))</f>
        <v>62.4</v>
      </c>
      <c r="AC43" s="16">
        <f>IF(VLOOKUP(AC$4,'Labor Market'!$A:$P,5,0)="","",VLOOKUP(AC$4,'Labor Market'!$A:$P,5,0))</f>
        <v>62.5</v>
      </c>
      <c r="AD43" s="16">
        <f>IF(VLOOKUP(AD$4,'Labor Market'!$A:$P,5,0)="","",VLOOKUP(AD$4,'Labor Market'!$A:$P,5,0))</f>
        <v>62.6</v>
      </c>
      <c r="AE43" s="16">
        <f>IF(VLOOKUP(AE$4,'Labor Market'!$A:$P,5,0)="","",VLOOKUP(AE$4,'Labor Market'!$A:$P,5,0))</f>
        <v>62.6</v>
      </c>
      <c r="AF43" s="16">
        <f>IF(VLOOKUP(AF$4,'Labor Market'!$A:$P,5,0)="","",VLOOKUP(AF$4,'Labor Market'!$A:$P,5,0))</f>
        <v>62.6</v>
      </c>
      <c r="AG43" s="16">
        <f>IF(VLOOKUP(AG$4,'Labor Market'!$A:$P,5,0)="","",VLOOKUP(AG$4,'Labor Market'!$A:$P,5,0))</f>
        <v>62.6</v>
      </c>
      <c r="AH43" s="16">
        <f>IF(VLOOKUP(AH$4,'Labor Market'!$A:$P,5,0)="","",VLOOKUP(AH$4,'Labor Market'!$A:$P,5,0))</f>
        <v>62.6</v>
      </c>
      <c r="AI43" s="16">
        <f>IF(VLOOKUP(AI$4,'Labor Market'!$A:$P,5,0)="","",VLOOKUP(AI$4,'Labor Market'!$A:$P,5,0))</f>
        <v>62.8</v>
      </c>
      <c r="AJ43" s="16">
        <f>IF(VLOOKUP(AJ$4,'Labor Market'!$A:$P,5,0)="","",VLOOKUP(AJ$4,'Labor Market'!$A:$P,5,0))</f>
        <v>62.8</v>
      </c>
      <c r="AK43" s="16">
        <f>IF(VLOOKUP(AK$4,'Labor Market'!$A:$P,5,0)="","",VLOOKUP(AK$4,'Labor Market'!$A:$P,5,0))</f>
        <v>62.7</v>
      </c>
      <c r="AL43" s="16">
        <f>IF(VLOOKUP(AL$4,'Labor Market'!$A:$P,5,0)="","",VLOOKUP(AL$4,'Labor Market'!$A:$P,5,0))</f>
        <v>62.8</v>
      </c>
      <c r="AM43" s="16">
        <f>IF(VLOOKUP(AM$4,'Labor Market'!$A:$P,5,0)="","",VLOOKUP(AM$4,'Labor Market'!$A:$P,5,0))</f>
        <v>62.5</v>
      </c>
      <c r="AN43" s="16" t="str">
        <f>IF(VLOOKUP(AN$4,'Labor Market'!$A:$P,5,0)="","",VLOOKUP(AN$4,'Labor Market'!$A:$P,5,0))</f>
        <v/>
      </c>
      <c r="AO43" s="16" t="str">
        <f>IF(VLOOKUP(AO$4,'Labor Market'!$A:$P,5,0)="","",VLOOKUP(AO$4,'Labor Market'!$A:$P,5,0))</f>
        <v/>
      </c>
      <c r="AP43" s="16" t="str">
        <f>IF(VLOOKUP(AP$4,'Labor Market'!$A:$P,5,0)="","",VLOOKUP(AP$4,'Labor Market'!$A:$P,5,0))</f>
        <v/>
      </c>
      <c r="AQ43" s="16" t="str">
        <f>IF(VLOOKUP(AQ$4,'Labor Market'!$A:$P,5,0)="","",VLOOKUP(AQ$4,'Labor Market'!$A:$P,5,0))</f>
        <v/>
      </c>
      <c r="AR43" s="16" t="str">
        <f>IF(VLOOKUP(AR$4,'Labor Market'!$A:$P,5,0)="","",VLOOKUP(AR$4,'Labor Market'!$A:$P,5,0))</f>
        <v/>
      </c>
      <c r="AS43" s="16" t="str">
        <f>IF(VLOOKUP(AS$4,'Labor Market'!$A:$P,5,0)="","",VLOOKUP(AS$4,'Labor Market'!$A:$P,5,0))</f>
        <v/>
      </c>
      <c r="AT43" s="16" t="str">
        <f>IF(VLOOKUP(AT$4,'Labor Market'!$A:$P,5,0)="","",VLOOKUP(AT$4,'Labor Market'!$A:$P,5,0))</f>
        <v/>
      </c>
      <c r="AU43" s="16" t="str">
        <f>IF(VLOOKUP(AU$4,'Labor Market'!$A:$P,5,0)="","",VLOOKUP(AU$4,'Labor Market'!$A:$P,5,0))</f>
        <v/>
      </c>
      <c r="AV43" s="16" t="str">
        <f>IF(VLOOKUP(AV$4,'Labor Market'!$A:$P,5,0)="","",VLOOKUP(AV$4,'Labor Market'!$A:$P,5,0))</f>
        <v/>
      </c>
      <c r="AW43" s="16" t="str">
        <f>IF(VLOOKUP(AW$4,'Labor Market'!$A:$P,5,0)="","",VLOOKUP(AW$4,'Labor Market'!$A:$P,5,0))</f>
        <v/>
      </c>
      <c r="AX43" s="16" t="str">
        <f>IF(VLOOKUP(AX$4,'Labor Market'!$A:$P,5,0)="","",VLOOKUP(AX$4,'Labor Market'!$A:$P,5,0))</f>
        <v/>
      </c>
      <c r="AY43" s="16" t="str">
        <f>IF(VLOOKUP(AY$4,'Labor Market'!$A:$P,5,0)="","",VLOOKUP(AY$4,'Labor Market'!$A:$P,5,0))</f>
        <v/>
      </c>
    </row>
    <row r="44" spans="1:51" s="82" customFormat="1" ht="29.25" customHeight="1">
      <c r="A44" s="83"/>
      <c r="B44" s="42" t="s">
        <v>103</v>
      </c>
      <c r="C44" s="43"/>
      <c r="D44" s="43"/>
      <c r="E44" s="43"/>
      <c r="F44" s="43"/>
      <c r="G44" s="43"/>
      <c r="H44" s="43"/>
      <c r="I44" s="43"/>
      <c r="J44" s="43"/>
      <c r="K44" s="43"/>
      <c r="L44" s="43"/>
      <c r="M44" s="43"/>
      <c r="N44" s="43"/>
      <c r="O44" s="43"/>
      <c r="P44" s="43"/>
      <c r="Q44" s="43"/>
      <c r="R44" s="43"/>
      <c r="S44" s="43"/>
      <c r="T44" s="43"/>
      <c r="U44" s="43"/>
      <c r="V44" s="43"/>
      <c r="W44" s="43"/>
      <c r="X44" s="43"/>
      <c r="Y44" s="43"/>
      <c r="Z44" s="43"/>
      <c r="AA44" s="43"/>
      <c r="AB44" s="43"/>
      <c r="AC44" s="43"/>
      <c r="AD44" s="43"/>
      <c r="AE44" s="43"/>
      <c r="AF44" s="43"/>
      <c r="AG44" s="43"/>
      <c r="AH44" s="43"/>
      <c r="AI44" s="43"/>
      <c r="AJ44" s="43"/>
      <c r="AK44" s="43"/>
      <c r="AL44" s="43"/>
      <c r="AM44" s="44"/>
    </row>
    <row r="45" spans="1:51" ht="19.5" customHeight="1">
      <c r="A45" s="3"/>
      <c r="B45" s="2" t="s">
        <v>6</v>
      </c>
      <c r="C45" s="47"/>
      <c r="D45" s="16">
        <f>IFERROR(IF(VLOOKUP(D$4,'Monetary Policy + Market'!$A:$G,4,0)="",#N/A,VLOOKUP(D$4,'Monetary Policy + Market'!$A:$G,4,0)),"")</f>
        <v>-0.30120000000000002</v>
      </c>
      <c r="E45" s="16">
        <f>IFERROR(IF(VLOOKUP(E$4,'Monetary Policy + Market'!$A:$G,4,0)="",#N/A,VLOOKUP(E$4,'Monetary Policy + Market'!$A:$G,4,0)),"")</f>
        <v>-0.51459999999999995</v>
      </c>
      <c r="F45" s="16">
        <f>IFERROR(IF(VLOOKUP(F$4,'Monetary Policy + Market'!$A:$G,4,0)="",#N/A,VLOOKUP(F$4,'Monetary Policy + Market'!$A:$G,4,0)),"")</f>
        <v>-0.68420000000000003</v>
      </c>
      <c r="G45" s="16">
        <f>IFERROR(IF(VLOOKUP(G$4,'Monetary Policy + Market'!$A:$G,4,0)="",#N/A,VLOOKUP(G$4,'Monetary Policy + Market'!$A:$G,4,0)),"")</f>
        <v>-0.86470000000000002</v>
      </c>
      <c r="H45" s="16">
        <f>IFERROR(IF(VLOOKUP(H$4,'Monetary Policy + Market'!$A:$G,4,0)="",#N/A,VLOOKUP(H$4,'Monetary Policy + Market'!$A:$G,4,0)),"")</f>
        <v>-0.85909999999999997</v>
      </c>
      <c r="I45" s="16">
        <f>IFERROR(IF(VLOOKUP(I$4,'Monetary Policy + Market'!$A:$G,4,0)="",#N/A,VLOOKUP(I$4,'Monetary Policy + Market'!$A:$G,4,0)),"")</f>
        <v>-0.86040000000000005</v>
      </c>
      <c r="J45" s="16">
        <f>IFERROR(IF(VLOOKUP(J$4,'Monetary Policy + Market'!$A:$G,4,0)="",#N/A,VLOOKUP(J$4,'Monetary Policy + Market'!$A:$G,4,0)),"")</f>
        <v>-0.81689999999999996</v>
      </c>
      <c r="K45" s="16">
        <f>IFERROR(IF(VLOOKUP(K$4,'Monetary Policy + Market'!$A:$G,4,0)="",#N/A,VLOOKUP(K$4,'Monetary Policy + Market'!$A:$G,4,0)),"")</f>
        <v>-0.80549999999999999</v>
      </c>
      <c r="L45" s="16">
        <f>IFERROR(IF(VLOOKUP(L$4,'Monetary Policy + Market'!$A:$G,4,0)="",#N/A,VLOOKUP(L$4,'Monetary Policy + Market'!$A:$G,4,0)),"")</f>
        <v>-0.5867</v>
      </c>
      <c r="M45" s="16">
        <f>IFERROR(IF(VLOOKUP(M$4,'Monetary Policy + Market'!$A:$G,4,0)="",#N/A,VLOOKUP(M$4,'Monetary Policy + Market'!$A:$G,4,0)),"")</f>
        <v>-0.83809999999999996</v>
      </c>
      <c r="N45" s="16">
        <f>IFERROR(IF(VLOOKUP(N$4,'Monetary Policy + Market'!$A:$G,4,0)="",#N/A,VLOOKUP(N$4,'Monetary Policy + Market'!$A:$G,4,0)),"")</f>
        <v>-0.53010000000000002</v>
      </c>
      <c r="O45" s="16">
        <f>IFERROR(IF(VLOOKUP(O$4,'Monetary Policy + Market'!$A:$G,4,0)="",#N/A,VLOOKUP(O$4,'Monetary Policy + Market'!$A:$G,4,0)),"")</f>
        <v>-0.81369999999999998</v>
      </c>
      <c r="P45" s="16">
        <f>IFERROR(IF(VLOOKUP(P$4,'Monetary Policy + Market'!$A:$G,4,0)="",#N/A,VLOOKUP(P$4,'Monetary Policy + Market'!$A:$G,4,0)),"")</f>
        <v>-0.26550000000000001</v>
      </c>
      <c r="Q45" s="16">
        <f>IFERROR(IF(VLOOKUP(Q$4,'Monetary Policy + Market'!$A:$G,4,0)="",#N/A,VLOOKUP(Q$4,'Monetary Policy + Market'!$A:$G,4,0)),"")</f>
        <v>-0.06</v>
      </c>
      <c r="R45" s="16">
        <f>IFERROR(IF(VLOOKUP(R$4,'Monetary Policy + Market'!$A:$G,4,0)="",#N/A,VLOOKUP(R$4,'Monetary Policy + Market'!$A:$G,4,0)),"")</f>
        <v>-0.69010000000000005</v>
      </c>
      <c r="S45" s="16">
        <f>IFERROR(IF(VLOOKUP(S$4,'Monetary Policy + Market'!$A:$G,4,0)="",#N/A,VLOOKUP(S$4,'Monetary Policy + Market'!$A:$G,4,0)),"")</f>
        <v>0.1129</v>
      </c>
      <c r="T45" s="16">
        <f>IFERROR(IF(VLOOKUP(T$4,'Monetary Policy + Market'!$A:$G,4,0)="",#N/A,VLOOKUP(T$4,'Monetary Policy + Market'!$A:$G,4,0)),"")</f>
        <v>0.29270000000000002</v>
      </c>
      <c r="U45" s="16">
        <f>IFERROR(IF(VLOOKUP(U$4,'Monetary Policy + Market'!$A:$G,4,0)="",#N/A,VLOOKUP(U$4,'Monetary Policy + Market'!$A:$G,4,0)),"")</f>
        <v>0.29299999999999998</v>
      </c>
      <c r="V45" s="16">
        <f>IFERROR(IF(VLOOKUP(V$4,'Monetary Policy + Market'!$A:$G,4,0)="",#N/A,VLOOKUP(V$4,'Monetary Policy + Market'!$A:$G,4,0)),"")</f>
        <v>-0.21179999999999999</v>
      </c>
      <c r="W45" s="16">
        <f>IFERROR(IF(VLOOKUP(W$4,'Monetary Policy + Market'!$A:$G,4,0)="",#N/A,VLOOKUP(W$4,'Monetary Policy + Market'!$A:$G,4,0)),"")</f>
        <v>-0.31669999999999998</v>
      </c>
      <c r="X45" s="16">
        <f>IFERROR(IF(VLOOKUP(X$4,'Monetary Policy + Market'!$A:$G,4,0)="",#N/A,VLOOKUP(X$4,'Monetary Policy + Market'!$A:$G,4,0)),"")</f>
        <v>0.38919999999999999</v>
      </c>
      <c r="Y45" s="16">
        <f>IFERROR(IF(VLOOKUP(Y$4,'Monetary Policy + Market'!$A:$G,4,0)="",#N/A,VLOOKUP(Y$4,'Monetary Policy + Market'!$A:$G,4,0)),"")</f>
        <v>-0.34389999999999998</v>
      </c>
      <c r="Z45" s="16">
        <f>IFERROR(IF(VLOOKUP(Z$4,'Monetary Policy + Market'!$A:$G,4,0)="",#N/A,VLOOKUP(Z$4,'Monetary Policy + Market'!$A:$G,4,0)),"")</f>
        <v>-0.26069999999999999</v>
      </c>
      <c r="AA45" s="16">
        <f>IFERROR(IF(VLOOKUP(AA$4,'Monetary Policy + Market'!$A:$G,4,0)="",#N/A,VLOOKUP(AA$4,'Monetary Policy + Market'!$A:$G,4,0)),"")</f>
        <v>-8.6699999999999999E-2</v>
      </c>
      <c r="AB45" s="16">
        <f>IFERROR(IF(VLOOKUP(AB$4,'Monetary Policy + Market'!$A:$G,4,0)="",#N/A,VLOOKUP(AB$4,'Monetary Policy + Market'!$A:$G,4,0)),"")</f>
        <v>-0.5282</v>
      </c>
      <c r="AC45" s="16">
        <f>IFERROR(IF(VLOOKUP(AC$4,'Monetary Policy + Market'!$A:$G,4,0)="",#N/A,VLOOKUP(AC$4,'Monetary Policy + Market'!$A:$G,4,0)),"")</f>
        <v>-0.27060000000000001</v>
      </c>
      <c r="AD45" s="16">
        <f>IFERROR(IF(VLOOKUP(AD$4,'Monetary Policy + Market'!$A:$G,4,0)="",#N/A,VLOOKUP(AD$4,'Monetary Policy + Market'!$A:$G,4,0)),"")</f>
        <v>-0.31780000000000003</v>
      </c>
      <c r="AE45" s="16">
        <f>IFERROR(IF(VLOOKUP(AE$4,'Monetary Policy + Market'!$A:$G,4,0)="",#N/A,VLOOKUP(AE$4,'Monetary Policy + Market'!$A:$G,4,0)),"")</f>
        <v>-0.29249999999999998</v>
      </c>
      <c r="AF45" s="16">
        <f>IFERROR(IF(VLOOKUP(AF$4,'Monetary Policy + Market'!$A:$G,4,0)="",#N/A,VLOOKUP(AF$4,'Monetary Policy + Market'!$A:$G,4,0)),"")</f>
        <v>-0.37190000000000001</v>
      </c>
      <c r="AG45" s="16">
        <f>IFERROR(IF(VLOOKUP(AG$4,'Monetary Policy + Market'!$A:$G,4,0)="",#N/A,VLOOKUP(AG$4,'Monetary Policy + Market'!$A:$G,4,0)),"")</f>
        <v>-0.70930000000000004</v>
      </c>
      <c r="AH45" s="16">
        <f>IFERROR(IF(VLOOKUP(AH$4,'Monetary Policy + Market'!$A:$G,4,0)="",#N/A,VLOOKUP(AH$4,'Monetary Policy + Market'!$A:$G,4,0)),"")</f>
        <v>-0.78720000000000001</v>
      </c>
      <c r="AI45" s="16">
        <f>IFERROR(IF(VLOOKUP(AI$4,'Monetary Policy + Market'!$A:$G,4,0)="",#N/A,VLOOKUP(AI$4,'Monetary Policy + Market'!$A:$G,4,0)),"")</f>
        <v>-0.71189999999999998</v>
      </c>
      <c r="AJ45" s="16">
        <f>IFERROR(IF(VLOOKUP(AJ$4,'Monetary Policy + Market'!$A:$G,4,0)="",#N/A,VLOOKUP(AJ$4,'Monetary Policy + Market'!$A:$G,4,0)),"")</f>
        <v>-0.54400000000000004</v>
      </c>
      <c r="AK45" s="16">
        <f>IFERROR(IF(VLOOKUP(AK$4,'Monetary Policy + Market'!$A:$G,4,0)="",#N/A,VLOOKUP(AK$4,'Monetary Policy + Market'!$A:$G,4,0)),"")</f>
        <v>-0.3599</v>
      </c>
      <c r="AL45" s="16">
        <f>IFERROR(IF(VLOOKUP(AL$4,'Monetary Policy + Market'!$A:$G,4,0)="",#N/A,VLOOKUP(AL$4,'Monetary Policy + Market'!$A:$G,4,0)),"")</f>
        <v>-0.71640000000000004</v>
      </c>
      <c r="AM45" s="16">
        <f>IFERROR(IF(VLOOKUP(AM$4,'Monetary Policy + Market'!$A:$G,4,0)="",#N/A,VLOOKUP(AM$4,'Monetary Policy + Market'!$A:$G,4,0)),"")</f>
        <v>-0.35730000000000001</v>
      </c>
      <c r="AN45" s="16" t="str">
        <f>IFERROR(IF(VLOOKUP(AN$4,'Monetary Policy + Market'!$A:$G,4,0)="",#N/A,VLOOKUP(AN$4,'Monetary Policy + Market'!$A:$G,4,0)),"")</f>
        <v/>
      </c>
      <c r="AO45" s="16" t="str">
        <f>IFERROR(IF(VLOOKUP(AO$4,'Monetary Policy + Market'!$A:$G,4,0)="",#N/A,VLOOKUP(AO$4,'Monetary Policy + Market'!$A:$G,4,0)),"")</f>
        <v/>
      </c>
      <c r="AP45" s="16" t="str">
        <f>IFERROR(IF(VLOOKUP(AP$4,'Monetary Policy + Market'!$A:$G,4,0)="",#N/A,VLOOKUP(AP$4,'Monetary Policy + Market'!$A:$G,4,0)),"")</f>
        <v/>
      </c>
      <c r="AQ45" s="16" t="str">
        <f>IFERROR(IF(VLOOKUP(AQ$4,'Monetary Policy + Market'!$A:$G,4,0)="",#N/A,VLOOKUP(AQ$4,'Monetary Policy + Market'!$A:$G,4,0)),"")</f>
        <v/>
      </c>
      <c r="AR45" s="16" t="str">
        <f>IFERROR(IF(VLOOKUP(AR$4,'Monetary Policy + Market'!$A:$G,4,0)="",#N/A,VLOOKUP(AR$4,'Monetary Policy + Market'!$A:$G,4,0)),"")</f>
        <v/>
      </c>
      <c r="AS45" s="16" t="str">
        <f>IFERROR(IF(VLOOKUP(AS$4,'Monetary Policy + Market'!$A:$G,4,0)="",#N/A,VLOOKUP(AS$4,'Monetary Policy + Market'!$A:$G,4,0)),"")</f>
        <v/>
      </c>
      <c r="AT45" s="16" t="str">
        <f>IFERROR(IF(VLOOKUP(AT$4,'Monetary Policy + Market'!$A:$G,4,0)="",#N/A,VLOOKUP(AT$4,'Monetary Policy + Market'!$A:$G,4,0)),"")</f>
        <v/>
      </c>
      <c r="AU45" s="16" t="str">
        <f>IFERROR(IF(VLOOKUP(AU$4,'Monetary Policy + Market'!$A:$G,4,0)="",#N/A,VLOOKUP(AU$4,'Monetary Policy + Market'!$A:$G,4,0)),"")</f>
        <v/>
      </c>
      <c r="AV45" s="16" t="str">
        <f>IFERROR(IF(VLOOKUP(AV$4,'Monetary Policy + Market'!$A:$G,4,0)="",#N/A,VLOOKUP(AV$4,'Monetary Policy + Market'!$A:$G,4,0)),"")</f>
        <v/>
      </c>
      <c r="AW45" s="16" t="str">
        <f>IFERROR(IF(VLOOKUP(AW$4,'Monetary Policy + Market'!$A:$G,4,0)="",#N/A,VLOOKUP(AW$4,'Monetary Policy + Market'!$A:$G,4,0)),"")</f>
        <v/>
      </c>
      <c r="AX45" s="16" t="str">
        <f>IFERROR(IF(VLOOKUP(AX$4,'Monetary Policy + Market'!$A:$G,4,0)="",#N/A,VLOOKUP(AX$4,'Monetary Policy + Market'!$A:$G,4,0)),"")</f>
        <v/>
      </c>
      <c r="AY45" s="16" t="str">
        <f>IFERROR(IF(VLOOKUP(AY$4,'Monetary Policy + Market'!$A:$G,4,0)="",#N/A,VLOOKUP(AY$4,'Monetary Policy + Market'!$A:$G,4,0)),"")</f>
        <v/>
      </c>
    </row>
    <row r="46" spans="1:51" ht="19.5" customHeight="1">
      <c r="A46" s="3"/>
      <c r="B46" s="2" t="s">
        <v>144</v>
      </c>
      <c r="C46" s="47" t="s">
        <v>95</v>
      </c>
      <c r="D46" s="16">
        <f>IFERROR(IF(VLOOKUP(D$4,Inflation!$A:$AH,3,0)*100="","",VLOOKUP(D$4,Inflation!$A:$AH,3,0)*100),"")</f>
        <v>0.23470147117750084</v>
      </c>
      <c r="E46" s="16">
        <f>IFERROR(IF(VLOOKUP(E$4,Inflation!$A:$AH,3,0)*100="","",VLOOKUP(E$4,Inflation!$A:$AH,3,0)*100),"")</f>
        <v>0.37616600038072878</v>
      </c>
      <c r="F46" s="16">
        <f>IFERROR(IF(VLOOKUP(F$4,Inflation!$A:$AH,3,0)*100="","",VLOOKUP(F$4,Inflation!$A:$AH,3,0)*100),"")</f>
        <v>0.48399699588070888</v>
      </c>
      <c r="G46" s="16">
        <f>IFERROR(IF(VLOOKUP(G$4,Inflation!$A:$AH,3,0)*100="","",VLOOKUP(G$4,Inflation!$A:$AH,3,0)*100),"")</f>
        <v>0.6628566251689394</v>
      </c>
      <c r="H46" s="16">
        <f>IFERROR(IF(VLOOKUP(H$4,Inflation!$A:$AH,3,0)*100="","",VLOOKUP(H$4,Inflation!$A:$AH,3,0)*100),"")</f>
        <v>0.66524168447894549</v>
      </c>
      <c r="I46" s="16">
        <f>IFERROR(IF(VLOOKUP(I$4,Inflation!$A:$AH,3,0)*100="","",VLOOKUP(I$4,Inflation!$A:$AH,3,0)*100),"")</f>
        <v>0.78787382098315373</v>
      </c>
      <c r="J46" s="16">
        <f>IFERROR(IF(VLOOKUP(J$4,Inflation!$A:$AH,3,0)*100="","",VLOOKUP(J$4,Inflation!$A:$AH,3,0)*100),"")</f>
        <v>0.44537420673493866</v>
      </c>
      <c r="K46" s="16">
        <f>IFERROR(IF(VLOOKUP(K$4,Inflation!$A:$AH,3,0)*100="","",VLOOKUP(K$4,Inflation!$A:$AH,3,0)*100),"")</f>
        <v>0.40697075403659522</v>
      </c>
      <c r="L46" s="16">
        <f>IFERROR(IF(VLOOKUP(L$4,Inflation!$A:$AH,3,0)*100="","",VLOOKUP(L$4,Inflation!$A:$AH,3,0)*100),"")</f>
        <v>0.42437790889435778</v>
      </c>
      <c r="M46" s="16">
        <f>IFERROR(IF(VLOOKUP(M$4,Inflation!$A:$AH,3,0)*100="","",VLOOKUP(M$4,Inflation!$A:$AH,3,0)*100),"")</f>
        <v>0.91012597252835281</v>
      </c>
      <c r="N46" s="16">
        <f>IFERROR(IF(VLOOKUP(N$4,Inflation!$A:$AH,3,0)*100="","",VLOOKUP(N$4,Inflation!$A:$AH,3,0)*100),"")</f>
        <v>0.79161875004520876</v>
      </c>
      <c r="O46" s="16">
        <f>IFERROR(IF(VLOOKUP(O$4,Inflation!$A:$AH,3,0)*100="","",VLOOKUP(O$4,Inflation!$A:$AH,3,0)*100),"")</f>
        <v>0.78073703585432863</v>
      </c>
      <c r="P46" s="16">
        <f>IFERROR(IF(VLOOKUP(P$4,Inflation!$A:$AH,3,0)*100="","",VLOOKUP(P$4,Inflation!$A:$AH,3,0)*100),"")</f>
        <v>0.60949776956569224</v>
      </c>
      <c r="Q46" s="16">
        <f>IFERROR(IF(VLOOKUP(Q$4,Inflation!$A:$AH,3,0)*100="","",VLOOKUP(Q$4,Inflation!$A:$AH,3,0)*100),"")</f>
        <v>0.71160902904823242</v>
      </c>
      <c r="R46" s="16">
        <f>IFERROR(IF(VLOOKUP(R$4,Inflation!$A:$AH,3,0)*100="","",VLOOKUP(R$4,Inflation!$A:$AH,3,0)*100),"")</f>
        <v>1.0055865921787532</v>
      </c>
      <c r="S46" s="16">
        <f>IFERROR(IF(VLOOKUP(S$4,Inflation!$A:$AH,3,0)*100="","",VLOOKUP(S$4,Inflation!$A:$AH,3,0)*100),"")</f>
        <v>0.39621250069572511</v>
      </c>
      <c r="T46" s="16">
        <f>IFERROR(IF(VLOOKUP(T$4,Inflation!$A:$AH,3,0)*100="","",VLOOKUP(T$4,Inflation!$A:$AH,3,0)*100),"")</f>
        <v>0.92061633132485277</v>
      </c>
      <c r="U46" s="16">
        <f>IFERROR(IF(VLOOKUP(U$4,Inflation!$A:$AH,3,0)*100="","",VLOOKUP(U$4,Inflation!$A:$AH,3,0)*100),"")</f>
        <v>1.1879094167570825</v>
      </c>
      <c r="V46" s="16">
        <f>IFERROR(IF(VLOOKUP(V$4,Inflation!$A:$AH,3,0)*100="","",VLOOKUP(V$4,Inflation!$A:$AH,3,0)*100),"")</f>
        <v>-3.3929589316261666E-2</v>
      </c>
      <c r="W46" s="16">
        <f>IFERROR(IF(VLOOKUP(W$4,Inflation!$A:$AH,3,0)*100="","",VLOOKUP(W$4,Inflation!$A:$AH,3,0)*100),"")</f>
        <v>0.2348724493259402</v>
      </c>
      <c r="X46" s="16">
        <f>IFERROR(IF(VLOOKUP(X$4,Inflation!$A:$AH,3,0)*100="","",VLOOKUP(X$4,Inflation!$A:$AH,3,0)*100),"")</f>
        <v>0.41277258566978503</v>
      </c>
      <c r="Y46" s="16">
        <f>IFERROR(IF(VLOOKUP(Y$4,Inflation!$A:$AH,3,0)*100="","",VLOOKUP(Y$4,Inflation!$A:$AH,3,0)*100),"")</f>
        <v>0.48830002124511385</v>
      </c>
      <c r="Z46" s="16">
        <f>IFERROR(IF(VLOOKUP(Z$4,Inflation!$A:$AH,3,0)*100="","",VLOOKUP(Z$4,Inflation!$A:$AH,3,0)*100),"")</f>
        <v>0.20504250185411355</v>
      </c>
      <c r="AA46" s="16">
        <f>IFERROR(IF(VLOOKUP(AA$4,Inflation!$A:$AH,3,0)*100="","",VLOOKUP(AA$4,Inflation!$A:$AH,3,0)*100),"")</f>
        <v>0.13128018272057229</v>
      </c>
      <c r="AB46" s="16">
        <f>IFERROR(IF(VLOOKUP(AB$4,Inflation!$A:$AH,3,0)*100="","",VLOOKUP(AB$4,Inflation!$A:$AH,3,0)*100),"")</f>
        <v>0.51707414963710896</v>
      </c>
      <c r="AC46" s="16">
        <f>IFERROR(IF(VLOOKUP(AC$4,Inflation!$A:$AH,3,0)*100="","",VLOOKUP(AC$4,Inflation!$A:$AH,3,0)*100),"")</f>
        <v>0.3700055900125232</v>
      </c>
      <c r="AD46" s="16">
        <f>IFERROR(IF(VLOOKUP(AD$4,Inflation!$A:$AH,3,0)*100="","",VLOOKUP(AD$4,Inflation!$A:$AH,3,0)*100),"")</f>
        <v>5.3041956187338535E-2</v>
      </c>
      <c r="AE46" s="16">
        <f>IFERROR(IF(VLOOKUP(AE$4,Inflation!$A:$AH,3,0)*100="","",VLOOKUP(AE$4,Inflation!$A:$AH,3,0)*100),"")</f>
        <v>0.36778349149129141</v>
      </c>
      <c r="AF46" s="16">
        <f>IFERROR(IF(VLOOKUP(AF$4,Inflation!$A:$AH,3,0)*100="","",VLOOKUP(AF$4,Inflation!$A:$AH,3,0)*100),"")</f>
        <v>0.12412600109599214</v>
      </c>
      <c r="AG46" s="16">
        <f>IFERROR(IF(VLOOKUP(AG$4,Inflation!$A:$AH,3,0)*100="","",VLOOKUP(AG$4,Inflation!$A:$AH,3,0)*100),"")</f>
        <v>0.18035305676999958</v>
      </c>
      <c r="AH46" s="16">
        <f>IFERROR(IF(VLOOKUP(AH$4,Inflation!$A:$AH,3,0)*100="","",VLOOKUP(AH$4,Inflation!$A:$AH,3,0)*100),"")</f>
        <v>0.16686358983810656</v>
      </c>
      <c r="AI46" s="16">
        <f>IFERROR(IF(VLOOKUP(AI$4,Inflation!$A:$AH,3,0)*100="","",VLOOKUP(AI$4,Inflation!$A:$AH,3,0)*100),"")</f>
        <v>0.63118535360837669</v>
      </c>
      <c r="AJ46" s="16">
        <f>IFERROR(IF(VLOOKUP(AJ$4,Inflation!$A:$AH,3,0)*100="","",VLOOKUP(AJ$4,Inflation!$A:$AH,3,0)*100),"")</f>
        <v>0.39573055059440865</v>
      </c>
      <c r="AK46" s="16">
        <f>IFERROR(IF(VLOOKUP(AK$4,Inflation!$A:$AH,3,0)*100="","",VLOOKUP(AK$4,Inflation!$A:$AH,3,0)*100),"")</f>
        <v>4.4880821904458301E-2</v>
      </c>
      <c r="AL46" s="16">
        <f>IFERROR(IF(VLOOKUP(AL$4,Inflation!$A:$AH,3,0)*100="","",VLOOKUP(AL$4,Inflation!$A:$AH,3,0)*100),"")</f>
        <v>9.687308001129491E-2</v>
      </c>
      <c r="AM46" s="16">
        <f>IFERROR(IF(VLOOKUP(AM$4,Inflation!$A:$AH,3,0)*100="","",VLOOKUP(AM$4,Inflation!$A:$AH,3,0)*100),"")</f>
        <v>0.30300373152507554</v>
      </c>
      <c r="AN46" s="16" t="str">
        <f>IFERROR(IF(VLOOKUP(AN$4,Inflation!$A:$AH,3,0)*100="","",VLOOKUP(AN$4,Inflation!$A:$AH,3,0)*100),"")</f>
        <v/>
      </c>
      <c r="AO46" s="16" t="str">
        <f>IFERROR(IF(VLOOKUP(AO$4,Inflation!$A:$AH,3,0)*100="","",VLOOKUP(AO$4,Inflation!$A:$AH,3,0)*100),"")</f>
        <v/>
      </c>
      <c r="AP46" s="16" t="str">
        <f>IFERROR(IF(VLOOKUP(AP$4,Inflation!$A:$AH,3,0)*100="","",VLOOKUP(AP$4,Inflation!$A:$AH,3,0)*100),"")</f>
        <v/>
      </c>
      <c r="AQ46" s="16" t="str">
        <f>IFERROR(IF(VLOOKUP(AQ$4,Inflation!$A:$AH,3,0)*100="","",VLOOKUP(AQ$4,Inflation!$A:$AH,3,0)*100),"")</f>
        <v/>
      </c>
      <c r="AR46" s="16" t="str">
        <f>IFERROR(IF(VLOOKUP(AR$4,Inflation!$A:$AH,3,0)*100="","",VLOOKUP(AR$4,Inflation!$A:$AH,3,0)*100),"")</f>
        <v/>
      </c>
      <c r="AS46" s="16" t="str">
        <f>IFERROR(IF(VLOOKUP(AS$4,Inflation!$A:$AH,3,0)*100="","",VLOOKUP(AS$4,Inflation!$A:$AH,3,0)*100),"")</f>
        <v/>
      </c>
      <c r="AT46" s="16" t="str">
        <f>IFERROR(IF(VLOOKUP(AT$4,Inflation!$A:$AH,3,0)*100="","",VLOOKUP(AT$4,Inflation!$A:$AH,3,0)*100),"")</f>
        <v/>
      </c>
      <c r="AU46" s="16" t="str">
        <f>IFERROR(IF(VLOOKUP(AU$4,Inflation!$A:$AH,3,0)*100="","",VLOOKUP(AU$4,Inflation!$A:$AH,3,0)*100),"")</f>
        <v/>
      </c>
      <c r="AV46" s="16" t="str">
        <f>IFERROR(IF(VLOOKUP(AV$4,Inflation!$A:$AH,3,0)*100="","",VLOOKUP(AV$4,Inflation!$A:$AH,3,0)*100),"")</f>
        <v/>
      </c>
      <c r="AW46" s="16" t="str">
        <f>IFERROR(IF(VLOOKUP(AW$4,Inflation!$A:$AH,3,0)*100="","",VLOOKUP(AW$4,Inflation!$A:$AH,3,0)*100),"")</f>
        <v/>
      </c>
      <c r="AX46" s="16" t="str">
        <f>IFERROR(IF(VLOOKUP(AX$4,Inflation!$A:$AH,3,0)*100="","",VLOOKUP(AX$4,Inflation!$A:$AH,3,0)*100),"")</f>
        <v/>
      </c>
      <c r="AY46" s="16" t="str">
        <f>IFERROR(IF(VLOOKUP(AY$4,Inflation!$A:$AH,3,0)*100="","",VLOOKUP(AY$4,Inflation!$A:$AH,3,0)*100),"")</f>
        <v/>
      </c>
    </row>
    <row r="47" spans="1:51" ht="19.5" customHeight="1">
      <c r="A47" s="3"/>
      <c r="B47" s="2" t="s">
        <v>147</v>
      </c>
      <c r="C47" s="47" t="s">
        <v>95</v>
      </c>
      <c r="D47" s="16">
        <f>IFERROR(IF(VLOOKUP(D$4,Inflation!$A:$AH,6,0)*100="","",VLOOKUP(D$4,Inflation!$A:$AH,6,0)*100),"")</f>
        <v>4.2920519338274232E-2</v>
      </c>
      <c r="E47" s="16">
        <f>IFERROR(IF(VLOOKUP(E$4,Inflation!$A:$AH,6,0)*100="","",VLOOKUP(E$4,Inflation!$A:$AH,6,0)*100),"")</f>
        <v>0.12722693364597415</v>
      </c>
      <c r="F47" s="16">
        <f>IFERROR(IF(VLOOKUP(F$4,Inflation!$A:$AH,6,0)*100="","",VLOOKUP(F$4,Inflation!$A:$AH,6,0)*100),"")</f>
        <v>0.29513125768765303</v>
      </c>
      <c r="G47" s="16">
        <f>IFERROR(IF(VLOOKUP(G$4,Inflation!$A:$AH,6,0)*100="","",VLOOKUP(G$4,Inflation!$A:$AH,6,0)*100),"")</f>
        <v>0.76935542084366482</v>
      </c>
      <c r="H47" s="16">
        <f>IFERROR(IF(VLOOKUP(H$4,Inflation!$A:$AH,6,0)*100="","",VLOOKUP(H$4,Inflation!$A:$AH,6,0)*100),"")</f>
        <v>0.74520768232735346</v>
      </c>
      <c r="I47" s="16">
        <f>IFERROR(IF(VLOOKUP(I$4,Inflation!$A:$AH,6,0)*100="","",VLOOKUP(I$4,Inflation!$A:$AH,6,0)*100),"")</f>
        <v>0.73352826369288415</v>
      </c>
      <c r="J47" s="16">
        <f>IFERROR(IF(VLOOKUP(J$4,Inflation!$A:$AH,6,0)*100="","",VLOOKUP(J$4,Inflation!$A:$AH,6,0)*100),"")</f>
        <v>0.30467163168585998</v>
      </c>
      <c r="K47" s="16">
        <f>IFERROR(IF(VLOOKUP(K$4,Inflation!$A:$AH,6,0)*100="","",VLOOKUP(K$4,Inflation!$A:$AH,6,0)*100),"")</f>
        <v>0.19208536489039307</v>
      </c>
      <c r="L47" s="16">
        <f>IFERROR(IF(VLOOKUP(L$4,Inflation!$A:$AH,6,0)*100="","",VLOOKUP(L$4,Inflation!$A:$AH,6,0)*100),"")</f>
        <v>0.25012811002769197</v>
      </c>
      <c r="M47" s="16">
        <f>IFERROR(IF(VLOOKUP(M$4,Inflation!$A:$AH,6,0)*100="","",VLOOKUP(M$4,Inflation!$A:$AH,6,0)*100),"")</f>
        <v>0.65521617129273846</v>
      </c>
      <c r="N47" s="16">
        <f>IFERROR(IF(VLOOKUP(N$4,Inflation!$A:$AH,6,0)*100="","",VLOOKUP(N$4,Inflation!$A:$AH,6,0)*100),"")</f>
        <v>0.62218560450018057</v>
      </c>
      <c r="O47" s="16">
        <f>IFERROR(IF(VLOOKUP(O$4,Inflation!$A:$AH,6,0)*100="","",VLOOKUP(O$4,Inflation!$A:$AH,6,0)*100),"")</f>
        <v>0.65398461212677894</v>
      </c>
      <c r="P47" s="16">
        <f>IFERROR(IF(VLOOKUP(P$4,Inflation!$A:$AH,6,0)*100="","",VLOOKUP(P$4,Inflation!$A:$AH,6,0)*100),"")</f>
        <v>0.56067294779325039</v>
      </c>
      <c r="Q47" s="16">
        <f>IFERROR(IF(VLOOKUP(Q$4,Inflation!$A:$AH,6,0)*100="","",VLOOKUP(Q$4,Inflation!$A:$AH,6,0)*100),"")</f>
        <v>0.47246785126502377</v>
      </c>
      <c r="R47" s="16">
        <f>IFERROR(IF(VLOOKUP(R$4,Inflation!$A:$AH,6,0)*100="","",VLOOKUP(R$4,Inflation!$A:$AH,6,0)*100),"")</f>
        <v>0.31199353107962402</v>
      </c>
      <c r="S47" s="16">
        <f>IFERROR(IF(VLOOKUP(S$4,Inflation!$A:$AH,6,0)*100="","",VLOOKUP(S$4,Inflation!$A:$AH,6,0)*100),"")</f>
        <v>0.47189720667299984</v>
      </c>
      <c r="T47" s="16">
        <f>IFERROR(IF(VLOOKUP(T$4,Inflation!$A:$AH,6,0)*100="","",VLOOKUP(T$4,Inflation!$A:$AH,6,0)*100),"")</f>
        <v>0.63393133845250915</v>
      </c>
      <c r="U47" s="16">
        <f>IFERROR(IF(VLOOKUP(U$4,Inflation!$A:$AH,6,0)*100="","",VLOOKUP(U$4,Inflation!$A:$AH,6,0)*100),"")</f>
        <v>0.60427509230081</v>
      </c>
      <c r="V47" s="16">
        <f>IFERROR(IF(VLOOKUP(V$4,Inflation!$A:$AH,6,0)*100="","",VLOOKUP(V$4,Inflation!$A:$AH,6,0)*100),"")</f>
        <v>0.30882568014776179</v>
      </c>
      <c r="W47" s="16">
        <f>IFERROR(IF(VLOOKUP(W$4,Inflation!$A:$AH,6,0)*100="","",VLOOKUP(W$4,Inflation!$A:$AH,6,0)*100),"")</f>
        <v>0.58116470289055755</v>
      </c>
      <c r="X47" s="16">
        <f>IFERROR(IF(VLOOKUP(X$4,Inflation!$A:$AH,6,0)*100="","",VLOOKUP(X$4,Inflation!$A:$AH,6,0)*100),"")</f>
        <v>0.57308715307158309</v>
      </c>
      <c r="Y47" s="16">
        <f>IFERROR(IF(VLOOKUP(Y$4,Inflation!$A:$AH,6,0)*100="","",VLOOKUP(Y$4,Inflation!$A:$AH,6,0)*100),"")</f>
        <v>0.33317802902068649</v>
      </c>
      <c r="Z47" s="16">
        <f>IFERROR(IF(VLOOKUP(Z$4,Inflation!$A:$AH,6,0)*100="","",VLOOKUP(Z$4,Inflation!$A:$AH,6,0)*100),"")</f>
        <v>0.31002261695167732</v>
      </c>
      <c r="AA47" s="16">
        <f>IFERROR(IF(VLOOKUP(AA$4,Inflation!$A:$AH,6,0)*100="","",VLOOKUP(AA$4,Inflation!$A:$AH,6,0)*100),"")</f>
        <v>0.39931925891139031</v>
      </c>
      <c r="AB47" s="16">
        <f>IFERROR(IF(VLOOKUP(AB$4,Inflation!$A:$AH,6,0)*100="","",VLOOKUP(AB$4,Inflation!$A:$AH,6,0)*100),"")</f>
        <v>0.41199495787169749</v>
      </c>
      <c r="AC47" s="16">
        <f>IFERROR(IF(VLOOKUP(AC$4,Inflation!$A:$AH,6,0)*100="","",VLOOKUP(AC$4,Inflation!$A:$AH,6,0)*100),"")</f>
        <v>0.45192962055089492</v>
      </c>
      <c r="AD47" s="16">
        <f>IFERROR(IF(VLOOKUP(AD$4,Inflation!$A:$AH,6,0)*100="","",VLOOKUP(AD$4,Inflation!$A:$AH,6,0)*100),"")</f>
        <v>0.3847798204360986</v>
      </c>
      <c r="AE47" s="16">
        <f>IFERROR(IF(VLOOKUP(AE$4,Inflation!$A:$AH,6,0)*100="","",VLOOKUP(AE$4,Inflation!$A:$AH,6,0)*100),"")</f>
        <v>0.40918621412657785</v>
      </c>
      <c r="AF47" s="16">
        <f>IFERROR(IF(VLOOKUP(AF$4,Inflation!$A:$AH,6,0)*100="","",VLOOKUP(AF$4,Inflation!$A:$AH,6,0)*100),"")</f>
        <v>0.43557843837789267</v>
      </c>
      <c r="AG47" s="16">
        <f>IFERROR(IF(VLOOKUP(AG$4,Inflation!$A:$AH,6,0)*100="","",VLOOKUP(AG$4,Inflation!$A:$AH,6,0)*100),"")</f>
        <v>0.15755756536202092</v>
      </c>
      <c r="AH47" s="16">
        <f>IFERROR(IF(VLOOKUP(AH$4,Inflation!$A:$AH,6,0)*100="","",VLOOKUP(AH$4,Inflation!$A:$AH,6,0)*100),"")</f>
        <v>0.15958016146138121</v>
      </c>
      <c r="AI47" s="16">
        <f>IFERROR(IF(VLOOKUP(AI$4,Inflation!$A:$AH,6,0)*100="","",VLOOKUP(AI$4,Inflation!$A:$AH,6,0)*100),"")</f>
        <v>0.2784965074595025</v>
      </c>
      <c r="AJ47" s="16">
        <f>IFERROR(IF(VLOOKUP(AJ$4,Inflation!$A:$AH,6,0)*100="","",VLOOKUP(AJ$4,Inflation!$A:$AH,6,0)*100),"")</f>
        <v>0.32293378888526014</v>
      </c>
      <c r="AK47" s="16">
        <f>IFERROR(IF(VLOOKUP(AK$4,Inflation!$A:$AH,6,0)*100="","",VLOOKUP(AK$4,Inflation!$A:$AH,6,0)*100),"")</f>
        <v>0.22661357556952311</v>
      </c>
      <c r="AL47" s="16">
        <f>IFERROR(IF(VLOOKUP(AL$4,Inflation!$A:$AH,6,0)*100="","",VLOOKUP(AL$4,Inflation!$A:$AH,6,0)*100),"")</f>
        <v>0.28455349830582843</v>
      </c>
      <c r="AM47" s="16">
        <f>IFERROR(IF(VLOOKUP(AM$4,Inflation!$A:$AH,6,0)*100="","",VLOOKUP(AM$4,Inflation!$A:$AH,6,0)*100),"")</f>
        <v>0.30904624805045966</v>
      </c>
      <c r="AN47" s="16" t="str">
        <f>IFERROR(IF(VLOOKUP(AN$4,Inflation!$A:$AH,6,0)*100="","",VLOOKUP(AN$4,Inflation!$A:$AH,6,0)*100),"")</f>
        <v/>
      </c>
      <c r="AO47" s="16" t="str">
        <f>IFERROR(IF(VLOOKUP(AO$4,Inflation!$A:$AH,6,0)*100="","",VLOOKUP(AO$4,Inflation!$A:$AH,6,0)*100),"")</f>
        <v/>
      </c>
      <c r="AP47" s="16" t="str">
        <f>IFERROR(IF(VLOOKUP(AP$4,Inflation!$A:$AH,6,0)*100="","",VLOOKUP(AP$4,Inflation!$A:$AH,6,0)*100),"")</f>
        <v/>
      </c>
      <c r="AQ47" s="16" t="str">
        <f>IFERROR(IF(VLOOKUP(AQ$4,Inflation!$A:$AH,6,0)*100="","",VLOOKUP(AQ$4,Inflation!$A:$AH,6,0)*100),"")</f>
        <v/>
      </c>
      <c r="AR47" s="16" t="str">
        <f>IFERROR(IF(VLOOKUP(AR$4,Inflation!$A:$AH,6,0)*100="","",VLOOKUP(AR$4,Inflation!$A:$AH,6,0)*100),"")</f>
        <v/>
      </c>
      <c r="AS47" s="16" t="str">
        <f>IFERROR(IF(VLOOKUP(AS$4,Inflation!$A:$AH,6,0)*100="","",VLOOKUP(AS$4,Inflation!$A:$AH,6,0)*100),"")</f>
        <v/>
      </c>
      <c r="AT47" s="16" t="str">
        <f>IFERROR(IF(VLOOKUP(AT$4,Inflation!$A:$AH,6,0)*100="","",VLOOKUP(AT$4,Inflation!$A:$AH,6,0)*100),"")</f>
        <v/>
      </c>
      <c r="AU47" s="16" t="str">
        <f>IFERROR(IF(VLOOKUP(AU$4,Inflation!$A:$AH,6,0)*100="","",VLOOKUP(AU$4,Inflation!$A:$AH,6,0)*100),"")</f>
        <v/>
      </c>
      <c r="AV47" s="16" t="str">
        <f>IFERROR(IF(VLOOKUP(AV$4,Inflation!$A:$AH,6,0)*100="","",VLOOKUP(AV$4,Inflation!$A:$AH,6,0)*100),"")</f>
        <v/>
      </c>
      <c r="AW47" s="16" t="str">
        <f>IFERROR(IF(VLOOKUP(AW$4,Inflation!$A:$AH,6,0)*100="","",VLOOKUP(AW$4,Inflation!$A:$AH,6,0)*100),"")</f>
        <v/>
      </c>
      <c r="AX47" s="16" t="str">
        <f>IFERROR(IF(VLOOKUP(AX$4,Inflation!$A:$AH,6,0)*100="","",VLOOKUP(AX$4,Inflation!$A:$AH,6,0)*100),"")</f>
        <v/>
      </c>
      <c r="AY47" s="16" t="str">
        <f>IFERROR(IF(VLOOKUP(AY$4,Inflation!$A:$AH,6,0)*100="","",VLOOKUP(AY$4,Inflation!$A:$AH,6,0)*100),"")</f>
        <v/>
      </c>
    </row>
    <row r="48" spans="1:51" ht="19.5" customHeight="1">
      <c r="A48" s="3"/>
      <c r="B48" s="2" t="s">
        <v>132</v>
      </c>
      <c r="C48" s="47" t="s">
        <v>95</v>
      </c>
      <c r="D48" s="16">
        <f>IFERROR(IF(VLOOKUP(D$4,Inflation!$A:$AH,21,0)*100="","",VLOOKUP(D$4,Inflation!$A:$AH,21,0)*100),"")</f>
        <v>0.41435288107694035</v>
      </c>
      <c r="E48" s="16">
        <f>IFERROR(IF(VLOOKUP(E$4,Inflation!$A:$AH,21,0)*100="","",VLOOKUP(E$4,Inflation!$A:$AH,21,0)*100),"")</f>
        <v>0.35517452541335981</v>
      </c>
      <c r="F48" s="16">
        <f>IFERROR(IF(VLOOKUP(F$4,Inflation!$A:$AH,21,0)*100="","",VLOOKUP(F$4,Inflation!$A:$AH,21,0)*100),"")</f>
        <v>0.51069262687519767</v>
      </c>
      <c r="G48" s="16">
        <f>IFERROR(IF(VLOOKUP(G$4,Inflation!$A:$AH,21,0)*100="","",VLOOKUP(G$4,Inflation!$A:$AH,21,0)*100),"")</f>
        <v>0.55666598173089721</v>
      </c>
      <c r="H48" s="16">
        <f>IFERROR(IF(VLOOKUP(H$4,Inflation!$A:$AH,21,0)*100="","",VLOOKUP(H$4,Inflation!$A:$AH,21,0)*100),"")</f>
        <v>0.50621389162377461</v>
      </c>
      <c r="I48" s="16">
        <f>IFERROR(IF(VLOOKUP(I$4,Inflation!$A:$AH,21,0)*100="","",VLOOKUP(I$4,Inflation!$A:$AH,21,0)*100),"")</f>
        <v>0.50643673699484193</v>
      </c>
      <c r="J48" s="16">
        <f>IFERROR(IF(VLOOKUP(J$4,Inflation!$A:$AH,21,0)*100="","",VLOOKUP(J$4,Inflation!$A:$AH,21,0)*100),"")</f>
        <v>0.48273642591145638</v>
      </c>
      <c r="K48" s="16">
        <f>IFERROR(IF(VLOOKUP(K$4,Inflation!$A:$AH,21,0)*100="","",VLOOKUP(K$4,Inflation!$A:$AH,21,0)*100),"")</f>
        <v>0.42093704245973473</v>
      </c>
      <c r="L48" s="16">
        <f>IFERROR(IF(VLOOKUP(L$4,Inflation!$A:$AH,21,0)*100="","",VLOOKUP(L$4,Inflation!$A:$AH,21,0)*100),"")</f>
        <v>0.32440313468198312</v>
      </c>
      <c r="M48" s="16">
        <f>IFERROR(IF(VLOOKUP(M$4,Inflation!$A:$AH,21,0)*100="","",VLOOKUP(M$4,Inflation!$A:$AH,21,0)*100),"")</f>
        <v>0.64670832727802274</v>
      </c>
      <c r="N48" s="16">
        <f>IFERROR(IF(VLOOKUP(N$4,Inflation!$A:$AH,21,0)*100="","",VLOOKUP(N$4,Inflation!$A:$AH,21,0)*100),"")</f>
        <v>0.61908887444950267</v>
      </c>
      <c r="O48" s="16">
        <f>IFERROR(IF(VLOOKUP(O$4,Inflation!$A:$AH,21,0)*100="","",VLOOKUP(O$4,Inflation!$A:$AH,21,0)*100),"")</f>
        <v>0.66909430103860856</v>
      </c>
      <c r="P48" s="16">
        <f>IFERROR(IF(VLOOKUP(P$4,Inflation!$A:$AH,21,0)*100="","",VLOOKUP(P$4,Inflation!$A:$AH,21,0)*100),"")</f>
        <v>0.52476835352814888</v>
      </c>
      <c r="Q48" s="16">
        <f>IFERROR(IF(VLOOKUP(Q$4,Inflation!$A:$AH,21,0)*100="","",VLOOKUP(Q$4,Inflation!$A:$AH,21,0)*100),"")</f>
        <v>0.59116007409443228</v>
      </c>
      <c r="R48" s="16">
        <f>IFERROR(IF(VLOOKUP(R$4,Inflation!$A:$AH,21,0)*100="","",VLOOKUP(R$4,Inflation!$A:$AH,21,0)*100),"")</f>
        <v>0.83703390427856128</v>
      </c>
      <c r="S48" s="16">
        <f>IFERROR(IF(VLOOKUP(S$4,Inflation!$A:$AH,21,0)*100="","",VLOOKUP(S$4,Inflation!$A:$AH,21,0)*100),"")</f>
        <v>0.29970466420845554</v>
      </c>
      <c r="T48" s="16">
        <f>IFERROR(IF(VLOOKUP(T$4,Inflation!$A:$AH,21,0)*100="","",VLOOKUP(T$4,Inflation!$A:$AH,21,0)*100),"")</f>
        <v>0.57235449389749782</v>
      </c>
      <c r="U48" s="16">
        <f>IFERROR(IF(VLOOKUP(U$4,Inflation!$A:$AH,21,0)*100="","",VLOOKUP(U$4,Inflation!$A:$AH,21,0)*100),"")</f>
        <v>0.90864993156973828</v>
      </c>
      <c r="V48" s="16">
        <f>IFERROR(IF(VLOOKUP(V$4,Inflation!$A:$AH,21,0)*100="","",VLOOKUP(V$4,Inflation!$A:$AH,21,0)*100),"")</f>
        <v>1.3734495042694306E-2</v>
      </c>
      <c r="W48" s="16">
        <f>IFERROR(IF(VLOOKUP(W$4,Inflation!$A:$AH,21,0)*100="","",VLOOKUP(W$4,Inflation!$A:$AH,21,0)*100),"")</f>
        <v>0.3252911742239073</v>
      </c>
      <c r="X48" s="16">
        <f>IFERROR(IF(VLOOKUP(X$4,Inflation!$A:$AH,21,0)*100="","",VLOOKUP(X$4,Inflation!$A:$AH,21,0)*100),"")</f>
        <v>0.36273419454186939</v>
      </c>
      <c r="Y48" s="16">
        <f>IFERROR(IF(VLOOKUP(Y$4,Inflation!$A:$AH,21,0)*100="","",VLOOKUP(Y$4,Inflation!$A:$AH,21,0)*100),"")</f>
        <v>0.45007415994682276</v>
      </c>
      <c r="Z48" s="16">
        <f>IFERROR(IF(VLOOKUP(Z$4,Inflation!$A:$AH,21,0)*100="","",VLOOKUP(Z$4,Inflation!$A:$AH,21,0)*100),"")</f>
        <v>0.22233159654452272</v>
      </c>
      <c r="AA48" s="16">
        <f>IFERROR(IF(VLOOKUP(AA$4,Inflation!$A:$AH,21,0)*100="","",VLOOKUP(AA$4,Inflation!$A:$AH,21,0)*100),"")</f>
        <v>0.20659757501861886</v>
      </c>
      <c r="AB48" s="16">
        <f>IFERROR(IF(VLOOKUP(AB$4,Inflation!$A:$AH,21,0)*100="","",VLOOKUP(AB$4,Inflation!$A:$AH,21,0)*100),"")</f>
        <v>0.56021225538243069</v>
      </c>
      <c r="AC48" s="16">
        <f>IFERROR(IF(VLOOKUP(AC$4,Inflation!$A:$AH,21,0)*100="","",VLOOKUP(AC$4,Inflation!$A:$AH,21,0)*100),"")</f>
        <v>0.31509692381377352</v>
      </c>
      <c r="AD48" s="16">
        <f>IFERROR(IF(VLOOKUP(AD$4,Inflation!$A:$AH,21,0)*100="","",VLOOKUP(AD$4,Inflation!$A:$AH,21,0)*100),"")</f>
        <v>0.12061715779070337</v>
      </c>
      <c r="AE48" s="16">
        <f>IFERROR(IF(VLOOKUP(AE$4,Inflation!$A:$AH,21,0)*100="","",VLOOKUP(AE$4,Inflation!$A:$AH,21,0)*100),"")</f>
        <v>0.30368945034719985</v>
      </c>
      <c r="AF48" s="16">
        <f>IFERROR(IF(VLOOKUP(AF$4,Inflation!$A:$AH,21,0)*100="","",VLOOKUP(AF$4,Inflation!$A:$AH,21,0)*100),"")</f>
        <v>0.1059277856088281</v>
      </c>
      <c r="AG48" s="16">
        <f>IFERROR(IF(VLOOKUP(AG$4,Inflation!$A:$AH,21,0)*100="","",VLOOKUP(AG$4,Inflation!$A:$AH,21,0)*100),"")</f>
        <v>0.16747208798533197</v>
      </c>
      <c r="AH48" s="16">
        <f>IFERROR(IF(VLOOKUP(AH$4,Inflation!$A:$AH,21,0)*100="","",VLOOKUP(AH$4,Inflation!$A:$AH,21,0)*100),"")</f>
        <v>0.1264338177190405</v>
      </c>
      <c r="AI48" s="16">
        <f>IFERROR(IF(VLOOKUP(AI$4,Inflation!$A:$AH,21,0)*100="","",VLOOKUP(AI$4,Inflation!$A:$AH,21,0)*100),"")</f>
        <v>0.35722296528291064</v>
      </c>
      <c r="AJ48" s="16">
        <f>IFERROR(IF(VLOOKUP(AJ$4,Inflation!$A:$AH,21,0)*100="","",VLOOKUP(AJ$4,Inflation!$A:$AH,21,0)*100),"")</f>
        <v>0.38409642144647815</v>
      </c>
      <c r="AK48" s="16">
        <f>IFERROR(IF(VLOOKUP(AK$4,Inflation!$A:$AH,21,0)*100="","",VLOOKUP(AK$4,Inflation!$A:$AH,21,0)*100),"")</f>
        <v>3.4634319311943607E-2</v>
      </c>
      <c r="AL48" s="16">
        <f>IFERROR(IF(VLOOKUP(AL$4,Inflation!$A:$AH,21,0)*100="","",VLOOKUP(AL$4,Inflation!$A:$AH,21,0)*100),"")</f>
        <v>-7.1717679644545118E-2</v>
      </c>
      <c r="AM48" s="16" t="str">
        <f>IFERROR(IF(VLOOKUP(AM$4,Inflation!$A:$AH,21,0)*100="","",VLOOKUP(AM$4,Inflation!$A:$AH,21,0)*100),"")</f>
        <v/>
      </c>
      <c r="AN48" s="16" t="str">
        <f>IFERROR(IF(VLOOKUP(AN$4,Inflation!$A:$AH,21,0)*100="","",VLOOKUP(AN$4,Inflation!$A:$AH,21,0)*100),"")</f>
        <v/>
      </c>
      <c r="AO48" s="16" t="str">
        <f>IFERROR(IF(VLOOKUP(AO$4,Inflation!$A:$AH,21,0)*100="","",VLOOKUP(AO$4,Inflation!$A:$AH,21,0)*100),"")</f>
        <v/>
      </c>
      <c r="AP48" s="16" t="str">
        <f>IFERROR(IF(VLOOKUP(AP$4,Inflation!$A:$AH,21,0)*100="","",VLOOKUP(AP$4,Inflation!$A:$AH,21,0)*100),"")</f>
        <v/>
      </c>
      <c r="AQ48" s="16" t="str">
        <f>IFERROR(IF(VLOOKUP(AQ$4,Inflation!$A:$AH,21,0)*100="","",VLOOKUP(AQ$4,Inflation!$A:$AH,21,0)*100),"")</f>
        <v/>
      </c>
      <c r="AR48" s="16" t="str">
        <f>IFERROR(IF(VLOOKUP(AR$4,Inflation!$A:$AH,21,0)*100="","",VLOOKUP(AR$4,Inflation!$A:$AH,21,0)*100),"")</f>
        <v/>
      </c>
      <c r="AS48" s="16" t="str">
        <f>IFERROR(IF(VLOOKUP(AS$4,Inflation!$A:$AH,21,0)*100="","",VLOOKUP(AS$4,Inflation!$A:$AH,21,0)*100),"")</f>
        <v/>
      </c>
      <c r="AT48" s="16" t="str">
        <f>IFERROR(IF(VLOOKUP(AT$4,Inflation!$A:$AH,21,0)*100="","",VLOOKUP(AT$4,Inflation!$A:$AH,21,0)*100),"")</f>
        <v/>
      </c>
      <c r="AU48" s="16" t="str">
        <f>IFERROR(IF(VLOOKUP(AU$4,Inflation!$A:$AH,21,0)*100="","",VLOOKUP(AU$4,Inflation!$A:$AH,21,0)*100),"")</f>
        <v/>
      </c>
      <c r="AV48" s="16" t="str">
        <f>IFERROR(IF(VLOOKUP(AV$4,Inflation!$A:$AH,21,0)*100="","",VLOOKUP(AV$4,Inflation!$A:$AH,21,0)*100),"")</f>
        <v/>
      </c>
      <c r="AW48" s="16" t="str">
        <f>IFERROR(IF(VLOOKUP(AW$4,Inflation!$A:$AH,21,0)*100="","",VLOOKUP(AW$4,Inflation!$A:$AH,21,0)*100),"")</f>
        <v/>
      </c>
      <c r="AX48" s="16" t="str">
        <f>IFERROR(IF(VLOOKUP(AX$4,Inflation!$A:$AH,21,0)*100="","",VLOOKUP(AX$4,Inflation!$A:$AH,21,0)*100),"")</f>
        <v/>
      </c>
      <c r="AY48" s="16" t="str">
        <f>IFERROR(IF(VLOOKUP(AY$4,Inflation!$A:$AH,21,0)*100="","",VLOOKUP(AY$4,Inflation!$A:$AH,21,0)*100),"")</f>
        <v/>
      </c>
    </row>
    <row r="49" spans="1:51" ht="19.5" customHeight="1">
      <c r="A49" s="3"/>
      <c r="B49" s="24" t="s">
        <v>161</v>
      </c>
      <c r="C49" s="47" t="s">
        <v>95</v>
      </c>
      <c r="D49" s="53">
        <f>IFERROR(IF(VLOOKUP(D$4,Inflation!$A:$AH,24,0)*100="","",VLOOKUP(D$4,Inflation!$A:$AH,24,0)*100),"")</f>
        <v>0.34750092068858152</v>
      </c>
      <c r="E49" s="53">
        <f>IFERROR(IF(VLOOKUP(E$4,Inflation!$A:$AH,24,0)*100="","",VLOOKUP(E$4,Inflation!$A:$AH,24,0)*100),"")</f>
        <v>0.21831801029481568</v>
      </c>
      <c r="F49" s="53">
        <f>IFERROR(IF(VLOOKUP(F$4,Inflation!$A:$AH,24,0)*100="","",VLOOKUP(F$4,Inflation!$A:$AH,24,0)*100),"")</f>
        <v>0.41878327496032153</v>
      </c>
      <c r="G49" s="53">
        <f>IFERROR(IF(VLOOKUP(G$4,Inflation!$A:$AH,24,0)*100="","",VLOOKUP(G$4,Inflation!$A:$AH,24,0)*100),"")</f>
        <v>0.60685399036888299</v>
      </c>
      <c r="H49" s="53">
        <f>IFERROR(IF(VLOOKUP(H$4,Inflation!$A:$AH,24,0)*100="","",VLOOKUP(H$4,Inflation!$A:$AH,24,0)*100),"")</f>
        <v>0.53255757756009992</v>
      </c>
      <c r="I49" s="53">
        <f>IFERROR(IF(VLOOKUP(I$4,Inflation!$A:$AH,24,0)*100="","",VLOOKUP(I$4,Inflation!$A:$AH,24,0)*100),"")</f>
        <v>0.45115423373116581</v>
      </c>
      <c r="J49" s="53">
        <f>IFERROR(IF(VLOOKUP(J$4,Inflation!$A:$AH,24,0)*100="","",VLOOKUP(J$4,Inflation!$A:$AH,24,0)*100),"")</f>
        <v>0.42796005706133844</v>
      </c>
      <c r="K49" s="53">
        <f>IFERROR(IF(VLOOKUP(K$4,Inflation!$A:$AH,24,0)*100="","",VLOOKUP(K$4,Inflation!$A:$AH,24,0)*100),"")</f>
        <v>0.30975073313781465</v>
      </c>
      <c r="L49" s="53">
        <f>IFERROR(IF(VLOOKUP(L$4,Inflation!$A:$AH,24,0)*100="","",VLOOKUP(L$4,Inflation!$A:$AH,24,0)*100),"")</f>
        <v>0.20647188876099509</v>
      </c>
      <c r="M49" s="53">
        <f>IFERROR(IF(VLOOKUP(M$4,Inflation!$A:$AH,24,0)*100="","",VLOOKUP(M$4,Inflation!$A:$AH,24,0)*100),"")</f>
        <v>0.48594143174938154</v>
      </c>
      <c r="N49" s="53">
        <f>IFERROR(IF(VLOOKUP(N$4,Inflation!$A:$AH,24,0)*100="","",VLOOKUP(N$4,Inflation!$A:$AH,24,0)*100),"")</f>
        <v>0.50899588992623368</v>
      </c>
      <c r="O49" s="53">
        <f>IFERROR(IF(VLOOKUP(O$4,Inflation!$A:$AH,24,0)*100="","",VLOOKUP(O$4,Inflation!$A:$AH,24,0)*100),"")</f>
        <v>0.60300781743667375</v>
      </c>
      <c r="P49" s="53">
        <f>IFERROR(IF(VLOOKUP(P$4,Inflation!$A:$AH,24,0)*100="","",VLOOKUP(P$4,Inflation!$A:$AH,24,0)*100),"")</f>
        <v>0.47287475548696278</v>
      </c>
      <c r="Q49" s="53">
        <f>IFERROR(IF(VLOOKUP(Q$4,Inflation!$A:$AH,24,0)*100="","",VLOOKUP(Q$4,Inflation!$A:$AH,24,0)*100),"")</f>
        <v>0.41349253837978939</v>
      </c>
      <c r="R49" s="53">
        <f>IFERROR(IF(VLOOKUP(R$4,Inflation!$A:$AH,24,0)*100="","",VLOOKUP(R$4,Inflation!$A:$AH,24,0)*100),"")</f>
        <v>0.39489131594860893</v>
      </c>
      <c r="S49" s="53">
        <f>IFERROR(IF(VLOOKUP(S$4,Inflation!$A:$AH,24,0)*100="","",VLOOKUP(S$4,Inflation!$A:$AH,24,0)*100),"")</f>
        <v>0.32600992204110391</v>
      </c>
      <c r="T49" s="53">
        <f>IFERROR(IF(VLOOKUP(T$4,Inflation!$A:$AH,24,0)*100="","",VLOOKUP(T$4,Inflation!$A:$AH,24,0)*100),"")</f>
        <v>0.36027126306865664</v>
      </c>
      <c r="U49" s="53">
        <f>IFERROR(IF(VLOOKUP(U$4,Inflation!$A:$AH,24,0)*100="","",VLOOKUP(U$4,Inflation!$A:$AH,24,0)*100),"")</f>
        <v>0.56398254381642143</v>
      </c>
      <c r="V49" s="53">
        <f>IFERROR(IF(VLOOKUP(V$4,Inflation!$A:$AH,24,0)*100="","",VLOOKUP(V$4,Inflation!$A:$AH,24,0)*100),"")</f>
        <v>0.20735452374078811</v>
      </c>
      <c r="W49" s="53">
        <f>IFERROR(IF(VLOOKUP(W$4,Inflation!$A:$AH,24,0)*100="","",VLOOKUP(W$4,Inflation!$A:$AH,24,0)*100),"")</f>
        <v>0.54481638640053731</v>
      </c>
      <c r="X49" s="53">
        <f>IFERROR(IF(VLOOKUP(X$4,Inflation!$A:$AH,24,0)*100="","",VLOOKUP(X$4,Inflation!$A:$AH,24,0)*100),"")</f>
        <v>0.45850049497213607</v>
      </c>
      <c r="Y49" s="53">
        <f>IFERROR(IF(VLOOKUP(Y$4,Inflation!$A:$AH,24,0)*100="","",VLOOKUP(Y$4,Inflation!$A:$AH,24,0)*100),"")</f>
        <v>0.34662794115103424</v>
      </c>
      <c r="Z49" s="53">
        <f>IFERROR(IF(VLOOKUP(Z$4,Inflation!$A:$AH,24,0)*100="","",VLOOKUP(Z$4,Inflation!$A:$AH,24,0)*100),"")</f>
        <v>0.28426955645335372</v>
      </c>
      <c r="AA49" s="53">
        <f>IFERROR(IF(VLOOKUP(AA$4,Inflation!$A:$AH,24,0)*100="","",VLOOKUP(AA$4,Inflation!$A:$AH,24,0)*100),"")</f>
        <v>0.38740046556773322</v>
      </c>
      <c r="AB49" s="53">
        <f>IFERROR(IF(VLOOKUP(AB$4,Inflation!$A:$AH,24,0)*100="","",VLOOKUP(AB$4,Inflation!$A:$AH,24,0)*100),"")</f>
        <v>0.50741006948009648</v>
      </c>
      <c r="AC49" s="53">
        <f>IFERROR(IF(VLOOKUP(AC$4,Inflation!$A:$AH,24,0)*100="","",VLOOKUP(AC$4,Inflation!$A:$AH,24,0)*100),"")</f>
        <v>0.35926818263083415</v>
      </c>
      <c r="AD49" s="53">
        <f>IFERROR(IF(VLOOKUP(AD$4,Inflation!$A:$AH,24,0)*100="","",VLOOKUP(AD$4,Inflation!$A:$AH,24,0)*100),"")</f>
        <v>0.3359262998057444</v>
      </c>
      <c r="AE49" s="53">
        <f>IFERROR(IF(VLOOKUP(AE$4,Inflation!$A:$AH,24,0)*100="","",VLOOKUP(AE$4,Inflation!$A:$AH,24,0)*100),"")</f>
        <v>0.30690147870713336</v>
      </c>
      <c r="AF49" s="53">
        <f>IFERROR(IF(VLOOKUP(AF$4,Inflation!$A:$AH,24,0)*100="","",VLOOKUP(AF$4,Inflation!$A:$AH,24,0)*100),"")</f>
        <v>0.28826216685491346</v>
      </c>
      <c r="AG49" s="53">
        <f>IFERROR(IF(VLOOKUP(AG$4,Inflation!$A:$AH,24,0)*100="","",VLOOKUP(AG$4,Inflation!$A:$AH,24,0)*100),"")</f>
        <v>0.1722920728837396</v>
      </c>
      <c r="AH49" s="53">
        <f>IFERROR(IF(VLOOKUP(AH$4,Inflation!$A:$AH,24,0)*100="","",VLOOKUP(AH$4,Inflation!$A:$AH,24,0)*100),"")</f>
        <v>0.11997751470353979</v>
      </c>
      <c r="AI49" s="53">
        <f>IFERROR(IF(VLOOKUP(AI$4,Inflation!$A:$AH,24,0)*100="","",VLOOKUP(AI$4,Inflation!$A:$AH,24,0)*100),"")</f>
        <v>9.804578822110166E-2</v>
      </c>
      <c r="AJ49" s="53">
        <f>IFERROR(IF(VLOOKUP(AJ$4,Inflation!$A:$AH,24,0)*100="","",VLOOKUP(AJ$4,Inflation!$A:$AH,24,0)*100),"")</f>
        <v>0.3290107074986004</v>
      </c>
      <c r="AK49" s="53">
        <f>IFERROR(IF(VLOOKUP(AK$4,Inflation!$A:$AH,24,0)*100="","",VLOOKUP(AK$4,Inflation!$A:$AH,24,0)*100),"")</f>
        <v>0.14852889638024003</v>
      </c>
      <c r="AL49" s="53">
        <f>IFERROR(IF(VLOOKUP(AL$4,Inflation!$A:$AH,24,0)*100="","",VLOOKUP(AL$4,Inflation!$A:$AH,24,0)*100),"")</f>
        <v>5.832361273121478E-2</v>
      </c>
      <c r="AM49" s="53" t="str">
        <f>IFERROR(IF(VLOOKUP(AM$4,Inflation!$A:$AH,24,0)*100="","",VLOOKUP(AM$4,Inflation!$A:$AH,24,0)*100),"")</f>
        <v/>
      </c>
      <c r="AN49" s="53" t="str">
        <f>IFERROR(IF(VLOOKUP(AN$4,Inflation!$A:$AH,24,0)*100="","",VLOOKUP(AN$4,Inflation!$A:$AH,24,0)*100),"")</f>
        <v/>
      </c>
      <c r="AO49" s="53" t="str">
        <f>IFERROR(IF(VLOOKUP(AO$4,Inflation!$A:$AH,24,0)*100="","",VLOOKUP(AO$4,Inflation!$A:$AH,24,0)*100),"")</f>
        <v/>
      </c>
      <c r="AP49" s="53" t="str">
        <f>IFERROR(IF(VLOOKUP(AP$4,Inflation!$A:$AH,24,0)*100="","",VLOOKUP(AP$4,Inflation!$A:$AH,24,0)*100),"")</f>
        <v/>
      </c>
      <c r="AQ49" s="53" t="str">
        <f>IFERROR(IF(VLOOKUP(AQ$4,Inflation!$A:$AH,24,0)*100="","",VLOOKUP(AQ$4,Inflation!$A:$AH,24,0)*100),"")</f>
        <v/>
      </c>
      <c r="AR49" s="53" t="str">
        <f>IFERROR(IF(VLOOKUP(AR$4,Inflation!$A:$AH,24,0)*100="","",VLOOKUP(AR$4,Inflation!$A:$AH,24,0)*100),"")</f>
        <v/>
      </c>
      <c r="AS49" s="53" t="str">
        <f>IFERROR(IF(VLOOKUP(AS$4,Inflation!$A:$AH,24,0)*100="","",VLOOKUP(AS$4,Inflation!$A:$AH,24,0)*100),"")</f>
        <v/>
      </c>
      <c r="AT49" s="53" t="str">
        <f>IFERROR(IF(VLOOKUP(AT$4,Inflation!$A:$AH,24,0)*100="","",VLOOKUP(AT$4,Inflation!$A:$AH,24,0)*100),"")</f>
        <v/>
      </c>
      <c r="AU49" s="53" t="str">
        <f>IFERROR(IF(VLOOKUP(AU$4,Inflation!$A:$AH,24,0)*100="","",VLOOKUP(AU$4,Inflation!$A:$AH,24,0)*100),"")</f>
        <v/>
      </c>
      <c r="AV49" s="53" t="str">
        <f>IFERROR(IF(VLOOKUP(AV$4,Inflation!$A:$AH,24,0)*100="","",VLOOKUP(AV$4,Inflation!$A:$AH,24,0)*100),"")</f>
        <v/>
      </c>
      <c r="AW49" s="53" t="str">
        <f>IFERROR(IF(VLOOKUP(AW$4,Inflation!$A:$AH,24,0)*100="","",VLOOKUP(AW$4,Inflation!$A:$AH,24,0)*100),"")</f>
        <v/>
      </c>
      <c r="AX49" s="53" t="str">
        <f>IFERROR(IF(VLOOKUP(AX$4,Inflation!$A:$AH,24,0)*100="","",VLOOKUP(AX$4,Inflation!$A:$AH,24,0)*100),"")</f>
        <v/>
      </c>
      <c r="AY49" s="53" t="str">
        <f>IFERROR(IF(VLOOKUP(AY$4,Inflation!$A:$AH,24,0)*100="","",VLOOKUP(AY$4,Inflation!$A:$AH,24,0)*100),"")</f>
        <v/>
      </c>
    </row>
    <row r="50" spans="1:51" ht="19.5" customHeight="1">
      <c r="A50" s="3"/>
      <c r="B50" s="2" t="s">
        <v>145</v>
      </c>
      <c r="C50" s="47" t="s">
        <v>94</v>
      </c>
      <c r="D50" s="16">
        <f>IFERROR(IF(VLOOKUP(D$4,Inflation!$A:$AH,4,0)="","",VLOOKUP(D$4,Inflation!$A:$AH,4,0)*100),"")</f>
        <v>1.3947814404891901</v>
      </c>
      <c r="E50" s="16">
        <f>IFERROR(IF(VLOOKUP(E$4,Inflation!$A:$AH,4,0)="","",VLOOKUP(E$4,Inflation!$A:$AH,4,0)*100),"")</f>
        <v>1.693359254459037</v>
      </c>
      <c r="F50" s="16">
        <f>IFERROR(IF(VLOOKUP(F$4,Inflation!$A:$AH,4,0)="","",VLOOKUP(F$4,Inflation!$A:$AH,4,0)*100),"")</f>
        <v>2.6305186654475898</v>
      </c>
      <c r="G50" s="16">
        <f>IFERROR(IF(VLOOKUP(G$4,Inflation!$A:$AH,4,0)="","",VLOOKUP(G$4,Inflation!$A:$AH,4,0)*100),"")</f>
        <v>4.1305468347312857</v>
      </c>
      <c r="H50" s="16">
        <f>IFERROR(IF(VLOOKUP(H$4,Inflation!$A:$AH,4,0)="","",VLOOKUP(H$4,Inflation!$A:$AH,4,0)*100),"")</f>
        <v>4.9150343145684561</v>
      </c>
      <c r="I50" s="16">
        <f>IFERROR(IF(VLOOKUP(I$4,Inflation!$A:$AH,4,0)="","",VLOOKUP(I$4,Inflation!$A:$AH,4,0)*100),"")</f>
        <v>5.2816106713984512</v>
      </c>
      <c r="J50" s="16">
        <f>IFERROR(IF(VLOOKUP(J$4,Inflation!$A:$AH,4,0)="","",VLOOKUP(J$4,Inflation!$A:$AH,4,0)*100),"")</f>
        <v>5.2215055095672147</v>
      </c>
      <c r="K50" s="16">
        <f>IFERROR(IF(VLOOKUP(K$4,Inflation!$A:$AH,4,0)="","",VLOOKUP(K$4,Inflation!$A:$AH,4,0)*100),"")</f>
        <v>5.1882919382755466</v>
      </c>
      <c r="L50" s="16">
        <f>IFERROR(IF(VLOOKUP(L$4,Inflation!$A:$AH,4,0)="","",VLOOKUP(L$4,Inflation!$A:$AH,4,0)*100),"")</f>
        <v>5.3836302873910391</v>
      </c>
      <c r="M50" s="16">
        <f>IFERROR(IF(VLOOKUP(M$4,Inflation!$A:$AH,4,0)="","",VLOOKUP(M$4,Inflation!$A:$AH,4,0)*100),"")</f>
        <v>6.2377538553744616</v>
      </c>
      <c r="N50" s="16">
        <f>IFERROR(IF(VLOOKUP(N$4,Inflation!$A:$AH,4,0)="","",VLOOKUP(N$4,Inflation!$A:$AH,4,0)*100),"")</f>
        <v>6.8623879944634814</v>
      </c>
      <c r="O50" s="16">
        <f>IFERROR(IF(VLOOKUP(O$4,Inflation!$A:$AH,4,0)="","",VLOOKUP(O$4,Inflation!$A:$AH,4,0)*100),"")</f>
        <v>7.1944587555097472</v>
      </c>
      <c r="P50" s="16">
        <f>IFERROR(IF(VLOOKUP(P$4,Inflation!$A:$AH,4,0)="","",VLOOKUP(P$4,Inflation!$A:$AH,4,0)*100),"")</f>
        <v>7.595278888254331</v>
      </c>
      <c r="Q50" s="16">
        <f>IFERROR(IF(VLOOKUP(Q$4,Inflation!$A:$AH,4,0)="","",VLOOKUP(Q$4,Inflation!$A:$AH,4,0)*100),"")</f>
        <v>7.954847176810631</v>
      </c>
      <c r="R50" s="16">
        <f>IFERROR(IF(VLOOKUP(R$4,Inflation!$A:$AH,4,0)="","",VLOOKUP(R$4,Inflation!$A:$AH,4,0)*100),"")</f>
        <v>8.5152162588613578</v>
      </c>
      <c r="S50" s="16">
        <f>IFERROR(IF(VLOOKUP(S$4,Inflation!$A:$AH,4,0)="","",VLOOKUP(S$4,Inflation!$A:$AH,4,0)*100),"")</f>
        <v>8.2277721528480896</v>
      </c>
      <c r="T50" s="16">
        <f>IFERROR(IF(VLOOKUP(T$4,Inflation!$A:$AH,4,0)="","",VLOOKUP(T$4,Inflation!$A:$AH,4,0)*100),"")</f>
        <v>8.5023319575032286</v>
      </c>
      <c r="U50" s="16">
        <f>IFERROR(IF(VLOOKUP(U$4,Inflation!$A:$AH,4,0)="","",VLOOKUP(U$4,Inflation!$A:$AH,4,0)*100),"")</f>
        <v>8.9329868901052869</v>
      </c>
      <c r="V50" s="16">
        <f>IFERROR(IF(VLOOKUP(V$4,Inflation!$A:$AH,4,0)="","",VLOOKUP(V$4,Inflation!$A:$AH,4,0)*100),"")</f>
        <v>8.4131820255810119</v>
      </c>
      <c r="W50" s="16">
        <f>IFERROR(IF(VLOOKUP(W$4,Inflation!$A:$AH,4,0)="","",VLOOKUP(W$4,Inflation!$A:$AH,4,0)*100),"")</f>
        <v>8.2273610144024687</v>
      </c>
      <c r="X50" s="16">
        <f>IFERROR(IF(VLOOKUP(X$4,Inflation!$A:$AH,4,0)="","",VLOOKUP(X$4,Inflation!$A:$AH,4,0)*100),"")</f>
        <v>8.2148539565299661</v>
      </c>
      <c r="Y50" s="16">
        <f>IFERROR(IF(VLOOKUP(Y$4,Inflation!$A:$AH,4,0)="","",VLOOKUP(Y$4,Inflation!$A:$AH,4,0)*100),"")</f>
        <v>7.7624926768937064</v>
      </c>
      <c r="Z50" s="16">
        <f>IFERROR(IF(VLOOKUP(Z$4,Inflation!$A:$AH,4,0)="","",VLOOKUP(Z$4,Inflation!$A:$AH,4,0)*100),"")</f>
        <v>7.135348084575055</v>
      </c>
      <c r="AA50" s="16">
        <f>IFERROR(IF(VLOOKUP(AA$4,Inflation!$A:$AH,4,0)="","",VLOOKUP(AA$4,Inflation!$A:$AH,4,0)*100),"")</f>
        <v>6.444940492084017</v>
      </c>
      <c r="AB50" s="16">
        <f>IFERROR(IF(VLOOKUP(AB$4,Inflation!$A:$AH,4,0)="","",VLOOKUP(AB$4,Inflation!$A:$AH,4,0)*100),"")</f>
        <v>6.3471562178210261</v>
      </c>
      <c r="AC50" s="16">
        <f>IFERROR(IF(VLOOKUP(AC$4,Inflation!$A:$AH,4,0)="","",VLOOKUP(AC$4,Inflation!$A:$AH,4,0)*100),"")</f>
        <v>5.9864375812515469</v>
      </c>
      <c r="AD50" s="16">
        <f>IFERROR(IF(VLOOKUP(AD$4,Inflation!$A:$AH,4,0)="","",VLOOKUP(AD$4,Inflation!$A:$AH,4,0)*100),"")</f>
        <v>4.9869204652974952</v>
      </c>
      <c r="AE50" s="16">
        <f>IFERROR(IF(VLOOKUP(AE$4,Inflation!$A:$AH,4,0)="","",VLOOKUP(AE$4,Inflation!$A:$AH,4,0)*100),"")</f>
        <v>4.9571915138369782</v>
      </c>
      <c r="AF50" s="16">
        <f>IFERROR(IF(VLOOKUP(AF$4,Inflation!$A:$AH,4,0)="","",VLOOKUP(AF$4,Inflation!$A:$AH,4,0)*100),"")</f>
        <v>4.1288435392834222</v>
      </c>
      <c r="AG50" s="16">
        <f>IFERROR(IF(VLOOKUP(AG$4,Inflation!$A:$AH,4,0)="","",VLOOKUP(AG$4,Inflation!$A:$AH,4,0)*100),"")</f>
        <v>3.0920034743899372</v>
      </c>
      <c r="AH50" s="16">
        <f>IFERROR(IF(VLOOKUP(AH$4,Inflation!$A:$AH,4,0)="","",VLOOKUP(AH$4,Inflation!$A:$AH,4,0)*100),"")</f>
        <v>3.299075444289068</v>
      </c>
      <c r="AI50" s="16">
        <f>IFERROR(IF(VLOOKUP(AI$4,Inflation!$A:$AH,4,0)="","",VLOOKUP(AI$4,Inflation!$A:$AH,4,0)*100),"")</f>
        <v>3.7075037247731313</v>
      </c>
      <c r="AJ50" s="16">
        <f>IFERROR(IF(VLOOKUP(AJ$4,Inflation!$A:$AH,4,0)="","",VLOOKUP(AJ$4,Inflation!$A:$AH,4,0)*100),"")</f>
        <v>3.6899025086076342</v>
      </c>
      <c r="AK50" s="16">
        <f>IFERROR(IF(VLOOKUP(AK$4,Inflation!$A:$AH,4,0)="","",VLOOKUP(AK$4,Inflation!$A:$AH,4,0)*100),"")</f>
        <v>3.232355773909612</v>
      </c>
      <c r="AL50" s="16">
        <f>IFERROR(IF(VLOOKUP(AL$4,Inflation!$A:$AH,4,0)="","",VLOOKUP(AL$4,Inflation!$A:$AH,4,0)*100),"")</f>
        <v>3.1209184254415545</v>
      </c>
      <c r="AM50" s="16">
        <f>IFERROR(IF(VLOOKUP(AM$4,Inflation!$A:$AH,4,0)="","",VLOOKUP(AM$4,Inflation!$A:$AH,4,0)*100),"")</f>
        <v>3.2977691561590694</v>
      </c>
      <c r="AN50" s="16" t="str">
        <f>IFERROR(IF(VLOOKUP(AN$4,Inflation!$A:$AH,4,0)="","",VLOOKUP(AN$4,Inflation!$A:$AH,4,0)*100),"")</f>
        <v/>
      </c>
      <c r="AO50" s="16" t="str">
        <f>IFERROR(IF(VLOOKUP(AO$4,Inflation!$A:$AH,4,0)="","",VLOOKUP(AO$4,Inflation!$A:$AH,4,0)*100),"")</f>
        <v/>
      </c>
      <c r="AP50" s="16" t="str">
        <f>IFERROR(IF(VLOOKUP(AP$4,Inflation!$A:$AH,4,0)="","",VLOOKUP(AP$4,Inflation!$A:$AH,4,0)*100),"")</f>
        <v/>
      </c>
      <c r="AQ50" s="16" t="str">
        <f>IFERROR(IF(VLOOKUP(AQ$4,Inflation!$A:$AH,4,0)="","",VLOOKUP(AQ$4,Inflation!$A:$AH,4,0)*100),"")</f>
        <v/>
      </c>
      <c r="AR50" s="16" t="str">
        <f>IFERROR(IF(VLOOKUP(AR$4,Inflation!$A:$AH,4,0)="","",VLOOKUP(AR$4,Inflation!$A:$AH,4,0)*100),"")</f>
        <v/>
      </c>
      <c r="AS50" s="16" t="str">
        <f>IFERROR(IF(VLOOKUP(AS$4,Inflation!$A:$AH,4,0)="","",VLOOKUP(AS$4,Inflation!$A:$AH,4,0)*100),"")</f>
        <v/>
      </c>
      <c r="AT50" s="16" t="str">
        <f>IFERROR(IF(VLOOKUP(AT$4,Inflation!$A:$AH,4,0)="","",VLOOKUP(AT$4,Inflation!$A:$AH,4,0)*100),"")</f>
        <v/>
      </c>
      <c r="AU50" s="16" t="str">
        <f>IFERROR(IF(VLOOKUP(AU$4,Inflation!$A:$AH,4,0)="","",VLOOKUP(AU$4,Inflation!$A:$AH,4,0)*100),"")</f>
        <v/>
      </c>
      <c r="AV50" s="16" t="str">
        <f>IFERROR(IF(VLOOKUP(AV$4,Inflation!$A:$AH,4,0)="","",VLOOKUP(AV$4,Inflation!$A:$AH,4,0)*100),"")</f>
        <v/>
      </c>
      <c r="AW50" s="16" t="str">
        <f>IFERROR(IF(VLOOKUP(AW$4,Inflation!$A:$AH,4,0)="","",VLOOKUP(AW$4,Inflation!$A:$AH,4,0)*100),"")</f>
        <v/>
      </c>
      <c r="AX50" s="16" t="str">
        <f>IFERROR(IF(VLOOKUP(AX$4,Inflation!$A:$AH,4,0)="","",VLOOKUP(AX$4,Inflation!$A:$AH,4,0)*100),"")</f>
        <v/>
      </c>
      <c r="AY50" s="16" t="str">
        <f>IFERROR(IF(VLOOKUP(AY$4,Inflation!$A:$AH,4,0)="","",VLOOKUP(AY$4,Inflation!$A:$AH,4,0)*100),"")</f>
        <v/>
      </c>
    </row>
    <row r="51" spans="1:51" ht="19.5" customHeight="1">
      <c r="A51" s="3"/>
      <c r="B51" s="2" t="s">
        <v>148</v>
      </c>
      <c r="C51" s="47" t="s">
        <v>94</v>
      </c>
      <c r="D51" s="16">
        <f>IFERROR(IF(VLOOKUP(D$4,Inflation!$A:$AH,7,0)="","",VLOOKUP(D$4,Inflation!$A:$AH,7,0)*100),"")</f>
        <v>1.4090898862076484</v>
      </c>
      <c r="E51" s="16">
        <f>IFERROR(IF(VLOOKUP(E$4,Inflation!$A:$AH,7,0)="","",VLOOKUP(E$4,Inflation!$A:$AH,7,0)*100),"")</f>
        <v>1.2885219037499507</v>
      </c>
      <c r="F51" s="16">
        <f>IFERROR(IF(VLOOKUP(F$4,Inflation!$A:$AH,7,0)="","",VLOOKUP(F$4,Inflation!$A:$AH,7,0)*100),"")</f>
        <v>1.6608633793852468</v>
      </c>
      <c r="G51" s="16">
        <f>IFERROR(IF(VLOOKUP(G$4,Inflation!$A:$AH,7,0)="","",VLOOKUP(G$4,Inflation!$A:$AH,7,0)*100),"")</f>
        <v>2.9514130586105969</v>
      </c>
      <c r="H51" s="16">
        <f>IFERROR(IF(VLOOKUP(H$4,Inflation!$A:$AH,7,0)="","",VLOOKUP(H$4,Inflation!$A:$AH,7,0)*100),"")</f>
        <v>3.7955522754486548</v>
      </c>
      <c r="I51" s="16">
        <f>IFERROR(IF(VLOOKUP(I$4,Inflation!$A:$AH,7,0)="","",VLOOKUP(I$4,Inflation!$A:$AH,7,0)*100),"")</f>
        <v>4.4083142822765042</v>
      </c>
      <c r="J51" s="16">
        <f>IFERROR(IF(VLOOKUP(J$4,Inflation!$A:$AH,7,0)="","",VLOOKUP(J$4,Inflation!$A:$AH,7,0)*100),"")</f>
        <v>4.1780125078548114</v>
      </c>
      <c r="K51" s="16">
        <f>IFERROR(IF(VLOOKUP(K$4,Inflation!$A:$AH,7,0)="","",VLOOKUP(K$4,Inflation!$A:$AH,7,0)*100),"")</f>
        <v>3.9438445407104838</v>
      </c>
      <c r="L51" s="16">
        <f>IFERROR(IF(VLOOKUP(L$4,Inflation!$A:$AH,7,0)="","",VLOOKUP(L$4,Inflation!$A:$AH,7,0)*100),"")</f>
        <v>4.0221166216748871</v>
      </c>
      <c r="M51" s="16">
        <f>IFERROR(IF(VLOOKUP(M$4,Inflation!$A:$AH,7,0)="","",VLOOKUP(M$4,Inflation!$A:$AH,7,0)*100),"")</f>
        <v>4.5877965799521636</v>
      </c>
      <c r="N51" s="16">
        <f>IFERROR(IF(VLOOKUP(N$4,Inflation!$A:$AH,7,0)="","",VLOOKUP(N$4,Inflation!$A:$AH,7,0)*100),"")</f>
        <v>4.9792331262203504</v>
      </c>
      <c r="O51" s="16">
        <f>IFERROR(IF(VLOOKUP(O$4,Inflation!$A:$AH,7,0)="","",VLOOKUP(O$4,Inflation!$A:$AH,7,0)*100),"")</f>
        <v>5.5226868245105809</v>
      </c>
      <c r="P51" s="16">
        <f>IFERROR(IF(VLOOKUP(P$4,Inflation!$A:$AH,7,0)="","",VLOOKUP(P$4,Inflation!$A:$AH,7,0)*100),"")</f>
        <v>6.0687987040605407</v>
      </c>
      <c r="Q51" s="16">
        <f>IFERROR(IF(VLOOKUP(Q$4,Inflation!$A:$AH,7,0)="","",VLOOKUP(Q$4,Inflation!$A:$AH,7,0)*100),"")</f>
        <v>6.4345262940157522</v>
      </c>
      <c r="R51" s="16">
        <f>IFERROR(IF(VLOOKUP(R$4,Inflation!$A:$AH,7,0)="","",VLOOKUP(R$4,Inflation!$A:$AH,7,0)*100),"")</f>
        <v>6.4524207626525554</v>
      </c>
      <c r="S51" s="16">
        <f>IFERROR(IF(VLOOKUP(S$4,Inflation!$A:$AH,7,0)="","",VLOOKUP(S$4,Inflation!$A:$AH,7,0)*100),"")</f>
        <v>6.1381868684099894</v>
      </c>
      <c r="T51" s="16">
        <f>IFERROR(IF(VLOOKUP(T$4,Inflation!$A:$AH,7,0)="","",VLOOKUP(T$4,Inflation!$A:$AH,7,0)*100),"")</f>
        <v>6.0209538044069699</v>
      </c>
      <c r="U51" s="16">
        <f>IFERROR(IF(VLOOKUP(U$4,Inflation!$A:$AH,7,0)="","",VLOOKUP(U$4,Inflation!$A:$AH,7,0)*100),"")</f>
        <v>5.8849162333078908</v>
      </c>
      <c r="V51" s="16">
        <f>IFERROR(IF(VLOOKUP(V$4,Inflation!$A:$AH,7,0)="","",VLOOKUP(V$4,Inflation!$A:$AH,7,0)*100),"")</f>
        <v>5.8893013837327146</v>
      </c>
      <c r="W51" s="16">
        <f>IFERROR(IF(VLOOKUP(W$4,Inflation!$A:$AH,7,0)="","",VLOOKUP(W$4,Inflation!$A:$AH,7,0)*100),"")</f>
        <v>6.3005049147665249</v>
      </c>
      <c r="X51" s="16">
        <f>IFERROR(IF(VLOOKUP(X$4,Inflation!$A:$AH,7,0)="","",VLOOKUP(X$4,Inflation!$A:$AH,7,0)*100),"")</f>
        <v>6.6429554431556292</v>
      </c>
      <c r="Y51" s="16">
        <f>IFERROR(IF(VLOOKUP(Y$4,Inflation!$A:$AH,7,0)="","",VLOOKUP(Y$4,Inflation!$A:$AH,7,0)*100),"")</f>
        <v>6.3017600181825895</v>
      </c>
      <c r="Z51" s="16">
        <f>IFERROR(IF(VLOOKUP(Z$4,Inflation!$A:$AH,7,0)="","",VLOOKUP(Z$4,Inflation!$A:$AH,7,0)*100),"")</f>
        <v>5.9719771299499014</v>
      </c>
      <c r="AA51" s="16">
        <f>IFERROR(IF(VLOOKUP(AA$4,Inflation!$A:$AH,7,0)="","",VLOOKUP(AA$4,Inflation!$A:$AH,7,0)*100),"")</f>
        <v>5.7038566865245555</v>
      </c>
      <c r="AB51" s="16">
        <f>IFERROR(IF(VLOOKUP(AB$4,Inflation!$A:$AH,7,0)="","",VLOOKUP(AB$4,Inflation!$A:$AH,7,0)*100),"")</f>
        <v>5.5475745488019257</v>
      </c>
      <c r="AC51" s="16">
        <f>IFERROR(IF(VLOOKUP(AC$4,Inflation!$A:$AH,7,0)="","",VLOOKUP(AC$4,Inflation!$A:$AH,7,0)*100),"")</f>
        <v>5.5259988825148376</v>
      </c>
      <c r="AD51" s="16">
        <f>IFERROR(IF(VLOOKUP(AD$4,Inflation!$A:$AH,7,0)="","",VLOOKUP(AD$4,Inflation!$A:$AH,7,0)*100),"")</f>
        <v>5.6025684493125727</v>
      </c>
      <c r="AE51" s="16">
        <f>IFERROR(IF(VLOOKUP(AE$4,Inflation!$A:$AH,7,0)="","",VLOOKUP(AE$4,Inflation!$A:$AH,7,0)*100),"")</f>
        <v>5.5366550738610742</v>
      </c>
      <c r="AF51" s="16">
        <f>IFERROR(IF(VLOOKUP(AF$4,Inflation!$A:$AH,7,0)="","",VLOOKUP(AF$4,Inflation!$A:$AH,7,0)*100),"")</f>
        <v>5.3286387386185297</v>
      </c>
      <c r="AG51" s="16">
        <f>IFERROR(IF(VLOOKUP(AG$4,Inflation!$A:$AH,7,0)="","",VLOOKUP(AG$4,Inflation!$A:$AH,7,0)*100),"")</f>
        <v>4.8609434148365604</v>
      </c>
      <c r="AH51" s="16">
        <f>IFERROR(IF(VLOOKUP(AH$4,Inflation!$A:$AH,7,0)="","",VLOOKUP(AH$4,Inflation!$A:$AH,7,0)*100),"")</f>
        <v>4.7049249809273386</v>
      </c>
      <c r="AI51" s="16">
        <f>IFERROR(IF(VLOOKUP(AI$4,Inflation!$A:$AH,7,0)="","",VLOOKUP(AI$4,Inflation!$A:$AH,7,0)*100),"")</f>
        <v>4.3898475925282954</v>
      </c>
      <c r="AJ51" s="16">
        <f>IFERROR(IF(VLOOKUP(AJ$4,Inflation!$A:$AH,7,0)="","",VLOOKUP(AJ$4,Inflation!$A:$AH,7,0)*100),"")</f>
        <v>4.1302008788659972</v>
      </c>
      <c r="AK51" s="16">
        <f>IFERROR(IF(VLOOKUP(AK$4,Inflation!$A:$AH,7,0)="","",VLOOKUP(AK$4,Inflation!$A:$AH,7,0)*100),"")</f>
        <v>4.0196035853046652</v>
      </c>
      <c r="AL51" s="16">
        <f>IFERROR(IF(VLOOKUP(AL$4,Inflation!$A:$AH,7,0)="","",VLOOKUP(AL$4,Inflation!$A:$AH,7,0)*100),"")</f>
        <v>3.9931925891141251</v>
      </c>
      <c r="AM51" s="16">
        <f>IFERROR(IF(VLOOKUP(AM$4,Inflation!$A:$AH,7,0)="","",VLOOKUP(AM$4,Inflation!$A:$AH,7,0)*100),"")</f>
        <v>3.8996881841703912</v>
      </c>
      <c r="AN51" s="16" t="str">
        <f>IFERROR(IF(VLOOKUP(AN$4,Inflation!$A:$AH,7,0)="","",VLOOKUP(AN$4,Inflation!$A:$AH,7,0)*100),"")</f>
        <v/>
      </c>
      <c r="AO51" s="16" t="str">
        <f>IFERROR(IF(VLOOKUP(AO$4,Inflation!$A:$AH,7,0)="","",VLOOKUP(AO$4,Inflation!$A:$AH,7,0)*100),"")</f>
        <v/>
      </c>
      <c r="AP51" s="16" t="str">
        <f>IFERROR(IF(VLOOKUP(AP$4,Inflation!$A:$AH,7,0)="","",VLOOKUP(AP$4,Inflation!$A:$AH,7,0)*100),"")</f>
        <v/>
      </c>
      <c r="AQ51" s="16" t="str">
        <f>IFERROR(IF(VLOOKUP(AQ$4,Inflation!$A:$AH,7,0)="","",VLOOKUP(AQ$4,Inflation!$A:$AH,7,0)*100),"")</f>
        <v/>
      </c>
      <c r="AR51" s="16" t="str">
        <f>IFERROR(IF(VLOOKUP(AR$4,Inflation!$A:$AH,7,0)="","",VLOOKUP(AR$4,Inflation!$A:$AH,7,0)*100),"")</f>
        <v/>
      </c>
      <c r="AS51" s="16" t="str">
        <f>IFERROR(IF(VLOOKUP(AS$4,Inflation!$A:$AH,7,0)="","",VLOOKUP(AS$4,Inflation!$A:$AH,7,0)*100),"")</f>
        <v/>
      </c>
      <c r="AT51" s="16" t="str">
        <f>IFERROR(IF(VLOOKUP(AT$4,Inflation!$A:$AH,7,0)="","",VLOOKUP(AT$4,Inflation!$A:$AH,7,0)*100),"")</f>
        <v/>
      </c>
      <c r="AU51" s="16" t="str">
        <f>IFERROR(IF(VLOOKUP(AU$4,Inflation!$A:$AH,7,0)="","",VLOOKUP(AU$4,Inflation!$A:$AH,7,0)*100),"")</f>
        <v/>
      </c>
      <c r="AV51" s="16" t="str">
        <f>IFERROR(IF(VLOOKUP(AV$4,Inflation!$A:$AH,7,0)="","",VLOOKUP(AV$4,Inflation!$A:$AH,7,0)*100),"")</f>
        <v/>
      </c>
      <c r="AW51" s="16" t="str">
        <f>IFERROR(IF(VLOOKUP(AW$4,Inflation!$A:$AH,7,0)="","",VLOOKUP(AW$4,Inflation!$A:$AH,7,0)*100),"")</f>
        <v/>
      </c>
      <c r="AX51" s="16" t="str">
        <f>IFERROR(IF(VLOOKUP(AX$4,Inflation!$A:$AH,7,0)="","",VLOOKUP(AX$4,Inflation!$A:$AH,7,0)*100),"")</f>
        <v/>
      </c>
      <c r="AY51" s="16" t="str">
        <f>IFERROR(IF(VLOOKUP(AY$4,Inflation!$A:$AH,7,0)="","",VLOOKUP(AY$4,Inflation!$A:$AH,7,0)*100),"")</f>
        <v/>
      </c>
    </row>
    <row r="52" spans="1:51" ht="19.5" customHeight="1">
      <c r="A52" s="3"/>
      <c r="B52" s="2" t="s">
        <v>153</v>
      </c>
      <c r="C52" s="47" t="s">
        <v>94</v>
      </c>
      <c r="D52" s="16">
        <f>IFERROR(IF(VLOOKUP(D$4,Inflation!$A:$AH,12,0)="","",VLOOKUP(D$4,Inflation!$A:$AH,12,0)*100),"")</f>
        <v>1.3393032718691744</v>
      </c>
      <c r="E52" s="16">
        <f>IFERROR(IF(VLOOKUP(E$4,Inflation!$A:$AH,12,0)="","",VLOOKUP(E$4,Inflation!$A:$AH,12,0)*100),"")</f>
        <v>1.3754643474692019</v>
      </c>
      <c r="F52" s="16">
        <f>IFERROR(IF(VLOOKUP(F$4,Inflation!$A:$AH,12,0)="","",VLOOKUP(F$4,Inflation!$A:$AH,12,0)*100),"")</f>
        <v>1.7740313927474771</v>
      </c>
      <c r="G52" s="16">
        <f>IFERROR(IF(VLOOKUP(G$4,Inflation!$A:$AH,12,0)="","",VLOOKUP(G$4,Inflation!$A:$AH,12,0)*100),"")</f>
        <v>2.60711416923054</v>
      </c>
      <c r="H52" s="16">
        <f>IFERROR(IF(VLOOKUP(H$4,Inflation!$A:$AH,12,0)="","",VLOOKUP(H$4,Inflation!$A:$AH,12,0)*100),"")</f>
        <v>3.0505052342449712</v>
      </c>
      <c r="I52" s="16">
        <f>IFERROR(IF(VLOOKUP(I$4,Inflation!$A:$AH,12,0)="","",VLOOKUP(I$4,Inflation!$A:$AH,12,0)*100),"")</f>
        <v>3.1837132328470297</v>
      </c>
      <c r="J52" s="16">
        <f>IFERROR(IF(VLOOKUP(J$4,Inflation!$A:$AH,12,0)="","",VLOOKUP(J$4,Inflation!$A:$AH,12,0)*100),"")</f>
        <v>3.0094836670179204</v>
      </c>
      <c r="K52" s="16">
        <f>IFERROR(IF(VLOOKUP(K$4,Inflation!$A:$AH,12,0)="","",VLOOKUP(K$4,Inflation!$A:$AH,12,0)*100),"")</f>
        <v>3.0039074241058117</v>
      </c>
      <c r="L52" s="16">
        <f>IFERROR(IF(VLOOKUP(L$4,Inflation!$A:$AH,12,0)="","",VLOOKUP(L$4,Inflation!$A:$AH,12,0)*100),"")</f>
        <v>3.1941474665449388</v>
      </c>
      <c r="M52" s="16">
        <f>IFERROR(IF(VLOOKUP(M$4,Inflation!$A:$AH,12,0)="","",VLOOKUP(M$4,Inflation!$A:$AH,12,0)*100),"")</f>
        <v>3.6483081353491542</v>
      </c>
      <c r="N52" s="16">
        <f>IFERROR(IF(VLOOKUP(N$4,Inflation!$A:$AH,12,0)="","",VLOOKUP(N$4,Inflation!$A:$AH,12,0)*100),"")</f>
        <v>3.7956095226701736</v>
      </c>
      <c r="O52" s="16">
        <f>IFERROR(IF(VLOOKUP(O$4,Inflation!$A:$AH,12,0)="","",VLOOKUP(O$4,Inflation!$A:$AH,12,0)*100),"")</f>
        <v>4.0584401042677687</v>
      </c>
      <c r="P52" s="16">
        <f>IFERROR(IF(VLOOKUP(P$4,Inflation!$A:$AH,12,0)="","",VLOOKUP(P$4,Inflation!$A:$AH,12,0)*100),"")</f>
        <v>4.5714268655290713</v>
      </c>
      <c r="Q52" s="16">
        <f>IFERROR(IF(VLOOKUP(Q$4,Inflation!$A:$AH,12,0)="","",VLOOKUP(Q$4,Inflation!$A:$AH,12,0)*100),"")</f>
        <v>4.8086397151846816</v>
      </c>
      <c r="R52" s="16">
        <f>IFERROR(IF(VLOOKUP(R$4,Inflation!$A:$AH,12,0)="","",VLOOKUP(R$4,Inflation!$A:$AH,12,0)*100),"")</f>
        <v>5.1112581170516647</v>
      </c>
      <c r="S52" s="16">
        <f>IFERROR(IF(VLOOKUP(S$4,Inflation!$A:$AH,12,0)="","",VLOOKUP(S$4,Inflation!$A:$AH,12,0)*100),"")</f>
        <v>5.3694764642281179</v>
      </c>
      <c r="T52" s="16">
        <f>IFERROR(IF(VLOOKUP(T$4,Inflation!$A:$AH,12,0)="","",VLOOKUP(T$4,Inflation!$A:$AH,12,0)*100),"")</f>
        <v>5.7430076873516089</v>
      </c>
      <c r="U52" s="16">
        <f>IFERROR(IF(VLOOKUP(U$4,Inflation!$A:$AH,12,0)="","",VLOOKUP(U$4,Inflation!$A:$AH,12,0)*100),"")</f>
        <v>6.2167019988330185</v>
      </c>
      <c r="V52" s="16">
        <f>IFERROR(IF(VLOOKUP(V$4,Inflation!$A:$AH,12,0)="","",VLOOKUP(V$4,Inflation!$A:$AH,12,0)*100),"")</f>
        <v>6.2613621085735316</v>
      </c>
      <c r="W52" s="16">
        <f>IFERROR(IF(VLOOKUP(W$4,Inflation!$A:$AH,12,0)="","",VLOOKUP(W$4,Inflation!$A:$AH,12,0)*100),"")</f>
        <v>6.8095735554167813</v>
      </c>
      <c r="X52" s="16">
        <f>IFERROR(IF(VLOOKUP(X$4,Inflation!$A:$AH,12,0)="","",VLOOKUP(X$4,Inflation!$A:$AH,12,0)*100),"")</f>
        <v>7.3651126244106857</v>
      </c>
      <c r="Y52" s="16">
        <f>IFERROR(IF(VLOOKUP(Y$4,Inflation!$A:$AH,12,0)="","",VLOOKUP(Y$4,Inflation!$A:$AH,12,0)*100),"")</f>
        <v>7.2374552126926783</v>
      </c>
      <c r="Z52" s="16">
        <f>IFERROR(IF(VLOOKUP(Z$4,Inflation!$A:$AH,12,0)="","",VLOOKUP(Z$4,Inflation!$A:$AH,12,0)*100),"")</f>
        <v>7.223722161872459</v>
      </c>
      <c r="AA52" s="16">
        <f>IFERROR(IF(VLOOKUP(AA$4,Inflation!$A:$AH,12,0)="","",VLOOKUP(AA$4,Inflation!$A:$AH,12,0)*100),"")</f>
        <v>7.5104950085939981</v>
      </c>
      <c r="AB52" s="16">
        <f>IFERROR(IF(VLOOKUP(AB$4,Inflation!$A:$AH,12,0)="","",VLOOKUP(AB$4,Inflation!$A:$AH,12,0)*100),"")</f>
        <v>7.636067773384525</v>
      </c>
      <c r="AC52" s="16">
        <f>IFERROR(IF(VLOOKUP(AC$4,Inflation!$A:$AH,12,0)="","",VLOOKUP(AC$4,Inflation!$A:$AH,12,0)*100),"")</f>
        <v>7.6074083120556857</v>
      </c>
      <c r="AD52" s="16">
        <f>IFERROR(IF(VLOOKUP(AD$4,Inflation!$A:$AH,12,0)="","",VLOOKUP(AD$4,Inflation!$A:$AH,12,0)*100),"")</f>
        <v>7.2435504855656641</v>
      </c>
      <c r="AE52" s="16">
        <f>IFERROR(IF(VLOOKUP(AE$4,Inflation!$A:$AH,12,0)="","",VLOOKUP(AE$4,Inflation!$A:$AH,12,0)*100),"")</f>
        <v>6.7996142221923073</v>
      </c>
      <c r="AF52" s="16">
        <f>IFERROR(IF(VLOOKUP(AF$4,Inflation!$A:$AH,12,0)="","",VLOOKUP(AF$4,Inflation!$A:$AH,12,0)*100),"")</f>
        <v>6.301087833514174</v>
      </c>
      <c r="AG52" s="16">
        <f>IFERROR(IF(VLOOKUP(AG$4,Inflation!$A:$AH,12,0)="","",VLOOKUP(AG$4,Inflation!$A:$AH,12,0)*100),"")</f>
        <v>5.7476721941416287</v>
      </c>
      <c r="AH52" s="16">
        <f>IFERROR(IF(VLOOKUP(AH$4,Inflation!$A:$AH,12,0)="","",VLOOKUP(AH$4,Inflation!$A:$AH,12,0)*100),"")</f>
        <v>5.7084074824861109</v>
      </c>
      <c r="AI52" s="16">
        <f>IFERROR(IF(VLOOKUP(AI$4,Inflation!$A:$AH,12,0)="","",VLOOKUP(AI$4,Inflation!$A:$AH,12,0)*100),"")</f>
        <v>5.3951861869245832</v>
      </c>
      <c r="AJ52" s="16">
        <f>IFERROR(IF(VLOOKUP(AJ$4,Inflation!$A:$AH,12,0)="","",VLOOKUP(AJ$4,Inflation!$A:$AH,12,0)*100),"")</f>
        <v>5.1644223263075606</v>
      </c>
      <c r="AK52" s="16">
        <f>IFERROR(IF(VLOOKUP(AK$4,Inflation!$A:$AH,12,0)="","",VLOOKUP(AK$4,Inflation!$A:$AH,12,0)*100),"")</f>
        <v>5.0697786138196976</v>
      </c>
      <c r="AL52" s="16">
        <f>IFERROR(IF(VLOOKUP(AL$4,Inflation!$A:$AH,12,0)="","",VLOOKUP(AL$4,Inflation!$A:$AH,12,0)*100),"")</f>
        <v>5.1816479048481634</v>
      </c>
      <c r="AM52" s="16">
        <f>IFERROR(IF(VLOOKUP(AM$4,Inflation!$A:$AH,12,0)="","",VLOOKUP(AM$4,Inflation!$A:$AH,12,0)*100),"")</f>
        <v>4.9477811318136</v>
      </c>
      <c r="AN52" s="16" t="str">
        <f>IFERROR(IF(VLOOKUP(AN$4,Inflation!$A:$AH,12,0)="","",VLOOKUP(AN$4,Inflation!$A:$AH,12,0)*100),"")</f>
        <v/>
      </c>
      <c r="AO52" s="16" t="str">
        <f>IFERROR(IF(VLOOKUP(AO$4,Inflation!$A:$AH,12,0)="","",VLOOKUP(AO$4,Inflation!$A:$AH,12,0)*100),"")</f>
        <v/>
      </c>
      <c r="AP52" s="16" t="str">
        <f>IFERROR(IF(VLOOKUP(AP$4,Inflation!$A:$AH,12,0)="","",VLOOKUP(AP$4,Inflation!$A:$AH,12,0)*100),"")</f>
        <v/>
      </c>
      <c r="AQ52" s="16" t="str">
        <f>IFERROR(IF(VLOOKUP(AQ$4,Inflation!$A:$AH,12,0)="","",VLOOKUP(AQ$4,Inflation!$A:$AH,12,0)*100),"")</f>
        <v/>
      </c>
      <c r="AR52" s="16" t="str">
        <f>IFERROR(IF(VLOOKUP(AR$4,Inflation!$A:$AH,12,0)="","",VLOOKUP(AR$4,Inflation!$A:$AH,12,0)*100),"")</f>
        <v/>
      </c>
      <c r="AS52" s="16" t="str">
        <f>IFERROR(IF(VLOOKUP(AS$4,Inflation!$A:$AH,12,0)="","",VLOOKUP(AS$4,Inflation!$A:$AH,12,0)*100),"")</f>
        <v/>
      </c>
      <c r="AT52" s="16" t="str">
        <f>IFERROR(IF(VLOOKUP(AT$4,Inflation!$A:$AH,12,0)="","",VLOOKUP(AT$4,Inflation!$A:$AH,12,0)*100),"")</f>
        <v/>
      </c>
      <c r="AU52" s="16" t="str">
        <f>IFERROR(IF(VLOOKUP(AU$4,Inflation!$A:$AH,12,0)="","",VLOOKUP(AU$4,Inflation!$A:$AH,12,0)*100),"")</f>
        <v/>
      </c>
      <c r="AV52" s="16" t="str">
        <f>IFERROR(IF(VLOOKUP(AV$4,Inflation!$A:$AH,12,0)="","",VLOOKUP(AV$4,Inflation!$A:$AH,12,0)*100),"")</f>
        <v/>
      </c>
      <c r="AW52" s="16" t="str">
        <f>IFERROR(IF(VLOOKUP(AW$4,Inflation!$A:$AH,12,0)="","",VLOOKUP(AW$4,Inflation!$A:$AH,12,0)*100),"")</f>
        <v/>
      </c>
      <c r="AX52" s="16" t="str">
        <f>IFERROR(IF(VLOOKUP(AX$4,Inflation!$A:$AH,12,0)="","",VLOOKUP(AX$4,Inflation!$A:$AH,12,0)*100),"")</f>
        <v/>
      </c>
      <c r="AY52" s="16" t="str">
        <f>IFERROR(IF(VLOOKUP(AY$4,Inflation!$A:$AH,12,0)="","",VLOOKUP(AY$4,Inflation!$A:$AH,12,0)*100),"")</f>
        <v/>
      </c>
    </row>
    <row r="53" spans="1:51" ht="19.5" customHeight="1">
      <c r="A53" s="3"/>
      <c r="B53" s="2" t="s">
        <v>162</v>
      </c>
      <c r="C53" s="47" t="s">
        <v>94</v>
      </c>
      <c r="D53" s="16">
        <f>IFERROR(IF(VLOOKUP(D$4,Inflation!$A:$AH,18,0)="","",VLOOKUP(D$4,Inflation!$A:$AH,18,0)*100),"")</f>
        <v>3.4879032258064546</v>
      </c>
      <c r="E53" s="16">
        <f>IFERROR(IF(VLOOKUP(E$4,Inflation!$A:$AH,18,0)="","",VLOOKUP(E$4,Inflation!$A:$AH,18,0)*100),"")</f>
        <v>3.3539968622048777</v>
      </c>
      <c r="F53" s="16">
        <f>IFERROR(IF(VLOOKUP(F$4,Inflation!$A:$AH,18,0)="","",VLOOKUP(F$4,Inflation!$A:$AH,18,0)*100),"")</f>
        <v>3.790727415014028</v>
      </c>
      <c r="G53" s="16">
        <f>IFERROR(IF(VLOOKUP(G$4,Inflation!$A:$AH,18,0)="","",VLOOKUP(G$4,Inflation!$A:$AH,18,0)*100),"")</f>
        <v>7.4140875338181589</v>
      </c>
      <c r="H53" s="16">
        <f>IFERROR(IF(VLOOKUP(H$4,Inflation!$A:$AH,18,0)="","",VLOOKUP(H$4,Inflation!$A:$AH,18,0)*100),"")</f>
        <v>10.352518193091909</v>
      </c>
      <c r="I53" s="16">
        <f>IFERROR(IF(VLOOKUP(I$4,Inflation!$A:$AH,18,0)="","",VLOOKUP(I$4,Inflation!$A:$AH,18,0)*100),"")</f>
        <v>14.59331993196229</v>
      </c>
      <c r="J53" s="16">
        <f>IFERROR(IF(VLOOKUP(J$4,Inflation!$A:$AH,18,0)="","",VLOOKUP(J$4,Inflation!$A:$AH,18,0)*100),"")</f>
        <v>14.247327251515674</v>
      </c>
      <c r="K53" s="16">
        <f>IFERROR(IF(VLOOKUP(K$4,Inflation!$A:$AH,18,0)="","",VLOOKUP(K$4,Inflation!$A:$AH,18,0)*100),"")</f>
        <v>12.745918204291872</v>
      </c>
      <c r="L53" s="16">
        <f>IFERROR(IF(VLOOKUP(L$4,Inflation!$A:$AH,18,0)="","",VLOOKUP(L$4,Inflation!$A:$AH,18,0)*100),"")</f>
        <v>11.758597350096899</v>
      </c>
      <c r="M53" s="16">
        <f>IFERROR(IF(VLOOKUP(M$4,Inflation!$A:$AH,18,0)="","",VLOOKUP(M$4,Inflation!$A:$AH,18,0)*100),"")</f>
        <v>13.217450768391981</v>
      </c>
      <c r="N53" s="16">
        <f>IFERROR(IF(VLOOKUP(N$4,Inflation!$A:$AH,18,0)="","",VLOOKUP(N$4,Inflation!$A:$AH,18,0)*100),"")</f>
        <v>14.891552458667935</v>
      </c>
      <c r="O53" s="16">
        <f>IFERROR(IF(VLOOKUP(O$4,Inflation!$A:$AH,18,0)="","",VLOOKUP(O$4,Inflation!$A:$AH,18,0)*100),"")</f>
        <v>16.732290742383917</v>
      </c>
      <c r="P53" s="16">
        <f>IFERROR(IF(VLOOKUP(P$4,Inflation!$A:$AH,18,0)="","",VLOOKUP(P$4,Inflation!$A:$AH,18,0)*100),"")</f>
        <v>18.446466839219621</v>
      </c>
      <c r="Q53" s="16">
        <f>IFERROR(IF(VLOOKUP(Q$4,Inflation!$A:$AH,18,0)="","",VLOOKUP(Q$4,Inflation!$A:$AH,18,0)*100),"")</f>
        <v>18.763768303744975</v>
      </c>
      <c r="R53" s="16">
        <f>IFERROR(IF(VLOOKUP(R$4,Inflation!$A:$AH,18,0)="","",VLOOKUP(R$4,Inflation!$A:$AH,18,0)*100),"")</f>
        <v>17.45682917409934</v>
      </c>
      <c r="S53" s="16">
        <f>IFERROR(IF(VLOOKUP(S$4,Inflation!$A:$AH,18,0)="","",VLOOKUP(S$4,Inflation!$A:$AH,18,0)*100),"")</f>
        <v>14.047623300762746</v>
      </c>
      <c r="T53" s="16">
        <f>IFERROR(IF(VLOOKUP(T$4,Inflation!$A:$AH,18,0)="","",VLOOKUP(T$4,Inflation!$A:$AH,18,0)*100),"")</f>
        <v>11.404975956512642</v>
      </c>
      <c r="U53" s="16">
        <f>IFERROR(IF(VLOOKUP(U$4,Inflation!$A:$AH,18,0)="","",VLOOKUP(U$4,Inflation!$A:$AH,18,0)*100),"")</f>
        <v>8.3577910467901297</v>
      </c>
      <c r="V53" s="16">
        <f>IFERROR(IF(VLOOKUP(V$4,Inflation!$A:$AH,18,0)="","",VLOOKUP(V$4,Inflation!$A:$AH,18,0)*100),"")</f>
        <v>7.8955077716304167</v>
      </c>
      <c r="W53" s="16">
        <f>IFERROR(IF(VLOOKUP(W$4,Inflation!$A:$AH,18,0)="","",VLOOKUP(W$4,Inflation!$A:$AH,18,0)*100),"")</f>
        <v>7.7926084020442321</v>
      </c>
      <c r="X53" s="16">
        <f>IFERROR(IF(VLOOKUP(X$4,Inflation!$A:$AH,18,0)="","",VLOOKUP(X$4,Inflation!$A:$AH,18,0)*100),"")</f>
        <v>7.1381756336333924</v>
      </c>
      <c r="Y53" s="16">
        <f>IFERROR(IF(VLOOKUP(Y$4,Inflation!$A:$AH,18,0)="","",VLOOKUP(Y$4,Inflation!$A:$AH,18,0)*100),"")</f>
        <v>4.7308106696268393</v>
      </c>
      <c r="Z53" s="16">
        <f>IFERROR(IF(VLOOKUP(Z$4,Inflation!$A:$AH,18,0)="","",VLOOKUP(Z$4,Inflation!$A:$AH,18,0)*100),"")</f>
        <v>2.336655325241499</v>
      </c>
      <c r="AA53" s="16">
        <f>IFERROR(IF(VLOOKUP(AA$4,Inflation!$A:$AH,18,0)="","",VLOOKUP(AA$4,Inflation!$A:$AH,18,0)*100),"")</f>
        <v>-0.11639415653826868</v>
      </c>
      <c r="AB53" s="16">
        <f>IFERROR(IF(VLOOKUP(AB$4,Inflation!$A:$AH,18,0)="","",VLOOKUP(AB$4,Inflation!$A:$AH,18,0)*100),"")</f>
        <v>-1.2531622766825734</v>
      </c>
      <c r="AC53" s="16">
        <f>IFERROR(IF(VLOOKUP(AC$4,Inflation!$A:$AH,18,0)="","",VLOOKUP(AC$4,Inflation!$A:$AH,18,0)*100),"")</f>
        <v>-1.7839607201309393</v>
      </c>
      <c r="AD53" s="16">
        <f>IFERROR(IF(VLOOKUP(AD$4,Inflation!$A:$AH,18,0)="","",VLOOKUP(AD$4,Inflation!$A:$AH,18,0)*100),"")</f>
        <v>-0.97620930177940712</v>
      </c>
      <c r="AE53" s="16">
        <f>IFERROR(IF(VLOOKUP(AE$4,Inflation!$A:$AH,18,0)="","",VLOOKUP(AE$4,Inflation!$A:$AH,18,0)*100),"")</f>
        <v>-0.16994283029211354</v>
      </c>
      <c r="AF53" s="16">
        <f>IFERROR(IF(VLOOKUP(AF$4,Inflation!$A:$AH,18,0)="","",VLOOKUP(AF$4,Inflation!$A:$AH,18,0)*100),"")</f>
        <v>-4.926339495168186E-2</v>
      </c>
      <c r="AG53" s="16">
        <f>IFERROR(IF(VLOOKUP(AG$4,Inflation!$A:$AH,18,0)="","",VLOOKUP(AG$4,Inflation!$A:$AH,18,0)*100),"")</f>
        <v>-0.82813156706775803</v>
      </c>
      <c r="AH53" s="16">
        <f>IFERROR(IF(VLOOKUP(AH$4,Inflation!$A:$AH,18,0)="","",VLOOKUP(AH$4,Inflation!$A:$AH,18,0)*100),"")</f>
        <v>-1.4064512125114392</v>
      </c>
      <c r="AI53" s="16">
        <f>IFERROR(IF(VLOOKUP(AI$4,Inflation!$A:$AH,18,0)="","",VLOOKUP(AI$4,Inflation!$A:$AH,18,0)*100),"")</f>
        <v>-1.9730227234055819</v>
      </c>
      <c r="AJ53" s="16">
        <f>IFERROR(IF(VLOOKUP(AJ$4,Inflation!$A:$AH,18,0)="","",VLOOKUP(AJ$4,Inflation!$A:$AH,18,0)*100),"")</f>
        <v>-2.206149962443571</v>
      </c>
      <c r="AK53" s="16">
        <f>IFERROR(IF(VLOOKUP(AK$4,Inflation!$A:$AH,18,0)="","",VLOOKUP(AK$4,Inflation!$A:$AH,18,0)*100),"")</f>
        <v>-2.0668370846062878</v>
      </c>
      <c r="AL53" s="16">
        <f>IFERROR(IF(VLOOKUP(AL$4,Inflation!$A:$AH,18,0)="","",VLOOKUP(AL$4,Inflation!$A:$AH,18,0)*100),"")</f>
        <v>-1.6002766686578407</v>
      </c>
      <c r="AM53" s="16">
        <f>IFERROR(IF(VLOOKUP(AM$4,Inflation!$A:$AH,18,0)="","",VLOOKUP(AM$4,Inflation!$A:$AH,18,0)*100),"")</f>
        <v>-1.244569870311063</v>
      </c>
      <c r="AN53" s="16" t="str">
        <f>IFERROR(IF(VLOOKUP(AN$4,Inflation!$A:$AH,18,0)="","",VLOOKUP(AN$4,Inflation!$A:$AH,18,0)*100),"")</f>
        <v/>
      </c>
      <c r="AO53" s="16" t="str">
        <f>IFERROR(IF(VLOOKUP(AO$4,Inflation!$A:$AH,18,0)="","",VLOOKUP(AO$4,Inflation!$A:$AH,18,0)*100),"")</f>
        <v/>
      </c>
      <c r="AP53" s="16" t="str">
        <f>IFERROR(IF(VLOOKUP(AP$4,Inflation!$A:$AH,18,0)="","",VLOOKUP(AP$4,Inflation!$A:$AH,18,0)*100),"")</f>
        <v/>
      </c>
      <c r="AQ53" s="16" t="str">
        <f>IFERROR(IF(VLOOKUP(AQ$4,Inflation!$A:$AH,18,0)="","",VLOOKUP(AQ$4,Inflation!$A:$AH,18,0)*100),"")</f>
        <v/>
      </c>
      <c r="AR53" s="16" t="str">
        <f>IFERROR(IF(VLOOKUP(AR$4,Inflation!$A:$AH,18,0)="","",VLOOKUP(AR$4,Inflation!$A:$AH,18,0)*100),"")</f>
        <v/>
      </c>
      <c r="AS53" s="16" t="str">
        <f>IFERROR(IF(VLOOKUP(AS$4,Inflation!$A:$AH,18,0)="","",VLOOKUP(AS$4,Inflation!$A:$AH,18,0)*100),"")</f>
        <v/>
      </c>
      <c r="AT53" s="16" t="str">
        <f>IFERROR(IF(VLOOKUP(AT$4,Inflation!$A:$AH,18,0)="","",VLOOKUP(AT$4,Inflation!$A:$AH,18,0)*100),"")</f>
        <v/>
      </c>
      <c r="AU53" s="16" t="str">
        <f>IFERROR(IF(VLOOKUP(AU$4,Inflation!$A:$AH,18,0)="","",VLOOKUP(AU$4,Inflation!$A:$AH,18,0)*100),"")</f>
        <v/>
      </c>
      <c r="AV53" s="16" t="str">
        <f>IFERROR(IF(VLOOKUP(AV$4,Inflation!$A:$AH,18,0)="","",VLOOKUP(AV$4,Inflation!$A:$AH,18,0)*100),"")</f>
        <v/>
      </c>
      <c r="AW53" s="16" t="str">
        <f>IFERROR(IF(VLOOKUP(AW$4,Inflation!$A:$AH,18,0)="","",VLOOKUP(AW$4,Inflation!$A:$AH,18,0)*100),"")</f>
        <v/>
      </c>
      <c r="AX53" s="16" t="str">
        <f>IFERROR(IF(VLOOKUP(AX$4,Inflation!$A:$AH,18,0)="","",VLOOKUP(AX$4,Inflation!$A:$AH,18,0)*100),"")</f>
        <v/>
      </c>
      <c r="AY53" s="16" t="str">
        <f>IFERROR(IF(VLOOKUP(AY$4,Inflation!$A:$AH,18,0)="","",VLOOKUP(AY$4,Inflation!$A:$AH,18,0)*100),"")</f>
        <v/>
      </c>
    </row>
    <row r="54" spans="1:51" ht="19.5" customHeight="1">
      <c r="A54" s="3"/>
      <c r="B54" s="2" t="s">
        <v>133</v>
      </c>
      <c r="C54" s="47" t="s">
        <v>94</v>
      </c>
      <c r="D54" s="16">
        <f>IFERROR(IF(VLOOKUP(D$4,Inflation!$A:$AH,22,0)="","",VLOOKUP(D$4,Inflation!$A:$AH,22,0)*100),"")</f>
        <v>1.615003159164452</v>
      </c>
      <c r="E54" s="16">
        <f>IFERROR(IF(VLOOKUP(E$4,Inflation!$A:$AH,22,0)="","",VLOOKUP(E$4,Inflation!$A:$AH,22,0)*100),"")</f>
        <v>1.885204350030123</v>
      </c>
      <c r="F54" s="16">
        <f>IFERROR(IF(VLOOKUP(F$4,Inflation!$A:$AH,22,0)="","",VLOOKUP(F$4,Inflation!$A:$AH,22,0)*100),"")</f>
        <v>2.713022122450548</v>
      </c>
      <c r="G54" s="16">
        <f>IFERROR(IF(VLOOKUP(G$4,Inflation!$A:$AH,22,0)="","",VLOOKUP(G$4,Inflation!$A:$AH,22,0)*100),"")</f>
        <v>3.7246136652664852</v>
      </c>
      <c r="H54" s="16">
        <f>IFERROR(IF(VLOOKUP(H$4,Inflation!$A:$AH,22,0)="","",VLOOKUP(H$4,Inflation!$A:$AH,22,0)*100),"")</f>
        <v>4.1553566272018339</v>
      </c>
      <c r="I54" s="16">
        <f>IFERROR(IF(VLOOKUP(I$4,Inflation!$A:$AH,22,0)="","",VLOOKUP(I$4,Inflation!$A:$AH,22,0)*100),"")</f>
        <v>4.3724028061689735</v>
      </c>
      <c r="J54" s="16">
        <f>IFERROR(IF(VLOOKUP(J$4,Inflation!$A:$AH,22,0)="","",VLOOKUP(J$4,Inflation!$A:$AH,22,0)*100),"")</f>
        <v>4.5331496733339138</v>
      </c>
      <c r="K54" s="16">
        <f>IFERROR(IF(VLOOKUP(K$4,Inflation!$A:$AH,22,0)="","",VLOOKUP(K$4,Inflation!$A:$AH,22,0)*100),"")</f>
        <v>4.6448426131650011</v>
      </c>
      <c r="L54" s="16">
        <f>IFERROR(IF(VLOOKUP(L$4,Inflation!$A:$AH,22,0)="","",VLOOKUP(L$4,Inflation!$A:$AH,22,0)*100),"")</f>
        <v>4.8054222831467541</v>
      </c>
      <c r="M54" s="16">
        <f>IFERROR(IF(VLOOKUP(M$4,Inflation!$A:$AH,22,0)="","",VLOOKUP(M$4,Inflation!$A:$AH,22,0)*100),"")</f>
        <v>5.4069479852364877</v>
      </c>
      <c r="N54" s="16">
        <f>IFERROR(IF(VLOOKUP(N$4,Inflation!$A:$AH,22,0)="","",VLOOKUP(N$4,Inflation!$A:$AH,22,0)*100),"")</f>
        <v>5.9859121457836117</v>
      </c>
      <c r="O54" s="16">
        <f>IFERROR(IF(VLOOKUP(O$4,Inflation!$A:$AH,22,0)="","",VLOOKUP(O$4,Inflation!$A:$AH,22,0)*100),"")</f>
        <v>6.1802908038256721</v>
      </c>
      <c r="P54" s="16">
        <f>IFERROR(IF(VLOOKUP(P$4,Inflation!$A:$AH,22,0)="","",VLOOKUP(P$4,Inflation!$A:$AH,22,0)*100),"")</f>
        <v>6.2970464930048431</v>
      </c>
      <c r="Q54" s="16">
        <f>IFERROR(IF(VLOOKUP(Q$4,Inflation!$A:$AH,22,0)="","",VLOOKUP(Q$4,Inflation!$A:$AH,22,0)*100),"")</f>
        <v>6.547004374683163</v>
      </c>
      <c r="R54" s="16">
        <f>IFERROR(IF(VLOOKUP(R$4,Inflation!$A:$AH,22,0)="","",VLOOKUP(R$4,Inflation!$A:$AH,22,0)*100),"")</f>
        <v>6.8929445388825616</v>
      </c>
      <c r="S54" s="16">
        <f>IFERROR(IF(VLOOKUP(S$4,Inflation!$A:$AH,22,0)="","",VLOOKUP(S$4,Inflation!$A:$AH,22,0)*100),"")</f>
        <v>6.6197915699132359</v>
      </c>
      <c r="T54" s="16">
        <f>IFERROR(IF(VLOOKUP(T$4,Inflation!$A:$AH,22,0)="","",VLOOKUP(T$4,Inflation!$A:$AH,22,0)*100),"")</f>
        <v>6.6899553633313902</v>
      </c>
      <c r="U54" s="16">
        <f>IFERROR(IF(VLOOKUP(U$4,Inflation!$A:$AH,22,0)="","",VLOOKUP(U$4,Inflation!$A:$AH,22,0)*100),"")</f>
        <v>7.116914164865995</v>
      </c>
      <c r="V54" s="16">
        <f>IFERROR(IF(VLOOKUP(V$4,Inflation!$A:$AH,22,0)="","",VLOOKUP(V$4,Inflation!$A:$AH,22,0)*100),"")</f>
        <v>6.6169472913616412</v>
      </c>
      <c r="W54" s="16">
        <f>IFERROR(IF(VLOOKUP(W$4,Inflation!$A:$AH,22,0)="","",VLOOKUP(W$4,Inflation!$A:$AH,22,0)*100),"")</f>
        <v>6.5154000364497922</v>
      </c>
      <c r="X54" s="16">
        <f>IFERROR(IF(VLOOKUP(X$4,Inflation!$A:$AH,22,0)="","",VLOOKUP(X$4,Inflation!$A:$AH,22,0)*100),"")</f>
        <v>6.556096497602093</v>
      </c>
      <c r="Y54" s="16">
        <f>IFERROR(IF(VLOOKUP(Y$4,Inflation!$A:$AH,22,0)="","",VLOOKUP(Y$4,Inflation!$A:$AH,22,0)*100),"")</f>
        <v>6.3479171178976168</v>
      </c>
      <c r="Z54" s="16">
        <f>IFERROR(IF(VLOOKUP(Z$4,Inflation!$A:$AH,22,0)="","",VLOOKUP(Z$4,Inflation!$A:$AH,22,0)*100),"")</f>
        <v>5.928570147272505</v>
      </c>
      <c r="AA54" s="16">
        <f>IFERROR(IF(VLOOKUP(AA$4,Inflation!$A:$AH,22,0)="","",VLOOKUP(AA$4,Inflation!$A:$AH,22,0)*100),"")</f>
        <v>5.4419101924447544</v>
      </c>
      <c r="AB54" s="16">
        <f>IFERROR(IF(VLOOKUP(AB$4,Inflation!$A:$AH,22,0)="","",VLOOKUP(AB$4,Inflation!$A:$AH,22,0)*100),"")</f>
        <v>5.47908782316604</v>
      </c>
      <c r="AC54" s="16">
        <f>IFERROR(IF(VLOOKUP(AC$4,Inflation!$A:$AH,22,0)="","",VLOOKUP(AC$4,Inflation!$A:$AH,22,0)*100),"")</f>
        <v>5.1896102065271066</v>
      </c>
      <c r="AD54" s="16">
        <f>IFERROR(IF(VLOOKUP(AD$4,Inflation!$A:$AH,22,0)="","",VLOOKUP(AD$4,Inflation!$A:$AH,22,0)*100),"")</f>
        <v>4.4422697167223024</v>
      </c>
      <c r="AE54" s="16">
        <f>IFERROR(IF(VLOOKUP(AE$4,Inflation!$A:$AH,22,0)="","",VLOOKUP(AE$4,Inflation!$A:$AH,22,0)*100),"")</f>
        <v>4.4464190819677896</v>
      </c>
      <c r="AF54" s="16">
        <f>IFERROR(IF(VLOOKUP(AF$4,Inflation!$A:$AH,22,0)="","",VLOOKUP(AF$4,Inflation!$A:$AH,22,0)*100),"")</f>
        <v>3.9620255357483147</v>
      </c>
      <c r="AG54" s="16">
        <f>IFERROR(IF(VLOOKUP(AG$4,Inflation!$A:$AH,22,0)="","",VLOOKUP(AG$4,Inflation!$A:$AH,22,0)*100),"")</f>
        <v>3.1984205330700899</v>
      </c>
      <c r="AH54" s="16">
        <f>IFERROR(IF(VLOOKUP(AH$4,Inflation!$A:$AH,22,0)="","",VLOOKUP(AH$4,Inflation!$A:$AH,22,0)*100),"")</f>
        <v>3.314708482460893</v>
      </c>
      <c r="AI54" s="16">
        <f>IFERROR(IF(VLOOKUP(AI$4,Inflation!$A:$AH,22,0)="","",VLOOKUP(AI$4,Inflation!$A:$AH,22,0)*100),"")</f>
        <v>3.3475917529301125</v>
      </c>
      <c r="AJ54" s="16">
        <f>IFERROR(IF(VLOOKUP(AJ$4,Inflation!$A:$AH,22,0)="","",VLOOKUP(AJ$4,Inflation!$A:$AH,22,0)*100),"")</f>
        <v>3.3695893073290462</v>
      </c>
      <c r="AK54" s="16">
        <f>IFERROR(IF(VLOOKUP(AK$4,Inflation!$A:$AH,22,0)="","",VLOOKUP(AK$4,Inflation!$A:$AH,22,0)*100),"")</f>
        <v>2.9420749817552272</v>
      </c>
      <c r="AL54" s="16">
        <f>IFERROR(IF(VLOOKUP(AL$4,Inflation!$A:$AH,22,0)="","",VLOOKUP(AL$4,Inflation!$A:$AH,22,0)*100),"")</f>
        <v>2.6400460610986887</v>
      </c>
      <c r="AM54" s="16" t="str">
        <f>IFERROR(IF(VLOOKUP(AM$4,Inflation!$A:$AH,22,0)="","",VLOOKUP(AM$4,Inflation!$A:$AH,22,0)*100),"")</f>
        <v/>
      </c>
      <c r="AN54" s="16" t="str">
        <f>IFERROR(IF(VLOOKUP(AN$4,Inflation!$A:$AH,22,0)="","",VLOOKUP(AN$4,Inflation!$A:$AH,22,0)*100),"")</f>
        <v/>
      </c>
      <c r="AO54" s="16" t="str">
        <f>IFERROR(IF(VLOOKUP(AO$4,Inflation!$A:$AH,22,0)="","",VLOOKUP(AO$4,Inflation!$A:$AH,22,0)*100),"")</f>
        <v/>
      </c>
      <c r="AP54" s="16" t="str">
        <f>IFERROR(IF(VLOOKUP(AP$4,Inflation!$A:$AH,22,0)="","",VLOOKUP(AP$4,Inflation!$A:$AH,22,0)*100),"")</f>
        <v/>
      </c>
      <c r="AQ54" s="16" t="str">
        <f>IFERROR(IF(VLOOKUP(AQ$4,Inflation!$A:$AH,22,0)="","",VLOOKUP(AQ$4,Inflation!$A:$AH,22,0)*100),"")</f>
        <v/>
      </c>
      <c r="AR54" s="16" t="str">
        <f>IFERROR(IF(VLOOKUP(AR$4,Inflation!$A:$AH,22,0)="","",VLOOKUP(AR$4,Inflation!$A:$AH,22,0)*100),"")</f>
        <v/>
      </c>
      <c r="AS54" s="16" t="str">
        <f>IFERROR(IF(VLOOKUP(AS$4,Inflation!$A:$AH,22,0)="","",VLOOKUP(AS$4,Inflation!$A:$AH,22,0)*100),"")</f>
        <v/>
      </c>
      <c r="AT54" s="16" t="str">
        <f>IFERROR(IF(VLOOKUP(AT$4,Inflation!$A:$AH,22,0)="","",VLOOKUP(AT$4,Inflation!$A:$AH,22,0)*100),"")</f>
        <v/>
      </c>
      <c r="AU54" s="16" t="str">
        <f>IFERROR(IF(VLOOKUP(AU$4,Inflation!$A:$AH,22,0)="","",VLOOKUP(AU$4,Inflation!$A:$AH,22,0)*100),"")</f>
        <v/>
      </c>
      <c r="AV54" s="16" t="str">
        <f>IFERROR(IF(VLOOKUP(AV$4,Inflation!$A:$AH,22,0)="","",VLOOKUP(AV$4,Inflation!$A:$AH,22,0)*100),"")</f>
        <v/>
      </c>
      <c r="AW54" s="16" t="str">
        <f>IFERROR(IF(VLOOKUP(AW$4,Inflation!$A:$AH,22,0)="","",VLOOKUP(AW$4,Inflation!$A:$AH,22,0)*100),"")</f>
        <v/>
      </c>
      <c r="AX54" s="16" t="str">
        <f>IFERROR(IF(VLOOKUP(AX$4,Inflation!$A:$AH,22,0)="","",VLOOKUP(AX$4,Inflation!$A:$AH,22,0)*100),"")</f>
        <v/>
      </c>
      <c r="AY54" s="16" t="str">
        <f>IFERROR(IF(VLOOKUP(AY$4,Inflation!$A:$AH,22,0)="","",VLOOKUP(AY$4,Inflation!$A:$AH,22,0)*100),"")</f>
        <v/>
      </c>
    </row>
    <row r="55" spans="1:51" ht="19.5" customHeight="1">
      <c r="A55" s="3"/>
      <c r="B55" s="24" t="s">
        <v>163</v>
      </c>
      <c r="C55" s="47" t="s">
        <v>94</v>
      </c>
      <c r="D55" s="52">
        <f>IFERROR(IF(VLOOKUP(D$4,Inflation!$A:$AH,25,0)="","",VLOOKUP(D$4,Inflation!$A:$AH,25,0)*100),"")</f>
        <v>1.7152428810720322</v>
      </c>
      <c r="E55" s="53">
        <f>IFERROR(IF(VLOOKUP(E$4,Inflation!$A:$AH,25,0)="","",VLOOKUP(E$4,Inflation!$A:$AH,25,0)*100),"")</f>
        <v>1.7532293816402866</v>
      </c>
      <c r="F55" s="53">
        <f>IFERROR(IF(VLOOKUP(F$4,Inflation!$A:$AH,25,0)="","",VLOOKUP(F$4,Inflation!$A:$AH,25,0)*100),"")</f>
        <v>2.2555600175931723</v>
      </c>
      <c r="G55" s="53">
        <f>IFERROR(IF(VLOOKUP(G$4,Inflation!$A:$AH,25,0)="","",VLOOKUP(G$4,Inflation!$A:$AH,25,0)*100),"")</f>
        <v>3.2205454876867101</v>
      </c>
      <c r="H55" s="53">
        <f>IFERROR(IF(VLOOKUP(H$4,Inflation!$A:$AH,25,0)="","",VLOOKUP(H$4,Inflation!$A:$AH,25,0)*100),"")</f>
        <v>3.6439768502548819</v>
      </c>
      <c r="I55" s="53">
        <f>IFERROR(IF(VLOOKUP(I$4,Inflation!$A:$AH,25,0)="","",VLOOKUP(I$4,Inflation!$A:$AH,25,0)*100),"")</f>
        <v>3.9492188621121915</v>
      </c>
      <c r="J55" s="53">
        <f>IFERROR(IF(VLOOKUP(J$4,Inflation!$A:$AH,25,0)="","",VLOOKUP(J$4,Inflation!$A:$AH,25,0)*100),"")</f>
        <v>4.0099892291708406</v>
      </c>
      <c r="K55" s="53">
        <f>IFERROR(IF(VLOOKUP(K$4,Inflation!$A:$AH,25,0)="","",VLOOKUP(K$4,Inflation!$A:$AH,25,0)*100),"")</f>
        <v>4.0188541181613413</v>
      </c>
      <c r="L55" s="53">
        <f>IFERROR(IF(VLOOKUP(L$4,Inflation!$A:$AH,25,0)="","",VLOOKUP(L$4,Inflation!$A:$AH,25,0)*100),"")</f>
        <v>4.0743903596166531</v>
      </c>
      <c r="M55" s="53">
        <f>IFERROR(IF(VLOOKUP(M$4,Inflation!$A:$AH,25,0)="","",VLOOKUP(M$4,Inflation!$A:$AH,25,0)*100),"")</f>
        <v>4.5008059163743175</v>
      </c>
      <c r="N55" s="53">
        <f>IFERROR(IF(VLOOKUP(N$4,Inflation!$A:$AH,25,0)="","",VLOOKUP(N$4,Inflation!$A:$AH,25,0)*100),"")</f>
        <v>4.9511141427921679</v>
      </c>
      <c r="O55" s="53">
        <f>IFERROR(IF(VLOOKUP(O$4,Inflation!$A:$AH,25,0)="","",VLOOKUP(O$4,Inflation!$A:$AH,25,0)*100),"")</f>
        <v>5.238009801792276</v>
      </c>
      <c r="P55" s="53">
        <f>IFERROR(IF(VLOOKUP(P$4,Inflation!$A:$AH,25,0)="","",VLOOKUP(P$4,Inflation!$A:$AH,25,0)*100),"")</f>
        <v>5.3694938221649169</v>
      </c>
      <c r="Q55" s="53">
        <f>IFERROR(IF(VLOOKUP(Q$4,Inflation!$A:$AH,25,0)="","",VLOOKUP(Q$4,Inflation!$A:$AH,25,0)*100),"")</f>
        <v>5.5747002319270766</v>
      </c>
      <c r="R55" s="53">
        <f>IFERROR(IF(VLOOKUP(R$4,Inflation!$A:$AH,25,0)="","",VLOOKUP(R$4,Inflation!$A:$AH,25,0)*100),"")</f>
        <v>5.5495815606152687</v>
      </c>
      <c r="S55" s="53">
        <f>IFERROR(IF(VLOOKUP(S$4,Inflation!$A:$AH,25,0)="","",VLOOKUP(S$4,Inflation!$A:$AH,25,0)*100),"")</f>
        <v>5.2549398665353131</v>
      </c>
      <c r="T55" s="53">
        <f>IFERROR(IF(VLOOKUP(T$4,Inflation!$A:$AH,25,0)="","",VLOOKUP(T$4,Inflation!$A:$AH,25,0)*100),"")</f>
        <v>5.0745606330951265</v>
      </c>
      <c r="U55" s="53">
        <f>IFERROR(IF(VLOOKUP(U$4,Inflation!$A:$AH,25,0)="","",VLOOKUP(U$4,Inflation!$A:$AH,25,0)*100),"")</f>
        <v>5.1925820256776056</v>
      </c>
      <c r="V55" s="53">
        <f>IFERROR(IF(VLOOKUP(V$4,Inflation!$A:$AH,25,0)="","",VLOOKUP(V$4,Inflation!$A:$AH,25,0)*100),"")</f>
        <v>4.9615102639296138</v>
      </c>
      <c r="W55" s="53">
        <f>IFERROR(IF(VLOOKUP(W$4,Inflation!$A:$AH,25,0)="","",VLOOKUP(W$4,Inflation!$A:$AH,25,0)*100),"")</f>
        <v>5.207476840431946</v>
      </c>
      <c r="X55" s="53">
        <f>IFERROR(IF(VLOOKUP(X$4,Inflation!$A:$AH,25,0)="","",VLOOKUP(X$4,Inflation!$A:$AH,25,0)*100),"")</f>
        <v>5.4720834396995155</v>
      </c>
      <c r="Y55" s="53">
        <f>IFERROR(IF(VLOOKUP(Y$4,Inflation!$A:$AH,25,0)="","",VLOOKUP(Y$4,Inflation!$A:$AH,25,0)*100),"")</f>
        <v>5.3258571726684689</v>
      </c>
      <c r="Z55" s="53">
        <f>IFERROR(IF(VLOOKUP(Z$4,Inflation!$A:$AH,25,0)="","",VLOOKUP(Z$4,Inflation!$A:$AH,25,0)*100),"")</f>
        <v>5.0903609019841367</v>
      </c>
      <c r="AA55" s="53">
        <f>IFERROR(IF(VLOOKUP(AA$4,Inflation!$A:$AH,25,0)="","",VLOOKUP(AA$4,Inflation!$A:$AH,25,0)*100),"")</f>
        <v>4.8651364786533424</v>
      </c>
      <c r="AB55" s="53">
        <f>IFERROR(IF(VLOOKUP(AB$4,Inflation!$A:$AH,25,0)="","",VLOOKUP(AB$4,Inflation!$A:$AH,25,0)*100),"")</f>
        <v>4.901181534834298</v>
      </c>
      <c r="AC55" s="53">
        <f>IFERROR(IF(VLOOKUP(AC$4,Inflation!$A:$AH,25,0)="","",VLOOKUP(AC$4,Inflation!$A:$AH,25,0)*100),"")</f>
        <v>4.8445337792166088</v>
      </c>
      <c r="AD55" s="53">
        <f>IFERROR(IF(VLOOKUP(AD$4,Inflation!$A:$AH,25,0)="","",VLOOKUP(AD$4,Inflation!$A:$AH,25,0)*100),"")</f>
        <v>4.7829553508150324</v>
      </c>
      <c r="AE55" s="53">
        <f>IFERROR(IF(VLOOKUP(AE$4,Inflation!$A:$AH,25,0)="","",VLOOKUP(AE$4,Inflation!$A:$AH,25,0)*100),"")</f>
        <v>4.7629980220401213</v>
      </c>
      <c r="AF55" s="53">
        <f>IFERROR(IF(VLOOKUP(AF$4,Inflation!$A:$AH,25,0)="","",VLOOKUP(AF$4,Inflation!$A:$AH,25,0)*100),"")</f>
        <v>4.6878299429858439</v>
      </c>
      <c r="AG55" s="53">
        <f>IFERROR(IF(VLOOKUP(AG$4,Inflation!$A:$AH,25,0)="","",VLOOKUP(AG$4,Inflation!$A:$AH,25,0)*100),"")</f>
        <v>4.2800773423624427</v>
      </c>
      <c r="AH55" s="53">
        <f>IFERROR(IF(VLOOKUP(AH$4,Inflation!$A:$AH,25,0)="","",VLOOKUP(AH$4,Inflation!$A:$AH,25,0)*100),"")</f>
        <v>4.1891490736375214</v>
      </c>
      <c r="AI55" s="53">
        <f>IFERROR(IF(VLOOKUP(AI$4,Inflation!$A:$AH,25,0)="","",VLOOKUP(AI$4,Inflation!$A:$AH,25,0)*100),"")</f>
        <v>3.726184893798079</v>
      </c>
      <c r="AJ55" s="53">
        <f>IFERROR(IF(VLOOKUP(AJ$4,Inflation!$A:$AH,25,0)="","",VLOOKUP(AJ$4,Inflation!$A:$AH,25,0)*100),"")</f>
        <v>3.5924831008073532</v>
      </c>
      <c r="AK55" s="53">
        <f>IFERROR(IF(VLOOKUP(AK$4,Inflation!$A:$AH,25,0)="","",VLOOKUP(AK$4,Inflation!$A:$AH,25,0)*100),"")</f>
        <v>3.3879762591849216</v>
      </c>
      <c r="AL55" s="53">
        <f>IFERROR(IF(VLOOKUP(AL$4,Inflation!$A:$AH,25,0)="","",VLOOKUP(AL$4,Inflation!$A:$AH,25,0)*100),"")</f>
        <v>3.1550374945239934</v>
      </c>
      <c r="AM55" s="53" t="str">
        <f>IFERROR(IF(VLOOKUP(AM$4,Inflation!$A:$AH,25,0)="","",VLOOKUP(AM$4,Inflation!$A:$AH,25,0)*100),"")</f>
        <v/>
      </c>
      <c r="AN55" s="53" t="str">
        <f>IFERROR(IF(VLOOKUP(AN$4,Inflation!$A:$AH,25,0)="","",VLOOKUP(AN$4,Inflation!$A:$AH,25,0)*100),"")</f>
        <v/>
      </c>
      <c r="AO55" s="53" t="str">
        <f>IFERROR(IF(VLOOKUP(AO$4,Inflation!$A:$AH,25,0)="","",VLOOKUP(AO$4,Inflation!$A:$AH,25,0)*100),"")</f>
        <v/>
      </c>
      <c r="AP55" s="53" t="str">
        <f>IFERROR(IF(VLOOKUP(AP$4,Inflation!$A:$AH,25,0)="","",VLOOKUP(AP$4,Inflation!$A:$AH,25,0)*100),"")</f>
        <v/>
      </c>
      <c r="AQ55" s="53" t="str">
        <f>IFERROR(IF(VLOOKUP(AQ$4,Inflation!$A:$AH,25,0)="","",VLOOKUP(AQ$4,Inflation!$A:$AH,25,0)*100),"")</f>
        <v/>
      </c>
      <c r="AR55" s="53" t="str">
        <f>IFERROR(IF(VLOOKUP(AR$4,Inflation!$A:$AH,25,0)="","",VLOOKUP(AR$4,Inflation!$A:$AH,25,0)*100),"")</f>
        <v/>
      </c>
      <c r="AS55" s="53" t="str">
        <f>IFERROR(IF(VLOOKUP(AS$4,Inflation!$A:$AH,25,0)="","",VLOOKUP(AS$4,Inflation!$A:$AH,25,0)*100),"")</f>
        <v/>
      </c>
      <c r="AT55" s="53" t="str">
        <f>IFERROR(IF(VLOOKUP(AT$4,Inflation!$A:$AH,25,0)="","",VLOOKUP(AT$4,Inflation!$A:$AH,25,0)*100),"")</f>
        <v/>
      </c>
      <c r="AU55" s="53" t="str">
        <f>IFERROR(IF(VLOOKUP(AU$4,Inflation!$A:$AH,25,0)="","",VLOOKUP(AU$4,Inflation!$A:$AH,25,0)*100),"")</f>
        <v/>
      </c>
      <c r="AV55" s="53" t="str">
        <f>IFERROR(IF(VLOOKUP(AV$4,Inflation!$A:$AH,25,0)="","",VLOOKUP(AV$4,Inflation!$A:$AH,25,0)*100),"")</f>
        <v/>
      </c>
      <c r="AW55" s="53" t="str">
        <f>IFERROR(IF(VLOOKUP(AW$4,Inflation!$A:$AH,25,0)="","",VLOOKUP(AW$4,Inflation!$A:$AH,25,0)*100),"")</f>
        <v/>
      </c>
      <c r="AX55" s="53" t="str">
        <f>IFERROR(IF(VLOOKUP(AX$4,Inflation!$A:$AH,25,0)="","",VLOOKUP(AX$4,Inflation!$A:$AH,25,0)*100),"")</f>
        <v/>
      </c>
      <c r="AY55" s="53" t="str">
        <f>IFERROR(IF(VLOOKUP(AY$4,Inflation!$A:$AH,25,0)="","",VLOOKUP(AY$4,Inflation!$A:$AH,25,0)*100),"")</f>
        <v/>
      </c>
    </row>
    <row r="56" spans="1:51" ht="19.5" customHeight="1">
      <c r="A56" s="3"/>
      <c r="B56" s="2" t="s">
        <v>48</v>
      </c>
      <c r="C56" s="47" t="s">
        <v>94</v>
      </c>
      <c r="D56" s="16">
        <f>IF(VLOOKUP(D$4,Inflation!$A:$AH,10,0)="","",VLOOKUP(D$4,Inflation!$A:$AH,10,0))</f>
        <v>334.97199999999998</v>
      </c>
      <c r="E56" s="16">
        <f>IF(VLOOKUP(E$4,Inflation!$A:$AH,10,0)="","",VLOOKUP(E$4,Inflation!$A:$AH,10,0))</f>
        <v>335.93700000000001</v>
      </c>
      <c r="F56" s="16">
        <f>IF(VLOOKUP(F$4,Inflation!$A:$AH,10,0)="","",VLOOKUP(F$4,Inflation!$A:$AH,10,0))</f>
        <v>337.09899999999999</v>
      </c>
      <c r="G56" s="16">
        <f>IF(VLOOKUP(G$4,Inflation!$A:$AH,10,0)="","",VLOOKUP(G$4,Inflation!$A:$AH,10,0))</f>
        <v>338.50599999999997</v>
      </c>
      <c r="H56" s="16">
        <f>IF(VLOOKUP(H$4,Inflation!$A:$AH,10,0)="","",VLOOKUP(H$4,Inflation!$A:$AH,10,0))</f>
        <v>339.90899999999999</v>
      </c>
      <c r="I56" s="16">
        <f>IF(VLOOKUP(I$4,Inflation!$A:$AH,10,0)="","",VLOOKUP(I$4,Inflation!$A:$AH,10,0))</f>
        <v>341.04899999999998</v>
      </c>
      <c r="J56" s="16">
        <f>IF(VLOOKUP(J$4,Inflation!$A:$AH,10,0)="","",VLOOKUP(J$4,Inflation!$A:$AH,10,0))</f>
        <v>342.14600000000002</v>
      </c>
      <c r="K56" s="16">
        <f>IF(VLOOKUP(K$4,Inflation!$A:$AH,10,0)="","",VLOOKUP(K$4,Inflation!$A:$AH,10,0))</f>
        <v>342.69400000000002</v>
      </c>
      <c r="L56" s="16">
        <f>IF(VLOOKUP(L$4,Inflation!$A:$AH,10,0)="","",VLOOKUP(L$4,Inflation!$A:$AH,10,0))</f>
        <v>343.62</v>
      </c>
      <c r="M56" s="16">
        <f>IF(VLOOKUP(M$4,Inflation!$A:$AH,10,0)="","",VLOOKUP(M$4,Inflation!$A:$AH,10,0))</f>
        <v>345.52199999999999</v>
      </c>
      <c r="N56" s="16">
        <f>IF(VLOOKUP(N$4,Inflation!$A:$AH,10,0)="","",VLOOKUP(N$4,Inflation!$A:$AH,10,0))</f>
        <v>347.05099999999999</v>
      </c>
      <c r="O56" s="16">
        <f>IF(VLOOKUP(O$4,Inflation!$A:$AH,10,0)="","",VLOOKUP(O$4,Inflation!$A:$AH,10,0))</f>
        <v>348.49900000000002</v>
      </c>
      <c r="P56" s="16">
        <f>IF(VLOOKUP(P$4,Inflation!$A:$AH,10,0)="","",VLOOKUP(P$4,Inflation!$A:$AH,10,0))</f>
        <v>350.28500000000003</v>
      </c>
      <c r="Q56" s="16">
        <f>IF(VLOOKUP(Q$4,Inflation!$A:$AH,10,0)="","",VLOOKUP(Q$4,Inflation!$A:$AH,10,0))</f>
        <v>352.09100000000001</v>
      </c>
      <c r="R56" s="16">
        <f>IF(VLOOKUP(R$4,Inflation!$A:$AH,10,0)="","",VLOOKUP(R$4,Inflation!$A:$AH,10,0))</f>
        <v>354.32900000000001</v>
      </c>
      <c r="S56" s="16">
        <f>IF(VLOOKUP(S$4,Inflation!$A:$AH,10,0)="","",VLOOKUP(S$4,Inflation!$A:$AH,10,0))</f>
        <v>356.68200000000002</v>
      </c>
      <c r="T56" s="16">
        <f>IF(VLOOKUP(T$4,Inflation!$A:$AH,10,0)="","",VLOOKUP(T$4,Inflation!$A:$AH,10,0))</f>
        <v>359.43</v>
      </c>
      <c r="U56" s="16">
        <f>IF(VLOOKUP(U$4,Inflation!$A:$AH,10,0)="","",VLOOKUP(U$4,Inflation!$A:$AH,10,0))</f>
        <v>362.25099999999998</v>
      </c>
      <c r="V56" s="16">
        <f>IF(VLOOKUP(V$4,Inflation!$A:$AH,10,0)="","",VLOOKUP(V$4,Inflation!$A:$AH,10,0))</f>
        <v>363.56900000000002</v>
      </c>
      <c r="W56" s="16">
        <f>IF(VLOOKUP(W$4,Inflation!$A:$AH,10,0)="","",VLOOKUP(W$4,Inflation!$A:$AH,10,0))</f>
        <v>366.03</v>
      </c>
      <c r="X56" s="16">
        <f>IF(VLOOKUP(X$4,Inflation!$A:$AH,10,0)="","",VLOOKUP(X$4,Inflation!$A:$AH,10,0))</f>
        <v>368.928</v>
      </c>
      <c r="Y56" s="16">
        <f>IF(VLOOKUP(Y$4,Inflation!$A:$AH,10,0)="","",VLOOKUP(Y$4,Inflation!$A:$AH,10,0))</f>
        <v>370.529</v>
      </c>
      <c r="Z56" s="16">
        <f>IF(VLOOKUP(Z$4,Inflation!$A:$AH,10,0)="","",VLOOKUP(Z$4,Inflation!$A:$AH,10,0))</f>
        <v>372.12099999999998</v>
      </c>
      <c r="AA56" s="16">
        <f>IF(VLOOKUP(AA$4,Inflation!$A:$AH,10,0)="","",VLOOKUP(AA$4,Inflation!$A:$AH,10,0))</f>
        <v>374.673</v>
      </c>
      <c r="AB56" s="16">
        <f>IF(VLOOKUP(AB$4,Inflation!$A:$AH,10,0)="","",VLOOKUP(AB$4,Inflation!$A:$AH,10,0))</f>
        <v>377.03300000000002</v>
      </c>
      <c r="AC56" s="16">
        <f>IF(VLOOKUP(AC$4,Inflation!$A:$AH,10,0)="","",VLOOKUP(AC$4,Inflation!$A:$AH,10,0))</f>
        <v>378.87599999999998</v>
      </c>
      <c r="AD56" s="16">
        <f>IF(VLOOKUP(AD$4,Inflation!$A:$AH,10,0)="","",VLOOKUP(AD$4,Inflation!$A:$AH,10,0))</f>
        <v>379.995</v>
      </c>
      <c r="AE56" s="16">
        <f>IF(VLOOKUP(AE$4,Inflation!$A:$AH,10,0)="","",VLOOKUP(AE$4,Inflation!$A:$AH,10,0))</f>
        <v>380.935</v>
      </c>
      <c r="AF56" s="16">
        <f>IF(VLOOKUP(AF$4,Inflation!$A:$AH,10,0)="","",VLOOKUP(AF$4,Inflation!$A:$AH,10,0))</f>
        <v>382.07799999999997</v>
      </c>
      <c r="AG56" s="16">
        <f>IF(VLOOKUP(AG$4,Inflation!$A:$AH,10,0)="","",VLOOKUP(AG$4,Inflation!$A:$AH,10,0))</f>
        <v>383.072</v>
      </c>
      <c r="AH56" s="16">
        <f>IF(VLOOKUP(AH$4,Inflation!$A:$AH,10,0)="","",VLOOKUP(AH$4,Inflation!$A:$AH,10,0))</f>
        <v>384.32299999999998</v>
      </c>
      <c r="AI56" s="16">
        <f>IF(VLOOKUP(AI$4,Inflation!$A:$AH,10,0)="","",VLOOKUP(AI$4,Inflation!$A:$AH,10,0))</f>
        <v>385.77800000000002</v>
      </c>
      <c r="AJ56" s="16">
        <f>IF(VLOOKUP(AJ$4,Inflation!$A:$AH,10,0)="","",VLOOKUP(AJ$4,Inflation!$A:$AH,10,0))</f>
        <v>387.98099999999999</v>
      </c>
      <c r="AK56" s="16">
        <f>IF(VLOOKUP(AK$4,Inflation!$A:$AH,10,0)="","",VLOOKUP(AK$4,Inflation!$A:$AH,10,0))</f>
        <v>389.31400000000002</v>
      </c>
      <c r="AL56" s="16">
        <f>IF(VLOOKUP(AL$4,Inflation!$A:$AH,10,0)="","",VLOOKUP(AL$4,Inflation!$A:$AH,10,0))</f>
        <v>391.40300000000002</v>
      </c>
      <c r="AM56" s="16">
        <f>IF(VLOOKUP(AM$4,Inflation!$A:$AH,10,0)="","",VLOOKUP(AM$4,Inflation!$A:$AH,10,0))</f>
        <v>393.21100000000001</v>
      </c>
      <c r="AN56" s="16" t="str">
        <f>IF(VLOOKUP(AN$4,Inflation!$A:$AH,10,0)="","",VLOOKUP(AN$4,Inflation!$A:$AH,10,0))</f>
        <v/>
      </c>
      <c r="AO56" s="16" t="str">
        <f>IF(VLOOKUP(AO$4,Inflation!$A:$AH,10,0)="","",VLOOKUP(AO$4,Inflation!$A:$AH,10,0))</f>
        <v/>
      </c>
      <c r="AP56" s="16" t="str">
        <f>IF(VLOOKUP(AP$4,Inflation!$A:$AH,10,0)="","",VLOOKUP(AP$4,Inflation!$A:$AH,10,0))</f>
        <v/>
      </c>
      <c r="AQ56" s="16" t="str">
        <f>IF(VLOOKUP(AQ$4,Inflation!$A:$AH,10,0)="","",VLOOKUP(AQ$4,Inflation!$A:$AH,10,0))</f>
        <v/>
      </c>
      <c r="AR56" s="16" t="str">
        <f>IF(VLOOKUP(AR$4,Inflation!$A:$AH,10,0)="","",VLOOKUP(AR$4,Inflation!$A:$AH,10,0))</f>
        <v/>
      </c>
      <c r="AS56" s="16" t="str">
        <f>IF(VLOOKUP(AS$4,Inflation!$A:$AH,10,0)="","",VLOOKUP(AS$4,Inflation!$A:$AH,10,0))</f>
        <v/>
      </c>
      <c r="AT56" s="16" t="str">
        <f>IF(VLOOKUP(AT$4,Inflation!$A:$AH,10,0)="","",VLOOKUP(AT$4,Inflation!$A:$AH,10,0))</f>
        <v/>
      </c>
      <c r="AU56" s="16" t="str">
        <f>IF(VLOOKUP(AU$4,Inflation!$A:$AH,10,0)="","",VLOOKUP(AU$4,Inflation!$A:$AH,10,0))</f>
        <v/>
      </c>
      <c r="AV56" s="16" t="str">
        <f>IF(VLOOKUP(AV$4,Inflation!$A:$AH,10,0)="","",VLOOKUP(AV$4,Inflation!$A:$AH,10,0))</f>
        <v/>
      </c>
      <c r="AW56" s="16" t="str">
        <f>IF(VLOOKUP(AW$4,Inflation!$A:$AH,10,0)="","",VLOOKUP(AW$4,Inflation!$A:$AH,10,0))</f>
        <v/>
      </c>
      <c r="AX56" s="16" t="str">
        <f>IF(VLOOKUP(AX$4,Inflation!$A:$AH,10,0)="","",VLOOKUP(AX$4,Inflation!$A:$AH,10,0))</f>
        <v/>
      </c>
      <c r="AY56" s="16" t="str">
        <f>IF(VLOOKUP(AY$4,Inflation!$A:$AH,10,0)="","",VLOOKUP(AY$4,Inflation!$A:$AH,10,0))</f>
        <v/>
      </c>
    </row>
    <row r="57" spans="1:51" ht="19.5" customHeight="1">
      <c r="A57" s="3"/>
      <c r="B57" s="2" t="s">
        <v>36</v>
      </c>
      <c r="C57" s="47" t="s">
        <v>94</v>
      </c>
      <c r="D57" s="16">
        <f>IFERROR(IF(VLOOKUP(D$4,Inflation!$A:$AH,19,0)="","",VLOOKUP(D$4,Inflation!$A:$AH,19,0)),"")</f>
        <v>1.7985869999999999</v>
      </c>
      <c r="E57" s="16">
        <f>IFERROR(IF(VLOOKUP(E$4,Inflation!$A:$AH,19,0)="","",VLOOKUP(E$4,Inflation!$A:$AH,19,0)),"")</f>
        <v>1.716599</v>
      </c>
      <c r="F57" s="16">
        <f>IFERROR(IF(VLOOKUP(F$4,Inflation!$A:$AH,19,0)="","",VLOOKUP(F$4,Inflation!$A:$AH,19,0)),"")</f>
        <v>1.517012</v>
      </c>
      <c r="G57" s="16">
        <f>IFERROR(IF(VLOOKUP(G$4,Inflation!$A:$AH,19,0)="","",VLOOKUP(G$4,Inflation!$A:$AH,19,0)),"")</f>
        <v>1.5270090000000001</v>
      </c>
      <c r="H57" s="16">
        <f>IFERROR(IF(VLOOKUP(H$4,Inflation!$A:$AH,19,0)="","",VLOOKUP(H$4,Inflation!$A:$AH,19,0)),"")</f>
        <v>1.7069840000000001</v>
      </c>
      <c r="I57" s="16">
        <f>IFERROR(IF(VLOOKUP(I$4,Inflation!$A:$AH,19,0)="","",VLOOKUP(I$4,Inflation!$A:$AH,19,0)),"")</f>
        <v>2.2623310000000001</v>
      </c>
      <c r="J57" s="16">
        <f>IFERROR(IF(VLOOKUP(J$4,Inflation!$A:$AH,19,0)="","",VLOOKUP(J$4,Inflation!$A:$AH,19,0)),"")</f>
        <v>2.6231640000000001</v>
      </c>
      <c r="K57" s="16">
        <f>IFERROR(IF(VLOOKUP(K$4,Inflation!$A:$AH,19,0)="","",VLOOKUP(K$4,Inflation!$A:$AH,19,0)),"")</f>
        <v>2.5885790000000002</v>
      </c>
      <c r="L57" s="16">
        <f>IFERROR(IF(VLOOKUP(L$4,Inflation!$A:$AH,19,0)="","",VLOOKUP(L$4,Inflation!$A:$AH,19,0)),"")</f>
        <v>2.315464</v>
      </c>
      <c r="M57" s="16">
        <f>IFERROR(IF(VLOOKUP(M$4,Inflation!$A:$AH,19,0)="","",VLOOKUP(M$4,Inflation!$A:$AH,19,0)),"")</f>
        <v>2.343064</v>
      </c>
      <c r="N57" s="16">
        <f>IFERROR(IF(VLOOKUP(N$4,Inflation!$A:$AH,19,0)="","",VLOOKUP(N$4,Inflation!$A:$AH,19,0)),"")</f>
        <v>2.6383830000000001</v>
      </c>
      <c r="O57" s="16">
        <f>IFERROR(IF(VLOOKUP(O$4,Inflation!$A:$AH,19,0)="","",VLOOKUP(O$4,Inflation!$A:$AH,19,0)),"")</f>
        <v>3.0356190000000001</v>
      </c>
      <c r="P57" s="16">
        <f>IFERROR(IF(VLOOKUP(P$4,Inflation!$A:$AH,19,0)="","",VLOOKUP(P$4,Inflation!$A:$AH,19,0)),"")</f>
        <v>3.2143199999999998</v>
      </c>
      <c r="Q57" s="16">
        <f>IFERROR(IF(VLOOKUP(Q$4,Inflation!$A:$AH,19,0)="","",VLOOKUP(Q$4,Inflation!$A:$AH,19,0)),"")</f>
        <v>3.484143</v>
      </c>
      <c r="R57" s="16">
        <f>IFERROR(IF(VLOOKUP(R$4,Inflation!$A:$AH,19,0)="","",VLOOKUP(R$4,Inflation!$A:$AH,19,0)),"")</f>
        <v>3.9886590000000002</v>
      </c>
      <c r="S57" s="16">
        <f>IFERROR(IF(VLOOKUP(S$4,Inflation!$A:$AH,19,0)="","",VLOOKUP(S$4,Inflation!$A:$AH,19,0)),"")</f>
        <v>4.3070700000000004</v>
      </c>
      <c r="T57" s="16">
        <f>IFERROR(IF(VLOOKUP(T$4,Inflation!$A:$AH,19,0)="","",VLOOKUP(T$4,Inflation!$A:$AH,19,0)),"")</f>
        <v>4.5584230000000003</v>
      </c>
      <c r="U57" s="16">
        <f>IFERROR(IF(VLOOKUP(U$4,Inflation!$A:$AH,19,0)="","",VLOOKUP(U$4,Inflation!$A:$AH,19,0)),"")</f>
        <v>4.7218030000000004</v>
      </c>
      <c r="V57" s="16">
        <f>IFERROR(IF(VLOOKUP(V$4,Inflation!$A:$AH,19,0)="","",VLOOKUP(V$4,Inflation!$A:$AH,19,0)),"")</f>
        <v>4.985582</v>
      </c>
      <c r="W57" s="16">
        <f>IFERROR(IF(VLOOKUP(W$4,Inflation!$A:$AH,19,0)="","",VLOOKUP(W$4,Inflation!$A:$AH,19,0)),"")</f>
        <v>5.4223369999999997</v>
      </c>
      <c r="X57" s="16">
        <f>IFERROR(IF(VLOOKUP(X$4,Inflation!$A:$AH,19,0)="","",VLOOKUP(X$4,Inflation!$A:$AH,19,0)),"")</f>
        <v>5.6253289999999998</v>
      </c>
      <c r="Y57" s="16">
        <f>IFERROR(IF(VLOOKUP(Y$4,Inflation!$A:$AH,19,0)="","",VLOOKUP(Y$4,Inflation!$A:$AH,19,0)),"")</f>
        <v>5.9917049999999996</v>
      </c>
      <c r="Z57" s="16">
        <f>IFERROR(IF(VLOOKUP(Z$4,Inflation!$A:$AH,19,0)="","",VLOOKUP(Z$4,Inflation!$A:$AH,19,0)),"")</f>
        <v>6.3927949999999996</v>
      </c>
      <c r="AA57" s="16">
        <f>IFERROR(IF(VLOOKUP(AA$4,Inflation!$A:$AH,19,0)="","",VLOOKUP(AA$4,Inflation!$A:$AH,19,0)),"")</f>
        <v>6.3648090000000002</v>
      </c>
      <c r="AB57" s="16">
        <f>IFERROR(IF(VLOOKUP(AB$4,Inflation!$A:$AH,19,0)="","",VLOOKUP(AB$4,Inflation!$A:$AH,19,0)),"")</f>
        <v>6.4711780000000001</v>
      </c>
      <c r="AC57" s="16">
        <f>IFERROR(IF(VLOOKUP(AC$4,Inflation!$A:$AH,19,0)="","",VLOOKUP(AC$4,Inflation!$A:$AH,19,0)),"")</f>
        <v>6.6172230000000001</v>
      </c>
      <c r="AD57" s="16">
        <f>IFERROR(IF(VLOOKUP(AD$4,Inflation!$A:$AH,19,0)="","",VLOOKUP(AD$4,Inflation!$A:$AH,19,0)),"")</f>
        <v>6.5544924739999999</v>
      </c>
      <c r="AE57" s="16">
        <f>IFERROR(IF(VLOOKUP(AE$4,Inflation!$A:$AH,19,0)="","",VLOOKUP(AE$4,Inflation!$A:$AH,19,0)),"")</f>
        <v>6.59375</v>
      </c>
      <c r="AF57" s="16">
        <f>IFERROR(IF(VLOOKUP(AF$4,Inflation!$A:$AH,19,0)="","",VLOOKUP(AF$4,Inflation!$A:$AH,19,0)),"")</f>
        <v>6.4517083169999996</v>
      </c>
      <c r="AG57" s="16">
        <f>IFERROR(IF(VLOOKUP(AG$4,Inflation!$A:$AH,19,0)="","",VLOOKUP(AG$4,Inflation!$A:$AH,19,0)),"")</f>
        <v>6.3227486610000003</v>
      </c>
      <c r="AH57" s="16">
        <f>IFERROR(IF(VLOOKUP(AH$4,Inflation!$A:$AH,19,0)="","",VLOOKUP(AH$4,Inflation!$A:$AH,19,0)),"")</f>
        <v>6.0006055829999996</v>
      </c>
      <c r="AI57" s="16">
        <f>IFERROR(IF(VLOOKUP(AI$4,Inflation!$A:$AH,19,0)="","",VLOOKUP(AI$4,Inflation!$A:$AH,19,0)),"")</f>
        <v>5.6265287400000004</v>
      </c>
      <c r="AJ57" s="16">
        <f>IFERROR(IF(VLOOKUP(AJ$4,Inflation!$A:$AH,19,0)="","",VLOOKUP(AJ$4,Inflation!$A:$AH,19,0)),"")</f>
        <v>5.4560890200000003</v>
      </c>
      <c r="AK57" s="16">
        <f>IFERROR(IF(VLOOKUP(AK$4,Inflation!$A:$AH,19,0)="","",VLOOKUP(AK$4,Inflation!$A:$AH,19,0)),"")</f>
        <v>5.217342854</v>
      </c>
      <c r="AL57" s="16">
        <f>IFERROR(IF(VLOOKUP(AL$4,Inflation!$A:$AH,19,0)="","",VLOOKUP(AL$4,Inflation!$A:$AH,19,0)),"")</f>
        <v>5.0087823870000001</v>
      </c>
      <c r="AM57" s="16">
        <f>IFERROR(IF(VLOOKUP(AM$4,Inflation!$A:$AH,19,0)="","",VLOOKUP(AM$4,Inflation!$A:$AH,19,0)),"")</f>
        <v>4.9319558140000002</v>
      </c>
      <c r="AN57" s="16">
        <f>IFERROR(IF(VLOOKUP(AN$4,Inflation!$A:$AH,19,0)="","",VLOOKUP(AN$4,Inflation!$A:$AH,19,0)),"")</f>
        <v>4.7306294439999999</v>
      </c>
      <c r="AO57" s="16">
        <f>IFERROR(IF(VLOOKUP(AO$4,Inflation!$A:$AH,19,0)="","",VLOOKUP(AO$4,Inflation!$A:$AH,19,0)),"")</f>
        <v>4.584186077</v>
      </c>
      <c r="AP57" s="16" t="str">
        <f>IFERROR(IF(VLOOKUP(AP$4,Inflation!$A:$AH,19,0)="","",VLOOKUP(AP$4,Inflation!$A:$AH,19,0)),"")</f>
        <v/>
      </c>
      <c r="AQ57" s="16" t="str">
        <f>IFERROR(IF(VLOOKUP(AQ$4,Inflation!$A:$AH,19,0)="","",VLOOKUP(AQ$4,Inflation!$A:$AH,19,0)),"")</f>
        <v/>
      </c>
      <c r="AR57" s="16" t="str">
        <f>IFERROR(IF(VLOOKUP(AR$4,Inflation!$A:$AH,19,0)="","",VLOOKUP(AR$4,Inflation!$A:$AH,19,0)),"")</f>
        <v/>
      </c>
      <c r="AS57" s="16" t="str">
        <f>IFERROR(IF(VLOOKUP(AS$4,Inflation!$A:$AH,19,0)="","",VLOOKUP(AS$4,Inflation!$A:$AH,19,0)),"")</f>
        <v/>
      </c>
      <c r="AT57" s="16" t="str">
        <f>IFERROR(IF(VLOOKUP(AT$4,Inflation!$A:$AH,19,0)="","",VLOOKUP(AT$4,Inflation!$A:$AH,19,0)),"")</f>
        <v/>
      </c>
      <c r="AU57" s="16" t="str">
        <f>IFERROR(IF(VLOOKUP(AU$4,Inflation!$A:$AH,19,0)="","",VLOOKUP(AU$4,Inflation!$A:$AH,19,0)),"")</f>
        <v/>
      </c>
      <c r="AV57" s="16" t="str">
        <f>IFERROR(IF(VLOOKUP(AV$4,Inflation!$A:$AH,19,0)="","",VLOOKUP(AV$4,Inflation!$A:$AH,19,0)),"")</f>
        <v/>
      </c>
      <c r="AW57" s="16" t="str">
        <f>IFERROR(IF(VLOOKUP(AW$4,Inflation!$A:$AH,19,0)="","",VLOOKUP(AW$4,Inflation!$A:$AH,19,0)),"")</f>
        <v/>
      </c>
      <c r="AX57" s="16" t="str">
        <f>IFERROR(IF(VLOOKUP(AX$4,Inflation!$A:$AH,19,0)="","",VLOOKUP(AX$4,Inflation!$A:$AH,19,0)),"")</f>
        <v/>
      </c>
      <c r="AY57" s="16" t="str">
        <f>IFERROR(IF(VLOOKUP(AY$4,Inflation!$A:$AH,19,0)="","",VLOOKUP(AY$4,Inflation!$A:$AH,19,0)),"")</f>
        <v/>
      </c>
    </row>
    <row r="58" spans="1:51" ht="19.5" customHeight="1">
      <c r="A58" s="3"/>
      <c r="B58" s="2" t="s">
        <v>78</v>
      </c>
      <c r="C58" s="47" t="s">
        <v>94</v>
      </c>
      <c r="D58" s="16">
        <f>IFERROR(IF(VLOOKUP(D$4,Inflation!$A:$AH,20,0)="","",VLOOKUP(D$4,Inflation!$A:$AH,20,0)),"")</f>
        <v>106.145</v>
      </c>
      <c r="E58" s="16">
        <f>IFERROR(IF(VLOOKUP(E$4,Inflation!$A:$AH,20,0)="","",VLOOKUP(E$4,Inflation!$A:$AH,20,0)),"")</f>
        <v>106.52200000000001</v>
      </c>
      <c r="F58" s="16">
        <f>IFERROR(IF(VLOOKUP(F$4,Inflation!$A:$AH,20,0)="","",VLOOKUP(F$4,Inflation!$A:$AH,20,0)),"")</f>
        <v>107.066</v>
      </c>
      <c r="G58" s="16">
        <f>IFERROR(IF(VLOOKUP(G$4,Inflation!$A:$AH,20,0)="","",VLOOKUP(G$4,Inflation!$A:$AH,20,0)),"")</f>
        <v>107.66200000000001</v>
      </c>
      <c r="H58" s="16">
        <f>IFERROR(IF(VLOOKUP(H$4,Inflation!$A:$AH,20,0)="","",VLOOKUP(H$4,Inflation!$A:$AH,20,0)),"")</f>
        <v>108.20699999999999</v>
      </c>
      <c r="I58" s="16">
        <f>IFERROR(IF(VLOOKUP(I$4,Inflation!$A:$AH,20,0)="","",VLOOKUP(I$4,Inflation!$A:$AH,20,0)),"")</f>
        <v>108.755</v>
      </c>
      <c r="J58" s="16">
        <f>IFERROR(IF(VLOOKUP(J$4,Inflation!$A:$AH,20,0)="","",VLOOKUP(J$4,Inflation!$A:$AH,20,0)),"")</f>
        <v>109.28</v>
      </c>
      <c r="K58" s="16">
        <f>IFERROR(IF(VLOOKUP(K$4,Inflation!$A:$AH,20,0)="","",VLOOKUP(K$4,Inflation!$A:$AH,20,0)),"")</f>
        <v>109.74</v>
      </c>
      <c r="L58" s="16">
        <f>IFERROR(IF(VLOOKUP(L$4,Inflation!$A:$AH,20,0)="","",VLOOKUP(L$4,Inflation!$A:$AH,20,0)),"")</f>
        <v>110.096</v>
      </c>
      <c r="M58" s="16">
        <f>IFERROR(IF(VLOOKUP(M$4,Inflation!$A:$AH,20,0)="","",VLOOKUP(M$4,Inflation!$A:$AH,20,0)),"")</f>
        <v>110.80800000000001</v>
      </c>
      <c r="N58" s="16">
        <f>IFERROR(IF(VLOOKUP(N$4,Inflation!$A:$AH,20,0)="","",VLOOKUP(N$4,Inflation!$A:$AH,20,0)),"")</f>
        <v>111.494</v>
      </c>
      <c r="O58" s="16">
        <f>IFERROR(IF(VLOOKUP(O$4,Inflation!$A:$AH,20,0)="","",VLOOKUP(O$4,Inflation!$A:$AH,20,0)),"")</f>
        <v>112.24</v>
      </c>
      <c r="P58" s="16">
        <f>IFERROR(IF(VLOOKUP(P$4,Inflation!$A:$AH,20,0)="","",VLOOKUP(P$4,Inflation!$A:$AH,20,0)),"")</f>
        <v>112.82899999999999</v>
      </c>
      <c r="Q58" s="16">
        <f>IFERROR(IF(VLOOKUP(Q$4,Inflation!$A:$AH,20,0)="","",VLOOKUP(Q$4,Inflation!$A:$AH,20,0)),"")</f>
        <v>113.496</v>
      </c>
      <c r="R58" s="16">
        <f>IFERROR(IF(VLOOKUP(R$4,Inflation!$A:$AH,20,0)="","",VLOOKUP(R$4,Inflation!$A:$AH,20,0)),"")</f>
        <v>114.446</v>
      </c>
      <c r="S58" s="16">
        <f>IFERROR(IF(VLOOKUP(S$4,Inflation!$A:$AH,20,0)="","",VLOOKUP(S$4,Inflation!$A:$AH,20,0)),"")</f>
        <v>114.789</v>
      </c>
      <c r="T58" s="16">
        <f>IFERROR(IF(VLOOKUP(T$4,Inflation!$A:$AH,20,0)="","",VLOOKUP(T$4,Inflation!$A:$AH,20,0)),"")</f>
        <v>115.446</v>
      </c>
      <c r="U58" s="16">
        <f>IFERROR(IF(VLOOKUP(U$4,Inflation!$A:$AH,20,0)="","",VLOOKUP(U$4,Inflation!$A:$AH,20,0)),"")</f>
        <v>116.495</v>
      </c>
      <c r="V58" s="16">
        <f>IFERROR(IF(VLOOKUP(V$4,Inflation!$A:$AH,20,0)="","",VLOOKUP(V$4,Inflation!$A:$AH,20,0)),"")</f>
        <v>116.511</v>
      </c>
      <c r="W58" s="16">
        <f>IFERROR(IF(VLOOKUP(W$4,Inflation!$A:$AH,20,0)="","",VLOOKUP(W$4,Inflation!$A:$AH,20,0)),"")</f>
        <v>116.89</v>
      </c>
      <c r="X58" s="16">
        <f>IFERROR(IF(VLOOKUP(X$4,Inflation!$A:$AH,20,0)="","",VLOOKUP(X$4,Inflation!$A:$AH,20,0)),"")</f>
        <v>117.31399999999999</v>
      </c>
      <c r="Y58" s="16">
        <f>IFERROR(IF(VLOOKUP(Y$4,Inflation!$A:$AH,20,0)="","",VLOOKUP(Y$4,Inflation!$A:$AH,20,0)),"")</f>
        <v>117.842</v>
      </c>
      <c r="Z58" s="16">
        <f>IFERROR(IF(VLOOKUP(Z$4,Inflation!$A:$AH,20,0)="","",VLOOKUP(Z$4,Inflation!$A:$AH,20,0)),"")</f>
        <v>118.104</v>
      </c>
      <c r="AA58" s="16">
        <f>IFERROR(IF(VLOOKUP(AA$4,Inflation!$A:$AH,20,0)="","",VLOOKUP(AA$4,Inflation!$A:$AH,20,0)),"")</f>
        <v>118.348</v>
      </c>
      <c r="AB58" s="16">
        <f>IFERROR(IF(VLOOKUP(AB$4,Inflation!$A:$AH,20,0)="","",VLOOKUP(AB$4,Inflation!$A:$AH,20,0)),"")</f>
        <v>119.011</v>
      </c>
      <c r="AC58" s="16">
        <f>IFERROR(IF(VLOOKUP(AC$4,Inflation!$A:$AH,20,0)="","",VLOOKUP(AC$4,Inflation!$A:$AH,20,0)),"")</f>
        <v>119.386</v>
      </c>
      <c r="AD58" s="16">
        <f>IFERROR(IF(VLOOKUP(AD$4,Inflation!$A:$AH,20,0)="","",VLOOKUP(AD$4,Inflation!$A:$AH,20,0)),"")</f>
        <v>119.53</v>
      </c>
      <c r="AE58" s="16">
        <f>IFERROR(IF(VLOOKUP(AE$4,Inflation!$A:$AH,20,0)="","",VLOOKUP(AE$4,Inflation!$A:$AH,20,0)),"")</f>
        <v>119.893</v>
      </c>
      <c r="AF58" s="16">
        <f>IFERROR(IF(VLOOKUP(AF$4,Inflation!$A:$AH,20,0)="","",VLOOKUP(AF$4,Inflation!$A:$AH,20,0)),"")</f>
        <v>120.02</v>
      </c>
      <c r="AG58" s="16">
        <f>IFERROR(IF(VLOOKUP(AG$4,Inflation!$A:$AH,20,0)="","",VLOOKUP(AG$4,Inflation!$A:$AH,20,0)),"")</f>
        <v>120.221</v>
      </c>
      <c r="AH58" s="16">
        <f>IFERROR(IF(VLOOKUP(AH$4,Inflation!$A:$AH,20,0)="","",VLOOKUP(AH$4,Inflation!$A:$AH,20,0)),"")</f>
        <v>120.373</v>
      </c>
      <c r="AI58" s="16">
        <f>IFERROR(IF(VLOOKUP(AI$4,Inflation!$A:$AH,20,0)="","",VLOOKUP(AI$4,Inflation!$A:$AH,20,0)),"")</f>
        <v>120.803</v>
      </c>
      <c r="AJ58" s="16">
        <f>IFERROR(IF(VLOOKUP(AJ$4,Inflation!$A:$AH,20,0)="","",VLOOKUP(AJ$4,Inflation!$A:$AH,20,0)),"")</f>
        <v>121.267</v>
      </c>
      <c r="AK58" s="16">
        <f>IFERROR(IF(VLOOKUP(AK$4,Inflation!$A:$AH,20,0)="","",VLOOKUP(AK$4,Inflation!$A:$AH,20,0)),"")</f>
        <v>121.309</v>
      </c>
      <c r="AL58" s="16">
        <f>IFERROR(IF(VLOOKUP(AL$4,Inflation!$A:$AH,20,0)="","",VLOOKUP(AL$4,Inflation!$A:$AH,20,0)),"")</f>
        <v>121.22199999999999</v>
      </c>
      <c r="AM58" s="16" t="str">
        <f>IFERROR(IF(VLOOKUP(AM$4,Inflation!$A:$AH,20,0)="","",VLOOKUP(AM$4,Inflation!$A:$AH,20,0)),"")</f>
        <v/>
      </c>
      <c r="AN58" s="16" t="str">
        <f>IFERROR(IF(VLOOKUP(AN$4,Inflation!$A:$AH,20,0)="","",VLOOKUP(AN$4,Inflation!$A:$AH,20,0)),"")</f>
        <v/>
      </c>
      <c r="AO58" s="16" t="str">
        <f>IFERROR(IF(VLOOKUP(AO$4,Inflation!$A:$AH,20,0)="","",VLOOKUP(AO$4,Inflation!$A:$AH,20,0)),"")</f>
        <v/>
      </c>
      <c r="AP58" s="16" t="str">
        <f>IFERROR(IF(VLOOKUP(AP$4,Inflation!$A:$AH,20,0)="","",VLOOKUP(AP$4,Inflation!$A:$AH,20,0)),"")</f>
        <v/>
      </c>
      <c r="AQ58" s="16" t="str">
        <f>IFERROR(IF(VLOOKUP(AQ$4,Inflation!$A:$AH,20,0)="","",VLOOKUP(AQ$4,Inflation!$A:$AH,20,0)),"")</f>
        <v/>
      </c>
      <c r="AR58" s="16" t="str">
        <f>IFERROR(IF(VLOOKUP(AR$4,Inflation!$A:$AH,20,0)="","",VLOOKUP(AR$4,Inflation!$A:$AH,20,0)),"")</f>
        <v/>
      </c>
      <c r="AS58" s="16" t="str">
        <f>IFERROR(IF(VLOOKUP(AS$4,Inflation!$A:$AH,20,0)="","",VLOOKUP(AS$4,Inflation!$A:$AH,20,0)),"")</f>
        <v/>
      </c>
      <c r="AT58" s="16" t="str">
        <f>IFERROR(IF(VLOOKUP(AT$4,Inflation!$A:$AH,20,0)="","",VLOOKUP(AT$4,Inflation!$A:$AH,20,0)),"")</f>
        <v/>
      </c>
      <c r="AU58" s="16" t="str">
        <f>IFERROR(IF(VLOOKUP(AU$4,Inflation!$A:$AH,20,0)="","",VLOOKUP(AU$4,Inflation!$A:$AH,20,0)),"")</f>
        <v/>
      </c>
      <c r="AV58" s="16" t="str">
        <f>IFERROR(IF(VLOOKUP(AV$4,Inflation!$A:$AH,20,0)="","",VLOOKUP(AV$4,Inflation!$A:$AH,20,0)),"")</f>
        <v/>
      </c>
      <c r="AW58" s="16" t="str">
        <f>IFERROR(IF(VLOOKUP(AW$4,Inflation!$A:$AH,20,0)="","",VLOOKUP(AW$4,Inflation!$A:$AH,20,0)),"")</f>
        <v/>
      </c>
      <c r="AX58" s="16" t="str">
        <f>IFERROR(IF(VLOOKUP(AX$4,Inflation!$A:$AH,20,0)="","",VLOOKUP(AX$4,Inflation!$A:$AH,20,0)),"")</f>
        <v/>
      </c>
      <c r="AY58" s="16" t="str">
        <f>IFERROR(IF(VLOOKUP(AY$4,Inflation!$A:$AH,20,0)="","",VLOOKUP(AY$4,Inflation!$A:$AH,20,0)),"")</f>
        <v/>
      </c>
    </row>
    <row r="59" spans="1:51" ht="19.5" customHeight="1">
      <c r="A59" s="3"/>
      <c r="B59" s="2" t="s">
        <v>49</v>
      </c>
      <c r="C59" s="47" t="s">
        <v>94</v>
      </c>
      <c r="D59" s="16">
        <f>IF(VLOOKUP(D$4,Inflation!$A:$AH,21,0)="","",VLOOKUP(D$4,Inflation!$A:$AH,21,0))</f>
        <v>4.1435288107694035E-3</v>
      </c>
      <c r="E59" s="16">
        <f>IF(VLOOKUP(E$4,Inflation!$A:$AH,21,0)="","",VLOOKUP(E$4,Inflation!$A:$AH,21,0))</f>
        <v>3.5517452541335981E-3</v>
      </c>
      <c r="F59" s="16">
        <f>IF(VLOOKUP(F$4,Inflation!$A:$AH,21,0)="","",VLOOKUP(F$4,Inflation!$A:$AH,21,0))</f>
        <v>5.1069262687519767E-3</v>
      </c>
      <c r="G59" s="16">
        <f>IF(VLOOKUP(G$4,Inflation!$A:$AH,21,0)="","",VLOOKUP(G$4,Inflation!$A:$AH,21,0))</f>
        <v>5.5666598173089721E-3</v>
      </c>
      <c r="H59" s="16">
        <f>IF(VLOOKUP(H$4,Inflation!$A:$AH,21,0)="","",VLOOKUP(H$4,Inflation!$A:$AH,21,0))</f>
        <v>5.0621389162377461E-3</v>
      </c>
      <c r="I59" s="16">
        <f>IF(VLOOKUP(I$4,Inflation!$A:$AH,21,0)="","",VLOOKUP(I$4,Inflation!$A:$AH,21,0))</f>
        <v>5.0643673699484193E-3</v>
      </c>
      <c r="J59" s="16">
        <f>IF(VLOOKUP(J$4,Inflation!$A:$AH,21,0)="","",VLOOKUP(J$4,Inflation!$A:$AH,21,0))</f>
        <v>4.8273642591145638E-3</v>
      </c>
      <c r="K59" s="16">
        <f>IF(VLOOKUP(K$4,Inflation!$A:$AH,21,0)="","",VLOOKUP(K$4,Inflation!$A:$AH,21,0))</f>
        <v>4.2093704245973473E-3</v>
      </c>
      <c r="L59" s="16">
        <f>IF(VLOOKUP(L$4,Inflation!$A:$AH,21,0)="","",VLOOKUP(L$4,Inflation!$A:$AH,21,0))</f>
        <v>3.2440313468198312E-3</v>
      </c>
      <c r="M59" s="16">
        <f>IF(VLOOKUP(M$4,Inflation!$A:$AH,21,0)="","",VLOOKUP(M$4,Inflation!$A:$AH,21,0))</f>
        <v>6.4670832727802274E-3</v>
      </c>
      <c r="N59" s="16">
        <f>IF(VLOOKUP(N$4,Inflation!$A:$AH,21,0)="","",VLOOKUP(N$4,Inflation!$A:$AH,21,0))</f>
        <v>6.1908887444950267E-3</v>
      </c>
      <c r="O59" s="16">
        <f>IF(VLOOKUP(O$4,Inflation!$A:$AH,21,0)="","",VLOOKUP(O$4,Inflation!$A:$AH,21,0))</f>
        <v>6.6909430103860856E-3</v>
      </c>
      <c r="P59" s="16">
        <f>IF(VLOOKUP(P$4,Inflation!$A:$AH,21,0)="","",VLOOKUP(P$4,Inflation!$A:$AH,21,0))</f>
        <v>5.2476835352814888E-3</v>
      </c>
      <c r="Q59" s="16">
        <f>IF(VLOOKUP(Q$4,Inflation!$A:$AH,21,0)="","",VLOOKUP(Q$4,Inflation!$A:$AH,21,0))</f>
        <v>5.9116007409443228E-3</v>
      </c>
      <c r="R59" s="16">
        <f>IF(VLOOKUP(R$4,Inflation!$A:$AH,21,0)="","",VLOOKUP(R$4,Inflation!$A:$AH,21,0))</f>
        <v>8.3703390427856128E-3</v>
      </c>
      <c r="S59" s="16">
        <f>IF(VLOOKUP(S$4,Inflation!$A:$AH,21,0)="","",VLOOKUP(S$4,Inflation!$A:$AH,21,0))</f>
        <v>2.9970466420845554E-3</v>
      </c>
      <c r="T59" s="16">
        <f>IF(VLOOKUP(T$4,Inflation!$A:$AH,21,0)="","",VLOOKUP(T$4,Inflation!$A:$AH,21,0))</f>
        <v>5.7235449389749782E-3</v>
      </c>
      <c r="U59" s="16">
        <f>IF(VLOOKUP(U$4,Inflation!$A:$AH,21,0)="","",VLOOKUP(U$4,Inflation!$A:$AH,21,0))</f>
        <v>9.0864993156973828E-3</v>
      </c>
      <c r="V59" s="16">
        <f>IF(VLOOKUP(V$4,Inflation!$A:$AH,21,0)="","",VLOOKUP(V$4,Inflation!$A:$AH,21,0))</f>
        <v>1.3734495042694306E-4</v>
      </c>
      <c r="W59" s="16">
        <f>IF(VLOOKUP(W$4,Inflation!$A:$AH,21,0)="","",VLOOKUP(W$4,Inflation!$A:$AH,21,0))</f>
        <v>3.252911742239073E-3</v>
      </c>
      <c r="X59" s="16">
        <f>IF(VLOOKUP(X$4,Inflation!$A:$AH,21,0)="","",VLOOKUP(X$4,Inflation!$A:$AH,21,0))</f>
        <v>3.6273419454186939E-3</v>
      </c>
      <c r="Y59" s="16">
        <f>IF(VLOOKUP(Y$4,Inflation!$A:$AH,21,0)="","",VLOOKUP(Y$4,Inflation!$A:$AH,21,0))</f>
        <v>4.5007415994682276E-3</v>
      </c>
      <c r="Z59" s="16">
        <f>IF(VLOOKUP(Z$4,Inflation!$A:$AH,21,0)="","",VLOOKUP(Z$4,Inflation!$A:$AH,21,0))</f>
        <v>2.2233159654452272E-3</v>
      </c>
      <c r="AA59" s="16">
        <f>IF(VLOOKUP(AA$4,Inflation!$A:$AH,21,0)="","",VLOOKUP(AA$4,Inflation!$A:$AH,21,0))</f>
        <v>2.0659757501861886E-3</v>
      </c>
      <c r="AB59" s="16">
        <f>IF(VLOOKUP(AB$4,Inflation!$A:$AH,21,0)="","",VLOOKUP(AB$4,Inflation!$A:$AH,21,0))</f>
        <v>5.6021225538243069E-3</v>
      </c>
      <c r="AC59" s="16">
        <f>IF(VLOOKUP(AC$4,Inflation!$A:$AH,21,0)="","",VLOOKUP(AC$4,Inflation!$A:$AH,21,0))</f>
        <v>3.1509692381377352E-3</v>
      </c>
      <c r="AD59" s="16">
        <f>IF(VLOOKUP(AD$4,Inflation!$A:$AH,21,0)="","",VLOOKUP(AD$4,Inflation!$A:$AH,21,0))</f>
        <v>1.2061715779070337E-3</v>
      </c>
      <c r="AE59" s="16">
        <f>IF(VLOOKUP(AE$4,Inflation!$A:$AH,21,0)="","",VLOOKUP(AE$4,Inflation!$A:$AH,21,0))</f>
        <v>3.0368945034719985E-3</v>
      </c>
      <c r="AF59" s="16">
        <f>IF(VLOOKUP(AF$4,Inflation!$A:$AH,21,0)="","",VLOOKUP(AF$4,Inflation!$A:$AH,21,0))</f>
        <v>1.059277856088281E-3</v>
      </c>
      <c r="AG59" s="16">
        <f>IF(VLOOKUP(AG$4,Inflation!$A:$AH,21,0)="","",VLOOKUP(AG$4,Inflation!$A:$AH,21,0))</f>
        <v>1.6747208798533197E-3</v>
      </c>
      <c r="AH59" s="16">
        <f>IF(VLOOKUP(AH$4,Inflation!$A:$AH,21,0)="","",VLOOKUP(AH$4,Inflation!$A:$AH,21,0))</f>
        <v>1.264338177190405E-3</v>
      </c>
      <c r="AI59" s="16">
        <f>IF(VLOOKUP(AI$4,Inflation!$A:$AH,21,0)="","",VLOOKUP(AI$4,Inflation!$A:$AH,21,0))</f>
        <v>3.5722296528291064E-3</v>
      </c>
      <c r="AJ59" s="16">
        <f>IF(VLOOKUP(AJ$4,Inflation!$A:$AH,21,0)="","",VLOOKUP(AJ$4,Inflation!$A:$AH,21,0))</f>
        <v>3.8409642144647815E-3</v>
      </c>
      <c r="AK59" s="16">
        <f>IF(VLOOKUP(AK$4,Inflation!$A:$AH,21,0)="","",VLOOKUP(AK$4,Inflation!$A:$AH,21,0))</f>
        <v>3.4634319311943607E-4</v>
      </c>
      <c r="AL59" s="16">
        <f>IF(VLOOKUP(AL$4,Inflation!$A:$AH,21,0)="","",VLOOKUP(AL$4,Inflation!$A:$AH,21,0))</f>
        <v>-7.1717679644545118E-4</v>
      </c>
      <c r="AM59" s="16" t="e">
        <f>IF(VLOOKUP(AM$4,Inflation!$A:$AH,21,0)="","",VLOOKUP(AM$4,Inflation!$A:$AH,21,0))</f>
        <v>#N/A</v>
      </c>
      <c r="AN59" s="16" t="e">
        <f>IF(VLOOKUP(AN$4,Inflation!$A:$AH,21,0)="","",VLOOKUP(AN$4,Inflation!$A:$AH,21,0))</f>
        <v>#N/A</v>
      </c>
      <c r="AO59" s="16" t="e">
        <f>IF(VLOOKUP(AO$4,Inflation!$A:$AH,21,0)="","",VLOOKUP(AO$4,Inflation!$A:$AH,21,0))</f>
        <v>#N/A</v>
      </c>
      <c r="AP59" s="16" t="e">
        <f>IF(VLOOKUP(AP$4,Inflation!$A:$AH,21,0)="","",VLOOKUP(AP$4,Inflation!$A:$AH,21,0))</f>
        <v>#N/A</v>
      </c>
      <c r="AQ59" s="16" t="e">
        <f>IF(VLOOKUP(AQ$4,Inflation!$A:$AH,21,0)="","",VLOOKUP(AQ$4,Inflation!$A:$AH,21,0))</f>
        <v>#N/A</v>
      </c>
      <c r="AR59" s="16" t="e">
        <f>IF(VLOOKUP(AR$4,Inflation!$A:$AH,21,0)="","",VLOOKUP(AR$4,Inflation!$A:$AH,21,0))</f>
        <v>#N/A</v>
      </c>
      <c r="AS59" s="16" t="e">
        <f>IF(VLOOKUP(AS$4,Inflation!$A:$AH,21,0)="","",VLOOKUP(AS$4,Inflation!$A:$AH,21,0))</f>
        <v>#N/A</v>
      </c>
      <c r="AT59" s="16" t="e">
        <f>IF(VLOOKUP(AT$4,Inflation!$A:$AH,21,0)="","",VLOOKUP(AT$4,Inflation!$A:$AH,21,0))</f>
        <v>#N/A</v>
      </c>
      <c r="AU59" s="16" t="e">
        <f>IF(VLOOKUP(AU$4,Inflation!$A:$AH,21,0)="","",VLOOKUP(AU$4,Inflation!$A:$AH,21,0))</f>
        <v>#N/A</v>
      </c>
      <c r="AV59" s="16" t="e">
        <f>IF(VLOOKUP(AV$4,Inflation!$A:$AH,21,0)="","",VLOOKUP(AV$4,Inflation!$A:$AH,21,0))</f>
        <v>#N/A</v>
      </c>
      <c r="AW59" s="16" t="e">
        <f>IF(VLOOKUP(AW$4,Inflation!$A:$AH,21,0)="","",VLOOKUP(AW$4,Inflation!$A:$AH,21,0))</f>
        <v>#N/A</v>
      </c>
      <c r="AX59" s="16" t="e">
        <f>IF(VLOOKUP(AX$4,Inflation!$A:$AH,21,0)="","",VLOOKUP(AX$4,Inflation!$A:$AH,21,0))</f>
        <v>#N/A</v>
      </c>
      <c r="AY59" s="16" t="e">
        <f>IF(VLOOKUP(AY$4,Inflation!$A:$AH,21,0)="","",VLOOKUP(AY$4,Inflation!$A:$AH,21,0))</f>
        <v>#N/A</v>
      </c>
    </row>
    <row r="60" spans="1:51" s="82" customFormat="1" ht="29.25" customHeight="1">
      <c r="A60" s="83"/>
      <c r="B60" s="42" t="s">
        <v>105</v>
      </c>
      <c r="C60" s="43"/>
      <c r="D60" s="43"/>
      <c r="E60" s="43"/>
      <c r="F60" s="43"/>
      <c r="G60" s="43"/>
      <c r="H60" s="43"/>
      <c r="I60" s="43"/>
      <c r="J60" s="43"/>
      <c r="K60" s="43"/>
      <c r="L60" s="43"/>
      <c r="M60" s="43"/>
      <c r="N60" s="43"/>
      <c r="O60" s="43"/>
      <c r="P60" s="43"/>
      <c r="Q60" s="43"/>
      <c r="R60" s="43"/>
      <c r="S60" s="43"/>
      <c r="T60" s="43"/>
      <c r="U60" s="43"/>
      <c r="V60" s="43"/>
      <c r="W60" s="43"/>
      <c r="X60" s="43"/>
      <c r="Y60" s="43"/>
      <c r="Z60" s="43"/>
      <c r="AA60" s="43"/>
      <c r="AB60" s="43"/>
      <c r="AC60" s="43"/>
      <c r="AD60" s="43"/>
      <c r="AE60" s="43"/>
      <c r="AF60" s="43"/>
      <c r="AG60" s="43"/>
      <c r="AH60" s="43"/>
      <c r="AI60" s="43"/>
      <c r="AJ60" s="43"/>
      <c r="AK60" s="43"/>
      <c r="AL60" s="43"/>
      <c r="AM60" s="44"/>
    </row>
    <row r="61" spans="1:51" ht="19.5" customHeight="1">
      <c r="A61" s="3"/>
      <c r="B61" s="2" t="s">
        <v>4</v>
      </c>
      <c r="C61" s="47" t="s">
        <v>94</v>
      </c>
      <c r="D61" s="16">
        <f>IFERROR(IF(VLOOKUP(D$4,'Monetary Policy + Market'!$A:$G,2,0)="",#N/A,VLOOKUP(D$4,'Monetary Policy + Market'!$A:$G,2,0)),"")</f>
        <v>7.0000000000000007E-2</v>
      </c>
      <c r="E61" s="16">
        <f>IFERROR(IF(VLOOKUP(E$4,'Monetary Policy + Market'!$A:$G,2,0)="",#N/A,VLOOKUP(E$4,'Monetary Policy + Market'!$A:$G,2,0)),"")</f>
        <v>7.0000000000000007E-2</v>
      </c>
      <c r="F61" s="16">
        <f>IFERROR(IF(VLOOKUP(F$4,'Monetary Policy + Market'!$A:$G,2,0)="",#N/A,VLOOKUP(F$4,'Monetary Policy + Market'!$A:$G,2,0)),"")</f>
        <v>0.06</v>
      </c>
      <c r="G61" s="16">
        <f>IFERROR(IF(VLOOKUP(G$4,'Monetary Policy + Market'!$A:$G,2,0)="",#N/A,VLOOKUP(G$4,'Monetary Policy + Market'!$A:$G,2,0)),"")</f>
        <v>0.05</v>
      </c>
      <c r="H61" s="16">
        <f>IFERROR(IF(VLOOKUP(H$4,'Monetary Policy + Market'!$A:$G,2,0)="",#N/A,VLOOKUP(H$4,'Monetary Policy + Market'!$A:$G,2,0)),"")</f>
        <v>0.05</v>
      </c>
      <c r="I61" s="16">
        <f>IFERROR(IF(VLOOKUP(I$4,'Monetary Policy + Market'!$A:$G,2,0)="",#N/A,VLOOKUP(I$4,'Monetary Policy + Market'!$A:$G,2,0)),"")</f>
        <v>0.08</v>
      </c>
      <c r="J61" s="16">
        <f>IFERROR(IF(VLOOKUP(J$4,'Monetary Policy + Market'!$A:$G,2,0)="",#N/A,VLOOKUP(J$4,'Monetary Policy + Market'!$A:$G,2,0)),"")</f>
        <v>7.0000000000000007E-2</v>
      </c>
      <c r="K61" s="16">
        <f>IFERROR(IF(VLOOKUP(K$4,'Monetary Policy + Market'!$A:$G,2,0)="",#N/A,VLOOKUP(K$4,'Monetary Policy + Market'!$A:$G,2,0)),"")</f>
        <v>0.06</v>
      </c>
      <c r="L61" s="16">
        <f>IFERROR(IF(VLOOKUP(L$4,'Monetary Policy + Market'!$A:$G,2,0)="",#N/A,VLOOKUP(L$4,'Monetary Policy + Market'!$A:$G,2,0)),"")</f>
        <v>0.06</v>
      </c>
      <c r="M61" s="16">
        <f>IFERROR(IF(VLOOKUP(M$4,'Monetary Policy + Market'!$A:$G,2,0)="",#N/A,VLOOKUP(M$4,'Monetary Policy + Market'!$A:$G,2,0)),"")</f>
        <v>7.0000000000000007E-2</v>
      </c>
      <c r="N61" s="16">
        <f>IFERROR(IF(VLOOKUP(N$4,'Monetary Policy + Market'!$A:$G,2,0)="",#N/A,VLOOKUP(N$4,'Monetary Policy + Market'!$A:$G,2,0)),"")</f>
        <v>7.0000000000000007E-2</v>
      </c>
      <c r="O61" s="16">
        <f>IFERROR(IF(VLOOKUP(O$4,'Monetary Policy + Market'!$A:$G,2,0)="",#N/A,VLOOKUP(O$4,'Monetary Policy + Market'!$A:$G,2,0)),"")</f>
        <v>7.0000000000000007E-2</v>
      </c>
      <c r="P61" s="16">
        <f>IFERROR(IF(VLOOKUP(P$4,'Monetary Policy + Market'!$A:$G,2,0)="",#N/A,VLOOKUP(P$4,'Monetary Policy + Market'!$A:$G,2,0)),"")</f>
        <v>0.08</v>
      </c>
      <c r="Q61" s="16">
        <f>IFERROR(IF(VLOOKUP(Q$4,'Monetary Policy + Market'!$A:$G,2,0)="",#N/A,VLOOKUP(Q$4,'Monetary Policy + Market'!$A:$G,2,0)),"")</f>
        <v>0.08</v>
      </c>
      <c r="R61" s="16">
        <f>IFERROR(IF(VLOOKUP(R$4,'Monetary Policy + Market'!$A:$G,2,0)="",#N/A,VLOOKUP(R$4,'Monetary Policy + Market'!$A:$G,2,0)),"")</f>
        <v>0.33</v>
      </c>
      <c r="S61" s="16">
        <f>IFERROR(IF(VLOOKUP(S$4,'Monetary Policy + Market'!$A:$G,2,0)="",#N/A,VLOOKUP(S$4,'Monetary Policy + Market'!$A:$G,2,0)),"")</f>
        <v>0.33</v>
      </c>
      <c r="T61" s="16">
        <f>IFERROR(IF(VLOOKUP(T$4,'Monetary Policy + Market'!$A:$G,2,0)="",#N/A,VLOOKUP(T$4,'Monetary Policy + Market'!$A:$G,2,0)),"")</f>
        <v>0.83</v>
      </c>
      <c r="U61" s="16">
        <f>IFERROR(IF(VLOOKUP(U$4,'Monetary Policy + Market'!$A:$G,2,0)="",#N/A,VLOOKUP(U$4,'Monetary Policy + Market'!$A:$G,2,0)),"")</f>
        <v>1.58</v>
      </c>
      <c r="V61" s="16">
        <f>IFERROR(IF(VLOOKUP(V$4,'Monetary Policy + Market'!$A:$G,2,0)="",#N/A,VLOOKUP(V$4,'Monetary Policy + Market'!$A:$G,2,0)),"")</f>
        <v>2.3199999999999998</v>
      </c>
      <c r="W61" s="16">
        <f>IFERROR(IF(VLOOKUP(W$4,'Monetary Policy + Market'!$A:$G,2,0)="",#N/A,VLOOKUP(W$4,'Monetary Policy + Market'!$A:$G,2,0)),"")</f>
        <v>2.33</v>
      </c>
      <c r="X61" s="16">
        <f>IFERROR(IF(VLOOKUP(X$4,'Monetary Policy + Market'!$A:$G,2,0)="",#N/A,VLOOKUP(X$4,'Monetary Policy + Market'!$A:$G,2,0)),"")</f>
        <v>3.08</v>
      </c>
      <c r="Y61" s="16">
        <f>IFERROR(IF(VLOOKUP(Y$4,'Monetary Policy + Market'!$A:$G,2,0)="",#N/A,VLOOKUP(Y$4,'Monetary Policy + Market'!$A:$G,2,0)),"")</f>
        <v>3.08</v>
      </c>
      <c r="Z61" s="16">
        <f>IFERROR(IF(VLOOKUP(Z$4,'Monetary Policy + Market'!$A:$G,2,0)="",#N/A,VLOOKUP(Z$4,'Monetary Policy + Market'!$A:$G,2,0)),"")</f>
        <v>3.83</v>
      </c>
      <c r="AA61" s="16">
        <f>IFERROR(IF(VLOOKUP(AA$4,'Monetary Policy + Market'!$A:$G,2,0)="",#N/A,VLOOKUP(AA$4,'Monetary Policy + Market'!$A:$G,2,0)),"")</f>
        <v>4.33</v>
      </c>
      <c r="AB61" s="16">
        <f>IFERROR(IF(VLOOKUP(AB$4,'Monetary Policy + Market'!$A:$G,2,0)="",#N/A,VLOOKUP(AB$4,'Monetary Policy + Market'!$A:$G,2,0)),"")</f>
        <v>4.33</v>
      </c>
      <c r="AC61" s="16">
        <f>IFERROR(IF(VLOOKUP(AC$4,'Monetary Policy + Market'!$A:$G,2,0)="",#N/A,VLOOKUP(AC$4,'Monetary Policy + Market'!$A:$G,2,0)),"")</f>
        <v>4.57</v>
      </c>
      <c r="AD61" s="16">
        <f>IFERROR(IF(VLOOKUP(AD$4,'Monetary Policy + Market'!$A:$G,2,0)="",#N/A,VLOOKUP(AD$4,'Monetary Policy + Market'!$A:$G,2,0)),"")</f>
        <v>4.83</v>
      </c>
      <c r="AE61" s="16">
        <f>IFERROR(IF(VLOOKUP(AE$4,'Monetary Policy + Market'!$A:$G,2,0)="",#N/A,VLOOKUP(AE$4,'Monetary Policy + Market'!$A:$G,2,0)),"")</f>
        <v>4.83</v>
      </c>
      <c r="AF61" s="16">
        <f>IFERROR(IF(VLOOKUP(AF$4,'Monetary Policy + Market'!$A:$G,2,0)="",#N/A,VLOOKUP(AF$4,'Monetary Policy + Market'!$A:$G,2,0)),"")</f>
        <v>5.08</v>
      </c>
      <c r="AG61" s="16">
        <f>IFERROR(IF(VLOOKUP(AG$4,'Monetary Policy + Market'!$A:$G,2,0)="",#N/A,VLOOKUP(AG$4,'Monetary Policy + Market'!$A:$G,2,0)),"")</f>
        <v>5.08</v>
      </c>
      <c r="AH61" s="16">
        <f>IFERROR(IF(VLOOKUP(AH$4,'Monetary Policy + Market'!$A:$G,2,0)="",#N/A,VLOOKUP(AH$4,'Monetary Policy + Market'!$A:$G,2,0)),"")</f>
        <v>5.33</v>
      </c>
      <c r="AI61" s="16">
        <f>IFERROR(IF(VLOOKUP(AI$4,'Monetary Policy + Market'!$A:$G,2,0)="",#N/A,VLOOKUP(AI$4,'Monetary Policy + Market'!$A:$G,2,0)),"")</f>
        <v>5.33</v>
      </c>
      <c r="AJ61" s="16">
        <f>IFERROR(IF(VLOOKUP(AJ$4,'Monetary Policy + Market'!$A:$G,2,0)="",#N/A,VLOOKUP(AJ$4,'Monetary Policy + Market'!$A:$G,2,0)),"")</f>
        <v>5.33</v>
      </c>
      <c r="AK61" s="16">
        <f>IFERROR(IF(VLOOKUP(AK$4,'Monetary Policy + Market'!$A:$G,2,0)="",#N/A,VLOOKUP(AK$4,'Monetary Policy + Market'!$A:$G,2,0)),"")</f>
        <v>5.33</v>
      </c>
      <c r="AL61" s="16">
        <f>IFERROR(IF(VLOOKUP(AL$4,'Monetary Policy + Market'!$A:$G,2,0)="",#N/A,VLOOKUP(AL$4,'Monetary Policy + Market'!$A:$G,2,0)),"")</f>
        <v>5.33</v>
      </c>
      <c r="AM61" s="16">
        <f>IFERROR(IF(VLOOKUP(AM$4,'Monetary Policy + Market'!$A:$G,2,0)="",#N/A,VLOOKUP(AM$4,'Monetary Policy + Market'!$A:$G,2,0)),"")</f>
        <v>5.33</v>
      </c>
      <c r="AN61" s="16">
        <f>IFERROR(IF(VLOOKUP(AN$4,'Monetary Policy + Market'!$A:$G,2,0)="",#N/A,VLOOKUP(AN$4,'Monetary Policy + Market'!$A:$G,2,0)),"")</f>
        <v>5.33</v>
      </c>
      <c r="AO61" s="16" t="str">
        <f>IFERROR(IF(VLOOKUP(AO$4,'Monetary Policy + Market'!$A:$G,2,0)="",#N/A,VLOOKUP(AO$4,'Monetary Policy + Market'!$A:$G,2,0)),"")</f>
        <v/>
      </c>
      <c r="AP61" s="16" t="str">
        <f>IFERROR(IF(VLOOKUP(AP$4,'Monetary Policy + Market'!$A:$G,2,0)="",#N/A,VLOOKUP(AP$4,'Monetary Policy + Market'!$A:$G,2,0)),"")</f>
        <v/>
      </c>
      <c r="AQ61" s="16" t="str">
        <f>IFERROR(IF(VLOOKUP(AQ$4,'Monetary Policy + Market'!$A:$G,2,0)="",#N/A,VLOOKUP(AQ$4,'Monetary Policy + Market'!$A:$G,2,0)),"")</f>
        <v/>
      </c>
      <c r="AR61" s="16" t="str">
        <f>IFERROR(IF(VLOOKUP(AR$4,'Monetary Policy + Market'!$A:$G,2,0)="",#N/A,VLOOKUP(AR$4,'Monetary Policy + Market'!$A:$G,2,0)),"")</f>
        <v/>
      </c>
      <c r="AS61" s="16" t="str">
        <f>IFERROR(IF(VLOOKUP(AS$4,'Monetary Policy + Market'!$A:$G,2,0)="",#N/A,VLOOKUP(AS$4,'Monetary Policy + Market'!$A:$G,2,0)),"")</f>
        <v/>
      </c>
      <c r="AT61" s="16" t="str">
        <f>IFERROR(IF(VLOOKUP(AT$4,'Monetary Policy + Market'!$A:$G,2,0)="",#N/A,VLOOKUP(AT$4,'Monetary Policy + Market'!$A:$G,2,0)),"")</f>
        <v/>
      </c>
      <c r="AU61" s="16" t="str">
        <f>IFERROR(IF(VLOOKUP(AU$4,'Monetary Policy + Market'!$A:$G,2,0)="",#N/A,VLOOKUP(AU$4,'Monetary Policy + Market'!$A:$G,2,0)),"")</f>
        <v/>
      </c>
      <c r="AV61" s="16" t="str">
        <f>IFERROR(IF(VLOOKUP(AV$4,'Monetary Policy + Market'!$A:$G,2,0)="",#N/A,VLOOKUP(AV$4,'Monetary Policy + Market'!$A:$G,2,0)),"")</f>
        <v/>
      </c>
      <c r="AW61" s="16" t="str">
        <f>IFERROR(IF(VLOOKUP(AW$4,'Monetary Policy + Market'!$A:$G,2,0)="",#N/A,VLOOKUP(AW$4,'Monetary Policy + Market'!$A:$G,2,0)),"")</f>
        <v/>
      </c>
      <c r="AX61" s="16" t="str">
        <f>IFERROR(IF(VLOOKUP(AX$4,'Monetary Policy + Market'!$A:$G,2,0)="",#N/A,VLOOKUP(AX$4,'Monetary Policy + Market'!$A:$G,2,0)),"")</f>
        <v/>
      </c>
      <c r="AY61" s="16" t="str">
        <f>IFERROR(IF(VLOOKUP(AY$4,'Monetary Policy + Market'!$A:$G,2,0)="",#N/A,VLOOKUP(AY$4,'Monetary Policy + Market'!$A:$G,2,0)),"")</f>
        <v/>
      </c>
    </row>
    <row r="62" spans="1:51" ht="19.5" customHeight="1">
      <c r="A62" s="3"/>
      <c r="B62" s="24" t="s">
        <v>41</v>
      </c>
      <c r="C62" s="50"/>
      <c r="D62" s="16">
        <f>IFERROR(IF(VLOOKUP(D$4,'Economic Activity'!$A:$T,17,0)="","",VLOOKUP(D$4,'Economic Activity'!$A:$T,17,0)),"")</f>
        <v>414760</v>
      </c>
      <c r="E62" s="16">
        <f>IFERROR(IF(VLOOKUP(E$4,'Economic Activity'!$A:$T,17,0)="","",VLOOKUP(E$4,'Economic Activity'!$A:$T,17,0)),"")</f>
        <v>402716</v>
      </c>
      <c r="F62" s="16">
        <f>IFERROR(IF(VLOOKUP(F$4,'Economic Activity'!$A:$T,17,0)="","",VLOOKUP(F$4,'Economic Activity'!$A:$T,17,0)),"")</f>
        <v>438874</v>
      </c>
      <c r="G62" s="16">
        <f>IFERROR(IF(VLOOKUP(G$4,'Economic Activity'!$A:$T,17,0)="","",VLOOKUP(G$4,'Economic Activity'!$A:$T,17,0)),"")</f>
        <v>442362</v>
      </c>
      <c r="H62" s="16">
        <f>IFERROR(IF(VLOOKUP(H$4,'Economic Activity'!$A:$T,17,0)="","",VLOOKUP(H$4,'Economic Activity'!$A:$T,17,0)),"")</f>
        <v>439424</v>
      </c>
      <c r="I62" s="16">
        <f>IFERROR(IF(VLOOKUP(I$4,'Economic Activity'!$A:$T,17,0)="","",VLOOKUP(I$4,'Economic Activity'!$A:$T,17,0)),"")</f>
        <v>448577</v>
      </c>
      <c r="J62" s="16">
        <f>IFERROR(IF(VLOOKUP(J$4,'Economic Activity'!$A:$T,17,0)="","",VLOOKUP(J$4,'Economic Activity'!$A:$T,17,0)),"")</f>
        <v>443592</v>
      </c>
      <c r="K62" s="16">
        <f>IFERROR(IF(VLOOKUP(K$4,'Economic Activity'!$A:$T,17,0)="","",VLOOKUP(K$4,'Economic Activity'!$A:$T,17,0)),"")</f>
        <v>449723</v>
      </c>
      <c r="L62" s="16">
        <f>IFERROR(IF(VLOOKUP(L$4,'Economic Activity'!$A:$T,17,0)="","",VLOOKUP(L$4,'Economic Activity'!$A:$T,17,0)),"")</f>
        <v>451216</v>
      </c>
      <c r="M62" s="16">
        <f>IFERROR(IF(VLOOKUP(M$4,'Economic Activity'!$A:$T,17,0)="","",VLOOKUP(M$4,'Economic Activity'!$A:$T,17,0)),"")</f>
        <v>457520</v>
      </c>
      <c r="N62" s="16">
        <f>IFERROR(IF(VLOOKUP(N$4,'Economic Activity'!$A:$T,17,0)="","",VLOOKUP(N$4,'Economic Activity'!$A:$T,17,0)),"")</f>
        <v>461463</v>
      </c>
      <c r="O62" s="16">
        <f>IFERROR(IF(VLOOKUP(O$4,'Economic Activity'!$A:$T,17,0)="","",VLOOKUP(O$4,'Economic Activity'!$A:$T,17,0)),"")</f>
        <v>458623</v>
      </c>
      <c r="P62" s="16">
        <f>IFERROR(IF(VLOOKUP(P$4,'Economic Activity'!$A:$T,17,0)="","",VLOOKUP(P$4,'Economic Activity'!$A:$T,17,0)),"")</f>
        <v>463017</v>
      </c>
      <c r="Q62" s="16">
        <f>IFERROR(IF(VLOOKUP(Q$4,'Economic Activity'!$A:$T,17,0)="","",VLOOKUP(Q$4,'Economic Activity'!$A:$T,17,0)),"")</f>
        <v>467018</v>
      </c>
      <c r="R62" s="16">
        <f>IFERROR(IF(VLOOKUP(R$4,'Economic Activity'!$A:$T,17,0)="","",VLOOKUP(R$4,'Economic Activity'!$A:$T,17,0)),"")</f>
        <v>475001</v>
      </c>
      <c r="S62" s="16">
        <f>IFERROR(IF(VLOOKUP(S$4,'Economic Activity'!$A:$T,17,0)="","",VLOOKUP(S$4,'Economic Activity'!$A:$T,17,0)),"")</f>
        <v>481221</v>
      </c>
      <c r="T62" s="16">
        <f>IFERROR(IF(VLOOKUP(T$4,'Economic Activity'!$A:$T,17,0)="","",VLOOKUP(T$4,'Economic Activity'!$A:$T,17,0)),"")</f>
        <v>482059</v>
      </c>
      <c r="U62" s="16">
        <f>IFERROR(IF(VLOOKUP(U$4,'Economic Activity'!$A:$T,17,0)="","",VLOOKUP(U$4,'Economic Activity'!$A:$T,17,0)),"")</f>
        <v>486036</v>
      </c>
      <c r="V62" s="16">
        <f>IFERROR(IF(VLOOKUP(V$4,'Economic Activity'!$A:$T,17,0)="","",VLOOKUP(V$4,'Economic Activity'!$A:$T,17,0)),"")</f>
        <v>485137</v>
      </c>
      <c r="W62" s="16">
        <f>IFERROR(IF(VLOOKUP(W$4,'Economic Activity'!$A:$T,17,0)="","",VLOOKUP(W$4,'Economic Activity'!$A:$T,17,0)),"")</f>
        <v>490811</v>
      </c>
      <c r="X62" s="16">
        <f>IFERROR(IF(VLOOKUP(X$4,'Economic Activity'!$A:$T,17,0)="","",VLOOKUP(X$4,'Economic Activity'!$A:$T,17,0)),"")</f>
        <v>492462</v>
      </c>
      <c r="Y62" s="16">
        <f>IFERROR(IF(VLOOKUP(Y$4,'Economic Activity'!$A:$T,17,0)="","",VLOOKUP(Y$4,'Economic Activity'!$A:$T,17,0)),"")</f>
        <v>497523</v>
      </c>
      <c r="Z62" s="16">
        <f>IFERROR(IF(VLOOKUP(Z$4,'Economic Activity'!$A:$T,17,0)="","",VLOOKUP(Z$4,'Economic Activity'!$A:$T,17,0)),"")</f>
        <v>491008</v>
      </c>
      <c r="AA62" s="16">
        <f>IFERROR(IF(VLOOKUP(AA$4,'Economic Activity'!$A:$T,17,0)="","",VLOOKUP(AA$4,'Economic Activity'!$A:$T,17,0)),"")</f>
        <v>492528</v>
      </c>
      <c r="AB62" s="16">
        <f>IFERROR(IF(VLOOKUP(AB$4,'Economic Activity'!$A:$T,17,0)="","",VLOOKUP(AB$4,'Economic Activity'!$A:$T,17,0)),"")</f>
        <v>503192</v>
      </c>
      <c r="AC62" s="16">
        <f>IFERROR(IF(VLOOKUP(AC$4,'Economic Activity'!$A:$T,17,0)="","",VLOOKUP(AC$4,'Economic Activity'!$A:$T,17,0)),"")</f>
        <v>501121</v>
      </c>
      <c r="AD62" s="16">
        <f>IFERROR(IF(VLOOKUP(AD$4,'Economic Activity'!$A:$T,17,0)="","",VLOOKUP(AD$4,'Economic Activity'!$A:$T,17,0)),"")</f>
        <v>497018</v>
      </c>
      <c r="AE62" s="16">
        <f>IFERROR(IF(VLOOKUP(AE$4,'Economic Activity'!$A:$T,17,0)="","",VLOOKUP(AE$4,'Economic Activity'!$A:$T,17,0)),"")</f>
        <v>499443</v>
      </c>
      <c r="AF62" s="16">
        <f>IFERROR(IF(VLOOKUP(AF$4,'Economic Activity'!$A:$T,17,0)="","",VLOOKUP(AF$4,'Economic Activity'!$A:$T,17,0)),"")</f>
        <v>503358</v>
      </c>
      <c r="AG62" s="16">
        <f>IFERROR(IF(VLOOKUP(AG$4,'Economic Activity'!$A:$T,17,0)="","",VLOOKUP(AG$4,'Economic Activity'!$A:$T,17,0)),"")</f>
        <v>504337</v>
      </c>
      <c r="AH62" s="16">
        <f>IFERROR(IF(VLOOKUP(AH$4,'Economic Activity'!$A:$T,17,0)="","",VLOOKUP(AH$4,'Economic Activity'!$A:$T,17,0)),"")</f>
        <v>508430</v>
      </c>
      <c r="AI62" s="16">
        <f>IFERROR(IF(VLOOKUP(AI$4,'Economic Activity'!$A:$T,17,0)="","",VLOOKUP(AI$4,'Economic Activity'!$A:$T,17,0)),"")</f>
        <v>509550</v>
      </c>
      <c r="AJ62" s="16">
        <f>IFERROR(IF(VLOOKUP(AJ$4,'Economic Activity'!$A:$T,17,0)="","",VLOOKUP(AJ$4,'Economic Activity'!$A:$T,17,0)),"")</f>
        <v>513297</v>
      </c>
      <c r="AK62" s="16">
        <f>IFERROR(IF(VLOOKUP(AK$4,'Economic Activity'!$A:$T,17,0)="","",VLOOKUP(AK$4,'Economic Activity'!$A:$T,17,0)),"")</f>
        <v>513805</v>
      </c>
      <c r="AL62" s="16">
        <f>IFERROR(IF(VLOOKUP(AL$4,'Economic Activity'!$A:$T,17,0)="","",VLOOKUP(AL$4,'Economic Activity'!$A:$T,17,0)),"")</f>
        <v>517114</v>
      </c>
      <c r="AM62" s="16">
        <f>IFERROR(IF(VLOOKUP(AM$4,'Economic Activity'!$A:$T,17,0)="","",VLOOKUP(AM$4,'Economic Activity'!$A:$T,17,0)),"")</f>
        <v>520214</v>
      </c>
      <c r="AN62" s="16" t="str">
        <f>IFERROR(IF(VLOOKUP(AN$4,'Economic Activity'!$A:$T,17,0)="","",VLOOKUP(AN$4,'Economic Activity'!$A:$T,17,0)),"")</f>
        <v/>
      </c>
      <c r="AO62" s="16" t="str">
        <f>IFERROR(IF(VLOOKUP(AO$4,'Economic Activity'!$A:$T,17,0)="","",VLOOKUP(AO$4,'Economic Activity'!$A:$T,17,0)),"")</f>
        <v/>
      </c>
      <c r="AP62" s="16" t="str">
        <f>IFERROR(IF(VLOOKUP(AP$4,'Economic Activity'!$A:$T,17,0)="","",VLOOKUP(AP$4,'Economic Activity'!$A:$T,17,0)),"")</f>
        <v/>
      </c>
      <c r="AQ62" s="16" t="str">
        <f>IFERROR(IF(VLOOKUP(AQ$4,'Economic Activity'!$A:$T,17,0)="","",VLOOKUP(AQ$4,'Economic Activity'!$A:$T,17,0)),"")</f>
        <v/>
      </c>
      <c r="AR62" s="16" t="str">
        <f>IFERROR(IF(VLOOKUP(AR$4,'Economic Activity'!$A:$T,17,0)="","",VLOOKUP(AR$4,'Economic Activity'!$A:$T,17,0)),"")</f>
        <v/>
      </c>
      <c r="AS62" s="16" t="str">
        <f>IFERROR(IF(VLOOKUP(AS$4,'Economic Activity'!$A:$T,17,0)="","",VLOOKUP(AS$4,'Economic Activity'!$A:$T,17,0)),"")</f>
        <v/>
      </c>
      <c r="AT62" s="16" t="str">
        <f>IFERROR(IF(VLOOKUP(AT$4,'Economic Activity'!$A:$T,17,0)="","",VLOOKUP(AT$4,'Economic Activity'!$A:$T,17,0)),"")</f>
        <v/>
      </c>
      <c r="AU62" s="16" t="str">
        <f>IFERROR(IF(VLOOKUP(AU$4,'Economic Activity'!$A:$T,17,0)="","",VLOOKUP(AU$4,'Economic Activity'!$A:$T,17,0)),"")</f>
        <v/>
      </c>
      <c r="AV62" s="16" t="str">
        <f>IFERROR(IF(VLOOKUP(AV$4,'Economic Activity'!$A:$T,17,0)="","",VLOOKUP(AV$4,'Economic Activity'!$A:$T,17,0)),"")</f>
        <v/>
      </c>
      <c r="AW62" s="16" t="str">
        <f>IFERROR(IF(VLOOKUP(AW$4,'Economic Activity'!$A:$T,17,0)="","",VLOOKUP(AW$4,'Economic Activity'!$A:$T,17,0)),"")</f>
        <v/>
      </c>
      <c r="AX62" s="16" t="str">
        <f>IFERROR(IF(VLOOKUP(AX$4,'Economic Activity'!$A:$T,17,0)="","",VLOOKUP(AX$4,'Economic Activity'!$A:$T,17,0)),"")</f>
        <v/>
      </c>
      <c r="AY62" s="16" t="str">
        <f>IFERROR(IF(VLOOKUP(AY$4,'Economic Activity'!$A:$T,17,0)="","",VLOOKUP(AY$4,'Economic Activity'!$A:$T,17,0)),"")</f>
        <v/>
      </c>
    </row>
    <row r="63" spans="1:51" ht="19.5" customHeight="1">
      <c r="A63" s="3"/>
      <c r="B63" s="3"/>
      <c r="C63" s="45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  <c r="AK63" s="3"/>
      <c r="AL63" s="3"/>
      <c r="AM63" s="3"/>
    </row>
    <row r="64" spans="1:51" ht="19.5" customHeight="1">
      <c r="A64" s="3"/>
      <c r="B64" s="3"/>
      <c r="C64" s="45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  <c r="AK64" s="3"/>
      <c r="AL64" s="3"/>
      <c r="AM64" s="3"/>
    </row>
    <row r="65" spans="1:39" ht="19.5" customHeight="1">
      <c r="A65" s="3"/>
      <c r="B65" s="3"/>
      <c r="C65" s="45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  <c r="AK65" s="3"/>
      <c r="AL65" s="3"/>
      <c r="AM65" s="3"/>
    </row>
    <row r="66" spans="1:39" ht="19.5" customHeight="1"/>
    <row r="67" spans="1:39" ht="19.5" customHeight="1"/>
    <row r="68" spans="1:39" ht="19.5" customHeight="1"/>
    <row r="69" spans="1:39" ht="19.5" customHeight="1"/>
  </sheetData>
  <conditionalFormatting sqref="D33:AY33">
    <cfRule type="colorScale" priority="4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45:AY45">
    <cfRule type="colorScale" priority="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6:AY46">
    <cfRule type="colorScale" priority="13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7:AY47">
    <cfRule type="colorScale" priority="13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AY48">
    <cfRule type="colorScale" priority="1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8:AY49">
    <cfRule type="colorScale" priority="13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9:AY49">
    <cfRule type="colorScale" priority="12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0:AY50">
    <cfRule type="colorScale" priority="12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1:AY51">
    <cfRule type="colorScale" priority="12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2:AY52">
    <cfRule type="colorScale" priority="12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:AY53">
    <cfRule type="colorScale" priority="12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:AY56 D51:AY53">
    <cfRule type="colorScale" priority="25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6:AY56">
    <cfRule type="colorScale" priority="12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7:AY57">
    <cfRule type="colorScale" priority="119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20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8:AY58">
    <cfRule type="colorScale" priority="117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9:AY59">
    <cfRule type="colorScale" priority="115">
      <colorScale>
        <cfvo type="min"/>
        <cfvo type="percentile" val="50"/>
        <cfvo type="max"/>
        <color rgb="FF63BE7B"/>
        <color rgb="FFFFEB84"/>
        <color rgb="FFF8696B"/>
      </colorScale>
    </cfRule>
    <cfRule type="colorScale" priority="1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5:AY35">
    <cfRule type="colorScale" priority="1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2:AY42">
    <cfRule type="colorScale" priority="10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3:AY43">
    <cfRule type="colorScale" priority="1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8:AY38">
    <cfRule type="colorScale" priority="11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:AY39">
    <cfRule type="colorScale" priority="10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1:AY41">
    <cfRule type="colorScale" priority="10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1:AY61">
    <cfRule type="colorScale" priority="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62:AY62">
    <cfRule type="colorScale" priority="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3:AY23">
    <cfRule type="colorScale" priority="5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4:AY24">
    <cfRule type="colorScale" priority="5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5:AY25">
    <cfRule type="colorScale" priority="4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6:AY26">
    <cfRule type="colorScale" priority="4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H27:AY27">
    <cfRule type="colorScale" priority="4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8:AY28">
    <cfRule type="colorScale" priority="5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29:AY29">
    <cfRule type="colorScale" priority="5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0:AY30">
    <cfRule type="colorScale" priority="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1:AY31">
    <cfRule type="colorScale" priority="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M32:AY32">
    <cfRule type="colorScale" priority="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0:AY40">
    <cfRule type="colorScale" priority="4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6:AY37">
    <cfRule type="colorScale" priority="4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2:AY42">
    <cfRule type="colorScale" priority="3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3:AY43">
    <cfRule type="colorScale" priority="3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8:AY38">
    <cfRule type="colorScale" priority="1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39:AY39">
    <cfRule type="colorScale" priority="1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41:AY41">
    <cfRule type="colorScale" priority="2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0:AY40">
    <cfRule type="colorScale" priority="35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6:AY37">
    <cfRule type="colorScale" priority="2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I40:AY40 D41:AY43 D35:AY39">
    <cfRule type="colorScale" priority="25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0:AY40">
    <cfRule type="colorScale" priority="29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I40:AY40">
    <cfRule type="colorScale" priority="24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6:AY36">
    <cfRule type="colorScale" priority="1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37:AY37">
    <cfRule type="colorScale" priority="1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0:AY20">
    <cfRule type="colorScale" priority="13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2:AY22">
    <cfRule type="colorScale" priority="1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9:AY19">
    <cfRule type="colorScale" priority="1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21:AY21">
    <cfRule type="colorScale" priority="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6:AY6">
    <cfRule type="colorScale" priority="25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7:AY7">
    <cfRule type="colorScale" priority="25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8:AY8">
    <cfRule type="colorScale" priority="257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3:AY13">
    <cfRule type="colorScale" priority="258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9:AY9">
    <cfRule type="colorScale" priority="259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4:AY14">
    <cfRule type="colorScale" priority="260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0:AY10">
    <cfRule type="colorScale" priority="261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1:AY11">
    <cfRule type="colorScale" priority="262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12:AY12">
    <cfRule type="colorScale" priority="26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5:AY15">
    <cfRule type="colorScale" priority="26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6:AY16">
    <cfRule type="colorScale" priority="26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17:AY17">
    <cfRule type="colorScale" priority="266">
      <colorScale>
        <cfvo type="min"/>
        <cfvo type="percentile" val="50"/>
        <cfvo type="max"/>
        <color rgb="FFF8696B"/>
        <color rgb="FFFFEB84"/>
        <color rgb="FF63BE7B"/>
      </colorScale>
    </cfRule>
  </conditionalFormatting>
  <conditionalFormatting sqref="D52:AY52">
    <cfRule type="colorScale" priority="8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3:AY53">
    <cfRule type="colorScale" priority="7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4:AY54">
    <cfRule type="colorScale" priority="5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4:AY54">
    <cfRule type="colorScale" priority="6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4:AY54">
    <cfRule type="colorScale" priority="4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5:AY55">
    <cfRule type="colorScale" priority="2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5:AY55">
    <cfRule type="colorScale" priority="3">
      <colorScale>
        <cfvo type="min"/>
        <cfvo type="percentile" val="50"/>
        <cfvo type="max"/>
        <color rgb="FF63BE7B"/>
        <color rgb="FFFFEB84"/>
        <color rgb="FFF8696B"/>
      </colorScale>
    </cfRule>
  </conditionalFormatting>
  <conditionalFormatting sqref="D55:AY55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F19DE3-301C-47F4-8BE3-468E205E1D8F}">
  <sheetPr codeName="Planilha9">
    <tabColor rgb="FFC00000"/>
  </sheetPr>
  <dimension ref="A1:M843"/>
  <sheetViews>
    <sheetView showGridLines="0" topLeftCell="A2" zoomScaleNormal="100" workbookViewId="0">
      <pane xSplit="1" ySplit="2" topLeftCell="B586" activePane="bottomRight" state="frozen"/>
      <selection activeCell="I37" sqref="I37"/>
      <selection pane="topRight" activeCell="I37" sqref="I37"/>
      <selection pane="bottomLeft" activeCell="I37" sqref="I37"/>
      <selection pane="bottomRight" activeCell="J610" sqref="J610"/>
    </sheetView>
  </sheetViews>
  <sheetFormatPr defaultRowHeight="12.75"/>
  <cols>
    <col min="1" max="1" width="9.85546875" style="5" bestFit="1" customWidth="1"/>
    <col min="2" max="2" width="8.85546875" style="5" bestFit="1" customWidth="1"/>
    <col min="3" max="3" width="11.85546875" style="5" bestFit="1" customWidth="1"/>
    <col min="4" max="4" width="17.7109375" style="5" bestFit="1" customWidth="1"/>
    <col min="5" max="5" width="21.42578125" style="5" bestFit="1" customWidth="1"/>
    <col min="6" max="6" width="14.5703125" style="9" customWidth="1"/>
    <col min="7" max="7" width="17.5703125" style="5" customWidth="1"/>
    <col min="8" max="8" width="9.42578125" style="5" customWidth="1"/>
    <col min="9" max="9" width="9.140625" style="5"/>
    <col min="10" max="10" width="13.42578125" style="5" bestFit="1" customWidth="1"/>
    <col min="11" max="11" width="9.140625" style="5"/>
    <col min="12" max="12" width="10.5703125" style="5" bestFit="1" customWidth="1"/>
    <col min="13" max="13" width="18.42578125" style="5" customWidth="1"/>
    <col min="14" max="16384" width="9.140625" style="5"/>
  </cols>
  <sheetData>
    <row r="1" spans="1:13">
      <c r="B1" s="5" t="s">
        <v>2</v>
      </c>
      <c r="D1" s="20" t="s">
        <v>2</v>
      </c>
      <c r="E1" s="20" t="s">
        <v>2</v>
      </c>
      <c r="F1" s="5" t="s">
        <v>2</v>
      </c>
      <c r="G1" s="5" t="s">
        <v>2</v>
      </c>
    </row>
    <row r="2" spans="1:13">
      <c r="B2" s="20" t="s">
        <v>2</v>
      </c>
      <c r="C2" s="20"/>
      <c r="D2" s="20" t="s">
        <v>2</v>
      </c>
      <c r="E2" s="20" t="s">
        <v>2</v>
      </c>
      <c r="F2" s="20" t="s">
        <v>2</v>
      </c>
      <c r="G2" s="20" t="s">
        <v>2</v>
      </c>
      <c r="H2" s="20" t="s">
        <v>2</v>
      </c>
      <c r="I2" s="5" t="s">
        <v>2</v>
      </c>
      <c r="J2" s="20" t="s">
        <v>2</v>
      </c>
      <c r="L2" s="20" t="s">
        <v>2</v>
      </c>
    </row>
    <row r="3" spans="1:13" ht="30" customHeight="1">
      <c r="A3" s="18" t="s">
        <v>23</v>
      </c>
      <c r="B3" s="18" t="s">
        <v>43</v>
      </c>
      <c r="C3" s="18" t="s">
        <v>11</v>
      </c>
      <c r="D3" s="18" t="s">
        <v>44</v>
      </c>
      <c r="E3" s="18" t="s">
        <v>45</v>
      </c>
      <c r="F3" s="22" t="s">
        <v>46</v>
      </c>
      <c r="G3" s="22" t="s">
        <v>47</v>
      </c>
      <c r="H3" s="22" t="s">
        <v>124</v>
      </c>
      <c r="I3" s="22" t="s">
        <v>41</v>
      </c>
      <c r="J3" s="22" t="s">
        <v>122</v>
      </c>
      <c r="K3" s="22" t="s">
        <v>123</v>
      </c>
      <c r="L3" s="22" t="s">
        <v>125</v>
      </c>
      <c r="M3" s="22" t="s">
        <v>135</v>
      </c>
    </row>
    <row r="4" spans="1:13">
      <c r="A4" s="6">
        <v>20090</v>
      </c>
      <c r="B4" s="7">
        <v>1.44</v>
      </c>
      <c r="C4" s="7"/>
      <c r="D4" s="59"/>
      <c r="E4" s="7"/>
      <c r="F4" s="21"/>
      <c r="G4" s="21"/>
      <c r="H4" s="21"/>
      <c r="I4" s="54"/>
      <c r="J4" s="21"/>
      <c r="K4" s="21"/>
      <c r="L4" s="21"/>
      <c r="M4" s="21"/>
    </row>
    <row r="5" spans="1:13">
      <c r="A5" s="6">
        <v>20121</v>
      </c>
      <c r="B5" s="7">
        <v>1.44</v>
      </c>
      <c r="C5" s="7"/>
      <c r="D5" s="59"/>
      <c r="E5" s="7"/>
      <c r="F5" s="21"/>
      <c r="G5" s="21"/>
      <c r="H5" s="21"/>
      <c r="I5" s="54"/>
      <c r="J5" s="21"/>
      <c r="K5" s="21"/>
      <c r="L5" s="21"/>
      <c r="M5" s="21"/>
    </row>
    <row r="6" spans="1:13">
      <c r="A6" s="6">
        <v>20149</v>
      </c>
      <c r="B6" s="7">
        <v>1.44</v>
      </c>
      <c r="C6" s="7"/>
      <c r="D6" s="59"/>
      <c r="E6" s="7"/>
      <c r="F6" s="21"/>
      <c r="G6" s="21"/>
      <c r="H6" s="21"/>
      <c r="I6" s="54"/>
      <c r="J6" s="21"/>
      <c r="K6" s="21"/>
      <c r="L6" s="21"/>
      <c r="M6" s="21"/>
    </row>
    <row r="7" spans="1:13">
      <c r="A7" s="6">
        <v>20180</v>
      </c>
      <c r="B7" s="7">
        <v>1.69</v>
      </c>
      <c r="C7" s="7"/>
      <c r="D7" s="59"/>
      <c r="E7" s="7"/>
      <c r="F7" s="21"/>
      <c r="G7" s="21"/>
      <c r="H7" s="21"/>
      <c r="I7" s="54"/>
      <c r="J7" s="21"/>
      <c r="K7" s="21"/>
      <c r="L7" s="21"/>
      <c r="M7" s="21"/>
    </row>
    <row r="8" spans="1:13">
      <c r="A8" s="6">
        <v>20210</v>
      </c>
      <c r="B8" s="7">
        <v>1.69</v>
      </c>
      <c r="C8" s="7"/>
      <c r="D8" s="59"/>
      <c r="E8" s="7"/>
      <c r="F8" s="21"/>
      <c r="G8" s="21"/>
      <c r="H8" s="21"/>
      <c r="I8" s="54"/>
      <c r="J8" s="21"/>
      <c r="K8" s="21"/>
      <c r="L8" s="21"/>
      <c r="M8" s="21"/>
    </row>
    <row r="9" spans="1:13">
      <c r="A9" s="6">
        <v>20241</v>
      </c>
      <c r="B9" s="7">
        <v>1.69</v>
      </c>
      <c r="C9" s="7"/>
      <c r="D9" s="59"/>
      <c r="E9" s="7"/>
      <c r="F9" s="21"/>
      <c r="G9" s="21"/>
      <c r="H9" s="21"/>
      <c r="I9" s="54"/>
      <c r="J9" s="21"/>
      <c r="K9" s="21"/>
      <c r="L9" s="21"/>
      <c r="M9" s="21"/>
    </row>
    <row r="10" spans="1:13">
      <c r="A10" s="6">
        <v>20271</v>
      </c>
      <c r="B10" s="7">
        <v>1.75</v>
      </c>
      <c r="C10" s="7"/>
      <c r="D10" s="59"/>
      <c r="E10" s="7"/>
      <c r="F10" s="21"/>
      <c r="G10" s="21"/>
      <c r="H10" s="21"/>
      <c r="I10" s="54"/>
      <c r="J10" s="21"/>
      <c r="K10" s="21"/>
      <c r="L10" s="21"/>
      <c r="M10" s="21"/>
    </row>
    <row r="11" spans="1:13">
      <c r="A11" s="6">
        <v>20302</v>
      </c>
      <c r="B11" s="7">
        <v>2</v>
      </c>
      <c r="C11" s="7"/>
      <c r="D11" s="59"/>
      <c r="E11" s="7"/>
      <c r="F11" s="21"/>
      <c r="G11" s="21"/>
      <c r="H11" s="21"/>
      <c r="I11" s="54"/>
      <c r="J11" s="21"/>
      <c r="K11" s="21"/>
      <c r="L11" s="21"/>
      <c r="M11" s="21"/>
    </row>
    <row r="12" spans="1:13">
      <c r="A12" s="6">
        <v>20333</v>
      </c>
      <c r="B12" s="7">
        <v>2.19</v>
      </c>
      <c r="C12" s="7"/>
      <c r="D12" s="59"/>
      <c r="E12" s="7"/>
      <c r="F12" s="21"/>
      <c r="G12" s="21"/>
      <c r="H12" s="21"/>
      <c r="I12" s="54"/>
      <c r="J12" s="21"/>
      <c r="K12" s="21"/>
      <c r="L12" s="21"/>
      <c r="M12" s="21"/>
    </row>
    <row r="13" spans="1:13">
      <c r="A13" s="6">
        <v>20363</v>
      </c>
      <c r="B13" s="7">
        <v>2.25</v>
      </c>
      <c r="C13" s="7"/>
      <c r="D13" s="59"/>
      <c r="E13" s="7"/>
      <c r="F13" s="21"/>
      <c r="G13" s="21"/>
      <c r="H13" s="21"/>
      <c r="I13" s="54"/>
      <c r="J13" s="21"/>
      <c r="K13" s="21"/>
      <c r="L13" s="21"/>
      <c r="M13" s="21"/>
    </row>
    <row r="14" spans="1:13">
      <c r="A14" s="6">
        <v>20394</v>
      </c>
      <c r="B14" s="7">
        <v>2.44</v>
      </c>
      <c r="C14" s="7"/>
      <c r="D14" s="59"/>
      <c r="E14" s="7"/>
      <c r="F14" s="21"/>
      <c r="G14" s="21"/>
      <c r="H14" s="21"/>
      <c r="I14" s="54"/>
      <c r="J14" s="21"/>
      <c r="K14" s="21"/>
      <c r="L14" s="21"/>
      <c r="M14" s="21"/>
    </row>
    <row r="15" spans="1:13">
      <c r="A15" s="6">
        <v>20424</v>
      </c>
      <c r="B15" s="7">
        <v>2.5</v>
      </c>
      <c r="C15" s="7"/>
      <c r="D15" s="59"/>
      <c r="E15" s="7"/>
      <c r="F15" s="21"/>
      <c r="G15" s="21"/>
      <c r="H15" s="21"/>
      <c r="I15" s="54"/>
      <c r="J15" s="21"/>
      <c r="K15" s="21"/>
      <c r="L15" s="21"/>
      <c r="M15" s="21"/>
    </row>
    <row r="16" spans="1:13">
      <c r="A16" s="6">
        <v>20455</v>
      </c>
      <c r="B16" s="7">
        <v>2.5</v>
      </c>
      <c r="C16" s="7"/>
      <c r="D16" s="59"/>
      <c r="E16" s="7"/>
      <c r="F16" s="21"/>
      <c r="G16" s="21"/>
      <c r="H16" s="21"/>
      <c r="I16" s="54"/>
      <c r="J16" s="21"/>
      <c r="K16" s="21"/>
      <c r="L16" s="21"/>
      <c r="M16" s="21"/>
    </row>
    <row r="17" spans="1:13">
      <c r="A17" s="6">
        <v>20486</v>
      </c>
      <c r="B17" s="7">
        <v>2.5</v>
      </c>
      <c r="C17" s="7"/>
      <c r="D17" s="59"/>
      <c r="E17" s="7"/>
      <c r="F17" s="21"/>
      <c r="G17" s="21"/>
      <c r="H17" s="21"/>
      <c r="I17" s="54"/>
      <c r="J17" s="21"/>
      <c r="K17" s="21"/>
      <c r="L17" s="21"/>
      <c r="M17" s="21"/>
    </row>
    <row r="18" spans="1:13">
      <c r="A18" s="6">
        <v>20515</v>
      </c>
      <c r="B18" s="7">
        <v>2.5</v>
      </c>
      <c r="C18" s="7"/>
      <c r="D18" s="59"/>
      <c r="E18" s="7"/>
      <c r="F18" s="21"/>
      <c r="G18" s="21"/>
      <c r="H18" s="21"/>
      <c r="I18" s="54"/>
      <c r="J18" s="21"/>
      <c r="K18" s="21"/>
      <c r="L18" s="21"/>
      <c r="M18" s="21"/>
    </row>
    <row r="19" spans="1:13">
      <c r="A19" s="6">
        <v>20546</v>
      </c>
      <c r="B19" s="7">
        <v>2.75</v>
      </c>
      <c r="C19" s="7"/>
      <c r="D19" s="59"/>
      <c r="E19" s="7"/>
      <c r="F19" s="21"/>
      <c r="G19" s="21"/>
      <c r="H19" s="21"/>
      <c r="I19" s="54"/>
      <c r="J19" s="21"/>
      <c r="K19" s="21"/>
      <c r="L19" s="21"/>
      <c r="M19" s="21"/>
    </row>
    <row r="20" spans="1:13">
      <c r="A20" s="6">
        <v>20576</v>
      </c>
      <c r="B20" s="7">
        <v>2.75</v>
      </c>
      <c r="C20" s="7"/>
      <c r="D20" s="59"/>
      <c r="E20" s="7"/>
      <c r="F20" s="21"/>
      <c r="G20" s="21"/>
      <c r="H20" s="21"/>
      <c r="I20" s="54"/>
      <c r="J20" s="21"/>
      <c r="K20" s="21"/>
      <c r="L20" s="21"/>
      <c r="M20" s="21"/>
    </row>
    <row r="21" spans="1:13">
      <c r="A21" s="6">
        <v>20607</v>
      </c>
      <c r="B21" s="7">
        <v>2.75</v>
      </c>
      <c r="C21" s="7"/>
      <c r="D21" s="59"/>
      <c r="E21" s="7"/>
      <c r="F21" s="21"/>
      <c r="G21" s="21"/>
      <c r="H21" s="21"/>
      <c r="I21" s="54"/>
      <c r="J21" s="21"/>
      <c r="K21" s="21"/>
      <c r="L21" s="21"/>
      <c r="M21" s="21"/>
    </row>
    <row r="22" spans="1:13">
      <c r="A22" s="6">
        <v>20637</v>
      </c>
      <c r="B22" s="7">
        <v>2.69</v>
      </c>
      <c r="C22" s="7"/>
      <c r="D22" s="59"/>
      <c r="E22" s="7"/>
      <c r="F22" s="21"/>
      <c r="G22" s="21"/>
      <c r="H22" s="21"/>
      <c r="I22" s="54"/>
      <c r="J22" s="21"/>
      <c r="K22" s="21"/>
      <c r="L22" s="21"/>
      <c r="M22" s="21"/>
    </row>
    <row r="23" spans="1:13">
      <c r="A23" s="6">
        <v>20668</v>
      </c>
      <c r="B23" s="7">
        <v>3</v>
      </c>
      <c r="C23" s="7"/>
      <c r="D23" s="59"/>
      <c r="E23" s="7"/>
      <c r="F23" s="21"/>
      <c r="G23" s="21"/>
      <c r="H23" s="21"/>
      <c r="I23" s="54"/>
      <c r="J23" s="21"/>
      <c r="K23" s="21"/>
      <c r="L23" s="21"/>
      <c r="M23" s="21"/>
    </row>
    <row r="24" spans="1:13">
      <c r="A24" s="6">
        <v>20699</v>
      </c>
      <c r="B24" s="7">
        <v>3</v>
      </c>
      <c r="C24" s="7"/>
      <c r="D24" s="59"/>
      <c r="E24" s="7"/>
      <c r="F24" s="21"/>
      <c r="G24" s="21"/>
      <c r="H24" s="21"/>
      <c r="I24" s="54"/>
      <c r="J24" s="21"/>
      <c r="K24" s="21"/>
      <c r="L24" s="21"/>
      <c r="M24" s="21"/>
    </row>
    <row r="25" spans="1:13">
      <c r="A25" s="6">
        <v>20729</v>
      </c>
      <c r="B25" s="7">
        <v>3</v>
      </c>
      <c r="C25" s="7"/>
      <c r="D25" s="59"/>
      <c r="E25" s="7"/>
      <c r="F25" s="21"/>
      <c r="G25" s="21"/>
      <c r="H25" s="21"/>
      <c r="I25" s="54"/>
      <c r="J25" s="21"/>
      <c r="K25" s="21"/>
      <c r="L25" s="21"/>
      <c r="M25" s="21"/>
    </row>
    <row r="26" spans="1:13">
      <c r="A26" s="6">
        <v>20760</v>
      </c>
      <c r="B26" s="7">
        <v>3</v>
      </c>
      <c r="C26" s="7"/>
      <c r="D26" s="59"/>
      <c r="E26" s="7"/>
      <c r="F26" s="21"/>
      <c r="G26" s="21"/>
      <c r="H26" s="21"/>
      <c r="I26" s="54"/>
      <c r="J26" s="21"/>
      <c r="K26" s="21"/>
      <c r="L26" s="21"/>
      <c r="M26" s="21"/>
    </row>
    <row r="27" spans="1:13">
      <c r="A27" s="6">
        <v>20790</v>
      </c>
      <c r="B27" s="7">
        <v>3</v>
      </c>
      <c r="C27" s="7"/>
      <c r="D27" s="59"/>
      <c r="E27" s="7"/>
      <c r="F27" s="21"/>
      <c r="G27" s="21"/>
      <c r="H27" s="21"/>
      <c r="I27" s="54"/>
      <c r="J27" s="21"/>
      <c r="K27" s="21"/>
      <c r="L27" s="21"/>
      <c r="M27" s="21"/>
    </row>
    <row r="28" spans="1:13">
      <c r="A28" s="6">
        <v>20821</v>
      </c>
      <c r="B28" s="7">
        <v>3</v>
      </c>
      <c r="C28" s="7"/>
      <c r="D28" s="59"/>
      <c r="E28" s="7"/>
      <c r="F28" s="21"/>
      <c r="G28" s="21"/>
      <c r="H28" s="21"/>
      <c r="I28" s="54"/>
      <c r="J28" s="21"/>
      <c r="K28" s="21"/>
      <c r="L28" s="21"/>
      <c r="M28" s="21"/>
    </row>
    <row r="29" spans="1:13">
      <c r="A29" s="6">
        <v>20852</v>
      </c>
      <c r="B29" s="7">
        <v>3</v>
      </c>
      <c r="C29" s="7"/>
      <c r="D29" s="59"/>
      <c r="E29" s="7"/>
      <c r="F29" s="21"/>
      <c r="G29" s="21"/>
      <c r="H29" s="21"/>
      <c r="I29" s="54"/>
      <c r="J29" s="21"/>
      <c r="K29" s="21"/>
      <c r="L29" s="21"/>
      <c r="M29" s="21"/>
    </row>
    <row r="30" spans="1:13">
      <c r="A30" s="6">
        <v>20880</v>
      </c>
      <c r="B30" s="7">
        <v>2.94</v>
      </c>
      <c r="C30" s="7"/>
      <c r="D30" s="59"/>
      <c r="E30" s="7"/>
      <c r="F30" s="21"/>
      <c r="G30" s="21"/>
      <c r="H30" s="21"/>
      <c r="I30" s="54"/>
      <c r="J30" s="21"/>
      <c r="K30" s="21"/>
      <c r="L30" s="21"/>
      <c r="M30" s="21"/>
    </row>
    <row r="31" spans="1:13">
      <c r="A31" s="6">
        <v>20911</v>
      </c>
      <c r="B31" s="7">
        <v>3</v>
      </c>
      <c r="C31" s="7"/>
      <c r="D31" s="59"/>
      <c r="E31" s="7"/>
      <c r="F31" s="21"/>
      <c r="G31" s="21"/>
      <c r="H31" s="21"/>
      <c r="I31" s="54"/>
      <c r="J31" s="21"/>
      <c r="K31" s="21"/>
      <c r="L31" s="21"/>
      <c r="M31" s="21"/>
    </row>
    <row r="32" spans="1:13">
      <c r="A32" s="6">
        <v>20941</v>
      </c>
      <c r="B32" s="7">
        <v>3</v>
      </c>
      <c r="C32" s="7"/>
      <c r="D32" s="59"/>
      <c r="E32" s="7"/>
      <c r="F32" s="21"/>
      <c r="G32" s="21"/>
      <c r="H32" s="21"/>
      <c r="I32" s="54"/>
      <c r="J32" s="21"/>
      <c r="K32" s="21"/>
      <c r="L32" s="21"/>
      <c r="M32" s="21"/>
    </row>
    <row r="33" spans="1:13">
      <c r="A33" s="6">
        <v>20972</v>
      </c>
      <c r="B33" s="7">
        <v>3</v>
      </c>
      <c r="C33" s="7"/>
      <c r="D33" s="59"/>
      <c r="E33" s="7"/>
      <c r="F33" s="21"/>
      <c r="G33" s="21"/>
      <c r="H33" s="21"/>
      <c r="I33" s="54"/>
      <c r="J33" s="21"/>
      <c r="K33" s="21"/>
      <c r="L33" s="21"/>
      <c r="M33" s="21"/>
    </row>
    <row r="34" spans="1:13">
      <c r="A34" s="6">
        <v>21002</v>
      </c>
      <c r="B34" s="7">
        <v>2.88</v>
      </c>
      <c r="C34" s="7"/>
      <c r="D34" s="59"/>
      <c r="E34" s="7"/>
      <c r="F34" s="21"/>
      <c r="G34" s="21"/>
      <c r="H34" s="21"/>
      <c r="I34" s="54"/>
      <c r="J34" s="21"/>
      <c r="K34" s="21"/>
      <c r="L34" s="21"/>
      <c r="M34" s="21"/>
    </row>
    <row r="35" spans="1:13">
      <c r="A35" s="6">
        <v>21033</v>
      </c>
      <c r="B35" s="7">
        <v>3.5</v>
      </c>
      <c r="C35" s="7"/>
      <c r="D35" s="59"/>
      <c r="E35" s="7"/>
      <c r="F35" s="21"/>
      <c r="G35" s="21"/>
      <c r="H35" s="21"/>
      <c r="I35" s="54"/>
      <c r="J35" s="21"/>
      <c r="K35" s="21"/>
      <c r="L35" s="21"/>
      <c r="M35" s="21"/>
    </row>
    <row r="36" spans="1:13">
      <c r="A36" s="6">
        <v>21064</v>
      </c>
      <c r="B36" s="7">
        <v>3.5</v>
      </c>
      <c r="C36" s="7"/>
      <c r="D36" s="59"/>
      <c r="E36" s="7"/>
      <c r="F36" s="21"/>
      <c r="G36" s="21"/>
      <c r="H36" s="21"/>
      <c r="I36" s="54"/>
      <c r="J36" s="21"/>
      <c r="K36" s="21"/>
      <c r="L36" s="21"/>
      <c r="M36" s="21"/>
    </row>
    <row r="37" spans="1:13">
      <c r="A37" s="6">
        <v>21094</v>
      </c>
      <c r="B37" s="7">
        <v>3.5</v>
      </c>
      <c r="C37" s="7"/>
      <c r="D37" s="59"/>
      <c r="E37" s="7"/>
      <c r="F37" s="21"/>
      <c r="G37" s="21"/>
      <c r="H37" s="21"/>
      <c r="I37" s="54"/>
      <c r="J37" s="21"/>
      <c r="K37" s="21"/>
      <c r="L37" s="21"/>
      <c r="M37" s="21"/>
    </row>
    <row r="38" spans="1:13">
      <c r="A38" s="6">
        <v>21125</v>
      </c>
      <c r="B38" s="7">
        <v>3</v>
      </c>
      <c r="C38" s="7"/>
      <c r="D38" s="59"/>
      <c r="E38" s="7"/>
      <c r="F38" s="21"/>
      <c r="G38" s="21"/>
      <c r="H38" s="21"/>
      <c r="I38" s="54"/>
      <c r="J38" s="21"/>
      <c r="K38" s="21"/>
      <c r="L38" s="21"/>
      <c r="M38" s="21"/>
    </row>
    <row r="39" spans="1:13">
      <c r="A39" s="6">
        <v>21155</v>
      </c>
      <c r="B39" s="7">
        <v>3</v>
      </c>
      <c r="C39" s="7"/>
      <c r="D39" s="59"/>
      <c r="E39" s="7"/>
      <c r="F39" s="21"/>
      <c r="G39" s="21"/>
      <c r="H39" s="21"/>
      <c r="I39" s="54"/>
      <c r="J39" s="21"/>
      <c r="K39" s="21"/>
      <c r="L39" s="21"/>
      <c r="M39" s="21"/>
    </row>
    <row r="40" spans="1:13">
      <c r="A40" s="6">
        <v>21186</v>
      </c>
      <c r="B40" s="7">
        <v>1.5</v>
      </c>
      <c r="C40" s="7"/>
      <c r="D40" s="59"/>
      <c r="E40" s="7"/>
      <c r="F40" s="21"/>
      <c r="G40" s="21"/>
      <c r="H40" s="21"/>
      <c r="I40" s="54"/>
      <c r="J40" s="21"/>
      <c r="K40" s="21"/>
      <c r="L40" s="21"/>
      <c r="M40" s="21"/>
    </row>
    <row r="41" spans="1:13">
      <c r="A41" s="6">
        <v>21217</v>
      </c>
      <c r="B41" s="7">
        <v>0.5</v>
      </c>
      <c r="C41" s="7"/>
      <c r="D41" s="59"/>
      <c r="E41" s="7"/>
      <c r="F41" s="21"/>
      <c r="G41" s="21"/>
      <c r="H41" s="21"/>
      <c r="I41" s="54"/>
      <c r="J41" s="21"/>
      <c r="K41" s="21"/>
      <c r="L41" s="21"/>
      <c r="M41" s="21"/>
    </row>
    <row r="42" spans="1:13">
      <c r="A42" s="6">
        <v>21245</v>
      </c>
      <c r="B42" s="7">
        <v>0.5</v>
      </c>
      <c r="C42" s="7"/>
      <c r="D42" s="59"/>
      <c r="E42" s="7"/>
      <c r="F42" s="21"/>
      <c r="G42" s="21"/>
      <c r="H42" s="21"/>
      <c r="I42" s="54"/>
      <c r="J42" s="21"/>
      <c r="K42" s="21"/>
      <c r="L42" s="21"/>
      <c r="M42" s="21"/>
    </row>
    <row r="43" spans="1:13">
      <c r="A43" s="6">
        <v>21276</v>
      </c>
      <c r="B43" s="7">
        <v>0.25</v>
      </c>
      <c r="C43" s="7"/>
      <c r="D43" s="59"/>
      <c r="E43" s="7"/>
      <c r="F43" s="21"/>
      <c r="G43" s="21"/>
      <c r="H43" s="21"/>
      <c r="I43" s="54"/>
      <c r="J43" s="21"/>
      <c r="K43" s="21"/>
      <c r="L43" s="21"/>
      <c r="M43" s="21"/>
    </row>
    <row r="44" spans="1:13">
      <c r="A44" s="6">
        <v>21306</v>
      </c>
      <c r="B44" s="7">
        <v>0.13</v>
      </c>
      <c r="C44" s="7"/>
      <c r="D44" s="59"/>
      <c r="E44" s="7"/>
      <c r="F44" s="21"/>
      <c r="G44" s="21"/>
      <c r="H44" s="21"/>
      <c r="I44" s="54"/>
      <c r="J44" s="21"/>
      <c r="K44" s="21"/>
      <c r="L44" s="21"/>
      <c r="M44" s="21"/>
    </row>
    <row r="45" spans="1:13">
      <c r="A45" s="6">
        <v>21337</v>
      </c>
      <c r="B45" s="7">
        <v>0.5</v>
      </c>
      <c r="C45" s="7"/>
      <c r="D45" s="59"/>
      <c r="E45" s="7"/>
      <c r="F45" s="21"/>
      <c r="G45" s="21"/>
      <c r="H45" s="21"/>
      <c r="I45" s="54"/>
      <c r="J45" s="21"/>
      <c r="K45" s="21"/>
      <c r="L45" s="21"/>
      <c r="M45" s="21"/>
    </row>
    <row r="46" spans="1:13">
      <c r="A46" s="6">
        <v>21367</v>
      </c>
      <c r="B46" s="7">
        <v>0.38</v>
      </c>
      <c r="C46" s="7"/>
      <c r="D46" s="59"/>
      <c r="E46" s="7"/>
      <c r="F46" s="21"/>
      <c r="G46" s="21"/>
      <c r="H46" s="21"/>
      <c r="I46" s="54"/>
      <c r="J46" s="21"/>
      <c r="K46" s="21"/>
      <c r="L46" s="21"/>
      <c r="M46" s="21"/>
    </row>
    <row r="47" spans="1:13">
      <c r="A47" s="6">
        <v>21398</v>
      </c>
      <c r="B47" s="7">
        <v>1.75</v>
      </c>
      <c r="C47" s="7"/>
      <c r="D47" s="59"/>
      <c r="E47" s="7"/>
      <c r="F47" s="21"/>
      <c r="G47" s="21"/>
      <c r="H47" s="21"/>
      <c r="I47" s="54"/>
      <c r="J47" s="21"/>
      <c r="K47" s="21"/>
      <c r="L47" s="21"/>
      <c r="M47" s="21"/>
    </row>
    <row r="48" spans="1:13">
      <c r="A48" s="6">
        <v>21429</v>
      </c>
      <c r="B48" s="7">
        <v>1.5</v>
      </c>
      <c r="C48" s="7"/>
      <c r="D48" s="59"/>
      <c r="E48" s="7"/>
      <c r="F48" s="21"/>
      <c r="G48" s="21"/>
      <c r="H48" s="21"/>
      <c r="I48" s="54"/>
      <c r="J48" s="21"/>
      <c r="K48" s="21"/>
      <c r="L48" s="21"/>
      <c r="M48" s="21"/>
    </row>
    <row r="49" spans="1:13">
      <c r="A49" s="6">
        <v>21459</v>
      </c>
      <c r="B49" s="7">
        <v>2</v>
      </c>
      <c r="C49" s="7"/>
      <c r="D49" s="59"/>
      <c r="E49" s="7"/>
      <c r="F49" s="21"/>
      <c r="G49" s="21"/>
      <c r="H49" s="21"/>
      <c r="I49" s="54"/>
      <c r="J49" s="21"/>
      <c r="K49" s="21"/>
      <c r="L49" s="21"/>
      <c r="M49" s="21"/>
    </row>
    <row r="50" spans="1:13">
      <c r="A50" s="6">
        <v>21490</v>
      </c>
      <c r="B50" s="7">
        <v>2.5</v>
      </c>
      <c r="C50" s="7"/>
      <c r="D50" s="59"/>
      <c r="E50" s="7"/>
      <c r="F50" s="21"/>
      <c r="G50" s="21"/>
      <c r="H50" s="21"/>
      <c r="I50" s="54"/>
      <c r="J50" s="21"/>
      <c r="K50" s="21"/>
      <c r="L50" s="21"/>
      <c r="M50" s="21"/>
    </row>
    <row r="51" spans="1:13">
      <c r="A51" s="6">
        <v>21520</v>
      </c>
      <c r="B51" s="7">
        <v>2.38</v>
      </c>
      <c r="C51" s="7"/>
      <c r="D51" s="59"/>
      <c r="E51" s="7"/>
      <c r="F51" s="21"/>
      <c r="G51" s="21"/>
      <c r="H51" s="21"/>
      <c r="I51" s="54"/>
      <c r="J51" s="21"/>
      <c r="K51" s="21"/>
      <c r="L51" s="21"/>
      <c r="M51" s="21"/>
    </row>
    <row r="52" spans="1:13">
      <c r="A52" s="6">
        <v>21551</v>
      </c>
      <c r="B52" s="7">
        <v>2.5</v>
      </c>
      <c r="C52" s="7"/>
      <c r="D52" s="59"/>
      <c r="E52" s="7"/>
      <c r="F52" s="21"/>
      <c r="G52" s="21"/>
      <c r="H52" s="21"/>
      <c r="I52" s="54"/>
      <c r="J52" s="21"/>
      <c r="K52" s="21"/>
      <c r="L52" s="21">
        <v>11.3</v>
      </c>
      <c r="M52" s="21"/>
    </row>
    <row r="53" spans="1:13">
      <c r="A53" s="6">
        <v>21582</v>
      </c>
      <c r="B53" s="7">
        <v>2.5</v>
      </c>
      <c r="C53" s="7"/>
      <c r="D53" s="59"/>
      <c r="E53" s="7"/>
      <c r="F53" s="21"/>
      <c r="G53" s="21"/>
      <c r="H53" s="21"/>
      <c r="I53" s="54"/>
      <c r="J53" s="21"/>
      <c r="K53" s="21"/>
      <c r="L53" s="21">
        <v>10.6</v>
      </c>
      <c r="M53" s="21"/>
    </row>
    <row r="54" spans="1:13">
      <c r="A54" s="6">
        <v>21610</v>
      </c>
      <c r="B54" s="7">
        <v>3</v>
      </c>
      <c r="C54" s="7"/>
      <c r="D54" s="59"/>
      <c r="E54" s="7"/>
      <c r="F54" s="21"/>
      <c r="G54" s="21"/>
      <c r="H54" s="21"/>
      <c r="I54" s="54"/>
      <c r="J54" s="21"/>
      <c r="K54" s="21"/>
      <c r="L54" s="21">
        <v>10.3</v>
      </c>
      <c r="M54" s="21"/>
    </row>
    <row r="55" spans="1:13">
      <c r="A55" s="6">
        <v>21641</v>
      </c>
      <c r="B55" s="7">
        <v>3</v>
      </c>
      <c r="C55" s="7"/>
      <c r="D55" s="59"/>
      <c r="E55" s="7"/>
      <c r="F55" s="21"/>
      <c r="G55" s="21"/>
      <c r="H55" s="21"/>
      <c r="I55" s="54"/>
      <c r="J55" s="21"/>
      <c r="K55" s="21"/>
      <c r="L55" s="21">
        <v>11.2</v>
      </c>
      <c r="M55" s="21"/>
    </row>
    <row r="56" spans="1:13">
      <c r="A56" s="6">
        <v>21671</v>
      </c>
      <c r="B56" s="7">
        <v>3.25</v>
      </c>
      <c r="C56" s="7"/>
      <c r="D56" s="59"/>
      <c r="E56" s="7"/>
      <c r="F56" s="21"/>
      <c r="G56" s="21"/>
      <c r="H56" s="21"/>
      <c r="I56" s="54"/>
      <c r="J56" s="21"/>
      <c r="K56" s="21"/>
      <c r="L56" s="21">
        <v>10.6</v>
      </c>
      <c r="M56" s="21"/>
    </row>
    <row r="57" spans="1:13">
      <c r="A57" s="6">
        <v>21702</v>
      </c>
      <c r="B57" s="7">
        <v>3</v>
      </c>
      <c r="C57" s="7"/>
      <c r="D57" s="59"/>
      <c r="E57" s="7"/>
      <c r="F57" s="21"/>
      <c r="G57" s="21"/>
      <c r="H57" s="21"/>
      <c r="I57" s="54"/>
      <c r="J57" s="21"/>
      <c r="K57" s="21"/>
      <c r="L57" s="21">
        <v>10.5</v>
      </c>
      <c r="M57" s="21"/>
    </row>
    <row r="58" spans="1:13">
      <c r="A58" s="6">
        <v>21732</v>
      </c>
      <c r="B58" s="7">
        <v>3.5</v>
      </c>
      <c r="C58" s="7"/>
      <c r="D58" s="59"/>
      <c r="E58" s="7"/>
      <c r="F58" s="21"/>
      <c r="G58" s="21"/>
      <c r="H58" s="21"/>
      <c r="I58" s="54"/>
      <c r="J58" s="21"/>
      <c r="K58" s="21"/>
      <c r="L58" s="21">
        <v>10.7</v>
      </c>
      <c r="M58" s="21"/>
    </row>
    <row r="59" spans="1:13">
      <c r="A59" s="6">
        <v>21763</v>
      </c>
      <c r="B59" s="7">
        <v>3.5</v>
      </c>
      <c r="C59" s="7"/>
      <c r="D59" s="59"/>
      <c r="E59" s="7"/>
      <c r="F59" s="21"/>
      <c r="G59" s="21"/>
      <c r="H59" s="21"/>
      <c r="I59" s="54"/>
      <c r="J59" s="21"/>
      <c r="K59" s="21"/>
      <c r="L59" s="21">
        <v>9.6</v>
      </c>
      <c r="M59" s="21"/>
    </row>
    <row r="60" spans="1:13">
      <c r="A60" s="6">
        <v>21794</v>
      </c>
      <c r="B60" s="7">
        <v>3</v>
      </c>
      <c r="C60" s="7"/>
      <c r="D60" s="59"/>
      <c r="E60" s="7"/>
      <c r="F60" s="21"/>
      <c r="G60" s="21"/>
      <c r="H60" s="21"/>
      <c r="I60" s="54"/>
      <c r="J60" s="21"/>
      <c r="K60" s="21"/>
      <c r="L60" s="21">
        <v>8.6999999999999993</v>
      </c>
      <c r="M60" s="21"/>
    </row>
    <row r="61" spans="1:13">
      <c r="A61" s="6">
        <v>21824</v>
      </c>
      <c r="B61" s="7">
        <v>4</v>
      </c>
      <c r="C61" s="7"/>
      <c r="D61" s="59"/>
      <c r="E61" s="7"/>
      <c r="F61" s="21"/>
      <c r="G61" s="21"/>
      <c r="H61" s="21"/>
      <c r="I61" s="54"/>
      <c r="J61" s="21"/>
      <c r="K61" s="21"/>
      <c r="L61" s="21">
        <v>9.4</v>
      </c>
      <c r="M61" s="21"/>
    </row>
    <row r="62" spans="1:13">
      <c r="A62" s="6">
        <v>21855</v>
      </c>
      <c r="B62" s="7">
        <v>4</v>
      </c>
      <c r="C62" s="7"/>
      <c r="D62" s="59"/>
      <c r="E62" s="7"/>
      <c r="F62" s="21"/>
      <c r="G62" s="21"/>
      <c r="H62" s="21"/>
      <c r="I62" s="54"/>
      <c r="J62" s="21"/>
      <c r="K62" s="21"/>
      <c r="L62" s="21">
        <v>10.1</v>
      </c>
      <c r="M62" s="21"/>
    </row>
    <row r="63" spans="1:13">
      <c r="A63" s="6">
        <v>21885</v>
      </c>
      <c r="B63" s="7">
        <v>4</v>
      </c>
      <c r="C63" s="7"/>
      <c r="D63" s="59"/>
      <c r="E63" s="7"/>
      <c r="F63" s="21"/>
      <c r="G63" s="21"/>
      <c r="H63" s="21"/>
      <c r="I63" s="54"/>
      <c r="J63" s="21"/>
      <c r="K63" s="21"/>
      <c r="L63" s="21">
        <v>11</v>
      </c>
      <c r="M63" s="21"/>
    </row>
    <row r="64" spans="1:13">
      <c r="A64" s="6">
        <v>21916</v>
      </c>
      <c r="B64" s="7">
        <v>4</v>
      </c>
      <c r="C64" s="7"/>
      <c r="D64" s="59"/>
      <c r="E64" s="7"/>
      <c r="F64" s="21"/>
      <c r="G64" s="21"/>
      <c r="H64" s="21"/>
      <c r="I64" s="54">
        <v>18.34</v>
      </c>
      <c r="J64" s="21"/>
      <c r="K64" s="21"/>
      <c r="L64" s="21">
        <v>10.9</v>
      </c>
      <c r="M64" s="21"/>
    </row>
    <row r="65" spans="1:13">
      <c r="A65" s="6">
        <v>21947</v>
      </c>
      <c r="B65" s="7">
        <v>4</v>
      </c>
      <c r="C65" s="7"/>
      <c r="D65" s="59"/>
      <c r="E65" s="7"/>
      <c r="F65" s="21"/>
      <c r="G65" s="21"/>
      <c r="H65" s="21"/>
      <c r="I65" s="54">
        <v>17.55</v>
      </c>
      <c r="J65" s="21"/>
      <c r="K65" s="21"/>
      <c r="L65" s="21">
        <v>10.6</v>
      </c>
      <c r="M65" s="21"/>
    </row>
    <row r="66" spans="1:13">
      <c r="A66" s="6">
        <v>21976</v>
      </c>
      <c r="B66" s="7">
        <v>4</v>
      </c>
      <c r="C66" s="7"/>
      <c r="D66" s="59"/>
      <c r="E66" s="7"/>
      <c r="F66" s="21"/>
      <c r="G66" s="21"/>
      <c r="H66" s="21"/>
      <c r="I66" s="54">
        <v>17.29</v>
      </c>
      <c r="J66" s="21"/>
      <c r="K66" s="21"/>
      <c r="L66" s="21">
        <v>9.4</v>
      </c>
      <c r="M66" s="21"/>
    </row>
    <row r="67" spans="1:13">
      <c r="A67" s="6">
        <v>22007</v>
      </c>
      <c r="B67" s="7">
        <v>4</v>
      </c>
      <c r="C67" s="7"/>
      <c r="D67" s="59"/>
      <c r="E67" s="7"/>
      <c r="F67" s="21"/>
      <c r="G67" s="21"/>
      <c r="H67" s="21"/>
      <c r="I67" s="54">
        <v>17.43</v>
      </c>
      <c r="J67" s="21"/>
      <c r="K67" s="21"/>
      <c r="L67" s="21">
        <v>8.4</v>
      </c>
      <c r="M67" s="21"/>
    </row>
    <row r="68" spans="1:13">
      <c r="A68" s="6">
        <v>22037</v>
      </c>
      <c r="B68" s="7">
        <v>3.5</v>
      </c>
      <c r="C68" s="7"/>
      <c r="D68" s="59"/>
      <c r="E68" s="7"/>
      <c r="F68" s="21"/>
      <c r="G68" s="21"/>
      <c r="H68" s="21"/>
      <c r="I68" s="54">
        <v>17.260000000000002</v>
      </c>
      <c r="J68" s="21"/>
      <c r="K68" s="21"/>
      <c r="L68" s="21">
        <v>10.4</v>
      </c>
      <c r="M68" s="21"/>
    </row>
    <row r="69" spans="1:13">
      <c r="A69" s="6">
        <v>22068</v>
      </c>
      <c r="B69" s="7">
        <v>3.5</v>
      </c>
      <c r="C69" s="7"/>
      <c r="D69" s="59"/>
      <c r="E69" s="7"/>
      <c r="F69" s="21"/>
      <c r="G69" s="21"/>
      <c r="H69" s="21"/>
      <c r="I69" s="54">
        <v>17.82</v>
      </c>
      <c r="J69" s="21"/>
      <c r="K69" s="21"/>
      <c r="L69" s="21">
        <v>10.4</v>
      </c>
      <c r="M69" s="21"/>
    </row>
    <row r="70" spans="1:13">
      <c r="A70" s="6">
        <v>22098</v>
      </c>
      <c r="B70" s="7">
        <v>3.25</v>
      </c>
      <c r="C70" s="7"/>
      <c r="D70" s="59"/>
      <c r="E70" s="7"/>
      <c r="F70" s="21"/>
      <c r="G70" s="21"/>
      <c r="H70" s="21"/>
      <c r="I70" s="54">
        <v>17.38</v>
      </c>
      <c r="J70" s="21"/>
      <c r="K70" s="21"/>
      <c r="L70" s="21">
        <v>10.4</v>
      </c>
      <c r="M70" s="21"/>
    </row>
    <row r="71" spans="1:13">
      <c r="A71" s="6">
        <v>22129</v>
      </c>
      <c r="B71" s="7">
        <v>3</v>
      </c>
      <c r="C71" s="7"/>
      <c r="D71" s="59"/>
      <c r="E71" s="7"/>
      <c r="F71" s="21"/>
      <c r="G71" s="21"/>
      <c r="H71" s="21"/>
      <c r="I71" s="54">
        <v>17.579999999999998</v>
      </c>
      <c r="J71" s="21"/>
      <c r="K71" s="21"/>
      <c r="L71" s="21">
        <v>10.3</v>
      </c>
      <c r="M71" s="21"/>
    </row>
    <row r="72" spans="1:13">
      <c r="A72" s="6">
        <v>22160</v>
      </c>
      <c r="B72" s="7">
        <v>3</v>
      </c>
      <c r="C72" s="7"/>
      <c r="D72" s="59"/>
      <c r="E72" s="7"/>
      <c r="F72" s="21"/>
      <c r="G72" s="21"/>
      <c r="H72" s="21"/>
      <c r="I72" s="54">
        <v>17.05</v>
      </c>
      <c r="J72" s="21"/>
      <c r="K72" s="21"/>
      <c r="L72" s="21">
        <v>10</v>
      </c>
      <c r="M72" s="21"/>
    </row>
    <row r="73" spans="1:13">
      <c r="A73" s="6">
        <v>22190</v>
      </c>
      <c r="B73" s="7">
        <v>2.75</v>
      </c>
      <c r="C73" s="7"/>
      <c r="D73" s="59"/>
      <c r="E73" s="7"/>
      <c r="F73" s="21"/>
      <c r="G73" s="21"/>
      <c r="H73" s="21"/>
      <c r="I73" s="54">
        <v>16.61</v>
      </c>
      <c r="J73" s="21"/>
      <c r="K73" s="21"/>
      <c r="L73" s="21">
        <v>9.8000000000000007</v>
      </c>
      <c r="M73" s="21"/>
    </row>
    <row r="74" spans="1:13">
      <c r="A74" s="6">
        <v>22221</v>
      </c>
      <c r="B74" s="7">
        <v>0.25</v>
      </c>
      <c r="C74" s="7"/>
      <c r="D74" s="59"/>
      <c r="E74" s="7"/>
      <c r="F74" s="21"/>
      <c r="G74" s="21"/>
      <c r="H74" s="21"/>
      <c r="I74" s="54">
        <v>17.149999999999999</v>
      </c>
      <c r="J74" s="21"/>
      <c r="K74" s="21"/>
      <c r="L74" s="21">
        <v>9.8000000000000007</v>
      </c>
      <c r="M74" s="21"/>
    </row>
    <row r="75" spans="1:13">
      <c r="A75" s="6">
        <v>22251</v>
      </c>
      <c r="B75" s="7">
        <v>3</v>
      </c>
      <c r="C75" s="7"/>
      <c r="D75" s="59"/>
      <c r="E75" s="7"/>
      <c r="F75" s="21"/>
      <c r="G75" s="21"/>
      <c r="H75" s="21"/>
      <c r="I75" s="54">
        <v>17.559999999999999</v>
      </c>
      <c r="J75" s="21"/>
      <c r="K75" s="21"/>
      <c r="L75" s="21">
        <v>10.4</v>
      </c>
      <c r="M75" s="21"/>
    </row>
    <row r="76" spans="1:13">
      <c r="A76" s="6">
        <v>22282</v>
      </c>
      <c r="B76" s="7">
        <v>2.25</v>
      </c>
      <c r="C76" s="7"/>
      <c r="D76" s="59"/>
      <c r="E76" s="7"/>
      <c r="F76" s="21"/>
      <c r="G76" s="21"/>
      <c r="H76" s="21"/>
      <c r="I76" s="54">
        <v>18.47</v>
      </c>
      <c r="J76" s="21"/>
      <c r="K76" s="21"/>
      <c r="L76" s="21">
        <v>11.1</v>
      </c>
      <c r="M76" s="21"/>
    </row>
    <row r="77" spans="1:13">
      <c r="A77" s="6">
        <v>22313</v>
      </c>
      <c r="B77" s="7">
        <v>2</v>
      </c>
      <c r="C77" s="7"/>
      <c r="D77" s="59"/>
      <c r="E77" s="7"/>
      <c r="F77" s="21"/>
      <c r="G77" s="21"/>
      <c r="H77" s="21"/>
      <c r="I77" s="54">
        <v>19.23</v>
      </c>
      <c r="J77" s="21"/>
      <c r="K77" s="21"/>
      <c r="L77" s="21">
        <v>11.1</v>
      </c>
      <c r="M77" s="21"/>
    </row>
    <row r="78" spans="1:13">
      <c r="A78" s="6">
        <v>22341</v>
      </c>
      <c r="B78" s="7">
        <v>2</v>
      </c>
      <c r="C78" s="7"/>
      <c r="D78" s="59"/>
      <c r="E78" s="7"/>
      <c r="F78" s="21"/>
      <c r="G78" s="21"/>
      <c r="H78" s="21"/>
      <c r="I78" s="54">
        <v>19.84</v>
      </c>
      <c r="J78" s="21"/>
      <c r="K78" s="21"/>
      <c r="L78" s="21">
        <v>10.4</v>
      </c>
      <c r="M78" s="21"/>
    </row>
    <row r="79" spans="1:13">
      <c r="A79" s="6">
        <v>22372</v>
      </c>
      <c r="B79" s="7">
        <v>0.5</v>
      </c>
      <c r="C79" s="7"/>
      <c r="D79" s="59"/>
      <c r="E79" s="7"/>
      <c r="F79" s="21"/>
      <c r="G79" s="21"/>
      <c r="H79" s="21"/>
      <c r="I79" s="54">
        <v>20.38</v>
      </c>
      <c r="J79" s="21"/>
      <c r="K79" s="21"/>
      <c r="L79" s="21">
        <v>10.6</v>
      </c>
      <c r="M79" s="21"/>
    </row>
    <row r="80" spans="1:13">
      <c r="A80" s="6">
        <v>22402</v>
      </c>
      <c r="B80" s="7">
        <v>1</v>
      </c>
      <c r="C80" s="7"/>
      <c r="D80" s="59"/>
      <c r="E80" s="7"/>
      <c r="F80" s="21"/>
      <c r="G80" s="21"/>
      <c r="H80" s="21"/>
      <c r="I80" s="54">
        <v>20.6</v>
      </c>
      <c r="J80" s="21"/>
      <c r="K80" s="21"/>
      <c r="L80" s="21">
        <v>10.8</v>
      </c>
      <c r="M80" s="21"/>
    </row>
    <row r="81" spans="1:13">
      <c r="A81" s="6">
        <v>22433</v>
      </c>
      <c r="B81" s="7">
        <v>0.5</v>
      </c>
      <c r="C81" s="7"/>
      <c r="D81" s="59"/>
      <c r="E81" s="7"/>
      <c r="F81" s="21"/>
      <c r="G81" s="21"/>
      <c r="H81" s="21"/>
      <c r="I81" s="54">
        <v>20.329999999999998</v>
      </c>
      <c r="J81" s="21"/>
      <c r="K81" s="21"/>
      <c r="L81" s="21">
        <v>11.5</v>
      </c>
      <c r="M81" s="21"/>
    </row>
    <row r="82" spans="1:13">
      <c r="A82" s="6">
        <v>22463</v>
      </c>
      <c r="B82" s="7">
        <v>2.5</v>
      </c>
      <c r="C82" s="7"/>
      <c r="D82" s="59"/>
      <c r="E82" s="7"/>
      <c r="F82" s="21"/>
      <c r="G82" s="21"/>
      <c r="H82" s="21"/>
      <c r="I82" s="54">
        <v>20.149999999999999</v>
      </c>
      <c r="J82" s="21"/>
      <c r="K82" s="21"/>
      <c r="L82" s="21">
        <v>12</v>
      </c>
      <c r="M82" s="21"/>
    </row>
    <row r="83" spans="1:13">
      <c r="A83" s="6">
        <v>22494</v>
      </c>
      <c r="B83" s="7">
        <v>1.75</v>
      </c>
      <c r="C83" s="7"/>
      <c r="D83" s="59"/>
      <c r="E83" s="7"/>
      <c r="F83" s="21"/>
      <c r="G83" s="21"/>
      <c r="H83" s="21"/>
      <c r="I83" s="54">
        <v>20.94</v>
      </c>
      <c r="J83" s="21"/>
      <c r="K83" s="21"/>
      <c r="L83" s="21">
        <v>11.7</v>
      </c>
      <c r="M83" s="21"/>
    </row>
    <row r="84" spans="1:13">
      <c r="A84" s="6">
        <v>22525</v>
      </c>
      <c r="B84" s="7">
        <v>1.5</v>
      </c>
      <c r="C84" s="7"/>
      <c r="D84" s="59"/>
      <c r="E84" s="7"/>
      <c r="F84" s="21"/>
      <c r="G84" s="21"/>
      <c r="H84" s="21"/>
      <c r="I84" s="54">
        <v>20.71</v>
      </c>
      <c r="J84" s="21"/>
      <c r="K84" s="21"/>
      <c r="L84" s="21">
        <v>11.3</v>
      </c>
      <c r="M84" s="21"/>
    </row>
    <row r="85" spans="1:13">
      <c r="A85" s="6">
        <v>22555</v>
      </c>
      <c r="B85" s="7">
        <v>2</v>
      </c>
      <c r="C85" s="7"/>
      <c r="D85" s="59"/>
      <c r="E85" s="7"/>
      <c r="F85" s="21"/>
      <c r="G85" s="21"/>
      <c r="H85" s="21"/>
      <c r="I85" s="54">
        <v>20.92</v>
      </c>
      <c r="J85" s="21"/>
      <c r="K85" s="21"/>
      <c r="L85" s="21">
        <v>11.7</v>
      </c>
      <c r="M85" s="21"/>
    </row>
    <row r="86" spans="1:13">
      <c r="A86" s="6">
        <v>22586</v>
      </c>
      <c r="B86" s="7">
        <v>1.75</v>
      </c>
      <c r="C86" s="7"/>
      <c r="D86" s="59"/>
      <c r="E86" s="7"/>
      <c r="F86" s="21"/>
      <c r="G86" s="21"/>
      <c r="H86" s="21"/>
      <c r="I86" s="54">
        <v>21.86</v>
      </c>
      <c r="J86" s="21"/>
      <c r="K86" s="21"/>
      <c r="L86" s="21">
        <v>11.6</v>
      </c>
      <c r="M86" s="21"/>
    </row>
    <row r="87" spans="1:13">
      <c r="A87" s="6">
        <v>22616</v>
      </c>
      <c r="B87" s="7">
        <v>2.5</v>
      </c>
      <c r="C87" s="7"/>
      <c r="D87" s="59"/>
      <c r="E87" s="7"/>
      <c r="F87" s="21"/>
      <c r="G87" s="21"/>
      <c r="H87" s="21"/>
      <c r="I87" s="54">
        <v>22.04</v>
      </c>
      <c r="J87" s="21"/>
      <c r="K87" s="21"/>
      <c r="L87" s="21">
        <v>11.6</v>
      </c>
      <c r="M87" s="21"/>
    </row>
    <row r="88" spans="1:13">
      <c r="A88" s="6">
        <v>22647</v>
      </c>
      <c r="B88" s="7">
        <v>1.5</v>
      </c>
      <c r="C88" s="7"/>
      <c r="D88" s="59"/>
      <c r="E88" s="7"/>
      <c r="F88" s="21"/>
      <c r="G88" s="21"/>
      <c r="H88" s="21"/>
      <c r="I88" s="54">
        <v>21.2</v>
      </c>
      <c r="J88" s="21"/>
      <c r="K88" s="21"/>
      <c r="L88" s="21">
        <v>11.3</v>
      </c>
      <c r="M88" s="21"/>
    </row>
    <row r="89" spans="1:13">
      <c r="A89" s="6">
        <v>22678</v>
      </c>
      <c r="B89" s="7">
        <v>2.75</v>
      </c>
      <c r="C89" s="7"/>
      <c r="D89" s="59"/>
      <c r="E89" s="7"/>
      <c r="F89" s="21"/>
      <c r="G89" s="21"/>
      <c r="H89" s="21"/>
      <c r="I89" s="54">
        <v>21.45</v>
      </c>
      <c r="J89" s="21"/>
      <c r="K89" s="21"/>
      <c r="L89" s="21">
        <v>11.8</v>
      </c>
      <c r="M89" s="21"/>
    </row>
    <row r="90" spans="1:13">
      <c r="A90" s="6">
        <v>22706</v>
      </c>
      <c r="B90" s="7">
        <v>2.75</v>
      </c>
      <c r="C90" s="7"/>
      <c r="D90" s="59"/>
      <c r="E90" s="7"/>
      <c r="F90" s="21"/>
      <c r="G90" s="21"/>
      <c r="H90" s="21"/>
      <c r="I90" s="54">
        <v>21.44</v>
      </c>
      <c r="J90" s="21"/>
      <c r="K90" s="21"/>
      <c r="L90" s="21">
        <v>11.6</v>
      </c>
      <c r="M90" s="21"/>
    </row>
    <row r="91" spans="1:13">
      <c r="A91" s="6">
        <v>22737</v>
      </c>
      <c r="B91" s="7">
        <v>2.5</v>
      </c>
      <c r="C91" s="7"/>
      <c r="D91" s="59"/>
      <c r="E91" s="7"/>
      <c r="F91" s="21"/>
      <c r="G91" s="21"/>
      <c r="H91" s="21"/>
      <c r="I91" s="54">
        <v>20.66</v>
      </c>
      <c r="J91" s="21"/>
      <c r="K91" s="21"/>
      <c r="L91" s="21">
        <v>11.7</v>
      </c>
      <c r="M91" s="21"/>
    </row>
    <row r="92" spans="1:13">
      <c r="A92" s="6">
        <v>22767</v>
      </c>
      <c r="B92" s="7">
        <v>2.75</v>
      </c>
      <c r="C92" s="7"/>
      <c r="D92" s="59"/>
      <c r="E92" s="7"/>
      <c r="F92" s="21"/>
      <c r="G92" s="21"/>
      <c r="H92" s="21"/>
      <c r="I92" s="54">
        <v>19.09</v>
      </c>
      <c r="J92" s="21"/>
      <c r="K92" s="21"/>
      <c r="L92" s="21">
        <v>11.1</v>
      </c>
      <c r="M92" s="21"/>
    </row>
    <row r="93" spans="1:13">
      <c r="A93" s="6">
        <v>22798</v>
      </c>
      <c r="B93" s="7">
        <v>2.75</v>
      </c>
      <c r="C93" s="7"/>
      <c r="D93" s="59"/>
      <c r="E93" s="7"/>
      <c r="F93" s="21"/>
      <c r="G93" s="21"/>
      <c r="H93" s="21"/>
      <c r="I93" s="54">
        <v>16.829999999999998</v>
      </c>
      <c r="J93" s="21"/>
      <c r="K93" s="21"/>
      <c r="L93" s="21">
        <v>11.5</v>
      </c>
      <c r="M93" s="21"/>
    </row>
    <row r="94" spans="1:13">
      <c r="A94" s="6">
        <v>22828</v>
      </c>
      <c r="B94" s="7">
        <v>2.75</v>
      </c>
      <c r="C94" s="7"/>
      <c r="D94" s="59"/>
      <c r="E94" s="7"/>
      <c r="F94" s="21"/>
      <c r="G94" s="21"/>
      <c r="H94" s="21"/>
      <c r="I94" s="54">
        <v>17.14</v>
      </c>
      <c r="J94" s="21"/>
      <c r="K94" s="21"/>
      <c r="L94" s="21">
        <v>11.6</v>
      </c>
      <c r="M94" s="21"/>
    </row>
    <row r="95" spans="1:13">
      <c r="A95" s="6">
        <v>22859</v>
      </c>
      <c r="B95" s="7">
        <v>3</v>
      </c>
      <c r="C95" s="7"/>
      <c r="D95" s="59"/>
      <c r="E95" s="7"/>
      <c r="F95" s="21"/>
      <c r="G95" s="21"/>
      <c r="H95" s="21"/>
      <c r="I95" s="54">
        <v>17.57</v>
      </c>
      <c r="J95" s="21"/>
      <c r="K95" s="21"/>
      <c r="L95" s="21">
        <v>11.4</v>
      </c>
      <c r="M95" s="21"/>
    </row>
    <row r="96" spans="1:13">
      <c r="A96" s="6">
        <v>22890</v>
      </c>
      <c r="B96" s="7">
        <v>2.75</v>
      </c>
      <c r="C96" s="7"/>
      <c r="D96" s="59"/>
      <c r="E96" s="7"/>
      <c r="F96" s="21"/>
      <c r="G96" s="21"/>
      <c r="H96" s="21"/>
      <c r="I96" s="54">
        <v>17.32</v>
      </c>
      <c r="J96" s="21"/>
      <c r="K96" s="21"/>
      <c r="L96" s="21">
        <v>10.4</v>
      </c>
      <c r="M96" s="21"/>
    </row>
    <row r="97" spans="1:13">
      <c r="A97" s="6">
        <v>22920</v>
      </c>
      <c r="B97" s="7">
        <v>3</v>
      </c>
      <c r="C97" s="7"/>
      <c r="D97" s="59"/>
      <c r="E97" s="7"/>
      <c r="F97" s="21"/>
      <c r="G97" s="21"/>
      <c r="H97" s="21"/>
      <c r="I97" s="54">
        <v>16.739999999999998</v>
      </c>
      <c r="J97" s="21"/>
      <c r="K97" s="21"/>
      <c r="L97" s="21">
        <v>11.3</v>
      </c>
      <c r="M97" s="21"/>
    </row>
    <row r="98" spans="1:13">
      <c r="A98" s="6">
        <v>22951</v>
      </c>
      <c r="B98" s="7">
        <v>2.88</v>
      </c>
      <c r="C98" s="7"/>
      <c r="D98" s="59"/>
      <c r="E98" s="7"/>
      <c r="F98" s="21"/>
      <c r="G98" s="21"/>
      <c r="H98" s="21"/>
      <c r="I98" s="54">
        <v>17.850000000000001</v>
      </c>
      <c r="J98" s="21"/>
      <c r="K98" s="21"/>
      <c r="L98" s="21">
        <v>10.4</v>
      </c>
      <c r="M98" s="21"/>
    </row>
    <row r="99" spans="1:13">
      <c r="A99" s="6">
        <v>22981</v>
      </c>
      <c r="B99" s="7">
        <v>3</v>
      </c>
      <c r="C99" s="7"/>
      <c r="D99" s="59"/>
      <c r="E99" s="7"/>
      <c r="F99" s="21"/>
      <c r="G99" s="21"/>
      <c r="H99" s="21"/>
      <c r="I99" s="54">
        <v>18.59</v>
      </c>
      <c r="J99" s="21"/>
      <c r="K99" s="21"/>
      <c r="L99" s="21">
        <v>10.3</v>
      </c>
      <c r="M99" s="21"/>
    </row>
    <row r="100" spans="1:13">
      <c r="A100" s="6">
        <v>23012</v>
      </c>
      <c r="B100" s="7">
        <v>3</v>
      </c>
      <c r="C100" s="7"/>
      <c r="D100" s="59"/>
      <c r="E100" s="7"/>
      <c r="F100" s="21"/>
      <c r="G100" s="21"/>
      <c r="H100" s="21"/>
      <c r="I100" s="54">
        <v>19.260000000000002</v>
      </c>
      <c r="J100" s="21"/>
      <c r="K100" s="21"/>
      <c r="L100" s="21">
        <v>10.9</v>
      </c>
      <c r="M100" s="21"/>
    </row>
    <row r="101" spans="1:13">
      <c r="A101" s="6">
        <v>23043</v>
      </c>
      <c r="B101" s="7">
        <v>3</v>
      </c>
      <c r="C101" s="7"/>
      <c r="D101" s="59"/>
      <c r="E101" s="7"/>
      <c r="F101" s="21"/>
      <c r="G101" s="21"/>
      <c r="H101" s="21"/>
      <c r="I101" s="54">
        <v>19.47</v>
      </c>
      <c r="J101" s="21"/>
      <c r="K101" s="21"/>
      <c r="L101" s="21">
        <v>10.7</v>
      </c>
      <c r="M101" s="21"/>
    </row>
    <row r="102" spans="1:13">
      <c r="A102" s="6">
        <v>23071</v>
      </c>
      <c r="B102" s="7">
        <v>3</v>
      </c>
      <c r="C102" s="7"/>
      <c r="D102" s="59"/>
      <c r="E102" s="7"/>
      <c r="F102" s="21"/>
      <c r="G102" s="21"/>
      <c r="H102" s="21"/>
      <c r="I102" s="54">
        <v>19.29</v>
      </c>
      <c r="J102" s="21"/>
      <c r="K102" s="21"/>
      <c r="L102" s="21">
        <v>10.6</v>
      </c>
      <c r="M102" s="21"/>
    </row>
    <row r="103" spans="1:13">
      <c r="A103" s="6">
        <v>23102</v>
      </c>
      <c r="B103" s="7">
        <v>3</v>
      </c>
      <c r="C103" s="7"/>
      <c r="D103" s="59"/>
      <c r="E103" s="7"/>
      <c r="F103" s="21"/>
      <c r="G103" s="21"/>
      <c r="H103" s="21"/>
      <c r="I103" s="54">
        <v>20.149999999999999</v>
      </c>
      <c r="J103" s="21"/>
      <c r="K103" s="21"/>
      <c r="L103" s="21">
        <v>10.7</v>
      </c>
      <c r="M103" s="21"/>
    </row>
    <row r="104" spans="1:13">
      <c r="A104" s="6">
        <v>23132</v>
      </c>
      <c r="B104" s="7">
        <v>3</v>
      </c>
      <c r="C104" s="7"/>
      <c r="D104" s="59"/>
      <c r="E104" s="7"/>
      <c r="F104" s="21"/>
      <c r="G104" s="21"/>
      <c r="H104" s="21"/>
      <c r="I104" s="54">
        <v>20.51</v>
      </c>
      <c r="J104" s="21"/>
      <c r="K104" s="21"/>
      <c r="L104" s="21">
        <v>10.9</v>
      </c>
      <c r="M104" s="21"/>
    </row>
    <row r="105" spans="1:13">
      <c r="A105" s="6">
        <v>23163</v>
      </c>
      <c r="B105" s="7">
        <v>3</v>
      </c>
      <c r="C105" s="7"/>
      <c r="D105" s="59"/>
      <c r="E105" s="7"/>
      <c r="F105" s="21"/>
      <c r="G105" s="21"/>
      <c r="H105" s="21"/>
      <c r="I105" s="54">
        <v>20.38</v>
      </c>
      <c r="J105" s="21"/>
      <c r="K105" s="21"/>
      <c r="L105" s="21">
        <v>10.5</v>
      </c>
      <c r="M105" s="21"/>
    </row>
    <row r="106" spans="1:13">
      <c r="A106" s="6">
        <v>23193</v>
      </c>
      <c r="B106" s="7">
        <v>3.5</v>
      </c>
      <c r="C106" s="7"/>
      <c r="D106" s="59"/>
      <c r="E106" s="7"/>
      <c r="F106" s="21"/>
      <c r="G106" s="21"/>
      <c r="H106" s="21"/>
      <c r="I106" s="54">
        <v>19.97</v>
      </c>
      <c r="J106" s="21"/>
      <c r="K106" s="21"/>
      <c r="L106" s="21">
        <v>10.1</v>
      </c>
      <c r="M106" s="21"/>
    </row>
    <row r="107" spans="1:13">
      <c r="A107" s="6">
        <v>23224</v>
      </c>
      <c r="B107" s="7">
        <v>3.5</v>
      </c>
      <c r="C107" s="7"/>
      <c r="D107" s="59"/>
      <c r="E107" s="7"/>
      <c r="F107" s="21"/>
      <c r="G107" s="21"/>
      <c r="H107" s="21"/>
      <c r="I107" s="54">
        <v>20.47</v>
      </c>
      <c r="J107" s="21"/>
      <c r="K107" s="21"/>
      <c r="L107" s="21">
        <v>10.199999999999999</v>
      </c>
      <c r="M107" s="21"/>
    </row>
    <row r="108" spans="1:13">
      <c r="A108" s="6">
        <v>23255</v>
      </c>
      <c r="B108" s="7">
        <v>3.5</v>
      </c>
      <c r="C108" s="7"/>
      <c r="D108" s="59"/>
      <c r="E108" s="7"/>
      <c r="F108" s="21"/>
      <c r="G108" s="21"/>
      <c r="H108" s="21"/>
      <c r="I108" s="54">
        <v>20.96</v>
      </c>
      <c r="J108" s="21"/>
      <c r="K108" s="21"/>
      <c r="L108" s="21">
        <v>11</v>
      </c>
      <c r="M108" s="21"/>
    </row>
    <row r="109" spans="1:13">
      <c r="A109" s="6">
        <v>23285</v>
      </c>
      <c r="B109" s="7">
        <v>3.5</v>
      </c>
      <c r="C109" s="7"/>
      <c r="D109" s="59"/>
      <c r="E109" s="7"/>
      <c r="F109" s="21"/>
      <c r="G109" s="21"/>
      <c r="H109" s="21"/>
      <c r="I109" s="54">
        <v>20.89</v>
      </c>
      <c r="J109" s="21"/>
      <c r="K109" s="21"/>
      <c r="L109" s="21">
        <v>11.5</v>
      </c>
      <c r="M109" s="21"/>
    </row>
    <row r="110" spans="1:13">
      <c r="A110" s="6">
        <v>23316</v>
      </c>
      <c r="B110" s="7">
        <v>3.5</v>
      </c>
      <c r="C110" s="7"/>
      <c r="D110" s="59"/>
      <c r="E110" s="7"/>
      <c r="F110" s="21"/>
      <c r="G110" s="21"/>
      <c r="H110" s="21"/>
      <c r="I110" s="54">
        <v>20.72</v>
      </c>
      <c r="J110" s="21"/>
      <c r="K110" s="21"/>
      <c r="L110" s="21">
        <v>11</v>
      </c>
      <c r="M110" s="21"/>
    </row>
    <row r="111" spans="1:13">
      <c r="A111" s="6">
        <v>23346</v>
      </c>
      <c r="B111" s="7">
        <v>3.25</v>
      </c>
      <c r="C111" s="7"/>
      <c r="D111" s="59"/>
      <c r="E111" s="7"/>
      <c r="F111" s="21"/>
      <c r="G111" s="21"/>
      <c r="H111" s="21"/>
      <c r="I111" s="54">
        <v>21.04</v>
      </c>
      <c r="J111" s="21"/>
      <c r="K111" s="21"/>
      <c r="L111" s="21">
        <v>10.7</v>
      </c>
      <c r="M111" s="21"/>
    </row>
    <row r="112" spans="1:13">
      <c r="A112" s="6">
        <v>23377</v>
      </c>
      <c r="B112" s="7">
        <v>3.5</v>
      </c>
      <c r="C112" s="7"/>
      <c r="D112" s="59"/>
      <c r="E112" s="7"/>
      <c r="F112" s="21"/>
      <c r="G112" s="21"/>
      <c r="H112" s="21"/>
      <c r="I112" s="54">
        <v>21.63</v>
      </c>
      <c r="J112" s="21"/>
      <c r="K112" s="21"/>
      <c r="L112" s="21">
        <v>10.7</v>
      </c>
      <c r="M112" s="21"/>
    </row>
    <row r="113" spans="1:13">
      <c r="A113" s="6">
        <v>23408</v>
      </c>
      <c r="B113" s="7">
        <v>3.5</v>
      </c>
      <c r="C113" s="7"/>
      <c r="D113" s="59"/>
      <c r="E113" s="7"/>
      <c r="F113" s="21"/>
      <c r="G113" s="21"/>
      <c r="H113" s="21"/>
      <c r="I113" s="54">
        <v>21.83</v>
      </c>
      <c r="J113" s="21"/>
      <c r="K113" s="21"/>
      <c r="L113" s="21">
        <v>10.4</v>
      </c>
      <c r="M113" s="21"/>
    </row>
    <row r="114" spans="1:13">
      <c r="A114" s="6">
        <v>23437</v>
      </c>
      <c r="B114" s="7">
        <v>3.5</v>
      </c>
      <c r="C114" s="7"/>
      <c r="D114" s="59"/>
      <c r="E114" s="7"/>
      <c r="F114" s="21"/>
      <c r="G114" s="21"/>
      <c r="H114" s="21"/>
      <c r="I114" s="54">
        <v>22.17</v>
      </c>
      <c r="J114" s="21"/>
      <c r="K114" s="21"/>
      <c r="L114" s="21">
        <v>12.1</v>
      </c>
      <c r="M114" s="21"/>
    </row>
    <row r="115" spans="1:13">
      <c r="A115" s="6">
        <v>23468</v>
      </c>
      <c r="B115" s="7">
        <v>3.5</v>
      </c>
      <c r="C115" s="7"/>
      <c r="D115" s="59"/>
      <c r="E115" s="7"/>
      <c r="F115" s="21"/>
      <c r="G115" s="21"/>
      <c r="H115" s="21"/>
      <c r="I115" s="54">
        <v>22.42</v>
      </c>
      <c r="J115" s="21"/>
      <c r="K115" s="21"/>
      <c r="L115" s="21">
        <v>12.4</v>
      </c>
      <c r="M115" s="21"/>
    </row>
    <row r="116" spans="1:13">
      <c r="A116" s="6">
        <v>23498</v>
      </c>
      <c r="B116" s="7">
        <v>3.5</v>
      </c>
      <c r="C116" s="7"/>
      <c r="D116" s="59"/>
      <c r="E116" s="7"/>
      <c r="F116" s="21"/>
      <c r="G116" s="21"/>
      <c r="H116" s="21"/>
      <c r="I116" s="54">
        <v>22.57</v>
      </c>
      <c r="J116" s="21"/>
      <c r="K116" s="21"/>
      <c r="L116" s="21">
        <v>11.7</v>
      </c>
      <c r="M116" s="21"/>
    </row>
    <row r="117" spans="1:13">
      <c r="A117" s="6">
        <v>23529</v>
      </c>
      <c r="B117" s="7">
        <v>3.5</v>
      </c>
      <c r="C117" s="7"/>
      <c r="D117" s="59"/>
      <c r="E117" s="7"/>
      <c r="F117" s="21"/>
      <c r="G117" s="21"/>
      <c r="H117" s="21"/>
      <c r="I117" s="54">
        <v>22.3</v>
      </c>
      <c r="J117" s="21"/>
      <c r="K117" s="21"/>
      <c r="L117" s="21">
        <v>11.5</v>
      </c>
      <c r="M117" s="21"/>
    </row>
    <row r="118" spans="1:13">
      <c r="A118" s="6">
        <v>23559</v>
      </c>
      <c r="B118" s="7">
        <v>3.5</v>
      </c>
      <c r="C118" s="7"/>
      <c r="D118" s="59"/>
      <c r="E118" s="7"/>
      <c r="F118" s="21"/>
      <c r="G118" s="21"/>
      <c r="H118" s="21"/>
      <c r="I118" s="54">
        <v>22.98</v>
      </c>
      <c r="J118" s="21"/>
      <c r="K118" s="21"/>
      <c r="L118" s="21">
        <v>11.2</v>
      </c>
      <c r="M118" s="21"/>
    </row>
    <row r="119" spans="1:13">
      <c r="A119" s="6">
        <v>23590</v>
      </c>
      <c r="B119" s="7">
        <v>3.5</v>
      </c>
      <c r="C119" s="7"/>
      <c r="D119" s="59"/>
      <c r="E119" s="7"/>
      <c r="F119" s="21"/>
      <c r="G119" s="21"/>
      <c r="H119" s="21"/>
      <c r="I119" s="54">
        <v>22.65</v>
      </c>
      <c r="J119" s="21"/>
      <c r="K119" s="21"/>
      <c r="L119" s="21">
        <v>11.1</v>
      </c>
      <c r="M119" s="21"/>
    </row>
    <row r="120" spans="1:13">
      <c r="A120" s="6">
        <v>23621</v>
      </c>
      <c r="B120" s="7">
        <v>2.75</v>
      </c>
      <c r="C120" s="7"/>
      <c r="D120" s="59"/>
      <c r="E120" s="7"/>
      <c r="F120" s="21"/>
      <c r="G120" s="21"/>
      <c r="H120" s="21"/>
      <c r="I120" s="54">
        <v>22.89</v>
      </c>
      <c r="J120" s="21"/>
      <c r="K120" s="21"/>
      <c r="L120" s="21">
        <v>11.8</v>
      </c>
      <c r="M120" s="21"/>
    </row>
    <row r="121" spans="1:13">
      <c r="A121" s="6">
        <v>23651</v>
      </c>
      <c r="B121" s="7">
        <v>3.5</v>
      </c>
      <c r="C121" s="7"/>
      <c r="D121" s="59"/>
      <c r="E121" s="7"/>
      <c r="F121" s="21"/>
      <c r="G121" s="21"/>
      <c r="H121" s="21"/>
      <c r="I121" s="54">
        <v>23.21</v>
      </c>
      <c r="J121" s="21"/>
      <c r="K121" s="21"/>
      <c r="L121" s="21">
        <v>11.2</v>
      </c>
      <c r="M121" s="21"/>
    </row>
    <row r="122" spans="1:13">
      <c r="A122" s="6">
        <v>23682</v>
      </c>
      <c r="B122" s="7">
        <v>4</v>
      </c>
      <c r="C122" s="7"/>
      <c r="D122" s="59"/>
      <c r="E122" s="7"/>
      <c r="F122" s="21"/>
      <c r="G122" s="21"/>
      <c r="H122" s="21"/>
      <c r="I122" s="54">
        <v>23.23</v>
      </c>
      <c r="J122" s="21"/>
      <c r="K122" s="21"/>
      <c r="L122" s="21">
        <v>12.5</v>
      </c>
      <c r="M122" s="21"/>
    </row>
    <row r="123" spans="1:13">
      <c r="A123" s="6">
        <v>23712</v>
      </c>
      <c r="B123" s="7">
        <v>4</v>
      </c>
      <c r="C123" s="7"/>
      <c r="D123" s="59"/>
      <c r="E123" s="7"/>
      <c r="F123" s="21"/>
      <c r="G123" s="21"/>
      <c r="H123" s="21"/>
      <c r="I123" s="54">
        <v>22.75</v>
      </c>
      <c r="J123" s="21"/>
      <c r="K123" s="21"/>
      <c r="L123" s="21">
        <v>12.5</v>
      </c>
      <c r="M123" s="21"/>
    </row>
    <row r="124" spans="1:13">
      <c r="A124" s="6">
        <v>23743</v>
      </c>
      <c r="B124" s="7">
        <v>4</v>
      </c>
      <c r="C124" s="7"/>
      <c r="D124" s="59"/>
      <c r="E124" s="7"/>
      <c r="F124" s="21"/>
      <c r="G124" s="21"/>
      <c r="H124" s="21"/>
      <c r="I124" s="54">
        <v>23.27</v>
      </c>
      <c r="J124" s="21"/>
      <c r="K124" s="21"/>
      <c r="L124" s="21">
        <v>12.1</v>
      </c>
      <c r="M124" s="21"/>
    </row>
    <row r="125" spans="1:13">
      <c r="A125" s="6">
        <v>23774</v>
      </c>
      <c r="B125" s="7">
        <v>4</v>
      </c>
      <c r="C125" s="7"/>
      <c r="D125" s="59"/>
      <c r="E125" s="7"/>
      <c r="F125" s="21"/>
      <c r="G125" s="21"/>
      <c r="H125" s="21"/>
      <c r="I125" s="54">
        <v>23.37</v>
      </c>
      <c r="J125" s="21"/>
      <c r="K125" s="21"/>
      <c r="L125" s="21">
        <v>10.7</v>
      </c>
      <c r="M125" s="21"/>
    </row>
    <row r="126" spans="1:13">
      <c r="A126" s="6">
        <v>23802</v>
      </c>
      <c r="B126" s="7">
        <v>4</v>
      </c>
      <c r="C126" s="7"/>
      <c r="D126" s="59"/>
      <c r="E126" s="7"/>
      <c r="F126" s="21"/>
      <c r="G126" s="21"/>
      <c r="H126" s="21"/>
      <c r="I126" s="54">
        <v>23.25</v>
      </c>
      <c r="J126" s="21"/>
      <c r="K126" s="21"/>
      <c r="L126" s="21">
        <v>10.8</v>
      </c>
      <c r="M126" s="21"/>
    </row>
    <row r="127" spans="1:13">
      <c r="A127" s="6">
        <v>23833</v>
      </c>
      <c r="B127" s="7">
        <v>4.13</v>
      </c>
      <c r="C127" s="7"/>
      <c r="D127" s="59"/>
      <c r="E127" s="7"/>
      <c r="F127" s="21"/>
      <c r="G127" s="21"/>
      <c r="H127" s="21"/>
      <c r="I127" s="54">
        <v>23.42</v>
      </c>
      <c r="J127" s="21"/>
      <c r="K127" s="21"/>
      <c r="L127" s="21">
        <v>10.199999999999999</v>
      </c>
      <c r="M127" s="21"/>
    </row>
    <row r="128" spans="1:13">
      <c r="A128" s="6">
        <v>23863</v>
      </c>
      <c r="B128" s="7">
        <v>4.13</v>
      </c>
      <c r="C128" s="7"/>
      <c r="D128" s="59"/>
      <c r="E128" s="7"/>
      <c r="F128" s="21"/>
      <c r="G128" s="21"/>
      <c r="H128" s="21"/>
      <c r="I128" s="54">
        <v>23.71</v>
      </c>
      <c r="J128" s="21"/>
      <c r="K128" s="21"/>
      <c r="L128" s="21">
        <v>11.2</v>
      </c>
      <c r="M128" s="21"/>
    </row>
    <row r="129" spans="1:13">
      <c r="A129" s="6">
        <v>23894</v>
      </c>
      <c r="B129" s="7">
        <v>4.13</v>
      </c>
      <c r="C129" s="7"/>
      <c r="D129" s="59"/>
      <c r="E129" s="7"/>
      <c r="F129" s="21"/>
      <c r="G129" s="21"/>
      <c r="H129" s="21"/>
      <c r="I129" s="54">
        <v>22.39</v>
      </c>
      <c r="J129" s="21"/>
      <c r="K129" s="21"/>
      <c r="L129" s="21">
        <v>12.1</v>
      </c>
      <c r="M129" s="21"/>
    </row>
    <row r="130" spans="1:13">
      <c r="A130" s="6">
        <v>23924</v>
      </c>
      <c r="B130" s="7">
        <v>4.13</v>
      </c>
      <c r="C130" s="7"/>
      <c r="D130" s="59"/>
      <c r="E130" s="7"/>
      <c r="F130" s="21"/>
      <c r="G130" s="21"/>
      <c r="H130" s="21"/>
      <c r="I130" s="54">
        <v>22.3</v>
      </c>
      <c r="J130" s="21"/>
      <c r="K130" s="21"/>
      <c r="L130" s="21">
        <v>11.9</v>
      </c>
      <c r="M130" s="21"/>
    </row>
    <row r="131" spans="1:13">
      <c r="A131" s="6">
        <v>23955</v>
      </c>
      <c r="B131" s="7">
        <v>4</v>
      </c>
      <c r="C131" s="7"/>
      <c r="D131" s="59"/>
      <c r="E131" s="7"/>
      <c r="F131" s="21"/>
      <c r="G131" s="21"/>
      <c r="H131" s="21"/>
      <c r="I131" s="54">
        <v>22.67</v>
      </c>
      <c r="J131" s="21"/>
      <c r="K131" s="21"/>
      <c r="L131" s="21">
        <v>11.7</v>
      </c>
      <c r="M131" s="21"/>
    </row>
    <row r="132" spans="1:13">
      <c r="A132" s="6">
        <v>23986</v>
      </c>
      <c r="B132" s="7">
        <v>4.13</v>
      </c>
      <c r="C132" s="7"/>
      <c r="D132" s="59"/>
      <c r="E132" s="7"/>
      <c r="F132" s="21"/>
      <c r="G132" s="21"/>
      <c r="H132" s="21"/>
      <c r="I132" s="54">
        <v>23.37</v>
      </c>
      <c r="J132" s="21"/>
      <c r="K132" s="21"/>
      <c r="L132" s="21">
        <v>12.5</v>
      </c>
      <c r="M132" s="21"/>
    </row>
    <row r="133" spans="1:13">
      <c r="A133" s="6">
        <v>24016</v>
      </c>
      <c r="B133" s="7">
        <v>4.13</v>
      </c>
      <c r="C133" s="7"/>
      <c r="D133" s="59"/>
      <c r="E133" s="7"/>
      <c r="F133" s="21"/>
      <c r="G133" s="21"/>
      <c r="H133" s="21"/>
      <c r="I133" s="54">
        <v>23.78</v>
      </c>
      <c r="J133" s="21"/>
      <c r="K133" s="21"/>
      <c r="L133" s="21">
        <v>10.9</v>
      </c>
      <c r="M133" s="21"/>
    </row>
    <row r="134" spans="1:13">
      <c r="A134" s="6">
        <v>24047</v>
      </c>
      <c r="B134" s="7">
        <v>4.13</v>
      </c>
      <c r="C134" s="7"/>
      <c r="D134" s="59"/>
      <c r="E134" s="7"/>
      <c r="F134" s="21"/>
      <c r="G134" s="21"/>
      <c r="H134" s="21"/>
      <c r="I134" s="54">
        <v>23.93</v>
      </c>
      <c r="J134" s="21"/>
      <c r="K134" s="21"/>
      <c r="L134" s="21">
        <v>11.5</v>
      </c>
      <c r="M134" s="21"/>
    </row>
    <row r="135" spans="1:13">
      <c r="A135" s="6">
        <v>24077</v>
      </c>
      <c r="B135" s="7">
        <v>4.63</v>
      </c>
      <c r="C135" s="7"/>
      <c r="D135" s="59"/>
      <c r="E135" s="7"/>
      <c r="F135" s="21"/>
      <c r="G135" s="21"/>
      <c r="H135" s="21"/>
      <c r="I135" s="54">
        <v>23.69</v>
      </c>
      <c r="J135" s="21"/>
      <c r="K135" s="21"/>
      <c r="L135" s="21">
        <v>11.7</v>
      </c>
      <c r="M135" s="21"/>
    </row>
    <row r="136" spans="1:13">
      <c r="A136" s="6">
        <v>24108</v>
      </c>
      <c r="B136" s="7">
        <v>4.5</v>
      </c>
      <c r="C136" s="7"/>
      <c r="D136" s="59"/>
      <c r="E136" s="7"/>
      <c r="F136" s="21"/>
      <c r="G136" s="21"/>
      <c r="H136" s="21"/>
      <c r="I136" s="54">
        <v>24.06</v>
      </c>
      <c r="J136" s="21"/>
      <c r="K136" s="21"/>
      <c r="L136" s="21">
        <v>11.2</v>
      </c>
      <c r="M136" s="21"/>
    </row>
    <row r="137" spans="1:13">
      <c r="A137" s="6">
        <v>24139</v>
      </c>
      <c r="B137" s="7">
        <v>4.63</v>
      </c>
      <c r="C137" s="7"/>
      <c r="D137" s="59"/>
      <c r="E137" s="7"/>
      <c r="F137" s="21"/>
      <c r="G137" s="21"/>
      <c r="H137" s="21"/>
      <c r="I137" s="54">
        <v>23.7</v>
      </c>
      <c r="J137" s="21"/>
      <c r="K137" s="21"/>
      <c r="L137" s="21">
        <v>11</v>
      </c>
      <c r="M137" s="21"/>
    </row>
    <row r="138" spans="1:13">
      <c r="A138" s="6">
        <v>24167</v>
      </c>
      <c r="B138" s="7">
        <v>4.75</v>
      </c>
      <c r="C138" s="7"/>
      <c r="D138" s="59"/>
      <c r="E138" s="7"/>
      <c r="F138" s="21"/>
      <c r="G138" s="21"/>
      <c r="H138" s="21"/>
      <c r="I138" s="54">
        <v>22.61</v>
      </c>
      <c r="J138" s="21"/>
      <c r="K138" s="21"/>
      <c r="L138" s="21">
        <v>10.7</v>
      </c>
      <c r="M138" s="21"/>
    </row>
    <row r="139" spans="1:13">
      <c r="A139" s="6">
        <v>24198</v>
      </c>
      <c r="B139" s="7">
        <v>4.63</v>
      </c>
      <c r="C139" s="7"/>
      <c r="D139" s="59"/>
      <c r="E139" s="7"/>
      <c r="F139" s="21"/>
      <c r="G139" s="21"/>
      <c r="H139" s="21"/>
      <c r="I139" s="54">
        <v>23.11</v>
      </c>
      <c r="J139" s="21"/>
      <c r="K139" s="21"/>
      <c r="L139" s="21">
        <v>10.3</v>
      </c>
      <c r="M139" s="21"/>
    </row>
    <row r="140" spans="1:13">
      <c r="A140" s="6">
        <v>24228</v>
      </c>
      <c r="B140" s="7">
        <v>4.75</v>
      </c>
      <c r="C140" s="7"/>
      <c r="D140" s="59"/>
      <c r="E140" s="7"/>
      <c r="F140" s="21"/>
      <c r="G140" s="21"/>
      <c r="H140" s="21"/>
      <c r="I140" s="54">
        <v>21.85</v>
      </c>
      <c r="J140" s="21"/>
      <c r="K140" s="21"/>
      <c r="L140" s="21">
        <v>11.2</v>
      </c>
      <c r="M140" s="21"/>
    </row>
    <row r="141" spans="1:13">
      <c r="A141" s="6">
        <v>24259</v>
      </c>
      <c r="B141" s="7">
        <v>5.5</v>
      </c>
      <c r="C141" s="7"/>
      <c r="D141" s="59"/>
      <c r="E141" s="7"/>
      <c r="F141" s="21"/>
      <c r="G141" s="21"/>
      <c r="H141" s="21"/>
      <c r="I141" s="54">
        <v>21.56</v>
      </c>
      <c r="J141" s="21"/>
      <c r="K141" s="21"/>
      <c r="L141" s="21">
        <v>11.4</v>
      </c>
      <c r="M141" s="21"/>
    </row>
    <row r="142" spans="1:13">
      <c r="A142" s="6">
        <v>24289</v>
      </c>
      <c r="B142" s="7">
        <v>5.75</v>
      </c>
      <c r="C142" s="7"/>
      <c r="D142" s="59"/>
      <c r="E142" s="7"/>
      <c r="F142" s="21"/>
      <c r="G142" s="21"/>
      <c r="H142" s="21"/>
      <c r="I142" s="54">
        <v>21.38</v>
      </c>
      <c r="J142" s="21"/>
      <c r="K142" s="21"/>
      <c r="L142" s="21">
        <v>10.9</v>
      </c>
      <c r="M142" s="21"/>
    </row>
    <row r="143" spans="1:13">
      <c r="A143" s="6">
        <v>24320</v>
      </c>
      <c r="B143" s="7">
        <v>4.5</v>
      </c>
      <c r="C143" s="7"/>
      <c r="D143" s="59"/>
      <c r="E143" s="7"/>
      <c r="F143" s="21"/>
      <c r="G143" s="21"/>
      <c r="H143" s="21"/>
      <c r="I143" s="54">
        <v>19.91</v>
      </c>
      <c r="J143" s="21"/>
      <c r="K143" s="21"/>
      <c r="L143" s="21">
        <v>11.2</v>
      </c>
      <c r="M143" s="21"/>
    </row>
    <row r="144" spans="1:13">
      <c r="A144" s="6">
        <v>24351</v>
      </c>
      <c r="B144" s="7">
        <v>5.75</v>
      </c>
      <c r="C144" s="7"/>
      <c r="D144" s="59"/>
      <c r="E144" s="7"/>
      <c r="F144" s="21"/>
      <c r="G144" s="21"/>
      <c r="H144" s="21"/>
      <c r="I144" s="54">
        <v>19.16</v>
      </c>
      <c r="J144" s="21"/>
      <c r="K144" s="21"/>
      <c r="L144" s="21">
        <v>11</v>
      </c>
      <c r="M144" s="21"/>
    </row>
    <row r="145" spans="1:13">
      <c r="A145" s="6">
        <v>24381</v>
      </c>
      <c r="B145" s="7">
        <v>5.75</v>
      </c>
      <c r="C145" s="7"/>
      <c r="D145" s="59"/>
      <c r="E145" s="7"/>
      <c r="F145" s="21"/>
      <c r="G145" s="21"/>
      <c r="H145" s="21"/>
      <c r="I145" s="54">
        <v>18.829999999999998</v>
      </c>
      <c r="J145" s="21"/>
      <c r="K145" s="21"/>
      <c r="L145" s="21">
        <v>11.6</v>
      </c>
      <c r="M145" s="21"/>
    </row>
    <row r="146" spans="1:13">
      <c r="A146" s="6">
        <v>24412</v>
      </c>
      <c r="B146" s="7">
        <v>5.75</v>
      </c>
      <c r="C146" s="7"/>
      <c r="D146" s="59"/>
      <c r="E146" s="7"/>
      <c r="F146" s="21"/>
      <c r="G146" s="21"/>
      <c r="H146" s="21"/>
      <c r="I146" s="54">
        <v>19.71</v>
      </c>
      <c r="J146" s="21"/>
      <c r="K146" s="21"/>
      <c r="L146" s="21">
        <v>11.8</v>
      </c>
      <c r="M146" s="21"/>
    </row>
    <row r="147" spans="1:13">
      <c r="A147" s="6">
        <v>24442</v>
      </c>
      <c r="B147" s="7">
        <v>5</v>
      </c>
      <c r="C147" s="7"/>
      <c r="D147" s="59"/>
      <c r="E147" s="7"/>
      <c r="F147" s="21"/>
      <c r="G147" s="21"/>
      <c r="H147" s="21"/>
      <c r="I147" s="54">
        <v>19.739999999999998</v>
      </c>
      <c r="J147" s="21"/>
      <c r="K147" s="21"/>
      <c r="L147" s="21">
        <v>11.6</v>
      </c>
      <c r="M147" s="21"/>
    </row>
    <row r="148" spans="1:13">
      <c r="A148" s="6">
        <v>24473</v>
      </c>
      <c r="B148" s="7">
        <v>4</v>
      </c>
      <c r="C148" s="7"/>
      <c r="D148" s="59"/>
      <c r="E148" s="7"/>
      <c r="F148" s="21"/>
      <c r="G148" s="21"/>
      <c r="H148" s="21"/>
      <c r="I148" s="54">
        <v>20.43</v>
      </c>
      <c r="J148" s="21"/>
      <c r="K148" s="21"/>
      <c r="L148" s="21">
        <v>12.1</v>
      </c>
      <c r="M148" s="21"/>
    </row>
    <row r="149" spans="1:13">
      <c r="A149" s="6">
        <v>24504</v>
      </c>
      <c r="B149" s="7">
        <v>4.75</v>
      </c>
      <c r="C149" s="7"/>
      <c r="D149" s="59"/>
      <c r="E149" s="7"/>
      <c r="F149" s="21"/>
      <c r="G149" s="21"/>
      <c r="H149" s="21"/>
      <c r="I149" s="54">
        <v>21.07</v>
      </c>
      <c r="J149" s="21"/>
      <c r="K149" s="21"/>
      <c r="L149" s="21">
        <v>12.6</v>
      </c>
      <c r="M149" s="21"/>
    </row>
    <row r="150" spans="1:13">
      <c r="A150" s="6">
        <v>24532</v>
      </c>
      <c r="B150" s="7">
        <v>4.5</v>
      </c>
      <c r="C150" s="7"/>
      <c r="D150" s="59"/>
      <c r="E150" s="7"/>
      <c r="F150" s="21"/>
      <c r="G150" s="21"/>
      <c r="H150" s="21"/>
      <c r="I150" s="54">
        <v>21.44</v>
      </c>
      <c r="J150" s="21"/>
      <c r="K150" s="21"/>
      <c r="L150" s="21">
        <v>12.8</v>
      </c>
      <c r="M150" s="21"/>
    </row>
    <row r="151" spans="1:13">
      <c r="A151" s="6">
        <v>24563</v>
      </c>
      <c r="B151" s="7">
        <v>4</v>
      </c>
      <c r="C151" s="7"/>
      <c r="D151" s="59"/>
      <c r="E151" s="7"/>
      <c r="F151" s="21"/>
      <c r="G151" s="21"/>
      <c r="H151" s="21"/>
      <c r="I151" s="54">
        <v>21.69</v>
      </c>
      <c r="J151" s="21"/>
      <c r="K151" s="21"/>
      <c r="L151" s="21">
        <v>11.9</v>
      </c>
      <c r="M151" s="21"/>
    </row>
    <row r="152" spans="1:13">
      <c r="A152" s="6">
        <v>24593</v>
      </c>
      <c r="B152" s="7">
        <v>4.13</v>
      </c>
      <c r="C152" s="7"/>
      <c r="D152" s="59"/>
      <c r="E152" s="7"/>
      <c r="F152" s="21"/>
      <c r="G152" s="21"/>
      <c r="H152" s="21"/>
      <c r="I152" s="54">
        <v>21.95</v>
      </c>
      <c r="J152" s="21"/>
      <c r="K152" s="21"/>
      <c r="L152" s="21">
        <v>12</v>
      </c>
      <c r="M152" s="21"/>
    </row>
    <row r="153" spans="1:13">
      <c r="A153" s="6">
        <v>24624</v>
      </c>
      <c r="B153" s="7">
        <v>3.5</v>
      </c>
      <c r="C153" s="7"/>
      <c r="D153" s="59"/>
      <c r="E153" s="7"/>
      <c r="F153" s="21"/>
      <c r="G153" s="21"/>
      <c r="H153" s="21"/>
      <c r="I153" s="54">
        <v>21.55</v>
      </c>
      <c r="J153" s="21"/>
      <c r="K153" s="21"/>
      <c r="L153" s="21">
        <v>11.9</v>
      </c>
      <c r="M153" s="21"/>
    </row>
    <row r="154" spans="1:13">
      <c r="A154" s="6">
        <v>24654</v>
      </c>
      <c r="B154" s="7">
        <v>3.75</v>
      </c>
      <c r="C154" s="7"/>
      <c r="D154" s="59"/>
      <c r="E154" s="7"/>
      <c r="F154" s="21"/>
      <c r="G154" s="21"/>
      <c r="H154" s="21"/>
      <c r="I154" s="54">
        <v>21.8</v>
      </c>
      <c r="J154" s="21"/>
      <c r="K154" s="21"/>
      <c r="L154" s="21">
        <v>12.6</v>
      </c>
      <c r="M154" s="21"/>
    </row>
    <row r="155" spans="1:13">
      <c r="A155" s="6">
        <v>24685</v>
      </c>
      <c r="B155" s="7">
        <v>4</v>
      </c>
      <c r="C155" s="7"/>
      <c r="D155" s="59"/>
      <c r="E155" s="7"/>
      <c r="F155" s="21"/>
      <c r="G155" s="21"/>
      <c r="H155" s="21"/>
      <c r="I155" s="54">
        <v>22.03</v>
      </c>
      <c r="J155" s="21"/>
      <c r="K155" s="21"/>
      <c r="L155" s="21">
        <v>12.6</v>
      </c>
      <c r="M155" s="21"/>
    </row>
    <row r="156" spans="1:13">
      <c r="A156" s="6">
        <v>24716</v>
      </c>
      <c r="B156" s="7">
        <v>3.75</v>
      </c>
      <c r="C156" s="7"/>
      <c r="D156" s="59"/>
      <c r="E156" s="7"/>
      <c r="F156" s="21"/>
      <c r="G156" s="21"/>
      <c r="H156" s="21"/>
      <c r="I156" s="54">
        <v>22.22</v>
      </c>
      <c r="J156" s="21"/>
      <c r="K156" s="21"/>
      <c r="L156" s="21">
        <v>11.9</v>
      </c>
      <c r="M156" s="21"/>
    </row>
    <row r="157" spans="1:13">
      <c r="A157" s="6">
        <v>24746</v>
      </c>
      <c r="B157" s="7">
        <v>4.13</v>
      </c>
      <c r="C157" s="7"/>
      <c r="D157" s="59"/>
      <c r="E157" s="7"/>
      <c r="F157" s="21"/>
      <c r="G157" s="21"/>
      <c r="H157" s="21"/>
      <c r="I157" s="54">
        <v>22.07</v>
      </c>
      <c r="J157" s="21"/>
      <c r="K157" s="21"/>
      <c r="L157" s="21">
        <v>12.9</v>
      </c>
      <c r="M157" s="21"/>
    </row>
    <row r="158" spans="1:13">
      <c r="A158" s="6">
        <v>24777</v>
      </c>
      <c r="B158" s="7">
        <v>4.5</v>
      </c>
      <c r="C158" s="7"/>
      <c r="D158" s="59"/>
      <c r="E158" s="7"/>
      <c r="F158" s="21"/>
      <c r="G158" s="21"/>
      <c r="H158" s="21"/>
      <c r="I158" s="54">
        <v>21.26</v>
      </c>
      <c r="J158" s="21"/>
      <c r="K158" s="21"/>
      <c r="L158" s="21">
        <v>12.8</v>
      </c>
      <c r="M158" s="21"/>
    </row>
    <row r="159" spans="1:13">
      <c r="A159" s="6">
        <v>24807</v>
      </c>
      <c r="B159" s="7">
        <v>4.5</v>
      </c>
      <c r="C159" s="7"/>
      <c r="D159" s="59"/>
      <c r="E159" s="7"/>
      <c r="F159" s="21"/>
      <c r="G159" s="21"/>
      <c r="H159" s="21"/>
      <c r="I159" s="54">
        <v>21.75</v>
      </c>
      <c r="J159" s="21"/>
      <c r="K159" s="21"/>
      <c r="L159" s="21">
        <v>11.8</v>
      </c>
      <c r="M159" s="21"/>
    </row>
    <row r="160" spans="1:13">
      <c r="A160" s="6">
        <v>24838</v>
      </c>
      <c r="B160" s="7">
        <v>4.75</v>
      </c>
      <c r="C160" s="7"/>
      <c r="D160" s="59"/>
      <c r="E160" s="7"/>
      <c r="F160" s="21"/>
      <c r="G160" s="21"/>
      <c r="H160" s="21"/>
      <c r="I160" s="54">
        <v>21.51</v>
      </c>
      <c r="J160" s="21"/>
      <c r="K160" s="21"/>
      <c r="L160" s="21">
        <v>11.7</v>
      </c>
      <c r="M160" s="21"/>
    </row>
    <row r="161" spans="1:13">
      <c r="A161" s="6">
        <v>24869</v>
      </c>
      <c r="B161" s="7">
        <v>4.75</v>
      </c>
      <c r="C161" s="7"/>
      <c r="D161" s="59"/>
      <c r="E161" s="7"/>
      <c r="F161" s="21"/>
      <c r="G161" s="21"/>
      <c r="H161" s="21"/>
      <c r="I161" s="54">
        <v>20.420000000000002</v>
      </c>
      <c r="J161" s="21"/>
      <c r="K161" s="21"/>
      <c r="L161" s="21">
        <v>12.3</v>
      </c>
      <c r="M161" s="21"/>
    </row>
    <row r="162" spans="1:13">
      <c r="A162" s="6">
        <v>24898</v>
      </c>
      <c r="B162" s="7">
        <v>5.25</v>
      </c>
      <c r="C162" s="7"/>
      <c r="D162" s="59"/>
      <c r="E162" s="7"/>
      <c r="F162" s="21"/>
      <c r="G162" s="21"/>
      <c r="H162" s="21"/>
      <c r="I162" s="54">
        <v>19.93</v>
      </c>
      <c r="J162" s="21"/>
      <c r="K162" s="21"/>
      <c r="L162" s="21">
        <v>11.7</v>
      </c>
      <c r="M162" s="21"/>
    </row>
    <row r="163" spans="1:13">
      <c r="A163" s="6">
        <v>24929</v>
      </c>
      <c r="B163" s="7">
        <v>6.25</v>
      </c>
      <c r="C163" s="7"/>
      <c r="D163" s="59"/>
      <c r="E163" s="7"/>
      <c r="F163" s="21"/>
      <c r="G163" s="21"/>
      <c r="H163" s="21"/>
      <c r="I163" s="54">
        <v>21.28</v>
      </c>
      <c r="J163" s="21"/>
      <c r="K163" s="21"/>
      <c r="L163" s="21">
        <v>12.3</v>
      </c>
      <c r="M163" s="21"/>
    </row>
    <row r="164" spans="1:13">
      <c r="A164" s="6">
        <v>24959</v>
      </c>
      <c r="B164" s="7">
        <v>6.13</v>
      </c>
      <c r="C164" s="7"/>
      <c r="D164" s="59"/>
      <c r="E164" s="7"/>
      <c r="F164" s="21"/>
      <c r="G164" s="21"/>
      <c r="H164" s="21"/>
      <c r="I164" s="54">
        <v>21.63</v>
      </c>
      <c r="J164" s="21"/>
      <c r="K164" s="21"/>
      <c r="L164" s="21">
        <v>12</v>
      </c>
      <c r="M164" s="21"/>
    </row>
    <row r="165" spans="1:13">
      <c r="A165" s="6">
        <v>24990</v>
      </c>
      <c r="B165" s="7">
        <v>5.5</v>
      </c>
      <c r="C165" s="7"/>
      <c r="D165" s="59"/>
      <c r="E165" s="7"/>
      <c r="F165" s="21"/>
      <c r="G165" s="21"/>
      <c r="H165" s="21"/>
      <c r="I165" s="54">
        <v>22</v>
      </c>
      <c r="J165" s="21"/>
      <c r="K165" s="21"/>
      <c r="L165" s="21">
        <v>11.7</v>
      </c>
      <c r="M165" s="21"/>
    </row>
    <row r="166" spans="1:13">
      <c r="A166" s="6">
        <v>25020</v>
      </c>
      <c r="B166" s="7">
        <v>6</v>
      </c>
      <c r="C166" s="7"/>
      <c r="D166" s="59"/>
      <c r="E166" s="7"/>
      <c r="F166" s="21"/>
      <c r="G166" s="21"/>
      <c r="H166" s="21"/>
      <c r="I166" s="54">
        <v>21.75</v>
      </c>
      <c r="J166" s="21"/>
      <c r="K166" s="21"/>
      <c r="L166" s="21">
        <v>10.7</v>
      </c>
      <c r="M166" s="21"/>
    </row>
    <row r="167" spans="1:13">
      <c r="A167" s="6">
        <v>25051</v>
      </c>
      <c r="B167" s="7">
        <v>5.75</v>
      </c>
      <c r="C167" s="7"/>
      <c r="D167" s="59"/>
      <c r="E167" s="7"/>
      <c r="F167" s="21"/>
      <c r="G167" s="21"/>
      <c r="H167" s="21"/>
      <c r="I167" s="54">
        <v>21.14</v>
      </c>
      <c r="J167" s="21"/>
      <c r="K167" s="21"/>
      <c r="L167" s="21">
        <v>10.5</v>
      </c>
      <c r="M167" s="21"/>
    </row>
    <row r="168" spans="1:13">
      <c r="A168" s="6">
        <v>25082</v>
      </c>
      <c r="B168" s="7">
        <v>5.5</v>
      </c>
      <c r="C168" s="7"/>
      <c r="D168" s="59"/>
      <c r="E168" s="7"/>
      <c r="F168" s="21"/>
      <c r="G168" s="21"/>
      <c r="H168" s="21"/>
      <c r="I168" s="54">
        <v>21.68</v>
      </c>
      <c r="J168" s="21"/>
      <c r="K168" s="21"/>
      <c r="L168" s="21">
        <v>10.6</v>
      </c>
      <c r="M168" s="21"/>
    </row>
    <row r="169" spans="1:13">
      <c r="A169" s="6">
        <v>25112</v>
      </c>
      <c r="B169" s="7">
        <v>6</v>
      </c>
      <c r="C169" s="7"/>
      <c r="D169" s="59"/>
      <c r="E169" s="7"/>
      <c r="F169" s="21"/>
      <c r="G169" s="21"/>
      <c r="H169" s="21"/>
      <c r="I169" s="54">
        <v>22</v>
      </c>
      <c r="J169" s="21"/>
      <c r="K169" s="21"/>
      <c r="L169" s="21">
        <v>10.8</v>
      </c>
      <c r="M169" s="21"/>
    </row>
    <row r="170" spans="1:13">
      <c r="A170" s="6">
        <v>25143</v>
      </c>
      <c r="B170" s="7">
        <v>6</v>
      </c>
      <c r="C170" s="7"/>
      <c r="D170" s="59"/>
      <c r="E170" s="7"/>
      <c r="F170" s="21"/>
      <c r="G170" s="21"/>
      <c r="H170" s="21"/>
      <c r="I170" s="54">
        <v>22.2</v>
      </c>
      <c r="J170" s="21"/>
      <c r="K170" s="21"/>
      <c r="L170" s="21">
        <v>10.6</v>
      </c>
      <c r="M170" s="21"/>
    </row>
    <row r="171" spans="1:13">
      <c r="A171" s="6">
        <v>25173</v>
      </c>
      <c r="B171" s="7">
        <v>4</v>
      </c>
      <c r="C171" s="7"/>
      <c r="D171" s="59"/>
      <c r="E171" s="7"/>
      <c r="F171" s="21"/>
      <c r="G171" s="21"/>
      <c r="H171" s="21"/>
      <c r="I171" s="54">
        <v>22.28</v>
      </c>
      <c r="J171" s="21"/>
      <c r="K171" s="21"/>
      <c r="L171" s="21">
        <v>11.1</v>
      </c>
      <c r="M171" s="21"/>
    </row>
    <row r="172" spans="1:13">
      <c r="A172" s="6">
        <v>25204</v>
      </c>
      <c r="B172" s="7">
        <v>6.38</v>
      </c>
      <c r="C172" s="7"/>
      <c r="D172" s="59"/>
      <c r="E172" s="7"/>
      <c r="F172" s="21"/>
      <c r="G172" s="21"/>
      <c r="H172" s="21"/>
      <c r="I172" s="54">
        <v>21.19</v>
      </c>
      <c r="J172" s="21"/>
      <c r="K172" s="21"/>
      <c r="L172" s="21">
        <v>10.3</v>
      </c>
      <c r="M172" s="21"/>
    </row>
    <row r="173" spans="1:13">
      <c r="A173" s="6">
        <v>25235</v>
      </c>
      <c r="B173" s="7">
        <v>7</v>
      </c>
      <c r="C173" s="7"/>
      <c r="D173" s="59"/>
      <c r="E173" s="7"/>
      <c r="F173" s="21"/>
      <c r="G173" s="21"/>
      <c r="H173" s="21"/>
      <c r="I173" s="54">
        <v>20.9</v>
      </c>
      <c r="J173" s="21"/>
      <c r="K173" s="21"/>
      <c r="L173" s="21">
        <v>9.6999999999999993</v>
      </c>
      <c r="M173" s="21"/>
    </row>
    <row r="174" spans="1:13">
      <c r="A174" s="6">
        <v>25263</v>
      </c>
      <c r="B174" s="7">
        <v>6.25</v>
      </c>
      <c r="C174" s="7"/>
      <c r="D174" s="59"/>
      <c r="E174" s="7"/>
      <c r="F174" s="21"/>
      <c r="G174" s="21"/>
      <c r="H174" s="21"/>
      <c r="I174" s="54">
        <v>20.2</v>
      </c>
      <c r="J174" s="21"/>
      <c r="K174" s="21"/>
      <c r="L174" s="21">
        <v>10.199999999999999</v>
      </c>
      <c r="M174" s="21"/>
    </row>
    <row r="175" spans="1:13">
      <c r="A175" s="6">
        <v>25294</v>
      </c>
      <c r="B175" s="7">
        <v>8</v>
      </c>
      <c r="C175" s="7"/>
      <c r="D175" s="59"/>
      <c r="E175" s="7"/>
      <c r="F175" s="21"/>
      <c r="G175" s="21"/>
      <c r="H175" s="21"/>
      <c r="I175" s="54">
        <v>20.43</v>
      </c>
      <c r="J175" s="21"/>
      <c r="K175" s="21"/>
      <c r="L175" s="21">
        <v>9.6999999999999993</v>
      </c>
      <c r="M175" s="21"/>
    </row>
    <row r="176" spans="1:13">
      <c r="A176" s="6">
        <v>25324</v>
      </c>
      <c r="B176" s="7">
        <v>9.3800000000000008</v>
      </c>
      <c r="C176" s="7"/>
      <c r="D176" s="59"/>
      <c r="E176" s="7"/>
      <c r="F176" s="21"/>
      <c r="G176" s="21"/>
      <c r="H176" s="21"/>
      <c r="I176" s="54">
        <v>20.97</v>
      </c>
      <c r="J176" s="21"/>
      <c r="K176" s="21"/>
      <c r="L176" s="21">
        <v>10.1</v>
      </c>
      <c r="M176" s="21"/>
    </row>
    <row r="177" spans="1:13">
      <c r="A177" s="6">
        <v>25355</v>
      </c>
      <c r="B177" s="7">
        <v>7.5</v>
      </c>
      <c r="C177" s="7"/>
      <c r="D177" s="59"/>
      <c r="E177" s="7"/>
      <c r="F177" s="21"/>
      <c r="G177" s="21"/>
      <c r="H177" s="21"/>
      <c r="I177" s="54">
        <v>19.71</v>
      </c>
      <c r="J177" s="21"/>
      <c r="K177" s="21"/>
      <c r="L177" s="21">
        <v>11.1</v>
      </c>
      <c r="M177" s="21"/>
    </row>
    <row r="178" spans="1:13">
      <c r="A178" s="6">
        <v>25385</v>
      </c>
      <c r="B178" s="7">
        <v>8.75</v>
      </c>
      <c r="C178" s="7"/>
      <c r="D178" s="59"/>
      <c r="E178" s="7"/>
      <c r="F178" s="21"/>
      <c r="G178" s="21"/>
      <c r="H178" s="21"/>
      <c r="I178" s="54">
        <v>18.68</v>
      </c>
      <c r="J178" s="21"/>
      <c r="K178" s="21"/>
      <c r="L178" s="21">
        <v>11.8</v>
      </c>
      <c r="M178" s="21"/>
    </row>
    <row r="179" spans="1:13">
      <c r="A179" s="6">
        <v>25416</v>
      </c>
      <c r="B179" s="7">
        <v>9.75</v>
      </c>
      <c r="C179" s="7"/>
      <c r="D179" s="59"/>
      <c r="E179" s="7"/>
      <c r="F179" s="21"/>
      <c r="G179" s="21"/>
      <c r="H179" s="21"/>
      <c r="I179" s="54">
        <v>18.43</v>
      </c>
      <c r="J179" s="21"/>
      <c r="K179" s="21"/>
      <c r="L179" s="21">
        <v>11.5</v>
      </c>
      <c r="M179" s="21"/>
    </row>
    <row r="180" spans="1:13">
      <c r="A180" s="6">
        <v>25447</v>
      </c>
      <c r="B180" s="7">
        <v>8.5</v>
      </c>
      <c r="C180" s="7"/>
      <c r="D180" s="59"/>
      <c r="E180" s="7"/>
      <c r="F180" s="21"/>
      <c r="G180" s="21"/>
      <c r="H180" s="21"/>
      <c r="I180" s="54">
        <v>18.399999999999999</v>
      </c>
      <c r="J180" s="21"/>
      <c r="K180" s="21"/>
      <c r="L180" s="21">
        <v>11.6</v>
      </c>
      <c r="M180" s="21"/>
    </row>
    <row r="181" spans="1:13">
      <c r="A181" s="6">
        <v>25477</v>
      </c>
      <c r="B181" s="7">
        <v>9</v>
      </c>
      <c r="C181" s="7"/>
      <c r="D181" s="59"/>
      <c r="E181" s="7"/>
      <c r="F181" s="21"/>
      <c r="G181" s="21"/>
      <c r="H181" s="21"/>
      <c r="I181" s="54">
        <v>18.45</v>
      </c>
      <c r="J181" s="21"/>
      <c r="K181" s="21"/>
      <c r="L181" s="21">
        <v>11.4</v>
      </c>
      <c r="M181" s="21"/>
    </row>
    <row r="182" spans="1:13">
      <c r="A182" s="6">
        <v>25508</v>
      </c>
      <c r="B182" s="7">
        <v>9.25</v>
      </c>
      <c r="C182" s="7"/>
      <c r="D182" s="59"/>
      <c r="E182" s="7"/>
      <c r="F182" s="21"/>
      <c r="G182" s="21"/>
      <c r="H182" s="21"/>
      <c r="I182" s="54">
        <v>18.440000000000001</v>
      </c>
      <c r="J182" s="21"/>
      <c r="K182" s="21"/>
      <c r="L182" s="21">
        <v>11.6</v>
      </c>
      <c r="M182" s="21"/>
    </row>
    <row r="183" spans="1:13">
      <c r="A183" s="6">
        <v>25538</v>
      </c>
      <c r="B183" s="7">
        <v>5</v>
      </c>
      <c r="C183" s="7"/>
      <c r="D183" s="59"/>
      <c r="E183" s="7"/>
      <c r="F183" s="21"/>
      <c r="G183" s="21"/>
      <c r="H183" s="21"/>
      <c r="I183" s="54">
        <v>17.329999999999998</v>
      </c>
      <c r="J183" s="21"/>
      <c r="K183" s="21"/>
      <c r="L183" s="21">
        <v>11.8</v>
      </c>
      <c r="M183" s="21"/>
    </row>
    <row r="184" spans="1:13">
      <c r="A184" s="6">
        <v>25569</v>
      </c>
      <c r="B184" s="7">
        <v>9.3800000000000008</v>
      </c>
      <c r="C184" s="7"/>
      <c r="D184" s="59"/>
      <c r="E184" s="7"/>
      <c r="F184" s="21"/>
      <c r="G184" s="21"/>
      <c r="H184" s="21"/>
      <c r="I184" s="54">
        <v>17.09</v>
      </c>
      <c r="J184" s="21"/>
      <c r="K184" s="21"/>
      <c r="L184" s="21">
        <v>11.8</v>
      </c>
      <c r="M184" s="21"/>
    </row>
    <row r="185" spans="1:13">
      <c r="A185" s="6">
        <v>25600</v>
      </c>
      <c r="B185" s="7">
        <v>8.5</v>
      </c>
      <c r="C185" s="7"/>
      <c r="D185" s="59"/>
      <c r="E185" s="7"/>
      <c r="F185" s="21"/>
      <c r="G185" s="21"/>
      <c r="H185" s="21"/>
      <c r="I185" s="54">
        <v>16.37</v>
      </c>
      <c r="J185" s="21"/>
      <c r="K185" s="21"/>
      <c r="L185" s="21">
        <v>11.7</v>
      </c>
      <c r="M185" s="21"/>
    </row>
    <row r="186" spans="1:13">
      <c r="A186" s="6">
        <v>25628</v>
      </c>
      <c r="B186" s="7">
        <v>7.5</v>
      </c>
      <c r="C186" s="7"/>
      <c r="D186" s="59"/>
      <c r="E186" s="7"/>
      <c r="F186" s="21"/>
      <c r="G186" s="21"/>
      <c r="H186" s="21"/>
      <c r="I186" s="54">
        <v>16.53</v>
      </c>
      <c r="J186" s="21"/>
      <c r="K186" s="21"/>
      <c r="L186" s="21">
        <v>12.4</v>
      </c>
      <c r="M186" s="21"/>
    </row>
    <row r="187" spans="1:13">
      <c r="A187" s="6">
        <v>25659</v>
      </c>
      <c r="B187" s="7">
        <v>8.5</v>
      </c>
      <c r="C187" s="7"/>
      <c r="D187" s="59"/>
      <c r="E187" s="7"/>
      <c r="F187" s="21"/>
      <c r="G187" s="21"/>
      <c r="H187" s="21"/>
      <c r="I187" s="54">
        <v>15.87</v>
      </c>
      <c r="J187" s="21"/>
      <c r="K187" s="21"/>
      <c r="L187" s="21">
        <v>13.3</v>
      </c>
      <c r="M187" s="21"/>
    </row>
    <row r="188" spans="1:13">
      <c r="A188" s="6">
        <v>25689</v>
      </c>
      <c r="B188" s="7">
        <v>7.88</v>
      </c>
      <c r="C188" s="7"/>
      <c r="D188" s="59"/>
      <c r="E188" s="7"/>
      <c r="F188" s="21"/>
      <c r="G188" s="21"/>
      <c r="H188" s="21"/>
      <c r="I188" s="54">
        <v>13.98</v>
      </c>
      <c r="J188" s="21"/>
      <c r="K188" s="21"/>
      <c r="L188" s="21">
        <v>12.4</v>
      </c>
      <c r="M188" s="21"/>
    </row>
    <row r="189" spans="1:13">
      <c r="A189" s="6">
        <v>25720</v>
      </c>
      <c r="B189" s="7">
        <v>5.75</v>
      </c>
      <c r="C189" s="7"/>
      <c r="D189" s="59"/>
      <c r="E189" s="7"/>
      <c r="F189" s="21"/>
      <c r="G189" s="21"/>
      <c r="H189" s="21"/>
      <c r="I189" s="54">
        <v>13.8</v>
      </c>
      <c r="J189" s="21"/>
      <c r="K189" s="21"/>
      <c r="L189" s="21">
        <v>12.3</v>
      </c>
      <c r="M189" s="21"/>
    </row>
    <row r="190" spans="1:13">
      <c r="A190" s="6">
        <v>25750</v>
      </c>
      <c r="B190" s="7">
        <v>6.75</v>
      </c>
      <c r="C190" s="7"/>
      <c r="D190" s="59"/>
      <c r="E190" s="7"/>
      <c r="F190" s="21"/>
      <c r="G190" s="21"/>
      <c r="H190" s="21"/>
      <c r="I190" s="54">
        <v>13.73</v>
      </c>
      <c r="J190" s="21"/>
      <c r="K190" s="21"/>
      <c r="L190" s="21">
        <v>13.5</v>
      </c>
      <c r="M190" s="21"/>
    </row>
    <row r="191" spans="1:13">
      <c r="A191" s="6">
        <v>25781</v>
      </c>
      <c r="B191" s="7">
        <v>6.5</v>
      </c>
      <c r="C191" s="7"/>
      <c r="D191" s="59"/>
      <c r="E191" s="7"/>
      <c r="F191" s="21"/>
      <c r="G191" s="21"/>
      <c r="H191" s="21"/>
      <c r="I191" s="54">
        <v>14.1</v>
      </c>
      <c r="J191" s="21"/>
      <c r="K191" s="21"/>
      <c r="L191" s="21">
        <v>13.4</v>
      </c>
      <c r="M191" s="21"/>
    </row>
    <row r="192" spans="1:13">
      <c r="A192" s="6">
        <v>25812</v>
      </c>
      <c r="B192" s="7">
        <v>5</v>
      </c>
      <c r="C192" s="7"/>
      <c r="D192" s="59"/>
      <c r="E192" s="7"/>
      <c r="F192" s="21"/>
      <c r="G192" s="21"/>
      <c r="H192" s="21"/>
      <c r="I192" s="54">
        <v>14.84</v>
      </c>
      <c r="J192" s="21"/>
      <c r="K192" s="21"/>
      <c r="L192" s="21">
        <v>12.9</v>
      </c>
      <c r="M192" s="21"/>
    </row>
    <row r="193" spans="1:13">
      <c r="A193" s="6">
        <v>25842</v>
      </c>
      <c r="B193" s="7">
        <v>6.13</v>
      </c>
      <c r="C193" s="7"/>
      <c r="D193" s="59"/>
      <c r="E193" s="7"/>
      <c r="F193" s="21"/>
      <c r="G193" s="21"/>
      <c r="H193" s="21"/>
      <c r="I193" s="54">
        <v>15.06</v>
      </c>
      <c r="J193" s="21"/>
      <c r="K193" s="21"/>
      <c r="L193" s="21">
        <v>13.1</v>
      </c>
      <c r="M193" s="21"/>
    </row>
    <row r="194" spans="1:13">
      <c r="A194" s="6">
        <v>25873</v>
      </c>
      <c r="B194" s="7">
        <v>5.5</v>
      </c>
      <c r="C194" s="7"/>
      <c r="D194" s="59"/>
      <c r="E194" s="7"/>
      <c r="F194" s="21"/>
      <c r="G194" s="21"/>
      <c r="H194" s="21"/>
      <c r="I194" s="54">
        <v>14.95</v>
      </c>
      <c r="J194" s="21"/>
      <c r="K194" s="21"/>
      <c r="L194" s="21">
        <v>13.6</v>
      </c>
      <c r="M194" s="21"/>
    </row>
    <row r="195" spans="1:13">
      <c r="A195" s="6">
        <v>25903</v>
      </c>
      <c r="B195" s="7">
        <v>3</v>
      </c>
      <c r="C195" s="7"/>
      <c r="D195" s="59"/>
      <c r="E195" s="7"/>
      <c r="F195" s="21"/>
      <c r="G195" s="21"/>
      <c r="H195" s="21"/>
      <c r="I195" s="54">
        <v>15.87</v>
      </c>
      <c r="J195" s="21"/>
      <c r="K195" s="21"/>
      <c r="L195" s="21">
        <v>13.2</v>
      </c>
      <c r="M195" s="21"/>
    </row>
    <row r="196" spans="1:13">
      <c r="A196" s="6">
        <v>25934</v>
      </c>
      <c r="B196" s="7">
        <v>4</v>
      </c>
      <c r="C196" s="7"/>
      <c r="D196" s="59"/>
      <c r="E196" s="7">
        <v>0.78557999999999995</v>
      </c>
      <c r="F196" s="21"/>
      <c r="G196" s="21"/>
      <c r="H196" s="21"/>
      <c r="I196" s="54">
        <v>16.46</v>
      </c>
      <c r="J196" s="21"/>
      <c r="K196" s="21"/>
      <c r="L196" s="21">
        <v>13.3</v>
      </c>
      <c r="M196" s="21"/>
    </row>
    <row r="197" spans="1:13">
      <c r="A197" s="6">
        <v>25965</v>
      </c>
      <c r="B197" s="7">
        <v>3.38</v>
      </c>
      <c r="C197" s="7"/>
      <c r="D197" s="59"/>
      <c r="E197" s="7">
        <v>0.95896000000000003</v>
      </c>
      <c r="F197" s="21"/>
      <c r="G197" s="21"/>
      <c r="H197" s="21"/>
      <c r="I197" s="54">
        <v>17.03</v>
      </c>
      <c r="J197" s="21"/>
      <c r="K197" s="21"/>
      <c r="L197" s="21">
        <v>13.3</v>
      </c>
      <c r="M197" s="21"/>
    </row>
    <row r="198" spans="1:13">
      <c r="A198" s="6">
        <v>25993</v>
      </c>
      <c r="B198" s="7">
        <v>4.5</v>
      </c>
      <c r="C198" s="7"/>
      <c r="D198" s="59"/>
      <c r="E198" s="7">
        <v>1.11677</v>
      </c>
      <c r="F198" s="21"/>
      <c r="G198" s="21"/>
      <c r="H198" s="21"/>
      <c r="I198" s="54">
        <v>17.399999999999999</v>
      </c>
      <c r="J198" s="21"/>
      <c r="K198" s="21"/>
      <c r="L198" s="21">
        <v>13.5</v>
      </c>
      <c r="M198" s="21"/>
    </row>
    <row r="199" spans="1:13">
      <c r="A199" s="6">
        <v>26024</v>
      </c>
      <c r="B199" s="7">
        <v>4.25</v>
      </c>
      <c r="C199" s="7"/>
      <c r="D199" s="59"/>
      <c r="E199" s="7">
        <v>1.4795400000000001</v>
      </c>
      <c r="F199" s="21"/>
      <c r="G199" s="21"/>
      <c r="H199" s="21"/>
      <c r="I199" s="54">
        <v>17.920000000000002</v>
      </c>
      <c r="J199" s="21"/>
      <c r="K199" s="21"/>
      <c r="L199" s="21">
        <v>13.2</v>
      </c>
      <c r="M199" s="21"/>
    </row>
    <row r="200" spans="1:13">
      <c r="A200" s="6">
        <v>26054</v>
      </c>
      <c r="B200" s="7">
        <v>4.88</v>
      </c>
      <c r="C200" s="7"/>
      <c r="D200" s="59"/>
      <c r="E200" s="7">
        <v>1.48491</v>
      </c>
      <c r="F200" s="21"/>
      <c r="G200" s="21"/>
      <c r="H200" s="21"/>
      <c r="I200" s="54">
        <v>17.559999999999999</v>
      </c>
      <c r="J200" s="21"/>
      <c r="K200" s="21"/>
      <c r="L200" s="21">
        <v>13.6</v>
      </c>
      <c r="M200" s="21"/>
    </row>
    <row r="201" spans="1:13">
      <c r="A201" s="6">
        <v>26085</v>
      </c>
      <c r="B201" s="7">
        <v>4.75</v>
      </c>
      <c r="C201" s="7"/>
      <c r="D201" s="59"/>
      <c r="E201" s="7">
        <v>1.0145500000000001</v>
      </c>
      <c r="F201" s="21"/>
      <c r="G201" s="21"/>
      <c r="H201" s="21"/>
      <c r="I201" s="54">
        <v>17.079999999999998</v>
      </c>
      <c r="J201" s="21"/>
      <c r="K201" s="21"/>
      <c r="L201" s="21">
        <v>14.7</v>
      </c>
      <c r="M201" s="21"/>
    </row>
    <row r="202" spans="1:13">
      <c r="A202" s="6">
        <v>26115</v>
      </c>
      <c r="B202" s="7">
        <v>5.5</v>
      </c>
      <c r="C202" s="7"/>
      <c r="D202" s="59"/>
      <c r="E202" s="7">
        <v>1.2168000000000001</v>
      </c>
      <c r="F202" s="21"/>
      <c r="G202" s="21"/>
      <c r="H202" s="21"/>
      <c r="I202" s="54">
        <v>16.89</v>
      </c>
      <c r="J202" s="21"/>
      <c r="K202" s="21"/>
      <c r="L202" s="21">
        <v>13.8</v>
      </c>
      <c r="M202" s="21"/>
    </row>
    <row r="203" spans="1:13">
      <c r="A203" s="6">
        <v>26146</v>
      </c>
      <c r="B203" s="7">
        <v>5.75</v>
      </c>
      <c r="C203" s="7"/>
      <c r="D203" s="59"/>
      <c r="E203" s="7">
        <v>2.1412399999999998</v>
      </c>
      <c r="F203" s="21"/>
      <c r="G203" s="21"/>
      <c r="H203" s="21"/>
      <c r="I203" s="54">
        <v>16.52</v>
      </c>
      <c r="J203" s="21"/>
      <c r="K203" s="21"/>
      <c r="L203" s="21">
        <v>13.6</v>
      </c>
      <c r="M203" s="21"/>
    </row>
    <row r="204" spans="1:13">
      <c r="A204" s="6">
        <v>26177</v>
      </c>
      <c r="B204" s="7">
        <v>5.38</v>
      </c>
      <c r="C204" s="7"/>
      <c r="D204" s="59"/>
      <c r="E204" s="7">
        <v>2.2934800000000002</v>
      </c>
      <c r="F204" s="21"/>
      <c r="G204" s="21"/>
      <c r="H204" s="21"/>
      <c r="I204" s="54">
        <v>16.86</v>
      </c>
      <c r="J204" s="21"/>
      <c r="K204" s="21"/>
      <c r="L204" s="21">
        <v>13.3</v>
      </c>
      <c r="M204" s="21"/>
    </row>
    <row r="205" spans="1:13">
      <c r="A205" s="6">
        <v>26207</v>
      </c>
      <c r="B205" s="7">
        <v>5.13</v>
      </c>
      <c r="C205" s="7"/>
      <c r="D205" s="59"/>
      <c r="E205" s="7">
        <v>1.5751900000000001</v>
      </c>
      <c r="F205" s="21"/>
      <c r="G205" s="21"/>
      <c r="H205" s="21"/>
      <c r="I205" s="54">
        <v>16.43</v>
      </c>
      <c r="J205" s="21"/>
      <c r="K205" s="21"/>
      <c r="L205" s="21">
        <v>13.3</v>
      </c>
      <c r="M205" s="21"/>
    </row>
    <row r="206" spans="1:13">
      <c r="A206" s="6">
        <v>26238</v>
      </c>
      <c r="B206" s="7">
        <v>4.25</v>
      </c>
      <c r="C206" s="7"/>
      <c r="D206" s="59"/>
      <c r="E206" s="25">
        <v>1.4008100000000001</v>
      </c>
      <c r="F206" s="21"/>
      <c r="G206" s="21"/>
      <c r="H206" s="21"/>
      <c r="I206" s="54">
        <v>15.64</v>
      </c>
      <c r="J206" s="21"/>
      <c r="K206" s="21"/>
      <c r="L206" s="21">
        <v>13.1</v>
      </c>
      <c r="M206" s="21"/>
    </row>
    <row r="207" spans="1:13">
      <c r="A207" s="6">
        <v>26268</v>
      </c>
      <c r="B207" s="7">
        <v>3</v>
      </c>
      <c r="C207" s="7"/>
      <c r="D207" s="59"/>
      <c r="E207" s="25">
        <v>1.3684700000000001</v>
      </c>
      <c r="F207" s="21"/>
      <c r="G207" s="21"/>
      <c r="H207" s="21"/>
      <c r="I207" s="54">
        <v>16.600000000000001</v>
      </c>
      <c r="J207" s="21"/>
      <c r="K207" s="21"/>
      <c r="L207" s="21">
        <v>13</v>
      </c>
      <c r="M207" s="21"/>
    </row>
    <row r="208" spans="1:13">
      <c r="A208" s="6">
        <v>26299</v>
      </c>
      <c r="B208" s="7">
        <v>3.13</v>
      </c>
      <c r="C208" s="7">
        <v>7.4</v>
      </c>
      <c r="D208" s="59"/>
      <c r="E208" s="25">
        <v>0.98380999999999996</v>
      </c>
      <c r="F208" s="21"/>
      <c r="G208" s="21"/>
      <c r="H208" s="21"/>
      <c r="I208" s="54">
        <v>17.260000000000002</v>
      </c>
      <c r="J208" s="21"/>
      <c r="K208" s="21"/>
      <c r="L208" s="21">
        <v>12.5</v>
      </c>
      <c r="M208" s="21"/>
    </row>
    <row r="209" spans="1:13">
      <c r="A209" s="6">
        <v>26330</v>
      </c>
      <c r="B209" s="7">
        <v>3.25</v>
      </c>
      <c r="C209" s="7">
        <v>7.31</v>
      </c>
      <c r="D209" s="59"/>
      <c r="E209" s="25">
        <v>0.60843000000000003</v>
      </c>
      <c r="F209" s="21"/>
      <c r="G209" s="21"/>
      <c r="H209" s="21"/>
      <c r="I209" s="54">
        <v>17.46</v>
      </c>
      <c r="J209" s="21"/>
      <c r="K209" s="21"/>
      <c r="L209" s="21">
        <v>12.8</v>
      </c>
      <c r="M209" s="21"/>
    </row>
    <row r="210" spans="1:13" s="9" customFormat="1">
      <c r="A210" s="6">
        <v>26359</v>
      </c>
      <c r="B210" s="7">
        <v>4</v>
      </c>
      <c r="C210" s="7">
        <v>7.23</v>
      </c>
      <c r="D210" s="59"/>
      <c r="E210" s="25">
        <v>0.41116999999999998</v>
      </c>
      <c r="F210" s="21"/>
      <c r="G210" s="21"/>
      <c r="H210" s="21"/>
      <c r="I210" s="54">
        <v>17.809999999999999</v>
      </c>
      <c r="J210" s="21"/>
      <c r="K210" s="21"/>
      <c r="L210" s="21">
        <v>11.8</v>
      </c>
      <c r="M210" s="21"/>
    </row>
    <row r="211" spans="1:13" s="9" customFormat="1">
      <c r="A211" s="6">
        <v>26390</v>
      </c>
      <c r="B211" s="7">
        <v>4.3099999999999996</v>
      </c>
      <c r="C211" s="7">
        <v>7.33</v>
      </c>
      <c r="D211" s="59"/>
      <c r="E211" s="25">
        <v>0.23849999999999999</v>
      </c>
      <c r="F211" s="21"/>
      <c r="G211" s="21"/>
      <c r="H211" s="21"/>
      <c r="I211" s="54">
        <v>17.920000000000002</v>
      </c>
      <c r="J211" s="21"/>
      <c r="K211" s="21"/>
      <c r="L211" s="21">
        <v>11.5</v>
      </c>
      <c r="M211" s="21"/>
    </row>
    <row r="212" spans="1:13" s="9" customFormat="1">
      <c r="A212" s="6">
        <v>26420</v>
      </c>
      <c r="B212" s="7">
        <v>4.75</v>
      </c>
      <c r="C212" s="7">
        <v>7.4</v>
      </c>
      <c r="D212" s="59"/>
      <c r="E212" s="25">
        <v>8.0420000000000005E-2</v>
      </c>
      <c r="F212" s="21"/>
      <c r="G212" s="21"/>
      <c r="H212" s="21"/>
      <c r="I212" s="54">
        <v>17.66</v>
      </c>
      <c r="J212" s="21"/>
      <c r="K212" s="21"/>
      <c r="L212" s="21">
        <v>11.7</v>
      </c>
      <c r="M212" s="21"/>
    </row>
    <row r="213" spans="1:13" s="9" customFormat="1">
      <c r="A213" s="6">
        <v>26451</v>
      </c>
      <c r="B213" s="7">
        <v>4.5</v>
      </c>
      <c r="C213" s="7">
        <v>7.38</v>
      </c>
      <c r="D213" s="59"/>
      <c r="E213" s="25">
        <v>0.23907999999999999</v>
      </c>
      <c r="F213" s="21"/>
      <c r="G213" s="21"/>
      <c r="H213" s="21"/>
      <c r="I213" s="54">
        <v>17.64</v>
      </c>
      <c r="J213" s="21"/>
      <c r="K213" s="21"/>
      <c r="L213" s="21">
        <v>11.7</v>
      </c>
      <c r="M213" s="21"/>
    </row>
    <row r="214" spans="1:13" s="9" customFormat="1">
      <c r="A214" s="6">
        <v>26481</v>
      </c>
      <c r="B214" s="7">
        <v>4.5</v>
      </c>
      <c r="C214" s="7">
        <v>7.4</v>
      </c>
      <c r="D214" s="59"/>
      <c r="E214" s="25">
        <v>0.34349000000000002</v>
      </c>
      <c r="F214" s="21"/>
      <c r="G214" s="21"/>
      <c r="H214" s="21"/>
      <c r="I214" s="54">
        <v>17.399999999999999</v>
      </c>
      <c r="J214" s="21"/>
      <c r="K214" s="21"/>
      <c r="L214" s="21">
        <v>11.7</v>
      </c>
      <c r="M214" s="21"/>
    </row>
    <row r="215" spans="1:13" s="9" customFormat="1">
      <c r="A215" s="6">
        <v>26512</v>
      </c>
      <c r="B215" s="7">
        <v>5.13</v>
      </c>
      <c r="C215" s="7">
        <v>7.42</v>
      </c>
      <c r="D215" s="59"/>
      <c r="E215" s="25">
        <v>0.11645999999999999</v>
      </c>
      <c r="F215" s="21"/>
      <c r="G215" s="21"/>
      <c r="H215" s="21"/>
      <c r="I215" s="54">
        <v>17.940000000000001</v>
      </c>
      <c r="J215" s="21"/>
      <c r="K215" s="21"/>
      <c r="L215" s="21">
        <v>12</v>
      </c>
      <c r="M215" s="21"/>
    </row>
    <row r="216" spans="1:13" s="9" customFormat="1">
      <c r="A216" s="6">
        <v>26543</v>
      </c>
      <c r="B216" s="7">
        <v>4.88</v>
      </c>
      <c r="C216" s="7">
        <v>7.43</v>
      </c>
      <c r="D216" s="59"/>
      <c r="E216" s="25">
        <v>-0.15644</v>
      </c>
      <c r="F216" s="21"/>
      <c r="G216" s="21"/>
      <c r="H216" s="21"/>
      <c r="I216" s="54">
        <v>17.61</v>
      </c>
      <c r="J216" s="21"/>
      <c r="K216" s="21"/>
      <c r="L216" s="21">
        <v>12.2</v>
      </c>
      <c r="M216" s="21"/>
    </row>
    <row r="217" spans="1:13" s="9" customFormat="1">
      <c r="A217" s="6">
        <v>26573</v>
      </c>
      <c r="B217" s="7">
        <v>4.88</v>
      </c>
      <c r="C217" s="7">
        <v>7.42</v>
      </c>
      <c r="D217" s="59"/>
      <c r="E217" s="25">
        <v>-0.17752999999999999</v>
      </c>
      <c r="F217" s="21"/>
      <c r="G217" s="21"/>
      <c r="H217" s="21"/>
      <c r="I217" s="54">
        <v>17.53</v>
      </c>
      <c r="J217" s="21"/>
      <c r="K217" s="21"/>
      <c r="L217" s="21">
        <v>13</v>
      </c>
      <c r="M217" s="21"/>
    </row>
    <row r="218" spans="1:13" s="9" customFormat="1">
      <c r="A218" s="6">
        <v>26604</v>
      </c>
      <c r="B218" s="7">
        <v>5.19</v>
      </c>
      <c r="C218" s="7">
        <v>7.44</v>
      </c>
      <c r="D218" s="59"/>
      <c r="E218" s="25">
        <v>-0.25985999999999998</v>
      </c>
      <c r="F218" s="21"/>
      <c r="G218" s="21"/>
      <c r="H218" s="21"/>
      <c r="I218" s="54">
        <v>18.34</v>
      </c>
      <c r="J218" s="21"/>
      <c r="K218" s="21"/>
      <c r="L218" s="21">
        <v>13.6</v>
      </c>
      <c r="M218" s="21"/>
    </row>
    <row r="219" spans="1:13" s="9" customFormat="1">
      <c r="A219" s="6">
        <v>26634</v>
      </c>
      <c r="B219" s="7">
        <v>5.5</v>
      </c>
      <c r="C219" s="7">
        <v>7.45</v>
      </c>
      <c r="D219" s="59"/>
      <c r="E219" s="25">
        <v>-0.29780000000000001</v>
      </c>
      <c r="F219" s="21"/>
      <c r="G219" s="21"/>
      <c r="H219" s="21"/>
      <c r="I219" s="54">
        <v>18.649999999999999</v>
      </c>
      <c r="J219" s="21"/>
      <c r="K219" s="21"/>
      <c r="L219" s="21">
        <v>13.7</v>
      </c>
      <c r="M219" s="21"/>
    </row>
    <row r="220" spans="1:13" s="9" customFormat="1">
      <c r="A220" s="6">
        <v>26665</v>
      </c>
      <c r="B220" s="7">
        <v>6.5</v>
      </c>
      <c r="C220" s="7">
        <v>7.43</v>
      </c>
      <c r="D220" s="59"/>
      <c r="E220" s="25">
        <v>0.12759000000000001</v>
      </c>
      <c r="F220" s="21"/>
      <c r="G220" s="21"/>
      <c r="H220" s="21"/>
      <c r="I220" s="54">
        <v>18.71</v>
      </c>
      <c r="J220" s="21"/>
      <c r="K220" s="21"/>
      <c r="L220" s="21">
        <v>12.4</v>
      </c>
      <c r="M220" s="21"/>
    </row>
    <row r="221" spans="1:13" s="9" customFormat="1">
      <c r="A221" s="6">
        <v>26696</v>
      </c>
      <c r="B221" s="7">
        <v>7.5</v>
      </c>
      <c r="C221" s="7">
        <v>7.45</v>
      </c>
      <c r="D221" s="59"/>
      <c r="E221" s="25">
        <v>0.82859000000000005</v>
      </c>
      <c r="F221" s="21"/>
      <c r="G221" s="21"/>
      <c r="H221" s="21"/>
      <c r="I221" s="54">
        <v>17.89</v>
      </c>
      <c r="J221" s="21"/>
      <c r="K221" s="21"/>
      <c r="L221" s="21">
        <v>12.5</v>
      </c>
      <c r="M221" s="21"/>
    </row>
    <row r="222" spans="1:13" s="9" customFormat="1">
      <c r="A222" s="6">
        <v>26724</v>
      </c>
      <c r="B222" s="7">
        <v>7.38</v>
      </c>
      <c r="C222" s="7">
        <v>7.49</v>
      </c>
      <c r="D222" s="59"/>
      <c r="E222" s="25">
        <v>1.1942200000000001</v>
      </c>
      <c r="F222" s="21"/>
      <c r="G222" s="21"/>
      <c r="H222" s="21"/>
      <c r="I222" s="54">
        <v>17.41</v>
      </c>
      <c r="J222" s="21"/>
      <c r="K222" s="21"/>
      <c r="L222" s="21">
        <v>12.7</v>
      </c>
      <c r="M222" s="21"/>
    </row>
    <row r="223" spans="1:13" s="9" customFormat="1">
      <c r="A223" s="6">
        <v>26755</v>
      </c>
      <c r="B223" s="7">
        <v>7.63</v>
      </c>
      <c r="C223" s="7">
        <v>7.56</v>
      </c>
      <c r="D223" s="59"/>
      <c r="E223" s="25">
        <v>1.1050500000000001</v>
      </c>
      <c r="F223" s="21"/>
      <c r="G223" s="21"/>
      <c r="H223" s="21"/>
      <c r="I223" s="54">
        <v>16.940000000000001</v>
      </c>
      <c r="J223" s="21"/>
      <c r="K223" s="21"/>
      <c r="L223" s="21">
        <v>13.2</v>
      </c>
      <c r="M223" s="21"/>
    </row>
    <row r="224" spans="1:13" s="9" customFormat="1">
      <c r="A224" s="6">
        <v>26785</v>
      </c>
      <c r="B224" s="7">
        <v>8.1300000000000008</v>
      </c>
      <c r="C224" s="7">
        <v>7.7</v>
      </c>
      <c r="D224" s="59"/>
      <c r="E224" s="25">
        <v>0.98951999999999996</v>
      </c>
      <c r="F224" s="21"/>
      <c r="G224" s="21"/>
      <c r="H224" s="21"/>
      <c r="I224" s="54">
        <v>16.309999999999999</v>
      </c>
      <c r="J224" s="21"/>
      <c r="K224" s="21"/>
      <c r="L224" s="21">
        <v>13.2</v>
      </c>
      <c r="M224" s="21"/>
    </row>
    <row r="225" spans="1:13" s="9" customFormat="1">
      <c r="A225" s="6">
        <v>26816</v>
      </c>
      <c r="B225" s="7">
        <v>8.8800000000000008</v>
      </c>
      <c r="C225" s="7">
        <v>7.76</v>
      </c>
      <c r="D225" s="59"/>
      <c r="E225" s="25">
        <v>1.08324</v>
      </c>
      <c r="F225" s="21"/>
      <c r="G225" s="21"/>
      <c r="H225" s="21"/>
      <c r="I225" s="54">
        <v>15.81</v>
      </c>
      <c r="J225" s="21"/>
      <c r="K225" s="21"/>
      <c r="L225" s="21">
        <v>13.6</v>
      </c>
      <c r="M225" s="21"/>
    </row>
    <row r="226" spans="1:13" s="9" customFormat="1">
      <c r="A226" s="6">
        <v>26846</v>
      </c>
      <c r="B226" s="7">
        <v>11.22</v>
      </c>
      <c r="C226" s="7">
        <v>8.18</v>
      </c>
      <c r="D226" s="59"/>
      <c r="E226" s="25">
        <v>1.5114799999999999</v>
      </c>
      <c r="F226" s="21"/>
      <c r="G226" s="21"/>
      <c r="H226" s="21"/>
      <c r="I226" s="54">
        <v>15.89</v>
      </c>
      <c r="J226" s="21"/>
      <c r="K226" s="21"/>
      <c r="L226" s="21">
        <v>13.2</v>
      </c>
      <c r="M226" s="21"/>
    </row>
    <row r="227" spans="1:13" s="9" customFormat="1">
      <c r="A227" s="6">
        <v>26877</v>
      </c>
      <c r="B227" s="7">
        <v>11.22</v>
      </c>
      <c r="C227" s="7">
        <v>8.66</v>
      </c>
      <c r="D227" s="59"/>
      <c r="E227" s="25">
        <v>2.0781900000000002</v>
      </c>
      <c r="F227" s="21"/>
      <c r="G227" s="21"/>
      <c r="H227" s="21"/>
      <c r="I227" s="54">
        <v>15.28</v>
      </c>
      <c r="J227" s="21"/>
      <c r="K227" s="21"/>
      <c r="L227" s="21">
        <v>13.9</v>
      </c>
      <c r="M227" s="21"/>
    </row>
    <row r="228" spans="1:13" s="9" customFormat="1">
      <c r="A228" s="6">
        <v>26908</v>
      </c>
      <c r="B228" s="7">
        <v>10.82</v>
      </c>
      <c r="C228" s="7">
        <v>8.85</v>
      </c>
      <c r="D228" s="59"/>
      <c r="E228" s="25">
        <v>2.1851099999999999</v>
      </c>
      <c r="F228" s="21"/>
      <c r="G228" s="21"/>
      <c r="H228" s="21"/>
      <c r="I228" s="54">
        <v>15.48</v>
      </c>
      <c r="J228" s="21"/>
      <c r="K228" s="21"/>
      <c r="L228" s="21">
        <v>13.1</v>
      </c>
      <c r="M228" s="21"/>
    </row>
    <row r="229" spans="1:13" s="9" customFormat="1">
      <c r="A229" s="6">
        <v>26938</v>
      </c>
      <c r="B229" s="7">
        <v>10.61</v>
      </c>
      <c r="C229" s="7">
        <v>8.68</v>
      </c>
      <c r="D229" s="59"/>
      <c r="E229" s="25">
        <v>1.97668</v>
      </c>
      <c r="F229" s="21"/>
      <c r="G229" s="21"/>
      <c r="H229" s="21"/>
      <c r="I229" s="54">
        <v>15.91</v>
      </c>
      <c r="J229" s="21"/>
      <c r="K229" s="21"/>
      <c r="L229" s="21">
        <v>14.4</v>
      </c>
      <c r="M229" s="21"/>
    </row>
    <row r="230" spans="1:13" s="9" customFormat="1">
      <c r="A230" s="6">
        <v>26969</v>
      </c>
      <c r="B230" s="7">
        <v>10.34</v>
      </c>
      <c r="C230" s="7">
        <v>8.5500000000000007</v>
      </c>
      <c r="D230" s="59"/>
      <c r="E230" s="25">
        <v>1.90099</v>
      </c>
      <c r="F230" s="21"/>
      <c r="G230" s="21"/>
      <c r="H230" s="21"/>
      <c r="I230" s="54">
        <v>14.65</v>
      </c>
      <c r="J230" s="21"/>
      <c r="K230" s="21"/>
      <c r="L230" s="21">
        <v>14.4</v>
      </c>
      <c r="M230" s="21"/>
    </row>
    <row r="231" spans="1:13" s="9" customFormat="1">
      <c r="A231" s="6">
        <v>26999</v>
      </c>
      <c r="B231" s="7">
        <v>9.83</v>
      </c>
      <c r="C231" s="7">
        <v>8.56</v>
      </c>
      <c r="D231" s="59"/>
      <c r="E231" s="25">
        <v>1.6381600000000001</v>
      </c>
      <c r="F231" s="21"/>
      <c r="G231" s="21"/>
      <c r="H231" s="21"/>
      <c r="I231" s="54">
        <v>13.49</v>
      </c>
      <c r="J231" s="21"/>
      <c r="K231" s="21"/>
      <c r="L231" s="21">
        <v>14.8</v>
      </c>
      <c r="M231" s="21"/>
    </row>
    <row r="232" spans="1:13" s="9" customFormat="1">
      <c r="A232" s="6">
        <v>27030</v>
      </c>
      <c r="B232" s="7">
        <v>9.31</v>
      </c>
      <c r="C232" s="7">
        <v>8.52</v>
      </c>
      <c r="D232" s="59"/>
      <c r="E232" s="25">
        <v>0.86928000000000005</v>
      </c>
      <c r="F232" s="21"/>
      <c r="G232" s="21"/>
      <c r="H232" s="21"/>
      <c r="I232" s="54">
        <v>13.53</v>
      </c>
      <c r="J232" s="21"/>
      <c r="K232" s="21"/>
      <c r="L232" s="21">
        <v>14.3</v>
      </c>
      <c r="M232" s="21"/>
    </row>
    <row r="233" spans="1:13" s="9" customFormat="1">
      <c r="A233" s="6">
        <v>27061</v>
      </c>
      <c r="B233" s="7">
        <v>8.8699999999999992</v>
      </c>
      <c r="C233" s="7">
        <v>8.42</v>
      </c>
      <c r="D233" s="59"/>
      <c r="E233" s="25">
        <v>0.29366999999999999</v>
      </c>
      <c r="F233" s="21"/>
      <c r="G233" s="21"/>
      <c r="H233" s="21"/>
      <c r="I233" s="54">
        <v>12.96</v>
      </c>
      <c r="J233" s="21"/>
      <c r="K233" s="21"/>
      <c r="L233" s="21">
        <v>14.2</v>
      </c>
      <c r="M233" s="21"/>
    </row>
    <row r="234" spans="1:13" s="9" customFormat="1">
      <c r="A234" s="6">
        <v>27089</v>
      </c>
      <c r="B234" s="7">
        <v>9.9499999999999993</v>
      </c>
      <c r="C234" s="7">
        <v>8.41</v>
      </c>
      <c r="D234" s="59"/>
      <c r="E234" s="25">
        <v>0.64541000000000004</v>
      </c>
      <c r="F234" s="21"/>
      <c r="G234" s="21"/>
      <c r="H234" s="21"/>
      <c r="I234" s="54">
        <v>13.31</v>
      </c>
      <c r="J234" s="21"/>
      <c r="K234" s="21"/>
      <c r="L234" s="21">
        <v>13.4</v>
      </c>
      <c r="M234" s="21"/>
    </row>
    <row r="235" spans="1:13" s="9" customFormat="1">
      <c r="A235" s="6">
        <v>27120</v>
      </c>
      <c r="B235" s="7">
        <v>11</v>
      </c>
      <c r="C235" s="7">
        <v>8.73</v>
      </c>
      <c r="D235" s="59"/>
      <c r="E235" s="25">
        <v>1.72993</v>
      </c>
      <c r="F235" s="21"/>
      <c r="G235" s="21"/>
      <c r="H235" s="21"/>
      <c r="I235" s="54">
        <v>12.55</v>
      </c>
      <c r="J235" s="21"/>
      <c r="K235" s="21"/>
      <c r="L235" s="21">
        <v>13.1</v>
      </c>
      <c r="M235" s="21"/>
    </row>
    <row r="236" spans="1:13" s="9" customFormat="1">
      <c r="A236" s="6">
        <v>27150</v>
      </c>
      <c r="B236" s="7">
        <v>11.64</v>
      </c>
      <c r="C236" s="7">
        <v>9.0299999999999994</v>
      </c>
      <c r="D236" s="59"/>
      <c r="E236" s="25">
        <v>3.5182699999999998</v>
      </c>
      <c r="F236" s="21"/>
      <c r="G236" s="21"/>
      <c r="H236" s="21"/>
      <c r="I236" s="54">
        <v>12</v>
      </c>
      <c r="J236" s="21"/>
      <c r="K236" s="21"/>
      <c r="L236" s="21">
        <v>12.8</v>
      </c>
      <c r="M236" s="21"/>
    </row>
    <row r="237" spans="1:13" s="9" customFormat="1">
      <c r="A237" s="6">
        <v>27181</v>
      </c>
      <c r="B237" s="7">
        <v>13.31</v>
      </c>
      <c r="C237" s="7">
        <v>9.1</v>
      </c>
      <c r="D237" s="59"/>
      <c r="E237" s="25">
        <v>4.7334199999999997</v>
      </c>
      <c r="F237" s="21"/>
      <c r="G237" s="21"/>
      <c r="H237" s="21"/>
      <c r="I237" s="54">
        <v>11.89</v>
      </c>
      <c r="J237" s="21"/>
      <c r="K237" s="21"/>
      <c r="L237" s="21">
        <v>12.8</v>
      </c>
      <c r="M237" s="21"/>
    </row>
    <row r="238" spans="1:13" s="9" customFormat="1">
      <c r="A238" s="6">
        <v>27211</v>
      </c>
      <c r="B238" s="7">
        <v>12.06</v>
      </c>
      <c r="C238" s="7">
        <v>9.42</v>
      </c>
      <c r="D238" s="59"/>
      <c r="E238" s="25">
        <v>5.0433399999999997</v>
      </c>
      <c r="F238" s="21"/>
      <c r="G238" s="21"/>
      <c r="H238" s="21"/>
      <c r="I238" s="54">
        <v>10.39</v>
      </c>
      <c r="J238" s="21"/>
      <c r="K238" s="21"/>
      <c r="L238" s="21">
        <v>12.8</v>
      </c>
      <c r="M238" s="21"/>
    </row>
    <row r="239" spans="1:13" s="9" customFormat="1">
      <c r="A239" s="6">
        <v>27242</v>
      </c>
      <c r="B239" s="7">
        <v>11.6</v>
      </c>
      <c r="C239" s="7">
        <v>9.74</v>
      </c>
      <c r="D239" s="59"/>
      <c r="E239" s="25">
        <v>4.4483300000000003</v>
      </c>
      <c r="F239" s="21"/>
      <c r="G239" s="21"/>
      <c r="H239" s="21"/>
      <c r="I239" s="54">
        <v>9.82</v>
      </c>
      <c r="J239" s="21"/>
      <c r="K239" s="21"/>
      <c r="L239" s="21">
        <v>12.1</v>
      </c>
      <c r="M239" s="21"/>
    </row>
    <row r="240" spans="1:13" s="9" customFormat="1">
      <c r="A240" s="6">
        <v>27273</v>
      </c>
      <c r="B240" s="7">
        <v>11.11</v>
      </c>
      <c r="C240" s="7">
        <v>10.029999999999999</v>
      </c>
      <c r="D240" s="59"/>
      <c r="E240" s="25">
        <v>3.8963800000000002</v>
      </c>
      <c r="F240" s="21"/>
      <c r="G240" s="21"/>
      <c r="H240" s="21"/>
      <c r="I240" s="54">
        <v>8.68</v>
      </c>
      <c r="J240" s="21"/>
      <c r="K240" s="21"/>
      <c r="L240" s="21">
        <v>12.9</v>
      </c>
      <c r="M240" s="21"/>
    </row>
    <row r="241" spans="1:13" s="9" customFormat="1">
      <c r="A241" s="6">
        <v>27303</v>
      </c>
      <c r="B241" s="7">
        <v>9.66</v>
      </c>
      <c r="C241" s="7">
        <v>9.94</v>
      </c>
      <c r="D241" s="59"/>
      <c r="E241" s="25">
        <v>3.16012</v>
      </c>
      <c r="F241" s="21"/>
      <c r="G241" s="21"/>
      <c r="H241" s="21"/>
      <c r="I241" s="54">
        <v>8.74</v>
      </c>
      <c r="J241" s="21"/>
      <c r="K241" s="21"/>
      <c r="L241" s="21">
        <v>13.4</v>
      </c>
      <c r="M241" s="21"/>
    </row>
    <row r="242" spans="1:13" s="9" customFormat="1">
      <c r="A242" s="6">
        <v>27334</v>
      </c>
      <c r="B242" s="7">
        <v>9.4700000000000006</v>
      </c>
      <c r="C242" s="7">
        <v>9.7200000000000006</v>
      </c>
      <c r="D242" s="59"/>
      <c r="E242" s="25">
        <v>2.5688499999999999</v>
      </c>
      <c r="F242" s="21"/>
      <c r="G242" s="21"/>
      <c r="H242" s="21"/>
      <c r="I242" s="54">
        <v>8.9499999999999993</v>
      </c>
      <c r="J242" s="21"/>
      <c r="K242" s="21"/>
      <c r="L242" s="21">
        <v>13.8</v>
      </c>
      <c r="M242" s="21"/>
    </row>
    <row r="243" spans="1:13" s="9" customFormat="1">
      <c r="A243" s="6">
        <v>27364</v>
      </c>
      <c r="B243" s="7">
        <v>3.87</v>
      </c>
      <c r="C243" s="7">
        <v>9.56</v>
      </c>
      <c r="D243" s="59"/>
      <c r="E243" s="25">
        <v>2.30078</v>
      </c>
      <c r="F243" s="21"/>
      <c r="G243" s="21"/>
      <c r="H243" s="21"/>
      <c r="I243" s="54">
        <v>8.2899999999999991</v>
      </c>
      <c r="J243" s="21"/>
      <c r="K243" s="21"/>
      <c r="L243" s="21">
        <v>14</v>
      </c>
      <c r="M243" s="21"/>
    </row>
    <row r="244" spans="1:13" s="9" customFormat="1">
      <c r="A244" s="6">
        <v>27395</v>
      </c>
      <c r="B244" s="7">
        <v>6.76</v>
      </c>
      <c r="C244" s="7">
        <v>9.2899999999999991</v>
      </c>
      <c r="D244" s="59"/>
      <c r="E244" s="25">
        <v>1.50275</v>
      </c>
      <c r="F244" s="21"/>
      <c r="G244" s="21"/>
      <c r="H244" s="21"/>
      <c r="I244" s="54">
        <v>8.92</v>
      </c>
      <c r="J244" s="21"/>
      <c r="K244" s="21"/>
      <c r="L244" s="21">
        <v>13.2</v>
      </c>
      <c r="M244" s="21"/>
    </row>
    <row r="245" spans="1:13" s="9" customFormat="1">
      <c r="A245" s="6">
        <v>27426</v>
      </c>
      <c r="B245" s="7">
        <v>6.07</v>
      </c>
      <c r="C245" s="7">
        <v>9.02</v>
      </c>
      <c r="D245" s="59"/>
      <c r="E245" s="25">
        <v>0.87833000000000006</v>
      </c>
      <c r="F245" s="21"/>
      <c r="G245" s="21"/>
      <c r="H245" s="21"/>
      <c r="I245" s="54">
        <v>9.76</v>
      </c>
      <c r="J245" s="21"/>
      <c r="K245" s="21"/>
      <c r="L245" s="21">
        <v>12.5</v>
      </c>
      <c r="M245" s="21"/>
    </row>
    <row r="246" spans="1:13" s="9" customFormat="1">
      <c r="A246" s="6">
        <v>27454</v>
      </c>
      <c r="B246" s="7">
        <v>5.39</v>
      </c>
      <c r="C246" s="7">
        <v>8.86</v>
      </c>
      <c r="D246" s="59"/>
      <c r="E246" s="25">
        <v>0.47177999999999998</v>
      </c>
      <c r="F246" s="21"/>
      <c r="G246" s="21"/>
      <c r="H246" s="21"/>
      <c r="I246" s="54">
        <v>10.16</v>
      </c>
      <c r="J246" s="21"/>
      <c r="K246" s="21"/>
      <c r="L246" s="21">
        <v>12.7</v>
      </c>
      <c r="M246" s="21"/>
    </row>
    <row r="247" spans="1:13" s="9" customFormat="1">
      <c r="A247" s="6">
        <v>27485</v>
      </c>
      <c r="B247" s="7">
        <v>7.03</v>
      </c>
      <c r="C247" s="7">
        <v>8.84</v>
      </c>
      <c r="D247" s="59"/>
      <c r="E247" s="25">
        <v>0.13220999999999999</v>
      </c>
      <c r="F247" s="21"/>
      <c r="G247" s="21"/>
      <c r="H247" s="21"/>
      <c r="I247" s="54">
        <v>10.23</v>
      </c>
      <c r="J247" s="21"/>
      <c r="K247" s="21"/>
      <c r="L247" s="21">
        <v>14.2</v>
      </c>
      <c r="M247" s="21"/>
    </row>
    <row r="248" spans="1:13" s="9" customFormat="1">
      <c r="A248" s="6">
        <v>27515</v>
      </c>
      <c r="B248" s="7">
        <v>5.23</v>
      </c>
      <c r="C248" s="7">
        <v>8.89</v>
      </c>
      <c r="D248" s="59"/>
      <c r="E248" s="25">
        <v>-0.24457999999999999</v>
      </c>
      <c r="F248" s="21"/>
      <c r="G248" s="21"/>
      <c r="H248" s="21"/>
      <c r="I248" s="54">
        <v>10.82</v>
      </c>
      <c r="J248" s="21"/>
      <c r="K248" s="21"/>
      <c r="L248" s="21">
        <v>17.3</v>
      </c>
      <c r="M248" s="21"/>
    </row>
    <row r="249" spans="1:13" s="9" customFormat="1">
      <c r="A249" s="6">
        <v>27546</v>
      </c>
      <c r="B249" s="7">
        <v>5.97</v>
      </c>
      <c r="C249" s="7">
        <v>8.9</v>
      </c>
      <c r="D249" s="59"/>
      <c r="E249" s="25">
        <v>-0.38638</v>
      </c>
      <c r="F249" s="21"/>
      <c r="G249" s="21"/>
      <c r="H249" s="21"/>
      <c r="I249" s="54">
        <v>11.01</v>
      </c>
      <c r="J249" s="21"/>
      <c r="K249" s="21"/>
      <c r="L249" s="21">
        <v>14.3</v>
      </c>
      <c r="M249" s="21"/>
    </row>
    <row r="250" spans="1:13" s="9" customFormat="1">
      <c r="A250" s="6">
        <v>27576</v>
      </c>
      <c r="B250" s="7">
        <v>6.23</v>
      </c>
      <c r="C250" s="7">
        <v>8.89</v>
      </c>
      <c r="D250" s="59"/>
      <c r="E250" s="25">
        <v>-0.41972999999999999</v>
      </c>
      <c r="F250" s="21"/>
      <c r="G250" s="21"/>
      <c r="H250" s="21"/>
      <c r="I250" s="54">
        <v>10.9</v>
      </c>
      <c r="J250" s="21"/>
      <c r="K250" s="21"/>
      <c r="L250" s="21">
        <v>12.6</v>
      </c>
      <c r="M250" s="21"/>
    </row>
    <row r="251" spans="1:13" s="9" customFormat="1">
      <c r="A251" s="6">
        <v>27607</v>
      </c>
      <c r="B251" s="7">
        <v>6.13</v>
      </c>
      <c r="C251" s="7">
        <v>9.02</v>
      </c>
      <c r="D251" s="59"/>
      <c r="E251" s="25">
        <v>-0.32020999999999999</v>
      </c>
      <c r="F251" s="21"/>
      <c r="G251" s="21"/>
      <c r="H251" s="21"/>
      <c r="I251" s="54">
        <v>10.09</v>
      </c>
      <c r="J251" s="21"/>
      <c r="K251" s="21"/>
      <c r="L251" s="21">
        <v>13</v>
      </c>
      <c r="M251" s="21"/>
    </row>
    <row r="252" spans="1:13" s="9" customFormat="1">
      <c r="A252" s="6">
        <v>27638</v>
      </c>
      <c r="B252" s="7">
        <v>6.22</v>
      </c>
      <c r="C252" s="7">
        <v>9.14</v>
      </c>
      <c r="D252" s="59"/>
      <c r="E252" s="25">
        <v>-0.12726999999999999</v>
      </c>
      <c r="F252" s="21"/>
      <c r="G252" s="21"/>
      <c r="H252" s="21"/>
      <c r="I252" s="54">
        <v>9.92</v>
      </c>
      <c r="J252" s="21"/>
      <c r="K252" s="21"/>
      <c r="L252" s="21">
        <v>13</v>
      </c>
      <c r="M252" s="21"/>
    </row>
    <row r="253" spans="1:13" s="9" customFormat="1">
      <c r="A253" s="6">
        <v>27668</v>
      </c>
      <c r="B253" s="7">
        <v>5.65</v>
      </c>
      <c r="C253" s="7">
        <v>9.24</v>
      </c>
      <c r="D253" s="59"/>
      <c r="E253" s="25">
        <v>1.405E-2</v>
      </c>
      <c r="F253" s="21"/>
      <c r="G253" s="21"/>
      <c r="H253" s="21"/>
      <c r="I253" s="54">
        <v>10.33</v>
      </c>
      <c r="J253" s="21"/>
      <c r="K253" s="21"/>
      <c r="L253" s="21">
        <v>13.4</v>
      </c>
      <c r="M253" s="21"/>
    </row>
    <row r="254" spans="1:13" s="9" customFormat="1">
      <c r="A254" s="6">
        <v>27699</v>
      </c>
      <c r="B254" s="7">
        <v>5.29</v>
      </c>
      <c r="C254" s="7">
        <v>9.11</v>
      </c>
      <c r="D254" s="59"/>
      <c r="E254" s="25">
        <v>-6.4799999999999996E-2</v>
      </c>
      <c r="F254" s="21"/>
      <c r="G254" s="21"/>
      <c r="H254" s="21"/>
      <c r="I254" s="54">
        <v>10.44</v>
      </c>
      <c r="J254" s="21"/>
      <c r="K254" s="21"/>
      <c r="L254" s="21">
        <v>12.7</v>
      </c>
      <c r="M254" s="21"/>
    </row>
    <row r="255" spans="1:13" s="9" customFormat="1">
      <c r="A255" s="6">
        <v>27729</v>
      </c>
      <c r="B255" s="7">
        <v>5.37</v>
      </c>
      <c r="C255" s="7">
        <v>9.09</v>
      </c>
      <c r="D255" s="59"/>
      <c r="E255" s="25">
        <v>-0.33160000000000001</v>
      </c>
      <c r="F255" s="21"/>
      <c r="G255" s="21"/>
      <c r="H255" s="21"/>
      <c r="I255" s="54">
        <v>10.25</v>
      </c>
      <c r="J255" s="21"/>
      <c r="K255" s="21"/>
      <c r="L255" s="21">
        <v>12</v>
      </c>
      <c r="M255" s="21"/>
    </row>
    <row r="256" spans="1:13" s="9" customFormat="1">
      <c r="A256" s="6">
        <v>27760</v>
      </c>
      <c r="B256" s="7">
        <v>4.84</v>
      </c>
      <c r="C256" s="7">
        <v>8.9</v>
      </c>
      <c r="D256" s="59"/>
      <c r="E256" s="25">
        <v>-0.68210000000000004</v>
      </c>
      <c r="F256" s="21"/>
      <c r="G256" s="21"/>
      <c r="H256" s="21"/>
      <c r="I256" s="54">
        <v>11.19</v>
      </c>
      <c r="J256" s="21"/>
      <c r="K256" s="21"/>
      <c r="L256" s="21">
        <v>11.7</v>
      </c>
      <c r="M256" s="21"/>
    </row>
    <row r="257" spans="1:13" s="9" customFormat="1">
      <c r="A257" s="6">
        <v>27791</v>
      </c>
      <c r="B257" s="7">
        <v>4.8899999999999997</v>
      </c>
      <c r="C257" s="7">
        <v>8.75</v>
      </c>
      <c r="D257" s="59"/>
      <c r="E257" s="25">
        <v>-0.79791999999999996</v>
      </c>
      <c r="F257" s="21"/>
      <c r="G257" s="21"/>
      <c r="H257" s="21"/>
      <c r="I257" s="54">
        <v>11.59</v>
      </c>
      <c r="J257" s="21"/>
      <c r="K257" s="21"/>
      <c r="L257" s="21">
        <v>12.3</v>
      </c>
      <c r="M257" s="21"/>
    </row>
    <row r="258" spans="1:13" s="9" customFormat="1">
      <c r="A258" s="6">
        <v>27820</v>
      </c>
      <c r="B258" s="7">
        <v>5.07</v>
      </c>
      <c r="C258" s="7">
        <v>8.75</v>
      </c>
      <c r="D258" s="59"/>
      <c r="E258" s="25">
        <v>-0.81984000000000001</v>
      </c>
      <c r="F258" s="21"/>
      <c r="G258" s="21"/>
      <c r="H258" s="21"/>
      <c r="I258" s="54">
        <v>11.63</v>
      </c>
      <c r="J258" s="21"/>
      <c r="K258" s="21"/>
      <c r="L258" s="21">
        <v>12.2</v>
      </c>
      <c r="M258" s="21"/>
    </row>
    <row r="259" spans="1:13" s="9" customFormat="1">
      <c r="A259" s="6">
        <v>27851</v>
      </c>
      <c r="B259" s="7">
        <v>5.0999999999999996</v>
      </c>
      <c r="C259" s="7">
        <v>8.75</v>
      </c>
      <c r="D259" s="59"/>
      <c r="E259" s="25">
        <v>-0.71614</v>
      </c>
      <c r="F259" s="21"/>
      <c r="G259" s="21"/>
      <c r="H259" s="21"/>
      <c r="I259" s="54">
        <v>11.69</v>
      </c>
      <c r="J259" s="21"/>
      <c r="K259" s="21"/>
      <c r="L259" s="21">
        <v>11.7</v>
      </c>
      <c r="M259" s="21"/>
    </row>
    <row r="260" spans="1:13" s="9" customFormat="1">
      <c r="A260" s="6">
        <v>27881</v>
      </c>
      <c r="B260" s="7">
        <v>5.67</v>
      </c>
      <c r="C260" s="7">
        <v>8.7799999999999994</v>
      </c>
      <c r="D260" s="59"/>
      <c r="E260" s="25">
        <v>-0.58187</v>
      </c>
      <c r="F260" s="21"/>
      <c r="G260" s="21"/>
      <c r="H260" s="21"/>
      <c r="I260" s="54">
        <v>11.53</v>
      </c>
      <c r="J260" s="21"/>
      <c r="K260" s="21"/>
      <c r="L260" s="21">
        <v>12.3</v>
      </c>
      <c r="M260" s="21"/>
    </row>
    <row r="261" spans="1:13" s="9" customFormat="1">
      <c r="A261" s="6">
        <v>27912</v>
      </c>
      <c r="B261" s="7">
        <v>5.71</v>
      </c>
      <c r="C261" s="7">
        <v>8.9</v>
      </c>
      <c r="D261" s="59"/>
      <c r="E261" s="25">
        <v>-0.59772000000000003</v>
      </c>
      <c r="F261" s="21"/>
      <c r="G261" s="21"/>
      <c r="H261" s="21"/>
      <c r="I261" s="54">
        <v>11.54</v>
      </c>
      <c r="J261" s="21"/>
      <c r="K261" s="21"/>
      <c r="L261" s="21">
        <v>11.4</v>
      </c>
      <c r="M261" s="21"/>
    </row>
    <row r="262" spans="1:13" s="9" customFormat="1">
      <c r="A262" s="6">
        <v>27942</v>
      </c>
      <c r="B262" s="7">
        <v>5.32</v>
      </c>
      <c r="C262" s="7">
        <v>8.98</v>
      </c>
      <c r="D262" s="59"/>
      <c r="E262" s="25">
        <v>-0.76312000000000002</v>
      </c>
      <c r="F262" s="21"/>
      <c r="G262" s="21"/>
      <c r="H262" s="21"/>
      <c r="I262" s="54">
        <v>11.76</v>
      </c>
      <c r="J262" s="21"/>
      <c r="K262" s="21"/>
      <c r="L262" s="21">
        <v>11.7</v>
      </c>
      <c r="M262" s="21"/>
    </row>
    <row r="263" spans="1:13" s="9" customFormat="1">
      <c r="A263" s="6">
        <v>27973</v>
      </c>
      <c r="B263" s="7">
        <v>5.31</v>
      </c>
      <c r="C263" s="7">
        <v>9</v>
      </c>
      <c r="D263" s="59"/>
      <c r="E263" s="25">
        <v>-0.83747000000000005</v>
      </c>
      <c r="F263" s="21"/>
      <c r="G263" s="21"/>
      <c r="H263" s="21"/>
      <c r="I263" s="54">
        <v>11.6</v>
      </c>
      <c r="J263" s="21"/>
      <c r="K263" s="21"/>
      <c r="L263" s="21">
        <v>11.7</v>
      </c>
      <c r="M263" s="21"/>
    </row>
    <row r="264" spans="1:13" s="9" customFormat="1">
      <c r="A264" s="6">
        <v>28004</v>
      </c>
      <c r="B264" s="7">
        <v>5.31</v>
      </c>
      <c r="C264" s="7">
        <v>8.9700000000000006</v>
      </c>
      <c r="D264" s="59"/>
      <c r="E264" s="25">
        <v>-0.85441</v>
      </c>
      <c r="F264" s="21"/>
      <c r="G264" s="21"/>
      <c r="H264" s="21"/>
      <c r="I264" s="54">
        <v>11.81</v>
      </c>
      <c r="J264" s="21"/>
      <c r="K264" s="21"/>
      <c r="L264" s="21">
        <v>11.4</v>
      </c>
      <c r="M264" s="21"/>
    </row>
    <row r="265" spans="1:13" s="9" customFormat="1">
      <c r="A265" s="6">
        <v>28034</v>
      </c>
      <c r="B265" s="7">
        <v>5.0199999999999996</v>
      </c>
      <c r="C265" s="7">
        <v>8.9</v>
      </c>
      <c r="D265" s="59"/>
      <c r="E265" s="25">
        <v>-0.81971000000000005</v>
      </c>
      <c r="F265" s="21"/>
      <c r="G265" s="21"/>
      <c r="H265" s="21"/>
      <c r="I265" s="54">
        <v>11.35</v>
      </c>
      <c r="J265" s="21"/>
      <c r="K265" s="21"/>
      <c r="L265" s="21">
        <v>11.1</v>
      </c>
      <c r="M265" s="21"/>
    </row>
    <row r="266" spans="1:13" s="9" customFormat="1">
      <c r="A266" s="6">
        <v>28065</v>
      </c>
      <c r="B266" s="7">
        <v>4.6900000000000004</v>
      </c>
      <c r="C266" s="7">
        <v>8.8000000000000007</v>
      </c>
      <c r="D266" s="59"/>
      <c r="E266" s="25">
        <v>-0.75366</v>
      </c>
      <c r="F266" s="21"/>
      <c r="G266" s="21"/>
      <c r="H266" s="21"/>
      <c r="I266" s="54">
        <v>11.25</v>
      </c>
      <c r="J266" s="21"/>
      <c r="K266" s="21"/>
      <c r="L266" s="21">
        <v>11.4</v>
      </c>
      <c r="M266" s="21"/>
    </row>
    <row r="267" spans="1:13" s="9" customFormat="1">
      <c r="A267" s="6">
        <v>28095</v>
      </c>
      <c r="B267" s="7">
        <v>4.17</v>
      </c>
      <c r="C267" s="7">
        <v>8.7799999999999994</v>
      </c>
      <c r="D267" s="59"/>
      <c r="E267" s="25">
        <v>-0.77815000000000001</v>
      </c>
      <c r="F267" s="21"/>
      <c r="G267" s="21"/>
      <c r="H267" s="21"/>
      <c r="I267" s="54">
        <v>11.6</v>
      </c>
      <c r="J267" s="21"/>
      <c r="K267" s="21"/>
      <c r="L267" s="21">
        <v>10.6</v>
      </c>
      <c r="M267" s="21"/>
    </row>
    <row r="268" spans="1:13" s="9" customFormat="1">
      <c r="A268" s="6">
        <v>28126</v>
      </c>
      <c r="B268" s="7">
        <v>4.6500000000000004</v>
      </c>
      <c r="C268" s="7">
        <v>8.73</v>
      </c>
      <c r="D268" s="59"/>
      <c r="E268" s="25">
        <v>-0.89514000000000005</v>
      </c>
      <c r="F268" s="21">
        <v>1.22</v>
      </c>
      <c r="G268" s="21"/>
      <c r="H268" s="21"/>
      <c r="I268" s="54">
        <v>11.44</v>
      </c>
      <c r="J268" s="21"/>
      <c r="K268" s="21"/>
      <c r="L268" s="21">
        <v>10.6</v>
      </c>
      <c r="M268" s="21"/>
    </row>
    <row r="269" spans="1:13" s="9" customFormat="1">
      <c r="A269" s="6">
        <v>28157</v>
      </c>
      <c r="B269" s="7">
        <v>4.7300000000000004</v>
      </c>
      <c r="C269" s="7">
        <v>8.65</v>
      </c>
      <c r="D269" s="59"/>
      <c r="E269" s="25">
        <v>-0.93832000000000004</v>
      </c>
      <c r="F269" s="21">
        <v>1.37</v>
      </c>
      <c r="G269" s="21"/>
      <c r="H269" s="21"/>
      <c r="I269" s="54">
        <v>11.01</v>
      </c>
      <c r="J269" s="21"/>
      <c r="K269" s="21"/>
      <c r="L269" s="21">
        <v>9.3000000000000007</v>
      </c>
      <c r="M269" s="21"/>
    </row>
    <row r="270" spans="1:13" s="9" customFormat="1">
      <c r="A270" s="6">
        <v>28185</v>
      </c>
      <c r="B270" s="7">
        <v>4.72</v>
      </c>
      <c r="C270" s="7">
        <v>8.6999999999999993</v>
      </c>
      <c r="D270" s="59"/>
      <c r="E270" s="25">
        <v>-0.86563000000000001</v>
      </c>
      <c r="F270" s="21">
        <v>1.41</v>
      </c>
      <c r="G270" s="21"/>
      <c r="H270" s="21"/>
      <c r="I270" s="54">
        <v>10.9</v>
      </c>
      <c r="J270" s="21"/>
      <c r="K270" s="21"/>
      <c r="L270" s="21">
        <v>10.5</v>
      </c>
      <c r="M270" s="21"/>
    </row>
    <row r="271" spans="1:13" s="9" customFormat="1">
      <c r="A271" s="6">
        <v>28216</v>
      </c>
      <c r="B271" s="7">
        <v>5.12</v>
      </c>
      <c r="C271" s="7">
        <v>8.7799999999999994</v>
      </c>
      <c r="D271" s="59"/>
      <c r="E271" s="25">
        <v>-0.69533999999999996</v>
      </c>
      <c r="F271" s="21">
        <v>1.31</v>
      </c>
      <c r="G271" s="21"/>
      <c r="H271" s="21"/>
      <c r="I271" s="54">
        <v>10.64</v>
      </c>
      <c r="J271" s="21"/>
      <c r="K271" s="21"/>
      <c r="L271" s="21">
        <v>10.5</v>
      </c>
      <c r="M271" s="21"/>
    </row>
    <row r="272" spans="1:13" s="9" customFormat="1">
      <c r="A272" s="6">
        <v>28246</v>
      </c>
      <c r="B272" s="7">
        <v>5.47</v>
      </c>
      <c r="C272" s="7">
        <v>8.85</v>
      </c>
      <c r="D272" s="59"/>
      <c r="E272" s="25">
        <v>-0.57123999999999997</v>
      </c>
      <c r="F272" s="21">
        <v>1.2</v>
      </c>
      <c r="G272" s="21"/>
      <c r="H272" s="21"/>
      <c r="I272" s="54">
        <v>10.55</v>
      </c>
      <c r="J272" s="21"/>
      <c r="K272" s="21"/>
      <c r="L272" s="21">
        <v>10.3</v>
      </c>
      <c r="M272" s="21"/>
    </row>
    <row r="273" spans="1:13" s="9" customFormat="1">
      <c r="A273" s="6">
        <v>28277</v>
      </c>
      <c r="B273" s="7">
        <v>5.64</v>
      </c>
      <c r="C273" s="7">
        <v>8.8800000000000008</v>
      </c>
      <c r="D273" s="59"/>
      <c r="E273" s="25">
        <v>-0.54849000000000003</v>
      </c>
      <c r="F273" s="21">
        <v>1.1200000000000001</v>
      </c>
      <c r="G273" s="21"/>
      <c r="H273" s="21"/>
      <c r="I273" s="54">
        <v>10.53</v>
      </c>
      <c r="J273" s="21"/>
      <c r="K273" s="21"/>
      <c r="L273" s="21">
        <v>10.6</v>
      </c>
      <c r="M273" s="21"/>
    </row>
    <row r="274" spans="1:13" s="9" customFormat="1">
      <c r="A274" s="6">
        <v>28307</v>
      </c>
      <c r="B274" s="7">
        <v>5.86</v>
      </c>
      <c r="C274" s="7">
        <v>8.93</v>
      </c>
      <c r="D274" s="59"/>
      <c r="E274" s="25">
        <v>-0.56039000000000005</v>
      </c>
      <c r="F274" s="21">
        <v>0.92</v>
      </c>
      <c r="G274" s="21"/>
      <c r="H274" s="21"/>
      <c r="I274" s="54">
        <v>10.57</v>
      </c>
      <c r="J274" s="21"/>
      <c r="K274" s="21"/>
      <c r="L274" s="21">
        <v>10.5</v>
      </c>
      <c r="M274" s="21"/>
    </row>
    <row r="275" spans="1:13" s="9" customFormat="1">
      <c r="A275" s="6">
        <v>28338</v>
      </c>
      <c r="B275" s="7">
        <v>6.03</v>
      </c>
      <c r="C275" s="7">
        <v>8.93</v>
      </c>
      <c r="D275" s="59"/>
      <c r="E275" s="25">
        <v>-0.48970999999999998</v>
      </c>
      <c r="F275" s="21">
        <v>0.69</v>
      </c>
      <c r="G275" s="21"/>
      <c r="H275" s="21"/>
      <c r="I275" s="54">
        <v>10.27</v>
      </c>
      <c r="J275" s="21"/>
      <c r="K275" s="21"/>
      <c r="L275" s="21">
        <v>10.9</v>
      </c>
      <c r="M275" s="21"/>
    </row>
    <row r="276" spans="1:13" s="9" customFormat="1">
      <c r="A276" s="6">
        <v>28369</v>
      </c>
      <c r="B276" s="7">
        <v>6.46</v>
      </c>
      <c r="C276" s="7">
        <v>8.9</v>
      </c>
      <c r="D276" s="59"/>
      <c r="E276" s="25">
        <v>-0.34450999999999998</v>
      </c>
      <c r="F276" s="21">
        <v>0.59</v>
      </c>
      <c r="G276" s="21"/>
      <c r="H276" s="21"/>
      <c r="I276" s="54">
        <v>10.07</v>
      </c>
      <c r="J276" s="21"/>
      <c r="K276" s="21"/>
      <c r="L276" s="21">
        <v>11.1</v>
      </c>
      <c r="M276" s="21"/>
    </row>
    <row r="277" spans="1:13" s="9" customFormat="1">
      <c r="A277" s="6">
        <v>28399</v>
      </c>
      <c r="B277" s="7">
        <v>6.6</v>
      </c>
      <c r="C277" s="7">
        <v>8.9</v>
      </c>
      <c r="D277" s="59"/>
      <c r="E277" s="25">
        <v>-0.22989000000000001</v>
      </c>
      <c r="F277" s="21">
        <v>0.39</v>
      </c>
      <c r="G277" s="21"/>
      <c r="H277" s="21"/>
      <c r="I277" s="54">
        <v>9.77</v>
      </c>
      <c r="J277" s="21"/>
      <c r="K277" s="21"/>
      <c r="L277" s="21">
        <v>11</v>
      </c>
      <c r="M277" s="21"/>
    </row>
    <row r="278" spans="1:13" s="9" customFormat="1">
      <c r="A278" s="6">
        <v>28430</v>
      </c>
      <c r="B278" s="7">
        <v>6.56</v>
      </c>
      <c r="C278" s="7">
        <v>8.93</v>
      </c>
      <c r="D278" s="59"/>
      <c r="E278" s="25">
        <v>-0.17299999999999999</v>
      </c>
      <c r="F278" s="21">
        <v>0.44</v>
      </c>
      <c r="G278" s="21"/>
      <c r="H278" s="21"/>
      <c r="I278" s="54">
        <v>9.77</v>
      </c>
      <c r="J278" s="21"/>
      <c r="K278" s="21"/>
      <c r="L278" s="21">
        <v>11.2</v>
      </c>
      <c r="M278" s="21"/>
    </row>
    <row r="279" spans="1:13" s="9" customFormat="1">
      <c r="A279" s="6">
        <v>28460</v>
      </c>
      <c r="B279" s="7">
        <v>6.53</v>
      </c>
      <c r="C279" s="7">
        <v>9</v>
      </c>
      <c r="D279" s="59"/>
      <c r="E279" s="25">
        <v>-0.20882999999999999</v>
      </c>
      <c r="F279" s="21">
        <v>0.56000000000000005</v>
      </c>
      <c r="G279" s="21"/>
      <c r="H279" s="21"/>
      <c r="I279" s="54">
        <v>9.68</v>
      </c>
      <c r="J279" s="21"/>
      <c r="K279" s="21"/>
      <c r="L279" s="21">
        <v>11.4</v>
      </c>
      <c r="M279" s="21"/>
    </row>
    <row r="280" spans="1:13" s="9" customFormat="1">
      <c r="A280" s="6">
        <v>28491</v>
      </c>
      <c r="B280" s="7">
        <v>6.79</v>
      </c>
      <c r="C280" s="7">
        <v>9.0500000000000007</v>
      </c>
      <c r="D280" s="59"/>
      <c r="E280" s="25">
        <v>-0.25559999999999999</v>
      </c>
      <c r="F280" s="21">
        <v>0.47</v>
      </c>
      <c r="G280" s="21"/>
      <c r="H280" s="21"/>
      <c r="I280" s="54">
        <v>9.24</v>
      </c>
      <c r="J280" s="21"/>
      <c r="K280" s="21"/>
      <c r="L280" s="21">
        <v>11.9</v>
      </c>
      <c r="M280" s="21"/>
    </row>
    <row r="281" spans="1:13" s="9" customFormat="1">
      <c r="A281" s="6">
        <v>28522</v>
      </c>
      <c r="B281" s="7">
        <v>6.83</v>
      </c>
      <c r="C281" s="7">
        <v>9.15</v>
      </c>
      <c r="D281" s="59"/>
      <c r="E281" s="25">
        <v>-0.21514</v>
      </c>
      <c r="F281" s="21">
        <v>0.47</v>
      </c>
      <c r="G281" s="21"/>
      <c r="H281" s="21"/>
      <c r="I281" s="54">
        <v>9.0500000000000007</v>
      </c>
      <c r="J281" s="21"/>
      <c r="K281" s="21"/>
      <c r="L281" s="21">
        <v>11.1</v>
      </c>
      <c r="M281" s="21"/>
    </row>
    <row r="282" spans="1:13" s="9" customFormat="1">
      <c r="A282" s="6">
        <v>28550</v>
      </c>
      <c r="B282" s="7">
        <v>6.97</v>
      </c>
      <c r="C282" s="7">
        <v>9.25</v>
      </c>
      <c r="D282" s="59"/>
      <c r="E282" s="25">
        <v>5.2999999999999998E-4</v>
      </c>
      <c r="F282" s="21">
        <v>0.45</v>
      </c>
      <c r="G282" s="21"/>
      <c r="H282" s="21"/>
      <c r="I282" s="54">
        <v>8.9499999999999993</v>
      </c>
      <c r="J282" s="21"/>
      <c r="K282" s="21"/>
      <c r="L282" s="21">
        <v>11</v>
      </c>
      <c r="M282" s="21"/>
    </row>
    <row r="283" spans="1:13" s="9" customFormat="1">
      <c r="A283" s="6">
        <v>28581</v>
      </c>
      <c r="B283" s="7">
        <v>7.25</v>
      </c>
      <c r="C283" s="7">
        <v>9.43</v>
      </c>
      <c r="D283" s="59"/>
      <c r="E283" s="25">
        <v>0.25907000000000002</v>
      </c>
      <c r="F283" s="21">
        <v>0.27</v>
      </c>
      <c r="G283" s="21"/>
      <c r="H283" s="21"/>
      <c r="I283" s="54">
        <v>9.26</v>
      </c>
      <c r="J283" s="21"/>
      <c r="K283" s="21"/>
      <c r="L283" s="21">
        <v>10.8</v>
      </c>
      <c r="M283" s="21"/>
    </row>
    <row r="284" spans="1:13" s="9" customFormat="1">
      <c r="A284" s="6">
        <v>28611</v>
      </c>
      <c r="B284" s="7">
        <v>7.43</v>
      </c>
      <c r="C284" s="7">
        <v>9.68</v>
      </c>
      <c r="D284" s="59"/>
      <c r="E284" s="25">
        <v>0.48376000000000002</v>
      </c>
      <c r="F284" s="21">
        <v>0.3</v>
      </c>
      <c r="G284" s="21"/>
      <c r="H284" s="21"/>
      <c r="I284" s="54">
        <v>9.6300000000000008</v>
      </c>
      <c r="J284" s="21"/>
      <c r="K284" s="21"/>
      <c r="L284" s="21">
        <v>10.3</v>
      </c>
      <c r="M284" s="21"/>
    </row>
    <row r="285" spans="1:13" s="9" customFormat="1">
      <c r="A285" s="6">
        <v>28642</v>
      </c>
      <c r="B285" s="7">
        <v>8.01</v>
      </c>
      <c r="C285" s="7">
        <v>9.73</v>
      </c>
      <c r="D285" s="59"/>
      <c r="E285" s="25">
        <v>0.58745999999999998</v>
      </c>
      <c r="F285" s="21">
        <v>0.14000000000000001</v>
      </c>
      <c r="G285" s="21"/>
      <c r="H285" s="21"/>
      <c r="I285" s="54">
        <v>9.5500000000000007</v>
      </c>
      <c r="J285" s="21"/>
      <c r="K285" s="21"/>
      <c r="L285" s="21">
        <v>10</v>
      </c>
      <c r="M285" s="21"/>
    </row>
    <row r="286" spans="1:13" s="9" customFormat="1">
      <c r="A286" s="6">
        <v>28672</v>
      </c>
      <c r="B286" s="7">
        <v>8</v>
      </c>
      <c r="C286" s="7">
        <v>9.75</v>
      </c>
      <c r="D286" s="59"/>
      <c r="E286" s="25">
        <v>0.52476999999999996</v>
      </c>
      <c r="F286" s="21">
        <v>0.09</v>
      </c>
      <c r="G286" s="21"/>
      <c r="H286" s="21"/>
      <c r="I286" s="54">
        <v>9.43</v>
      </c>
      <c r="J286" s="21"/>
      <c r="K286" s="21"/>
      <c r="L286" s="21">
        <v>10.9</v>
      </c>
      <c r="M286" s="21"/>
    </row>
    <row r="287" spans="1:13" s="9" customFormat="1">
      <c r="A287" s="6">
        <v>28703</v>
      </c>
      <c r="B287" s="7">
        <v>8.4</v>
      </c>
      <c r="C287" s="7">
        <v>9.8000000000000007</v>
      </c>
      <c r="D287" s="59"/>
      <c r="E287" s="25">
        <v>0.45445999999999998</v>
      </c>
      <c r="F287" s="21">
        <v>-7.0000000000000007E-2</v>
      </c>
      <c r="G287" s="21"/>
      <c r="H287" s="21"/>
      <c r="I287" s="54">
        <v>10.02</v>
      </c>
      <c r="J287" s="21"/>
      <c r="K287" s="21"/>
      <c r="L287" s="21">
        <v>10.5</v>
      </c>
      <c r="M287" s="21"/>
    </row>
    <row r="288" spans="1:13" s="9" customFormat="1">
      <c r="A288" s="6">
        <v>28734</v>
      </c>
      <c r="B288" s="7">
        <v>8.9</v>
      </c>
      <c r="C288" s="7">
        <v>9.7799999999999994</v>
      </c>
      <c r="D288" s="59"/>
      <c r="E288" s="25">
        <v>0.85382999999999998</v>
      </c>
      <c r="F288" s="21">
        <v>-0.14000000000000001</v>
      </c>
      <c r="G288" s="21"/>
      <c r="H288" s="21"/>
      <c r="I288" s="54">
        <v>9.94</v>
      </c>
      <c r="J288" s="21"/>
      <c r="K288" s="21"/>
      <c r="L288" s="21">
        <v>10.6</v>
      </c>
      <c r="M288" s="21"/>
    </row>
    <row r="289" spans="1:13" s="9" customFormat="1">
      <c r="A289" s="6">
        <v>28764</v>
      </c>
      <c r="B289" s="7">
        <v>9.35</v>
      </c>
      <c r="C289" s="7">
        <v>9.8800000000000008</v>
      </c>
      <c r="D289" s="59"/>
      <c r="E289" s="25">
        <v>1.5730200000000001</v>
      </c>
      <c r="F289" s="21">
        <v>-0.53</v>
      </c>
      <c r="G289" s="21"/>
      <c r="H289" s="21"/>
      <c r="I289" s="54">
        <v>9.5299999999999994</v>
      </c>
      <c r="J289" s="21"/>
      <c r="K289" s="21"/>
      <c r="L289" s="21">
        <v>10.7</v>
      </c>
      <c r="M289" s="21"/>
    </row>
    <row r="290" spans="1:13" s="9" customFormat="1">
      <c r="A290" s="6">
        <v>28795</v>
      </c>
      <c r="B290" s="7">
        <v>9.94</v>
      </c>
      <c r="C290" s="7">
        <v>10.28</v>
      </c>
      <c r="D290" s="59"/>
      <c r="E290" s="25">
        <v>1.9997400000000001</v>
      </c>
      <c r="F290" s="21">
        <v>-0.69</v>
      </c>
      <c r="G290" s="21"/>
      <c r="H290" s="21"/>
      <c r="I290" s="54">
        <v>8.93</v>
      </c>
      <c r="J290" s="21"/>
      <c r="K290" s="21"/>
      <c r="L290" s="21">
        <v>10.5</v>
      </c>
      <c r="M290" s="21"/>
    </row>
    <row r="291" spans="1:13" s="9" customFormat="1">
      <c r="A291" s="6">
        <v>28825</v>
      </c>
      <c r="B291" s="7">
        <v>10.84</v>
      </c>
      <c r="C291" s="7">
        <v>10.38</v>
      </c>
      <c r="D291" s="59"/>
      <c r="E291" s="25">
        <v>1.7097199999999999</v>
      </c>
      <c r="F291" s="21">
        <v>-0.83</v>
      </c>
      <c r="G291" s="21"/>
      <c r="H291" s="21"/>
      <c r="I291" s="54">
        <v>9.01</v>
      </c>
      <c r="J291" s="21"/>
      <c r="K291" s="21"/>
      <c r="L291" s="21">
        <v>10.4</v>
      </c>
      <c r="M291" s="21"/>
    </row>
    <row r="292" spans="1:13" s="9" customFormat="1">
      <c r="A292" s="6">
        <v>28856</v>
      </c>
      <c r="B292" s="7">
        <v>10.57</v>
      </c>
      <c r="C292" s="7">
        <v>10.4</v>
      </c>
      <c r="D292" s="59"/>
      <c r="E292" s="25">
        <v>1.1439999999999999</v>
      </c>
      <c r="F292" s="21">
        <v>-0.69</v>
      </c>
      <c r="G292" s="21"/>
      <c r="H292" s="21"/>
      <c r="I292" s="54">
        <v>9.26</v>
      </c>
      <c r="J292" s="21"/>
      <c r="K292" s="21"/>
      <c r="L292" s="21">
        <v>11.1</v>
      </c>
      <c r="M292" s="21"/>
    </row>
    <row r="293" spans="1:13" s="9" customFormat="1">
      <c r="A293" s="6">
        <v>28887</v>
      </c>
      <c r="B293" s="7">
        <v>10.24</v>
      </c>
      <c r="C293" s="7">
        <v>10.4</v>
      </c>
      <c r="D293" s="59"/>
      <c r="E293" s="25">
        <v>0.63000999999999996</v>
      </c>
      <c r="F293" s="21">
        <v>-0.72</v>
      </c>
      <c r="G293" s="21"/>
      <c r="H293" s="21"/>
      <c r="I293" s="54">
        <v>9</v>
      </c>
      <c r="J293" s="21"/>
      <c r="K293" s="21"/>
      <c r="L293" s="21">
        <v>11</v>
      </c>
      <c r="M293" s="21"/>
    </row>
    <row r="294" spans="1:13" s="9" customFormat="1">
      <c r="A294" s="6">
        <v>28915</v>
      </c>
      <c r="B294" s="7">
        <v>10.07</v>
      </c>
      <c r="C294" s="7">
        <v>10.45</v>
      </c>
      <c r="D294" s="59"/>
      <c r="E294" s="25">
        <v>0.29965000000000003</v>
      </c>
      <c r="F294" s="21">
        <v>-0.61</v>
      </c>
      <c r="G294" s="21"/>
      <c r="H294" s="21"/>
      <c r="I294" s="54">
        <v>9.07</v>
      </c>
      <c r="J294" s="21"/>
      <c r="K294" s="21"/>
      <c r="L294" s="21">
        <v>11.2</v>
      </c>
      <c r="M294" s="21"/>
    </row>
    <row r="295" spans="1:13" s="9" customFormat="1">
      <c r="A295" s="6">
        <v>28946</v>
      </c>
      <c r="B295" s="7">
        <v>10.43</v>
      </c>
      <c r="C295" s="7">
        <v>10.53</v>
      </c>
      <c r="D295" s="59"/>
      <c r="E295" s="25">
        <v>0.31242999999999999</v>
      </c>
      <c r="F295" s="21">
        <v>-0.56000000000000005</v>
      </c>
      <c r="G295" s="21"/>
      <c r="H295" s="21"/>
      <c r="I295" s="54">
        <v>9.1300000000000008</v>
      </c>
      <c r="J295" s="21"/>
      <c r="K295" s="21"/>
      <c r="L295" s="21">
        <v>11</v>
      </c>
      <c r="M295" s="21"/>
    </row>
    <row r="296" spans="1:13" s="9" customFormat="1">
      <c r="A296" s="6">
        <v>28976</v>
      </c>
      <c r="B296" s="7">
        <v>10.31</v>
      </c>
      <c r="C296" s="7">
        <v>10.75</v>
      </c>
      <c r="D296" s="59"/>
      <c r="E296" s="25">
        <v>0.47960999999999998</v>
      </c>
      <c r="F296" s="21">
        <v>-0.5</v>
      </c>
      <c r="G296" s="21"/>
      <c r="H296" s="21"/>
      <c r="I296" s="54">
        <v>8.7899999999999991</v>
      </c>
      <c r="J296" s="21"/>
      <c r="K296" s="21"/>
      <c r="L296" s="21">
        <v>10.3</v>
      </c>
      <c r="M296" s="21"/>
    </row>
    <row r="297" spans="1:13" s="9" customFormat="1">
      <c r="A297" s="6">
        <v>29007</v>
      </c>
      <c r="B297" s="7">
        <v>10.54</v>
      </c>
      <c r="C297" s="7">
        <v>11.1</v>
      </c>
      <c r="D297" s="59"/>
      <c r="E297" s="25">
        <v>0.82184999999999997</v>
      </c>
      <c r="F297" s="21">
        <v>-0.16</v>
      </c>
      <c r="G297" s="21"/>
      <c r="H297" s="21"/>
      <c r="I297" s="54">
        <v>8.85</v>
      </c>
      <c r="J297" s="21"/>
      <c r="K297" s="21"/>
      <c r="L297" s="21">
        <v>9.8000000000000007</v>
      </c>
      <c r="M297" s="21"/>
    </row>
    <row r="298" spans="1:13" s="9" customFormat="1">
      <c r="A298" s="6">
        <v>29037</v>
      </c>
      <c r="B298" s="7">
        <v>10.81</v>
      </c>
      <c r="C298" s="7">
        <v>11.08</v>
      </c>
      <c r="D298" s="59"/>
      <c r="E298" s="25">
        <v>1.12537</v>
      </c>
      <c r="F298" s="21">
        <v>-0.3</v>
      </c>
      <c r="G298" s="21"/>
      <c r="H298" s="21"/>
      <c r="I298" s="54">
        <v>8.83</v>
      </c>
      <c r="J298" s="21"/>
      <c r="K298" s="21"/>
      <c r="L298" s="21">
        <v>10.6</v>
      </c>
      <c r="M298" s="21"/>
    </row>
    <row r="299" spans="1:13" s="9" customFormat="1">
      <c r="A299" s="6">
        <v>29068</v>
      </c>
      <c r="B299" s="7">
        <v>11.29</v>
      </c>
      <c r="C299" s="7">
        <v>11.13</v>
      </c>
      <c r="D299" s="59"/>
      <c r="E299" s="25">
        <v>1.6177999999999999</v>
      </c>
      <c r="F299" s="21">
        <v>-0.6</v>
      </c>
      <c r="G299" s="21"/>
      <c r="H299" s="21"/>
      <c r="I299" s="54">
        <v>9.1300000000000008</v>
      </c>
      <c r="J299" s="21"/>
      <c r="K299" s="21"/>
      <c r="L299" s="21">
        <v>9.6999999999999993</v>
      </c>
      <c r="M299" s="21"/>
    </row>
    <row r="300" spans="1:13" s="9" customFormat="1">
      <c r="A300" s="6">
        <v>29099</v>
      </c>
      <c r="B300" s="7">
        <v>12.16</v>
      </c>
      <c r="C300" s="7">
        <v>11.35</v>
      </c>
      <c r="D300" s="59"/>
      <c r="E300" s="25">
        <v>2.10426</v>
      </c>
      <c r="F300" s="21">
        <v>-0.66</v>
      </c>
      <c r="G300" s="21"/>
      <c r="H300" s="21"/>
      <c r="I300" s="54">
        <v>9.11</v>
      </c>
      <c r="J300" s="21"/>
      <c r="K300" s="21"/>
      <c r="L300" s="21">
        <v>9.4</v>
      </c>
      <c r="M300" s="21"/>
    </row>
    <row r="301" spans="1:13" s="9" customFormat="1">
      <c r="A301" s="6">
        <v>29129</v>
      </c>
      <c r="B301" s="7">
        <v>14.82</v>
      </c>
      <c r="C301" s="7">
        <v>12</v>
      </c>
      <c r="D301" s="59"/>
      <c r="E301" s="25">
        <v>2.4579399999999998</v>
      </c>
      <c r="F301" s="21">
        <v>-1.34</v>
      </c>
      <c r="G301" s="21"/>
      <c r="H301" s="21"/>
      <c r="I301" s="54">
        <v>8.68</v>
      </c>
      <c r="J301" s="21"/>
      <c r="K301" s="21"/>
      <c r="L301" s="21">
        <v>9.6999999999999993</v>
      </c>
      <c r="M301" s="21"/>
    </row>
    <row r="302" spans="1:13" s="9" customFormat="1">
      <c r="A302" s="6">
        <v>29160</v>
      </c>
      <c r="B302" s="7">
        <v>13.96</v>
      </c>
      <c r="C302" s="7">
        <v>12.9</v>
      </c>
      <c r="D302" s="59"/>
      <c r="E302" s="25">
        <v>2.31196</v>
      </c>
      <c r="F302" s="21">
        <v>-0.95</v>
      </c>
      <c r="G302" s="21"/>
      <c r="H302" s="21"/>
      <c r="I302" s="54">
        <v>8.52</v>
      </c>
      <c r="J302" s="21"/>
      <c r="K302" s="21"/>
      <c r="L302" s="21">
        <v>9.6999999999999993</v>
      </c>
      <c r="M302" s="21"/>
    </row>
    <row r="303" spans="1:13" s="9" customFormat="1">
      <c r="A303" s="6">
        <v>29190</v>
      </c>
      <c r="B303" s="7">
        <v>14.77</v>
      </c>
      <c r="C303" s="7">
        <v>12.9</v>
      </c>
      <c r="D303" s="59"/>
      <c r="E303" s="25">
        <v>1.9125300000000001</v>
      </c>
      <c r="F303" s="21">
        <v>-0.9</v>
      </c>
      <c r="G303" s="21"/>
      <c r="H303" s="21"/>
      <c r="I303" s="54">
        <v>8.75</v>
      </c>
      <c r="J303" s="21"/>
      <c r="K303" s="21"/>
      <c r="L303" s="21">
        <v>10.1</v>
      </c>
      <c r="M303" s="21"/>
    </row>
    <row r="304" spans="1:13" s="9" customFormat="1">
      <c r="A304" s="6">
        <v>29221</v>
      </c>
      <c r="B304" s="7">
        <v>13.4</v>
      </c>
      <c r="C304" s="7">
        <v>12.89</v>
      </c>
      <c r="D304" s="59"/>
      <c r="E304" s="25">
        <v>1.7608999999999999</v>
      </c>
      <c r="F304" s="21">
        <v>-0.62</v>
      </c>
      <c r="G304" s="21"/>
      <c r="H304" s="21"/>
      <c r="I304" s="54">
        <v>8.85</v>
      </c>
      <c r="J304" s="21"/>
      <c r="K304" s="21"/>
      <c r="L304" s="21">
        <v>9.9</v>
      </c>
      <c r="M304" s="21"/>
    </row>
    <row r="305" spans="1:13" s="9" customFormat="1">
      <c r="A305" s="6">
        <v>29252</v>
      </c>
      <c r="B305" s="7">
        <v>16.329999999999998</v>
      </c>
      <c r="C305" s="7">
        <v>13.59</v>
      </c>
      <c r="D305" s="59"/>
      <c r="E305" s="25">
        <v>2.5947300000000002</v>
      </c>
      <c r="F305" s="21">
        <v>-2.0099999999999998</v>
      </c>
      <c r="G305" s="21"/>
      <c r="H305" s="21"/>
      <c r="I305" s="54">
        <v>9.0500000000000007</v>
      </c>
      <c r="J305" s="21"/>
      <c r="K305" s="21"/>
      <c r="L305" s="21">
        <v>10.1</v>
      </c>
      <c r="M305" s="21"/>
    </row>
    <row r="306" spans="1:13" s="9" customFormat="1">
      <c r="A306" s="6">
        <v>29281</v>
      </c>
      <c r="B306" s="7">
        <v>19.850000000000001</v>
      </c>
      <c r="C306" s="7">
        <v>16.03</v>
      </c>
      <c r="D306" s="59"/>
      <c r="E306" s="25">
        <v>3.6916000000000002</v>
      </c>
      <c r="F306" s="21">
        <v>-1.99</v>
      </c>
      <c r="G306" s="21"/>
      <c r="H306" s="21"/>
      <c r="I306" s="54">
        <v>8.08</v>
      </c>
      <c r="J306" s="21"/>
      <c r="K306" s="21"/>
      <c r="L306" s="21">
        <v>10.3</v>
      </c>
      <c r="M306" s="21"/>
    </row>
    <row r="307" spans="1:13" s="9" customFormat="1">
      <c r="A307" s="6">
        <v>29312</v>
      </c>
      <c r="B307" s="7">
        <v>14.64</v>
      </c>
      <c r="C307" s="7">
        <v>16.25</v>
      </c>
      <c r="D307" s="59"/>
      <c r="E307" s="25">
        <v>3.8680099999999999</v>
      </c>
      <c r="F307" s="21">
        <v>-0.05</v>
      </c>
      <c r="G307" s="21"/>
      <c r="H307" s="21"/>
      <c r="I307" s="54">
        <v>7.84</v>
      </c>
      <c r="J307" s="21"/>
      <c r="K307" s="21"/>
      <c r="L307" s="21">
        <v>11.4</v>
      </c>
      <c r="M307" s="21"/>
    </row>
    <row r="308" spans="1:13" s="9" customFormat="1">
      <c r="A308" s="6">
        <v>29342</v>
      </c>
      <c r="B308" s="7">
        <v>11.06</v>
      </c>
      <c r="C308" s="7">
        <v>13.2</v>
      </c>
      <c r="D308" s="59"/>
      <c r="E308" s="25">
        <v>2.6204999999999998</v>
      </c>
      <c r="F308" s="21">
        <v>1</v>
      </c>
      <c r="G308" s="21"/>
      <c r="H308" s="21"/>
      <c r="I308" s="54">
        <v>8.1</v>
      </c>
      <c r="J308" s="21"/>
      <c r="K308" s="21"/>
      <c r="L308" s="21">
        <v>11.5</v>
      </c>
      <c r="M308" s="21"/>
    </row>
    <row r="309" spans="1:13" s="9" customFormat="1">
      <c r="A309" s="6">
        <v>29373</v>
      </c>
      <c r="B309" s="7">
        <v>10.44</v>
      </c>
      <c r="C309" s="7">
        <v>12.35</v>
      </c>
      <c r="D309" s="59"/>
      <c r="E309" s="25">
        <v>1.46119</v>
      </c>
      <c r="F309" s="21">
        <v>1.1200000000000001</v>
      </c>
      <c r="G309" s="21"/>
      <c r="H309" s="21"/>
      <c r="I309" s="54">
        <v>8.51</v>
      </c>
      <c r="J309" s="21"/>
      <c r="K309" s="21"/>
      <c r="L309" s="21">
        <v>11.3</v>
      </c>
      <c r="M309" s="21"/>
    </row>
    <row r="310" spans="1:13" s="9" customFormat="1">
      <c r="A310" s="6">
        <v>29403</v>
      </c>
      <c r="B310" s="7">
        <v>9.93</v>
      </c>
      <c r="C310" s="7">
        <v>12.18</v>
      </c>
      <c r="D310" s="59"/>
      <c r="E310" s="25">
        <v>0.79456000000000004</v>
      </c>
      <c r="F310" s="21">
        <v>1.04</v>
      </c>
      <c r="G310" s="21"/>
      <c r="H310" s="21"/>
      <c r="I310" s="54">
        <v>8.8800000000000008</v>
      </c>
      <c r="J310" s="21"/>
      <c r="K310" s="21"/>
      <c r="L310" s="21">
        <v>11.4</v>
      </c>
      <c r="M310" s="21"/>
    </row>
    <row r="311" spans="1:13" s="9" customFormat="1">
      <c r="A311" s="6">
        <v>29434</v>
      </c>
      <c r="B311" s="7">
        <v>10.74</v>
      </c>
      <c r="C311" s="7">
        <v>12.95</v>
      </c>
      <c r="D311" s="59"/>
      <c r="E311" s="25">
        <v>0.90305999999999997</v>
      </c>
      <c r="F311" s="21">
        <v>0.19</v>
      </c>
      <c r="G311" s="21"/>
      <c r="H311" s="21"/>
      <c r="I311" s="54">
        <v>9.07</v>
      </c>
      <c r="J311" s="21"/>
      <c r="K311" s="21"/>
      <c r="L311" s="21">
        <v>11.4</v>
      </c>
      <c r="M311" s="21"/>
    </row>
    <row r="312" spans="1:13" s="9" customFormat="1">
      <c r="A312" s="6">
        <v>29465</v>
      </c>
      <c r="B312" s="7">
        <v>13.19</v>
      </c>
      <c r="C312" s="7">
        <v>13.43</v>
      </c>
      <c r="D312" s="59"/>
      <c r="E312" s="25">
        <v>1.2410699999999999</v>
      </c>
      <c r="F312" s="21">
        <v>-0.27</v>
      </c>
      <c r="G312" s="21"/>
      <c r="H312" s="21"/>
      <c r="I312" s="54">
        <v>9.1999999999999993</v>
      </c>
      <c r="J312" s="21"/>
      <c r="K312" s="21"/>
      <c r="L312" s="21">
        <v>11.7</v>
      </c>
      <c r="M312" s="21"/>
    </row>
    <row r="313" spans="1:13" s="9" customFormat="1">
      <c r="A313" s="6">
        <v>29495</v>
      </c>
      <c r="B313" s="7">
        <v>13.77</v>
      </c>
      <c r="C313" s="7">
        <v>14</v>
      </c>
      <c r="D313" s="59"/>
      <c r="E313" s="25">
        <v>1.9381600000000001</v>
      </c>
      <c r="F313" s="21">
        <v>-0.62</v>
      </c>
      <c r="G313" s="21"/>
      <c r="H313" s="21"/>
      <c r="I313" s="54">
        <v>9.36</v>
      </c>
      <c r="J313" s="21"/>
      <c r="K313" s="21"/>
      <c r="L313" s="21">
        <v>11.3</v>
      </c>
      <c r="M313" s="21"/>
    </row>
    <row r="314" spans="1:13" s="9" customFormat="1">
      <c r="A314" s="6">
        <v>29526</v>
      </c>
      <c r="B314" s="7">
        <v>18.559999999999999</v>
      </c>
      <c r="C314" s="7">
        <v>14.28</v>
      </c>
      <c r="D314" s="59"/>
      <c r="E314" s="25">
        <v>2.8280599999999998</v>
      </c>
      <c r="F314" s="21">
        <v>-1.41</v>
      </c>
      <c r="G314" s="21"/>
      <c r="H314" s="21"/>
      <c r="I314" s="54">
        <v>9.65</v>
      </c>
      <c r="J314" s="21"/>
      <c r="K314" s="21"/>
      <c r="L314" s="21">
        <v>11.6</v>
      </c>
      <c r="M314" s="21"/>
    </row>
    <row r="315" spans="1:13" s="9" customFormat="1">
      <c r="A315" s="6">
        <v>29556</v>
      </c>
      <c r="B315" s="7">
        <v>22</v>
      </c>
      <c r="C315" s="7">
        <v>14.95</v>
      </c>
      <c r="D315" s="59"/>
      <c r="E315" s="25">
        <v>3.3004600000000002</v>
      </c>
      <c r="F315" s="21">
        <v>-0.63</v>
      </c>
      <c r="G315" s="21"/>
      <c r="H315" s="21"/>
      <c r="I315" s="54">
        <v>9.39</v>
      </c>
      <c r="J315" s="21"/>
      <c r="K315" s="21"/>
      <c r="L315" s="21">
        <v>11.4</v>
      </c>
      <c r="M315" s="21"/>
    </row>
    <row r="316" spans="1:13" s="9" customFormat="1">
      <c r="A316" s="6">
        <v>29587</v>
      </c>
      <c r="B316" s="7">
        <v>17.25</v>
      </c>
      <c r="C316" s="7">
        <v>15.07</v>
      </c>
      <c r="D316" s="59"/>
      <c r="E316" s="25">
        <v>2.6663199999999998</v>
      </c>
      <c r="F316" s="21">
        <v>-0.57999999999999996</v>
      </c>
      <c r="G316" s="21"/>
      <c r="H316" s="21"/>
      <c r="I316" s="54">
        <v>9.26</v>
      </c>
      <c r="J316" s="21"/>
      <c r="K316" s="21"/>
      <c r="L316" s="21">
        <v>10.9</v>
      </c>
      <c r="M316" s="21"/>
    </row>
    <row r="317" spans="1:13" s="9" customFormat="1">
      <c r="A317" s="6">
        <v>29618</v>
      </c>
      <c r="B317" s="7">
        <v>15.53</v>
      </c>
      <c r="C317" s="7">
        <v>15.3</v>
      </c>
      <c r="D317" s="59"/>
      <c r="E317" s="25">
        <v>1.9416</v>
      </c>
      <c r="F317" s="21">
        <v>-0.65</v>
      </c>
      <c r="G317" s="21"/>
      <c r="H317" s="21"/>
      <c r="I317" s="54">
        <v>8.83</v>
      </c>
      <c r="J317" s="21"/>
      <c r="K317" s="21"/>
      <c r="L317" s="21">
        <v>10.8</v>
      </c>
      <c r="M317" s="21"/>
    </row>
    <row r="318" spans="1:13" s="9" customFormat="1">
      <c r="A318" s="6">
        <v>29646</v>
      </c>
      <c r="B318" s="7">
        <v>14.63</v>
      </c>
      <c r="C318" s="7">
        <v>15.4</v>
      </c>
      <c r="D318" s="59"/>
      <c r="E318" s="25">
        <v>1.6515200000000001</v>
      </c>
      <c r="F318" s="21">
        <v>-0.04</v>
      </c>
      <c r="G318" s="21"/>
      <c r="H318" s="21"/>
      <c r="I318" s="54">
        <v>9.08</v>
      </c>
      <c r="J318" s="21"/>
      <c r="K318" s="21"/>
      <c r="L318" s="21">
        <v>10.8</v>
      </c>
      <c r="M318" s="21"/>
    </row>
    <row r="319" spans="1:13" s="9" customFormat="1">
      <c r="A319" s="6">
        <v>29677</v>
      </c>
      <c r="B319" s="7">
        <v>18.920000000000002</v>
      </c>
      <c r="C319" s="7">
        <v>15.77</v>
      </c>
      <c r="D319" s="59"/>
      <c r="E319" s="25">
        <v>1.93485</v>
      </c>
      <c r="F319" s="21">
        <v>-0.73</v>
      </c>
      <c r="G319" s="21"/>
      <c r="H319" s="21"/>
      <c r="I319" s="54">
        <v>9.09</v>
      </c>
      <c r="J319" s="21"/>
      <c r="K319" s="21"/>
      <c r="L319" s="21">
        <v>10.8</v>
      </c>
      <c r="M319" s="21"/>
    </row>
    <row r="320" spans="1:13" s="9" customFormat="1">
      <c r="A320" s="6">
        <v>29707</v>
      </c>
      <c r="B320" s="7">
        <v>17.559999999999999</v>
      </c>
      <c r="C320" s="7">
        <v>16.8</v>
      </c>
      <c r="D320" s="59"/>
      <c r="E320" s="25">
        <v>2.7008899999999998</v>
      </c>
      <c r="F320" s="21">
        <v>-0.9</v>
      </c>
      <c r="G320" s="21"/>
      <c r="H320" s="21"/>
      <c r="I320" s="54">
        <v>8.82</v>
      </c>
      <c r="J320" s="21"/>
      <c r="K320" s="21"/>
      <c r="L320" s="21">
        <v>10.9</v>
      </c>
      <c r="M320" s="21"/>
    </row>
    <row r="321" spans="1:13" s="9" customFormat="1">
      <c r="A321" s="6">
        <v>29738</v>
      </c>
      <c r="B321" s="7">
        <v>18.64</v>
      </c>
      <c r="C321" s="7">
        <v>16.62</v>
      </c>
      <c r="D321" s="59"/>
      <c r="E321" s="25">
        <v>3.3130500000000001</v>
      </c>
      <c r="F321" s="21">
        <v>-0.8</v>
      </c>
      <c r="G321" s="21"/>
      <c r="H321" s="21"/>
      <c r="I321" s="54">
        <v>8.77</v>
      </c>
      <c r="J321" s="21"/>
      <c r="K321" s="21"/>
      <c r="L321" s="21">
        <v>10.8</v>
      </c>
      <c r="M321" s="21"/>
    </row>
    <row r="322" spans="1:13" s="9" customFormat="1">
      <c r="A322" s="6">
        <v>29768</v>
      </c>
      <c r="B322" s="7">
        <v>17.46</v>
      </c>
      <c r="C322" s="7">
        <v>17.11</v>
      </c>
      <c r="D322" s="59"/>
      <c r="E322" s="25">
        <v>3.5134599999999998</v>
      </c>
      <c r="F322" s="21">
        <v>-1.17</v>
      </c>
      <c r="G322" s="21"/>
      <c r="H322" s="21"/>
      <c r="I322" s="54">
        <v>8.4499999999999993</v>
      </c>
      <c r="J322" s="21"/>
      <c r="K322" s="21"/>
      <c r="L322" s="21">
        <v>12.3</v>
      </c>
      <c r="M322" s="21"/>
    </row>
    <row r="323" spans="1:13" s="9" customFormat="1">
      <c r="A323" s="6">
        <v>29799</v>
      </c>
      <c r="B323" s="7">
        <v>16.829999999999998</v>
      </c>
      <c r="C323" s="7">
        <v>17.48</v>
      </c>
      <c r="D323" s="59"/>
      <c r="E323" s="25">
        <v>3.2366700000000002</v>
      </c>
      <c r="F323" s="21">
        <v>-1.32</v>
      </c>
      <c r="G323" s="21"/>
      <c r="H323" s="21"/>
      <c r="I323" s="54">
        <v>8.4</v>
      </c>
      <c r="J323" s="21"/>
      <c r="K323" s="21"/>
      <c r="L323" s="21">
        <v>12</v>
      </c>
      <c r="M323" s="21"/>
    </row>
    <row r="324" spans="1:13" s="9" customFormat="1">
      <c r="A324" s="6">
        <v>29830</v>
      </c>
      <c r="B324" s="7">
        <v>16.579999999999998</v>
      </c>
      <c r="C324" s="7">
        <v>18.36</v>
      </c>
      <c r="D324" s="59"/>
      <c r="E324" s="25">
        <v>2.96991</v>
      </c>
      <c r="F324" s="21">
        <v>-0.85</v>
      </c>
      <c r="G324" s="21"/>
      <c r="H324" s="21"/>
      <c r="I324" s="54">
        <v>7.58</v>
      </c>
      <c r="J324" s="21"/>
      <c r="K324" s="21"/>
      <c r="L324" s="21">
        <v>12.3</v>
      </c>
      <c r="M324" s="21"/>
    </row>
    <row r="325" spans="1:13" s="9" customFormat="1">
      <c r="A325" s="6">
        <v>29860</v>
      </c>
      <c r="B325" s="7">
        <v>14.44</v>
      </c>
      <c r="C325" s="7">
        <v>18.440000000000001</v>
      </c>
      <c r="D325" s="59"/>
      <c r="E325" s="25">
        <v>2.7299699999999998</v>
      </c>
      <c r="F325" s="21">
        <v>0.04</v>
      </c>
      <c r="G325" s="21"/>
      <c r="H325" s="21"/>
      <c r="I325" s="54">
        <v>7.65</v>
      </c>
      <c r="J325" s="21"/>
      <c r="K325" s="21"/>
      <c r="L325" s="21">
        <v>12.9</v>
      </c>
      <c r="M325" s="21"/>
    </row>
    <row r="326" spans="1:13" s="9" customFormat="1">
      <c r="A326" s="6">
        <v>29891</v>
      </c>
      <c r="B326" s="7">
        <v>12.44</v>
      </c>
      <c r="C326" s="7">
        <v>17.21</v>
      </c>
      <c r="D326" s="59"/>
      <c r="E326" s="25">
        <v>2.3890099999999999</v>
      </c>
      <c r="F326" s="21">
        <v>0.77</v>
      </c>
      <c r="G326" s="21"/>
      <c r="H326" s="21"/>
      <c r="I326" s="54">
        <v>7.81</v>
      </c>
      <c r="J326" s="21"/>
      <c r="K326" s="21"/>
      <c r="L326" s="21">
        <v>13</v>
      </c>
      <c r="M326" s="21"/>
    </row>
    <row r="327" spans="1:13" s="9" customFormat="1">
      <c r="A327" s="6">
        <v>29921</v>
      </c>
      <c r="B327" s="7">
        <v>13.13</v>
      </c>
      <c r="C327" s="7">
        <v>17.04</v>
      </c>
      <c r="D327" s="59"/>
      <c r="E327" s="25">
        <v>2.0594899999999998</v>
      </c>
      <c r="F327" s="21">
        <v>0.35</v>
      </c>
      <c r="G327" s="21"/>
      <c r="H327" s="21"/>
      <c r="I327" s="54">
        <v>7.83</v>
      </c>
      <c r="J327" s="21"/>
      <c r="K327" s="21"/>
      <c r="L327" s="21">
        <v>12.4</v>
      </c>
      <c r="M327" s="21"/>
    </row>
    <row r="328" spans="1:13" s="9" customFormat="1">
      <c r="A328" s="6">
        <v>29952</v>
      </c>
      <c r="B328" s="7">
        <v>14.21</v>
      </c>
      <c r="C328" s="7">
        <v>17.59</v>
      </c>
      <c r="D328" s="59"/>
      <c r="E328" s="25">
        <v>1.89469</v>
      </c>
      <c r="F328" s="21">
        <v>-0.1</v>
      </c>
      <c r="G328" s="21">
        <v>1.06</v>
      </c>
      <c r="H328" s="21"/>
      <c r="I328" s="54">
        <v>7.39</v>
      </c>
      <c r="J328" s="21"/>
      <c r="K328" s="21"/>
      <c r="L328" s="21">
        <v>12.6</v>
      </c>
      <c r="M328" s="21"/>
    </row>
    <row r="329" spans="1:13" s="9" customFormat="1">
      <c r="A329" s="6">
        <v>29983</v>
      </c>
      <c r="B329" s="7">
        <v>13.74</v>
      </c>
      <c r="C329" s="7">
        <v>17.52</v>
      </c>
      <c r="D329" s="59"/>
      <c r="E329" s="25">
        <v>2.0331100000000002</v>
      </c>
      <c r="F329" s="21">
        <v>-0.41</v>
      </c>
      <c r="G329" s="21">
        <v>1.03</v>
      </c>
      <c r="H329" s="21"/>
      <c r="I329" s="54">
        <v>7.18</v>
      </c>
      <c r="J329" s="21"/>
      <c r="K329" s="21"/>
      <c r="L329" s="21">
        <v>12</v>
      </c>
      <c r="M329" s="21"/>
    </row>
    <row r="330" spans="1:13" s="9" customFormat="1">
      <c r="A330" s="6">
        <v>30011</v>
      </c>
      <c r="B330" s="7">
        <v>16.8</v>
      </c>
      <c r="C330" s="7">
        <v>17.04</v>
      </c>
      <c r="D330" s="59"/>
      <c r="E330" s="25">
        <v>2.1492</v>
      </c>
      <c r="F330" s="21">
        <v>-0.34</v>
      </c>
      <c r="G330" s="21">
        <v>0.19</v>
      </c>
      <c r="H330" s="21"/>
      <c r="I330" s="54">
        <v>6.95</v>
      </c>
      <c r="J330" s="21"/>
      <c r="K330" s="21"/>
      <c r="L330" s="21">
        <v>12.1</v>
      </c>
      <c r="M330" s="21"/>
    </row>
    <row r="331" spans="1:13" s="9" customFormat="1">
      <c r="A331" s="6">
        <v>30042</v>
      </c>
      <c r="B331" s="7">
        <v>15.28</v>
      </c>
      <c r="C331" s="7">
        <v>16.809999999999999</v>
      </c>
      <c r="D331" s="59"/>
      <c r="E331" s="25">
        <v>2.2669700000000002</v>
      </c>
      <c r="F331" s="21">
        <v>-0.12</v>
      </c>
      <c r="G331" s="21">
        <v>0.72</v>
      </c>
      <c r="H331" s="21"/>
      <c r="I331" s="54">
        <v>7.26</v>
      </c>
      <c r="J331" s="21"/>
      <c r="K331" s="21"/>
      <c r="L331" s="21">
        <v>12.8</v>
      </c>
      <c r="M331" s="21"/>
    </row>
    <row r="332" spans="1:13" s="9" customFormat="1">
      <c r="A332" s="6">
        <v>30072</v>
      </c>
      <c r="B332" s="7">
        <v>13.38</v>
      </c>
      <c r="C332" s="7">
        <v>16.63</v>
      </c>
      <c r="D332" s="59"/>
      <c r="E332" s="25">
        <v>2.5794800000000002</v>
      </c>
      <c r="F332" s="21">
        <v>0.09</v>
      </c>
      <c r="G332" s="21">
        <v>1.74</v>
      </c>
      <c r="H332" s="21"/>
      <c r="I332" s="54">
        <v>7.19</v>
      </c>
      <c r="J332" s="21"/>
      <c r="K332" s="21"/>
      <c r="L332" s="21">
        <v>12.2</v>
      </c>
      <c r="M332" s="21"/>
    </row>
    <row r="333" spans="1:13" s="9" customFormat="1">
      <c r="A333" s="6">
        <v>30103</v>
      </c>
      <c r="B333" s="7">
        <v>14.58</v>
      </c>
      <c r="C333" s="7">
        <v>16.73</v>
      </c>
      <c r="D333" s="59"/>
      <c r="E333" s="25">
        <v>2.9230999999999998</v>
      </c>
      <c r="F333" s="21">
        <v>-0.22</v>
      </c>
      <c r="G333" s="21">
        <v>1.08</v>
      </c>
      <c r="H333" s="21"/>
      <c r="I333" s="54">
        <v>6.69</v>
      </c>
      <c r="J333" s="21"/>
      <c r="K333" s="21"/>
      <c r="L333" s="21">
        <v>12.2</v>
      </c>
      <c r="M333" s="21"/>
    </row>
    <row r="334" spans="1:13" s="9" customFormat="1">
      <c r="A334" s="6">
        <v>30133</v>
      </c>
      <c r="B334" s="7">
        <v>11.41</v>
      </c>
      <c r="C334" s="7">
        <v>16.649999999999999</v>
      </c>
      <c r="D334" s="59"/>
      <c r="E334" s="25">
        <v>2.9561600000000001</v>
      </c>
      <c r="F334" s="21">
        <v>0.51</v>
      </c>
      <c r="G334" s="21">
        <v>3.11</v>
      </c>
      <c r="H334" s="21"/>
      <c r="I334" s="54">
        <v>6.64</v>
      </c>
      <c r="J334" s="21"/>
      <c r="K334" s="21"/>
      <c r="L334" s="21">
        <v>12.5</v>
      </c>
      <c r="M334" s="21"/>
    </row>
    <row r="335" spans="1:13" s="9" customFormat="1">
      <c r="A335" s="6">
        <v>30164</v>
      </c>
      <c r="B335" s="7">
        <v>10.63</v>
      </c>
      <c r="C335" s="7">
        <v>15.88</v>
      </c>
      <c r="D335" s="59"/>
      <c r="E335" s="25">
        <v>3.25909</v>
      </c>
      <c r="F335" s="21">
        <v>0.82</v>
      </c>
      <c r="G335" s="21">
        <v>4.09</v>
      </c>
      <c r="H335" s="21"/>
      <c r="I335" s="54">
        <v>6.64</v>
      </c>
      <c r="J335" s="21"/>
      <c r="K335" s="21"/>
      <c r="L335" s="21">
        <v>12.5</v>
      </c>
      <c r="M335" s="21"/>
    </row>
    <row r="336" spans="1:13" s="9" customFormat="1">
      <c r="A336" s="6">
        <v>30195</v>
      </c>
      <c r="B336" s="7">
        <v>12.17</v>
      </c>
      <c r="C336" s="7">
        <v>15.19</v>
      </c>
      <c r="D336" s="59"/>
      <c r="E336" s="25">
        <v>3.3819400000000002</v>
      </c>
      <c r="F336" s="21">
        <v>0.5</v>
      </c>
      <c r="G336" s="21">
        <v>3.85</v>
      </c>
      <c r="H336" s="21"/>
      <c r="I336" s="54">
        <v>7.4</v>
      </c>
      <c r="J336" s="21"/>
      <c r="K336" s="21"/>
      <c r="L336" s="21">
        <v>11.7</v>
      </c>
      <c r="M336" s="21"/>
    </row>
    <row r="337" spans="1:13" s="9" customFormat="1">
      <c r="A337" s="6">
        <v>30225</v>
      </c>
      <c r="B337" s="7">
        <v>9.41</v>
      </c>
      <c r="C337" s="7">
        <v>14.15</v>
      </c>
      <c r="D337" s="59"/>
      <c r="E337" s="25">
        <v>2.0807500000000001</v>
      </c>
      <c r="F337" s="21">
        <v>0.86</v>
      </c>
      <c r="G337" s="21">
        <v>2.54</v>
      </c>
      <c r="H337" s="21"/>
      <c r="I337" s="54">
        <v>8</v>
      </c>
      <c r="J337" s="21"/>
      <c r="K337" s="21"/>
      <c r="L337" s="21">
        <v>11.2</v>
      </c>
      <c r="M337" s="21"/>
    </row>
    <row r="338" spans="1:13" s="9" customFormat="1">
      <c r="A338" s="6">
        <v>30256</v>
      </c>
      <c r="B338" s="7">
        <v>8.93</v>
      </c>
      <c r="C338" s="7">
        <v>13.77</v>
      </c>
      <c r="D338" s="59"/>
      <c r="E338" s="25">
        <v>1.08172</v>
      </c>
      <c r="F338" s="21">
        <v>0.83</v>
      </c>
      <c r="G338" s="21">
        <v>2.23</v>
      </c>
      <c r="H338" s="21"/>
      <c r="I338" s="54">
        <v>8.35</v>
      </c>
      <c r="J338" s="21"/>
      <c r="K338" s="21"/>
      <c r="L338" s="21">
        <v>10.9</v>
      </c>
      <c r="M338" s="21"/>
    </row>
    <row r="339" spans="1:13" s="9" customFormat="1">
      <c r="A339" s="6">
        <v>30286</v>
      </c>
      <c r="B339" s="7">
        <v>11.2</v>
      </c>
      <c r="C339" s="7">
        <v>13.57</v>
      </c>
      <c r="D339" s="59"/>
      <c r="E339" s="25">
        <v>0.55484999999999995</v>
      </c>
      <c r="F339" s="21">
        <v>0.88</v>
      </c>
      <c r="G339" s="21">
        <v>2.16</v>
      </c>
      <c r="H339" s="21"/>
      <c r="I339" s="54">
        <v>8.4700000000000006</v>
      </c>
      <c r="J339" s="21"/>
      <c r="K339" s="21"/>
      <c r="L339" s="21">
        <v>10.9</v>
      </c>
      <c r="M339" s="21"/>
    </row>
    <row r="340" spans="1:13" s="9" customFormat="1">
      <c r="A340" s="6">
        <v>30317</v>
      </c>
      <c r="B340" s="7">
        <v>8.56</v>
      </c>
      <c r="C340" s="7">
        <v>13.1</v>
      </c>
      <c r="D340" s="59"/>
      <c r="E340" s="25">
        <v>0.22642000000000001</v>
      </c>
      <c r="F340" s="21">
        <v>1.22</v>
      </c>
      <c r="G340" s="21">
        <v>2.44</v>
      </c>
      <c r="H340" s="21"/>
      <c r="I340" s="54">
        <v>8.76</v>
      </c>
      <c r="J340" s="21"/>
      <c r="K340" s="21"/>
      <c r="L340" s="21">
        <v>11.1</v>
      </c>
      <c r="M340" s="21"/>
    </row>
    <row r="341" spans="1:13" s="9" customFormat="1">
      <c r="A341" s="6">
        <v>30348</v>
      </c>
      <c r="B341" s="7">
        <v>8.5299999999999994</v>
      </c>
      <c r="C341" s="7">
        <v>12.98</v>
      </c>
      <c r="D341" s="59"/>
      <c r="E341" s="25">
        <v>4.7539999999999999E-2</v>
      </c>
      <c r="F341" s="21">
        <v>0.96</v>
      </c>
      <c r="G341" s="21">
        <v>2.06</v>
      </c>
      <c r="H341" s="21"/>
      <c r="I341" s="54">
        <v>8.91</v>
      </c>
      <c r="J341" s="21"/>
      <c r="K341" s="21"/>
      <c r="L341" s="21">
        <v>11.2</v>
      </c>
      <c r="M341" s="21"/>
    </row>
    <row r="342" spans="1:13" s="9" customFormat="1">
      <c r="A342" s="6">
        <v>30376</v>
      </c>
      <c r="B342" s="7">
        <v>10.81</v>
      </c>
      <c r="C342" s="7">
        <v>12.86</v>
      </c>
      <c r="D342" s="59"/>
      <c r="E342" s="25">
        <v>2.29E-2</v>
      </c>
      <c r="F342" s="21">
        <v>0.75</v>
      </c>
      <c r="G342" s="21">
        <v>1.66</v>
      </c>
      <c r="H342" s="21"/>
      <c r="I342" s="54">
        <v>9.23</v>
      </c>
      <c r="J342" s="21"/>
      <c r="K342" s="21"/>
      <c r="L342" s="21">
        <v>10.7</v>
      </c>
      <c r="M342" s="21"/>
    </row>
    <row r="343" spans="1:13" s="9" customFormat="1">
      <c r="A343" s="6">
        <v>30407</v>
      </c>
      <c r="B343" s="7">
        <v>8.84</v>
      </c>
      <c r="C343" s="7">
        <v>12.73</v>
      </c>
      <c r="D343" s="59"/>
      <c r="E343" s="25">
        <v>-9.5180000000000001E-2</v>
      </c>
      <c r="F343" s="21">
        <v>0.92</v>
      </c>
      <c r="G343" s="21">
        <v>1.89</v>
      </c>
      <c r="H343" s="21"/>
      <c r="I343" s="54">
        <v>9.5299999999999994</v>
      </c>
      <c r="J343" s="21"/>
      <c r="K343" s="21"/>
      <c r="L343" s="21">
        <v>10.3</v>
      </c>
      <c r="M343" s="21"/>
    </row>
    <row r="344" spans="1:13" s="9" customFormat="1">
      <c r="A344" s="6">
        <v>30437</v>
      </c>
      <c r="B344" s="7">
        <v>8.94</v>
      </c>
      <c r="C344" s="7">
        <v>12.68</v>
      </c>
      <c r="D344" s="59"/>
      <c r="E344" s="25">
        <v>-0.20654</v>
      </c>
      <c r="F344" s="21">
        <v>0.79</v>
      </c>
      <c r="G344" s="21">
        <v>1.84</v>
      </c>
      <c r="H344" s="21"/>
      <c r="I344" s="54">
        <v>9.8699999999999992</v>
      </c>
      <c r="J344" s="21"/>
      <c r="K344" s="21"/>
      <c r="L344" s="21">
        <v>9.9</v>
      </c>
      <c r="M344" s="21"/>
    </row>
    <row r="345" spans="1:13" s="9" customFormat="1">
      <c r="A345" s="6">
        <v>30468</v>
      </c>
      <c r="B345" s="7">
        <v>10.06</v>
      </c>
      <c r="C345" s="7">
        <v>12.96</v>
      </c>
      <c r="D345" s="59"/>
      <c r="E345" s="25">
        <v>-0.18345</v>
      </c>
      <c r="F345" s="21">
        <v>0.73</v>
      </c>
      <c r="G345" s="21">
        <v>1.81</v>
      </c>
      <c r="H345" s="21"/>
      <c r="I345" s="54">
        <v>10</v>
      </c>
      <c r="J345" s="21"/>
      <c r="K345" s="21"/>
      <c r="L345" s="21">
        <v>9.1999999999999993</v>
      </c>
      <c r="M345" s="21"/>
    </row>
    <row r="346" spans="1:13" s="9" customFormat="1">
      <c r="A346" s="6">
        <v>30498</v>
      </c>
      <c r="B346" s="7">
        <v>9.52</v>
      </c>
      <c r="C346" s="7">
        <v>13.65</v>
      </c>
      <c r="D346" s="59"/>
      <c r="E346" s="25">
        <v>-0.10391</v>
      </c>
      <c r="F346" s="21">
        <v>0.73</v>
      </c>
      <c r="G346" s="21">
        <v>2.17</v>
      </c>
      <c r="H346" s="21"/>
      <c r="I346" s="54">
        <v>10.01</v>
      </c>
      <c r="J346" s="21"/>
      <c r="K346" s="21"/>
      <c r="L346" s="21">
        <v>9.6999999999999993</v>
      </c>
      <c r="M346" s="21"/>
    </row>
    <row r="347" spans="1:13" s="9" customFormat="1">
      <c r="A347" s="6">
        <v>30529</v>
      </c>
      <c r="B347" s="7">
        <v>9.59</v>
      </c>
      <c r="C347" s="7">
        <v>13.78</v>
      </c>
      <c r="D347" s="59"/>
      <c r="E347" s="25">
        <v>-0.10255</v>
      </c>
      <c r="F347" s="21">
        <v>0.8</v>
      </c>
      <c r="G347" s="21">
        <v>2.34</v>
      </c>
      <c r="H347" s="21"/>
      <c r="I347" s="54">
        <v>9.73</v>
      </c>
      <c r="J347" s="21"/>
      <c r="K347" s="21"/>
      <c r="L347" s="21">
        <v>9.1999999999999993</v>
      </c>
      <c r="M347" s="21"/>
    </row>
    <row r="348" spans="1:13" s="9" customFormat="1">
      <c r="A348" s="6">
        <v>30560</v>
      </c>
      <c r="B348" s="7">
        <v>10.59</v>
      </c>
      <c r="C348" s="7">
        <v>13.65</v>
      </c>
      <c r="D348" s="59"/>
      <c r="E348" s="25">
        <v>-8.5830000000000004E-2</v>
      </c>
      <c r="F348" s="21">
        <v>0.91</v>
      </c>
      <c r="G348" s="21">
        <v>2.4</v>
      </c>
      <c r="H348" s="21"/>
      <c r="I348" s="54">
        <v>9.98</v>
      </c>
      <c r="J348" s="21"/>
      <c r="K348" s="21"/>
      <c r="L348" s="21">
        <v>9.6</v>
      </c>
      <c r="M348" s="21"/>
    </row>
    <row r="349" spans="1:13" s="9" customFormat="1">
      <c r="A349" s="6">
        <v>30590</v>
      </c>
      <c r="B349" s="7">
        <v>9.43</v>
      </c>
      <c r="C349" s="7">
        <v>13.43</v>
      </c>
      <c r="D349" s="59"/>
      <c r="E349" s="25">
        <v>2.1649999999999999E-2</v>
      </c>
      <c r="F349" s="21">
        <v>1.1299999999999999</v>
      </c>
      <c r="G349" s="21">
        <v>2.91</v>
      </c>
      <c r="H349" s="21"/>
      <c r="I349" s="54">
        <v>10</v>
      </c>
      <c r="J349" s="21"/>
      <c r="K349" s="21"/>
      <c r="L349" s="21">
        <v>9.6999999999999993</v>
      </c>
      <c r="M349" s="21"/>
    </row>
    <row r="350" spans="1:13" s="9" customFormat="1">
      <c r="A350" s="6">
        <v>30621</v>
      </c>
      <c r="B350" s="7">
        <v>9.34</v>
      </c>
      <c r="C350" s="7">
        <v>13.43</v>
      </c>
      <c r="D350" s="59"/>
      <c r="E350" s="25">
        <v>0.11141</v>
      </c>
      <c r="F350" s="21">
        <v>0.96</v>
      </c>
      <c r="G350" s="21">
        <v>2.39</v>
      </c>
      <c r="H350" s="21"/>
      <c r="I350" s="54">
        <v>9.85</v>
      </c>
      <c r="J350" s="21"/>
      <c r="K350" s="21"/>
      <c r="L350" s="21">
        <v>10.3</v>
      </c>
      <c r="M350" s="21"/>
    </row>
    <row r="351" spans="1:13" s="9" customFormat="1">
      <c r="A351" s="6">
        <v>30651</v>
      </c>
      <c r="B351" s="7">
        <v>9.92</v>
      </c>
      <c r="C351" s="7">
        <v>13.43</v>
      </c>
      <c r="D351" s="59"/>
      <c r="E351" s="25">
        <v>5.6399999999999999E-2</v>
      </c>
      <c r="F351" s="21">
        <v>0.97</v>
      </c>
      <c r="G351" s="21">
        <v>2.4900000000000002</v>
      </c>
      <c r="H351" s="21"/>
      <c r="I351" s="54">
        <v>9.82</v>
      </c>
      <c r="J351" s="21"/>
      <c r="K351" s="21"/>
      <c r="L351" s="21">
        <v>10.1</v>
      </c>
      <c r="M351" s="21"/>
    </row>
    <row r="352" spans="1:13" s="9" customFormat="1">
      <c r="A352" s="6">
        <v>30682</v>
      </c>
      <c r="B352" s="7">
        <v>9.35</v>
      </c>
      <c r="C352" s="7">
        <v>13.29</v>
      </c>
      <c r="D352" s="59"/>
      <c r="E352" s="25">
        <v>-0.11151</v>
      </c>
      <c r="F352" s="21">
        <v>1.0900000000000001</v>
      </c>
      <c r="G352" s="21">
        <v>2.41</v>
      </c>
      <c r="H352" s="21"/>
      <c r="I352" s="54">
        <v>9.89</v>
      </c>
      <c r="J352" s="21"/>
      <c r="K352" s="21"/>
      <c r="L352" s="21">
        <v>9.9</v>
      </c>
      <c r="M352" s="21"/>
    </row>
    <row r="353" spans="1:13" s="9" customFormat="1">
      <c r="A353" s="6">
        <v>30713</v>
      </c>
      <c r="B353" s="7">
        <v>9.4499999999999993</v>
      </c>
      <c r="C353" s="7">
        <v>13.25</v>
      </c>
      <c r="D353" s="59"/>
      <c r="E353" s="25">
        <v>-0.19894999999999999</v>
      </c>
      <c r="F353" s="21">
        <v>1.05</v>
      </c>
      <c r="G353" s="21">
        <v>2.5499999999999998</v>
      </c>
      <c r="H353" s="21"/>
      <c r="I353" s="54">
        <v>9.32</v>
      </c>
      <c r="J353" s="21"/>
      <c r="K353" s="21"/>
      <c r="L353" s="21">
        <v>11.6</v>
      </c>
      <c r="M353" s="21"/>
    </row>
    <row r="354" spans="1:13" s="9" customFormat="1">
      <c r="A354" s="6">
        <v>30742</v>
      </c>
      <c r="B354" s="7">
        <v>10.24</v>
      </c>
      <c r="C354" s="7">
        <v>13.55</v>
      </c>
      <c r="D354" s="59"/>
      <c r="E354" s="25">
        <v>-3.117E-2</v>
      </c>
      <c r="F354" s="21">
        <v>0.93</v>
      </c>
      <c r="G354" s="21">
        <v>2.44</v>
      </c>
      <c r="H354" s="21"/>
      <c r="I354" s="54">
        <v>9.33</v>
      </c>
      <c r="J354" s="21"/>
      <c r="K354" s="21"/>
      <c r="L354" s="21">
        <v>11.4</v>
      </c>
      <c r="M354" s="21"/>
    </row>
    <row r="355" spans="1:13" s="9" customFormat="1">
      <c r="A355" s="6">
        <v>30773</v>
      </c>
      <c r="B355" s="7">
        <v>10.9</v>
      </c>
      <c r="C355" s="7">
        <v>13.73</v>
      </c>
      <c r="D355" s="59"/>
      <c r="E355" s="25">
        <v>0.36967</v>
      </c>
      <c r="F355" s="21">
        <v>0.93</v>
      </c>
      <c r="G355" s="21">
        <v>2.72</v>
      </c>
      <c r="H355" s="21"/>
      <c r="I355" s="54">
        <v>9.31</v>
      </c>
      <c r="J355" s="21"/>
      <c r="K355" s="21"/>
      <c r="L355" s="21">
        <v>11.4</v>
      </c>
      <c r="M355" s="21"/>
    </row>
    <row r="356" spans="1:13" s="9" customFormat="1">
      <c r="A356" s="6">
        <v>30803</v>
      </c>
      <c r="B356" s="7">
        <v>10.81</v>
      </c>
      <c r="C356" s="7">
        <v>14.08</v>
      </c>
      <c r="D356" s="59"/>
      <c r="E356" s="25">
        <v>0.87599000000000005</v>
      </c>
      <c r="F356" s="21">
        <v>0.91</v>
      </c>
      <c r="G356" s="21">
        <v>3.78</v>
      </c>
      <c r="H356" s="21"/>
      <c r="I356" s="54">
        <v>9.23</v>
      </c>
      <c r="J356" s="21"/>
      <c r="K356" s="21"/>
      <c r="L356" s="21">
        <v>11</v>
      </c>
      <c r="M356" s="21"/>
    </row>
    <row r="357" spans="1:13" s="9" customFormat="1">
      <c r="A357" s="6">
        <v>30834</v>
      </c>
      <c r="B357" s="7">
        <v>10.85</v>
      </c>
      <c r="C357" s="7">
        <v>14.5</v>
      </c>
      <c r="D357" s="59"/>
      <c r="E357" s="25">
        <v>1.2154700000000001</v>
      </c>
      <c r="F357" s="21">
        <v>0.67</v>
      </c>
      <c r="G357" s="21">
        <v>3.53</v>
      </c>
      <c r="H357" s="21"/>
      <c r="I357" s="54">
        <v>9.01</v>
      </c>
      <c r="J357" s="21"/>
      <c r="K357" s="21"/>
      <c r="L357" s="21">
        <v>11</v>
      </c>
      <c r="M357" s="21"/>
    </row>
    <row r="358" spans="1:13" s="9" customFormat="1">
      <c r="A358" s="6">
        <v>30864</v>
      </c>
      <c r="B358" s="7">
        <v>11.83</v>
      </c>
      <c r="C358" s="7">
        <v>14.67</v>
      </c>
      <c r="D358" s="59"/>
      <c r="E358" s="25">
        <v>0.99617999999999995</v>
      </c>
      <c r="F358" s="21">
        <v>0.34</v>
      </c>
      <c r="G358" s="21">
        <v>2.08</v>
      </c>
      <c r="H358" s="21"/>
      <c r="I358" s="54">
        <v>8.8699999999999992</v>
      </c>
      <c r="J358" s="21"/>
      <c r="K358" s="21"/>
      <c r="L358" s="21">
        <v>11.4</v>
      </c>
      <c r="M358" s="21"/>
    </row>
    <row r="359" spans="1:13" s="9" customFormat="1">
      <c r="A359" s="6">
        <v>30895</v>
      </c>
      <c r="B359" s="7">
        <v>11.64</v>
      </c>
      <c r="C359" s="7">
        <v>14.38</v>
      </c>
      <c r="D359" s="59"/>
      <c r="E359" s="25">
        <v>0.57233000000000001</v>
      </c>
      <c r="F359" s="21">
        <v>0.25</v>
      </c>
      <c r="G359" s="21">
        <v>1.73</v>
      </c>
      <c r="H359" s="21"/>
      <c r="I359" s="54">
        <v>9.6199999999999992</v>
      </c>
      <c r="J359" s="21"/>
      <c r="K359" s="21"/>
      <c r="L359" s="21">
        <v>11.7</v>
      </c>
      <c r="M359" s="21"/>
    </row>
    <row r="360" spans="1:13" s="9" customFormat="1">
      <c r="A360" s="6">
        <v>30926</v>
      </c>
      <c r="B360" s="7">
        <v>11.23</v>
      </c>
      <c r="C360" s="7">
        <v>14.26</v>
      </c>
      <c r="D360" s="59"/>
      <c r="E360" s="25">
        <v>0.35674</v>
      </c>
      <c r="F360" s="21">
        <v>0.4</v>
      </c>
      <c r="G360" s="21">
        <v>1.84</v>
      </c>
      <c r="H360" s="21"/>
      <c r="I360" s="54">
        <v>9.69</v>
      </c>
      <c r="J360" s="21"/>
      <c r="K360" s="21"/>
      <c r="L360" s="21">
        <v>11.7</v>
      </c>
      <c r="M360" s="21"/>
    </row>
    <row r="361" spans="1:13" s="9" customFormat="1">
      <c r="A361" s="6">
        <v>30956</v>
      </c>
      <c r="B361" s="7">
        <v>9.99</v>
      </c>
      <c r="C361" s="7">
        <v>14.05</v>
      </c>
      <c r="D361" s="59"/>
      <c r="E361" s="25">
        <v>0.13605999999999999</v>
      </c>
      <c r="F361" s="21">
        <v>0.7</v>
      </c>
      <c r="G361" s="21">
        <v>2.44</v>
      </c>
      <c r="H361" s="21"/>
      <c r="I361" s="54">
        <v>9.6</v>
      </c>
      <c r="J361" s="21"/>
      <c r="K361" s="21"/>
      <c r="L361" s="21">
        <v>11.6</v>
      </c>
      <c r="M361" s="21"/>
    </row>
    <row r="362" spans="1:13" s="9" customFormat="1">
      <c r="A362" s="6">
        <v>30987</v>
      </c>
      <c r="B362" s="7">
        <v>8.92</v>
      </c>
      <c r="C362" s="7">
        <v>13.42</v>
      </c>
      <c r="D362" s="59"/>
      <c r="E362" s="25">
        <v>-8.5620000000000002E-2</v>
      </c>
      <c r="F362" s="21">
        <v>1.08</v>
      </c>
      <c r="G362" s="21">
        <v>2.84</v>
      </c>
      <c r="H362" s="21"/>
      <c r="I362" s="54">
        <v>9.69</v>
      </c>
      <c r="J362" s="21"/>
      <c r="K362" s="21"/>
      <c r="L362" s="21">
        <v>10.7</v>
      </c>
      <c r="M362" s="21"/>
    </row>
    <row r="363" spans="1:13" s="9" customFormat="1">
      <c r="A363" s="6">
        <v>31017</v>
      </c>
      <c r="B363" s="7">
        <v>8.74</v>
      </c>
      <c r="C363" s="7">
        <v>13.14</v>
      </c>
      <c r="D363" s="59"/>
      <c r="E363" s="25">
        <v>-0.2545</v>
      </c>
      <c r="F363" s="21">
        <v>1.53</v>
      </c>
      <c r="G363" s="21">
        <v>3.43</v>
      </c>
      <c r="H363" s="21"/>
      <c r="I363" s="54">
        <v>9.6</v>
      </c>
      <c r="J363" s="21"/>
      <c r="K363" s="21"/>
      <c r="L363" s="21">
        <v>11.1</v>
      </c>
      <c r="M363" s="21"/>
    </row>
    <row r="364" spans="1:13" s="9" customFormat="1">
      <c r="A364" s="6">
        <v>31048</v>
      </c>
      <c r="B364" s="7">
        <v>8.73</v>
      </c>
      <c r="C364" s="7">
        <v>12.96</v>
      </c>
      <c r="D364" s="59"/>
      <c r="E364" s="25">
        <v>-0.38551999999999997</v>
      </c>
      <c r="F364" s="21">
        <v>1.27</v>
      </c>
      <c r="G364" s="21">
        <v>2.84</v>
      </c>
      <c r="H364" s="21"/>
      <c r="I364" s="54">
        <v>10</v>
      </c>
      <c r="J364" s="21"/>
      <c r="K364" s="21"/>
      <c r="L364" s="21">
        <v>10.199999999999999</v>
      </c>
      <c r="M364" s="21"/>
    </row>
    <row r="365" spans="1:13" s="9" customFormat="1">
      <c r="A365" s="6">
        <v>31079</v>
      </c>
      <c r="B365" s="7">
        <v>8.74</v>
      </c>
      <c r="C365" s="7">
        <v>12.94</v>
      </c>
      <c r="D365" s="59"/>
      <c r="E365" s="25">
        <v>-0.34728999999999999</v>
      </c>
      <c r="F365" s="21">
        <v>1.25</v>
      </c>
      <c r="G365" s="21">
        <v>3.1</v>
      </c>
      <c r="H365" s="21"/>
      <c r="I365" s="54">
        <v>10.49</v>
      </c>
      <c r="J365" s="21"/>
      <c r="K365" s="21"/>
      <c r="L365" s="21">
        <v>8.9</v>
      </c>
      <c r="M365" s="21"/>
    </row>
    <row r="366" spans="1:13" s="9" customFormat="1">
      <c r="A366" s="6">
        <v>31107</v>
      </c>
      <c r="B366" s="7">
        <v>8.58</v>
      </c>
      <c r="C366" s="7">
        <v>13.29</v>
      </c>
      <c r="D366" s="59"/>
      <c r="E366" s="25">
        <v>-0.26649</v>
      </c>
      <c r="F366" s="21">
        <v>1.22</v>
      </c>
      <c r="G366" s="21">
        <v>3.18</v>
      </c>
      <c r="H366" s="21"/>
      <c r="I366" s="54">
        <v>10.37</v>
      </c>
      <c r="J366" s="21"/>
      <c r="K366" s="21"/>
      <c r="L366" s="21">
        <v>8.6</v>
      </c>
      <c r="M366" s="21"/>
    </row>
    <row r="367" spans="1:13" s="9" customFormat="1">
      <c r="A367" s="6">
        <v>31138</v>
      </c>
      <c r="B367" s="7">
        <v>8.58</v>
      </c>
      <c r="C367" s="7">
        <v>13.12</v>
      </c>
      <c r="D367" s="59"/>
      <c r="E367" s="25">
        <v>-0.33642</v>
      </c>
      <c r="F367" s="21">
        <v>1.5</v>
      </c>
      <c r="G367" s="21">
        <v>3.29</v>
      </c>
      <c r="H367" s="21"/>
      <c r="I367" s="54">
        <v>10.4</v>
      </c>
      <c r="J367" s="21"/>
      <c r="K367" s="21"/>
      <c r="L367" s="21">
        <v>9.8000000000000007</v>
      </c>
      <c r="M367" s="21"/>
    </row>
    <row r="368" spans="1:13" s="9" customFormat="1">
      <c r="A368" s="6">
        <v>31168</v>
      </c>
      <c r="B368" s="7">
        <v>7.64</v>
      </c>
      <c r="C368" s="7">
        <v>12.71</v>
      </c>
      <c r="D368" s="59"/>
      <c r="E368" s="25">
        <v>-0.46464</v>
      </c>
      <c r="F368" s="21">
        <v>1.36</v>
      </c>
      <c r="G368" s="21">
        <v>2.9</v>
      </c>
      <c r="H368" s="21"/>
      <c r="I368" s="54">
        <v>10.61</v>
      </c>
      <c r="J368" s="21"/>
      <c r="K368" s="21"/>
      <c r="L368" s="21">
        <v>11</v>
      </c>
      <c r="M368" s="21"/>
    </row>
    <row r="369" spans="1:13" s="9" customFormat="1">
      <c r="A369" s="6">
        <v>31199</v>
      </c>
      <c r="B369" s="7">
        <v>7.95</v>
      </c>
      <c r="C369" s="7">
        <v>12.15</v>
      </c>
      <c r="D369" s="59"/>
      <c r="E369" s="25">
        <v>-0.45083000000000001</v>
      </c>
      <c r="F369" s="21">
        <v>1.58</v>
      </c>
      <c r="G369" s="21">
        <v>3.2</v>
      </c>
      <c r="H369" s="21"/>
      <c r="I369" s="54">
        <v>10.81</v>
      </c>
      <c r="J369" s="21"/>
      <c r="K369" s="21"/>
      <c r="L369" s="21">
        <v>9.6</v>
      </c>
      <c r="M369" s="21"/>
    </row>
    <row r="370" spans="1:13" s="9" customFormat="1">
      <c r="A370" s="6">
        <v>31229</v>
      </c>
      <c r="B370" s="7">
        <v>8.61</v>
      </c>
      <c r="C370" s="7">
        <v>12.03</v>
      </c>
      <c r="D370" s="59"/>
      <c r="E370" s="25">
        <v>-0.35270000000000001</v>
      </c>
      <c r="F370" s="21">
        <v>1.56</v>
      </c>
      <c r="G370" s="21">
        <v>3.05</v>
      </c>
      <c r="H370" s="21"/>
      <c r="I370" s="54">
        <v>11</v>
      </c>
      <c r="J370" s="21"/>
      <c r="K370" s="21"/>
      <c r="L370" s="21">
        <v>9.1</v>
      </c>
      <c r="M370" s="21"/>
    </row>
    <row r="371" spans="1:13" s="9" customFormat="1">
      <c r="A371" s="6">
        <v>31260</v>
      </c>
      <c r="B371" s="7">
        <v>7.8</v>
      </c>
      <c r="C371" s="7">
        <v>12.11</v>
      </c>
      <c r="D371" s="59"/>
      <c r="E371" s="25">
        <v>-0.18264</v>
      </c>
      <c r="F371" s="21">
        <v>1.32</v>
      </c>
      <c r="G371" s="21">
        <v>2.9</v>
      </c>
      <c r="H371" s="21"/>
      <c r="I371" s="54">
        <v>10.74</v>
      </c>
      <c r="J371" s="21"/>
      <c r="K371" s="21"/>
      <c r="L371" s="21">
        <v>8.1</v>
      </c>
      <c r="M371" s="21"/>
    </row>
    <row r="372" spans="1:13" s="9" customFormat="1">
      <c r="A372" s="6">
        <v>31291</v>
      </c>
      <c r="B372" s="7">
        <v>8.84</v>
      </c>
      <c r="C372" s="7">
        <v>12.17</v>
      </c>
      <c r="D372" s="59"/>
      <c r="E372" s="25">
        <v>-0.15553</v>
      </c>
      <c r="F372" s="21">
        <v>1.43</v>
      </c>
      <c r="G372" s="21">
        <v>3.04</v>
      </c>
      <c r="H372" s="21"/>
      <c r="I372" s="54">
        <v>10.47</v>
      </c>
      <c r="J372" s="21"/>
      <c r="K372" s="21"/>
      <c r="L372" s="21">
        <v>7.3</v>
      </c>
      <c r="M372" s="21"/>
    </row>
    <row r="373" spans="1:13" s="9" customFormat="1">
      <c r="A373" s="6">
        <v>31321</v>
      </c>
      <c r="B373" s="7">
        <v>8.08</v>
      </c>
      <c r="C373" s="7">
        <v>12.07</v>
      </c>
      <c r="D373" s="59"/>
      <c r="E373" s="25">
        <v>-0.28148000000000001</v>
      </c>
      <c r="F373" s="21">
        <v>1.31</v>
      </c>
      <c r="G373" s="21">
        <v>2.59</v>
      </c>
      <c r="H373" s="21"/>
      <c r="I373" s="54">
        <v>10.55</v>
      </c>
      <c r="J373" s="21"/>
      <c r="K373" s="21"/>
      <c r="L373" s="21">
        <v>9.1</v>
      </c>
      <c r="M373" s="21"/>
    </row>
    <row r="374" spans="1:13" s="9" customFormat="1">
      <c r="A374" s="6">
        <v>31352</v>
      </c>
      <c r="B374" s="7">
        <v>8.5399999999999991</v>
      </c>
      <c r="C374" s="7">
        <v>11.58</v>
      </c>
      <c r="D374" s="59"/>
      <c r="E374" s="25">
        <v>-0.33917999999999998</v>
      </c>
      <c r="F374" s="21">
        <v>1.1299999999999999</v>
      </c>
      <c r="G374" s="21">
        <v>2.2000000000000002</v>
      </c>
      <c r="H374" s="21"/>
      <c r="I374" s="54">
        <v>11.16</v>
      </c>
      <c r="J374" s="21"/>
      <c r="K374" s="21"/>
      <c r="L374" s="21">
        <v>9</v>
      </c>
      <c r="M374" s="21"/>
    </row>
    <row r="375" spans="1:13" s="9" customFormat="1">
      <c r="A375" s="6">
        <v>31382</v>
      </c>
      <c r="B375" s="7">
        <v>13.46</v>
      </c>
      <c r="C375" s="7">
        <v>11.09</v>
      </c>
      <c r="D375" s="59"/>
      <c r="E375" s="25">
        <v>-0.28472999999999998</v>
      </c>
      <c r="F375" s="21">
        <v>1.02</v>
      </c>
      <c r="G375" s="21">
        <v>1.72</v>
      </c>
      <c r="H375" s="21"/>
      <c r="I375" s="54">
        <v>11.69</v>
      </c>
      <c r="J375" s="21"/>
      <c r="K375" s="21"/>
      <c r="L375" s="21">
        <v>8.6</v>
      </c>
      <c r="M375" s="21"/>
    </row>
    <row r="376" spans="1:13" s="9" customFormat="1">
      <c r="A376" s="6">
        <v>31413</v>
      </c>
      <c r="B376" s="7">
        <v>8.09</v>
      </c>
      <c r="C376" s="7">
        <v>10.89</v>
      </c>
      <c r="D376" s="59"/>
      <c r="E376" s="25">
        <v>-0.30464999999999998</v>
      </c>
      <c r="F376" s="21">
        <v>1.0900000000000001</v>
      </c>
      <c r="G376" s="21">
        <v>1.89</v>
      </c>
      <c r="H376" s="21"/>
      <c r="I376" s="54">
        <v>11.72</v>
      </c>
      <c r="J376" s="21"/>
      <c r="K376" s="21"/>
      <c r="L376" s="21">
        <v>8.6999999999999993</v>
      </c>
      <c r="M376" s="21"/>
    </row>
    <row r="377" spans="1:13" s="9" customFormat="1">
      <c r="A377" s="6">
        <v>31444</v>
      </c>
      <c r="B377" s="7">
        <v>7.95</v>
      </c>
      <c r="C377" s="7">
        <v>10.51</v>
      </c>
      <c r="D377" s="59"/>
      <c r="E377" s="25">
        <v>-0.33889000000000002</v>
      </c>
      <c r="F377" s="21">
        <v>0.42</v>
      </c>
      <c r="G377" s="21">
        <v>0.89</v>
      </c>
      <c r="H377" s="21"/>
      <c r="I377" s="54">
        <v>12.39</v>
      </c>
      <c r="J377" s="21"/>
      <c r="K377" s="21"/>
      <c r="L377" s="21">
        <v>9.3000000000000007</v>
      </c>
      <c r="M377" s="21"/>
    </row>
    <row r="378" spans="1:13" s="9" customFormat="1">
      <c r="A378" s="6">
        <v>31472</v>
      </c>
      <c r="B378" s="7">
        <v>8.06</v>
      </c>
      <c r="C378" s="7">
        <v>10.1</v>
      </c>
      <c r="D378" s="59"/>
      <c r="E378" s="25">
        <v>-0.37444</v>
      </c>
      <c r="F378" s="21">
        <v>0.47</v>
      </c>
      <c r="G378" s="21">
        <v>0.86</v>
      </c>
      <c r="H378" s="21"/>
      <c r="I378" s="54">
        <v>13.19</v>
      </c>
      <c r="J378" s="21"/>
      <c r="K378" s="21"/>
      <c r="L378" s="21">
        <v>9.9</v>
      </c>
      <c r="M378" s="21"/>
    </row>
    <row r="379" spans="1:13" s="9" customFormat="1">
      <c r="A379" s="6">
        <v>31503</v>
      </c>
      <c r="B379" s="7">
        <v>7.05</v>
      </c>
      <c r="C379" s="7">
        <v>9.86</v>
      </c>
      <c r="D379" s="59"/>
      <c r="E379" s="25">
        <v>-0.50912999999999997</v>
      </c>
      <c r="F379" s="21">
        <v>0.55000000000000004</v>
      </c>
      <c r="G379" s="21">
        <v>1.1000000000000001</v>
      </c>
      <c r="H379" s="21"/>
      <c r="I379" s="54">
        <v>13.55</v>
      </c>
      <c r="J379" s="21"/>
      <c r="K379" s="21"/>
      <c r="L379" s="21">
        <v>9.6999999999999993</v>
      </c>
      <c r="M379" s="21"/>
    </row>
    <row r="380" spans="1:13" s="9" customFormat="1">
      <c r="A380" s="6">
        <v>31533</v>
      </c>
      <c r="B380" s="7">
        <v>6.84</v>
      </c>
      <c r="C380" s="7">
        <v>10.38</v>
      </c>
      <c r="D380" s="59"/>
      <c r="E380" s="25">
        <v>-0.56264999999999998</v>
      </c>
      <c r="F380" s="21">
        <v>0.69</v>
      </c>
      <c r="G380" s="21">
        <v>1.56</v>
      </c>
      <c r="H380" s="21"/>
      <c r="I380" s="54">
        <v>13.56</v>
      </c>
      <c r="J380" s="21"/>
      <c r="K380" s="21"/>
      <c r="L380" s="21">
        <v>9.3000000000000007</v>
      </c>
      <c r="M380" s="21"/>
    </row>
    <row r="381" spans="1:13" s="9" customFormat="1">
      <c r="A381" s="6">
        <v>31564</v>
      </c>
      <c r="B381" s="7">
        <v>7.72</v>
      </c>
      <c r="C381" s="7">
        <v>10.62</v>
      </c>
      <c r="D381" s="59"/>
      <c r="E381" s="25">
        <v>-0.48503000000000002</v>
      </c>
      <c r="F381" s="21">
        <v>0.54</v>
      </c>
      <c r="G381" s="21">
        <v>1.22</v>
      </c>
      <c r="H381" s="21"/>
      <c r="I381" s="54">
        <v>13.89</v>
      </c>
      <c r="J381" s="21"/>
      <c r="K381" s="21"/>
      <c r="L381" s="21">
        <v>9.4</v>
      </c>
      <c r="M381" s="21"/>
    </row>
    <row r="382" spans="1:13" s="9" customFormat="1">
      <c r="A382" s="6">
        <v>31594</v>
      </c>
      <c r="B382" s="7">
        <v>6.35</v>
      </c>
      <c r="C382" s="7">
        <v>10.4</v>
      </c>
      <c r="D382" s="59"/>
      <c r="E382" s="25">
        <v>-0.53476999999999997</v>
      </c>
      <c r="F382" s="21">
        <v>0.77</v>
      </c>
      <c r="G382" s="21">
        <v>1.38</v>
      </c>
      <c r="H382" s="21"/>
      <c r="I382" s="54">
        <v>13.62</v>
      </c>
      <c r="J382" s="21"/>
      <c r="K382" s="21"/>
      <c r="L382" s="21">
        <v>9.3000000000000007</v>
      </c>
      <c r="M382" s="21"/>
    </row>
    <row r="383" spans="1:13" s="9" customFormat="1">
      <c r="A383" s="6">
        <v>31625</v>
      </c>
      <c r="B383" s="7">
        <v>5.77</v>
      </c>
      <c r="C383" s="7">
        <v>9.93</v>
      </c>
      <c r="D383" s="59"/>
      <c r="E383" s="25">
        <v>-0.64173999999999998</v>
      </c>
      <c r="F383" s="21">
        <v>1.01</v>
      </c>
      <c r="G383" s="21">
        <v>1.64</v>
      </c>
      <c r="H383" s="21"/>
      <c r="I383" s="54">
        <v>13.89</v>
      </c>
      <c r="J383" s="21"/>
      <c r="K383" s="21"/>
      <c r="L383" s="21">
        <v>8.9</v>
      </c>
      <c r="M383" s="21"/>
    </row>
    <row r="384" spans="1:13" s="9" customFormat="1">
      <c r="A384" s="6">
        <v>31656</v>
      </c>
      <c r="B384" s="7">
        <v>6.9</v>
      </c>
      <c r="C384" s="7">
        <v>10.1</v>
      </c>
      <c r="D384" s="59"/>
      <c r="E384" s="25">
        <v>-0.57655000000000001</v>
      </c>
      <c r="F384" s="21">
        <v>1.07</v>
      </c>
      <c r="G384" s="21">
        <v>2.11</v>
      </c>
      <c r="H384" s="21"/>
      <c r="I384" s="54">
        <v>13.47</v>
      </c>
      <c r="J384" s="21"/>
      <c r="K384" s="21"/>
      <c r="L384" s="21">
        <v>7.1</v>
      </c>
      <c r="M384" s="21"/>
    </row>
    <row r="385" spans="1:13" s="9" customFormat="1">
      <c r="A385" s="6">
        <v>31686</v>
      </c>
      <c r="B385" s="7">
        <v>5.93</v>
      </c>
      <c r="C385" s="7">
        <v>9.89</v>
      </c>
      <c r="D385" s="59"/>
      <c r="E385" s="25">
        <v>-0.56206999999999996</v>
      </c>
      <c r="F385" s="21">
        <v>1.08</v>
      </c>
      <c r="G385" s="21">
        <v>2</v>
      </c>
      <c r="H385" s="21"/>
      <c r="I385" s="54">
        <v>13.43</v>
      </c>
      <c r="J385" s="21"/>
      <c r="K385" s="21"/>
      <c r="L385" s="21">
        <v>8.3000000000000007</v>
      </c>
      <c r="M385" s="21"/>
    </row>
    <row r="386" spans="1:13" s="9" customFormat="1">
      <c r="A386" s="6">
        <v>31717</v>
      </c>
      <c r="B386" s="7">
        <v>6.03</v>
      </c>
      <c r="C386" s="7">
        <v>9.5</v>
      </c>
      <c r="D386" s="59"/>
      <c r="E386" s="25">
        <v>-0.56523000000000001</v>
      </c>
      <c r="F386" s="21">
        <v>0.94</v>
      </c>
      <c r="G386" s="21">
        <v>1.61</v>
      </c>
      <c r="H386" s="21"/>
      <c r="I386" s="54">
        <v>13.87</v>
      </c>
      <c r="J386" s="21"/>
      <c r="K386" s="21"/>
      <c r="L386" s="21">
        <v>8.6</v>
      </c>
      <c r="M386" s="21"/>
    </row>
    <row r="387" spans="1:13" s="9" customFormat="1">
      <c r="A387" s="6">
        <v>31747</v>
      </c>
      <c r="B387" s="7">
        <v>14.35</v>
      </c>
      <c r="C387" s="7">
        <v>9.2899999999999991</v>
      </c>
      <c r="D387" s="59"/>
      <c r="E387" s="25">
        <v>-0.50717999999999996</v>
      </c>
      <c r="F387" s="21">
        <v>0.88</v>
      </c>
      <c r="G387" s="21">
        <v>1.4</v>
      </c>
      <c r="H387" s="21"/>
      <c r="I387" s="54">
        <v>14.09</v>
      </c>
      <c r="J387" s="21"/>
      <c r="K387" s="21"/>
      <c r="L387" s="21">
        <v>6.8</v>
      </c>
      <c r="M387" s="21"/>
    </row>
    <row r="388" spans="1:13" s="9" customFormat="1">
      <c r="A388" s="6">
        <v>31778</v>
      </c>
      <c r="B388" s="7">
        <v>6.28</v>
      </c>
      <c r="C388" s="7">
        <v>9.08</v>
      </c>
      <c r="D388" s="59"/>
      <c r="E388" s="25">
        <v>-0.49778</v>
      </c>
      <c r="F388" s="21">
        <v>0.85</v>
      </c>
      <c r="G388" s="21">
        <v>1.42</v>
      </c>
      <c r="H388" s="21"/>
      <c r="I388" s="54">
        <v>14.92</v>
      </c>
      <c r="J388" s="21"/>
      <c r="K388" s="21"/>
      <c r="L388" s="21">
        <v>9.4</v>
      </c>
      <c r="M388" s="21"/>
    </row>
    <row r="389" spans="1:13" s="9" customFormat="1">
      <c r="A389" s="6">
        <v>31809</v>
      </c>
      <c r="B389" s="7">
        <v>6.02</v>
      </c>
      <c r="C389" s="7">
        <v>9.07</v>
      </c>
      <c r="D389" s="59"/>
      <c r="E389" s="25">
        <v>-0.46101999999999999</v>
      </c>
      <c r="F389" s="21">
        <v>0.84</v>
      </c>
      <c r="G389" s="21">
        <v>1.59</v>
      </c>
      <c r="H389" s="21"/>
      <c r="I389" s="54">
        <v>15.82</v>
      </c>
      <c r="J389" s="21"/>
      <c r="K389" s="21"/>
      <c r="L389" s="21">
        <v>8.1999999999999993</v>
      </c>
      <c r="M389" s="21"/>
    </row>
    <row r="390" spans="1:13" s="9" customFormat="1">
      <c r="A390" s="6">
        <v>31837</v>
      </c>
      <c r="B390" s="7">
        <v>6.23</v>
      </c>
      <c r="C390" s="7">
        <v>9.0299999999999994</v>
      </c>
      <c r="D390" s="59"/>
      <c r="E390" s="25">
        <v>-0.19463</v>
      </c>
      <c r="F390" s="21">
        <v>0.97</v>
      </c>
      <c r="G390" s="21">
        <v>1.72</v>
      </c>
      <c r="H390" s="21"/>
      <c r="I390" s="54">
        <v>16.43</v>
      </c>
      <c r="J390" s="21"/>
      <c r="K390" s="21"/>
      <c r="L390" s="21">
        <v>8.1</v>
      </c>
      <c r="M390" s="21"/>
    </row>
    <row r="391" spans="1:13" s="9" customFormat="1">
      <c r="A391" s="6">
        <v>31868</v>
      </c>
      <c r="B391" s="7">
        <v>7.63</v>
      </c>
      <c r="C391" s="7">
        <v>10.37</v>
      </c>
      <c r="D391" s="59"/>
      <c r="E391" s="25">
        <v>0.32129999999999997</v>
      </c>
      <c r="F391" s="21">
        <v>0.83</v>
      </c>
      <c r="G391" s="21">
        <v>2.5099999999999998</v>
      </c>
      <c r="H391" s="21"/>
      <c r="I391" s="54">
        <v>16.2</v>
      </c>
      <c r="J391" s="21"/>
      <c r="K391" s="21"/>
      <c r="L391" s="21">
        <v>4.0999999999999996</v>
      </c>
      <c r="M391" s="21"/>
    </row>
    <row r="392" spans="1:13" s="9" customFormat="1">
      <c r="A392" s="6">
        <v>31898</v>
      </c>
      <c r="B392" s="7">
        <v>6.63</v>
      </c>
      <c r="C392" s="7">
        <v>10.7</v>
      </c>
      <c r="D392" s="59"/>
      <c r="E392" s="25">
        <v>0.63029000000000002</v>
      </c>
      <c r="F392" s="21">
        <v>0.8</v>
      </c>
      <c r="G392" s="21">
        <v>2.62</v>
      </c>
      <c r="H392" s="21"/>
      <c r="I392" s="54">
        <v>16.16</v>
      </c>
      <c r="J392" s="21"/>
      <c r="K392" s="21"/>
      <c r="L392" s="21">
        <v>7.8</v>
      </c>
      <c r="M392" s="21"/>
    </row>
    <row r="393" spans="1:13" s="9" customFormat="1">
      <c r="A393" s="6">
        <v>31929</v>
      </c>
      <c r="B393" s="7">
        <v>6.56</v>
      </c>
      <c r="C393" s="7">
        <v>10.35</v>
      </c>
      <c r="D393" s="59"/>
      <c r="E393" s="25">
        <v>0.41889999999999999</v>
      </c>
      <c r="F393" s="21">
        <v>0.9</v>
      </c>
      <c r="G393" s="21">
        <v>2.4700000000000002</v>
      </c>
      <c r="H393" s="21"/>
      <c r="I393" s="54">
        <v>16.829999999999998</v>
      </c>
      <c r="J393" s="21"/>
      <c r="K393" s="21"/>
      <c r="L393" s="21">
        <v>7.3</v>
      </c>
      <c r="M393" s="21"/>
    </row>
    <row r="394" spans="1:13" s="9" customFormat="1">
      <c r="A394" s="6">
        <v>31959</v>
      </c>
      <c r="B394" s="7">
        <v>6.75</v>
      </c>
      <c r="C394" s="7">
        <v>10.27</v>
      </c>
      <c r="D394" s="59"/>
      <c r="E394" s="25">
        <v>6.8640000000000007E-2</v>
      </c>
      <c r="F394" s="21">
        <v>1.03</v>
      </c>
      <c r="G394" s="21">
        <v>2.39</v>
      </c>
      <c r="H394" s="21"/>
      <c r="I394" s="54">
        <v>17.309999999999999</v>
      </c>
      <c r="J394" s="21"/>
      <c r="K394" s="21"/>
      <c r="L394" s="21">
        <v>7.1</v>
      </c>
      <c r="M394" s="21"/>
    </row>
    <row r="395" spans="1:13" s="9" customFormat="1">
      <c r="A395" s="6">
        <v>31990</v>
      </c>
      <c r="B395" s="7">
        <v>6.95</v>
      </c>
      <c r="C395" s="7">
        <v>10.33</v>
      </c>
      <c r="D395" s="59"/>
      <c r="E395" s="25">
        <v>4.3299999999999998E-2</v>
      </c>
      <c r="F395" s="21">
        <v>1.03</v>
      </c>
      <c r="G395" s="21">
        <v>2.5499999999999998</v>
      </c>
      <c r="H395" s="21"/>
      <c r="I395" s="54">
        <v>18.329999999999998</v>
      </c>
      <c r="J395" s="21"/>
      <c r="K395" s="21"/>
      <c r="L395" s="21">
        <v>6.8</v>
      </c>
      <c r="M395" s="21"/>
    </row>
    <row r="396" spans="1:13" s="9" customFormat="1">
      <c r="A396" s="6">
        <v>32021</v>
      </c>
      <c r="B396" s="7">
        <v>8.3800000000000008</v>
      </c>
      <c r="C396" s="7">
        <v>11.02</v>
      </c>
      <c r="D396" s="59"/>
      <c r="E396" s="25">
        <v>0.50395999999999996</v>
      </c>
      <c r="F396" s="21">
        <v>1.03</v>
      </c>
      <c r="G396" s="21">
        <v>2.8</v>
      </c>
      <c r="H396" s="21"/>
      <c r="I396" s="54">
        <v>17.68</v>
      </c>
      <c r="J396" s="21"/>
      <c r="K396" s="21"/>
      <c r="L396" s="21">
        <v>7.2</v>
      </c>
      <c r="M396" s="21"/>
    </row>
    <row r="397" spans="1:13" s="9" customFormat="1">
      <c r="A397" s="6">
        <v>32051</v>
      </c>
      <c r="B397" s="7">
        <v>6.62</v>
      </c>
      <c r="C397" s="7">
        <v>10.97</v>
      </c>
      <c r="D397" s="59"/>
      <c r="E397" s="25">
        <v>1.11981</v>
      </c>
      <c r="F397" s="21">
        <v>1.3</v>
      </c>
      <c r="G397" s="21">
        <v>3.43</v>
      </c>
      <c r="H397" s="21"/>
      <c r="I397" s="54">
        <v>15.53</v>
      </c>
      <c r="J397" s="21"/>
      <c r="K397" s="21"/>
      <c r="L397" s="21">
        <v>7.9</v>
      </c>
      <c r="M397" s="21"/>
    </row>
    <row r="398" spans="1:13" s="9" customFormat="1">
      <c r="A398" s="6">
        <v>32082</v>
      </c>
      <c r="B398" s="7">
        <v>7.19</v>
      </c>
      <c r="C398" s="7">
        <v>10.55</v>
      </c>
      <c r="D398" s="59"/>
      <c r="E398" s="25">
        <v>1.0932900000000001</v>
      </c>
      <c r="F398" s="21">
        <v>1.26</v>
      </c>
      <c r="G398" s="21">
        <v>3.57</v>
      </c>
      <c r="H398" s="21"/>
      <c r="I398" s="54">
        <v>13.59</v>
      </c>
      <c r="J398" s="21"/>
      <c r="K398" s="21"/>
      <c r="L398" s="21">
        <v>8.1999999999999993</v>
      </c>
      <c r="M398" s="21"/>
    </row>
    <row r="399" spans="1:13" s="9" customFormat="1">
      <c r="A399" s="6">
        <v>32112</v>
      </c>
      <c r="B399" s="7">
        <v>6.89</v>
      </c>
      <c r="C399" s="7">
        <v>10.61</v>
      </c>
      <c r="D399" s="59"/>
      <c r="E399" s="25">
        <v>0.83594999999999997</v>
      </c>
      <c r="F399" s="21">
        <v>1.06</v>
      </c>
      <c r="G399" s="21">
        <v>2.97</v>
      </c>
      <c r="H399" s="21"/>
      <c r="I399" s="54">
        <v>13.39</v>
      </c>
      <c r="J399" s="21"/>
      <c r="K399" s="21"/>
      <c r="L399" s="21">
        <v>8.4</v>
      </c>
      <c r="M399" s="21"/>
    </row>
    <row r="400" spans="1:13" s="9" customFormat="1">
      <c r="A400" s="6">
        <v>32143</v>
      </c>
      <c r="B400" s="7">
        <v>6.79</v>
      </c>
      <c r="C400" s="7">
        <v>10.16</v>
      </c>
      <c r="D400" s="59"/>
      <c r="E400" s="25">
        <v>0.37605</v>
      </c>
      <c r="F400" s="21">
        <v>1.04</v>
      </c>
      <c r="G400" s="21">
        <v>2.44</v>
      </c>
      <c r="H400" s="21"/>
      <c r="I400" s="54">
        <v>13.9</v>
      </c>
      <c r="J400" s="21"/>
      <c r="K400" s="21"/>
      <c r="L400" s="21">
        <v>7.9</v>
      </c>
      <c r="M400" s="21"/>
    </row>
    <row r="401" spans="1:13" s="9" customFormat="1">
      <c r="A401" s="6">
        <v>32174</v>
      </c>
      <c r="B401" s="7">
        <v>6.67</v>
      </c>
      <c r="C401" s="7">
        <v>9.8699999999999992</v>
      </c>
      <c r="D401" s="59"/>
      <c r="E401" s="25">
        <v>0.14146</v>
      </c>
      <c r="F401" s="21">
        <v>1.03</v>
      </c>
      <c r="G401" s="21">
        <v>2.36</v>
      </c>
      <c r="H401" s="21"/>
      <c r="I401" s="54">
        <v>14.3</v>
      </c>
      <c r="J401" s="21"/>
      <c r="K401" s="21"/>
      <c r="L401" s="21">
        <v>8.4</v>
      </c>
      <c r="M401" s="21"/>
    </row>
    <row r="402" spans="1:13" s="9" customFormat="1">
      <c r="A402" s="6">
        <v>32203</v>
      </c>
      <c r="B402" s="7">
        <v>6.83</v>
      </c>
      <c r="C402" s="7">
        <v>9.99</v>
      </c>
      <c r="D402" s="59"/>
      <c r="E402" s="25">
        <v>0.14143</v>
      </c>
      <c r="F402" s="21">
        <v>1.1599999999999999</v>
      </c>
      <c r="G402" s="21">
        <v>2.7</v>
      </c>
      <c r="H402" s="21"/>
      <c r="I402" s="54">
        <v>14.67</v>
      </c>
      <c r="J402" s="21"/>
      <c r="K402" s="21"/>
      <c r="L402" s="21">
        <v>8</v>
      </c>
      <c r="M402" s="21"/>
    </row>
    <row r="403" spans="1:13" s="9" customFormat="1">
      <c r="A403" s="6">
        <v>32234</v>
      </c>
      <c r="B403" s="7">
        <v>6.98</v>
      </c>
      <c r="C403" s="7">
        <v>10.28</v>
      </c>
      <c r="D403" s="59"/>
      <c r="E403" s="25">
        <v>0.26968999999999999</v>
      </c>
      <c r="F403" s="21">
        <v>1.1399999999999999</v>
      </c>
      <c r="G403" s="21">
        <v>2.71</v>
      </c>
      <c r="H403" s="21"/>
      <c r="I403" s="54">
        <v>14.43</v>
      </c>
      <c r="J403" s="21"/>
      <c r="K403" s="21"/>
      <c r="L403" s="21">
        <v>8.6999999999999993</v>
      </c>
      <c r="M403" s="21"/>
    </row>
    <row r="404" spans="1:13" s="9" customFormat="1">
      <c r="A404" s="6">
        <v>32264</v>
      </c>
      <c r="B404" s="7">
        <v>7.48</v>
      </c>
      <c r="C404" s="7">
        <v>10.58</v>
      </c>
      <c r="D404" s="59"/>
      <c r="E404" s="25">
        <v>0.25339</v>
      </c>
      <c r="F404" s="21">
        <v>0.99</v>
      </c>
      <c r="G404" s="21">
        <v>2.5299999999999998</v>
      </c>
      <c r="H404" s="21"/>
      <c r="I404" s="54">
        <v>14.03</v>
      </c>
      <c r="J404" s="21"/>
      <c r="K404" s="21"/>
      <c r="L404" s="21">
        <v>8.3000000000000007</v>
      </c>
      <c r="M404" s="21"/>
    </row>
    <row r="405" spans="1:13" s="9" customFormat="1">
      <c r="A405" s="6">
        <v>32295</v>
      </c>
      <c r="B405" s="7">
        <v>8.27</v>
      </c>
      <c r="C405" s="7">
        <v>10.4</v>
      </c>
      <c r="D405" s="59"/>
      <c r="E405" s="25">
        <v>0.27204</v>
      </c>
      <c r="F405" s="21">
        <v>0.8</v>
      </c>
      <c r="G405" s="21">
        <v>2.0499999999999998</v>
      </c>
      <c r="H405" s="21"/>
      <c r="I405" s="54">
        <v>14.77</v>
      </c>
      <c r="J405" s="21"/>
      <c r="K405" s="21"/>
      <c r="L405" s="21">
        <v>8.4</v>
      </c>
      <c r="M405" s="21"/>
    </row>
    <row r="406" spans="1:13" s="9" customFormat="1">
      <c r="A406" s="6">
        <v>32325</v>
      </c>
      <c r="B406" s="7">
        <v>7.84</v>
      </c>
      <c r="C406" s="7">
        <v>10.49</v>
      </c>
      <c r="D406" s="59"/>
      <c r="E406" s="25">
        <v>0.40337000000000001</v>
      </c>
      <c r="F406" s="21">
        <v>0.73</v>
      </c>
      <c r="G406" s="21">
        <v>1.94</v>
      </c>
      <c r="H406" s="21"/>
      <c r="I406" s="54">
        <v>14.61</v>
      </c>
      <c r="J406" s="21"/>
      <c r="K406" s="21"/>
      <c r="L406" s="21">
        <v>8.6</v>
      </c>
      <c r="M406" s="21"/>
    </row>
    <row r="407" spans="1:13" s="9" customFormat="1">
      <c r="A407" s="6">
        <v>32356</v>
      </c>
      <c r="B407" s="7">
        <v>8.14</v>
      </c>
      <c r="C407" s="7">
        <v>10.67</v>
      </c>
      <c r="D407" s="59"/>
      <c r="E407" s="25">
        <v>0.38875999999999999</v>
      </c>
      <c r="F407" s="21">
        <v>0.54</v>
      </c>
      <c r="G407" s="21">
        <v>1.71</v>
      </c>
      <c r="H407" s="21"/>
      <c r="I407" s="54">
        <v>14.24</v>
      </c>
      <c r="J407" s="21"/>
      <c r="K407" s="21"/>
      <c r="L407" s="21">
        <v>8.4</v>
      </c>
      <c r="M407" s="21"/>
    </row>
    <row r="408" spans="1:13" s="9" customFormat="1">
      <c r="A408" s="6">
        <v>32387</v>
      </c>
      <c r="B408" s="7">
        <v>8.5399999999999991</v>
      </c>
      <c r="C408" s="7">
        <v>10.42</v>
      </c>
      <c r="D408" s="59"/>
      <c r="E408" s="25">
        <v>0.26595999999999997</v>
      </c>
      <c r="F408" s="21">
        <v>0.44</v>
      </c>
      <c r="G408" s="21">
        <v>1.38</v>
      </c>
      <c r="H408" s="21"/>
      <c r="I408" s="54">
        <v>14.37</v>
      </c>
      <c r="J408" s="21"/>
      <c r="K408" s="21"/>
      <c r="L408" s="21">
        <v>8.8000000000000007</v>
      </c>
      <c r="M408" s="21"/>
    </row>
    <row r="409" spans="1:13" s="9" customFormat="1">
      <c r="A409" s="6">
        <v>32417</v>
      </c>
      <c r="B409" s="7">
        <v>8.39</v>
      </c>
      <c r="C409" s="7">
        <v>10.220000000000001</v>
      </c>
      <c r="D409" s="59"/>
      <c r="E409" s="25">
        <v>0.20227000000000001</v>
      </c>
      <c r="F409" s="21">
        <v>0.4</v>
      </c>
      <c r="G409" s="21">
        <v>1.03</v>
      </c>
      <c r="H409" s="21"/>
      <c r="I409" s="54">
        <v>14.81</v>
      </c>
      <c r="J409" s="21"/>
      <c r="K409" s="21"/>
      <c r="L409" s="21">
        <v>8.6</v>
      </c>
      <c r="M409" s="21"/>
    </row>
    <row r="410" spans="1:13" s="9" customFormat="1">
      <c r="A410" s="6">
        <v>32448</v>
      </c>
      <c r="B410" s="7">
        <v>8.5</v>
      </c>
      <c r="C410" s="7">
        <v>10.39</v>
      </c>
      <c r="D410" s="59"/>
      <c r="E410" s="25">
        <v>0.16289000000000001</v>
      </c>
      <c r="F410" s="21">
        <v>0.22</v>
      </c>
      <c r="G410" s="21">
        <v>0.96</v>
      </c>
      <c r="H410" s="21"/>
      <c r="I410" s="54">
        <v>14.45</v>
      </c>
      <c r="J410" s="21"/>
      <c r="K410" s="21"/>
      <c r="L410" s="21">
        <v>8.4</v>
      </c>
      <c r="M410" s="21"/>
    </row>
    <row r="411" spans="1:13" s="9" customFormat="1">
      <c r="A411" s="6">
        <v>32478</v>
      </c>
      <c r="B411" s="7">
        <v>9.0399999999999991</v>
      </c>
      <c r="C411" s="7">
        <v>10.77</v>
      </c>
      <c r="D411" s="59"/>
      <c r="E411" s="25">
        <v>0.16477</v>
      </c>
      <c r="F411" s="21">
        <v>0</v>
      </c>
      <c r="G411" s="21">
        <v>0.77</v>
      </c>
      <c r="H411" s="21"/>
      <c r="I411" s="54">
        <v>14.7</v>
      </c>
      <c r="J411" s="21"/>
      <c r="K411" s="21"/>
      <c r="L411" s="21">
        <v>8.3000000000000007</v>
      </c>
      <c r="M411" s="21"/>
    </row>
    <row r="412" spans="1:13" s="9" customFormat="1">
      <c r="A412" s="6">
        <v>32509</v>
      </c>
      <c r="B412" s="7">
        <v>9.14</v>
      </c>
      <c r="C412" s="7">
        <v>10.6</v>
      </c>
      <c r="D412" s="59"/>
      <c r="E412" s="25">
        <v>0.20252999999999999</v>
      </c>
      <c r="F412" s="21">
        <v>-0.11</v>
      </c>
      <c r="G412" s="21">
        <v>0.32</v>
      </c>
      <c r="H412" s="21"/>
      <c r="I412" s="54">
        <v>15.09</v>
      </c>
      <c r="J412" s="21"/>
      <c r="K412" s="21"/>
      <c r="L412" s="21">
        <v>8.5</v>
      </c>
      <c r="M412" s="21"/>
    </row>
    <row r="413" spans="1:13" s="9" customFormat="1">
      <c r="A413" s="6">
        <v>32540</v>
      </c>
      <c r="B413" s="7">
        <v>9.8699999999999992</v>
      </c>
      <c r="C413" s="7">
        <v>10.78</v>
      </c>
      <c r="D413" s="59"/>
      <c r="E413" s="25">
        <v>0.42091000000000001</v>
      </c>
      <c r="F413" s="21">
        <v>-0.23</v>
      </c>
      <c r="G413" s="21">
        <v>0.28999999999999998</v>
      </c>
      <c r="H413" s="21"/>
      <c r="I413" s="54">
        <v>15.47</v>
      </c>
      <c r="J413" s="21"/>
      <c r="K413" s="21"/>
      <c r="L413" s="21">
        <v>8.9</v>
      </c>
      <c r="M413" s="21"/>
    </row>
    <row r="414" spans="1:13" s="9" customFormat="1">
      <c r="A414" s="6">
        <v>32568</v>
      </c>
      <c r="B414" s="7">
        <v>9.7899999999999991</v>
      </c>
      <c r="C414" s="7">
        <v>11.19</v>
      </c>
      <c r="D414" s="59"/>
      <c r="E414" s="25">
        <v>0.76436999999999999</v>
      </c>
      <c r="F414" s="21">
        <v>-0.43</v>
      </c>
      <c r="G414" s="21">
        <v>7.0000000000000007E-2</v>
      </c>
      <c r="H414" s="21"/>
      <c r="I414" s="54">
        <v>15.3</v>
      </c>
      <c r="J414" s="21"/>
      <c r="K414" s="21"/>
      <c r="L414" s="21">
        <v>9.4</v>
      </c>
      <c r="M414" s="21"/>
    </row>
    <row r="415" spans="1:13" s="9" customFormat="1">
      <c r="A415" s="6">
        <v>32599</v>
      </c>
      <c r="B415" s="7">
        <v>9.82</v>
      </c>
      <c r="C415" s="7">
        <v>11.03</v>
      </c>
      <c r="D415" s="59"/>
      <c r="E415" s="25">
        <v>0.64922999999999997</v>
      </c>
      <c r="F415" s="21">
        <v>-0.2</v>
      </c>
      <c r="G415" s="21">
        <v>0.31</v>
      </c>
      <c r="H415" s="21"/>
      <c r="I415" s="54">
        <v>15.69</v>
      </c>
      <c r="J415" s="21"/>
      <c r="K415" s="21"/>
      <c r="L415" s="21">
        <v>8.3000000000000007</v>
      </c>
      <c r="M415" s="21"/>
    </row>
    <row r="416" spans="1:13" s="9" customFormat="1">
      <c r="A416" s="6">
        <v>32629</v>
      </c>
      <c r="B416" s="7">
        <v>10.48</v>
      </c>
      <c r="C416" s="7">
        <v>10.5</v>
      </c>
      <c r="D416" s="59"/>
      <c r="E416" s="25">
        <v>0.35525000000000001</v>
      </c>
      <c r="F416" s="21">
        <v>-0.22</v>
      </c>
      <c r="G416" s="21">
        <v>-0.32</v>
      </c>
      <c r="H416" s="21"/>
      <c r="I416" s="54">
        <v>16.190000000000001</v>
      </c>
      <c r="J416" s="21"/>
      <c r="K416" s="21"/>
      <c r="L416" s="21">
        <v>8</v>
      </c>
      <c r="M416" s="21"/>
    </row>
    <row r="417" spans="1:13" s="9" customFormat="1">
      <c r="A417" s="6">
        <v>32660</v>
      </c>
      <c r="B417" s="7">
        <v>9.6300000000000008</v>
      </c>
      <c r="C417" s="7">
        <v>10.07</v>
      </c>
      <c r="D417" s="59"/>
      <c r="E417" s="25">
        <v>0.27657999999999999</v>
      </c>
      <c r="F417" s="21">
        <v>0.02</v>
      </c>
      <c r="G417" s="21">
        <v>-0.16</v>
      </c>
      <c r="H417" s="21"/>
      <c r="I417" s="54">
        <v>16.64</v>
      </c>
      <c r="J417" s="21"/>
      <c r="K417" s="21"/>
      <c r="L417" s="21">
        <v>8.1</v>
      </c>
      <c r="M417" s="21"/>
    </row>
    <row r="418" spans="1:13" s="9" customFormat="1">
      <c r="A418" s="6">
        <v>32690</v>
      </c>
      <c r="B418" s="7">
        <v>8.94</v>
      </c>
      <c r="C418" s="7">
        <v>9.81</v>
      </c>
      <c r="D418" s="59"/>
      <c r="E418" s="25">
        <v>0.21110999999999999</v>
      </c>
      <c r="F418" s="21">
        <v>0.28999999999999998</v>
      </c>
      <c r="G418" s="21">
        <v>-0.22</v>
      </c>
      <c r="H418" s="21"/>
      <c r="I418" s="54">
        <v>17.010000000000002</v>
      </c>
      <c r="J418" s="21"/>
      <c r="K418" s="21"/>
      <c r="L418" s="21">
        <v>8.1</v>
      </c>
      <c r="M418" s="21"/>
    </row>
    <row r="419" spans="1:13" s="9" customFormat="1">
      <c r="A419" s="6">
        <v>32721</v>
      </c>
      <c r="B419" s="7">
        <v>8.92</v>
      </c>
      <c r="C419" s="7">
        <v>10.210000000000001</v>
      </c>
      <c r="D419" s="59"/>
      <c r="E419" s="25">
        <v>0.23072999999999999</v>
      </c>
      <c r="F419" s="21">
        <v>-0.16</v>
      </c>
      <c r="G419" s="21">
        <v>0.1</v>
      </c>
      <c r="H419" s="21"/>
      <c r="I419" s="54">
        <v>17.73</v>
      </c>
      <c r="J419" s="21"/>
      <c r="K419" s="21"/>
      <c r="L419" s="21">
        <v>7.5</v>
      </c>
      <c r="M419" s="21"/>
    </row>
    <row r="420" spans="1:13" s="9" customFormat="1">
      <c r="A420" s="6">
        <v>32752</v>
      </c>
      <c r="B420" s="7">
        <v>9.24</v>
      </c>
      <c r="C420" s="7">
        <v>10.16</v>
      </c>
      <c r="D420" s="59"/>
      <c r="E420" s="25">
        <v>0.39595000000000002</v>
      </c>
      <c r="F420" s="21">
        <v>-0.15</v>
      </c>
      <c r="G420" s="21">
        <v>0.13</v>
      </c>
      <c r="H420" s="21"/>
      <c r="I420" s="54">
        <v>17.71</v>
      </c>
      <c r="J420" s="21"/>
      <c r="K420" s="21"/>
      <c r="L420" s="21">
        <v>7.9</v>
      </c>
      <c r="M420" s="21"/>
    </row>
    <row r="421" spans="1:13" s="9" customFormat="1">
      <c r="A421" s="6">
        <v>32782</v>
      </c>
      <c r="B421" s="7">
        <v>8.89</v>
      </c>
      <c r="C421" s="7">
        <v>9.82</v>
      </c>
      <c r="D421" s="59"/>
      <c r="E421" s="25">
        <v>0.30753000000000003</v>
      </c>
      <c r="F421" s="21">
        <v>7.0000000000000007E-2</v>
      </c>
      <c r="G421" s="21">
        <v>-0.12</v>
      </c>
      <c r="H421" s="21"/>
      <c r="I421" s="54">
        <v>17.64</v>
      </c>
      <c r="J421" s="21"/>
      <c r="K421" s="21"/>
      <c r="L421" s="21">
        <v>8.4</v>
      </c>
      <c r="M421" s="21"/>
    </row>
    <row r="422" spans="1:13" s="9" customFormat="1">
      <c r="A422" s="6">
        <v>32813</v>
      </c>
      <c r="B422" s="7">
        <v>8.6</v>
      </c>
      <c r="C422" s="7">
        <v>9.74</v>
      </c>
      <c r="D422" s="59"/>
      <c r="E422" s="25">
        <v>9.6699999999999994E-2</v>
      </c>
      <c r="F422" s="21">
        <v>0.09</v>
      </c>
      <c r="G422" s="21">
        <v>0</v>
      </c>
      <c r="H422" s="21"/>
      <c r="I422" s="54">
        <v>17.239999999999998</v>
      </c>
      <c r="J422" s="21"/>
      <c r="K422" s="21"/>
      <c r="L422" s="21">
        <v>8.5</v>
      </c>
      <c r="M422" s="21"/>
    </row>
    <row r="423" spans="1:13" s="9" customFormat="1">
      <c r="A423" s="6">
        <v>32843</v>
      </c>
      <c r="B423" s="7">
        <v>7.97</v>
      </c>
      <c r="C423" s="7">
        <v>9.7799999999999994</v>
      </c>
      <c r="D423" s="59"/>
      <c r="E423" s="25">
        <v>3.2759999999999997E-2</v>
      </c>
      <c r="F423" s="21">
        <v>0.06</v>
      </c>
      <c r="G423" s="21">
        <v>0.13</v>
      </c>
      <c r="H423" s="21"/>
      <c r="I423" s="54">
        <v>17.649999999999999</v>
      </c>
      <c r="J423" s="21"/>
      <c r="K423" s="21"/>
      <c r="L423" s="21">
        <v>7.7</v>
      </c>
      <c r="M423" s="21"/>
    </row>
    <row r="424" spans="1:13" s="9" customFormat="1">
      <c r="A424" s="6">
        <v>32874</v>
      </c>
      <c r="B424" s="7">
        <v>8.26</v>
      </c>
      <c r="C424" s="7">
        <v>10.050000000000001</v>
      </c>
      <c r="D424" s="59"/>
      <c r="E424" s="25">
        <v>7.9930000000000001E-2</v>
      </c>
      <c r="F424" s="21">
        <v>0.15</v>
      </c>
      <c r="G424" s="21">
        <v>0.43</v>
      </c>
      <c r="H424" s="21"/>
      <c r="I424" s="54">
        <v>17.05</v>
      </c>
      <c r="J424" s="21"/>
      <c r="K424" s="21"/>
      <c r="L424" s="21">
        <v>7.9</v>
      </c>
      <c r="M424" s="21"/>
    </row>
    <row r="425" spans="1:13" s="9" customFormat="1">
      <c r="A425" s="6">
        <v>32905</v>
      </c>
      <c r="B425" s="7">
        <v>8.2899999999999991</v>
      </c>
      <c r="C425" s="7">
        <v>10.31</v>
      </c>
      <c r="D425" s="59"/>
      <c r="E425" s="25">
        <v>5.4129999999999998E-2</v>
      </c>
      <c r="F425" s="21">
        <v>0.08</v>
      </c>
      <c r="G425" s="21">
        <v>0.47</v>
      </c>
      <c r="H425" s="21"/>
      <c r="I425" s="54">
        <v>16.510000000000002</v>
      </c>
      <c r="J425" s="21"/>
      <c r="K425" s="21"/>
      <c r="L425" s="21">
        <v>8.5</v>
      </c>
      <c r="M425" s="21"/>
    </row>
    <row r="426" spans="1:13" s="9" customFormat="1">
      <c r="A426" s="6">
        <v>32933</v>
      </c>
      <c r="B426" s="7">
        <v>8.3000000000000007</v>
      </c>
      <c r="C426" s="7">
        <v>10.220000000000001</v>
      </c>
      <c r="D426" s="59"/>
      <c r="E426" s="25">
        <v>6.3799999999999996E-2</v>
      </c>
      <c r="F426" s="21">
        <v>0.01</v>
      </c>
      <c r="G426" s="21">
        <v>0.57999999999999996</v>
      </c>
      <c r="H426" s="21"/>
      <c r="I426" s="54">
        <v>16.829999999999998</v>
      </c>
      <c r="J426" s="21"/>
      <c r="K426" s="21"/>
      <c r="L426" s="21">
        <v>8.3000000000000007</v>
      </c>
      <c r="M426" s="21"/>
    </row>
    <row r="427" spans="1:13" s="9" customFormat="1">
      <c r="A427" s="6">
        <v>32964</v>
      </c>
      <c r="B427" s="7">
        <v>8.23</v>
      </c>
      <c r="C427" s="7">
        <v>10.56</v>
      </c>
      <c r="D427" s="59"/>
      <c r="E427" s="25">
        <v>9.4200000000000006E-2</v>
      </c>
      <c r="F427" s="21">
        <v>0.08</v>
      </c>
      <c r="G427" s="21">
        <v>0.97</v>
      </c>
      <c r="H427" s="21"/>
      <c r="I427" s="54">
        <v>16.809999999999999</v>
      </c>
      <c r="J427" s="21"/>
      <c r="K427" s="21"/>
      <c r="L427" s="21">
        <v>8.6999999999999993</v>
      </c>
      <c r="M427" s="21"/>
    </row>
    <row r="428" spans="1:13" s="9" customFormat="1">
      <c r="A428" s="6">
        <v>32994</v>
      </c>
      <c r="B428" s="7">
        <v>8.23</v>
      </c>
      <c r="C428" s="7">
        <v>10.33</v>
      </c>
      <c r="D428" s="59"/>
      <c r="E428" s="25">
        <v>-3.9390000000000001E-2</v>
      </c>
      <c r="F428" s="21">
        <v>0.1</v>
      </c>
      <c r="G428" s="21">
        <v>0.59</v>
      </c>
      <c r="H428" s="21"/>
      <c r="I428" s="54">
        <v>17.39</v>
      </c>
      <c r="J428" s="21"/>
      <c r="K428" s="21"/>
      <c r="L428" s="21">
        <v>8.6999999999999993</v>
      </c>
      <c r="M428" s="21"/>
    </row>
    <row r="429" spans="1:13" s="9" customFormat="1">
      <c r="A429" s="6">
        <v>33025</v>
      </c>
      <c r="B429" s="7">
        <v>8.32</v>
      </c>
      <c r="C429" s="7">
        <v>10.15</v>
      </c>
      <c r="D429" s="59"/>
      <c r="E429" s="25">
        <v>-0.19064</v>
      </c>
      <c r="F429" s="21">
        <v>0.19</v>
      </c>
      <c r="G429" s="21">
        <v>0.43</v>
      </c>
      <c r="H429" s="21"/>
      <c r="I429" s="54">
        <v>17.82</v>
      </c>
      <c r="J429" s="21"/>
      <c r="K429" s="21"/>
      <c r="L429" s="21">
        <v>8.6</v>
      </c>
      <c r="M429" s="21"/>
    </row>
    <row r="430" spans="1:13" s="9" customFormat="1">
      <c r="A430" s="6">
        <v>33055</v>
      </c>
      <c r="B430" s="7">
        <v>8.0500000000000007</v>
      </c>
      <c r="C430" s="7">
        <v>9.98</v>
      </c>
      <c r="D430" s="59"/>
      <c r="E430" s="25">
        <v>-0.10196</v>
      </c>
      <c r="F430" s="21">
        <v>0.45</v>
      </c>
      <c r="G430" s="21">
        <v>0.62</v>
      </c>
      <c r="H430" s="21"/>
      <c r="I430" s="54">
        <v>17.75</v>
      </c>
      <c r="J430" s="21"/>
      <c r="K430" s="21"/>
      <c r="L430" s="21">
        <v>8.6999999999999993</v>
      </c>
      <c r="M430" s="21"/>
    </row>
    <row r="431" spans="1:13" s="9" customFormat="1">
      <c r="A431" s="6">
        <v>33086</v>
      </c>
      <c r="B431" s="7">
        <v>8.06</v>
      </c>
      <c r="C431" s="7">
        <v>10.24</v>
      </c>
      <c r="D431" s="59"/>
      <c r="E431" s="25">
        <v>0.13947000000000001</v>
      </c>
      <c r="F431" s="21">
        <v>0.79</v>
      </c>
      <c r="G431" s="21">
        <v>1.23</v>
      </c>
      <c r="H431" s="21"/>
      <c r="I431" s="54">
        <v>16.170000000000002</v>
      </c>
      <c r="J431" s="21"/>
      <c r="K431" s="21"/>
      <c r="L431" s="21">
        <v>8.1</v>
      </c>
      <c r="M431" s="21"/>
    </row>
    <row r="432" spans="1:13" s="9" customFormat="1">
      <c r="A432" s="6">
        <v>33117</v>
      </c>
      <c r="B432" s="7">
        <v>8.0299999999999994</v>
      </c>
      <c r="C432" s="7">
        <v>10.220000000000001</v>
      </c>
      <c r="D432" s="59"/>
      <c r="E432" s="25">
        <v>0.34386</v>
      </c>
      <c r="F432" s="21">
        <v>0.8</v>
      </c>
      <c r="G432" s="21">
        <v>1.45</v>
      </c>
      <c r="H432" s="21"/>
      <c r="I432" s="54">
        <v>15.3</v>
      </c>
      <c r="J432" s="21"/>
      <c r="K432" s="21"/>
      <c r="L432" s="21">
        <v>8.1</v>
      </c>
      <c r="M432" s="21"/>
    </row>
    <row r="433" spans="1:13" s="9" customFormat="1">
      <c r="A433" s="6">
        <v>33147</v>
      </c>
      <c r="B433" s="7">
        <v>9.52</v>
      </c>
      <c r="C433" s="7">
        <v>10.17</v>
      </c>
      <c r="D433" s="59"/>
      <c r="E433" s="25">
        <v>0.42371999999999999</v>
      </c>
      <c r="F433" s="21">
        <v>0.88</v>
      </c>
      <c r="G433" s="21">
        <v>1.31</v>
      </c>
      <c r="H433" s="21"/>
      <c r="I433" s="54">
        <v>14.82</v>
      </c>
      <c r="J433" s="21"/>
      <c r="K433" s="21"/>
      <c r="L433" s="21">
        <v>7.9</v>
      </c>
      <c r="M433" s="21"/>
    </row>
    <row r="434" spans="1:13" s="9" customFormat="1">
      <c r="A434" s="6">
        <v>33178</v>
      </c>
      <c r="B434" s="7">
        <v>7.61</v>
      </c>
      <c r="C434" s="7">
        <v>9.9</v>
      </c>
      <c r="D434" s="59"/>
      <c r="E434" s="25">
        <v>0.42544999999999999</v>
      </c>
      <c r="F434" s="21">
        <v>0.73</v>
      </c>
      <c r="G434" s="21">
        <v>1.02</v>
      </c>
      <c r="H434" s="21"/>
      <c r="I434" s="54">
        <v>15.19</v>
      </c>
      <c r="J434" s="21"/>
      <c r="K434" s="21"/>
      <c r="L434" s="21">
        <v>8</v>
      </c>
      <c r="M434" s="21"/>
    </row>
    <row r="435" spans="1:13" s="9" customFormat="1">
      <c r="A435" s="6">
        <v>33208</v>
      </c>
      <c r="B435" s="7">
        <v>5.53</v>
      </c>
      <c r="C435" s="7">
        <v>9.68</v>
      </c>
      <c r="D435" s="59"/>
      <c r="E435" s="25">
        <v>0.51256000000000002</v>
      </c>
      <c r="F435" s="21">
        <v>0.93</v>
      </c>
      <c r="G435" s="21">
        <v>1.45</v>
      </c>
      <c r="H435" s="21"/>
      <c r="I435" s="54">
        <v>15.85</v>
      </c>
      <c r="J435" s="21"/>
      <c r="K435" s="21"/>
      <c r="L435" s="21">
        <v>8.8000000000000007</v>
      </c>
      <c r="M435" s="21"/>
    </row>
    <row r="436" spans="1:13" s="9" customFormat="1">
      <c r="A436" s="6">
        <v>33239</v>
      </c>
      <c r="B436" s="7">
        <v>8.18</v>
      </c>
      <c r="C436" s="7">
        <v>9.61</v>
      </c>
      <c r="D436" s="59"/>
      <c r="E436" s="25">
        <v>0.39534999999999998</v>
      </c>
      <c r="F436" s="21">
        <v>0.98</v>
      </c>
      <c r="G436" s="21">
        <v>1.66</v>
      </c>
      <c r="H436" s="21"/>
      <c r="I436" s="54">
        <v>15.61</v>
      </c>
      <c r="J436" s="21"/>
      <c r="K436" s="21"/>
      <c r="L436" s="21">
        <v>9.4</v>
      </c>
      <c r="M436" s="21"/>
    </row>
    <row r="437" spans="1:13" s="9" customFormat="1">
      <c r="A437" s="6">
        <v>33270</v>
      </c>
      <c r="B437" s="7">
        <v>6.99</v>
      </c>
      <c r="C437" s="7">
        <v>9.2899999999999991</v>
      </c>
      <c r="D437" s="59"/>
      <c r="E437" s="25">
        <v>8.0089999999999995E-2</v>
      </c>
      <c r="F437" s="21">
        <v>0.98</v>
      </c>
      <c r="G437" s="21">
        <v>1.8</v>
      </c>
      <c r="H437" s="21"/>
      <c r="I437" s="54">
        <v>17.36</v>
      </c>
      <c r="J437" s="21"/>
      <c r="K437" s="21"/>
      <c r="L437" s="21">
        <v>9</v>
      </c>
      <c r="M437" s="21"/>
    </row>
    <row r="438" spans="1:13" s="9" customFormat="1">
      <c r="A438" s="6">
        <v>33298</v>
      </c>
      <c r="B438" s="7">
        <v>5.53</v>
      </c>
      <c r="C438" s="7">
        <v>9.52</v>
      </c>
      <c r="D438" s="59"/>
      <c r="E438" s="25">
        <v>-0.15384999999999999</v>
      </c>
      <c r="F438" s="21">
        <v>1.03</v>
      </c>
      <c r="G438" s="21">
        <v>2.13</v>
      </c>
      <c r="H438" s="21"/>
      <c r="I438" s="54">
        <v>17.82</v>
      </c>
      <c r="J438" s="21"/>
      <c r="K438" s="21"/>
      <c r="L438" s="21">
        <v>8.1</v>
      </c>
      <c r="M438" s="21"/>
    </row>
    <row r="439" spans="1:13" s="9" customFormat="1">
      <c r="A439" s="6">
        <v>33329</v>
      </c>
      <c r="B439" s="7">
        <v>5.98</v>
      </c>
      <c r="C439" s="7">
        <v>9.5299999999999994</v>
      </c>
      <c r="D439" s="59"/>
      <c r="E439" s="25">
        <v>-0.23477000000000001</v>
      </c>
      <c r="F439" s="21">
        <v>1.22</v>
      </c>
      <c r="G439" s="21">
        <v>2.34</v>
      </c>
      <c r="H439" s="21"/>
      <c r="I439" s="54">
        <v>18.16</v>
      </c>
      <c r="J439" s="21"/>
      <c r="K439" s="21"/>
      <c r="L439" s="21">
        <v>8.6999999999999993</v>
      </c>
      <c r="M439" s="21"/>
    </row>
    <row r="440" spans="1:13" s="9" customFormat="1">
      <c r="A440" s="6">
        <v>33359</v>
      </c>
      <c r="B440" s="7">
        <v>5.92</v>
      </c>
      <c r="C440" s="7">
        <v>9.4499999999999993</v>
      </c>
      <c r="D440" s="59"/>
      <c r="E440" s="25">
        <v>-0.22903999999999999</v>
      </c>
      <c r="F440" s="21">
        <v>1.38</v>
      </c>
      <c r="G440" s="21">
        <v>2.35</v>
      </c>
      <c r="H440" s="21"/>
      <c r="I440" s="54">
        <v>18.03</v>
      </c>
      <c r="J440" s="21"/>
      <c r="K440" s="21"/>
      <c r="L440" s="21">
        <v>8.5</v>
      </c>
      <c r="M440" s="21"/>
    </row>
    <row r="441" spans="1:13" s="9" customFormat="1">
      <c r="A441" s="6">
        <v>33390</v>
      </c>
      <c r="B441" s="7">
        <v>6.74</v>
      </c>
      <c r="C441" s="7">
        <v>9.67</v>
      </c>
      <c r="D441" s="59"/>
      <c r="E441" s="25">
        <v>-0.24753</v>
      </c>
      <c r="F441" s="21">
        <v>1.34</v>
      </c>
      <c r="G441" s="21">
        <v>2.5299999999999998</v>
      </c>
      <c r="H441" s="21"/>
      <c r="I441" s="54">
        <v>18.010000000000002</v>
      </c>
      <c r="J441" s="21"/>
      <c r="K441" s="21"/>
      <c r="L441" s="21">
        <v>9</v>
      </c>
      <c r="M441" s="21"/>
    </row>
    <row r="442" spans="1:13" s="9" customFormat="1">
      <c r="A442" s="6">
        <v>33420</v>
      </c>
      <c r="B442" s="7">
        <v>5.85</v>
      </c>
      <c r="C442" s="7">
        <v>9.5</v>
      </c>
      <c r="D442" s="59"/>
      <c r="E442" s="25">
        <v>-0.41443999999999998</v>
      </c>
      <c r="F442" s="21">
        <v>1.39</v>
      </c>
      <c r="G442" s="21">
        <v>2.5</v>
      </c>
      <c r="H442" s="21"/>
      <c r="I442" s="54">
        <v>18.100000000000001</v>
      </c>
      <c r="J442" s="21"/>
      <c r="K442" s="21"/>
      <c r="L442" s="21">
        <v>8.4</v>
      </c>
      <c r="M442" s="21"/>
    </row>
    <row r="443" spans="1:13" s="9" customFormat="1">
      <c r="A443" s="6">
        <v>33451</v>
      </c>
      <c r="B443" s="7">
        <v>5.5</v>
      </c>
      <c r="C443" s="7">
        <v>9.15</v>
      </c>
      <c r="D443" s="59"/>
      <c r="E443" s="25">
        <v>-0.55328999999999995</v>
      </c>
      <c r="F443" s="21">
        <v>1.46</v>
      </c>
      <c r="G443" s="21">
        <v>2.33</v>
      </c>
      <c r="H443" s="21"/>
      <c r="I443" s="54">
        <v>18.510000000000002</v>
      </c>
      <c r="J443" s="21"/>
      <c r="K443" s="21"/>
      <c r="L443" s="21">
        <v>8.6999999999999993</v>
      </c>
      <c r="M443" s="21"/>
    </row>
    <row r="444" spans="1:13" s="9" customFormat="1">
      <c r="A444" s="6">
        <v>33482</v>
      </c>
      <c r="B444" s="7">
        <v>5.6</v>
      </c>
      <c r="C444" s="7">
        <v>8.92</v>
      </c>
      <c r="D444" s="59"/>
      <c r="E444" s="25">
        <v>-0.57084000000000001</v>
      </c>
      <c r="F444" s="21">
        <v>1.48</v>
      </c>
      <c r="G444" s="21">
        <v>2.21</v>
      </c>
      <c r="H444" s="21"/>
      <c r="I444" s="54">
        <v>18.36</v>
      </c>
      <c r="J444" s="21"/>
      <c r="K444" s="21"/>
      <c r="L444" s="21">
        <v>8.9</v>
      </c>
      <c r="M444" s="21"/>
    </row>
    <row r="445" spans="1:13" s="9" customFormat="1">
      <c r="A445" s="6">
        <v>33512</v>
      </c>
      <c r="B445" s="7">
        <v>5.23</v>
      </c>
      <c r="C445" s="7">
        <v>8.91</v>
      </c>
      <c r="D445" s="59"/>
      <c r="E445" s="25">
        <v>-0.59869000000000006</v>
      </c>
      <c r="F445" s="21">
        <v>1.77</v>
      </c>
      <c r="G445" s="21">
        <v>2.5099999999999998</v>
      </c>
      <c r="H445" s="21"/>
      <c r="I445" s="54">
        <v>18.350000000000001</v>
      </c>
      <c r="J445" s="21"/>
      <c r="K445" s="21"/>
      <c r="L445" s="21">
        <v>9.4</v>
      </c>
      <c r="M445" s="21"/>
    </row>
    <row r="446" spans="1:13" s="9" customFormat="1">
      <c r="A446" s="6">
        <v>33543</v>
      </c>
      <c r="B446" s="7">
        <v>4.8600000000000003</v>
      </c>
      <c r="C446" s="7">
        <v>8.6999999999999993</v>
      </c>
      <c r="D446" s="59"/>
      <c r="E446" s="25">
        <v>-0.64032</v>
      </c>
      <c r="F446" s="21">
        <v>2</v>
      </c>
      <c r="G446" s="21">
        <v>2.91</v>
      </c>
      <c r="H446" s="21"/>
      <c r="I446" s="54">
        <v>18.29</v>
      </c>
      <c r="J446" s="21"/>
      <c r="K446" s="21"/>
      <c r="L446" s="21">
        <v>9.1</v>
      </c>
      <c r="M446" s="21"/>
    </row>
    <row r="447" spans="1:13" s="9" customFormat="1">
      <c r="A447" s="6">
        <v>33573</v>
      </c>
      <c r="B447" s="7">
        <v>4.09</v>
      </c>
      <c r="C447" s="7">
        <v>8.35</v>
      </c>
      <c r="D447" s="59"/>
      <c r="E447" s="25">
        <v>-0.67208999999999997</v>
      </c>
      <c r="F447" s="21">
        <v>1.94</v>
      </c>
      <c r="G447" s="21">
        <v>2.75</v>
      </c>
      <c r="H447" s="21"/>
      <c r="I447" s="54">
        <v>18.440000000000001</v>
      </c>
      <c r="J447" s="21"/>
      <c r="K447" s="21"/>
      <c r="L447" s="21">
        <v>9.8000000000000007</v>
      </c>
      <c r="M447" s="21"/>
    </row>
    <row r="448" spans="1:13" s="9" customFormat="1">
      <c r="A448" s="6">
        <v>33604</v>
      </c>
      <c r="B448" s="7">
        <v>4.4000000000000004</v>
      </c>
      <c r="C448" s="7">
        <v>8.68</v>
      </c>
      <c r="D448" s="59"/>
      <c r="E448" s="25">
        <v>-0.66979999999999995</v>
      </c>
      <c r="F448" s="21">
        <v>2.2000000000000002</v>
      </c>
      <c r="G448" s="21">
        <v>3.37</v>
      </c>
      <c r="H448" s="21"/>
      <c r="I448" s="54">
        <v>19.77</v>
      </c>
      <c r="J448" s="21"/>
      <c r="K448" s="21"/>
      <c r="L448" s="21">
        <v>9.5</v>
      </c>
      <c r="M448" s="21"/>
    </row>
    <row r="449" spans="1:13" s="9" customFormat="1">
      <c r="A449" s="6">
        <v>33635</v>
      </c>
      <c r="B449" s="7">
        <v>4.13</v>
      </c>
      <c r="C449" s="7">
        <v>8.83</v>
      </c>
      <c r="D449" s="59"/>
      <c r="E449" s="25">
        <v>-0.66642000000000001</v>
      </c>
      <c r="F449" s="21">
        <v>2</v>
      </c>
      <c r="G449" s="21">
        <v>3.24</v>
      </c>
      <c r="H449" s="21"/>
      <c r="I449" s="54">
        <v>19.579999999999998</v>
      </c>
      <c r="J449" s="21"/>
      <c r="K449" s="21"/>
      <c r="L449" s="21">
        <v>9.8000000000000007</v>
      </c>
      <c r="M449" s="21"/>
    </row>
    <row r="450" spans="1:13" s="9" customFormat="1">
      <c r="A450" s="6">
        <v>33664</v>
      </c>
      <c r="B450" s="7">
        <v>4.07</v>
      </c>
      <c r="C450" s="7">
        <v>8.98</v>
      </c>
      <c r="D450" s="59"/>
      <c r="E450" s="25">
        <v>-0.67623</v>
      </c>
      <c r="F450" s="21">
        <v>1.94</v>
      </c>
      <c r="G450" s="21">
        <v>3.39</v>
      </c>
      <c r="H450" s="21"/>
      <c r="I450" s="54">
        <v>19.28</v>
      </c>
      <c r="J450" s="21"/>
      <c r="K450" s="21"/>
      <c r="L450" s="21">
        <v>9.6999999999999993</v>
      </c>
      <c r="M450" s="21"/>
    </row>
    <row r="451" spans="1:13" s="9" customFormat="1">
      <c r="A451" s="6">
        <v>33695</v>
      </c>
      <c r="B451" s="7">
        <v>3.85</v>
      </c>
      <c r="C451" s="7">
        <v>8.85</v>
      </c>
      <c r="D451" s="59"/>
      <c r="E451" s="25">
        <v>-0.75649</v>
      </c>
      <c r="F451" s="21">
        <v>2.15</v>
      </c>
      <c r="G451" s="21">
        <v>3.82</v>
      </c>
      <c r="H451" s="21"/>
      <c r="I451" s="54">
        <v>19.3</v>
      </c>
      <c r="J451" s="21"/>
      <c r="K451" s="21"/>
      <c r="L451" s="21">
        <v>9.8000000000000007</v>
      </c>
      <c r="M451" s="21"/>
    </row>
    <row r="452" spans="1:13" s="9" customFormat="1">
      <c r="A452" s="6">
        <v>33725</v>
      </c>
      <c r="B452" s="7">
        <v>3.8</v>
      </c>
      <c r="C452" s="7">
        <v>8.6</v>
      </c>
      <c r="D452" s="59"/>
      <c r="E452" s="25">
        <v>-0.86648999999999998</v>
      </c>
      <c r="F452" s="21">
        <v>2.14</v>
      </c>
      <c r="G452" s="21">
        <v>3.54</v>
      </c>
      <c r="H452" s="21"/>
      <c r="I452" s="54">
        <v>19.66</v>
      </c>
      <c r="J452" s="21"/>
      <c r="K452" s="21"/>
      <c r="L452" s="21">
        <v>9.8000000000000007</v>
      </c>
      <c r="M452" s="21"/>
    </row>
    <row r="453" spans="1:13" s="9" customFormat="1">
      <c r="A453" s="6">
        <v>33756</v>
      </c>
      <c r="B453" s="7">
        <v>4.53</v>
      </c>
      <c r="C453" s="7">
        <v>8.43</v>
      </c>
      <c r="D453" s="59"/>
      <c r="E453" s="25">
        <v>-0.91966999999999999</v>
      </c>
      <c r="F453" s="21">
        <v>2.31</v>
      </c>
      <c r="G453" s="21">
        <v>3.49</v>
      </c>
      <c r="H453" s="21"/>
      <c r="I453" s="54">
        <v>19.309999999999999</v>
      </c>
      <c r="J453" s="21"/>
      <c r="K453" s="21"/>
      <c r="L453" s="21">
        <v>10</v>
      </c>
      <c r="M453" s="21"/>
    </row>
    <row r="454" spans="1:13" s="9" customFormat="1">
      <c r="A454" s="6">
        <v>33786</v>
      </c>
      <c r="B454" s="7">
        <v>3.37</v>
      </c>
      <c r="C454" s="7">
        <v>8.0500000000000007</v>
      </c>
      <c r="D454" s="59"/>
      <c r="E454" s="25">
        <v>-0.94547999999999999</v>
      </c>
      <c r="F454" s="21">
        <v>2.2999999999999998</v>
      </c>
      <c r="G454" s="21">
        <v>3.47</v>
      </c>
      <c r="H454" s="21"/>
      <c r="I454" s="54">
        <v>19.62</v>
      </c>
      <c r="J454" s="21"/>
      <c r="K454" s="21"/>
      <c r="L454" s="21">
        <v>9.5</v>
      </c>
      <c r="M454" s="21"/>
    </row>
    <row r="455" spans="1:13" s="9" customFormat="1">
      <c r="A455" s="6">
        <v>33817</v>
      </c>
      <c r="B455" s="7">
        <v>3.51</v>
      </c>
      <c r="C455" s="7">
        <v>8.01</v>
      </c>
      <c r="D455" s="59"/>
      <c r="E455" s="25">
        <v>-0.90986</v>
      </c>
      <c r="F455" s="21">
        <v>2.4700000000000002</v>
      </c>
      <c r="G455" s="21">
        <v>3.39</v>
      </c>
      <c r="H455" s="21"/>
      <c r="I455" s="54">
        <v>19.72</v>
      </c>
      <c r="J455" s="21"/>
      <c r="K455" s="21"/>
      <c r="L455" s="21">
        <v>9.6</v>
      </c>
      <c r="M455" s="21"/>
    </row>
    <row r="456" spans="1:13" s="9" customFormat="1">
      <c r="A456" s="6">
        <v>33848</v>
      </c>
      <c r="B456" s="7">
        <v>4.47</v>
      </c>
      <c r="C456" s="7">
        <v>8.02</v>
      </c>
      <c r="D456" s="59"/>
      <c r="E456" s="25">
        <v>-0.80939000000000005</v>
      </c>
      <c r="F456" s="21">
        <v>2.57</v>
      </c>
      <c r="G456" s="21">
        <v>3.62</v>
      </c>
      <c r="H456" s="21"/>
      <c r="I456" s="54">
        <v>19.71</v>
      </c>
      <c r="J456" s="21"/>
      <c r="K456" s="21"/>
      <c r="L456" s="21">
        <v>8.6</v>
      </c>
      <c r="M456" s="21"/>
    </row>
    <row r="457" spans="1:13" s="9" customFormat="1">
      <c r="A457" s="6">
        <v>33878</v>
      </c>
      <c r="B457" s="7">
        <v>3.04</v>
      </c>
      <c r="C457" s="7">
        <v>8.2100000000000009</v>
      </c>
      <c r="D457" s="59"/>
      <c r="E457" s="25">
        <v>-0.66613999999999995</v>
      </c>
      <c r="F457" s="21">
        <v>2.4</v>
      </c>
      <c r="G457" s="21">
        <v>3.77</v>
      </c>
      <c r="H457" s="21"/>
      <c r="I457" s="54">
        <v>19.37</v>
      </c>
      <c r="J457" s="21"/>
      <c r="K457" s="21"/>
      <c r="L457" s="21">
        <v>7.9</v>
      </c>
      <c r="M457" s="21"/>
    </row>
    <row r="458" spans="1:13" s="9" customFormat="1">
      <c r="A458" s="6">
        <v>33909</v>
      </c>
      <c r="B458" s="7">
        <v>3.45</v>
      </c>
      <c r="C458" s="7">
        <v>8.2899999999999991</v>
      </c>
      <c r="D458" s="59"/>
      <c r="E458" s="25">
        <v>-0.72557000000000005</v>
      </c>
      <c r="F458" s="21">
        <v>2.16</v>
      </c>
      <c r="G458" s="21">
        <v>3.57</v>
      </c>
      <c r="H458" s="21"/>
      <c r="I458" s="54">
        <v>19.829999999999998</v>
      </c>
      <c r="J458" s="21"/>
      <c r="K458" s="21"/>
      <c r="L458" s="21">
        <v>7.9</v>
      </c>
      <c r="M458" s="21"/>
    </row>
    <row r="459" spans="1:13" s="9" customFormat="1">
      <c r="A459" s="6">
        <v>33939</v>
      </c>
      <c r="B459" s="7">
        <v>2.66</v>
      </c>
      <c r="C459" s="7">
        <v>8.14</v>
      </c>
      <c r="D459" s="59"/>
      <c r="E459" s="25">
        <v>-0.88221000000000005</v>
      </c>
      <c r="F459" s="21">
        <v>2.14</v>
      </c>
      <c r="G459" s="21">
        <v>3.55</v>
      </c>
      <c r="H459" s="21"/>
      <c r="I459" s="54">
        <v>20.45</v>
      </c>
      <c r="J459" s="21"/>
      <c r="K459" s="21"/>
      <c r="L459" s="21">
        <v>10.5</v>
      </c>
      <c r="M459" s="21"/>
    </row>
    <row r="460" spans="1:13" s="9" customFormat="1">
      <c r="A460" s="6">
        <v>33970</v>
      </c>
      <c r="B460" s="7">
        <v>3.02</v>
      </c>
      <c r="C460" s="7">
        <v>7.86</v>
      </c>
      <c r="D460" s="59"/>
      <c r="E460" s="25">
        <v>-0.95994999999999997</v>
      </c>
      <c r="F460" s="21">
        <v>2.19</v>
      </c>
      <c r="G460" s="21">
        <v>3.43</v>
      </c>
      <c r="H460" s="21"/>
      <c r="I460" s="54">
        <v>20.32</v>
      </c>
      <c r="J460" s="21"/>
      <c r="K460" s="21"/>
      <c r="L460" s="21">
        <v>8.5</v>
      </c>
      <c r="M460" s="21"/>
    </row>
    <row r="461" spans="1:13" s="9" customFormat="1">
      <c r="A461" s="6">
        <v>34001</v>
      </c>
      <c r="B461" s="7">
        <v>3.18</v>
      </c>
      <c r="C461" s="7">
        <v>7.53</v>
      </c>
      <c r="D461" s="59"/>
      <c r="E461" s="25">
        <v>-0.96586000000000005</v>
      </c>
      <c r="F461" s="21">
        <v>2.11</v>
      </c>
      <c r="G461" s="21">
        <v>3.02</v>
      </c>
      <c r="H461" s="21"/>
      <c r="I461" s="54">
        <v>20.54</v>
      </c>
      <c r="J461" s="21"/>
      <c r="K461" s="21"/>
      <c r="L461" s="21">
        <v>8.8000000000000007</v>
      </c>
      <c r="M461" s="21"/>
    </row>
    <row r="462" spans="1:13" s="9" customFormat="1">
      <c r="A462" s="6">
        <v>34029</v>
      </c>
      <c r="B462" s="7">
        <v>3.83</v>
      </c>
      <c r="C462" s="7">
        <v>7.5</v>
      </c>
      <c r="D462" s="59"/>
      <c r="E462" s="25">
        <v>-0.98853999999999997</v>
      </c>
      <c r="F462" s="21">
        <v>2.0699999999999998</v>
      </c>
      <c r="G462" s="21">
        <v>3.08</v>
      </c>
      <c r="H462" s="21"/>
      <c r="I462" s="54">
        <v>20.85</v>
      </c>
      <c r="J462" s="21"/>
      <c r="K462" s="21"/>
      <c r="L462" s="21">
        <v>8.8000000000000007</v>
      </c>
      <c r="M462" s="21"/>
    </row>
    <row r="463" spans="1:13" s="9" customFormat="1">
      <c r="A463" s="6">
        <v>34060</v>
      </c>
      <c r="B463" s="7">
        <v>3.01</v>
      </c>
      <c r="C463" s="7">
        <v>7.43</v>
      </c>
      <c r="D463" s="59"/>
      <c r="E463" s="25">
        <v>-1.0089300000000001</v>
      </c>
      <c r="F463" s="21">
        <v>2.2200000000000002</v>
      </c>
      <c r="G463" s="21">
        <v>3.08</v>
      </c>
      <c r="H463" s="21"/>
      <c r="I463" s="54">
        <v>20.46</v>
      </c>
      <c r="J463" s="21"/>
      <c r="K463" s="21"/>
      <c r="L463" s="21">
        <v>8.6999999999999993</v>
      </c>
      <c r="M463" s="21"/>
    </row>
    <row r="464" spans="1:13" s="9" customFormat="1">
      <c r="A464" s="6">
        <v>34090</v>
      </c>
      <c r="B464" s="7">
        <v>3.02</v>
      </c>
      <c r="C464" s="7">
        <v>7.5</v>
      </c>
      <c r="D464" s="59"/>
      <c r="E464" s="25">
        <v>-0.99478</v>
      </c>
      <c r="F464" s="21">
        <v>1.92</v>
      </c>
      <c r="G464" s="21">
        <v>3.03</v>
      </c>
      <c r="H464" s="21"/>
      <c r="I464" s="54">
        <v>20.52</v>
      </c>
      <c r="J464" s="21"/>
      <c r="K464" s="21"/>
      <c r="L464" s="21">
        <v>8.1999999999999993</v>
      </c>
      <c r="M464" s="21"/>
    </row>
    <row r="465" spans="1:13" s="9" customFormat="1">
      <c r="A465" s="6">
        <v>34121</v>
      </c>
      <c r="B465" s="7">
        <v>3.92</v>
      </c>
      <c r="C465" s="7">
        <v>7.34</v>
      </c>
      <c r="D465" s="59"/>
      <c r="E465" s="25">
        <v>-1.04149</v>
      </c>
      <c r="F465" s="21">
        <v>1.77</v>
      </c>
      <c r="G465" s="21">
        <v>2.7</v>
      </c>
      <c r="H465" s="21"/>
      <c r="I465" s="54">
        <v>20.61</v>
      </c>
      <c r="J465" s="21"/>
      <c r="K465" s="21"/>
      <c r="L465" s="21">
        <v>7.7</v>
      </c>
      <c r="M465" s="21"/>
    </row>
    <row r="466" spans="1:13" s="9" customFormat="1">
      <c r="A466" s="6">
        <v>34151</v>
      </c>
      <c r="B466" s="7">
        <v>3.07</v>
      </c>
      <c r="C466" s="7">
        <v>7.25</v>
      </c>
      <c r="D466" s="59"/>
      <c r="E466" s="25">
        <v>-1.1164000000000001</v>
      </c>
      <c r="F466" s="21">
        <v>1.7</v>
      </c>
      <c r="G466" s="21">
        <v>2.73</v>
      </c>
      <c r="H466" s="21"/>
      <c r="I466" s="54">
        <v>20.56</v>
      </c>
      <c r="J466" s="21"/>
      <c r="K466" s="21"/>
      <c r="L466" s="21">
        <v>7.5</v>
      </c>
      <c r="M466" s="21"/>
    </row>
    <row r="467" spans="1:13" s="9" customFormat="1">
      <c r="A467" s="6">
        <v>34182</v>
      </c>
      <c r="B467" s="7">
        <v>3.19</v>
      </c>
      <c r="C467" s="7">
        <v>6.97</v>
      </c>
      <c r="D467" s="59"/>
      <c r="E467" s="25">
        <v>-1.1089</v>
      </c>
      <c r="F467" s="21">
        <v>1.57</v>
      </c>
      <c r="G467" s="21">
        <v>2.37</v>
      </c>
      <c r="H467" s="21"/>
      <c r="I467" s="54">
        <v>20.81</v>
      </c>
      <c r="J467" s="21"/>
      <c r="K467" s="21"/>
      <c r="L467" s="21">
        <v>7.6</v>
      </c>
      <c r="M467" s="21"/>
    </row>
    <row r="468" spans="1:13" s="9" customFormat="1">
      <c r="A468" s="6">
        <v>34213</v>
      </c>
      <c r="B468" s="7">
        <v>3.99</v>
      </c>
      <c r="C468" s="7">
        <v>6.95</v>
      </c>
      <c r="D468" s="59"/>
      <c r="E468" s="25">
        <v>-1.07785</v>
      </c>
      <c r="F468" s="21">
        <v>1.51</v>
      </c>
      <c r="G468" s="21">
        <v>2.42</v>
      </c>
      <c r="H468" s="21"/>
      <c r="I468" s="54">
        <v>20.99</v>
      </c>
      <c r="J468" s="21"/>
      <c r="K468" s="21"/>
      <c r="L468" s="21">
        <v>6.8</v>
      </c>
      <c r="M468" s="21"/>
    </row>
    <row r="469" spans="1:13" s="9" customFormat="1">
      <c r="A469" s="6">
        <v>34243</v>
      </c>
      <c r="B469" s="7">
        <v>3.03</v>
      </c>
      <c r="C469" s="7">
        <v>6.86</v>
      </c>
      <c r="D469" s="59"/>
      <c r="E469" s="25">
        <v>-0.99965000000000004</v>
      </c>
      <c r="F469" s="21">
        <v>1.44</v>
      </c>
      <c r="G469" s="21">
        <v>2.33</v>
      </c>
      <c r="H469" s="21"/>
      <c r="I469" s="54">
        <v>21.11</v>
      </c>
      <c r="J469" s="21"/>
      <c r="K469" s="21"/>
      <c r="L469" s="21">
        <v>6.2</v>
      </c>
      <c r="M469" s="21"/>
    </row>
    <row r="470" spans="1:13" s="9" customFormat="1">
      <c r="A470" s="6">
        <v>34274</v>
      </c>
      <c r="B470" s="7">
        <v>3.16</v>
      </c>
      <c r="C470" s="7">
        <v>7.31</v>
      </c>
      <c r="D470" s="59"/>
      <c r="E470" s="25">
        <v>-0.95936999999999995</v>
      </c>
      <c r="F470" s="21">
        <v>1.61</v>
      </c>
      <c r="G470" s="21">
        <v>2.62</v>
      </c>
      <c r="H470" s="21"/>
      <c r="I470" s="54">
        <v>21.04</v>
      </c>
      <c r="J470" s="21"/>
      <c r="K470" s="21"/>
      <c r="L470" s="21">
        <v>6.2</v>
      </c>
      <c r="M470" s="21"/>
    </row>
    <row r="471" spans="1:13" s="9" customFormat="1">
      <c r="A471" s="6">
        <v>34304</v>
      </c>
      <c r="B471" s="7">
        <v>2.85</v>
      </c>
      <c r="C471" s="7">
        <v>7.13</v>
      </c>
      <c r="D471" s="59"/>
      <c r="E471" s="25">
        <v>-1.0291600000000001</v>
      </c>
      <c r="F471" s="21">
        <v>1.58</v>
      </c>
      <c r="G471" s="21">
        <v>2.76</v>
      </c>
      <c r="H471" s="21"/>
      <c r="I471" s="54">
        <v>21.16</v>
      </c>
      <c r="J471" s="21"/>
      <c r="K471" s="21"/>
      <c r="L471" s="21">
        <v>9</v>
      </c>
      <c r="M471" s="21"/>
    </row>
    <row r="472" spans="1:13" s="9" customFormat="1">
      <c r="A472" s="6">
        <v>34335</v>
      </c>
      <c r="B472" s="7">
        <v>3.68</v>
      </c>
      <c r="C472" s="7">
        <v>6.97</v>
      </c>
      <c r="D472" s="59">
        <v>-0.24560000000000001</v>
      </c>
      <c r="E472" s="25">
        <v>-1.0381400000000001</v>
      </c>
      <c r="F472" s="21">
        <v>1.58</v>
      </c>
      <c r="G472" s="21">
        <v>2.65</v>
      </c>
      <c r="H472" s="21"/>
      <c r="I472" s="54">
        <v>21.41</v>
      </c>
      <c r="J472" s="21"/>
      <c r="K472" s="21"/>
      <c r="L472" s="21">
        <v>7</v>
      </c>
      <c r="M472" s="21"/>
    </row>
    <row r="473" spans="1:13" s="9" customFormat="1">
      <c r="A473" s="6">
        <v>34366</v>
      </c>
      <c r="B473" s="7">
        <v>3.49</v>
      </c>
      <c r="C473" s="7">
        <v>7.32</v>
      </c>
      <c r="D473" s="59">
        <v>-0.32469999999999999</v>
      </c>
      <c r="E473" s="25">
        <v>-0.93469999999999998</v>
      </c>
      <c r="F473" s="21">
        <v>1.48</v>
      </c>
      <c r="G473" s="21">
        <v>2.68</v>
      </c>
      <c r="H473" s="21"/>
      <c r="I473" s="54">
        <v>21.26</v>
      </c>
      <c r="J473" s="21"/>
      <c r="K473" s="21"/>
      <c r="L473" s="21">
        <v>6.4</v>
      </c>
      <c r="M473" s="21"/>
    </row>
    <row r="474" spans="1:13" s="9" customFormat="1">
      <c r="A474" s="6">
        <v>34394</v>
      </c>
      <c r="B474" s="7">
        <v>4.18</v>
      </c>
      <c r="C474" s="7">
        <v>7.8</v>
      </c>
      <c r="D474" s="59">
        <v>-0.27329999999999999</v>
      </c>
      <c r="E474" s="25">
        <v>-0.79227999999999998</v>
      </c>
      <c r="F474" s="21">
        <v>1.56</v>
      </c>
      <c r="G474" s="21">
        <v>3.21</v>
      </c>
      <c r="H474" s="21"/>
      <c r="I474" s="54">
        <v>20.83</v>
      </c>
      <c r="J474" s="21"/>
      <c r="K474" s="21"/>
      <c r="L474" s="21">
        <v>6.7</v>
      </c>
      <c r="M474" s="21"/>
    </row>
    <row r="475" spans="1:13" s="9" customFormat="1">
      <c r="A475" s="6">
        <v>34425</v>
      </c>
      <c r="B475" s="7">
        <v>3.73</v>
      </c>
      <c r="C475" s="7">
        <v>8.32</v>
      </c>
      <c r="D475" s="59">
        <v>-0.10680000000000001</v>
      </c>
      <c r="E475" s="25">
        <v>-0.73028000000000004</v>
      </c>
      <c r="F475" s="21">
        <v>1.33</v>
      </c>
      <c r="G475" s="21">
        <v>3.09</v>
      </c>
      <c r="H475" s="21"/>
      <c r="I475" s="54">
        <v>20.05</v>
      </c>
      <c r="J475" s="21"/>
      <c r="K475" s="21"/>
      <c r="L475" s="21">
        <v>6.3</v>
      </c>
      <c r="M475" s="21"/>
    </row>
    <row r="476" spans="1:13" s="9" customFormat="1">
      <c r="A476" s="6">
        <v>34455</v>
      </c>
      <c r="B476" s="7">
        <v>4.5999999999999996</v>
      </c>
      <c r="C476" s="7">
        <v>8.5299999999999994</v>
      </c>
      <c r="D476" s="59">
        <v>-0.2263</v>
      </c>
      <c r="E476" s="25">
        <v>-0.75172000000000005</v>
      </c>
      <c r="F476" s="21">
        <v>1.1599999999999999</v>
      </c>
      <c r="G476" s="21">
        <v>2.86</v>
      </c>
      <c r="H476" s="21"/>
      <c r="I476" s="54">
        <v>20.190000000000001</v>
      </c>
      <c r="J476" s="21"/>
      <c r="K476" s="21"/>
      <c r="L476" s="21">
        <v>7.5</v>
      </c>
      <c r="M476" s="21"/>
    </row>
    <row r="477" spans="1:13" s="9" customFormat="1">
      <c r="A477" s="6">
        <v>34486</v>
      </c>
      <c r="B477" s="7">
        <v>5.96</v>
      </c>
      <c r="C477" s="7">
        <v>8.4600000000000009</v>
      </c>
      <c r="D477" s="59">
        <v>-0.1376</v>
      </c>
      <c r="E477" s="25">
        <v>-0.74048000000000003</v>
      </c>
      <c r="F477" s="21">
        <v>1.1499999999999999</v>
      </c>
      <c r="G477" s="21">
        <v>3.08</v>
      </c>
      <c r="H477" s="21"/>
      <c r="I477" s="54">
        <v>20.29</v>
      </c>
      <c r="J477" s="21"/>
      <c r="K477" s="21"/>
      <c r="L477" s="21">
        <v>6.8</v>
      </c>
      <c r="M477" s="21"/>
    </row>
    <row r="478" spans="1:13" s="9" customFormat="1">
      <c r="A478" s="6">
        <v>34516</v>
      </c>
      <c r="B478" s="7">
        <v>4.29</v>
      </c>
      <c r="C478" s="7">
        <v>8.57</v>
      </c>
      <c r="D478" s="59">
        <v>-0.24399999999999999</v>
      </c>
      <c r="E478" s="25">
        <v>-0.77759</v>
      </c>
      <c r="F478" s="21">
        <v>1.1299999999999999</v>
      </c>
      <c r="G478" s="21">
        <v>2.73</v>
      </c>
      <c r="H478" s="21"/>
      <c r="I478" s="54">
        <v>20.07</v>
      </c>
      <c r="J478" s="21"/>
      <c r="K478" s="21"/>
      <c r="L478" s="21">
        <v>6.9</v>
      </c>
      <c r="M478" s="21"/>
    </row>
    <row r="479" spans="1:13" s="9" customFormat="1">
      <c r="A479" s="6">
        <v>34547</v>
      </c>
      <c r="B479" s="7">
        <v>4.7</v>
      </c>
      <c r="C479" s="7">
        <v>8.56</v>
      </c>
      <c r="D479" s="59">
        <v>-0.34300000000000003</v>
      </c>
      <c r="E479" s="25">
        <v>-0.82204999999999995</v>
      </c>
      <c r="F479" s="21">
        <v>1.02</v>
      </c>
      <c r="G479" s="21">
        <v>2.5099999999999998</v>
      </c>
      <c r="H479" s="21"/>
      <c r="I479" s="54">
        <v>20.53</v>
      </c>
      <c r="J479" s="21"/>
      <c r="K479" s="21"/>
      <c r="L479" s="21">
        <v>6.4</v>
      </c>
      <c r="M479" s="21"/>
    </row>
    <row r="480" spans="1:13" s="9" customFormat="1">
      <c r="A480" s="6">
        <v>34578</v>
      </c>
      <c r="B480" s="7">
        <v>5.44</v>
      </c>
      <c r="C480" s="7">
        <v>8.82</v>
      </c>
      <c r="D480" s="59">
        <v>-0.24590000000000001</v>
      </c>
      <c r="E480" s="25">
        <v>-0.69069000000000003</v>
      </c>
      <c r="F480" s="21">
        <v>1</v>
      </c>
      <c r="G480" s="21">
        <v>2.82</v>
      </c>
      <c r="H480" s="21"/>
      <c r="I480" s="54">
        <v>20.57</v>
      </c>
      <c r="J480" s="21"/>
      <c r="K480" s="21"/>
      <c r="L480" s="21">
        <v>6.7</v>
      </c>
      <c r="M480" s="21"/>
    </row>
    <row r="481" spans="1:13" s="9" customFormat="1">
      <c r="A481" s="6">
        <v>34608</v>
      </c>
      <c r="B481" s="7">
        <v>4.9000000000000004</v>
      </c>
      <c r="C481" s="7">
        <v>9.0299999999999994</v>
      </c>
      <c r="D481" s="59">
        <v>-0.25850000000000001</v>
      </c>
      <c r="E481" s="25">
        <v>-0.60121999999999998</v>
      </c>
      <c r="F481" s="21">
        <v>0.97</v>
      </c>
      <c r="G481" s="21">
        <v>2.61</v>
      </c>
      <c r="H481" s="21"/>
      <c r="I481" s="54">
        <v>20.39</v>
      </c>
      <c r="J481" s="21"/>
      <c r="K481" s="21"/>
      <c r="L481" s="21">
        <v>7</v>
      </c>
      <c r="M481" s="21"/>
    </row>
    <row r="482" spans="1:13" s="9" customFormat="1">
      <c r="A482" s="6">
        <v>34639</v>
      </c>
      <c r="B482" s="7">
        <v>5.66</v>
      </c>
      <c r="C482" s="7">
        <v>9.25</v>
      </c>
      <c r="D482" s="59">
        <v>-0.22450000000000001</v>
      </c>
      <c r="E482" s="25">
        <v>-0.51451999999999998</v>
      </c>
      <c r="F482" s="21">
        <v>0.51</v>
      </c>
      <c r="G482" s="21">
        <v>2.19</v>
      </c>
      <c r="H482" s="21"/>
      <c r="I482" s="54">
        <v>20.21</v>
      </c>
      <c r="J482" s="21"/>
      <c r="K482" s="21"/>
      <c r="L482" s="21">
        <v>6.9</v>
      </c>
      <c r="M482" s="21"/>
    </row>
    <row r="483" spans="1:13" s="9" customFormat="1">
      <c r="A483" s="6">
        <v>34669</v>
      </c>
      <c r="B483" s="7">
        <v>4.9400000000000004</v>
      </c>
      <c r="C483" s="7">
        <v>9.18</v>
      </c>
      <c r="D483" s="59">
        <v>-6.2899999999999998E-2</v>
      </c>
      <c r="E483" s="25">
        <v>-0.39796999999999999</v>
      </c>
      <c r="F483" s="21">
        <v>0.15</v>
      </c>
      <c r="G483" s="21">
        <v>2.16</v>
      </c>
      <c r="H483" s="21"/>
      <c r="I483" s="54">
        <v>19.91</v>
      </c>
      <c r="J483" s="21"/>
      <c r="K483" s="21"/>
      <c r="L483" s="21">
        <v>7</v>
      </c>
      <c r="M483" s="21"/>
    </row>
    <row r="484" spans="1:13" s="9" customFormat="1">
      <c r="A484" s="6">
        <v>34700</v>
      </c>
      <c r="B484" s="7">
        <v>5.86</v>
      </c>
      <c r="C484" s="7">
        <v>9.1300000000000008</v>
      </c>
      <c r="D484" s="59">
        <v>-0.36699999999999999</v>
      </c>
      <c r="E484" s="25">
        <v>-0.51427</v>
      </c>
      <c r="F484" s="21">
        <v>0.34</v>
      </c>
      <c r="G484" s="21">
        <v>1.6</v>
      </c>
      <c r="H484" s="21"/>
      <c r="I484" s="54">
        <v>20.22</v>
      </c>
      <c r="J484" s="21"/>
      <c r="K484" s="21"/>
      <c r="L484" s="21">
        <v>7.3</v>
      </c>
      <c r="M484" s="21"/>
    </row>
    <row r="485" spans="1:13" s="9" customFormat="1">
      <c r="A485" s="6">
        <v>34731</v>
      </c>
      <c r="B485" s="7">
        <v>6.1</v>
      </c>
      <c r="C485" s="7">
        <v>8.73</v>
      </c>
      <c r="D485" s="59">
        <v>-0.25019999999999998</v>
      </c>
      <c r="E485" s="25">
        <v>-0.64214000000000004</v>
      </c>
      <c r="F485" s="21">
        <v>0.43</v>
      </c>
      <c r="G485" s="21">
        <v>1.28</v>
      </c>
      <c r="H485" s="21"/>
      <c r="I485" s="54">
        <v>20.8</v>
      </c>
      <c r="J485" s="21"/>
      <c r="K485" s="21"/>
      <c r="L485" s="21">
        <v>7.7</v>
      </c>
      <c r="M485" s="21"/>
    </row>
    <row r="486" spans="1:13" s="9" customFormat="1">
      <c r="A486" s="6">
        <v>34759</v>
      </c>
      <c r="B486" s="7">
        <v>6.3</v>
      </c>
      <c r="C486" s="7">
        <v>8.3800000000000008</v>
      </c>
      <c r="D486" s="59">
        <v>-0.46200000000000002</v>
      </c>
      <c r="E486" s="25">
        <v>-0.65573000000000004</v>
      </c>
      <c r="F486" s="21">
        <v>0.4</v>
      </c>
      <c r="G486" s="21">
        <v>1.32</v>
      </c>
      <c r="H486" s="21"/>
      <c r="I486" s="54">
        <v>21.15</v>
      </c>
      <c r="J486" s="21"/>
      <c r="K486" s="21"/>
      <c r="L486" s="21">
        <v>7.4</v>
      </c>
      <c r="M486" s="21"/>
    </row>
    <row r="487" spans="1:13" s="9" customFormat="1">
      <c r="A487" s="6">
        <v>34790</v>
      </c>
      <c r="B487" s="7">
        <v>6.06</v>
      </c>
      <c r="C487" s="7">
        <v>8.26</v>
      </c>
      <c r="D487" s="59">
        <v>-0.44</v>
      </c>
      <c r="E487" s="25">
        <v>-0.69725999999999999</v>
      </c>
      <c r="F487" s="21">
        <v>0.47</v>
      </c>
      <c r="G487" s="21">
        <v>1.2</v>
      </c>
      <c r="H487" s="21"/>
      <c r="I487" s="54">
        <v>21.64</v>
      </c>
      <c r="J487" s="21"/>
      <c r="K487" s="21"/>
      <c r="L487" s="21">
        <v>6.8</v>
      </c>
      <c r="M487" s="21"/>
    </row>
    <row r="488" spans="1:13" s="9" customFormat="1">
      <c r="A488" s="6">
        <v>34820</v>
      </c>
      <c r="B488" s="7">
        <v>6.17</v>
      </c>
      <c r="C488" s="7">
        <v>7.85</v>
      </c>
      <c r="D488" s="59">
        <v>-0.32300000000000001</v>
      </c>
      <c r="E488" s="25">
        <v>-0.75299000000000005</v>
      </c>
      <c r="F488" s="21">
        <v>0.41</v>
      </c>
      <c r="G488" s="21">
        <v>0.49</v>
      </c>
      <c r="H488" s="21"/>
      <c r="I488" s="54">
        <v>22.19</v>
      </c>
      <c r="J488" s="21"/>
      <c r="K488" s="21"/>
      <c r="L488" s="21">
        <v>7</v>
      </c>
      <c r="M488" s="21"/>
    </row>
    <row r="489" spans="1:13" s="9" customFormat="1">
      <c r="A489" s="6">
        <v>34851</v>
      </c>
      <c r="B489" s="7">
        <v>6.11</v>
      </c>
      <c r="C489" s="7">
        <v>7.53</v>
      </c>
      <c r="D489" s="59">
        <v>-0.2853</v>
      </c>
      <c r="E489" s="25">
        <v>-0.71097999999999995</v>
      </c>
      <c r="F489" s="21">
        <v>0.42</v>
      </c>
      <c r="G489" s="21">
        <v>0.61</v>
      </c>
      <c r="H489" s="21"/>
      <c r="I489" s="54">
        <v>22.72</v>
      </c>
      <c r="J489" s="21"/>
      <c r="K489" s="21"/>
      <c r="L489" s="21">
        <v>6.5</v>
      </c>
      <c r="M489" s="21"/>
    </row>
    <row r="490" spans="1:13" s="9" customFormat="1">
      <c r="A490" s="6">
        <v>34881</v>
      </c>
      <c r="B490" s="7">
        <v>5.97</v>
      </c>
      <c r="C490" s="7">
        <v>7.79</v>
      </c>
      <c r="D490" s="59">
        <v>-0.30520000000000003</v>
      </c>
      <c r="E490" s="25">
        <v>-0.71499000000000001</v>
      </c>
      <c r="F490" s="21">
        <v>0.56999999999999995</v>
      </c>
      <c r="G490" s="21">
        <v>0.85</v>
      </c>
      <c r="H490" s="21"/>
      <c r="I490" s="54">
        <v>23.37</v>
      </c>
      <c r="J490" s="21"/>
      <c r="K490" s="21"/>
      <c r="L490" s="21">
        <v>6.9</v>
      </c>
      <c r="M490" s="21"/>
    </row>
    <row r="491" spans="1:13" s="9" customFormat="1">
      <c r="A491" s="6">
        <v>34912</v>
      </c>
      <c r="B491" s="7">
        <v>5.93</v>
      </c>
      <c r="C491" s="7">
        <v>7.88</v>
      </c>
      <c r="D491" s="59">
        <v>-0.22800000000000001</v>
      </c>
      <c r="E491" s="25">
        <v>-0.74573999999999996</v>
      </c>
      <c r="F491" s="21">
        <v>0.43</v>
      </c>
      <c r="G491" s="21">
        <v>0.83</v>
      </c>
      <c r="H491" s="21"/>
      <c r="I491" s="54">
        <v>23.28</v>
      </c>
      <c r="J491" s="21"/>
      <c r="K491" s="21"/>
      <c r="L491" s="21">
        <v>6.6</v>
      </c>
      <c r="M491" s="21"/>
    </row>
    <row r="492" spans="1:13" s="9" customFormat="1">
      <c r="A492" s="6">
        <v>34943</v>
      </c>
      <c r="B492" s="7">
        <v>6.2</v>
      </c>
      <c r="C492" s="7">
        <v>7.62</v>
      </c>
      <c r="D492" s="59">
        <v>-0.42980000000000002</v>
      </c>
      <c r="E492" s="25">
        <v>-0.72863</v>
      </c>
      <c r="F492" s="21">
        <v>0.34</v>
      </c>
      <c r="G492" s="21">
        <v>0.77</v>
      </c>
      <c r="H492" s="21"/>
      <c r="I492" s="54">
        <v>23.94</v>
      </c>
      <c r="J492" s="21"/>
      <c r="K492" s="21"/>
      <c r="L492" s="21">
        <v>6.6</v>
      </c>
      <c r="M492" s="21"/>
    </row>
    <row r="493" spans="1:13" s="9" customFormat="1">
      <c r="A493" s="6">
        <v>34973</v>
      </c>
      <c r="B493" s="7">
        <v>5.97</v>
      </c>
      <c r="C493" s="7">
        <v>7.45</v>
      </c>
      <c r="D493" s="59">
        <v>-0.16250000000000001</v>
      </c>
      <c r="E493" s="25">
        <v>-0.74123000000000006</v>
      </c>
      <c r="F493" s="21">
        <v>0.42</v>
      </c>
      <c r="G493" s="21">
        <v>0.55000000000000004</v>
      </c>
      <c r="H493" s="21"/>
      <c r="I493" s="54">
        <v>23.93</v>
      </c>
      <c r="J493" s="21"/>
      <c r="K493" s="21"/>
      <c r="L493" s="21">
        <v>7</v>
      </c>
      <c r="M493" s="21"/>
    </row>
    <row r="494" spans="1:13" s="9" customFormat="1">
      <c r="A494" s="6">
        <v>35004</v>
      </c>
      <c r="B494" s="7">
        <v>6.11</v>
      </c>
      <c r="C494" s="7">
        <v>7.35</v>
      </c>
      <c r="D494" s="59">
        <v>-0.46960000000000002</v>
      </c>
      <c r="E494" s="25">
        <v>-0.78983000000000003</v>
      </c>
      <c r="F494" s="21">
        <v>0.4</v>
      </c>
      <c r="G494" s="21">
        <v>0.28000000000000003</v>
      </c>
      <c r="H494" s="21"/>
      <c r="I494" s="54">
        <v>24.35</v>
      </c>
      <c r="J494" s="21"/>
      <c r="K494" s="21"/>
      <c r="L494" s="21">
        <v>6.4</v>
      </c>
      <c r="M494" s="21"/>
    </row>
    <row r="495" spans="1:13" s="9" customFormat="1">
      <c r="A495" s="6">
        <v>35034</v>
      </c>
      <c r="B495" s="7">
        <v>4.7300000000000004</v>
      </c>
      <c r="C495" s="7">
        <v>7.11</v>
      </c>
      <c r="D495" s="59">
        <v>-5.3699999999999998E-2</v>
      </c>
      <c r="E495" s="25">
        <v>-0.77139999999999997</v>
      </c>
      <c r="F495" s="21">
        <v>0.4</v>
      </c>
      <c r="G495" s="21">
        <v>0.48</v>
      </c>
      <c r="H495" s="21"/>
      <c r="I495" s="54">
        <v>25.03</v>
      </c>
      <c r="J495" s="21"/>
      <c r="K495" s="21"/>
      <c r="L495" s="21">
        <v>6</v>
      </c>
      <c r="M495" s="21"/>
    </row>
    <row r="496" spans="1:13" s="9" customFormat="1">
      <c r="A496" s="6">
        <v>35065</v>
      </c>
      <c r="B496" s="7">
        <v>5.71</v>
      </c>
      <c r="C496" s="7">
        <v>7</v>
      </c>
      <c r="D496" s="59">
        <v>-0.4047</v>
      </c>
      <c r="E496" s="25">
        <v>-0.82755000000000001</v>
      </c>
      <c r="F496" s="21">
        <v>0.67</v>
      </c>
      <c r="G496" s="21">
        <v>0.55000000000000004</v>
      </c>
      <c r="H496" s="21"/>
      <c r="I496" s="54">
        <v>24.76</v>
      </c>
      <c r="J496" s="21"/>
      <c r="K496" s="21"/>
      <c r="L496" s="21">
        <v>6.5</v>
      </c>
      <c r="M496" s="21"/>
    </row>
    <row r="497" spans="1:13" s="9" customFormat="1">
      <c r="A497" s="6">
        <v>35096</v>
      </c>
      <c r="B497" s="7">
        <v>6.05</v>
      </c>
      <c r="C497" s="7">
        <v>7.32</v>
      </c>
      <c r="D497" s="59">
        <v>-0.50170000000000003</v>
      </c>
      <c r="E497" s="25">
        <v>-0.85977999999999999</v>
      </c>
      <c r="F497" s="21">
        <v>0.69</v>
      </c>
      <c r="G497" s="21">
        <v>1.1100000000000001</v>
      </c>
      <c r="H497" s="21"/>
      <c r="I497" s="54">
        <v>25.97</v>
      </c>
      <c r="J497" s="21"/>
      <c r="K497" s="21"/>
      <c r="L497" s="21">
        <v>6.6</v>
      </c>
      <c r="M497" s="21"/>
    </row>
    <row r="498" spans="1:13" s="9" customFormat="1">
      <c r="A498" s="6">
        <v>35125</v>
      </c>
      <c r="B498" s="7">
        <v>5.25</v>
      </c>
      <c r="C498" s="7">
        <v>7.69</v>
      </c>
      <c r="D498" s="59">
        <v>-0.1222</v>
      </c>
      <c r="E498" s="25">
        <v>-0.74184000000000005</v>
      </c>
      <c r="F498" s="21">
        <v>0.55000000000000004</v>
      </c>
      <c r="G498" s="21">
        <v>1.21</v>
      </c>
      <c r="H498" s="21"/>
      <c r="I498" s="54">
        <v>25.63</v>
      </c>
      <c r="J498" s="21"/>
      <c r="K498" s="21"/>
      <c r="L498" s="21">
        <v>6.4</v>
      </c>
      <c r="M498" s="21"/>
    </row>
    <row r="499" spans="1:13" s="9" customFormat="1">
      <c r="A499" s="6">
        <v>35156</v>
      </c>
      <c r="B499" s="7">
        <v>5.5</v>
      </c>
      <c r="C499" s="7">
        <v>7.92</v>
      </c>
      <c r="D499" s="59">
        <v>-0.219</v>
      </c>
      <c r="E499" s="25">
        <v>-0.71055000000000001</v>
      </c>
      <c r="F499" s="21">
        <v>0.63</v>
      </c>
      <c r="G499" s="21">
        <v>1.52</v>
      </c>
      <c r="H499" s="21"/>
      <c r="I499" s="54">
        <v>25.42</v>
      </c>
      <c r="J499" s="21"/>
      <c r="K499" s="21"/>
      <c r="L499" s="21">
        <v>5.5</v>
      </c>
      <c r="M499" s="21"/>
    </row>
    <row r="500" spans="1:13" s="9" customFormat="1">
      <c r="A500" s="6">
        <v>35186</v>
      </c>
      <c r="B500" s="7">
        <v>5.31</v>
      </c>
      <c r="C500" s="7">
        <v>8.0299999999999994</v>
      </c>
      <c r="D500" s="59">
        <v>-0.32379999999999998</v>
      </c>
      <c r="E500" s="25">
        <v>-0.75029000000000001</v>
      </c>
      <c r="F500" s="21">
        <v>0.57999999999999996</v>
      </c>
      <c r="G500" s="21">
        <v>1.67</v>
      </c>
      <c r="H500" s="21"/>
      <c r="I500" s="54">
        <v>25.81</v>
      </c>
      <c r="J500" s="21"/>
      <c r="K500" s="21"/>
      <c r="L500" s="21">
        <v>6.5</v>
      </c>
      <c r="M500" s="21"/>
    </row>
    <row r="501" spans="1:13" s="9" customFormat="1">
      <c r="A501" s="6">
        <v>35217</v>
      </c>
      <c r="B501" s="7">
        <v>5</v>
      </c>
      <c r="C501" s="7">
        <v>8.2899999999999991</v>
      </c>
      <c r="D501" s="59">
        <v>-4.9399999999999999E-2</v>
      </c>
      <c r="E501" s="25">
        <v>-0.72604999999999997</v>
      </c>
      <c r="F501" s="21">
        <v>0.62</v>
      </c>
      <c r="G501" s="21">
        <v>1.55</v>
      </c>
      <c r="H501" s="21"/>
      <c r="I501" s="54">
        <v>25.96</v>
      </c>
      <c r="J501" s="21"/>
      <c r="K501" s="21"/>
      <c r="L501" s="21">
        <v>6.9</v>
      </c>
      <c r="M501" s="21"/>
    </row>
    <row r="502" spans="1:13" s="9" customFormat="1">
      <c r="A502" s="6">
        <v>35247</v>
      </c>
      <c r="B502" s="7">
        <v>6.75</v>
      </c>
      <c r="C502" s="7">
        <v>8.19</v>
      </c>
      <c r="D502" s="59">
        <v>-0.1128</v>
      </c>
      <c r="E502" s="25">
        <v>-0.73443000000000003</v>
      </c>
      <c r="F502" s="21">
        <v>0.57999999999999996</v>
      </c>
      <c r="G502" s="21">
        <v>1.48</v>
      </c>
      <c r="H502" s="21"/>
      <c r="I502" s="54">
        <v>24.86</v>
      </c>
      <c r="J502" s="21"/>
      <c r="K502" s="21"/>
      <c r="L502" s="21">
        <v>6.5</v>
      </c>
      <c r="M502" s="21"/>
    </row>
    <row r="503" spans="1:13" s="9" customFormat="1">
      <c r="A503" s="6">
        <v>35278</v>
      </c>
      <c r="B503" s="7">
        <v>5.28</v>
      </c>
      <c r="C503" s="7">
        <v>8.09</v>
      </c>
      <c r="D503" s="59">
        <v>-0.38319999999999999</v>
      </c>
      <c r="E503" s="25">
        <v>-0.77381999999999995</v>
      </c>
      <c r="F503" s="21">
        <v>0.62</v>
      </c>
      <c r="G503" s="21">
        <v>1.67</v>
      </c>
      <c r="H503" s="21"/>
      <c r="I503" s="54">
        <v>25.41</v>
      </c>
      <c r="J503" s="21"/>
      <c r="K503" s="21"/>
      <c r="L503" s="21">
        <v>6.4</v>
      </c>
      <c r="M503" s="21"/>
    </row>
    <row r="504" spans="1:13" s="9" customFormat="1">
      <c r="A504" s="6">
        <v>35309</v>
      </c>
      <c r="B504" s="7">
        <v>6.09</v>
      </c>
      <c r="C504" s="7">
        <v>8.16</v>
      </c>
      <c r="D504" s="59">
        <v>-9.0300000000000005E-2</v>
      </c>
      <c r="E504" s="25">
        <v>-0.74711000000000005</v>
      </c>
      <c r="F504" s="21">
        <v>0.62</v>
      </c>
      <c r="G504" s="21">
        <v>1.58</v>
      </c>
      <c r="H504" s="21"/>
      <c r="I504" s="54">
        <v>25.68</v>
      </c>
      <c r="J504" s="21"/>
      <c r="K504" s="21"/>
      <c r="L504" s="21">
        <v>6.4</v>
      </c>
      <c r="M504" s="21"/>
    </row>
    <row r="505" spans="1:13" s="9" customFormat="1">
      <c r="A505" s="6">
        <v>35339</v>
      </c>
      <c r="B505" s="7">
        <v>5.63</v>
      </c>
      <c r="C505" s="7">
        <v>7.86</v>
      </c>
      <c r="D505" s="59">
        <v>-0.21659999999999999</v>
      </c>
      <c r="E505" s="25">
        <v>-0.78715000000000002</v>
      </c>
      <c r="F505" s="21">
        <v>0.6</v>
      </c>
      <c r="G505" s="21">
        <v>1.2</v>
      </c>
      <c r="H505" s="21"/>
      <c r="I505" s="54">
        <v>26.48</v>
      </c>
      <c r="J505" s="21"/>
      <c r="K505" s="21"/>
      <c r="L505" s="21">
        <v>6.1</v>
      </c>
      <c r="M505" s="21"/>
    </row>
    <row r="506" spans="1:13" s="9" customFormat="1">
      <c r="A506" s="6">
        <v>35370</v>
      </c>
      <c r="B506" s="7">
        <v>5.44</v>
      </c>
      <c r="C506" s="7">
        <v>7.52</v>
      </c>
      <c r="D506" s="59">
        <v>-0.29980000000000001</v>
      </c>
      <c r="E506" s="25">
        <v>-0.79803999999999997</v>
      </c>
      <c r="F506" s="21">
        <v>0.47</v>
      </c>
      <c r="G506" s="21">
        <v>0.93</v>
      </c>
      <c r="H506" s="21"/>
      <c r="I506" s="54">
        <v>27.58</v>
      </c>
      <c r="J506" s="21"/>
      <c r="K506" s="21"/>
      <c r="L506" s="21">
        <v>6.2</v>
      </c>
      <c r="M506" s="21"/>
    </row>
    <row r="507" spans="1:13" s="9" customFormat="1">
      <c r="A507" s="6">
        <v>35400</v>
      </c>
      <c r="B507" s="7">
        <v>6.26</v>
      </c>
      <c r="C507" s="7">
        <v>7.64</v>
      </c>
      <c r="D507" s="59">
        <v>-0.1094</v>
      </c>
      <c r="E507" s="25">
        <v>-0.71226999999999996</v>
      </c>
      <c r="F507" s="21">
        <v>0.55000000000000004</v>
      </c>
      <c r="G507" s="21">
        <v>1.22</v>
      </c>
      <c r="H507" s="21"/>
      <c r="I507" s="54">
        <v>27.72</v>
      </c>
      <c r="J507" s="21"/>
      <c r="K507" s="21"/>
      <c r="L507" s="21">
        <v>6.1</v>
      </c>
      <c r="M507" s="21"/>
    </row>
    <row r="508" spans="1:13" s="9" customFormat="1">
      <c r="A508" s="6">
        <v>35431</v>
      </c>
      <c r="B508" s="7">
        <v>5.37</v>
      </c>
      <c r="C508" s="7">
        <v>7.88</v>
      </c>
      <c r="D508" s="59">
        <v>-0.27829999999999999</v>
      </c>
      <c r="E508" s="25">
        <v>-0.71484000000000003</v>
      </c>
      <c r="F508" s="21">
        <v>0.59</v>
      </c>
      <c r="G508" s="21">
        <v>1.38</v>
      </c>
      <c r="H508" s="21"/>
      <c r="I508" s="54">
        <v>28.33</v>
      </c>
      <c r="J508" s="21"/>
      <c r="K508" s="21"/>
      <c r="L508" s="21">
        <v>5.9</v>
      </c>
      <c r="M508" s="21"/>
    </row>
    <row r="509" spans="1:13" s="9" customFormat="1">
      <c r="A509" s="6">
        <v>35462</v>
      </c>
      <c r="B509" s="7">
        <v>5.5</v>
      </c>
      <c r="C509" s="7">
        <v>7.65</v>
      </c>
      <c r="D509" s="59">
        <v>-0.43759999999999999</v>
      </c>
      <c r="E509" s="25">
        <v>-0.75195999999999996</v>
      </c>
      <c r="F509" s="21">
        <v>0.47</v>
      </c>
      <c r="G509" s="21">
        <v>1.34</v>
      </c>
      <c r="H509" s="21"/>
      <c r="I509" s="54">
        <v>29.26</v>
      </c>
      <c r="J509" s="21"/>
      <c r="K509" s="21"/>
      <c r="L509" s="21">
        <v>6</v>
      </c>
      <c r="M509" s="21"/>
    </row>
    <row r="510" spans="1:13" s="9" customFormat="1">
      <c r="A510" s="6">
        <v>35490</v>
      </c>
      <c r="B510" s="7">
        <v>7.07</v>
      </c>
      <c r="C510" s="7">
        <v>7.97</v>
      </c>
      <c r="D510" s="59">
        <v>-0.42259999999999998</v>
      </c>
      <c r="E510" s="25">
        <v>-0.70228000000000002</v>
      </c>
      <c r="F510" s="21">
        <v>0.47</v>
      </c>
      <c r="G510" s="21">
        <v>1.57</v>
      </c>
      <c r="H510" s="21"/>
      <c r="I510" s="54">
        <v>28.8</v>
      </c>
      <c r="J510" s="21"/>
      <c r="K510" s="21"/>
      <c r="L510" s="21">
        <v>6.1</v>
      </c>
      <c r="M510" s="21"/>
    </row>
    <row r="511" spans="1:13" s="9" customFormat="1">
      <c r="A511" s="6">
        <v>35521</v>
      </c>
      <c r="B511" s="7">
        <v>5.82</v>
      </c>
      <c r="C511" s="7">
        <v>8.08</v>
      </c>
      <c r="D511" s="59">
        <v>-0.26950000000000002</v>
      </c>
      <c r="E511" s="25">
        <v>-0.64605999999999997</v>
      </c>
      <c r="F511" s="21">
        <v>0.43</v>
      </c>
      <c r="G511" s="21">
        <v>1.44</v>
      </c>
      <c r="H511" s="21"/>
      <c r="I511" s="54">
        <v>27.58</v>
      </c>
      <c r="J511" s="21"/>
      <c r="K511" s="21"/>
      <c r="L511" s="21">
        <v>6.2</v>
      </c>
      <c r="M511" s="21"/>
    </row>
    <row r="512" spans="1:13" s="9" customFormat="1">
      <c r="A512" s="6">
        <v>35551</v>
      </c>
      <c r="B512" s="7">
        <v>5.58</v>
      </c>
      <c r="C512" s="7">
        <v>7.94</v>
      </c>
      <c r="D512" s="59">
        <v>-0.26690000000000003</v>
      </c>
      <c r="E512" s="25">
        <v>-0.63560000000000005</v>
      </c>
      <c r="F512" s="21">
        <v>0.45</v>
      </c>
      <c r="G512" s="21">
        <v>1.71</v>
      </c>
      <c r="H512" s="21"/>
      <c r="I512" s="54">
        <v>29.93</v>
      </c>
      <c r="J512" s="21"/>
      <c r="K512" s="21"/>
      <c r="L512" s="21">
        <v>6.5</v>
      </c>
      <c r="M512" s="21"/>
    </row>
    <row r="513" spans="1:13" s="9" customFormat="1">
      <c r="A513" s="6">
        <v>35582</v>
      </c>
      <c r="B513" s="7">
        <v>6.87</v>
      </c>
      <c r="C513" s="7">
        <v>7.58</v>
      </c>
      <c r="D513" s="59">
        <v>-0.13739999999999999</v>
      </c>
      <c r="E513" s="25">
        <v>-0.64463999999999999</v>
      </c>
      <c r="F513" s="21">
        <v>0.43</v>
      </c>
      <c r="G513" s="21">
        <v>1.26</v>
      </c>
      <c r="H513" s="21"/>
      <c r="I513" s="54">
        <v>31.25</v>
      </c>
      <c r="J513" s="21"/>
      <c r="K513" s="21"/>
      <c r="L513" s="21">
        <v>6.3</v>
      </c>
      <c r="M513" s="21"/>
    </row>
    <row r="514" spans="1:13" s="9" customFormat="1">
      <c r="A514" s="6">
        <v>35612</v>
      </c>
      <c r="B514" s="7">
        <v>5.96</v>
      </c>
      <c r="C514" s="7">
        <v>7.43</v>
      </c>
      <c r="D514" s="59">
        <v>-0.33450000000000002</v>
      </c>
      <c r="E514" s="25">
        <v>-0.66617000000000004</v>
      </c>
      <c r="F514" s="21">
        <v>0.28000000000000003</v>
      </c>
      <c r="G514" s="21">
        <v>0.77</v>
      </c>
      <c r="H514" s="21"/>
      <c r="I514" s="54">
        <v>32.76</v>
      </c>
      <c r="J514" s="21"/>
      <c r="K514" s="21"/>
      <c r="L514" s="21">
        <v>5.8</v>
      </c>
      <c r="M514" s="21"/>
    </row>
    <row r="515" spans="1:13" s="9" customFormat="1">
      <c r="A515" s="6">
        <v>35643</v>
      </c>
      <c r="B515" s="7">
        <v>5.52</v>
      </c>
      <c r="C515" s="7">
        <v>7.58</v>
      </c>
      <c r="D515" s="59">
        <v>-0.28160000000000002</v>
      </c>
      <c r="E515" s="25">
        <v>-0.65359999999999996</v>
      </c>
      <c r="F515" s="21">
        <v>0.37</v>
      </c>
      <c r="G515" s="21">
        <v>1.1000000000000001</v>
      </c>
      <c r="H515" s="21"/>
      <c r="I515" s="54">
        <v>32.58</v>
      </c>
      <c r="J515" s="21"/>
      <c r="K515" s="21"/>
      <c r="L515" s="21">
        <v>5.7</v>
      </c>
      <c r="M515" s="21"/>
    </row>
    <row r="516" spans="1:13" s="9" customFormat="1">
      <c r="A516" s="6">
        <v>35674</v>
      </c>
      <c r="B516" s="7">
        <v>5.81</v>
      </c>
      <c r="C516" s="7">
        <v>7.28</v>
      </c>
      <c r="D516" s="59">
        <v>-0.1595</v>
      </c>
      <c r="E516" s="25">
        <v>-0.61682000000000003</v>
      </c>
      <c r="F516" s="21">
        <v>0.32</v>
      </c>
      <c r="G516" s="21">
        <v>1.06</v>
      </c>
      <c r="H516" s="21"/>
      <c r="I516" s="54">
        <v>32.659999999999997</v>
      </c>
      <c r="J516" s="21"/>
      <c r="K516" s="21"/>
      <c r="L516" s="21">
        <v>5.9</v>
      </c>
      <c r="M516" s="21"/>
    </row>
    <row r="517" spans="1:13" s="9" customFormat="1">
      <c r="A517" s="6">
        <v>35704</v>
      </c>
      <c r="B517" s="7">
        <v>5.56</v>
      </c>
      <c r="C517" s="7">
        <v>7.21</v>
      </c>
      <c r="D517" s="59">
        <v>0.60729999999999995</v>
      </c>
      <c r="E517" s="25">
        <v>-0.51054999999999995</v>
      </c>
      <c r="F517" s="21">
        <v>0.21</v>
      </c>
      <c r="G517" s="21">
        <v>0.63</v>
      </c>
      <c r="H517" s="21"/>
      <c r="I517" s="54">
        <v>32.9</v>
      </c>
      <c r="J517" s="21"/>
      <c r="K517" s="21"/>
      <c r="L517" s="21">
        <v>5.9</v>
      </c>
      <c r="M517" s="21"/>
    </row>
    <row r="518" spans="1:13" s="9" customFormat="1">
      <c r="A518" s="6">
        <v>35735</v>
      </c>
      <c r="B518" s="7">
        <v>5.5</v>
      </c>
      <c r="C518" s="7">
        <v>7.17</v>
      </c>
      <c r="D518" s="59">
        <v>-0.15229999999999999</v>
      </c>
      <c r="E518" s="25">
        <v>-0.47323999999999999</v>
      </c>
      <c r="F518" s="21">
        <v>0.1</v>
      </c>
      <c r="G518" s="21">
        <v>0.64</v>
      </c>
      <c r="H518" s="21"/>
      <c r="I518" s="54">
        <v>32.33</v>
      </c>
      <c r="J518" s="21"/>
      <c r="K518" s="21"/>
      <c r="L518" s="21">
        <v>6.1</v>
      </c>
      <c r="M518" s="21"/>
    </row>
    <row r="519" spans="1:13" s="9" customFormat="1">
      <c r="A519" s="6">
        <v>35765</v>
      </c>
      <c r="B519" s="7">
        <v>5.84</v>
      </c>
      <c r="C519" s="7">
        <v>6.99</v>
      </c>
      <c r="D519" s="59">
        <v>8.7999999999999995E-2</v>
      </c>
      <c r="E519" s="25">
        <v>-0.51754</v>
      </c>
      <c r="F519" s="21">
        <v>0.09</v>
      </c>
      <c r="G519" s="21">
        <v>0.39</v>
      </c>
      <c r="H519" s="21"/>
      <c r="I519" s="54">
        <v>33.03</v>
      </c>
      <c r="J519" s="21"/>
      <c r="K519" s="21"/>
      <c r="L519" s="21">
        <v>6.1</v>
      </c>
      <c r="M519" s="21"/>
    </row>
    <row r="520" spans="1:13" s="9" customFormat="1">
      <c r="A520" s="6">
        <v>35796</v>
      </c>
      <c r="B520" s="7">
        <v>5.48</v>
      </c>
      <c r="C520" s="7">
        <v>7.12</v>
      </c>
      <c r="D520" s="59">
        <v>-0.2581</v>
      </c>
      <c r="E520" s="25">
        <v>-0.61651999999999996</v>
      </c>
      <c r="F520" s="21">
        <v>0.21</v>
      </c>
      <c r="G520" s="21">
        <v>0.34</v>
      </c>
      <c r="H520" s="21"/>
      <c r="I520" s="54">
        <v>32.86</v>
      </c>
      <c r="J520" s="21"/>
      <c r="K520" s="21"/>
      <c r="L520" s="21">
        <v>7</v>
      </c>
      <c r="M520" s="21"/>
    </row>
    <row r="521" spans="1:13" s="9" customFormat="1">
      <c r="A521" s="6">
        <v>35827</v>
      </c>
      <c r="B521" s="7">
        <v>5.57</v>
      </c>
      <c r="C521" s="7">
        <v>7.09</v>
      </c>
      <c r="D521" s="59">
        <v>-0.50560000000000005</v>
      </c>
      <c r="E521" s="25">
        <v>-0.66254999999999997</v>
      </c>
      <c r="F521" s="21">
        <v>7.0000000000000007E-2</v>
      </c>
      <c r="G521" s="21">
        <v>0.3</v>
      </c>
      <c r="H521" s="21"/>
      <c r="I521" s="54">
        <v>34.71</v>
      </c>
      <c r="J521" s="21"/>
      <c r="K521" s="21"/>
      <c r="L521" s="21">
        <v>7</v>
      </c>
      <c r="M521" s="21"/>
    </row>
    <row r="522" spans="1:13" s="9" customFormat="1">
      <c r="A522" s="6">
        <v>35855</v>
      </c>
      <c r="B522" s="7">
        <v>5.88</v>
      </c>
      <c r="C522" s="7">
        <v>7.08</v>
      </c>
      <c r="D522" s="59">
        <v>-0.36649999999999999</v>
      </c>
      <c r="E522" s="25">
        <v>-0.63948000000000005</v>
      </c>
      <c r="F522" s="21">
        <v>7.0000000000000007E-2</v>
      </c>
      <c r="G522" s="21">
        <v>0.51</v>
      </c>
      <c r="H522" s="21"/>
      <c r="I522" s="54">
        <v>36.29</v>
      </c>
      <c r="J522" s="21"/>
      <c r="K522" s="21"/>
      <c r="L522" s="21">
        <v>7.1</v>
      </c>
      <c r="M522" s="21"/>
    </row>
    <row r="523" spans="1:13" s="9" customFormat="1">
      <c r="A523" s="6">
        <v>35886</v>
      </c>
      <c r="B523" s="7">
        <v>5.59</v>
      </c>
      <c r="C523" s="7">
        <v>7.15</v>
      </c>
      <c r="D523" s="59">
        <v>-0.24340000000000001</v>
      </c>
      <c r="E523" s="25">
        <v>-0.61194999999999999</v>
      </c>
      <c r="F523" s="21">
        <v>0.09</v>
      </c>
      <c r="G523" s="21">
        <v>0.68</v>
      </c>
      <c r="H523" s="21"/>
      <c r="I523" s="54">
        <v>37.270000000000003</v>
      </c>
      <c r="J523" s="21"/>
      <c r="K523" s="21"/>
      <c r="L523" s="21">
        <v>6.9</v>
      </c>
      <c r="M523" s="21"/>
    </row>
    <row r="524" spans="1:13" s="9" customFormat="1">
      <c r="A524" s="6">
        <v>35916</v>
      </c>
      <c r="B524" s="7">
        <v>5.63</v>
      </c>
      <c r="C524" s="7">
        <v>7.07</v>
      </c>
      <c r="D524" s="59">
        <v>-0.1865</v>
      </c>
      <c r="E524" s="25">
        <v>-0.58352000000000004</v>
      </c>
      <c r="F524" s="21">
        <v>0.03</v>
      </c>
      <c r="G524" s="21">
        <v>0.53</v>
      </c>
      <c r="H524" s="21"/>
      <c r="I524" s="54">
        <v>36.950000000000003</v>
      </c>
      <c r="J524" s="21"/>
      <c r="K524" s="21"/>
      <c r="L524" s="21">
        <v>6.6</v>
      </c>
      <c r="M524" s="21"/>
    </row>
    <row r="525" spans="1:13" s="9" customFormat="1">
      <c r="A525" s="6">
        <v>35947</v>
      </c>
      <c r="B525" s="7">
        <v>7.06</v>
      </c>
      <c r="C525" s="7">
        <v>6.96</v>
      </c>
      <c r="D525" s="59">
        <v>-0.2142</v>
      </c>
      <c r="E525" s="25">
        <v>-0.56920000000000004</v>
      </c>
      <c r="F525" s="21">
        <v>-0.05</v>
      </c>
      <c r="G525" s="21">
        <v>0.34</v>
      </c>
      <c r="H525" s="21"/>
      <c r="I525" s="54">
        <v>36.799999999999997</v>
      </c>
      <c r="J525" s="21"/>
      <c r="K525" s="21"/>
      <c r="L525" s="21">
        <v>6.5</v>
      </c>
      <c r="M525" s="21"/>
    </row>
    <row r="526" spans="1:13" s="9" customFormat="1">
      <c r="A526" s="6">
        <v>35977</v>
      </c>
      <c r="B526" s="7">
        <v>5.63</v>
      </c>
      <c r="C526" s="7">
        <v>6.97</v>
      </c>
      <c r="D526" s="59">
        <v>-0.15129999999999999</v>
      </c>
      <c r="E526" s="25">
        <v>-0.52188000000000001</v>
      </c>
      <c r="F526" s="21">
        <v>0.01</v>
      </c>
      <c r="G526" s="21">
        <v>0.4</v>
      </c>
      <c r="H526" s="21"/>
      <c r="I526" s="54">
        <v>38.26</v>
      </c>
      <c r="J526" s="21"/>
      <c r="K526" s="21"/>
      <c r="L526" s="21">
        <v>6.6</v>
      </c>
      <c r="M526" s="21"/>
    </row>
    <row r="527" spans="1:13" s="9" customFormat="1">
      <c r="A527" s="6">
        <v>36008</v>
      </c>
      <c r="B527" s="7">
        <v>5.89</v>
      </c>
      <c r="C527" s="7">
        <v>6.92</v>
      </c>
      <c r="D527" s="59">
        <v>0.82989999999999997</v>
      </c>
      <c r="E527" s="25">
        <v>-0.31311</v>
      </c>
      <c r="F527" s="21">
        <v>0.14000000000000001</v>
      </c>
      <c r="G527" s="21">
        <v>0.09</v>
      </c>
      <c r="H527" s="21"/>
      <c r="I527" s="54">
        <v>35.42</v>
      </c>
      <c r="J527" s="21"/>
      <c r="K527" s="21"/>
      <c r="L527" s="21">
        <v>6.5</v>
      </c>
      <c r="M527" s="21"/>
    </row>
    <row r="528" spans="1:13" s="9" customFormat="1">
      <c r="A528" s="6">
        <v>36039</v>
      </c>
      <c r="B528" s="7">
        <v>6.14</v>
      </c>
      <c r="C528" s="7">
        <v>6.64</v>
      </c>
      <c r="D528" s="59">
        <v>0.63500000000000001</v>
      </c>
      <c r="E528" s="25">
        <v>-6.7650000000000002E-2</v>
      </c>
      <c r="F528" s="21">
        <v>0.14000000000000001</v>
      </c>
      <c r="G528" s="21">
        <v>7.0000000000000007E-2</v>
      </c>
      <c r="H528" s="21"/>
      <c r="I528" s="54">
        <v>33.53</v>
      </c>
      <c r="J528" s="21"/>
      <c r="K528" s="21"/>
      <c r="L528" s="21">
        <v>6.1</v>
      </c>
      <c r="M528" s="21"/>
    </row>
    <row r="529" spans="1:13" s="9" customFormat="1">
      <c r="A529" s="6">
        <v>36069</v>
      </c>
      <c r="B529" s="7">
        <v>5.35</v>
      </c>
      <c r="C529" s="7">
        <v>6.83</v>
      </c>
      <c r="D529" s="59">
        <v>0.7026</v>
      </c>
      <c r="E529" s="25">
        <v>-1.268E-2</v>
      </c>
      <c r="F529" s="21">
        <v>0.52</v>
      </c>
      <c r="G529" s="21">
        <v>0.31</v>
      </c>
      <c r="H529" s="21"/>
      <c r="I529" s="54">
        <v>33.770000000000003</v>
      </c>
      <c r="J529" s="21"/>
      <c r="K529" s="21"/>
      <c r="L529" s="21">
        <v>5.9</v>
      </c>
      <c r="M529" s="21"/>
    </row>
    <row r="530" spans="1:13" s="9" customFormat="1">
      <c r="A530" s="6">
        <v>36100</v>
      </c>
      <c r="B530" s="7">
        <v>5.1100000000000003</v>
      </c>
      <c r="C530" s="7">
        <v>6.78</v>
      </c>
      <c r="D530" s="59">
        <v>-5.7799999999999997E-2</v>
      </c>
      <c r="E530" s="25">
        <v>-0.12509999999999999</v>
      </c>
      <c r="F530" s="21">
        <v>0.2</v>
      </c>
      <c r="G530" s="21">
        <v>0.17</v>
      </c>
      <c r="H530" s="21"/>
      <c r="I530" s="54">
        <v>37.369999999999997</v>
      </c>
      <c r="J530" s="21"/>
      <c r="K530" s="21"/>
      <c r="L530" s="21">
        <v>6</v>
      </c>
      <c r="M530" s="21"/>
    </row>
    <row r="531" spans="1:13" s="9" customFormat="1">
      <c r="A531" s="6">
        <v>36130</v>
      </c>
      <c r="B531" s="7">
        <v>4.07</v>
      </c>
      <c r="C531" s="7">
        <v>6.83</v>
      </c>
      <c r="D531" s="59">
        <v>0.13159999999999999</v>
      </c>
      <c r="E531" s="25">
        <v>-0.19622999999999999</v>
      </c>
      <c r="F531" s="21">
        <v>0.11</v>
      </c>
      <c r="G531" s="21">
        <v>0.17</v>
      </c>
      <c r="H531" s="21"/>
      <c r="I531" s="54">
        <v>38.82</v>
      </c>
      <c r="J531" s="21"/>
      <c r="K531" s="21"/>
      <c r="L531" s="21">
        <v>5.5</v>
      </c>
      <c r="M531" s="21"/>
    </row>
    <row r="532" spans="1:13" s="9" customFormat="1">
      <c r="A532" s="6">
        <v>36161</v>
      </c>
      <c r="B532" s="7">
        <v>4.79</v>
      </c>
      <c r="C532" s="7">
        <v>6.74</v>
      </c>
      <c r="D532" s="59">
        <v>0.22520000000000001</v>
      </c>
      <c r="E532" s="25">
        <v>-0.28987000000000002</v>
      </c>
      <c r="F532" s="21">
        <v>0.08</v>
      </c>
      <c r="G532" s="21">
        <v>0.18</v>
      </c>
      <c r="H532" s="21"/>
      <c r="I532" s="54">
        <v>40.57</v>
      </c>
      <c r="J532" s="21"/>
      <c r="K532" s="21"/>
      <c r="L532" s="21">
        <v>6.1</v>
      </c>
      <c r="M532" s="21"/>
    </row>
    <row r="533" spans="1:13" s="9" customFormat="1">
      <c r="A533" s="6">
        <v>36192</v>
      </c>
      <c r="B533" s="7">
        <v>4.84</v>
      </c>
      <c r="C533" s="7">
        <v>6.89</v>
      </c>
      <c r="D533" s="59">
        <v>3.2000000000000002E-3</v>
      </c>
      <c r="E533" s="25">
        <v>-0.37390000000000001</v>
      </c>
      <c r="F533" s="21">
        <v>0.16</v>
      </c>
      <c r="G533" s="21">
        <v>0.63</v>
      </c>
      <c r="H533" s="21"/>
      <c r="I533" s="54">
        <v>40.4</v>
      </c>
      <c r="J533" s="21"/>
      <c r="K533" s="21"/>
      <c r="L533" s="21">
        <v>6</v>
      </c>
      <c r="M533" s="21"/>
    </row>
    <row r="534" spans="1:13" s="9" customFormat="1">
      <c r="A534" s="6">
        <v>36220</v>
      </c>
      <c r="B534" s="7">
        <v>4.9800000000000004</v>
      </c>
      <c r="C534" s="7">
        <v>6.98</v>
      </c>
      <c r="D534" s="59">
        <v>0.1019</v>
      </c>
      <c r="E534" s="25">
        <v>-0.41636000000000001</v>
      </c>
      <c r="F534" s="21">
        <v>0.26</v>
      </c>
      <c r="G534" s="21">
        <v>0.76</v>
      </c>
      <c r="H534" s="21"/>
      <c r="I534" s="54">
        <v>41.35</v>
      </c>
      <c r="J534" s="21"/>
      <c r="K534" s="21"/>
      <c r="L534" s="21">
        <v>5.6</v>
      </c>
      <c r="M534" s="21"/>
    </row>
    <row r="535" spans="1:13" s="9" customFormat="1">
      <c r="A535" s="6">
        <v>36251</v>
      </c>
      <c r="B535" s="7">
        <v>5.03</v>
      </c>
      <c r="C535" s="7">
        <v>6.93</v>
      </c>
      <c r="D535" s="59">
        <v>-0.1235</v>
      </c>
      <c r="E535" s="25">
        <v>-0.43580999999999998</v>
      </c>
      <c r="F535" s="21">
        <v>0.28000000000000003</v>
      </c>
      <c r="G535" s="21">
        <v>0.81</v>
      </c>
      <c r="H535" s="21"/>
      <c r="I535" s="54">
        <v>42.7</v>
      </c>
      <c r="J535" s="21"/>
      <c r="K535" s="21"/>
      <c r="L535" s="21">
        <v>4.7</v>
      </c>
      <c r="M535" s="21"/>
    </row>
    <row r="536" spans="1:13" s="9" customFormat="1">
      <c r="A536" s="6">
        <v>36281</v>
      </c>
      <c r="B536" s="7">
        <v>4.6100000000000003</v>
      </c>
      <c r="C536" s="7">
        <v>7.23</v>
      </c>
      <c r="D536" s="59">
        <v>0.25990000000000002</v>
      </c>
      <c r="E536" s="25">
        <v>-0.40695999999999999</v>
      </c>
      <c r="F536" s="21">
        <v>0.22</v>
      </c>
      <c r="G536" s="21">
        <v>0.98</v>
      </c>
      <c r="H536" s="21"/>
      <c r="I536" s="54">
        <v>42.55</v>
      </c>
      <c r="J536" s="21"/>
      <c r="K536" s="21"/>
      <c r="L536" s="21">
        <v>4.4000000000000004</v>
      </c>
      <c r="M536" s="21"/>
    </row>
    <row r="537" spans="1:13" s="9" customFormat="1">
      <c r="A537" s="6">
        <v>36312</v>
      </c>
      <c r="B537" s="7">
        <v>5.12</v>
      </c>
      <c r="C537" s="7">
        <v>7.63</v>
      </c>
      <c r="D537" s="59">
        <v>3.5000000000000001E-3</v>
      </c>
      <c r="E537" s="25">
        <v>-0.33472000000000002</v>
      </c>
      <c r="F537" s="21">
        <v>0.28000000000000003</v>
      </c>
      <c r="G537" s="21">
        <v>1.03</v>
      </c>
      <c r="H537" s="21"/>
      <c r="I537" s="54">
        <v>42.18</v>
      </c>
      <c r="J537" s="21"/>
      <c r="K537" s="21"/>
      <c r="L537" s="21">
        <v>4.3</v>
      </c>
      <c r="M537" s="21"/>
    </row>
    <row r="538" spans="1:13" s="9" customFormat="1">
      <c r="A538" s="6">
        <v>36342</v>
      </c>
      <c r="B538" s="7">
        <v>5.07</v>
      </c>
      <c r="C538" s="7">
        <v>7.7</v>
      </c>
      <c r="D538" s="59">
        <v>0.191</v>
      </c>
      <c r="E538" s="25">
        <v>-0.20967</v>
      </c>
      <c r="F538" s="21">
        <v>0.28999999999999998</v>
      </c>
      <c r="G538" s="21">
        <v>1.17</v>
      </c>
      <c r="H538" s="21"/>
      <c r="I538" s="54">
        <v>43.83</v>
      </c>
      <c r="J538" s="21"/>
      <c r="K538" s="21"/>
      <c r="L538" s="21">
        <v>4.4000000000000004</v>
      </c>
      <c r="M538" s="21"/>
    </row>
    <row r="539" spans="1:13" s="9" customFormat="1">
      <c r="A539" s="6">
        <v>36373</v>
      </c>
      <c r="B539" s="7">
        <v>5.57</v>
      </c>
      <c r="C539" s="7">
        <v>7.8</v>
      </c>
      <c r="D539" s="59">
        <v>8.5199999999999998E-2</v>
      </c>
      <c r="E539" s="25">
        <v>-0.15198</v>
      </c>
      <c r="F539" s="21">
        <v>0.25</v>
      </c>
      <c r="G539" s="21">
        <v>1</v>
      </c>
      <c r="H539" s="21"/>
      <c r="I539" s="54">
        <v>41.93</v>
      </c>
      <c r="J539" s="21"/>
      <c r="K539" s="21"/>
      <c r="L539" s="21">
        <v>4.3</v>
      </c>
      <c r="M539" s="21"/>
    </row>
    <row r="540" spans="1:13" s="9" customFormat="1">
      <c r="A540" s="6">
        <v>36404</v>
      </c>
      <c r="B540" s="7">
        <v>5.51</v>
      </c>
      <c r="C540" s="7">
        <v>7.76</v>
      </c>
      <c r="D540" s="59">
        <v>0.34289999999999998</v>
      </c>
      <c r="E540" s="25">
        <v>-9.9629999999999996E-2</v>
      </c>
      <c r="F540" s="21">
        <v>0.27</v>
      </c>
      <c r="G540" s="21">
        <v>1.02</v>
      </c>
      <c r="H540" s="21"/>
      <c r="I540" s="54">
        <v>41.32</v>
      </c>
      <c r="J540" s="21"/>
      <c r="K540" s="21"/>
      <c r="L540" s="21">
        <v>3.7</v>
      </c>
      <c r="M540" s="21"/>
    </row>
    <row r="541" spans="1:13" s="9" customFormat="1">
      <c r="A541" s="6">
        <v>36434</v>
      </c>
      <c r="B541" s="7">
        <v>5.27</v>
      </c>
      <c r="C541" s="7">
        <v>7.96</v>
      </c>
      <c r="D541" s="59">
        <v>0.14610000000000001</v>
      </c>
      <c r="E541" s="25">
        <v>-0.10141</v>
      </c>
      <c r="F541" s="21">
        <v>0.23</v>
      </c>
      <c r="G541" s="21">
        <v>0.9</v>
      </c>
      <c r="H541" s="21"/>
      <c r="I541" s="54">
        <v>40.549999999999997</v>
      </c>
      <c r="J541" s="21"/>
      <c r="K541" s="21"/>
      <c r="L541" s="21">
        <v>4</v>
      </c>
      <c r="M541" s="21"/>
    </row>
    <row r="542" spans="1:13" s="9" customFormat="1">
      <c r="A542" s="6">
        <v>36465</v>
      </c>
      <c r="B542" s="7">
        <v>5.63</v>
      </c>
      <c r="C542" s="7">
        <v>7.75</v>
      </c>
      <c r="D542" s="59">
        <v>-3.5000000000000001E-3</v>
      </c>
      <c r="E542" s="25">
        <v>-0.16866999999999999</v>
      </c>
      <c r="F542" s="21">
        <v>0.17</v>
      </c>
      <c r="G542" s="21">
        <v>0.88</v>
      </c>
      <c r="H542" s="21"/>
      <c r="I542" s="54">
        <v>43.21</v>
      </c>
      <c r="J542" s="21"/>
      <c r="K542" s="21"/>
      <c r="L542" s="21">
        <v>4.0999999999999996</v>
      </c>
      <c r="M542" s="21"/>
    </row>
    <row r="543" spans="1:13" s="9" customFormat="1">
      <c r="A543" s="6">
        <v>36495</v>
      </c>
      <c r="B543" s="7">
        <v>3.99</v>
      </c>
      <c r="C543" s="7">
        <v>8.06</v>
      </c>
      <c r="D543" s="59">
        <v>0.2369</v>
      </c>
      <c r="E543" s="25">
        <v>-0.16011</v>
      </c>
      <c r="F543" s="21">
        <v>0.21</v>
      </c>
      <c r="G543" s="21">
        <v>1.1200000000000001</v>
      </c>
      <c r="H543" s="21"/>
      <c r="I543" s="54">
        <v>44.19</v>
      </c>
      <c r="J543" s="21"/>
      <c r="K543" s="21"/>
      <c r="L543" s="21">
        <v>3.7</v>
      </c>
      <c r="M543" s="21"/>
    </row>
    <row r="544" spans="1:13" s="9" customFormat="1">
      <c r="A544" s="6">
        <v>36526</v>
      </c>
      <c r="B544" s="7">
        <v>5.87</v>
      </c>
      <c r="C544" s="7">
        <v>8.25</v>
      </c>
      <c r="D544" s="59">
        <v>4.1500000000000002E-2</v>
      </c>
      <c r="E544" s="25">
        <v>-0.21054</v>
      </c>
      <c r="F544" s="21">
        <v>7.0000000000000007E-2</v>
      </c>
      <c r="G544" s="21">
        <v>0.92</v>
      </c>
      <c r="H544" s="21"/>
      <c r="I544" s="54">
        <v>43.77</v>
      </c>
      <c r="J544" s="21"/>
      <c r="K544" s="21"/>
      <c r="L544" s="21">
        <v>4.5</v>
      </c>
      <c r="M544" s="21"/>
    </row>
    <row r="545" spans="1:13" s="9" customFormat="1">
      <c r="A545" s="6">
        <v>36557</v>
      </c>
      <c r="B545" s="7">
        <v>5.85</v>
      </c>
      <c r="C545" s="7">
        <v>8.31</v>
      </c>
      <c r="D545" s="59">
        <v>0.2369</v>
      </c>
      <c r="E545" s="25">
        <v>-0.18966</v>
      </c>
      <c r="F545" s="21">
        <v>-0.11</v>
      </c>
      <c r="G545" s="21">
        <v>0.64</v>
      </c>
      <c r="H545" s="21"/>
      <c r="I545" s="54">
        <v>42.18</v>
      </c>
      <c r="J545" s="21"/>
      <c r="K545" s="21"/>
      <c r="L545" s="21">
        <v>4</v>
      </c>
      <c r="M545" s="21"/>
    </row>
    <row r="546" spans="1:13" s="9" customFormat="1">
      <c r="A546" s="6">
        <v>36586</v>
      </c>
      <c r="B546" s="7">
        <v>6.17</v>
      </c>
      <c r="C546" s="7">
        <v>8.23</v>
      </c>
      <c r="D546" s="59">
        <v>0.1842</v>
      </c>
      <c r="E546" s="25">
        <v>-8.4070000000000006E-2</v>
      </c>
      <c r="F546" s="21">
        <v>-0.47</v>
      </c>
      <c r="G546" s="21">
        <v>0.15</v>
      </c>
      <c r="H546" s="21"/>
      <c r="I546" s="54">
        <v>43.22</v>
      </c>
      <c r="J546" s="21"/>
      <c r="K546" s="21"/>
      <c r="L546" s="21">
        <v>3.8</v>
      </c>
      <c r="M546" s="21"/>
    </row>
    <row r="547" spans="1:13" s="9" customFormat="1">
      <c r="A547" s="6">
        <v>36617</v>
      </c>
      <c r="B547" s="7">
        <v>6.06</v>
      </c>
      <c r="C547" s="7">
        <v>8.1300000000000008</v>
      </c>
      <c r="D547" s="59">
        <v>0.24010000000000001</v>
      </c>
      <c r="E547" s="25">
        <v>-2.2239999999999999E-2</v>
      </c>
      <c r="F547" s="21">
        <v>-0.45</v>
      </c>
      <c r="G547" s="21">
        <v>0.41</v>
      </c>
      <c r="H547" s="21"/>
      <c r="I547" s="54">
        <v>43.53</v>
      </c>
      <c r="J547" s="21"/>
      <c r="K547" s="21"/>
      <c r="L547" s="21">
        <v>4.3</v>
      </c>
      <c r="M547" s="21"/>
    </row>
    <row r="548" spans="1:13" s="9" customFormat="1">
      <c r="A548" s="6">
        <v>36647</v>
      </c>
      <c r="B548" s="7">
        <v>6.83</v>
      </c>
      <c r="C548" s="7">
        <v>8.6199999999999992</v>
      </c>
      <c r="D548" s="59">
        <v>0.54310000000000003</v>
      </c>
      <c r="E548" s="25">
        <v>4.3389999999999998E-2</v>
      </c>
      <c r="F548" s="21">
        <v>-0.4</v>
      </c>
      <c r="G548" s="21">
        <v>0.66</v>
      </c>
      <c r="H548" s="21"/>
      <c r="I548" s="54">
        <v>41.96</v>
      </c>
      <c r="J548" s="21"/>
      <c r="K548" s="21"/>
      <c r="L548" s="21">
        <v>4.3</v>
      </c>
      <c r="M548" s="21"/>
    </row>
    <row r="549" spans="1:13" s="9" customFormat="1">
      <c r="A549" s="6">
        <v>36678</v>
      </c>
      <c r="B549" s="7">
        <v>6.86</v>
      </c>
      <c r="C549" s="7">
        <v>8.2200000000000006</v>
      </c>
      <c r="D549" s="59">
        <v>0.32500000000000001</v>
      </c>
      <c r="E549" s="25">
        <v>9.7699999999999992E-3</v>
      </c>
      <c r="F549" s="21">
        <v>-0.35</v>
      </c>
      <c r="G549" s="21">
        <v>0.15</v>
      </c>
      <c r="H549" s="21"/>
      <c r="I549" s="54">
        <v>42.78</v>
      </c>
      <c r="J549" s="21"/>
      <c r="K549" s="21"/>
      <c r="L549" s="21">
        <v>4.3</v>
      </c>
      <c r="M549" s="21"/>
    </row>
    <row r="550" spans="1:13" s="9" customFormat="1">
      <c r="A550" s="6">
        <v>36708</v>
      </c>
      <c r="B550" s="7">
        <v>6.64</v>
      </c>
      <c r="C550" s="7">
        <v>8.1300000000000008</v>
      </c>
      <c r="D550" s="59">
        <v>0.10340000000000001</v>
      </c>
      <c r="E550" s="25">
        <v>-0.10918</v>
      </c>
      <c r="F550" s="21">
        <v>-0.26</v>
      </c>
      <c r="G550" s="21">
        <v>-0.23</v>
      </c>
      <c r="H550" s="21"/>
      <c r="I550" s="54">
        <v>42.75</v>
      </c>
      <c r="J550" s="21"/>
      <c r="K550" s="21"/>
      <c r="L550" s="21">
        <v>4.7</v>
      </c>
      <c r="M550" s="21"/>
    </row>
    <row r="551" spans="1:13" s="9" customFormat="1">
      <c r="A551" s="6">
        <v>36739</v>
      </c>
      <c r="B551" s="7">
        <v>6.65</v>
      </c>
      <c r="C551" s="7">
        <v>7.99</v>
      </c>
      <c r="D551" s="59">
        <v>-4.4000000000000003E-3</v>
      </c>
      <c r="E551" s="25">
        <v>-0.19092000000000001</v>
      </c>
      <c r="F551" s="21">
        <v>-0.45</v>
      </c>
      <c r="G551" s="21">
        <v>-0.57999999999999996</v>
      </c>
      <c r="H551" s="21"/>
      <c r="I551" s="54">
        <v>42.87</v>
      </c>
      <c r="J551" s="21"/>
      <c r="K551" s="21"/>
      <c r="L551" s="21">
        <v>4.8</v>
      </c>
      <c r="M551" s="21"/>
    </row>
    <row r="552" spans="1:13" s="9" customFormat="1">
      <c r="A552" s="6">
        <v>36770</v>
      </c>
      <c r="B552" s="7">
        <v>6.6</v>
      </c>
      <c r="C552" s="7">
        <v>7.88</v>
      </c>
      <c r="D552" s="59">
        <v>0.10489999999999999</v>
      </c>
      <c r="E552" s="25">
        <v>-0.18740000000000001</v>
      </c>
      <c r="F552" s="21">
        <v>-0.18</v>
      </c>
      <c r="G552" s="21">
        <v>-0.43</v>
      </c>
      <c r="H552" s="21"/>
      <c r="I552" s="54">
        <v>41.89</v>
      </c>
      <c r="J552" s="21"/>
      <c r="K552" s="21"/>
      <c r="L552" s="21">
        <v>4.0999999999999996</v>
      </c>
      <c r="M552" s="21"/>
    </row>
    <row r="553" spans="1:13" s="9" customFormat="1">
      <c r="A553" s="6">
        <v>36800</v>
      </c>
      <c r="B553" s="7">
        <v>6.59</v>
      </c>
      <c r="C553" s="7">
        <v>7.68</v>
      </c>
      <c r="D553" s="59">
        <v>0.2792</v>
      </c>
      <c r="E553" s="25">
        <v>-0.16159999999999999</v>
      </c>
      <c r="F553" s="21">
        <v>-0.17</v>
      </c>
      <c r="G553" s="21">
        <v>-0.61</v>
      </c>
      <c r="H553" s="21"/>
      <c r="I553" s="54">
        <v>39.369999999999997</v>
      </c>
      <c r="J553" s="21"/>
      <c r="K553" s="21"/>
      <c r="L553" s="21">
        <v>4.3</v>
      </c>
      <c r="M553" s="21"/>
    </row>
    <row r="554" spans="1:13" s="9" customFormat="1">
      <c r="A554" s="6">
        <v>36831</v>
      </c>
      <c r="B554" s="7">
        <v>6.62</v>
      </c>
      <c r="C554" s="7">
        <v>7.73</v>
      </c>
      <c r="D554" s="59">
        <v>0.51190000000000002</v>
      </c>
      <c r="E554" s="25">
        <v>-0.10234</v>
      </c>
      <c r="F554" s="21">
        <v>-0.13</v>
      </c>
      <c r="G554" s="21">
        <v>-0.73</v>
      </c>
      <c r="H554" s="21"/>
      <c r="I554" s="54">
        <v>38.78</v>
      </c>
      <c r="J554" s="21"/>
      <c r="K554" s="21"/>
      <c r="L554" s="21">
        <v>4.3</v>
      </c>
      <c r="M554" s="21"/>
    </row>
    <row r="555" spans="1:13" s="9" customFormat="1">
      <c r="A555" s="6">
        <v>36861</v>
      </c>
      <c r="B555" s="7">
        <v>5.41</v>
      </c>
      <c r="C555" s="7">
        <v>7.13</v>
      </c>
      <c r="D555" s="59">
        <v>0.66769999999999996</v>
      </c>
      <c r="E555" s="25">
        <v>-7.5939999999999994E-2</v>
      </c>
      <c r="F555" s="21">
        <v>0.01</v>
      </c>
      <c r="G555" s="21">
        <v>-0.77</v>
      </c>
      <c r="H555" s="21"/>
      <c r="I555" s="54">
        <v>37.270000000000003</v>
      </c>
      <c r="J555" s="21"/>
      <c r="K555" s="21"/>
      <c r="L555" s="21">
        <v>4.0999999999999996</v>
      </c>
      <c r="M555" s="21"/>
    </row>
    <row r="556" spans="1:13" s="9" customFormat="1">
      <c r="A556" s="6">
        <v>36892</v>
      </c>
      <c r="B556" s="7">
        <v>5.74</v>
      </c>
      <c r="C556" s="7">
        <v>7.15</v>
      </c>
      <c r="D556" s="59">
        <v>0.22270000000000001</v>
      </c>
      <c r="E556" s="25">
        <v>-0.23191000000000001</v>
      </c>
      <c r="F556" s="21">
        <v>0.56999999999999995</v>
      </c>
      <c r="G556" s="21">
        <v>0.2</v>
      </c>
      <c r="H556" s="21"/>
      <c r="I556" s="54">
        <v>36.979999999999997</v>
      </c>
      <c r="J556" s="21"/>
      <c r="K556" s="21"/>
      <c r="L556" s="21">
        <v>4.5</v>
      </c>
      <c r="M556" s="21"/>
    </row>
    <row r="557" spans="1:13" s="9" customFormat="1">
      <c r="A557" s="6">
        <v>36923</v>
      </c>
      <c r="B557" s="7">
        <v>5.59</v>
      </c>
      <c r="C557" s="7">
        <v>7.12</v>
      </c>
      <c r="D557" s="59">
        <v>0.61409999999999998</v>
      </c>
      <c r="E557" s="25">
        <v>-0.28388000000000002</v>
      </c>
      <c r="F557" s="21">
        <v>0.51</v>
      </c>
      <c r="G557" s="21">
        <v>7.0000000000000007E-2</v>
      </c>
      <c r="H557" s="21"/>
      <c r="I557" s="54">
        <v>35.83</v>
      </c>
      <c r="J557" s="21"/>
      <c r="K557" s="21"/>
      <c r="L557" s="21">
        <v>4.5999999999999996</v>
      </c>
      <c r="M557" s="21"/>
    </row>
    <row r="558" spans="1:13" s="9" customFormat="1">
      <c r="A558" s="6">
        <v>36951</v>
      </c>
      <c r="B558" s="7">
        <v>5.29</v>
      </c>
      <c r="C558" s="7">
        <v>6.91</v>
      </c>
      <c r="D558" s="59">
        <v>0.47639999999999999</v>
      </c>
      <c r="E558" s="25">
        <v>-0.24856</v>
      </c>
      <c r="F558" s="21">
        <v>0.75</v>
      </c>
      <c r="G558" s="21">
        <v>0.63</v>
      </c>
      <c r="H558" s="21"/>
      <c r="I558" s="54">
        <v>32.32</v>
      </c>
      <c r="J558" s="21"/>
      <c r="K558" s="21"/>
      <c r="L558" s="21">
        <v>4.9000000000000004</v>
      </c>
      <c r="M558" s="21"/>
    </row>
    <row r="559" spans="1:13" s="9" customFormat="1">
      <c r="A559" s="6">
        <v>36982</v>
      </c>
      <c r="B559" s="7">
        <v>4.67</v>
      </c>
      <c r="C559" s="7">
        <v>7.12</v>
      </c>
      <c r="D559" s="59">
        <v>0.71889999999999998</v>
      </c>
      <c r="E559" s="25">
        <v>-0.33119999999999999</v>
      </c>
      <c r="F559" s="21">
        <v>1.05</v>
      </c>
      <c r="G559" s="21">
        <v>1.4</v>
      </c>
      <c r="H559" s="21"/>
      <c r="I559" s="54">
        <v>32.17</v>
      </c>
      <c r="J559" s="21"/>
      <c r="K559" s="21"/>
      <c r="L559" s="21">
        <v>4.8</v>
      </c>
      <c r="M559" s="21"/>
    </row>
    <row r="560" spans="1:13" s="9" customFormat="1">
      <c r="A560" s="6">
        <v>37012</v>
      </c>
      <c r="B560" s="7">
        <v>4.24</v>
      </c>
      <c r="C560" s="7">
        <v>7.2</v>
      </c>
      <c r="D560" s="59">
        <v>0.3241</v>
      </c>
      <c r="E560" s="25">
        <v>-0.42143999999999998</v>
      </c>
      <c r="F560" s="21">
        <v>1.21</v>
      </c>
      <c r="G560" s="21">
        <v>1.8</v>
      </c>
      <c r="H560" s="21"/>
      <c r="I560" s="54">
        <v>34.07</v>
      </c>
      <c r="J560" s="21"/>
      <c r="K560" s="21"/>
      <c r="L560" s="21">
        <v>4.3</v>
      </c>
      <c r="M560" s="21"/>
    </row>
    <row r="561" spans="1:13" s="9" customFormat="1">
      <c r="A561" s="6">
        <v>37043</v>
      </c>
      <c r="B561" s="7">
        <v>3.95</v>
      </c>
      <c r="C561" s="7">
        <v>7.11</v>
      </c>
      <c r="D561" s="59">
        <v>0.25990000000000002</v>
      </c>
      <c r="E561" s="25">
        <v>-0.45602999999999999</v>
      </c>
      <c r="F561" s="21">
        <v>1.17</v>
      </c>
      <c r="G561" s="21">
        <v>1.77</v>
      </c>
      <c r="H561" s="21"/>
      <c r="I561" s="54">
        <v>33.07</v>
      </c>
      <c r="J561" s="21"/>
      <c r="K561" s="21"/>
      <c r="L561" s="21">
        <v>4.2</v>
      </c>
      <c r="M561" s="21"/>
    </row>
    <row r="562" spans="1:13" s="9" customFormat="1">
      <c r="A562" s="6">
        <v>37073</v>
      </c>
      <c r="B562" s="7">
        <v>3.82</v>
      </c>
      <c r="C562" s="7">
        <v>7.03</v>
      </c>
      <c r="D562" s="59">
        <v>0.28710000000000002</v>
      </c>
      <c r="E562" s="25">
        <v>-0.50622</v>
      </c>
      <c r="F562" s="21">
        <v>1.28</v>
      </c>
      <c r="G562" s="21">
        <v>1.53</v>
      </c>
      <c r="H562" s="21"/>
      <c r="I562" s="54">
        <v>32.159999999999997</v>
      </c>
      <c r="J562" s="21"/>
      <c r="K562" s="21"/>
      <c r="L562" s="21">
        <v>5.4</v>
      </c>
      <c r="M562" s="21"/>
    </row>
    <row r="563" spans="1:13" s="9" customFormat="1">
      <c r="A563" s="6">
        <v>37104</v>
      </c>
      <c r="B563" s="7">
        <v>3.66</v>
      </c>
      <c r="C563" s="7">
        <v>6.92</v>
      </c>
      <c r="D563" s="59">
        <v>0.3624</v>
      </c>
      <c r="E563" s="25">
        <v>-0.43675999999999998</v>
      </c>
      <c r="F563" s="21">
        <v>1.21</v>
      </c>
      <c r="G563" s="21">
        <v>1.48</v>
      </c>
      <c r="H563" s="21"/>
      <c r="I563" s="54">
        <v>31.4</v>
      </c>
      <c r="J563" s="21"/>
      <c r="K563" s="21"/>
      <c r="L563" s="21">
        <v>6.5</v>
      </c>
      <c r="M563" s="21"/>
    </row>
    <row r="564" spans="1:13" s="9" customFormat="1">
      <c r="A564" s="6">
        <v>37135</v>
      </c>
      <c r="B564" s="7">
        <v>2.75</v>
      </c>
      <c r="C564" s="7">
        <v>6.72</v>
      </c>
      <c r="D564" s="59">
        <v>0.67989999999999995</v>
      </c>
      <c r="E564" s="25">
        <v>-0.32934999999999998</v>
      </c>
      <c r="F564" s="21">
        <v>1.74</v>
      </c>
      <c r="G564" s="21">
        <v>2.2000000000000002</v>
      </c>
      <c r="H564" s="21"/>
      <c r="I564" s="54">
        <v>27.67</v>
      </c>
      <c r="J564" s="21"/>
      <c r="K564" s="21"/>
      <c r="L564" s="21">
        <v>6.9</v>
      </c>
      <c r="M564" s="21"/>
    </row>
    <row r="565" spans="1:13" s="9" customFormat="1">
      <c r="A565" s="6">
        <v>37165</v>
      </c>
      <c r="B565" s="7">
        <v>2.66</v>
      </c>
      <c r="C565" s="7">
        <v>6.64</v>
      </c>
      <c r="D565" s="59">
        <v>0.69410000000000005</v>
      </c>
      <c r="E565" s="25">
        <v>-0.39732000000000001</v>
      </c>
      <c r="F565" s="21">
        <v>1.86</v>
      </c>
      <c r="G565" s="21">
        <v>2.25</v>
      </c>
      <c r="H565" s="21"/>
      <c r="I565" s="54">
        <v>28.58</v>
      </c>
      <c r="J565" s="21"/>
      <c r="K565" s="21"/>
      <c r="L565" s="21">
        <v>2.9</v>
      </c>
      <c r="M565" s="21"/>
    </row>
    <row r="566" spans="1:13" s="9" customFormat="1">
      <c r="A566" s="6">
        <v>37196</v>
      </c>
      <c r="B566" s="7">
        <v>2.06</v>
      </c>
      <c r="C566" s="7">
        <v>7.02</v>
      </c>
      <c r="D566" s="59">
        <v>0.63460000000000005</v>
      </c>
      <c r="E566" s="25">
        <v>-0.37458000000000002</v>
      </c>
      <c r="F566" s="21">
        <v>1.94</v>
      </c>
      <c r="G566" s="21">
        <v>3</v>
      </c>
      <c r="H566" s="21"/>
      <c r="I566" s="54">
        <v>30.01</v>
      </c>
      <c r="J566" s="21"/>
      <c r="K566" s="21"/>
      <c r="L566" s="21">
        <v>3.4</v>
      </c>
      <c r="M566" s="21"/>
    </row>
    <row r="567" spans="1:13" s="9" customFormat="1">
      <c r="A567" s="6">
        <v>37226</v>
      </c>
      <c r="B567" s="7">
        <v>1.52</v>
      </c>
      <c r="C567" s="7">
        <v>7.16</v>
      </c>
      <c r="D567" s="59">
        <v>0.53569999999999995</v>
      </c>
      <c r="E567" s="25">
        <v>-0.35987999999999998</v>
      </c>
      <c r="F567" s="21">
        <v>2</v>
      </c>
      <c r="G567" s="21">
        <v>3.33</v>
      </c>
      <c r="H567" s="21"/>
      <c r="I567" s="54">
        <v>30.5</v>
      </c>
      <c r="J567" s="21"/>
      <c r="K567" s="21"/>
      <c r="L567" s="21">
        <v>3.7</v>
      </c>
      <c r="M567" s="21"/>
    </row>
    <row r="568" spans="1:13" s="9" customFormat="1">
      <c r="A568" s="6">
        <v>37257</v>
      </c>
      <c r="B568" s="7">
        <v>1.85</v>
      </c>
      <c r="C568" s="7">
        <v>6.96</v>
      </c>
      <c r="D568" s="59">
        <v>0.28920000000000001</v>
      </c>
      <c r="E568" s="25">
        <v>-0.47025</v>
      </c>
      <c r="F568" s="21">
        <v>1.91</v>
      </c>
      <c r="G568" s="21">
        <v>3.31</v>
      </c>
      <c r="H568" s="21"/>
      <c r="I568" s="54">
        <v>30.28</v>
      </c>
      <c r="J568" s="21"/>
      <c r="K568" s="21"/>
      <c r="L568" s="21">
        <v>5.6</v>
      </c>
      <c r="M568" s="21"/>
    </row>
    <row r="569" spans="1:13" s="9" customFormat="1">
      <c r="A569" s="6">
        <v>37288</v>
      </c>
      <c r="B569" s="7">
        <v>1.83</v>
      </c>
      <c r="C569" s="7">
        <v>6.81</v>
      </c>
      <c r="D569" s="59">
        <v>0.497</v>
      </c>
      <c r="E569" s="25">
        <v>-0.49670999999999998</v>
      </c>
      <c r="F569" s="21">
        <v>1.82</v>
      </c>
      <c r="G569" s="21">
        <v>3.09</v>
      </c>
      <c r="H569" s="21"/>
      <c r="I569" s="54">
        <v>29.09</v>
      </c>
      <c r="J569" s="21"/>
      <c r="K569" s="21"/>
      <c r="L569" s="21">
        <v>5.4</v>
      </c>
      <c r="M569" s="21"/>
    </row>
    <row r="570" spans="1:13" s="9" customFormat="1">
      <c r="A570" s="6">
        <v>37316</v>
      </c>
      <c r="B570" s="7">
        <v>1.74</v>
      </c>
      <c r="C570" s="7">
        <v>7.18</v>
      </c>
      <c r="D570" s="59">
        <v>0.29110000000000003</v>
      </c>
      <c r="E570" s="25">
        <v>-0.50805999999999996</v>
      </c>
      <c r="F570" s="21">
        <v>1.7</v>
      </c>
      <c r="G570" s="21">
        <v>3.63</v>
      </c>
      <c r="H570" s="21"/>
      <c r="I570" s="54">
        <v>30.29</v>
      </c>
      <c r="J570" s="21"/>
      <c r="K570" s="21"/>
      <c r="L570" s="21">
        <v>5.5</v>
      </c>
      <c r="M570" s="21"/>
    </row>
    <row r="571" spans="1:13" s="9" customFormat="1">
      <c r="A571" s="6">
        <v>37347</v>
      </c>
      <c r="B571" s="7">
        <v>1.82</v>
      </c>
      <c r="C571" s="7">
        <v>6.88</v>
      </c>
      <c r="D571" s="59">
        <v>0.3362</v>
      </c>
      <c r="E571" s="25">
        <v>-0.58718999999999999</v>
      </c>
      <c r="F571" s="21">
        <v>1.87</v>
      </c>
      <c r="G571" s="21">
        <v>3.34</v>
      </c>
      <c r="H571" s="21"/>
      <c r="I571" s="54">
        <v>29.01</v>
      </c>
      <c r="J571" s="21"/>
      <c r="K571" s="21"/>
      <c r="L571" s="21">
        <v>5.4</v>
      </c>
      <c r="M571" s="21"/>
    </row>
    <row r="572" spans="1:13" s="9" customFormat="1">
      <c r="A572" s="6">
        <v>37377</v>
      </c>
      <c r="B572" s="7">
        <v>1.79</v>
      </c>
      <c r="C572" s="7">
        <v>6.76</v>
      </c>
      <c r="D572" s="59">
        <v>0.29770000000000002</v>
      </c>
      <c r="E572" s="25">
        <v>-0.62922</v>
      </c>
      <c r="F572" s="21">
        <v>1.86</v>
      </c>
      <c r="G572" s="21">
        <v>3.34</v>
      </c>
      <c r="H572" s="21"/>
      <c r="I572" s="54">
        <v>28.13</v>
      </c>
      <c r="J572" s="21"/>
      <c r="K572" s="21"/>
      <c r="L572" s="21">
        <v>6.1</v>
      </c>
      <c r="M572" s="21"/>
    </row>
    <row r="573" spans="1:13" s="9" customFormat="1">
      <c r="A573" s="6">
        <v>37408</v>
      </c>
      <c r="B573" s="7">
        <v>1.73</v>
      </c>
      <c r="C573" s="7">
        <v>6.55</v>
      </c>
      <c r="D573" s="59">
        <v>0.91720000000000002</v>
      </c>
      <c r="E573" s="25">
        <v>-0.54288000000000003</v>
      </c>
      <c r="F573" s="21">
        <v>1.96</v>
      </c>
      <c r="G573" s="21">
        <v>3.16</v>
      </c>
      <c r="H573" s="21"/>
      <c r="I573" s="54">
        <v>26.39</v>
      </c>
      <c r="J573" s="21"/>
      <c r="K573" s="21"/>
      <c r="L573" s="21">
        <v>6.1</v>
      </c>
      <c r="M573" s="21"/>
    </row>
    <row r="574" spans="1:13" s="9" customFormat="1">
      <c r="A574" s="6">
        <v>37438</v>
      </c>
      <c r="B574" s="7">
        <v>1.76</v>
      </c>
      <c r="C574" s="7">
        <v>6.34</v>
      </c>
      <c r="D574" s="59">
        <v>1.4601</v>
      </c>
      <c r="E574" s="25">
        <v>-0.44911000000000001</v>
      </c>
      <c r="F574" s="21">
        <v>2.2799999999999998</v>
      </c>
      <c r="G574" s="21">
        <v>2.8</v>
      </c>
      <c r="H574" s="21"/>
      <c r="I574" s="54">
        <v>23.46</v>
      </c>
      <c r="J574" s="21"/>
      <c r="K574" s="21"/>
      <c r="L574" s="21">
        <v>5.3</v>
      </c>
      <c r="M574" s="21"/>
    </row>
    <row r="575" spans="1:13" s="9" customFormat="1">
      <c r="A575" s="6">
        <v>37469</v>
      </c>
      <c r="B575" s="7">
        <v>1.81</v>
      </c>
      <c r="C575" s="7">
        <v>6.22</v>
      </c>
      <c r="D575" s="59">
        <v>0.78890000000000005</v>
      </c>
      <c r="E575" s="25">
        <v>-0.41060999999999998</v>
      </c>
      <c r="F575" s="21">
        <v>2</v>
      </c>
      <c r="G575" s="21">
        <v>2.4500000000000002</v>
      </c>
      <c r="H575" s="21"/>
      <c r="I575" s="54">
        <v>23.59</v>
      </c>
      <c r="J575" s="21"/>
      <c r="K575" s="21"/>
      <c r="L575" s="21">
        <v>5.2</v>
      </c>
      <c r="M575" s="21"/>
    </row>
    <row r="576" spans="1:13" s="9" customFormat="1">
      <c r="A576" s="6">
        <v>37500</v>
      </c>
      <c r="B576" s="7">
        <v>1.85</v>
      </c>
      <c r="C576" s="7">
        <v>5.99</v>
      </c>
      <c r="D576" s="59">
        <v>1.3741000000000001</v>
      </c>
      <c r="E576" s="25">
        <v>-0.36379</v>
      </c>
      <c r="F576" s="21">
        <v>1.91</v>
      </c>
      <c r="G576" s="21">
        <v>2.06</v>
      </c>
      <c r="H576" s="21"/>
      <c r="I576" s="54">
        <v>22.36</v>
      </c>
      <c r="J576" s="21"/>
      <c r="K576" s="21"/>
      <c r="L576" s="21">
        <v>5.8</v>
      </c>
      <c r="M576" s="21"/>
    </row>
    <row r="577" spans="1:13" s="9" customFormat="1">
      <c r="A577" s="6">
        <v>37530</v>
      </c>
      <c r="B577" s="7">
        <v>1.82</v>
      </c>
      <c r="C577" s="7">
        <v>6.31</v>
      </c>
      <c r="D577" s="59">
        <v>0.92290000000000005</v>
      </c>
      <c r="E577" s="25">
        <v>-0.39459</v>
      </c>
      <c r="F577" s="21">
        <v>2.25</v>
      </c>
      <c r="G577" s="21">
        <v>2.4900000000000002</v>
      </c>
      <c r="H577" s="21"/>
      <c r="I577" s="54">
        <v>21.96</v>
      </c>
      <c r="J577" s="21"/>
      <c r="K577" s="21"/>
      <c r="L577" s="21">
        <v>5.6</v>
      </c>
      <c r="M577" s="21"/>
    </row>
    <row r="578" spans="1:13" s="9" customFormat="1">
      <c r="A578" s="6">
        <v>37561</v>
      </c>
      <c r="B578" s="7">
        <v>1.23</v>
      </c>
      <c r="C578" s="7">
        <v>6.13</v>
      </c>
      <c r="D578" s="59">
        <v>0.6079</v>
      </c>
      <c r="E578" s="25">
        <v>-0.46084000000000003</v>
      </c>
      <c r="F578" s="21">
        <v>2.14</v>
      </c>
      <c r="G578" s="21">
        <v>3</v>
      </c>
      <c r="H578" s="21"/>
      <c r="I578" s="54">
        <v>23.35</v>
      </c>
      <c r="J578" s="21"/>
      <c r="K578" s="21"/>
      <c r="L578" s="21">
        <v>5.6</v>
      </c>
      <c r="M578" s="21"/>
    </row>
    <row r="579" spans="1:13" s="9" customFormat="1">
      <c r="A579" s="6">
        <v>37591</v>
      </c>
      <c r="B579" s="7">
        <v>1.1599999999999999</v>
      </c>
      <c r="C579" s="7">
        <v>5.93</v>
      </c>
      <c r="D579" s="59">
        <v>0.85629999999999995</v>
      </c>
      <c r="E579" s="25">
        <v>-0.47128999999999999</v>
      </c>
      <c r="F579" s="21">
        <v>2.2200000000000002</v>
      </c>
      <c r="G579" s="21">
        <v>2.61</v>
      </c>
      <c r="H579" s="21"/>
      <c r="I579" s="54">
        <v>23.1</v>
      </c>
      <c r="J579" s="21"/>
      <c r="K579" s="21"/>
      <c r="L579" s="21">
        <v>5.3</v>
      </c>
      <c r="M579" s="21"/>
    </row>
    <row r="580" spans="1:13" s="9" customFormat="1">
      <c r="A580" s="6">
        <v>37622</v>
      </c>
      <c r="B580" s="7">
        <v>1.33</v>
      </c>
      <c r="C580" s="7">
        <v>5.9</v>
      </c>
      <c r="D580" s="59">
        <v>0.84260000000000002</v>
      </c>
      <c r="E580" s="25">
        <v>-0.53759999999999997</v>
      </c>
      <c r="F580" s="21">
        <v>2.2799999999999998</v>
      </c>
      <c r="G580" s="21">
        <v>2.82</v>
      </c>
      <c r="H580" s="21">
        <v>2.19</v>
      </c>
      <c r="I580" s="54">
        <v>22.9</v>
      </c>
      <c r="J580" s="60">
        <v>712809</v>
      </c>
      <c r="K580" s="21"/>
      <c r="L580" s="21">
        <v>5.3</v>
      </c>
      <c r="M580" s="21"/>
    </row>
    <row r="581" spans="1:13" s="9" customFormat="1">
      <c r="A581" s="6">
        <v>37653</v>
      </c>
      <c r="B581" s="7">
        <v>1.33</v>
      </c>
      <c r="C581" s="7">
        <v>5.79</v>
      </c>
      <c r="D581" s="59">
        <v>0.61480000000000001</v>
      </c>
      <c r="E581" s="25">
        <v>-0.54495000000000005</v>
      </c>
      <c r="F581" s="21">
        <v>2.1800000000000002</v>
      </c>
      <c r="G581" s="21">
        <v>2.5099999999999998</v>
      </c>
      <c r="H581" s="21">
        <v>1.77</v>
      </c>
      <c r="I581" s="54">
        <v>21.21</v>
      </c>
      <c r="J581" s="60">
        <v>721980</v>
      </c>
      <c r="K581" s="21"/>
      <c r="L581" s="21">
        <v>5.2</v>
      </c>
      <c r="M581" s="21"/>
    </row>
    <row r="582" spans="1:13" s="9" customFormat="1">
      <c r="A582" s="6">
        <v>37681</v>
      </c>
      <c r="B582" s="7">
        <v>1.38</v>
      </c>
      <c r="C582" s="7">
        <v>5.91</v>
      </c>
      <c r="D582" s="59">
        <v>0.58750000000000002</v>
      </c>
      <c r="E582" s="25">
        <v>-0.59585999999999995</v>
      </c>
      <c r="F582" s="21">
        <v>2.3199999999999998</v>
      </c>
      <c r="G582" s="21">
        <v>2.69</v>
      </c>
      <c r="H582" s="21">
        <v>2.0299999999999998</v>
      </c>
      <c r="I582" s="54">
        <v>21.31</v>
      </c>
      <c r="J582" s="60">
        <v>725019</v>
      </c>
      <c r="K582" s="21"/>
      <c r="L582" s="21">
        <v>4.9000000000000004</v>
      </c>
      <c r="M582" s="21"/>
    </row>
    <row r="583" spans="1:13" s="9" customFormat="1">
      <c r="A583" s="6">
        <v>37712</v>
      </c>
      <c r="B583" s="7">
        <v>1.31</v>
      </c>
      <c r="C583" s="7">
        <v>5.79</v>
      </c>
      <c r="D583" s="59">
        <v>0.19670000000000001</v>
      </c>
      <c r="E583" s="25">
        <v>-0.70311999999999997</v>
      </c>
      <c r="F583" s="21">
        <v>2.38</v>
      </c>
      <c r="G583" s="21">
        <v>2.76</v>
      </c>
      <c r="H583" s="21">
        <v>2.16</v>
      </c>
      <c r="I583" s="54">
        <v>22.43</v>
      </c>
      <c r="J583" s="60">
        <v>746294</v>
      </c>
      <c r="K583" s="21"/>
      <c r="L583" s="21">
        <v>5</v>
      </c>
      <c r="M583" s="21"/>
    </row>
    <row r="584" spans="1:13" s="9" customFormat="1">
      <c r="A584" s="6">
        <v>37742</v>
      </c>
      <c r="B584" s="7">
        <v>1.28</v>
      </c>
      <c r="C584" s="7">
        <v>5.31</v>
      </c>
      <c r="D584" s="59">
        <v>0.3382</v>
      </c>
      <c r="E584" s="25">
        <v>-0.73163</v>
      </c>
      <c r="F584" s="21">
        <v>2.04</v>
      </c>
      <c r="G584" s="21">
        <v>2.2599999999999998</v>
      </c>
      <c r="H584" s="21">
        <v>1.77</v>
      </c>
      <c r="I584" s="54">
        <v>23.59</v>
      </c>
      <c r="J584" s="60">
        <v>744896</v>
      </c>
      <c r="K584" s="21"/>
      <c r="L584" s="21">
        <v>5.3</v>
      </c>
      <c r="M584" s="21"/>
    </row>
    <row r="585" spans="1:13" s="9" customFormat="1">
      <c r="A585" s="6">
        <v>37773</v>
      </c>
      <c r="B585" s="7">
        <v>1.45</v>
      </c>
      <c r="C585" s="7">
        <v>5.24</v>
      </c>
      <c r="D585" s="59">
        <v>0.36599999999999999</v>
      </c>
      <c r="E585" s="25">
        <v>-0.73163999999999996</v>
      </c>
      <c r="F585" s="21">
        <v>2.2200000000000002</v>
      </c>
      <c r="G585" s="21">
        <v>2.64</v>
      </c>
      <c r="H585" s="21">
        <v>1.9</v>
      </c>
      <c r="I585" s="54">
        <v>24.83</v>
      </c>
      <c r="J585" s="60">
        <v>744018</v>
      </c>
      <c r="K585" s="21"/>
      <c r="L585" s="21">
        <v>5.0999999999999996</v>
      </c>
      <c r="M585" s="21"/>
    </row>
    <row r="586" spans="1:13" s="9" customFormat="1">
      <c r="A586" s="6">
        <v>37803</v>
      </c>
      <c r="B586" s="7">
        <v>1.04</v>
      </c>
      <c r="C586" s="7">
        <v>5.94</v>
      </c>
      <c r="D586" s="59">
        <v>5.1700000000000003E-2</v>
      </c>
      <c r="E586" s="25">
        <v>-0.72341</v>
      </c>
      <c r="F586" s="21">
        <v>2.69</v>
      </c>
      <c r="G586" s="21">
        <v>3.53</v>
      </c>
      <c r="H586" s="21">
        <v>2.41</v>
      </c>
      <c r="I586" s="54">
        <v>24.87</v>
      </c>
      <c r="J586" s="60">
        <v>740295</v>
      </c>
      <c r="K586" s="21"/>
      <c r="L586" s="21">
        <v>5.9</v>
      </c>
      <c r="M586" s="21"/>
    </row>
    <row r="587" spans="1:13" s="9" customFormat="1">
      <c r="A587" s="6">
        <v>37834</v>
      </c>
      <c r="B587" s="7">
        <v>1.01</v>
      </c>
      <c r="C587" s="7">
        <v>6.32</v>
      </c>
      <c r="D587" s="59">
        <v>1.4200000000000001E-2</v>
      </c>
      <c r="E587" s="25">
        <v>-0.66690000000000005</v>
      </c>
      <c r="F587" s="21">
        <v>2.5</v>
      </c>
      <c r="G587" s="21">
        <v>3.47</v>
      </c>
      <c r="H587" s="21">
        <v>2.29</v>
      </c>
      <c r="I587" s="54">
        <v>24.64</v>
      </c>
      <c r="J587" s="60">
        <v>740637</v>
      </c>
      <c r="K587" s="21"/>
      <c r="L587" s="21">
        <v>5.7</v>
      </c>
      <c r="M587" s="21"/>
    </row>
    <row r="588" spans="1:13" s="9" customFormat="1">
      <c r="A588" s="6">
        <v>37865</v>
      </c>
      <c r="B588" s="7">
        <v>1.17</v>
      </c>
      <c r="C588" s="7">
        <v>5.98</v>
      </c>
      <c r="D588" s="59">
        <v>-2.9600000000000001E-2</v>
      </c>
      <c r="E588" s="25">
        <v>-0.68506</v>
      </c>
      <c r="F588" s="21">
        <v>2.46</v>
      </c>
      <c r="G588" s="21">
        <v>3.01</v>
      </c>
      <c r="H588" s="21">
        <v>1.95</v>
      </c>
      <c r="I588" s="54">
        <v>25.24</v>
      </c>
      <c r="J588" s="60">
        <v>741193</v>
      </c>
      <c r="K588" s="21"/>
      <c r="L588" s="21">
        <v>4.9000000000000004</v>
      </c>
      <c r="M588" s="21"/>
    </row>
    <row r="589" spans="1:13" s="9" customFormat="1">
      <c r="A589" s="6">
        <v>37895</v>
      </c>
      <c r="B589" s="7">
        <v>1.03</v>
      </c>
      <c r="C589" s="7">
        <v>5.94</v>
      </c>
      <c r="D589" s="59">
        <v>-0.2863</v>
      </c>
      <c r="E589" s="25">
        <v>-0.72282000000000002</v>
      </c>
      <c r="F589" s="21">
        <v>2.48</v>
      </c>
      <c r="G589" s="21">
        <v>3.37</v>
      </c>
      <c r="H589" s="21">
        <v>1.93</v>
      </c>
      <c r="I589" s="54">
        <v>25.68</v>
      </c>
      <c r="J589" s="60">
        <v>747272</v>
      </c>
      <c r="K589" s="21"/>
      <c r="L589" s="21">
        <v>5</v>
      </c>
      <c r="M589" s="21"/>
    </row>
    <row r="590" spans="1:13" s="9" customFormat="1">
      <c r="A590" s="6">
        <v>37926</v>
      </c>
      <c r="B590" s="7">
        <v>1.01</v>
      </c>
      <c r="C590" s="7">
        <v>5.89</v>
      </c>
      <c r="D590" s="59">
        <v>-0.41710000000000003</v>
      </c>
      <c r="E590" s="25">
        <v>-0.72213000000000005</v>
      </c>
      <c r="F590" s="21">
        <v>2.2799999999999998</v>
      </c>
      <c r="G590" s="21">
        <v>3.41</v>
      </c>
      <c r="H590" s="21">
        <v>2.0299999999999998</v>
      </c>
      <c r="I590" s="54">
        <v>25.95</v>
      </c>
      <c r="J590" s="60">
        <v>756964</v>
      </c>
      <c r="K590" s="61"/>
      <c r="L590" s="21">
        <v>5</v>
      </c>
      <c r="M590" s="21"/>
    </row>
    <row r="591" spans="1:13" s="9" customFormat="1">
      <c r="A591" s="6">
        <v>37956</v>
      </c>
      <c r="B591" s="7">
        <v>0.94</v>
      </c>
      <c r="C591" s="7">
        <v>5.85</v>
      </c>
      <c r="D591" s="59">
        <v>-0.28539999999999999</v>
      </c>
      <c r="E591" s="25">
        <v>-0.72833999999999999</v>
      </c>
      <c r="F591" s="21">
        <v>2.4300000000000002</v>
      </c>
      <c r="G591" s="21">
        <v>3.32</v>
      </c>
      <c r="H591" s="21">
        <v>2</v>
      </c>
      <c r="I591" s="54">
        <v>26.64</v>
      </c>
      <c r="J591" s="60">
        <v>771551</v>
      </c>
      <c r="K591" s="61"/>
      <c r="L591" s="21">
        <v>5</v>
      </c>
      <c r="M591" s="21"/>
    </row>
    <row r="592" spans="1:13" s="9" customFormat="1">
      <c r="A592" s="6">
        <v>37987</v>
      </c>
      <c r="B592" s="7">
        <v>1.03</v>
      </c>
      <c r="C592" s="7">
        <v>5.68</v>
      </c>
      <c r="D592" s="59">
        <v>-0.44800000000000001</v>
      </c>
      <c r="E592" s="25">
        <v>-0.79483999999999999</v>
      </c>
      <c r="F592" s="21">
        <v>2.3199999999999998</v>
      </c>
      <c r="G592" s="21">
        <v>3.24</v>
      </c>
      <c r="H592" s="21">
        <v>1.85</v>
      </c>
      <c r="I592" s="54">
        <v>27.66</v>
      </c>
      <c r="J592" s="60">
        <v>755279</v>
      </c>
      <c r="K592" s="61">
        <f>IF(Tabela15115[[#This Row],[Fed Assets]]="",#N/A,((Tabela15115[[#This Row],[Fed Assets]]*1)/J580)-1)</f>
        <v>5.9581178127661172E-2</v>
      </c>
      <c r="L592" s="21">
        <v>4.5999999999999996</v>
      </c>
      <c r="M592" s="21"/>
    </row>
    <row r="593" spans="1:13" s="9" customFormat="1">
      <c r="A593" s="6">
        <v>38018</v>
      </c>
      <c r="B593" s="7">
        <v>1.04</v>
      </c>
      <c r="C593" s="7">
        <v>5.58</v>
      </c>
      <c r="D593" s="59">
        <v>-0.54610000000000003</v>
      </c>
      <c r="E593" s="25">
        <v>-0.82332000000000005</v>
      </c>
      <c r="F593" s="21">
        <v>2.33</v>
      </c>
      <c r="G593" s="21">
        <v>3.03</v>
      </c>
      <c r="H593" s="21">
        <v>1.61</v>
      </c>
      <c r="I593" s="54">
        <v>27.65</v>
      </c>
      <c r="J593" s="60">
        <v>750666</v>
      </c>
      <c r="K593" s="61">
        <f>IF(Tabela15115[[#This Row],[Fed Assets]]="",#N/A,((Tabela15115[[#This Row],[Fed Assets]]*1)/J581)-1)</f>
        <v>3.9732402559627733E-2</v>
      </c>
      <c r="L593" s="21">
        <v>4.5999999999999996</v>
      </c>
      <c r="M593" s="21"/>
    </row>
    <row r="594" spans="1:13" s="9" customFormat="1">
      <c r="A594" s="6">
        <v>38047</v>
      </c>
      <c r="B594" s="7">
        <v>1.05</v>
      </c>
      <c r="C594" s="7">
        <v>5.4</v>
      </c>
      <c r="D594" s="59">
        <v>-0.3579</v>
      </c>
      <c r="E594" s="25">
        <v>-0.81513000000000002</v>
      </c>
      <c r="F594" s="21">
        <v>2.2599999999999998</v>
      </c>
      <c r="G594" s="21">
        <v>2.91</v>
      </c>
      <c r="H594" s="21">
        <v>1.48</v>
      </c>
      <c r="I594" s="54">
        <v>26.89</v>
      </c>
      <c r="J594" s="60">
        <v>760725</v>
      </c>
      <c r="K594" s="61">
        <f>IF(Tabela15115[[#This Row],[Fed Assets]]="",#N/A,((Tabela15115[[#This Row],[Fed Assets]]*1)/J582)-1)</f>
        <v>4.9248364525619426E-2</v>
      </c>
      <c r="L594" s="21">
        <v>4.5</v>
      </c>
      <c r="M594" s="21"/>
    </row>
    <row r="595" spans="1:13" s="9" customFormat="1">
      <c r="A595" s="6">
        <v>38078</v>
      </c>
      <c r="B595" s="7">
        <v>1.03</v>
      </c>
      <c r="C595" s="7">
        <v>6.01</v>
      </c>
      <c r="D595" s="59">
        <v>-0.46079999999999999</v>
      </c>
      <c r="E595" s="25">
        <v>-0.74944999999999995</v>
      </c>
      <c r="F595" s="21">
        <v>2.2200000000000002</v>
      </c>
      <c r="G595" s="21">
        <v>3.55</v>
      </c>
      <c r="H595" s="21">
        <v>2.11</v>
      </c>
      <c r="I595" s="54">
        <v>26.9</v>
      </c>
      <c r="J595" s="60">
        <v>772927</v>
      </c>
      <c r="K595" s="61">
        <f>IF(Tabela15115[[#This Row],[Fed Assets]]="",#N/A,((Tabela15115[[#This Row],[Fed Assets]]*1)/J583)-1)</f>
        <v>3.5687008069205994E-2</v>
      </c>
      <c r="L595" s="21">
        <v>4.9000000000000004</v>
      </c>
      <c r="M595" s="21"/>
    </row>
    <row r="596" spans="1:13" s="9" customFormat="1">
      <c r="A596" s="6">
        <v>38108</v>
      </c>
      <c r="B596" s="7">
        <v>1.02</v>
      </c>
      <c r="C596" s="7">
        <v>6.32</v>
      </c>
      <c r="D596" s="59">
        <v>-0.61739999999999995</v>
      </c>
      <c r="E596" s="25">
        <v>-0.69960999999999995</v>
      </c>
      <c r="F596" s="21">
        <v>2.12</v>
      </c>
      <c r="G596" s="21">
        <v>3.58</v>
      </c>
      <c r="H596" s="21">
        <v>2</v>
      </c>
      <c r="I596" s="54">
        <v>25.9</v>
      </c>
      <c r="J596" s="60">
        <v>771108</v>
      </c>
      <c r="K596" s="61">
        <f>IF(Tabela15115[[#This Row],[Fed Assets]]="",#N/A,((Tabela15115[[#This Row],[Fed Assets]]*1)/J584)-1)</f>
        <v>3.5188804880144309E-2</v>
      </c>
      <c r="L596" s="21">
        <v>4.8</v>
      </c>
      <c r="M596" s="21"/>
    </row>
    <row r="597" spans="1:13" s="9" customFormat="1">
      <c r="A597" s="6">
        <v>38139</v>
      </c>
      <c r="B597" s="7">
        <v>1.38</v>
      </c>
      <c r="C597" s="7">
        <v>6.25</v>
      </c>
      <c r="D597" s="59">
        <v>-0.57569999999999999</v>
      </c>
      <c r="E597" s="25">
        <v>-0.69174999999999998</v>
      </c>
      <c r="F597" s="21">
        <v>1.92</v>
      </c>
      <c r="G597" s="21">
        <v>3.29</v>
      </c>
      <c r="H597" s="21">
        <v>2.1</v>
      </c>
      <c r="I597" s="54">
        <v>26.4</v>
      </c>
      <c r="J597" s="60">
        <v>779578</v>
      </c>
      <c r="K597" s="61">
        <f>IF(Tabela15115[[#This Row],[Fed Assets]]="",#N/A,((Tabela15115[[#This Row],[Fed Assets]]*1)/J585)-1)</f>
        <v>4.7794542605152035E-2</v>
      </c>
      <c r="L597" s="21">
        <v>5.4</v>
      </c>
      <c r="M597" s="21"/>
    </row>
    <row r="598" spans="1:13" s="9" customFormat="1">
      <c r="A598" s="6">
        <v>38169</v>
      </c>
      <c r="B598" s="7">
        <v>1.29</v>
      </c>
      <c r="C598" s="7">
        <v>6.08</v>
      </c>
      <c r="D598" s="59">
        <v>-0.59289999999999998</v>
      </c>
      <c r="E598" s="25">
        <v>-0.69576000000000005</v>
      </c>
      <c r="F598" s="21">
        <v>1.82</v>
      </c>
      <c r="G598" s="21">
        <v>3.05</v>
      </c>
      <c r="H598" s="21">
        <v>2.0099999999999998</v>
      </c>
      <c r="I598" s="54">
        <v>25.7</v>
      </c>
      <c r="J598" s="60">
        <v>773916</v>
      </c>
      <c r="K598" s="61">
        <f>IF(Tabela15115[[#This Row],[Fed Assets]]="",#N/A,((Tabela15115[[#This Row],[Fed Assets]]*1)/J586)-1)</f>
        <v>4.5415678884768829E-2</v>
      </c>
      <c r="L598" s="21">
        <v>4.7</v>
      </c>
      <c r="M598" s="21"/>
    </row>
    <row r="599" spans="1:13" s="9" customFormat="1">
      <c r="A599" s="6">
        <v>38200</v>
      </c>
      <c r="B599" s="7">
        <v>1.55</v>
      </c>
      <c r="C599" s="7">
        <v>5.82</v>
      </c>
      <c r="D599" s="59">
        <v>-0.67400000000000004</v>
      </c>
      <c r="E599" s="25">
        <v>-0.70662999999999998</v>
      </c>
      <c r="F599" s="21">
        <v>1.72</v>
      </c>
      <c r="G599" s="21">
        <v>2.54</v>
      </c>
      <c r="H599" s="21">
        <v>1.78</v>
      </c>
      <c r="I599" s="54">
        <v>25.17</v>
      </c>
      <c r="J599" s="60">
        <v>775437</v>
      </c>
      <c r="K599" s="61">
        <f>IF(Tabela15115[[#This Row],[Fed Assets]]="",#N/A,((Tabela15115[[#This Row],[Fed Assets]]*1)/J587)-1)</f>
        <v>4.6986580470594896E-2</v>
      </c>
      <c r="L599" s="21">
        <v>4.7</v>
      </c>
      <c r="M599" s="21"/>
    </row>
    <row r="600" spans="1:13" s="9" customFormat="1">
      <c r="A600" s="6">
        <v>38231</v>
      </c>
      <c r="B600" s="7">
        <v>1.94</v>
      </c>
      <c r="C600" s="7">
        <v>5.72</v>
      </c>
      <c r="D600" s="59">
        <v>-0.67059999999999997</v>
      </c>
      <c r="E600" s="25">
        <v>-0.71111000000000002</v>
      </c>
      <c r="F600" s="21">
        <v>1.51</v>
      </c>
      <c r="G600" s="21">
        <v>2.4300000000000002</v>
      </c>
      <c r="H600" s="21">
        <v>1.77</v>
      </c>
      <c r="I600" s="54">
        <v>25.67</v>
      </c>
      <c r="J600" s="60">
        <v>786330</v>
      </c>
      <c r="K600" s="61">
        <f>IF(Tabela15115[[#This Row],[Fed Assets]]="",#N/A,((Tabela15115[[#This Row],[Fed Assets]]*1)/J588)-1)</f>
        <v>6.0897768867218094E-2</v>
      </c>
      <c r="L600" s="21">
        <v>4.0999999999999996</v>
      </c>
      <c r="M600" s="21"/>
    </row>
    <row r="601" spans="1:13" s="9" customFormat="1">
      <c r="A601" s="6">
        <v>38261</v>
      </c>
      <c r="B601" s="7">
        <v>1.79</v>
      </c>
      <c r="C601" s="7">
        <v>5.64</v>
      </c>
      <c r="D601" s="59">
        <v>-0.70609999999999995</v>
      </c>
      <c r="E601" s="25">
        <v>-0.71157999999999999</v>
      </c>
      <c r="F601" s="21">
        <v>1.49</v>
      </c>
      <c r="G601" s="21">
        <v>2.14</v>
      </c>
      <c r="H601" s="21">
        <v>1.63</v>
      </c>
      <c r="I601" s="54">
        <v>25.41</v>
      </c>
      <c r="J601" s="60">
        <v>791336</v>
      </c>
      <c r="K601" s="61">
        <f>IF(Tabela15115[[#This Row],[Fed Assets]]="",#N/A,((Tabela15115[[#This Row],[Fed Assets]]*1)/J589)-1)</f>
        <v>5.8966480745966665E-2</v>
      </c>
      <c r="L601" s="21">
        <v>3.9</v>
      </c>
      <c r="M601" s="21"/>
    </row>
    <row r="602" spans="1:13" s="9" customFormat="1">
      <c r="A602" s="6">
        <v>38292</v>
      </c>
      <c r="B602" s="7">
        <v>2.02</v>
      </c>
      <c r="C602" s="7">
        <v>5.72</v>
      </c>
      <c r="D602" s="59">
        <v>-0.86770000000000003</v>
      </c>
      <c r="E602" s="25">
        <v>-0.72318000000000005</v>
      </c>
      <c r="F602" s="21">
        <v>1.34</v>
      </c>
      <c r="G602" s="21">
        <v>2.13</v>
      </c>
      <c r="H602" s="21">
        <v>1.75</v>
      </c>
      <c r="I602" s="54">
        <v>26.47</v>
      </c>
      <c r="J602" s="60">
        <v>809956</v>
      </c>
      <c r="K602" s="61">
        <f>IF(Tabela15115[[#This Row],[Fed Assets]]="",#N/A,((Tabela15115[[#This Row],[Fed Assets]]*1)/J590)-1)</f>
        <v>7.0005971221881014E-2</v>
      </c>
      <c r="L602" s="21">
        <v>3.4</v>
      </c>
      <c r="M602" s="21"/>
    </row>
    <row r="603" spans="1:13" s="9" customFormat="1">
      <c r="A603" s="6">
        <v>38322</v>
      </c>
      <c r="B603" s="7">
        <v>1.97</v>
      </c>
      <c r="C603" s="7">
        <v>5.81</v>
      </c>
      <c r="D603" s="59">
        <v>-0.876</v>
      </c>
      <c r="E603" s="25">
        <v>-0.70626</v>
      </c>
      <c r="F603" s="21">
        <v>1.1599999999999999</v>
      </c>
      <c r="G603" s="21">
        <v>2.02</v>
      </c>
      <c r="H603" s="21">
        <v>1.68</v>
      </c>
      <c r="I603" s="54">
        <v>27.14</v>
      </c>
      <c r="J603" s="60">
        <v>810944</v>
      </c>
      <c r="K603" s="61">
        <f>IF(Tabela15115[[#This Row],[Fed Assets]]="",#N/A,((Tabela15115[[#This Row],[Fed Assets]]*1)/J591)-1)</f>
        <v>5.1056897081333652E-2</v>
      </c>
      <c r="L603" s="21">
        <v>6.2</v>
      </c>
      <c r="M603" s="21"/>
    </row>
    <row r="604" spans="1:13" s="9" customFormat="1">
      <c r="A604" s="6">
        <v>38353</v>
      </c>
      <c r="B604" s="7">
        <v>2.5</v>
      </c>
      <c r="C604" s="7">
        <v>5.66</v>
      </c>
      <c r="D604" s="59">
        <v>-0.81859999999999999</v>
      </c>
      <c r="E604" s="25">
        <v>-0.71640999999999999</v>
      </c>
      <c r="F604" s="21">
        <v>0.85</v>
      </c>
      <c r="G604" s="21">
        <v>1.63</v>
      </c>
      <c r="H604" s="21">
        <v>1.65</v>
      </c>
      <c r="I604" s="54">
        <v>26.59</v>
      </c>
      <c r="J604" s="60">
        <v>807262</v>
      </c>
      <c r="K604" s="61">
        <f>IF(Tabela15115[[#This Row],[Fed Assets]]="",#N/A,((Tabela15115[[#This Row],[Fed Assets]]*1)/J592)-1)</f>
        <v>6.8826221833256263E-2</v>
      </c>
      <c r="L604" s="21">
        <v>2.7</v>
      </c>
      <c r="M604" s="21"/>
    </row>
    <row r="605" spans="1:13" s="9" customFormat="1">
      <c r="A605" s="6">
        <v>38384</v>
      </c>
      <c r="B605" s="7">
        <v>2.52</v>
      </c>
      <c r="C605" s="7">
        <v>5.69</v>
      </c>
      <c r="D605" s="59">
        <v>-1.0039</v>
      </c>
      <c r="E605" s="25">
        <v>-0.72565000000000002</v>
      </c>
      <c r="F605" s="21">
        <v>0.77</v>
      </c>
      <c r="G605" s="21">
        <v>1.6</v>
      </c>
      <c r="H605" s="21">
        <v>1.7</v>
      </c>
      <c r="I605" s="54">
        <v>26.74</v>
      </c>
      <c r="J605" s="60">
        <v>804576</v>
      </c>
      <c r="K605" s="61">
        <f>IF(Tabela15115[[#This Row],[Fed Assets]]="",#N/A,((Tabela15115[[#This Row],[Fed Assets]]*1)/J593)-1)</f>
        <v>7.1816227190255155E-2</v>
      </c>
      <c r="L605" s="21">
        <v>2.2999999999999998</v>
      </c>
      <c r="M605" s="21"/>
    </row>
    <row r="606" spans="1:13" s="9" customFormat="1">
      <c r="A606" s="6">
        <v>38412</v>
      </c>
      <c r="B606" s="7">
        <v>2.96</v>
      </c>
      <c r="C606" s="7">
        <v>6.04</v>
      </c>
      <c r="D606" s="59">
        <v>-0.78049999999999997</v>
      </c>
      <c r="E606" s="25">
        <v>-0.67617000000000005</v>
      </c>
      <c r="F606" s="21">
        <v>0.7</v>
      </c>
      <c r="G606" s="21">
        <v>1.71</v>
      </c>
      <c r="H606" s="21">
        <v>1.79</v>
      </c>
      <c r="I606" s="54">
        <v>26.34</v>
      </c>
      <c r="J606" s="60">
        <v>807551</v>
      </c>
      <c r="K606" s="61">
        <f>IF(Tabela15115[[#This Row],[Fed Assets]]="",#N/A,((Tabela15115[[#This Row],[Fed Assets]]*1)/J594)-1)</f>
        <v>6.1554438200400963E-2</v>
      </c>
      <c r="L606" s="21">
        <v>2.5</v>
      </c>
      <c r="M606" s="21"/>
    </row>
    <row r="607" spans="1:13" s="9" customFormat="1">
      <c r="A607" s="6">
        <v>38443</v>
      </c>
      <c r="B607" s="7">
        <v>2.97</v>
      </c>
      <c r="C607" s="7">
        <v>5.78</v>
      </c>
      <c r="D607" s="59">
        <v>-0.78459999999999996</v>
      </c>
      <c r="E607" s="25">
        <v>-0.62172000000000005</v>
      </c>
      <c r="F607" s="21">
        <v>0.55000000000000004</v>
      </c>
      <c r="G607" s="21">
        <v>1.31</v>
      </c>
      <c r="H607" s="21">
        <v>1.61</v>
      </c>
      <c r="I607" s="54">
        <v>25.41</v>
      </c>
      <c r="J607" s="60">
        <v>809797</v>
      </c>
      <c r="K607" s="61">
        <f>IF(Tabela15115[[#This Row],[Fed Assets]]="",#N/A,((Tabela15115[[#This Row],[Fed Assets]]*1)/J595)-1)</f>
        <v>4.7701788137819001E-2</v>
      </c>
      <c r="L607" s="21">
        <v>2.1</v>
      </c>
      <c r="M607" s="21"/>
    </row>
    <row r="608" spans="1:13" s="9" customFormat="1">
      <c r="A608" s="6">
        <v>38473</v>
      </c>
      <c r="B608" s="7">
        <v>3.09</v>
      </c>
      <c r="C608" s="7">
        <v>5.65</v>
      </c>
      <c r="D608" s="59">
        <v>-0.82310000000000005</v>
      </c>
      <c r="E608" s="25">
        <v>-0.61314999999999997</v>
      </c>
      <c r="F608" s="21">
        <v>0.4</v>
      </c>
      <c r="G608" s="21">
        <v>1.01</v>
      </c>
      <c r="H608" s="21">
        <v>1.63</v>
      </c>
      <c r="I608" s="54">
        <v>25.65</v>
      </c>
      <c r="J608" s="60">
        <v>810160</v>
      </c>
      <c r="K608" s="61">
        <f>IF(Tabela15115[[#This Row],[Fed Assets]]="",#N/A,((Tabela15115[[#This Row],[Fed Assets]]*1)/J596)-1)</f>
        <v>5.0644008361993453E-2</v>
      </c>
      <c r="L608" s="21">
        <v>2.6</v>
      </c>
      <c r="M608" s="21"/>
    </row>
    <row r="609" spans="1:13" s="9" customFormat="1">
      <c r="A609" s="6">
        <v>38504</v>
      </c>
      <c r="B609" s="7">
        <v>3.35</v>
      </c>
      <c r="C609" s="7">
        <v>5.53</v>
      </c>
      <c r="D609" s="59">
        <v>-0.69620000000000004</v>
      </c>
      <c r="E609" s="25">
        <v>-0.62234</v>
      </c>
      <c r="F609" s="21">
        <v>0.28000000000000003</v>
      </c>
      <c r="G609" s="21">
        <v>0.81</v>
      </c>
      <c r="H609" s="21">
        <v>1.67</v>
      </c>
      <c r="I609" s="54">
        <v>26.07</v>
      </c>
      <c r="J609" s="60">
        <v>810082</v>
      </c>
      <c r="K609" s="61">
        <f>IF(Tabela15115[[#This Row],[Fed Assets]]="",#N/A,((Tabela15115[[#This Row],[Fed Assets]]*1)/J597)-1)</f>
        <v>3.9128862025352262E-2</v>
      </c>
      <c r="L609" s="21">
        <v>2</v>
      </c>
      <c r="M609" s="21"/>
    </row>
    <row r="610" spans="1:13" s="9" customFormat="1">
      <c r="A610" s="6">
        <v>38534</v>
      </c>
      <c r="B610" s="7">
        <v>3.31</v>
      </c>
      <c r="C610" s="7">
        <v>5.77</v>
      </c>
      <c r="D610" s="59">
        <v>-0.96220000000000006</v>
      </c>
      <c r="E610" s="25">
        <v>-0.63470000000000004</v>
      </c>
      <c r="F610" s="21">
        <v>0.26</v>
      </c>
      <c r="G610" s="21">
        <v>0.86</v>
      </c>
      <c r="H610" s="21">
        <v>1.92</v>
      </c>
      <c r="I610" s="54">
        <v>26.29</v>
      </c>
      <c r="J610" s="60">
        <v>814259</v>
      </c>
      <c r="K610" s="61">
        <f>IF(Tabela15115[[#This Row],[Fed Assets]]="",#N/A,((Tabela15115[[#This Row],[Fed Assets]]*1)/J598)-1)</f>
        <v>5.2128396363429585E-2</v>
      </c>
      <c r="L610" s="21">
        <v>1.4</v>
      </c>
      <c r="M610" s="21"/>
    </row>
    <row r="611" spans="1:13" s="9" customFormat="1">
      <c r="A611" s="6">
        <v>38565</v>
      </c>
      <c r="B611" s="7">
        <v>3.63</v>
      </c>
      <c r="C611" s="7">
        <v>5.77</v>
      </c>
      <c r="D611" s="59">
        <v>-0.83960000000000001</v>
      </c>
      <c r="E611" s="25">
        <v>-0.61663000000000001</v>
      </c>
      <c r="F611" s="21">
        <v>0.18</v>
      </c>
      <c r="G611" s="21">
        <v>0.5</v>
      </c>
      <c r="H611" s="21">
        <v>1.65</v>
      </c>
      <c r="I611" s="54">
        <v>26.1</v>
      </c>
      <c r="J611" s="60">
        <v>823237</v>
      </c>
      <c r="K611" s="61">
        <f>IF(Tabela15115[[#This Row],[Fed Assets]]="",#N/A,((Tabela15115[[#This Row],[Fed Assets]]*1)/J599)-1)</f>
        <v>6.1642660848012065E-2</v>
      </c>
      <c r="L611" s="21">
        <v>2</v>
      </c>
      <c r="M611" s="21"/>
    </row>
    <row r="612" spans="1:13" s="9" customFormat="1">
      <c r="A612" s="6">
        <v>38596</v>
      </c>
      <c r="B612" s="7">
        <v>3.93</v>
      </c>
      <c r="C612" s="7">
        <v>5.91</v>
      </c>
      <c r="D612" s="59">
        <v>-0.88370000000000004</v>
      </c>
      <c r="E612" s="25">
        <v>-0.57752000000000003</v>
      </c>
      <c r="F612" s="21">
        <v>0.16</v>
      </c>
      <c r="G612" s="21">
        <v>0.79</v>
      </c>
      <c r="H612" s="21">
        <v>1.78</v>
      </c>
      <c r="I612" s="54">
        <v>25.73</v>
      </c>
      <c r="J612" s="60">
        <v>823771</v>
      </c>
      <c r="K612" s="61">
        <f>IF(Tabela15115[[#This Row],[Fed Assets]]="",#N/A,((Tabela15115[[#This Row],[Fed Assets]]*1)/J600)-1)</f>
        <v>4.761486907532464E-2</v>
      </c>
      <c r="L612" s="21">
        <v>2</v>
      </c>
      <c r="M612" s="21"/>
    </row>
    <row r="613" spans="1:13" s="9" customFormat="1">
      <c r="A613" s="6">
        <v>38626</v>
      </c>
      <c r="B613" s="7">
        <v>4.0199999999999996</v>
      </c>
      <c r="C613" s="7">
        <v>6.15</v>
      </c>
      <c r="D613" s="59">
        <v>-0.90429999999999999</v>
      </c>
      <c r="E613" s="25">
        <v>-0.59040000000000004</v>
      </c>
      <c r="F613" s="21">
        <v>0.17</v>
      </c>
      <c r="G613" s="21">
        <v>0.59</v>
      </c>
      <c r="H613" s="21">
        <v>2</v>
      </c>
      <c r="I613" s="54">
        <v>24.88</v>
      </c>
      <c r="J613" s="60">
        <v>819105</v>
      </c>
      <c r="K613" s="61">
        <f>IF(Tabela15115[[#This Row],[Fed Assets]]="",#N/A,((Tabela15115[[#This Row],[Fed Assets]]*1)/J601)-1)</f>
        <v>3.509128865614608E-2</v>
      </c>
      <c r="L613" s="21">
        <v>2.2999999999999998</v>
      </c>
      <c r="M613" s="21"/>
    </row>
    <row r="614" spans="1:13" s="9" customFormat="1">
      <c r="A614" s="6">
        <v>38657</v>
      </c>
      <c r="B614" s="7">
        <v>4.03</v>
      </c>
      <c r="C614" s="7">
        <v>6.28</v>
      </c>
      <c r="D614" s="59">
        <v>-0.79449999999999998</v>
      </c>
      <c r="E614" s="25">
        <v>-0.58703000000000005</v>
      </c>
      <c r="F614" s="21">
        <v>7.0000000000000007E-2</v>
      </c>
      <c r="G614" s="21">
        <v>0.54</v>
      </c>
      <c r="H614" s="21">
        <v>2.12</v>
      </c>
      <c r="I614" s="54">
        <v>25.93</v>
      </c>
      <c r="J614" s="60">
        <v>835059</v>
      </c>
      <c r="K614" s="61">
        <f>IF(Tabela15115[[#This Row],[Fed Assets]]="",#N/A,((Tabela15115[[#This Row],[Fed Assets]]*1)/J602)-1)</f>
        <v>3.0993041597321414E-2</v>
      </c>
      <c r="L614" s="21">
        <v>2.6</v>
      </c>
      <c r="M614" s="21"/>
    </row>
    <row r="615" spans="1:13" s="9" customFormat="1">
      <c r="A615" s="6">
        <v>38687</v>
      </c>
      <c r="B615" s="7">
        <v>4.09</v>
      </c>
      <c r="C615" s="7">
        <v>6.22</v>
      </c>
      <c r="D615" s="59">
        <v>-0.67110000000000003</v>
      </c>
      <c r="E615" s="25">
        <v>-0.57735000000000003</v>
      </c>
      <c r="F615" s="21">
        <v>-0.02</v>
      </c>
      <c r="G615" s="21">
        <v>0.31</v>
      </c>
      <c r="H615" s="21">
        <v>2.06</v>
      </c>
      <c r="I615" s="54">
        <v>26.44</v>
      </c>
      <c r="J615" s="60">
        <v>847700</v>
      </c>
      <c r="K615" s="61">
        <f>IF(Tabela15115[[#This Row],[Fed Assets]]="",#N/A,((Tabela15115[[#This Row],[Fed Assets]]*1)/J603)-1)</f>
        <v>4.5324954620787672E-2</v>
      </c>
      <c r="L615" s="21">
        <v>2.5</v>
      </c>
      <c r="M615" s="21"/>
    </row>
    <row r="616" spans="1:13" s="9" customFormat="1">
      <c r="A616" s="6">
        <v>38718</v>
      </c>
      <c r="B616" s="7">
        <v>4.47</v>
      </c>
      <c r="C616" s="7">
        <v>6.12</v>
      </c>
      <c r="D616" s="59">
        <v>-1.0293000000000001</v>
      </c>
      <c r="E616" s="25">
        <v>-0.62675999999999998</v>
      </c>
      <c r="F616" s="21">
        <v>-0.01</v>
      </c>
      <c r="G616" s="21">
        <v>0.06</v>
      </c>
      <c r="H616" s="21">
        <v>2</v>
      </c>
      <c r="I616" s="54">
        <v>26.47</v>
      </c>
      <c r="J616" s="60">
        <v>828901</v>
      </c>
      <c r="K616" s="61">
        <f>IF(Tabela15115[[#This Row],[Fed Assets]]="",#N/A,((Tabela15115[[#This Row],[Fed Assets]]*1)/J604)-1)</f>
        <v>2.6805423765766223E-2</v>
      </c>
      <c r="L616" s="21">
        <v>3</v>
      </c>
      <c r="M616" s="21"/>
    </row>
    <row r="617" spans="1:13" s="9" customFormat="1">
      <c r="A617" s="6">
        <v>38749</v>
      </c>
      <c r="B617" s="7">
        <v>4.5199999999999996</v>
      </c>
      <c r="C617" s="7">
        <v>6.26</v>
      </c>
      <c r="D617" s="59">
        <v>-1.1274999999999999</v>
      </c>
      <c r="E617" s="25">
        <v>-0.65386</v>
      </c>
      <c r="F617" s="21">
        <v>-0.14000000000000001</v>
      </c>
      <c r="G617" s="21">
        <v>-7.0000000000000007E-2</v>
      </c>
      <c r="H617" s="21">
        <v>2.02</v>
      </c>
      <c r="I617" s="54">
        <v>26.25</v>
      </c>
      <c r="J617" s="60">
        <v>840555</v>
      </c>
      <c r="K617" s="61">
        <f>IF(Tabela15115[[#This Row],[Fed Assets]]="",#N/A,((Tabela15115[[#This Row],[Fed Assets]]*1)/J605)-1)</f>
        <v>4.4717963250208825E-2</v>
      </c>
      <c r="L617" s="21">
        <v>3.2</v>
      </c>
      <c r="M617" s="21"/>
    </row>
    <row r="618" spans="1:13" s="9" customFormat="1">
      <c r="A618" s="6">
        <v>38777</v>
      </c>
      <c r="B618" s="7">
        <v>5</v>
      </c>
      <c r="C618" s="7">
        <v>6.35</v>
      </c>
      <c r="D618" s="59">
        <v>-1.0810999999999999</v>
      </c>
      <c r="E618" s="25">
        <v>-0.64068000000000003</v>
      </c>
      <c r="F618" s="21">
        <v>0.04</v>
      </c>
      <c r="G618" s="21">
        <v>0.23</v>
      </c>
      <c r="H618" s="21">
        <v>2.35</v>
      </c>
      <c r="I618" s="54">
        <v>26.33</v>
      </c>
      <c r="J618" s="60">
        <v>833675</v>
      </c>
      <c r="K618" s="61">
        <f>IF(Tabela15115[[#This Row],[Fed Assets]]="",#N/A,((Tabela15115[[#This Row],[Fed Assets]]*1)/J606)-1)</f>
        <v>3.2349659649978824E-2</v>
      </c>
      <c r="L618" s="21">
        <v>3.3</v>
      </c>
      <c r="M618" s="21"/>
    </row>
    <row r="619" spans="1:13" s="9" customFormat="1">
      <c r="A619" s="6">
        <v>38808</v>
      </c>
      <c r="B619" s="7">
        <v>4.8600000000000003</v>
      </c>
      <c r="C619" s="7">
        <v>6.58</v>
      </c>
      <c r="D619" s="59">
        <v>-1.1203000000000001</v>
      </c>
      <c r="E619" s="25">
        <v>-0.64046000000000003</v>
      </c>
      <c r="F619" s="21">
        <v>0.2</v>
      </c>
      <c r="G619" s="21">
        <v>0.3</v>
      </c>
      <c r="H619" s="21">
        <v>2.39</v>
      </c>
      <c r="I619" s="54">
        <v>26.15</v>
      </c>
      <c r="J619" s="60">
        <v>844572</v>
      </c>
      <c r="K619" s="61">
        <f>IF(Tabela15115[[#This Row],[Fed Assets]]="",#N/A,((Tabela15115[[#This Row],[Fed Assets]]*1)/J607)-1)</f>
        <v>4.2942860988618214E-2</v>
      </c>
      <c r="L619" s="21">
        <v>3.1</v>
      </c>
      <c r="M619" s="21"/>
    </row>
    <row r="620" spans="1:13" s="9" customFormat="1">
      <c r="A620" s="6">
        <v>38838</v>
      </c>
      <c r="B620" s="7">
        <v>5.05</v>
      </c>
      <c r="C620" s="7">
        <v>6.62</v>
      </c>
      <c r="D620" s="59">
        <v>-0.80940000000000001</v>
      </c>
      <c r="E620" s="25">
        <v>-0.61199999999999999</v>
      </c>
      <c r="F620" s="21">
        <v>0.08</v>
      </c>
      <c r="G620" s="21">
        <v>0.26</v>
      </c>
      <c r="H620" s="21">
        <v>2.48</v>
      </c>
      <c r="I620" s="54">
        <v>25.65</v>
      </c>
      <c r="J620" s="60">
        <v>851580</v>
      </c>
      <c r="K620" s="61">
        <f>IF(Tabela15115[[#This Row],[Fed Assets]]="",#N/A,((Tabela15115[[#This Row],[Fed Assets]]*1)/J608)-1)</f>
        <v>5.1125703564727898E-2</v>
      </c>
      <c r="L620" s="21">
        <v>2.9</v>
      </c>
      <c r="M620" s="21"/>
    </row>
    <row r="621" spans="1:13" s="9" customFormat="1">
      <c r="A621" s="6">
        <v>38869</v>
      </c>
      <c r="B621" s="7">
        <v>5.05</v>
      </c>
      <c r="C621" s="7">
        <v>6.78</v>
      </c>
      <c r="D621" s="59">
        <v>-0.88480000000000003</v>
      </c>
      <c r="E621" s="25">
        <v>-0.54700000000000004</v>
      </c>
      <c r="F621" s="21">
        <v>-0.01</v>
      </c>
      <c r="G621" s="21">
        <v>0.14000000000000001</v>
      </c>
      <c r="H621" s="21">
        <v>2.54</v>
      </c>
      <c r="I621" s="54">
        <v>24.75</v>
      </c>
      <c r="J621" s="60">
        <v>844436</v>
      </c>
      <c r="K621" s="61">
        <f>IF(Tabela15115[[#This Row],[Fed Assets]]="",#N/A,((Tabela15115[[#This Row],[Fed Assets]]*1)/J609)-1)</f>
        <v>4.240805251814006E-2</v>
      </c>
      <c r="L621" s="21">
        <v>2.9</v>
      </c>
      <c r="M621" s="21"/>
    </row>
    <row r="622" spans="1:13" s="9" customFormat="1">
      <c r="A622" s="6">
        <v>38899</v>
      </c>
      <c r="B622" s="7">
        <v>5.31</v>
      </c>
      <c r="C622" s="7">
        <v>6.72</v>
      </c>
      <c r="D622" s="59">
        <v>-0.94610000000000005</v>
      </c>
      <c r="E622" s="25">
        <v>-0.57294</v>
      </c>
      <c r="F622" s="21">
        <v>0.02</v>
      </c>
      <c r="G622" s="21">
        <v>-0.11</v>
      </c>
      <c r="H622" s="21">
        <v>2.41</v>
      </c>
      <c r="I622" s="54">
        <v>24.7</v>
      </c>
      <c r="J622" s="60">
        <v>841552</v>
      </c>
      <c r="K622" s="61">
        <f>IF(Tabela15115[[#This Row],[Fed Assets]]="",#N/A,((Tabela15115[[#This Row],[Fed Assets]]*1)/J610)-1)</f>
        <v>3.3518818950726947E-2</v>
      </c>
      <c r="L622" s="21">
        <v>2.2999999999999998</v>
      </c>
      <c r="M622" s="21"/>
    </row>
    <row r="623" spans="1:13" s="9" customFormat="1">
      <c r="A623" s="6">
        <v>38930</v>
      </c>
      <c r="B623" s="7">
        <v>5.31</v>
      </c>
      <c r="C623" s="7">
        <v>6.44</v>
      </c>
      <c r="D623" s="59">
        <v>-0.98819999999999997</v>
      </c>
      <c r="E623" s="25">
        <v>-0.62219999999999998</v>
      </c>
      <c r="F623" s="21">
        <v>-0.05</v>
      </c>
      <c r="G623" s="21">
        <v>-0.31</v>
      </c>
      <c r="H623" s="21">
        <v>2.2400000000000002</v>
      </c>
      <c r="I623" s="54">
        <v>25.05</v>
      </c>
      <c r="J623" s="60">
        <v>850925</v>
      </c>
      <c r="K623" s="61">
        <f>IF(Tabela15115[[#This Row],[Fed Assets]]="",#N/A,((Tabela15115[[#This Row],[Fed Assets]]*1)/J611)-1)</f>
        <v>3.363308500468265E-2</v>
      </c>
      <c r="L623" s="21">
        <v>2.5</v>
      </c>
      <c r="M623" s="21"/>
    </row>
    <row r="624" spans="1:13" s="9" customFormat="1">
      <c r="A624" s="6">
        <v>38961</v>
      </c>
      <c r="B624" s="7">
        <v>5.34</v>
      </c>
      <c r="C624" s="7">
        <v>6.31</v>
      </c>
      <c r="D624" s="59">
        <v>-0.8095</v>
      </c>
      <c r="E624" s="25">
        <v>-0.61917999999999995</v>
      </c>
      <c r="F624" s="21">
        <v>-7.0000000000000007E-2</v>
      </c>
      <c r="G624" s="21">
        <v>-0.25</v>
      </c>
      <c r="H624" s="21">
        <v>2.27</v>
      </c>
      <c r="I624" s="54">
        <v>25.64</v>
      </c>
      <c r="J624" s="60">
        <v>849971</v>
      </c>
      <c r="K624" s="61">
        <f>IF(Tabela15115[[#This Row],[Fed Assets]]="",#N/A,((Tabela15115[[#This Row],[Fed Assets]]*1)/J612)-1)</f>
        <v>3.1804955503410559E-2</v>
      </c>
      <c r="L624" s="21">
        <v>2.4</v>
      </c>
      <c r="M624" s="21"/>
    </row>
    <row r="625" spans="1:13" s="9" customFormat="1">
      <c r="A625" s="6">
        <v>38991</v>
      </c>
      <c r="B625" s="7">
        <v>5.31</v>
      </c>
      <c r="C625" s="7">
        <v>6.4</v>
      </c>
      <c r="D625" s="59">
        <v>-1.0205</v>
      </c>
      <c r="E625" s="25">
        <v>-0.64719000000000004</v>
      </c>
      <c r="F625" s="21">
        <v>-0.1</v>
      </c>
      <c r="G625" s="21">
        <v>-0.47</v>
      </c>
      <c r="H625" s="21">
        <v>2.34</v>
      </c>
      <c r="I625" s="54">
        <v>26.54</v>
      </c>
      <c r="J625" s="60">
        <v>852648</v>
      </c>
      <c r="K625" s="61">
        <f>IF(Tabela15115[[#This Row],[Fed Assets]]="",#N/A,((Tabela15115[[#This Row],[Fed Assets]]*1)/J613)-1)</f>
        <v>4.0950793854267697E-2</v>
      </c>
      <c r="L625" s="21">
        <v>2.4</v>
      </c>
      <c r="M625" s="21"/>
    </row>
    <row r="626" spans="1:13" s="9" customFormat="1">
      <c r="A626" s="6">
        <v>39022</v>
      </c>
      <c r="B626" s="7">
        <v>5.31</v>
      </c>
      <c r="C626" s="7">
        <v>6.14</v>
      </c>
      <c r="D626" s="59">
        <v>-0.94020000000000004</v>
      </c>
      <c r="E626" s="25">
        <v>-0.64892000000000005</v>
      </c>
      <c r="F626" s="21">
        <v>-0.16</v>
      </c>
      <c r="G626" s="21">
        <v>-0.56999999999999995</v>
      </c>
      <c r="H626" s="21">
        <v>2.16</v>
      </c>
      <c r="I626" s="54">
        <v>26.93</v>
      </c>
      <c r="J626" s="60">
        <v>856671</v>
      </c>
      <c r="K626" s="61">
        <f>IF(Tabela15115[[#This Row],[Fed Assets]]="",#N/A,((Tabela15115[[#This Row],[Fed Assets]]*1)/J614)-1)</f>
        <v>2.5880806026879588E-2</v>
      </c>
      <c r="L626" s="21">
        <v>2.7</v>
      </c>
      <c r="M626" s="21"/>
    </row>
    <row r="627" spans="1:13" s="9" customFormat="1">
      <c r="A627" s="6">
        <v>39052</v>
      </c>
      <c r="B627" s="7">
        <v>5.17</v>
      </c>
      <c r="C627" s="7">
        <v>6.18</v>
      </c>
      <c r="D627" s="59">
        <v>-0.99360000000000004</v>
      </c>
      <c r="E627" s="25">
        <v>-0.65114000000000005</v>
      </c>
      <c r="F627" s="21">
        <v>-0.11</v>
      </c>
      <c r="G627" s="21">
        <v>-0.31</v>
      </c>
      <c r="H627" s="21">
        <v>2.41</v>
      </c>
      <c r="I627" s="54">
        <v>27.28</v>
      </c>
      <c r="J627" s="60">
        <v>869988</v>
      </c>
      <c r="K627" s="61">
        <f>IF(Tabela15115[[#This Row],[Fed Assets]]="",#N/A,((Tabela15115[[#This Row],[Fed Assets]]*1)/J615)-1)</f>
        <v>2.6292320396366531E-2</v>
      </c>
      <c r="L627" s="21">
        <v>2.6</v>
      </c>
      <c r="M627" s="21"/>
    </row>
    <row r="628" spans="1:13" s="9" customFormat="1">
      <c r="A628" s="6">
        <v>39083</v>
      </c>
      <c r="B628" s="7">
        <v>5.33</v>
      </c>
      <c r="C628" s="7">
        <v>6.25</v>
      </c>
      <c r="D628" s="59">
        <v>-1.1534</v>
      </c>
      <c r="E628" s="25">
        <v>-0.70413000000000003</v>
      </c>
      <c r="F628" s="21">
        <v>-0.11</v>
      </c>
      <c r="G628" s="21">
        <v>-0.28999999999999998</v>
      </c>
      <c r="H628" s="21">
        <v>2.4</v>
      </c>
      <c r="I628" s="54">
        <v>27.21</v>
      </c>
      <c r="J628" s="60">
        <v>865730</v>
      </c>
      <c r="K628" s="61">
        <f>IF(Tabela15115[[#This Row],[Fed Assets]]="",#N/A,((Tabela15115[[#This Row],[Fed Assets]]*1)/J616)-1)</f>
        <v>4.4431120242345079E-2</v>
      </c>
      <c r="L628" s="21">
        <v>2.4</v>
      </c>
      <c r="M628" s="21"/>
    </row>
    <row r="629" spans="1:13" s="9" customFormat="1">
      <c r="A629" s="6">
        <v>39114</v>
      </c>
      <c r="B629" s="7">
        <v>5.41</v>
      </c>
      <c r="C629" s="7">
        <v>6.22</v>
      </c>
      <c r="D629" s="59">
        <v>-1.137</v>
      </c>
      <c r="E629" s="25">
        <v>-0.68440000000000001</v>
      </c>
      <c r="F629" s="21">
        <v>-0.09</v>
      </c>
      <c r="G629" s="21">
        <v>-0.6</v>
      </c>
      <c r="H629" s="21">
        <v>2.2000000000000002</v>
      </c>
      <c r="I629" s="54">
        <v>27.32</v>
      </c>
      <c r="J629" s="60">
        <v>877409</v>
      </c>
      <c r="K629" s="61">
        <f>IF(Tabela15115[[#This Row],[Fed Assets]]="",#N/A,((Tabela15115[[#This Row],[Fed Assets]]*1)/J617)-1)</f>
        <v>4.3844840611262814E-2</v>
      </c>
      <c r="L629" s="21">
        <v>2.8</v>
      </c>
      <c r="M629" s="21"/>
    </row>
    <row r="630" spans="1:13" s="9" customFormat="1">
      <c r="A630" s="6">
        <v>39142</v>
      </c>
      <c r="B630" s="7">
        <v>5.3</v>
      </c>
      <c r="C630" s="7">
        <v>6.16</v>
      </c>
      <c r="D630" s="59">
        <v>-0.97450000000000003</v>
      </c>
      <c r="E630" s="25">
        <v>-0.62185000000000001</v>
      </c>
      <c r="F630" s="21">
        <v>7.0000000000000007E-2</v>
      </c>
      <c r="G630" s="21">
        <v>-0.39</v>
      </c>
      <c r="H630" s="21">
        <v>2.21</v>
      </c>
      <c r="I630" s="54">
        <v>26.23</v>
      </c>
      <c r="J630" s="60">
        <v>869803</v>
      </c>
      <c r="K630" s="61">
        <f>IF(Tabela15115[[#This Row],[Fed Assets]]="",#N/A,((Tabela15115[[#This Row],[Fed Assets]]*1)/J618)-1)</f>
        <v>4.3335832308753375E-2</v>
      </c>
      <c r="L630" s="21">
        <v>3</v>
      </c>
      <c r="M630" s="21"/>
    </row>
    <row r="631" spans="1:13" s="9" customFormat="1">
      <c r="A631" s="6">
        <v>39173</v>
      </c>
      <c r="B631" s="7">
        <v>5.29</v>
      </c>
      <c r="C631" s="7">
        <v>6.16</v>
      </c>
      <c r="D631" s="59">
        <v>-1.0215000000000001</v>
      </c>
      <c r="E631" s="25">
        <v>-0.61043999999999998</v>
      </c>
      <c r="F631" s="21">
        <v>0.03</v>
      </c>
      <c r="G631" s="21">
        <v>-0.28000000000000003</v>
      </c>
      <c r="H631" s="21">
        <v>2.2000000000000002</v>
      </c>
      <c r="I631" s="54">
        <v>26.98</v>
      </c>
      <c r="J631" s="60">
        <v>879686</v>
      </c>
      <c r="K631" s="61">
        <f>IF(Tabela15115[[#This Row],[Fed Assets]]="",#N/A,((Tabela15115[[#This Row],[Fed Assets]]*1)/J619)-1)</f>
        <v>4.1576088243512777E-2</v>
      </c>
      <c r="L631" s="21">
        <v>3</v>
      </c>
      <c r="M631" s="21"/>
    </row>
    <row r="632" spans="1:13" s="9" customFormat="1">
      <c r="A632" s="6">
        <v>39203</v>
      </c>
      <c r="B632" s="7">
        <v>5.28</v>
      </c>
      <c r="C632" s="7">
        <v>6.42</v>
      </c>
      <c r="D632" s="59">
        <v>-1.0062</v>
      </c>
      <c r="E632" s="25">
        <v>-0.56860999999999995</v>
      </c>
      <c r="F632" s="21">
        <v>-0.02</v>
      </c>
      <c r="G632" s="21">
        <v>0.17</v>
      </c>
      <c r="H632" s="21">
        <v>2.54</v>
      </c>
      <c r="I632" s="54">
        <v>27.55</v>
      </c>
      <c r="J632" s="60">
        <v>876986</v>
      </c>
      <c r="K632" s="61">
        <f>IF(Tabela15115[[#This Row],[Fed Assets]]="",#N/A,((Tabela15115[[#This Row],[Fed Assets]]*1)/J620)-1)</f>
        <v>2.9833955705864446E-2</v>
      </c>
      <c r="L632" s="21">
        <v>2.8</v>
      </c>
      <c r="M632" s="21"/>
    </row>
    <row r="633" spans="1:13" s="9" customFormat="1">
      <c r="A633" s="6">
        <v>39234</v>
      </c>
      <c r="B633" s="7">
        <v>5.31</v>
      </c>
      <c r="C633" s="7">
        <v>6.67</v>
      </c>
      <c r="D633" s="59">
        <v>-0.58120000000000005</v>
      </c>
      <c r="E633" s="25">
        <v>-0.54015999999999997</v>
      </c>
      <c r="F633" s="21">
        <v>0.16</v>
      </c>
      <c r="G633" s="21">
        <v>0.21</v>
      </c>
      <c r="H633" s="21">
        <v>2.65</v>
      </c>
      <c r="I633" s="54">
        <v>27.42</v>
      </c>
      <c r="J633" s="60">
        <v>865105</v>
      </c>
      <c r="K633" s="61">
        <f>IF(Tabela15115[[#This Row],[Fed Assets]]="",#N/A,((Tabela15115[[#This Row],[Fed Assets]]*1)/J621)-1)</f>
        <v>2.4476692135342315E-2</v>
      </c>
      <c r="L633" s="21">
        <v>2.7</v>
      </c>
      <c r="M633" s="21"/>
    </row>
    <row r="634" spans="1:13" s="9" customFormat="1">
      <c r="A634" s="6">
        <v>39264</v>
      </c>
      <c r="B634" s="7">
        <v>5.28</v>
      </c>
      <c r="C634" s="7">
        <v>6.69</v>
      </c>
      <c r="D634" s="59">
        <v>-0.16600000000000001</v>
      </c>
      <c r="E634" s="25">
        <v>-0.31102000000000002</v>
      </c>
      <c r="F634" s="21">
        <v>0.22</v>
      </c>
      <c r="G634" s="21">
        <v>-0.18</v>
      </c>
      <c r="H634" s="21">
        <v>2.44</v>
      </c>
      <c r="I634" s="54">
        <v>27.41</v>
      </c>
      <c r="J634" s="60">
        <v>863890</v>
      </c>
      <c r="K634" s="61">
        <f>IF(Tabela15115[[#This Row],[Fed Assets]]="",#N/A,((Tabela15115[[#This Row],[Fed Assets]]*1)/J622)-1)</f>
        <v>2.6543814285985956E-2</v>
      </c>
      <c r="L634" s="21">
        <v>2.6</v>
      </c>
      <c r="M634" s="21"/>
    </row>
    <row r="635" spans="1:13" s="9" customFormat="1">
      <c r="A635" s="6">
        <v>39295</v>
      </c>
      <c r="B635" s="7">
        <v>4.96</v>
      </c>
      <c r="C635" s="7">
        <v>6.45</v>
      </c>
      <c r="D635" s="59">
        <v>0.95669999999999999</v>
      </c>
      <c r="E635" s="25">
        <v>0.31546999999999997</v>
      </c>
      <c r="F635" s="21">
        <v>0.39</v>
      </c>
      <c r="G635" s="21">
        <v>0.53</v>
      </c>
      <c r="H635" s="21">
        <v>2.34</v>
      </c>
      <c r="I635" s="54">
        <v>26.15</v>
      </c>
      <c r="J635" s="60">
        <v>872873</v>
      </c>
      <c r="K635" s="61">
        <f>IF(Tabela15115[[#This Row],[Fed Assets]]="",#N/A,((Tabela15115[[#This Row],[Fed Assets]]*1)/J623)-1)</f>
        <v>2.5793107500660994E-2</v>
      </c>
      <c r="L635" s="21">
        <v>2.2000000000000002</v>
      </c>
      <c r="M635" s="21"/>
    </row>
    <row r="636" spans="1:13" s="9" customFormat="1">
      <c r="A636" s="6">
        <v>39326</v>
      </c>
      <c r="B636" s="7">
        <v>4.58</v>
      </c>
      <c r="C636" s="7">
        <v>6.42</v>
      </c>
      <c r="D636" s="59">
        <v>0.6573</v>
      </c>
      <c r="E636" s="25">
        <v>0.14796000000000001</v>
      </c>
      <c r="F636" s="21">
        <v>0.62</v>
      </c>
      <c r="G636" s="21">
        <v>0.77</v>
      </c>
      <c r="H636" s="21">
        <v>2.27</v>
      </c>
      <c r="I636" s="54">
        <v>26.73</v>
      </c>
      <c r="J636" s="60">
        <v>889900</v>
      </c>
      <c r="K636" s="61">
        <f>IF(Tabela15115[[#This Row],[Fed Assets]]="",#N/A,((Tabela15115[[#This Row],[Fed Assets]]*1)/J624)-1)</f>
        <v>4.6976896858833994E-2</v>
      </c>
      <c r="L636" s="21">
        <v>2.2999999999999998</v>
      </c>
      <c r="M636" s="21"/>
    </row>
    <row r="637" spans="1:13" s="9" customFormat="1">
      <c r="A637" s="6">
        <v>39356</v>
      </c>
      <c r="B637" s="7">
        <v>4.5999999999999996</v>
      </c>
      <c r="C637" s="7">
        <v>6.33</v>
      </c>
      <c r="D637" s="59">
        <v>0.77139999999999997</v>
      </c>
      <c r="E637" s="25">
        <v>3.0870000000000002E-2</v>
      </c>
      <c r="F637" s="21">
        <v>0.54</v>
      </c>
      <c r="G637" s="21">
        <v>0.54</v>
      </c>
      <c r="H637" s="21">
        <v>2.14</v>
      </c>
      <c r="I637" s="54">
        <v>27.32</v>
      </c>
      <c r="J637" s="60">
        <v>883385</v>
      </c>
      <c r="K637" s="61">
        <f>IF(Tabela15115[[#This Row],[Fed Assets]]="",#N/A,((Tabela15115[[#This Row],[Fed Assets]]*1)/J625)-1)</f>
        <v>3.6048873626631339E-2</v>
      </c>
      <c r="L637" s="21">
        <v>2.2000000000000002</v>
      </c>
      <c r="M637" s="21"/>
    </row>
    <row r="638" spans="1:13" s="9" customFormat="1">
      <c r="A638" s="6">
        <v>39387</v>
      </c>
      <c r="B638" s="7">
        <v>4.66</v>
      </c>
      <c r="C638" s="7">
        <v>6.1</v>
      </c>
      <c r="D638" s="59">
        <v>2.0024999999999999</v>
      </c>
      <c r="E638" s="25">
        <v>0.58609999999999995</v>
      </c>
      <c r="F638" s="21">
        <v>0.93</v>
      </c>
      <c r="G638" s="21">
        <v>0.82</v>
      </c>
      <c r="H638" s="21">
        <v>1.63</v>
      </c>
      <c r="I638" s="54">
        <v>25.73</v>
      </c>
      <c r="J638" s="60">
        <v>879417</v>
      </c>
      <c r="K638" s="61">
        <f>IF(Tabela15115[[#This Row],[Fed Assets]]="",#N/A,((Tabela15115[[#This Row],[Fed Assets]]*1)/J626)-1)</f>
        <v>2.6551616664973965E-2</v>
      </c>
      <c r="L638" s="21">
        <v>1.9</v>
      </c>
      <c r="M638" s="21"/>
    </row>
    <row r="639" spans="1:13" s="9" customFormat="1">
      <c r="A639" s="6">
        <v>39417</v>
      </c>
      <c r="B639" s="7">
        <v>3.06</v>
      </c>
      <c r="C639" s="7">
        <v>6.17</v>
      </c>
      <c r="D639" s="59">
        <v>1.2591000000000001</v>
      </c>
      <c r="E639" s="25">
        <v>0.59226999999999996</v>
      </c>
      <c r="F639" s="21">
        <v>0.99</v>
      </c>
      <c r="G639" s="21">
        <v>0.68</v>
      </c>
      <c r="H639" s="21">
        <v>1.73</v>
      </c>
      <c r="I639" s="54">
        <v>25.96</v>
      </c>
      <c r="J639" s="60">
        <v>890662</v>
      </c>
      <c r="K639" s="61">
        <f>IF(Tabela15115[[#This Row],[Fed Assets]]="",#N/A,((Tabela15115[[#This Row],[Fed Assets]]*1)/J627)-1)</f>
        <v>2.3763546163855231E-2</v>
      </c>
      <c r="L639" s="21">
        <v>2.4</v>
      </c>
      <c r="M639" s="21"/>
    </row>
    <row r="640" spans="1:13" s="9" customFormat="1">
      <c r="A640" s="6">
        <v>39448</v>
      </c>
      <c r="B640" s="7">
        <v>3.22</v>
      </c>
      <c r="C640" s="7">
        <v>5.68</v>
      </c>
      <c r="D640" s="59">
        <v>1.5821000000000001</v>
      </c>
      <c r="E640" s="25">
        <v>0.41382000000000002</v>
      </c>
      <c r="F640" s="21">
        <v>1.5</v>
      </c>
      <c r="G640" s="21">
        <v>1.71</v>
      </c>
      <c r="H640" s="21">
        <v>1.33</v>
      </c>
      <c r="I640" s="54">
        <v>24.02</v>
      </c>
      <c r="J640" s="60">
        <v>900264</v>
      </c>
      <c r="K640" s="61">
        <f>IF(Tabela15115[[#This Row],[Fed Assets]]="",#N/A,((Tabela15115[[#This Row],[Fed Assets]]*1)/J628)-1)</f>
        <v>3.9890034999364721E-2</v>
      </c>
      <c r="L640" s="21">
        <v>2.6</v>
      </c>
      <c r="M640" s="21"/>
    </row>
    <row r="641" spans="1:13" s="9" customFormat="1">
      <c r="A641" s="6">
        <v>39479</v>
      </c>
      <c r="B641" s="7">
        <v>3.01</v>
      </c>
      <c r="C641" s="7">
        <v>6.24</v>
      </c>
      <c r="D641" s="59">
        <v>1.3741000000000001</v>
      </c>
      <c r="E641" s="25">
        <v>0.77947999999999995</v>
      </c>
      <c r="F641" s="21">
        <v>1.88</v>
      </c>
      <c r="G641" s="21">
        <v>1.68</v>
      </c>
      <c r="H641" s="21">
        <v>1.1000000000000001</v>
      </c>
      <c r="I641" s="54">
        <v>23.5</v>
      </c>
      <c r="J641" s="60">
        <v>893825</v>
      </c>
      <c r="K641" s="61">
        <f>IF(Tabela15115[[#This Row],[Fed Assets]]="",#N/A,((Tabela15115[[#This Row],[Fed Assets]]*1)/J629)-1)</f>
        <v>1.8709632565884426E-2</v>
      </c>
      <c r="L641" s="21">
        <v>3</v>
      </c>
      <c r="M641" s="21"/>
    </row>
    <row r="642" spans="1:13" s="9" customFormat="1">
      <c r="A642" s="6">
        <v>39508</v>
      </c>
      <c r="B642" s="7">
        <v>2.5099999999999998</v>
      </c>
      <c r="C642" s="7">
        <v>5.85</v>
      </c>
      <c r="D642" s="59">
        <v>1.5827</v>
      </c>
      <c r="E642" s="25">
        <v>0.91547000000000001</v>
      </c>
      <c r="F642" s="21">
        <v>1.83</v>
      </c>
      <c r="G642" s="21">
        <v>2.0699999999999998</v>
      </c>
      <c r="H642" s="21">
        <v>1.1100000000000001</v>
      </c>
      <c r="I642" s="54">
        <v>22.61</v>
      </c>
      <c r="J642" s="60">
        <v>893965</v>
      </c>
      <c r="K642" s="61">
        <f>IF(Tabela15115[[#This Row],[Fed Assets]]="",#N/A,((Tabela15115[[#This Row],[Fed Assets]]*1)/J630)-1)</f>
        <v>2.777870391341497E-2</v>
      </c>
      <c r="L642" s="21">
        <v>2.9</v>
      </c>
      <c r="M642" s="21"/>
    </row>
    <row r="643" spans="1:13" s="9" customFormat="1">
      <c r="A643" s="6">
        <v>39539</v>
      </c>
      <c r="B643" s="7">
        <v>2.37</v>
      </c>
      <c r="C643" s="7">
        <v>6.03</v>
      </c>
      <c r="D643" s="59">
        <v>1.6015999999999999</v>
      </c>
      <c r="E643" s="25">
        <v>0.61385000000000001</v>
      </c>
      <c r="F643" s="21">
        <v>1.48</v>
      </c>
      <c r="G643" s="21">
        <v>2.34</v>
      </c>
      <c r="H643" s="21">
        <v>1.5</v>
      </c>
      <c r="I643" s="54">
        <v>23.36</v>
      </c>
      <c r="J643" s="60">
        <v>888131</v>
      </c>
      <c r="K643" s="61">
        <f>IF(Tabela15115[[#This Row],[Fed Assets]]="",#N/A,((Tabela15115[[#This Row],[Fed Assets]]*1)/J631)-1)</f>
        <v>9.6000163694773821E-3</v>
      </c>
      <c r="L643" s="21">
        <v>2.4</v>
      </c>
      <c r="M643" s="21"/>
    </row>
    <row r="644" spans="1:13" s="9" customFormat="1">
      <c r="A644" s="6">
        <v>39569</v>
      </c>
      <c r="B644" s="7">
        <v>1.98</v>
      </c>
      <c r="C644" s="7">
        <v>6.08</v>
      </c>
      <c r="D644" s="59">
        <v>0.88470000000000004</v>
      </c>
      <c r="E644" s="25">
        <v>0.45016</v>
      </c>
      <c r="F644" s="21">
        <v>1.4</v>
      </c>
      <c r="G644" s="21">
        <v>2.17</v>
      </c>
      <c r="H644" s="21">
        <v>1.58</v>
      </c>
      <c r="I644" s="54">
        <v>23.7</v>
      </c>
      <c r="J644" s="60">
        <v>904054</v>
      </c>
      <c r="K644" s="61">
        <f>IF(Tabela15115[[#This Row],[Fed Assets]]="",#N/A,((Tabela15115[[#This Row],[Fed Assets]]*1)/J632)-1)</f>
        <v>3.086480285888249E-2</v>
      </c>
      <c r="L644" s="21">
        <v>6.8</v>
      </c>
      <c r="M644" s="21"/>
    </row>
    <row r="645" spans="1:13" s="9" customFormat="1">
      <c r="A645" s="6">
        <v>39600</v>
      </c>
      <c r="B645" s="7">
        <v>2.4700000000000002</v>
      </c>
      <c r="C645" s="7">
        <v>6.45</v>
      </c>
      <c r="D645" s="59">
        <v>1.6814</v>
      </c>
      <c r="E645" s="25">
        <v>0.67422000000000004</v>
      </c>
      <c r="F645" s="21">
        <v>1.36</v>
      </c>
      <c r="G645" s="21">
        <v>2.09</v>
      </c>
      <c r="H645" s="21">
        <v>1.48</v>
      </c>
      <c r="I645" s="54">
        <v>22.42</v>
      </c>
      <c r="J645" s="60">
        <v>892713</v>
      </c>
      <c r="K645" s="61">
        <f>IF(Tabela15115[[#This Row],[Fed Assets]]="",#N/A,((Tabela15115[[#This Row],[Fed Assets]]*1)/J633)-1)</f>
        <v>3.1912889186861637E-2</v>
      </c>
      <c r="L645" s="21">
        <v>4.5999999999999996</v>
      </c>
      <c r="M645" s="21"/>
    </row>
    <row r="646" spans="1:13" s="9" customFormat="1">
      <c r="A646" s="6">
        <v>39630</v>
      </c>
      <c r="B646" s="7">
        <v>2.09</v>
      </c>
      <c r="C646" s="7">
        <v>6.52</v>
      </c>
      <c r="D646" s="59">
        <v>1.1145</v>
      </c>
      <c r="E646" s="25">
        <v>0.66990000000000005</v>
      </c>
      <c r="F646" s="21">
        <v>1.47</v>
      </c>
      <c r="G646" s="21">
        <v>2.31</v>
      </c>
      <c r="H646" s="21">
        <v>1.65</v>
      </c>
      <c r="I646" s="54">
        <v>20.91</v>
      </c>
      <c r="J646" s="60">
        <v>918625</v>
      </c>
      <c r="K646" s="61">
        <f>IF(Tabela15115[[#This Row],[Fed Assets]]="",#N/A,((Tabela15115[[#This Row],[Fed Assets]]*1)/J634)-1)</f>
        <v>6.3358760953362125E-2</v>
      </c>
      <c r="L646" s="21">
        <v>3.6</v>
      </c>
      <c r="M646" s="21"/>
    </row>
    <row r="647" spans="1:13" s="9" customFormat="1">
      <c r="A647" s="6">
        <v>39661</v>
      </c>
      <c r="B647" s="7">
        <v>1.94</v>
      </c>
      <c r="C647" s="7">
        <v>6.4</v>
      </c>
      <c r="D647" s="59">
        <v>1.4845999999999999</v>
      </c>
      <c r="E647" s="25">
        <v>0.78308</v>
      </c>
      <c r="F647" s="21">
        <v>1.47</v>
      </c>
      <c r="G647" s="21">
        <v>2.11</v>
      </c>
      <c r="H647" s="21">
        <v>1.68</v>
      </c>
      <c r="I647" s="54">
        <v>21.4</v>
      </c>
      <c r="J647" s="60">
        <v>909982</v>
      </c>
      <c r="K647" s="61">
        <f>IF(Tabela15115[[#This Row],[Fed Assets]]="",#N/A,((Tabela15115[[#This Row],[Fed Assets]]*1)/J635)-1)</f>
        <v>4.2513630276111103E-2</v>
      </c>
      <c r="L647" s="21">
        <v>3.1</v>
      </c>
      <c r="M647" s="21"/>
    </row>
    <row r="648" spans="1:13" s="9" customFormat="1">
      <c r="A648" s="6">
        <v>39692</v>
      </c>
      <c r="B648" s="7">
        <v>2.0299999999999998</v>
      </c>
      <c r="C648" s="7">
        <v>6.09</v>
      </c>
      <c r="D648" s="59">
        <v>4.4127000000000001</v>
      </c>
      <c r="E648" s="25">
        <v>1.85436</v>
      </c>
      <c r="F648" s="21">
        <v>1.85</v>
      </c>
      <c r="G648" s="21">
        <v>2.93</v>
      </c>
      <c r="H648" s="21">
        <v>2.25</v>
      </c>
      <c r="I648" s="54">
        <v>20.36</v>
      </c>
      <c r="J648" s="60">
        <v>1211825</v>
      </c>
      <c r="K648" s="61">
        <f>IF(Tabela15115[[#This Row],[Fed Assets]]="",#N/A,((Tabela15115[[#This Row],[Fed Assets]]*1)/J636)-1)</f>
        <v>0.36175412967749176</v>
      </c>
      <c r="L648" s="21">
        <v>3.9</v>
      </c>
      <c r="M648" s="21"/>
    </row>
    <row r="649" spans="1:13" s="9" customFormat="1">
      <c r="A649" s="6">
        <v>39722</v>
      </c>
      <c r="B649" s="7">
        <v>0.22</v>
      </c>
      <c r="C649" s="7">
        <v>6.46</v>
      </c>
      <c r="D649" s="59">
        <v>7.5595999999999997</v>
      </c>
      <c r="E649" s="25">
        <v>2.6568000000000001</v>
      </c>
      <c r="F649" s="21">
        <v>2.4500000000000002</v>
      </c>
      <c r="G649" s="21">
        <v>3.55</v>
      </c>
      <c r="H649" s="21">
        <v>3.14</v>
      </c>
      <c r="I649" s="54">
        <v>16.39</v>
      </c>
      <c r="J649" s="60">
        <v>1969086</v>
      </c>
      <c r="K649" s="61">
        <f>IF(Tabela15115[[#This Row],[Fed Assets]]="",#N/A,((Tabela15115[[#This Row],[Fed Assets]]*1)/J637)-1)</f>
        <v>1.2290235854129286</v>
      </c>
      <c r="L649" s="21">
        <v>4.9000000000000004</v>
      </c>
      <c r="M649" s="21"/>
    </row>
    <row r="650" spans="1:13" s="9" customFormat="1">
      <c r="A650" s="6">
        <v>39753</v>
      </c>
      <c r="B650" s="7">
        <v>0.52</v>
      </c>
      <c r="C650" s="7">
        <v>5.97</v>
      </c>
      <c r="D650" s="59">
        <v>6.6933999999999996</v>
      </c>
      <c r="E650" s="25">
        <v>2.82904</v>
      </c>
      <c r="F650" s="21">
        <v>1.93</v>
      </c>
      <c r="G650" s="21">
        <v>2.92</v>
      </c>
      <c r="H650" s="21">
        <v>2.6</v>
      </c>
      <c r="I650" s="54">
        <v>15.26</v>
      </c>
      <c r="J650" s="60">
        <v>2106117</v>
      </c>
      <c r="K650" s="61">
        <f>IF(Tabela15115[[#This Row],[Fed Assets]]="",#N/A,((Tabela15115[[#This Row],[Fed Assets]]*1)/J638)-1)</f>
        <v>1.3949013949013951</v>
      </c>
      <c r="L650" s="21">
        <v>6</v>
      </c>
      <c r="M650" s="21"/>
    </row>
    <row r="651" spans="1:13" s="9" customFormat="1">
      <c r="A651" s="6">
        <v>39783</v>
      </c>
      <c r="B651" s="7">
        <v>0.14000000000000001</v>
      </c>
      <c r="C651" s="7">
        <v>5.0999999999999996</v>
      </c>
      <c r="D651" s="59">
        <v>4.6509</v>
      </c>
      <c r="E651" s="25">
        <v>2.4339200000000001</v>
      </c>
      <c r="F651" s="21">
        <v>1.49</v>
      </c>
      <c r="G651" s="21">
        <v>2.14</v>
      </c>
      <c r="H651" s="21">
        <v>2.14</v>
      </c>
      <c r="I651" s="54">
        <v>15.38</v>
      </c>
      <c r="J651" s="60">
        <v>2239457</v>
      </c>
      <c r="K651" s="61">
        <f>IF(Tabela15115[[#This Row],[Fed Assets]]="",#N/A,((Tabela15115[[#This Row],[Fed Assets]]*1)/J639)-1)</f>
        <v>1.5143735783046766</v>
      </c>
      <c r="L651" s="21">
        <v>5.8</v>
      </c>
      <c r="M651" s="21"/>
    </row>
    <row r="652" spans="1:13" s="9" customFormat="1">
      <c r="A652" s="6">
        <v>39814</v>
      </c>
      <c r="B652" s="7">
        <v>0.23</v>
      </c>
      <c r="C652" s="7">
        <v>5.0999999999999996</v>
      </c>
      <c r="D652" s="59">
        <v>3.8835000000000002</v>
      </c>
      <c r="E652" s="25">
        <v>1.8298099999999999</v>
      </c>
      <c r="F652" s="21">
        <v>1.93</v>
      </c>
      <c r="G652" s="21">
        <v>2.63</v>
      </c>
      <c r="H652" s="21">
        <v>1.73</v>
      </c>
      <c r="I652" s="54">
        <v>15.17</v>
      </c>
      <c r="J652" s="60">
        <v>1927082</v>
      </c>
      <c r="K652" s="61">
        <f>IF(Tabela15115[[#This Row],[Fed Assets]]="",#N/A,((Tabela15115[[#This Row],[Fed Assets]]*1)/J640)-1)</f>
        <v>1.1405743204215653</v>
      </c>
      <c r="L652" s="21">
        <v>5.9</v>
      </c>
      <c r="M652" s="21"/>
    </row>
    <row r="653" spans="1:13" s="9" customFormat="1">
      <c r="A653" s="6">
        <v>39845</v>
      </c>
      <c r="B653" s="7">
        <v>0.22</v>
      </c>
      <c r="C653" s="7">
        <v>5.07</v>
      </c>
      <c r="D653" s="59">
        <v>4.0110000000000001</v>
      </c>
      <c r="E653" s="25">
        <v>1.87348</v>
      </c>
      <c r="F653" s="21">
        <v>2.02</v>
      </c>
      <c r="G653" s="21">
        <v>2.76</v>
      </c>
      <c r="H653" s="21">
        <v>2.06</v>
      </c>
      <c r="I653" s="54">
        <v>14.12</v>
      </c>
      <c r="J653" s="60">
        <v>1916115</v>
      </c>
      <c r="K653" s="61">
        <f>IF(Tabela15115[[#This Row],[Fed Assets]]="",#N/A,((Tabela15115[[#This Row],[Fed Assets]]*1)/J641)-1)</f>
        <v>1.1437250020977259</v>
      </c>
      <c r="L653" s="21">
        <v>5.4</v>
      </c>
      <c r="M653" s="21"/>
    </row>
    <row r="654" spans="1:13" s="9" customFormat="1">
      <c r="A654" s="6">
        <v>39873</v>
      </c>
      <c r="B654" s="7">
        <v>0.16</v>
      </c>
      <c r="C654" s="7">
        <v>4.8499999999999996</v>
      </c>
      <c r="D654" s="59">
        <v>3.1032000000000002</v>
      </c>
      <c r="E654" s="25">
        <v>1.71387</v>
      </c>
      <c r="F654" s="21">
        <v>1.9</v>
      </c>
      <c r="G654" s="21">
        <v>2.5</v>
      </c>
      <c r="H654" s="21">
        <v>1.43</v>
      </c>
      <c r="I654" s="54">
        <v>13.32</v>
      </c>
      <c r="J654" s="60">
        <v>2071556</v>
      </c>
      <c r="K654" s="61">
        <f>IF(Tabela15115[[#This Row],[Fed Assets]]="",#N/A,((Tabela15115[[#This Row],[Fed Assets]]*1)/J642)-1)</f>
        <v>1.3172674545424039</v>
      </c>
      <c r="L654" s="21">
        <v>5.8</v>
      </c>
      <c r="M654" s="21"/>
    </row>
    <row r="655" spans="1:13" s="9" customFormat="1">
      <c r="A655" s="6">
        <v>39904</v>
      </c>
      <c r="B655" s="7">
        <v>0.2</v>
      </c>
      <c r="C655" s="7">
        <v>4.78</v>
      </c>
      <c r="D655" s="59">
        <v>2.7206000000000001</v>
      </c>
      <c r="E655" s="25">
        <v>1.21898</v>
      </c>
      <c r="F655" s="21">
        <v>2.25</v>
      </c>
      <c r="G655" s="21">
        <v>3.02</v>
      </c>
      <c r="H655" s="21">
        <v>1.69</v>
      </c>
      <c r="I655" s="54">
        <v>14.98</v>
      </c>
      <c r="J655" s="60">
        <v>2066712</v>
      </c>
      <c r="K655" s="61">
        <f>IF(Tabela15115[[#This Row],[Fed Assets]]="",#N/A,((Tabela15115[[#This Row],[Fed Assets]]*1)/J643)-1)</f>
        <v>1.3270350882921549</v>
      </c>
      <c r="L655" s="21">
        <v>6.5</v>
      </c>
      <c r="M655" s="21"/>
    </row>
    <row r="656" spans="1:13" s="9" customFormat="1">
      <c r="A656" s="6">
        <v>39934</v>
      </c>
      <c r="B656" s="7">
        <v>0.19</v>
      </c>
      <c r="C656" s="7">
        <v>4.91</v>
      </c>
      <c r="D656" s="59">
        <v>1.2699</v>
      </c>
      <c r="E656" s="25">
        <v>0.77473000000000003</v>
      </c>
      <c r="F656" s="21">
        <v>2.5499999999999998</v>
      </c>
      <c r="G656" s="21">
        <v>3.33</v>
      </c>
      <c r="H656" s="21">
        <v>1.67</v>
      </c>
      <c r="I656" s="54">
        <v>16</v>
      </c>
      <c r="J656" s="60">
        <v>2080115</v>
      </c>
      <c r="K656" s="61">
        <f>IF(Tabela15115[[#This Row],[Fed Assets]]="",#N/A,((Tabela15115[[#This Row],[Fed Assets]]*1)/J644)-1)</f>
        <v>1.3008747265096998</v>
      </c>
      <c r="L656" s="21">
        <v>7.8</v>
      </c>
      <c r="M656" s="21"/>
    </row>
    <row r="657" spans="1:13" s="9" customFormat="1">
      <c r="A657" s="6">
        <v>39965</v>
      </c>
      <c r="B657" s="7">
        <v>0.22</v>
      </c>
      <c r="C657" s="7">
        <v>5.42</v>
      </c>
      <c r="D657" s="59">
        <v>1.5833999999999999</v>
      </c>
      <c r="E657" s="25">
        <v>0.67415000000000003</v>
      </c>
      <c r="F657" s="21">
        <v>2.42</v>
      </c>
      <c r="G657" s="21">
        <v>3.34</v>
      </c>
      <c r="H657" s="21">
        <v>1.78</v>
      </c>
      <c r="I657" s="54">
        <v>16.38</v>
      </c>
      <c r="J657" s="60">
        <v>2025571</v>
      </c>
      <c r="K657" s="61">
        <f>IF(Tabela15115[[#This Row],[Fed Assets]]="",#N/A,((Tabela15115[[#This Row],[Fed Assets]]*1)/J645)-1)</f>
        <v>1.2690058283009207</v>
      </c>
      <c r="L657" s="21">
        <v>6.1</v>
      </c>
      <c r="M657" s="21"/>
    </row>
    <row r="658" spans="1:13" s="9" customFormat="1">
      <c r="A658" s="6">
        <v>39995</v>
      </c>
      <c r="B658" s="7">
        <v>0.18</v>
      </c>
      <c r="C658" s="7">
        <v>5.25</v>
      </c>
      <c r="D658" s="59">
        <v>0.45540000000000003</v>
      </c>
      <c r="E658" s="25">
        <v>0.34011000000000002</v>
      </c>
      <c r="F658" s="21">
        <v>2.39</v>
      </c>
      <c r="G658" s="21">
        <v>3.34</v>
      </c>
      <c r="H658" s="21">
        <v>1.71</v>
      </c>
      <c r="I658" s="54">
        <v>16.690000000000001</v>
      </c>
      <c r="J658" s="60">
        <v>2000547</v>
      </c>
      <c r="K658" s="61">
        <f>IF(Tabela15115[[#This Row],[Fed Assets]]="",#N/A,((Tabela15115[[#This Row],[Fed Assets]]*1)/J646)-1)</f>
        <v>1.1777624166553271</v>
      </c>
      <c r="L658" s="21">
        <v>5.4</v>
      </c>
      <c r="M658" s="21"/>
    </row>
    <row r="659" spans="1:13" s="9" customFormat="1">
      <c r="A659" s="6">
        <v>40026</v>
      </c>
      <c r="B659" s="7">
        <v>0.15</v>
      </c>
      <c r="C659" s="7">
        <v>5.14</v>
      </c>
      <c r="D659" s="59">
        <v>0.48309999999999997</v>
      </c>
      <c r="E659" s="25">
        <v>0.16170000000000001</v>
      </c>
      <c r="F659" s="21">
        <v>2.4300000000000002</v>
      </c>
      <c r="G659" s="21">
        <v>3.25</v>
      </c>
      <c r="H659" s="21">
        <v>1.76</v>
      </c>
      <c r="I659" s="54">
        <v>18.09</v>
      </c>
      <c r="J659" s="60">
        <v>2074902</v>
      </c>
      <c r="K659" s="61">
        <f>IF(Tabela15115[[#This Row],[Fed Assets]]="",#N/A,((Tabela15115[[#This Row],[Fed Assets]]*1)/J647)-1)</f>
        <v>1.2801571899224382</v>
      </c>
      <c r="L659" s="21">
        <v>4.4000000000000004</v>
      </c>
      <c r="M659" s="21"/>
    </row>
    <row r="660" spans="1:13" s="9" customFormat="1">
      <c r="A660" s="6">
        <v>40057</v>
      </c>
      <c r="B660" s="7">
        <v>7.0000000000000007E-2</v>
      </c>
      <c r="C660" s="7">
        <v>5.04</v>
      </c>
      <c r="D660" s="59">
        <v>0.12180000000000001</v>
      </c>
      <c r="E660" s="25">
        <v>4.2930000000000003E-2</v>
      </c>
      <c r="F660" s="21">
        <v>2.36</v>
      </c>
      <c r="G660" s="21">
        <v>3.17</v>
      </c>
      <c r="H660" s="21">
        <v>1.56</v>
      </c>
      <c r="I660" s="54">
        <v>18.829999999999998</v>
      </c>
      <c r="J660" s="60">
        <v>2141020</v>
      </c>
      <c r="K660" s="61">
        <f>IF(Tabela15115[[#This Row],[Fed Assets]]="",#N/A,((Tabela15115[[#This Row],[Fed Assets]]*1)/J648)-1)</f>
        <v>0.766773255214243</v>
      </c>
      <c r="L660" s="21">
        <v>5.5</v>
      </c>
      <c r="M660" s="21"/>
    </row>
    <row r="661" spans="1:13" s="9" customFormat="1">
      <c r="A661" s="6">
        <v>40087</v>
      </c>
      <c r="B661" s="7">
        <v>0.11</v>
      </c>
      <c r="C661" s="7">
        <v>5.03</v>
      </c>
      <c r="D661" s="59">
        <v>0.34610000000000002</v>
      </c>
      <c r="E661" s="25">
        <v>-2.4570000000000002E-2</v>
      </c>
      <c r="F661" s="21">
        <v>2.5099999999999998</v>
      </c>
      <c r="G661" s="21">
        <v>3.36</v>
      </c>
      <c r="H661" s="21">
        <v>1.41</v>
      </c>
      <c r="I661" s="54">
        <v>19.36</v>
      </c>
      <c r="J661" s="60">
        <v>2161537</v>
      </c>
      <c r="K661" s="61">
        <f>IF(Tabela15115[[#This Row],[Fed Assets]]="",#N/A,((Tabela15115[[#This Row],[Fed Assets]]*1)/J649)-1)</f>
        <v>9.773620857595855E-2</v>
      </c>
      <c r="L661" s="21">
        <v>5.0999999999999996</v>
      </c>
      <c r="M661" s="21"/>
    </row>
    <row r="662" spans="1:13" s="9" customFormat="1">
      <c r="A662" s="6">
        <v>40118</v>
      </c>
      <c r="B662" s="7">
        <v>0.13</v>
      </c>
      <c r="C662" s="7">
        <v>4.78</v>
      </c>
      <c r="D662" s="59">
        <v>9.7500000000000003E-2</v>
      </c>
      <c r="E662" s="25">
        <v>-8.0629999999999993E-2</v>
      </c>
      <c r="F662" s="21">
        <v>2.54</v>
      </c>
      <c r="G662" s="21">
        <v>3.15</v>
      </c>
      <c r="H662" s="21">
        <v>1.1299999999999999</v>
      </c>
      <c r="I662" s="54">
        <v>19.809999999999999</v>
      </c>
      <c r="J662" s="60">
        <v>2206359</v>
      </c>
      <c r="K662" s="61">
        <f>IF(Tabela15115[[#This Row],[Fed Assets]]="",#N/A,((Tabela15115[[#This Row],[Fed Assets]]*1)/J650)-1)</f>
        <v>4.7595646395713009E-2</v>
      </c>
      <c r="L662" s="21">
        <v>5.5</v>
      </c>
      <c r="M662" s="21"/>
    </row>
    <row r="663" spans="1:13" s="9" customFormat="1">
      <c r="A663" s="6">
        <v>40148</v>
      </c>
      <c r="B663" s="7">
        <v>0.05</v>
      </c>
      <c r="C663" s="7">
        <v>5.14</v>
      </c>
      <c r="D663" s="59">
        <v>-0.31940000000000002</v>
      </c>
      <c r="E663" s="25">
        <v>-0.18728</v>
      </c>
      <c r="F663" s="21">
        <v>2.71</v>
      </c>
      <c r="G663" s="21">
        <v>3.79</v>
      </c>
      <c r="H663" s="21">
        <v>1.48</v>
      </c>
      <c r="I663" s="54">
        <v>20.32</v>
      </c>
      <c r="J663" s="60">
        <v>2234067</v>
      </c>
      <c r="K663" s="61">
        <f>IF(Tabela15115[[#This Row],[Fed Assets]]="",#N/A,((Tabela15115[[#This Row],[Fed Assets]]*1)/J651)-1)</f>
        <v>-2.4068334422139293E-3</v>
      </c>
      <c r="L663" s="21">
        <v>5.4</v>
      </c>
      <c r="M663" s="21"/>
    </row>
    <row r="664" spans="1:13" s="9" customFormat="1">
      <c r="A664" s="6">
        <v>40179</v>
      </c>
      <c r="B664" s="7">
        <v>0.12</v>
      </c>
      <c r="C664" s="7">
        <v>4.9800000000000004</v>
      </c>
      <c r="D664" s="59">
        <v>-1.2999999999999999E-2</v>
      </c>
      <c r="E664" s="25">
        <v>-0.22697999999999999</v>
      </c>
      <c r="F664" s="21">
        <v>2.81</v>
      </c>
      <c r="G664" s="21">
        <v>3.55</v>
      </c>
      <c r="H664" s="21">
        <v>1.3</v>
      </c>
      <c r="I664" s="54">
        <v>20.53</v>
      </c>
      <c r="J664" s="60">
        <v>2246886</v>
      </c>
      <c r="K664" s="61">
        <f>IF(Tabela15115[[#This Row],[Fed Assets]]="",#N/A,((Tabela15115[[#This Row],[Fed Assets]]*1)/J652)-1)</f>
        <v>0.1659524607671079</v>
      </c>
      <c r="L664" s="21">
        <v>5.6</v>
      </c>
      <c r="M664" s="21"/>
    </row>
    <row r="665" spans="1:13" s="9" customFormat="1">
      <c r="A665" s="6">
        <v>40210</v>
      </c>
      <c r="B665" s="7">
        <v>0.13</v>
      </c>
      <c r="C665" s="7">
        <v>5.05</v>
      </c>
      <c r="D665" s="59">
        <v>-0.27850000000000003</v>
      </c>
      <c r="E665" s="25">
        <v>-0.28582999999999997</v>
      </c>
      <c r="F665" s="21">
        <v>2.8</v>
      </c>
      <c r="G665" s="21">
        <v>3.48</v>
      </c>
      <c r="H665" s="21">
        <v>1.48</v>
      </c>
      <c r="I665" s="54">
        <v>19.920000000000002</v>
      </c>
      <c r="J665" s="60">
        <v>2286127</v>
      </c>
      <c r="K665" s="61">
        <f>IF(Tabela15115[[#This Row],[Fed Assets]]="",#N/A,((Tabela15115[[#This Row],[Fed Assets]]*1)/J653)-1)</f>
        <v>0.19310531987902602</v>
      </c>
      <c r="L665" s="21">
        <v>5.3</v>
      </c>
      <c r="M665" s="21"/>
    </row>
    <row r="666" spans="1:13" s="9" customFormat="1">
      <c r="A666" s="6">
        <v>40238</v>
      </c>
      <c r="B666" s="7">
        <v>0.09</v>
      </c>
      <c r="C666" s="7">
        <v>4.99</v>
      </c>
      <c r="D666" s="59">
        <v>-0.46779999999999999</v>
      </c>
      <c r="E666" s="25">
        <v>-0.46867999999999999</v>
      </c>
      <c r="F666" s="21">
        <v>2.82</v>
      </c>
      <c r="G666" s="21">
        <v>3.68</v>
      </c>
      <c r="H666" s="21">
        <v>1.6</v>
      </c>
      <c r="I666" s="54">
        <v>21</v>
      </c>
      <c r="J666" s="60">
        <v>2307150</v>
      </c>
      <c r="K666" s="61">
        <f>IF(Tabela15115[[#This Row],[Fed Assets]]="",#N/A,((Tabela15115[[#This Row],[Fed Assets]]*1)/J654)-1)</f>
        <v>0.11372803824757804</v>
      </c>
      <c r="L666" s="21">
        <v>5.3</v>
      </c>
      <c r="M666" s="21"/>
    </row>
    <row r="667" spans="1:13" s="9" customFormat="1">
      <c r="A667" s="6">
        <v>40269</v>
      </c>
      <c r="B667" s="7">
        <v>0.2</v>
      </c>
      <c r="C667" s="7">
        <v>5.0599999999999996</v>
      </c>
      <c r="D667" s="59">
        <v>-0.24729999999999999</v>
      </c>
      <c r="E667" s="25">
        <v>-0.39973999999999998</v>
      </c>
      <c r="F667" s="21">
        <v>2.72</v>
      </c>
      <c r="G667" s="21">
        <v>3.53</v>
      </c>
      <c r="H667" s="21">
        <v>1.29</v>
      </c>
      <c r="I667" s="54">
        <v>21.8</v>
      </c>
      <c r="J667" s="60">
        <v>2330472</v>
      </c>
      <c r="K667" s="61">
        <f>IF(Tabela15115[[#This Row],[Fed Assets]]="",#N/A,((Tabela15115[[#This Row],[Fed Assets]]*1)/J655)-1)</f>
        <v>0.1276230069792017</v>
      </c>
      <c r="L667" s="21">
        <v>6</v>
      </c>
      <c r="M667" s="21"/>
    </row>
    <row r="668" spans="1:13" s="9" customFormat="1">
      <c r="A668" s="6">
        <v>40299</v>
      </c>
      <c r="B668" s="7">
        <v>0.19</v>
      </c>
      <c r="C668" s="7">
        <v>4.78</v>
      </c>
      <c r="D668" s="59">
        <v>0.93979999999999997</v>
      </c>
      <c r="E668" s="25">
        <v>-9.7680000000000003E-2</v>
      </c>
      <c r="F668" s="21">
        <v>2.5499999999999998</v>
      </c>
      <c r="G668" s="21">
        <v>3.15</v>
      </c>
      <c r="H668" s="21">
        <v>1.32</v>
      </c>
      <c r="I668" s="54">
        <v>20.48</v>
      </c>
      <c r="J668" s="60">
        <v>2334041</v>
      </c>
      <c r="K668" s="61">
        <f>IF(Tabela15115[[#This Row],[Fed Assets]]="",#N/A,((Tabela15115[[#This Row],[Fed Assets]]*1)/J656)-1)</f>
        <v>0.12207305846071015</v>
      </c>
      <c r="L668" s="21">
        <v>6.4</v>
      </c>
      <c r="M668" s="21"/>
    </row>
    <row r="669" spans="1:13" s="9" customFormat="1">
      <c r="A669" s="6">
        <v>40330</v>
      </c>
      <c r="B669" s="7">
        <v>0.09</v>
      </c>
      <c r="C669" s="7">
        <v>4.6900000000000004</v>
      </c>
      <c r="D669" s="59">
        <v>0.52529999999999999</v>
      </c>
      <c r="E669" s="25">
        <v>-0.11248</v>
      </c>
      <c r="F669" s="21">
        <v>2.36</v>
      </c>
      <c r="G669" s="21">
        <v>2.79</v>
      </c>
      <c r="H669" s="21">
        <v>1.1499999999999999</v>
      </c>
      <c r="I669" s="54">
        <v>19.739999999999998</v>
      </c>
      <c r="J669" s="60">
        <v>2330851</v>
      </c>
      <c r="K669" s="61">
        <f>IF(Tabela15115[[#This Row],[Fed Assets]]="",#N/A,((Tabela15115[[#This Row],[Fed Assets]]*1)/J657)-1)</f>
        <v>0.15071305819445491</v>
      </c>
      <c r="L669" s="21">
        <v>6.2</v>
      </c>
      <c r="M669" s="21"/>
    </row>
    <row r="670" spans="1:13" s="9" customFormat="1">
      <c r="A670" s="6">
        <v>40360</v>
      </c>
      <c r="B670" s="7">
        <v>0.18</v>
      </c>
      <c r="C670" s="7">
        <v>4.54</v>
      </c>
      <c r="D670" s="59">
        <v>0.10340000000000001</v>
      </c>
      <c r="E670" s="25">
        <v>-0.30718000000000001</v>
      </c>
      <c r="F670" s="21">
        <v>2.39</v>
      </c>
      <c r="G670" s="21">
        <v>2.79</v>
      </c>
      <c r="H670" s="21">
        <v>1.1399999999999999</v>
      </c>
      <c r="I670" s="54">
        <v>19.670000000000002</v>
      </c>
      <c r="J670" s="60">
        <v>2325298</v>
      </c>
      <c r="K670" s="61">
        <f>IF(Tabela15115[[#This Row],[Fed Assets]]="",#N/A,((Tabela15115[[#This Row],[Fed Assets]]*1)/J658)-1)</f>
        <v>0.1623311024434817</v>
      </c>
      <c r="L670" s="21">
        <v>6.1</v>
      </c>
      <c r="M670" s="21"/>
    </row>
    <row r="671" spans="1:13" s="9" customFormat="1">
      <c r="A671" s="6">
        <v>40391</v>
      </c>
      <c r="B671" s="7">
        <v>0.21</v>
      </c>
      <c r="C671" s="7">
        <v>4.3600000000000003</v>
      </c>
      <c r="D671" s="59">
        <v>0.39300000000000002</v>
      </c>
      <c r="E671" s="25">
        <v>-0.31722</v>
      </c>
      <c r="F671" s="21">
        <v>2</v>
      </c>
      <c r="G671" s="21">
        <v>2.33</v>
      </c>
      <c r="H671" s="21">
        <v>0.95</v>
      </c>
      <c r="I671" s="54">
        <v>19.77</v>
      </c>
      <c r="J671" s="60">
        <v>2301015</v>
      </c>
      <c r="K671" s="61">
        <f>IF(Tabela15115[[#This Row],[Fed Assets]]="",#N/A,((Tabela15115[[#This Row],[Fed Assets]]*1)/J659)-1)</f>
        <v>0.10897526726563478</v>
      </c>
      <c r="L671" s="21">
        <v>6.2</v>
      </c>
      <c r="M671" s="21"/>
    </row>
    <row r="672" spans="1:13" s="9" customFormat="1">
      <c r="A672" s="6">
        <v>40422</v>
      </c>
      <c r="B672" s="7">
        <v>0.15</v>
      </c>
      <c r="C672" s="7">
        <v>4.32</v>
      </c>
      <c r="D672" s="59">
        <v>3.6999999999999998E-2</v>
      </c>
      <c r="E672" s="25">
        <v>-0.37933</v>
      </c>
      <c r="F672" s="21">
        <v>2.11</v>
      </c>
      <c r="G672" s="21">
        <v>2.37</v>
      </c>
      <c r="H672" s="21">
        <v>0.75</v>
      </c>
      <c r="I672" s="54">
        <v>20.38</v>
      </c>
      <c r="J672" s="60">
        <v>2298691</v>
      </c>
      <c r="K672" s="61">
        <f>IF(Tabela15115[[#This Row],[Fed Assets]]="",#N/A,((Tabela15115[[#This Row],[Fed Assets]]*1)/J660)-1)</f>
        <v>7.3642936544263904E-2</v>
      </c>
      <c r="L672" s="21">
        <v>6.1</v>
      </c>
      <c r="M672" s="21"/>
    </row>
    <row r="673" spans="1:13" s="9" customFormat="1">
      <c r="A673" s="6">
        <v>40452</v>
      </c>
      <c r="B673" s="7">
        <v>0.2</v>
      </c>
      <c r="C673" s="7">
        <v>4.2300000000000004</v>
      </c>
      <c r="D673" s="59">
        <v>-0.2883</v>
      </c>
      <c r="E673" s="25">
        <v>-0.48269000000000001</v>
      </c>
      <c r="F673" s="21">
        <v>2.29</v>
      </c>
      <c r="G673" s="21">
        <v>2.5099999999999998</v>
      </c>
      <c r="H673" s="21">
        <v>0.5</v>
      </c>
      <c r="I673" s="54">
        <v>21.24</v>
      </c>
      <c r="J673" s="60">
        <v>2295392</v>
      </c>
      <c r="K673" s="61">
        <f>IF(Tabela15115[[#This Row],[Fed Assets]]="",#N/A,((Tabela15115[[#This Row],[Fed Assets]]*1)/J661)-1)</f>
        <v>6.192584258331002E-2</v>
      </c>
      <c r="L673" s="21">
        <v>5.9</v>
      </c>
      <c r="M673" s="21"/>
    </row>
    <row r="674" spans="1:13" s="9" customFormat="1">
      <c r="A674" s="6">
        <v>40483</v>
      </c>
      <c r="B674" s="7">
        <v>0.2</v>
      </c>
      <c r="C674" s="7">
        <v>4.4000000000000004</v>
      </c>
      <c r="D674" s="59">
        <v>-2.5399999999999999E-2</v>
      </c>
      <c r="E674" s="25">
        <v>-0.48260999999999998</v>
      </c>
      <c r="F674" s="21">
        <v>2.36</v>
      </c>
      <c r="G674" s="21">
        <v>2.64</v>
      </c>
      <c r="H674" s="21">
        <v>0.74</v>
      </c>
      <c r="I674" s="54">
        <v>21.7</v>
      </c>
      <c r="J674" s="60">
        <v>2346001</v>
      </c>
      <c r="K674" s="61">
        <f>IF(Tabela15115[[#This Row],[Fed Assets]]="",#N/A,((Tabela15115[[#This Row],[Fed Assets]]*1)/J662)-1)</f>
        <v>6.3290697479422064E-2</v>
      </c>
      <c r="L674" s="21">
        <v>5.8</v>
      </c>
      <c r="M674" s="21"/>
    </row>
    <row r="675" spans="1:13" s="9" customFormat="1">
      <c r="A675" s="6">
        <v>40513</v>
      </c>
      <c r="B675" s="7">
        <v>0.13</v>
      </c>
      <c r="C675" s="7">
        <v>4.8600000000000003</v>
      </c>
      <c r="D675" s="59">
        <v>-0.29570000000000002</v>
      </c>
      <c r="E675" s="25">
        <v>-0.55462</v>
      </c>
      <c r="F675" s="21">
        <v>2.69</v>
      </c>
      <c r="G675" s="21">
        <v>3.18</v>
      </c>
      <c r="H675" s="21">
        <v>1</v>
      </c>
      <c r="I675" s="54">
        <v>22.4</v>
      </c>
      <c r="J675" s="60">
        <v>2420570</v>
      </c>
      <c r="K675" s="61">
        <f>IF(Tabela15115[[#This Row],[Fed Assets]]="",#N/A,((Tabela15115[[#This Row],[Fed Assets]]*1)/J663)-1)</f>
        <v>8.3481381713261138E-2</v>
      </c>
      <c r="L675" s="21">
        <v>6.2</v>
      </c>
      <c r="M675" s="21"/>
    </row>
    <row r="676" spans="1:13" s="9" customFormat="1">
      <c r="A676" s="6">
        <v>40544</v>
      </c>
      <c r="B676" s="7">
        <v>0.17</v>
      </c>
      <c r="C676" s="7">
        <v>4.8</v>
      </c>
      <c r="D676" s="59">
        <v>-0.31909999999999999</v>
      </c>
      <c r="E676" s="25">
        <v>-0.62622</v>
      </c>
      <c r="F676" s="21">
        <v>2.84</v>
      </c>
      <c r="G676" s="21">
        <v>3.27</v>
      </c>
      <c r="H676" s="21">
        <v>1.08</v>
      </c>
      <c r="I676" s="54">
        <v>22.98</v>
      </c>
      <c r="J676" s="60">
        <v>2443527</v>
      </c>
      <c r="K676" s="61">
        <f>IF(Tabela15115[[#This Row],[Fed Assets]]="",#N/A,((Tabela15115[[#This Row],[Fed Assets]]*1)/J664)-1)</f>
        <v>8.7517123699199617E-2</v>
      </c>
      <c r="L676" s="21">
        <v>6.6</v>
      </c>
      <c r="M676" s="21"/>
    </row>
    <row r="677" spans="1:13" s="9" customFormat="1">
      <c r="A677" s="6">
        <v>40575</v>
      </c>
      <c r="B677" s="7">
        <v>0.16</v>
      </c>
      <c r="C677" s="7">
        <v>4.95</v>
      </c>
      <c r="D677" s="59">
        <v>-0.13389999999999999</v>
      </c>
      <c r="E677" s="25">
        <v>-0.60402999999999996</v>
      </c>
      <c r="F677" s="21">
        <v>2.73</v>
      </c>
      <c r="G677" s="21">
        <v>3.27</v>
      </c>
      <c r="H677" s="21">
        <v>1.03</v>
      </c>
      <c r="I677" s="54">
        <v>23.49</v>
      </c>
      <c r="J677" s="60">
        <v>2533221</v>
      </c>
      <c r="K677" s="61">
        <f>IF(Tabela15115[[#This Row],[Fed Assets]]="",#N/A,((Tabela15115[[#This Row],[Fed Assets]]*1)/J665)-1)</f>
        <v>0.10808410906305732</v>
      </c>
      <c r="L677" s="21">
        <v>6.9</v>
      </c>
      <c r="M677" s="21"/>
    </row>
    <row r="678" spans="1:13" s="9" customFormat="1">
      <c r="A678" s="6">
        <v>40603</v>
      </c>
      <c r="B678" s="7">
        <v>0.1</v>
      </c>
      <c r="C678" s="7">
        <v>4.8600000000000003</v>
      </c>
      <c r="D678" s="59">
        <v>-0.3931</v>
      </c>
      <c r="E678" s="25">
        <v>-0.57145000000000001</v>
      </c>
      <c r="F678" s="21">
        <v>2.67</v>
      </c>
      <c r="G678" s="21">
        <v>3.38</v>
      </c>
      <c r="H678" s="21">
        <v>0.99</v>
      </c>
      <c r="I678" s="54">
        <v>22.9</v>
      </c>
      <c r="J678" s="60">
        <v>2622523</v>
      </c>
      <c r="K678" s="61">
        <f>IF(Tabela15115[[#This Row],[Fed Assets]]="",#N/A,((Tabela15115[[#This Row],[Fed Assets]]*1)/J666)-1)</f>
        <v>0.13669375636607928</v>
      </c>
      <c r="L678" s="21">
        <v>6.3</v>
      </c>
      <c r="M678" s="21"/>
    </row>
    <row r="679" spans="1:13" s="9" customFormat="1">
      <c r="A679" s="6">
        <v>40634</v>
      </c>
      <c r="B679" s="7">
        <v>0.09</v>
      </c>
      <c r="C679" s="7">
        <v>4.78</v>
      </c>
      <c r="D679" s="59">
        <v>-0.55969999999999998</v>
      </c>
      <c r="E679" s="25">
        <v>-0.62463999999999997</v>
      </c>
      <c r="F679" s="21">
        <v>2.71</v>
      </c>
      <c r="G679" s="21">
        <v>3.28</v>
      </c>
      <c r="H679" s="21">
        <v>0.75</v>
      </c>
      <c r="I679" s="54">
        <v>23.14</v>
      </c>
      <c r="J679" s="60">
        <v>2690985</v>
      </c>
      <c r="K679" s="61">
        <f>IF(Tabela15115[[#This Row],[Fed Assets]]="",#N/A,((Tabela15115[[#This Row],[Fed Assets]]*1)/J667)-1)</f>
        <v>0.15469527203073019</v>
      </c>
      <c r="L679" s="21">
        <v>6.3</v>
      </c>
      <c r="M679" s="21"/>
    </row>
    <row r="680" spans="1:13" s="9" customFormat="1">
      <c r="A680" s="6">
        <v>40664</v>
      </c>
      <c r="B680" s="7">
        <v>0.1</v>
      </c>
      <c r="C680" s="7">
        <v>4.5999999999999996</v>
      </c>
      <c r="D680" s="59">
        <v>-0.33150000000000002</v>
      </c>
      <c r="E680" s="25">
        <v>-0.57347999999999999</v>
      </c>
      <c r="F680" s="21">
        <v>2.6</v>
      </c>
      <c r="G680" s="21">
        <v>2.99</v>
      </c>
      <c r="H680" s="21">
        <v>0.8</v>
      </c>
      <c r="I680" s="54">
        <v>23.06</v>
      </c>
      <c r="J680" s="60">
        <v>2774996</v>
      </c>
      <c r="K680" s="61">
        <f>IF(Tabela15115[[#This Row],[Fed Assets]]="",#N/A,((Tabela15115[[#This Row],[Fed Assets]]*1)/J668)-1)</f>
        <v>0.18892341651239208</v>
      </c>
      <c r="L680" s="21">
        <v>6.3</v>
      </c>
      <c r="M680" s="21"/>
    </row>
    <row r="681" spans="1:13" s="9" customFormat="1">
      <c r="A681" s="6">
        <v>40695</v>
      </c>
      <c r="B681" s="7">
        <v>7.0000000000000007E-2</v>
      </c>
      <c r="C681" s="7">
        <v>4.51</v>
      </c>
      <c r="D681" s="59">
        <v>-0.1739</v>
      </c>
      <c r="E681" s="25">
        <v>-0.52337</v>
      </c>
      <c r="F681" s="21">
        <v>2.73</v>
      </c>
      <c r="G681" s="21">
        <v>3.15</v>
      </c>
      <c r="H681" s="21">
        <v>0.75</v>
      </c>
      <c r="I681" s="54">
        <v>22.1</v>
      </c>
      <c r="J681" s="60">
        <v>2865251</v>
      </c>
      <c r="K681" s="61">
        <f>IF(Tabela15115[[#This Row],[Fed Assets]]="",#N/A,((Tabela15115[[#This Row],[Fed Assets]]*1)/J669)-1)</f>
        <v>0.22927248459897265</v>
      </c>
      <c r="L681" s="21">
        <v>6.5</v>
      </c>
      <c r="M681" s="21"/>
    </row>
    <row r="682" spans="1:13" s="9" customFormat="1">
      <c r="A682" s="6">
        <v>40725</v>
      </c>
      <c r="B682" s="7">
        <v>0.11</v>
      </c>
      <c r="C682" s="7">
        <v>4.55</v>
      </c>
      <c r="D682" s="59">
        <v>-0.31990000000000002</v>
      </c>
      <c r="E682" s="25">
        <v>-0.40508</v>
      </c>
      <c r="F682" s="21">
        <v>2.46</v>
      </c>
      <c r="G682" s="21">
        <v>2.72</v>
      </c>
      <c r="H682" s="21">
        <v>0.38</v>
      </c>
      <c r="I682" s="54">
        <v>22.61</v>
      </c>
      <c r="J682" s="60">
        <v>2863576</v>
      </c>
      <c r="K682" s="61">
        <f>IF(Tabela15115[[#This Row],[Fed Assets]]="",#N/A,((Tabela15115[[#This Row],[Fed Assets]]*1)/J670)-1)</f>
        <v>0.23148774909710501</v>
      </c>
      <c r="L682" s="21">
        <v>6.7</v>
      </c>
      <c r="M682" s="21"/>
    </row>
    <row r="683" spans="1:13" s="9" customFormat="1">
      <c r="A683" s="6">
        <v>40756</v>
      </c>
      <c r="B683" s="7">
        <v>0.08</v>
      </c>
      <c r="C683" s="7">
        <v>4.22</v>
      </c>
      <c r="D683" s="59">
        <v>0.78979999999999995</v>
      </c>
      <c r="E683" s="25">
        <v>-0.11241</v>
      </c>
      <c r="F683" s="21">
        <v>2.0299999999999998</v>
      </c>
      <c r="G683" s="21">
        <v>2.21</v>
      </c>
      <c r="H683" s="21">
        <v>0.18</v>
      </c>
      <c r="I683" s="54">
        <v>20.05</v>
      </c>
      <c r="J683" s="60">
        <v>2853888</v>
      </c>
      <c r="K683" s="61">
        <f>IF(Tabela15115[[#This Row],[Fed Assets]]="",#N/A,((Tabela15115[[#This Row],[Fed Assets]]*1)/J671)-1)</f>
        <v>0.24027353146328911</v>
      </c>
      <c r="L683" s="21">
        <v>6.7</v>
      </c>
      <c r="M683" s="21"/>
    </row>
    <row r="684" spans="1:13" s="9" customFormat="1">
      <c r="A684" s="6">
        <v>40787</v>
      </c>
      <c r="B684" s="7">
        <v>0.06</v>
      </c>
      <c r="C684" s="7">
        <v>4.01</v>
      </c>
      <c r="D684" s="59">
        <v>1.0492999999999999</v>
      </c>
      <c r="E684" s="25">
        <v>6.8500000000000002E-3</v>
      </c>
      <c r="F684" s="21">
        <v>1.67</v>
      </c>
      <c r="G684" s="21">
        <v>1.9</v>
      </c>
      <c r="H684" s="21">
        <v>0.17</v>
      </c>
      <c r="I684" s="54">
        <v>19.7</v>
      </c>
      <c r="J684" s="60">
        <v>2850921</v>
      </c>
      <c r="K684" s="61">
        <f>IF(Tabela15115[[#This Row],[Fed Assets]]="",#N/A,((Tabela15115[[#This Row],[Fed Assets]]*1)/J672)-1)</f>
        <v>0.24023672603233748</v>
      </c>
      <c r="L684" s="21">
        <v>6.4</v>
      </c>
      <c r="M684" s="21"/>
    </row>
    <row r="685" spans="1:13" s="9" customFormat="1">
      <c r="A685" s="6">
        <v>40817</v>
      </c>
      <c r="B685" s="7">
        <v>0.09</v>
      </c>
      <c r="C685" s="7">
        <v>4.0999999999999996</v>
      </c>
      <c r="D685" s="59">
        <v>0.24540000000000001</v>
      </c>
      <c r="E685" s="25">
        <v>-6.1899999999999997E-2</v>
      </c>
      <c r="F685" s="21">
        <v>1.92</v>
      </c>
      <c r="G685" s="21">
        <v>2.16</v>
      </c>
      <c r="H685" s="21">
        <v>0.08</v>
      </c>
      <c r="I685" s="54">
        <v>20.16</v>
      </c>
      <c r="J685" s="60">
        <v>2845685</v>
      </c>
      <c r="K685" s="61">
        <f>IF(Tabela15115[[#This Row],[Fed Assets]]="",#N/A,((Tabela15115[[#This Row],[Fed Assets]]*1)/J673)-1)</f>
        <v>0.23973813623119722</v>
      </c>
      <c r="L685" s="21">
        <v>6.3</v>
      </c>
      <c r="M685" s="21"/>
    </row>
    <row r="686" spans="1:13" s="9" customFormat="1">
      <c r="A686" s="6">
        <v>40848</v>
      </c>
      <c r="B686" s="7">
        <v>0.1</v>
      </c>
      <c r="C686" s="7">
        <v>3.98</v>
      </c>
      <c r="D686" s="59">
        <v>1.1619999999999999</v>
      </c>
      <c r="E686" s="25">
        <v>-1.179E-2</v>
      </c>
      <c r="F686" s="21">
        <v>1.83</v>
      </c>
      <c r="G686" s="21">
        <v>2.0699999999999998</v>
      </c>
      <c r="H686" s="21">
        <v>0.03</v>
      </c>
      <c r="I686" s="54">
        <v>20.350000000000001</v>
      </c>
      <c r="J686" s="60">
        <v>2814235</v>
      </c>
      <c r="K686" s="61">
        <f>IF(Tabela15115[[#This Row],[Fed Assets]]="",#N/A,((Tabela15115[[#This Row],[Fed Assets]]*1)/J674)-1)</f>
        <v>0.19958815021817977</v>
      </c>
      <c r="L686" s="21">
        <v>6.4</v>
      </c>
      <c r="M686" s="21"/>
    </row>
    <row r="687" spans="1:13" s="9" customFormat="1">
      <c r="A687" s="6">
        <v>40878</v>
      </c>
      <c r="B687" s="7">
        <v>0.04</v>
      </c>
      <c r="C687" s="7">
        <v>3.95</v>
      </c>
      <c r="D687" s="59">
        <v>0.59050000000000002</v>
      </c>
      <c r="E687" s="25">
        <v>-9.8040000000000002E-2</v>
      </c>
      <c r="F687" s="21">
        <v>1.64</v>
      </c>
      <c r="G687" s="21">
        <v>1.87</v>
      </c>
      <c r="H687" s="21">
        <v>-7.0000000000000007E-2</v>
      </c>
      <c r="I687" s="54">
        <v>20.52</v>
      </c>
      <c r="J687" s="60">
        <v>2926095</v>
      </c>
      <c r="K687" s="61">
        <f>IF(Tabela15115[[#This Row],[Fed Assets]]="",#N/A,((Tabela15115[[#This Row],[Fed Assets]]*1)/J675)-1)</f>
        <v>0.20884543723172633</v>
      </c>
      <c r="L687" s="21">
        <v>7.2</v>
      </c>
      <c r="M687" s="21"/>
    </row>
    <row r="688" spans="1:13" s="9" customFormat="1">
      <c r="A688" s="6">
        <v>40909</v>
      </c>
      <c r="B688" s="7">
        <v>0.11</v>
      </c>
      <c r="C688" s="7">
        <v>3.98</v>
      </c>
      <c r="D688" s="59">
        <v>0.25519999999999998</v>
      </c>
      <c r="E688" s="25">
        <v>-0.29977999999999999</v>
      </c>
      <c r="F688" s="21">
        <v>1.61</v>
      </c>
      <c r="G688" s="21">
        <v>1.77</v>
      </c>
      <c r="H688" s="21">
        <v>-0.28000000000000003</v>
      </c>
      <c r="I688" s="54">
        <v>21.21</v>
      </c>
      <c r="J688" s="60">
        <v>2919545</v>
      </c>
      <c r="K688" s="61">
        <f>IF(Tabela15115[[#This Row],[Fed Assets]]="",#N/A,((Tabela15115[[#This Row],[Fed Assets]]*1)/J676)-1)</f>
        <v>0.19480775125464134</v>
      </c>
      <c r="L688" s="21">
        <v>7.4</v>
      </c>
      <c r="M688" s="21"/>
    </row>
    <row r="689" spans="1:13" s="9" customFormat="1">
      <c r="A689" s="6">
        <v>40940</v>
      </c>
      <c r="B689" s="7">
        <v>0.1</v>
      </c>
      <c r="C689" s="7">
        <v>3.95</v>
      </c>
      <c r="D689" s="59">
        <v>8.9999999999999993E-3</v>
      </c>
      <c r="E689" s="25">
        <v>-0.38851999999999998</v>
      </c>
      <c r="F689" s="21">
        <v>1.68</v>
      </c>
      <c r="G689" s="21">
        <v>1.9</v>
      </c>
      <c r="H689" s="21">
        <v>-0.28000000000000003</v>
      </c>
      <c r="I689" s="54">
        <v>21.8</v>
      </c>
      <c r="J689" s="60">
        <v>2925722</v>
      </c>
      <c r="K689" s="61">
        <f>IF(Tabela15115[[#This Row],[Fed Assets]]="",#N/A,((Tabela15115[[#This Row],[Fed Assets]]*1)/J677)-1)</f>
        <v>0.15494147569438277</v>
      </c>
      <c r="L689" s="21">
        <v>7.3</v>
      </c>
      <c r="M689" s="21"/>
    </row>
    <row r="690" spans="1:13" s="9" customFormat="1">
      <c r="A690" s="6">
        <v>40969</v>
      </c>
      <c r="B690" s="7">
        <v>0.09</v>
      </c>
      <c r="C690" s="7">
        <v>3.99</v>
      </c>
      <c r="D690" s="59">
        <v>-2.1000000000000001E-2</v>
      </c>
      <c r="E690" s="25">
        <v>-0.43097000000000002</v>
      </c>
      <c r="F690" s="21">
        <v>1.9</v>
      </c>
      <c r="G690" s="21">
        <v>2.16</v>
      </c>
      <c r="H690" s="21">
        <v>-0.09</v>
      </c>
      <c r="I690" s="54">
        <v>22.05</v>
      </c>
      <c r="J690" s="60">
        <v>2878137</v>
      </c>
      <c r="K690" s="61">
        <f>IF(Tabela15115[[#This Row],[Fed Assets]]="",#N/A,((Tabela15115[[#This Row],[Fed Assets]]*1)/J678)-1)</f>
        <v>9.7468735259900408E-2</v>
      </c>
      <c r="L690" s="21">
        <v>7.6</v>
      </c>
      <c r="M690" s="21"/>
    </row>
    <row r="691" spans="1:13" s="9" customFormat="1">
      <c r="A691" s="6">
        <v>41000</v>
      </c>
      <c r="B691" s="7">
        <v>0.16</v>
      </c>
      <c r="C691" s="7">
        <v>3.88</v>
      </c>
      <c r="D691" s="59">
        <v>-5.8000000000000003E-2</v>
      </c>
      <c r="E691" s="25">
        <v>-0.36968000000000001</v>
      </c>
      <c r="F691" s="21">
        <v>1.68</v>
      </c>
      <c r="G691" s="21">
        <v>1.85</v>
      </c>
      <c r="H691" s="21">
        <v>-0.3</v>
      </c>
      <c r="I691" s="54">
        <v>21.78</v>
      </c>
      <c r="J691" s="60">
        <v>2866561</v>
      </c>
      <c r="K691" s="61">
        <f>IF(Tabela15115[[#This Row],[Fed Assets]]="",#N/A,((Tabela15115[[#This Row],[Fed Assets]]*1)/J679)-1)</f>
        <v>6.524599728352265E-2</v>
      </c>
      <c r="L691" s="21">
        <v>7.9</v>
      </c>
      <c r="M691" s="21"/>
    </row>
    <row r="692" spans="1:13" s="9" customFormat="1">
      <c r="A692" s="6">
        <v>41030</v>
      </c>
      <c r="B692" s="7">
        <v>0.16</v>
      </c>
      <c r="C692" s="7">
        <v>3.75</v>
      </c>
      <c r="D692" s="59">
        <v>0.2964</v>
      </c>
      <c r="E692" s="25">
        <v>-0.23956</v>
      </c>
      <c r="F692" s="21">
        <v>1.32</v>
      </c>
      <c r="G692" s="21">
        <v>1.52</v>
      </c>
      <c r="H692" s="21">
        <v>-0.5</v>
      </c>
      <c r="I692" s="54">
        <v>20.94</v>
      </c>
      <c r="J692" s="60">
        <v>2842654</v>
      </c>
      <c r="K692" s="61">
        <f>IF(Tabela15115[[#This Row],[Fed Assets]]="",#N/A,((Tabela15115[[#This Row],[Fed Assets]]*1)/J680)-1)</f>
        <v>2.4381296405472375E-2</v>
      </c>
      <c r="L692" s="21">
        <v>7.9</v>
      </c>
      <c r="M692" s="21"/>
    </row>
    <row r="693" spans="1:13" s="9" customFormat="1">
      <c r="A693" s="6">
        <v>41061</v>
      </c>
      <c r="B693" s="7">
        <v>0.09</v>
      </c>
      <c r="C693" s="7">
        <v>3.66</v>
      </c>
      <c r="D693" s="59">
        <v>6.3700000000000007E-2</v>
      </c>
      <c r="E693" s="25">
        <v>-0.25897999999999999</v>
      </c>
      <c r="F693" s="21">
        <v>1.34</v>
      </c>
      <c r="G693" s="21">
        <v>1.58</v>
      </c>
      <c r="H693" s="21">
        <v>-0.46</v>
      </c>
      <c r="I693" s="54">
        <v>20.55</v>
      </c>
      <c r="J693" s="60">
        <v>2863547</v>
      </c>
      <c r="K693" s="61">
        <f>IF(Tabela15115[[#This Row],[Fed Assets]]="",#N/A,((Tabela15115[[#This Row],[Fed Assets]]*1)/J681)-1)</f>
        <v>-5.947122957116191E-4</v>
      </c>
      <c r="L693" s="21">
        <v>7.9</v>
      </c>
      <c r="M693" s="21"/>
    </row>
    <row r="694" spans="1:13" s="9" customFormat="1">
      <c r="A694" s="6">
        <v>41091</v>
      </c>
      <c r="B694" s="7">
        <v>0.13</v>
      </c>
      <c r="C694" s="7">
        <v>3.49</v>
      </c>
      <c r="D694" s="59">
        <v>5.79E-2</v>
      </c>
      <c r="E694" s="25">
        <v>-0.34588000000000002</v>
      </c>
      <c r="F694" s="21">
        <v>1.28</v>
      </c>
      <c r="G694" s="21">
        <v>1.4</v>
      </c>
      <c r="H694" s="21">
        <v>-0.69</v>
      </c>
      <c r="I694" s="54">
        <v>21</v>
      </c>
      <c r="J694" s="60">
        <v>2846757</v>
      </c>
      <c r="K694" s="61">
        <f>IF(Tabela15115[[#This Row],[Fed Assets]]="",#N/A,((Tabela15115[[#This Row],[Fed Assets]]*1)/J682)-1)</f>
        <v>-5.8734253953797166E-3</v>
      </c>
      <c r="L694" s="21">
        <v>7</v>
      </c>
      <c r="M694" s="21"/>
    </row>
    <row r="695" spans="1:13" s="9" customFormat="1">
      <c r="A695" s="6">
        <v>41122</v>
      </c>
      <c r="B695" s="7">
        <v>0.13</v>
      </c>
      <c r="C695" s="7">
        <v>3.59</v>
      </c>
      <c r="D695" s="59">
        <v>-0.10920000000000001</v>
      </c>
      <c r="E695" s="25">
        <v>-0.43587999999999999</v>
      </c>
      <c r="F695" s="21">
        <v>1.35</v>
      </c>
      <c r="G695" s="21">
        <v>1.48</v>
      </c>
      <c r="H695" s="21">
        <v>-0.68</v>
      </c>
      <c r="I695" s="54">
        <v>21.41</v>
      </c>
      <c r="J695" s="60">
        <v>2812806</v>
      </c>
      <c r="K695" s="61">
        <f>IF(Tabela15115[[#This Row],[Fed Assets]]="",#N/A,((Tabela15115[[#This Row],[Fed Assets]]*1)/J683)-1)</f>
        <v>-1.4395098896663128E-2</v>
      </c>
      <c r="L695" s="21">
        <v>6.7</v>
      </c>
      <c r="M695" s="21"/>
    </row>
    <row r="696" spans="1:13" s="9" customFormat="1">
      <c r="A696" s="6">
        <v>41153</v>
      </c>
      <c r="B696" s="7">
        <v>0.09</v>
      </c>
      <c r="C696" s="7">
        <v>3.4</v>
      </c>
      <c r="D696" s="59">
        <v>-0.25209999999999999</v>
      </c>
      <c r="E696" s="25">
        <v>-0.51227</v>
      </c>
      <c r="F696" s="21">
        <v>1.42</v>
      </c>
      <c r="G696" s="21">
        <v>1.55</v>
      </c>
      <c r="H696" s="21">
        <v>-0.77</v>
      </c>
      <c r="I696" s="54">
        <v>21.78</v>
      </c>
      <c r="J696" s="60">
        <v>2804457</v>
      </c>
      <c r="K696" s="61">
        <f>IF(Tabela15115[[#This Row],[Fed Assets]]="",#N/A,((Tabela15115[[#This Row],[Fed Assets]]*1)/J684)-1)</f>
        <v>-1.6297891102559525E-2</v>
      </c>
      <c r="L696" s="21">
        <v>7.2</v>
      </c>
      <c r="M696" s="21"/>
    </row>
    <row r="697" spans="1:13" s="9" customFormat="1">
      <c r="A697" s="6">
        <v>41183</v>
      </c>
      <c r="B697" s="7">
        <v>0.18</v>
      </c>
      <c r="C697" s="7">
        <v>3.41</v>
      </c>
      <c r="D697" s="59">
        <v>-0.39510000000000001</v>
      </c>
      <c r="E697" s="25">
        <v>-0.53400000000000003</v>
      </c>
      <c r="F697" s="21">
        <v>1.42</v>
      </c>
      <c r="G697" s="21">
        <v>1.61</v>
      </c>
      <c r="H697" s="21">
        <v>-0.78</v>
      </c>
      <c r="I697" s="54">
        <v>21.58</v>
      </c>
      <c r="J697" s="60">
        <v>2823137</v>
      </c>
      <c r="K697" s="61">
        <f>IF(Tabela15115[[#This Row],[Fed Assets]]="",#N/A,((Tabela15115[[#This Row],[Fed Assets]]*1)/J685)-1)</f>
        <v>-7.9235755187239132E-3</v>
      </c>
      <c r="L697" s="21">
        <v>7.8</v>
      </c>
      <c r="M697" s="21"/>
    </row>
    <row r="698" spans="1:13" s="9" customFormat="1">
      <c r="A698" s="6">
        <v>41214</v>
      </c>
      <c r="B698" s="7">
        <v>0.16</v>
      </c>
      <c r="C698" s="7">
        <v>3.32</v>
      </c>
      <c r="D698" s="59">
        <v>-0.51900000000000002</v>
      </c>
      <c r="E698" s="25">
        <v>-0.53795000000000004</v>
      </c>
      <c r="F698" s="21">
        <v>1.37</v>
      </c>
      <c r="G698" s="21">
        <v>1.54</v>
      </c>
      <c r="H698" s="21">
        <v>-0.79</v>
      </c>
      <c r="I698" s="54">
        <v>20.9</v>
      </c>
      <c r="J698" s="60">
        <v>2851362</v>
      </c>
      <c r="K698" s="61">
        <f>IF(Tabela15115[[#This Row],[Fed Assets]]="",#N/A,((Tabela15115[[#This Row],[Fed Assets]]*1)/J686)-1)</f>
        <v>1.3192572759559873E-2</v>
      </c>
      <c r="L698" s="21">
        <v>8.6999999999999993</v>
      </c>
      <c r="M698" s="21"/>
    </row>
    <row r="699" spans="1:13" s="9" customFormat="1">
      <c r="A699" s="6">
        <v>41244</v>
      </c>
      <c r="B699" s="7">
        <v>0.09</v>
      </c>
      <c r="C699" s="7">
        <v>3.35</v>
      </c>
      <c r="D699" s="59">
        <v>-0.4047</v>
      </c>
      <c r="E699" s="25">
        <v>-0.58787</v>
      </c>
      <c r="F699" s="21">
        <v>1.53</v>
      </c>
      <c r="G699" s="21">
        <v>1.73</v>
      </c>
      <c r="H699" s="21">
        <v>-0.67</v>
      </c>
      <c r="I699" s="54">
        <v>21.24</v>
      </c>
      <c r="J699" s="60">
        <v>2907300</v>
      </c>
      <c r="K699" s="61">
        <f>IF(Tabela15115[[#This Row],[Fed Assets]]="",#N/A,((Tabela15115[[#This Row],[Fed Assets]]*1)/J687)-1)</f>
        <v>-6.4232364294392053E-3</v>
      </c>
      <c r="L699" s="21">
        <v>10.9</v>
      </c>
      <c r="M699" s="21"/>
    </row>
    <row r="700" spans="1:13" s="9" customFormat="1">
      <c r="A700" s="6">
        <v>41275</v>
      </c>
      <c r="B700" s="7">
        <v>0.15</v>
      </c>
      <c r="C700" s="7">
        <v>3.53</v>
      </c>
      <c r="D700" s="59">
        <v>-0.70750000000000002</v>
      </c>
      <c r="E700" s="25">
        <v>-0.63482000000000005</v>
      </c>
      <c r="F700" s="21">
        <v>1.75</v>
      </c>
      <c r="G700" s="21">
        <v>1.95</v>
      </c>
      <c r="H700" s="21">
        <v>-0.56999999999999995</v>
      </c>
      <c r="I700" s="54">
        <v>21.9</v>
      </c>
      <c r="J700" s="60">
        <v>3008704</v>
      </c>
      <c r="K700" s="61">
        <f>IF(Tabela15115[[#This Row],[Fed Assets]]="",#N/A,((Tabela15115[[#This Row],[Fed Assets]]*1)/J688)-1)</f>
        <v>3.0538662702578545E-2</v>
      </c>
      <c r="L700" s="21">
        <v>4.9000000000000004</v>
      </c>
      <c r="M700" s="21"/>
    </row>
    <row r="701" spans="1:13" s="9" customFormat="1">
      <c r="A701" s="6">
        <v>41306</v>
      </c>
      <c r="B701" s="7">
        <v>0.14000000000000001</v>
      </c>
      <c r="C701" s="7">
        <v>3.51</v>
      </c>
      <c r="D701" s="59">
        <v>-0.66379999999999995</v>
      </c>
      <c r="E701" s="25">
        <v>-0.64041999999999999</v>
      </c>
      <c r="F701" s="21">
        <v>1.64</v>
      </c>
      <c r="G701" s="21">
        <v>1.78</v>
      </c>
      <c r="H701" s="21">
        <v>-0.64</v>
      </c>
      <c r="I701" s="54">
        <v>22.05</v>
      </c>
      <c r="J701" s="60">
        <v>3090600</v>
      </c>
      <c r="K701" s="61">
        <f>IF(Tabela15115[[#This Row],[Fed Assets]]="",#N/A,((Tabela15115[[#This Row],[Fed Assets]]*1)/J689)-1)</f>
        <v>5.6354636564923011E-2</v>
      </c>
      <c r="L701" s="21">
        <v>4.7</v>
      </c>
      <c r="M701" s="21"/>
    </row>
    <row r="702" spans="1:13" s="9" customFormat="1">
      <c r="A702" s="6">
        <v>41334</v>
      </c>
      <c r="B702" s="7">
        <v>0.09</v>
      </c>
      <c r="C702" s="7">
        <v>3.57</v>
      </c>
      <c r="D702" s="59">
        <v>-0.66579999999999995</v>
      </c>
      <c r="E702" s="25">
        <v>-0.65956999999999999</v>
      </c>
      <c r="F702" s="21">
        <v>1.62</v>
      </c>
      <c r="G702" s="21">
        <v>1.8</v>
      </c>
      <c r="H702" s="21">
        <v>-0.64</v>
      </c>
      <c r="I702" s="54">
        <v>22.42</v>
      </c>
      <c r="J702" s="60">
        <v>3202256</v>
      </c>
      <c r="K702" s="61">
        <f>IF(Tabela15115[[#This Row],[Fed Assets]]="",#N/A,((Tabela15115[[#This Row],[Fed Assets]]*1)/J690)-1)</f>
        <v>0.11261416673355029</v>
      </c>
      <c r="L702" s="21">
        <v>4.8</v>
      </c>
      <c r="M702" s="21"/>
    </row>
    <row r="703" spans="1:13" s="9" customFormat="1">
      <c r="A703" s="6">
        <v>41365</v>
      </c>
      <c r="B703" s="7">
        <v>0.14000000000000001</v>
      </c>
      <c r="C703" s="7">
        <v>3.4</v>
      </c>
      <c r="D703" s="59">
        <v>-0.72470000000000001</v>
      </c>
      <c r="E703" s="25">
        <v>-0.70635999999999999</v>
      </c>
      <c r="F703" s="21">
        <v>1.48</v>
      </c>
      <c r="G703" s="21">
        <v>1.65</v>
      </c>
      <c r="H703" s="21">
        <v>-0.64</v>
      </c>
      <c r="I703" s="54">
        <v>22.6</v>
      </c>
      <c r="J703" s="60">
        <v>3318649</v>
      </c>
      <c r="K703" s="61">
        <f>IF(Tabela15115[[#This Row],[Fed Assets]]="",#N/A,((Tabela15115[[#This Row],[Fed Assets]]*1)/J691)-1)</f>
        <v>0.15771092957728783</v>
      </c>
      <c r="L703" s="21">
        <v>5.0999999999999996</v>
      </c>
      <c r="M703" s="21"/>
    </row>
    <row r="704" spans="1:13" s="9" customFormat="1">
      <c r="A704" s="6">
        <v>41395</v>
      </c>
      <c r="B704" s="7">
        <v>0.09</v>
      </c>
      <c r="C704" s="7">
        <v>3.81</v>
      </c>
      <c r="D704" s="59">
        <v>-0.433</v>
      </c>
      <c r="E704" s="25">
        <v>-0.69481999999999999</v>
      </c>
      <c r="F704" s="21">
        <v>1.86</v>
      </c>
      <c r="G704" s="21">
        <v>2.12</v>
      </c>
      <c r="H704" s="21">
        <v>-0.05</v>
      </c>
      <c r="I704" s="54">
        <v>23.41</v>
      </c>
      <c r="J704" s="60">
        <v>3385128</v>
      </c>
      <c r="K704" s="61">
        <f>IF(Tabela15115[[#This Row],[Fed Assets]]="",#N/A,((Tabela15115[[#This Row],[Fed Assets]]*1)/J692)-1)</f>
        <v>0.19083363645382101</v>
      </c>
      <c r="L704" s="21">
        <v>5.3</v>
      </c>
      <c r="M704" s="21"/>
    </row>
    <row r="705" spans="1:13" s="9" customFormat="1">
      <c r="A705" s="6">
        <v>41426</v>
      </c>
      <c r="B705" s="7">
        <v>7.0000000000000007E-2</v>
      </c>
      <c r="C705" s="7">
        <v>4.46</v>
      </c>
      <c r="D705" s="59">
        <v>-1.5599999999999999E-2</v>
      </c>
      <c r="E705" s="25">
        <v>-0.62297999999999998</v>
      </c>
      <c r="F705" s="21">
        <v>2.16</v>
      </c>
      <c r="G705" s="21">
        <v>2.48</v>
      </c>
      <c r="H705" s="21">
        <v>0.53</v>
      </c>
      <c r="I705" s="54">
        <v>22.93</v>
      </c>
      <c r="J705" s="60">
        <v>3478672</v>
      </c>
      <c r="K705" s="61">
        <f>IF(Tabela15115[[#This Row],[Fed Assets]]="",#N/A,((Tabela15115[[#This Row],[Fed Assets]]*1)/J693)-1)</f>
        <v>0.21481225906192569</v>
      </c>
      <c r="L705" s="21">
        <v>5.4</v>
      </c>
      <c r="M705" s="21"/>
    </row>
    <row r="706" spans="1:13" s="9" customFormat="1">
      <c r="A706" s="6">
        <v>41456</v>
      </c>
      <c r="B706" s="7">
        <v>0.09</v>
      </c>
      <c r="C706" s="7">
        <v>4.3099999999999996</v>
      </c>
      <c r="D706" s="59">
        <v>-0.53700000000000003</v>
      </c>
      <c r="E706" s="25">
        <v>-0.66379999999999995</v>
      </c>
      <c r="F706" s="21">
        <v>2.29</v>
      </c>
      <c r="G706" s="21">
        <v>2.56</v>
      </c>
      <c r="H706" s="21">
        <v>0.38</v>
      </c>
      <c r="I706" s="54">
        <v>23.49</v>
      </c>
      <c r="J706" s="60">
        <v>3571797</v>
      </c>
      <c r="K706" s="61">
        <f>IF(Tabela15115[[#This Row],[Fed Assets]]="",#N/A,((Tabela15115[[#This Row],[Fed Assets]]*1)/J694)-1)</f>
        <v>0.25468981019454762</v>
      </c>
      <c r="L706" s="21">
        <v>5.2</v>
      </c>
      <c r="M706" s="21"/>
    </row>
    <row r="707" spans="1:13" s="9" customFormat="1">
      <c r="A707" s="6">
        <v>41487</v>
      </c>
      <c r="B707" s="7">
        <v>7.0000000000000007E-2</v>
      </c>
      <c r="C707" s="7">
        <v>4.51</v>
      </c>
      <c r="D707" s="59">
        <v>-0.21310000000000001</v>
      </c>
      <c r="E707" s="25">
        <v>-0.66295000000000004</v>
      </c>
      <c r="F707" s="21">
        <v>2.39</v>
      </c>
      <c r="G707" s="21">
        <v>2.75</v>
      </c>
      <c r="H707" s="21">
        <v>0.68</v>
      </c>
      <c r="I707" s="54">
        <v>23.36</v>
      </c>
      <c r="J707" s="60">
        <v>3644456</v>
      </c>
      <c r="K707" s="61">
        <f>IF(Tabela15115[[#This Row],[Fed Assets]]="",#N/A,((Tabela15115[[#This Row],[Fed Assets]]*1)/J695)-1)</f>
        <v>0.29566560935947939</v>
      </c>
      <c r="L707" s="21">
        <v>5.2</v>
      </c>
      <c r="M707" s="21"/>
    </row>
    <row r="708" spans="1:13" s="9" customFormat="1">
      <c r="A708" s="6">
        <v>41518</v>
      </c>
      <c r="B708" s="7">
        <v>0.06</v>
      </c>
      <c r="C708" s="7">
        <v>4.32</v>
      </c>
      <c r="D708" s="59">
        <v>-0.38300000000000001</v>
      </c>
      <c r="E708" s="25">
        <v>-0.68137999999999999</v>
      </c>
      <c r="F708" s="21">
        <v>2.31</v>
      </c>
      <c r="G708" s="21">
        <v>2.62</v>
      </c>
      <c r="H708" s="21">
        <v>0.45</v>
      </c>
      <c r="I708" s="54">
        <v>23.44</v>
      </c>
      <c r="J708" s="60">
        <v>3734018</v>
      </c>
      <c r="K708" s="61">
        <f>IF(Tabela15115[[#This Row],[Fed Assets]]="",#N/A,((Tabela15115[[#This Row],[Fed Assets]]*1)/J696)-1)</f>
        <v>0.33145846058613126</v>
      </c>
      <c r="L708" s="21">
        <v>5.3</v>
      </c>
      <c r="M708" s="21"/>
    </row>
    <row r="709" spans="1:13" s="9" customFormat="1">
      <c r="A709" s="6">
        <v>41548</v>
      </c>
      <c r="B709" s="7">
        <v>7.0000000000000007E-2</v>
      </c>
      <c r="C709" s="7">
        <v>4.0999999999999996</v>
      </c>
      <c r="D709" s="59">
        <v>-0.61319999999999997</v>
      </c>
      <c r="E709" s="25">
        <v>-0.73924999999999996</v>
      </c>
      <c r="F709" s="21">
        <v>2.2599999999999998</v>
      </c>
      <c r="G709" s="21">
        <v>2.5299999999999998</v>
      </c>
      <c r="H709" s="21">
        <v>0.4</v>
      </c>
      <c r="I709" s="54">
        <v>23.83</v>
      </c>
      <c r="J709" s="60">
        <v>3843396</v>
      </c>
      <c r="K709" s="61">
        <f>IF(Tabela15115[[#This Row],[Fed Assets]]="",#N/A,((Tabela15115[[#This Row],[Fed Assets]]*1)/J697)-1)</f>
        <v>0.36139195511942912</v>
      </c>
      <c r="L709" s="21">
        <v>4.7</v>
      </c>
      <c r="M709" s="21"/>
    </row>
    <row r="710" spans="1:13" s="9" customFormat="1">
      <c r="A710" s="6">
        <v>41579</v>
      </c>
      <c r="B710" s="7">
        <v>7.0000000000000007E-2</v>
      </c>
      <c r="C710" s="7">
        <v>4.29</v>
      </c>
      <c r="D710" s="59">
        <v>-0.62329999999999997</v>
      </c>
      <c r="E710" s="25">
        <v>-0.78998000000000002</v>
      </c>
      <c r="F710" s="21">
        <v>2.4700000000000002</v>
      </c>
      <c r="G710" s="21">
        <v>2.69</v>
      </c>
      <c r="H710" s="21">
        <v>0.6</v>
      </c>
      <c r="I710" s="54">
        <v>24.64</v>
      </c>
      <c r="J710" s="60">
        <v>3925876</v>
      </c>
      <c r="K710" s="61">
        <f>IF(Tabela15115[[#This Row],[Fed Assets]]="",#N/A,((Tabela15115[[#This Row],[Fed Assets]]*1)/J698)-1)</f>
        <v>0.37684236515742309</v>
      </c>
      <c r="L710" s="21">
        <v>4.5</v>
      </c>
      <c r="M710" s="21"/>
    </row>
    <row r="711" spans="1:13" s="9" customFormat="1">
      <c r="A711" s="6">
        <v>41609</v>
      </c>
      <c r="B711" s="7">
        <v>7.0000000000000007E-2</v>
      </c>
      <c r="C711" s="7">
        <v>4.4800000000000004</v>
      </c>
      <c r="D711" s="59">
        <v>-0.73240000000000005</v>
      </c>
      <c r="E711" s="25">
        <v>-0.79998999999999998</v>
      </c>
      <c r="F711" s="21">
        <v>2.66</v>
      </c>
      <c r="G711" s="21">
        <v>2.97</v>
      </c>
      <c r="H711" s="21">
        <v>0.8</v>
      </c>
      <c r="I711" s="54">
        <v>24.86</v>
      </c>
      <c r="J711" s="60">
        <v>4032575</v>
      </c>
      <c r="K711" s="61">
        <f>IF(Tabela15115[[#This Row],[Fed Assets]]="",#N/A,((Tabela15115[[#This Row],[Fed Assets]]*1)/J699)-1)</f>
        <v>0.38705155986654294</v>
      </c>
      <c r="L711" s="21">
        <v>4.5</v>
      </c>
      <c r="M711" s="21"/>
    </row>
    <row r="712" spans="1:13" s="9" customFormat="1">
      <c r="A712" s="6">
        <v>41640</v>
      </c>
      <c r="B712" s="7">
        <v>7.0000000000000007E-2</v>
      </c>
      <c r="C712" s="7">
        <v>4.32</v>
      </c>
      <c r="D712" s="59">
        <v>-0.3846</v>
      </c>
      <c r="E712" s="25">
        <v>-0.76539999999999997</v>
      </c>
      <c r="F712" s="21">
        <v>2.33</v>
      </c>
      <c r="G712" s="21">
        <v>2.65</v>
      </c>
      <c r="H712" s="21">
        <v>0.53</v>
      </c>
      <c r="I712" s="54">
        <v>24.86</v>
      </c>
      <c r="J712" s="60">
        <v>4102138</v>
      </c>
      <c r="K712" s="61">
        <f>IF(Tabela15115[[#This Row],[Fed Assets]]="",#N/A,((Tabela15115[[#This Row],[Fed Assets]]*1)/J700)-1)</f>
        <v>0.36342358703282218</v>
      </c>
      <c r="L712" s="21">
        <v>5.2</v>
      </c>
      <c r="M712" s="21"/>
    </row>
    <row r="713" spans="1:13" s="9" customFormat="1">
      <c r="A713" s="6">
        <v>41671</v>
      </c>
      <c r="B713" s="7">
        <v>0.06</v>
      </c>
      <c r="C713" s="7">
        <v>4.37</v>
      </c>
      <c r="D713" s="59">
        <v>-0.7</v>
      </c>
      <c r="E713" s="25">
        <v>-0.77873999999999999</v>
      </c>
      <c r="F713" s="21">
        <v>2.33</v>
      </c>
      <c r="G713" s="21">
        <v>2.61</v>
      </c>
      <c r="H713" s="21">
        <v>0.49</v>
      </c>
      <c r="I713" s="54">
        <v>24.59</v>
      </c>
      <c r="J713" s="60">
        <v>4159972</v>
      </c>
      <c r="K713" s="61">
        <f>IF(Tabela15115[[#This Row],[Fed Assets]]="",#N/A,((Tabela15115[[#This Row],[Fed Assets]]*1)/J701)-1)</f>
        <v>0.34600789490713768</v>
      </c>
      <c r="L713" s="21">
        <v>5.3</v>
      </c>
      <c r="M713" s="21"/>
    </row>
    <row r="714" spans="1:13" s="9" customFormat="1">
      <c r="A714" s="6">
        <v>41699</v>
      </c>
      <c r="B714" s="7">
        <v>0.06</v>
      </c>
      <c r="C714" s="7">
        <v>4.4000000000000004</v>
      </c>
      <c r="D714" s="59">
        <v>-0.6774</v>
      </c>
      <c r="E714" s="25">
        <v>-0.78408999999999995</v>
      </c>
      <c r="F714" s="21">
        <v>2.29</v>
      </c>
      <c r="G714" s="21">
        <v>2.68</v>
      </c>
      <c r="H714" s="21">
        <v>0.6</v>
      </c>
      <c r="I714" s="54">
        <v>24.96</v>
      </c>
      <c r="J714" s="60">
        <v>4226971</v>
      </c>
      <c r="K714" s="61">
        <f>IF(Tabela15115[[#This Row],[Fed Assets]]="",#N/A,((Tabela15115[[#This Row],[Fed Assets]]*1)/J702)-1)</f>
        <v>0.31999783902348855</v>
      </c>
      <c r="L714" s="21">
        <v>5.2</v>
      </c>
      <c r="M714" s="21"/>
    </row>
    <row r="715" spans="1:13" s="9" customFormat="1">
      <c r="A715" s="6">
        <v>41730</v>
      </c>
      <c r="B715" s="7">
        <v>0.09</v>
      </c>
      <c r="C715" s="7">
        <v>4.33</v>
      </c>
      <c r="D715" s="59">
        <v>-0.77239999999999998</v>
      </c>
      <c r="E715" s="25">
        <v>-0.77803999999999995</v>
      </c>
      <c r="F715" s="21">
        <v>2.25</v>
      </c>
      <c r="G715" s="21">
        <v>2.64</v>
      </c>
      <c r="H715" s="21">
        <v>0.49</v>
      </c>
      <c r="I715" s="54">
        <v>24.79</v>
      </c>
      <c r="J715" s="60">
        <v>4296049</v>
      </c>
      <c r="K715" s="61">
        <f>IF(Tabela15115[[#This Row],[Fed Assets]]="",#N/A,((Tabela15115[[#This Row],[Fed Assets]]*1)/J703)-1)</f>
        <v>0.29451743766815963</v>
      </c>
      <c r="L715" s="21">
        <v>5.4</v>
      </c>
      <c r="M715" s="21"/>
    </row>
    <row r="716" spans="1:13" s="9" customFormat="1">
      <c r="A716" s="6">
        <v>41760</v>
      </c>
      <c r="B716" s="7">
        <v>0.08</v>
      </c>
      <c r="C716" s="7">
        <v>4.12</v>
      </c>
      <c r="D716" s="59">
        <v>-0.80600000000000005</v>
      </c>
      <c r="E716" s="25">
        <v>-0.80286000000000002</v>
      </c>
      <c r="F716" s="21">
        <v>2.11</v>
      </c>
      <c r="G716" s="21">
        <v>2.44</v>
      </c>
      <c r="H716" s="21">
        <v>0.26</v>
      </c>
      <c r="I716" s="54">
        <v>24.94</v>
      </c>
      <c r="J716" s="60">
        <v>4322654</v>
      </c>
      <c r="K716" s="61">
        <f>IF(Tabela15115[[#This Row],[Fed Assets]]="",#N/A,((Tabela15115[[#This Row],[Fed Assets]]*1)/J704)-1)</f>
        <v>0.27695437218326746</v>
      </c>
      <c r="L716" s="21">
        <v>5.6</v>
      </c>
      <c r="M716" s="21"/>
    </row>
    <row r="717" spans="1:13" s="9" customFormat="1">
      <c r="A717" s="6">
        <v>41791</v>
      </c>
      <c r="B717" s="7">
        <v>0.09</v>
      </c>
      <c r="C717" s="7">
        <v>4.1399999999999997</v>
      </c>
      <c r="D717" s="59">
        <v>-0.83779999999999999</v>
      </c>
      <c r="E717" s="25">
        <v>-0.80564000000000002</v>
      </c>
      <c r="F717" s="21">
        <v>2.06</v>
      </c>
      <c r="G717" s="21">
        <v>2.4900000000000002</v>
      </c>
      <c r="H717" s="21">
        <v>0.27</v>
      </c>
      <c r="I717" s="54">
        <v>25.56</v>
      </c>
      <c r="J717" s="60">
        <v>4368348</v>
      </c>
      <c r="K717" s="61">
        <f>IF(Tabela15115[[#This Row],[Fed Assets]]="",#N/A,((Tabela15115[[#This Row],[Fed Assets]]*1)/J705)-1)</f>
        <v>0.25575162015849728</v>
      </c>
      <c r="L717" s="21">
        <v>5.6</v>
      </c>
      <c r="M717" s="21"/>
    </row>
    <row r="718" spans="1:13" s="9" customFormat="1">
      <c r="A718" s="6">
        <v>41821</v>
      </c>
      <c r="B718" s="7">
        <v>0.08</v>
      </c>
      <c r="C718" s="7">
        <v>4.12</v>
      </c>
      <c r="D718" s="59">
        <v>-0.73350000000000004</v>
      </c>
      <c r="E718" s="25">
        <v>-0.76436000000000004</v>
      </c>
      <c r="F718" s="21">
        <v>2.0499999999999998</v>
      </c>
      <c r="G718" s="21">
        <v>2.5499999999999998</v>
      </c>
      <c r="H718" s="21">
        <v>0.28999999999999998</v>
      </c>
      <c r="I718" s="54">
        <v>25.82</v>
      </c>
      <c r="J718" s="60">
        <v>4406637</v>
      </c>
      <c r="K718" s="61">
        <f>IF(Tabela15115[[#This Row],[Fed Assets]]="",#N/A,((Tabela15115[[#This Row],[Fed Assets]]*1)/J706)-1)</f>
        <v>0.23373108830093092</v>
      </c>
      <c r="L718" s="21">
        <v>5.5</v>
      </c>
      <c r="M718" s="21"/>
    </row>
    <row r="719" spans="1:13" s="9" customFormat="1">
      <c r="A719" s="6">
        <v>41852</v>
      </c>
      <c r="B719" s="7">
        <v>7.0000000000000007E-2</v>
      </c>
      <c r="C719" s="7">
        <v>4.0999999999999996</v>
      </c>
      <c r="D719" s="59">
        <v>-0.70640000000000003</v>
      </c>
      <c r="E719" s="25">
        <v>-0.74168000000000001</v>
      </c>
      <c r="F719" s="21">
        <v>1.87</v>
      </c>
      <c r="G719" s="21">
        <v>2.3199999999999998</v>
      </c>
      <c r="H719" s="21">
        <v>0.23</v>
      </c>
      <c r="I719" s="54">
        <v>25.62</v>
      </c>
      <c r="J719" s="60">
        <v>4413736</v>
      </c>
      <c r="K719" s="61">
        <f>IF(Tabela15115[[#This Row],[Fed Assets]]="",#N/A,((Tabela15115[[#This Row],[Fed Assets]]*1)/J707)-1)</f>
        <v>0.2110822575440614</v>
      </c>
      <c r="L719" s="21">
        <v>5.3</v>
      </c>
      <c r="M719" s="21"/>
    </row>
    <row r="720" spans="1:13" s="9" customFormat="1">
      <c r="A720" s="6">
        <v>41883</v>
      </c>
      <c r="B720" s="7">
        <v>7.0000000000000007E-2</v>
      </c>
      <c r="C720" s="7">
        <v>4.2</v>
      </c>
      <c r="D720" s="59">
        <v>-0.40539999999999998</v>
      </c>
      <c r="E720" s="25">
        <v>-0.68488000000000004</v>
      </c>
      <c r="F720" s="21">
        <v>1.94</v>
      </c>
      <c r="G720" s="21">
        <v>2.5</v>
      </c>
      <c r="H720" s="21">
        <v>0.55000000000000004</v>
      </c>
      <c r="I720" s="54">
        <v>25.92</v>
      </c>
      <c r="J720" s="60">
        <v>4459050</v>
      </c>
      <c r="K720" s="61">
        <f>IF(Tabela15115[[#This Row],[Fed Assets]]="",#N/A,((Tabela15115[[#This Row],[Fed Assets]]*1)/J708)-1)</f>
        <v>0.19416939072066608</v>
      </c>
      <c r="L720" s="21">
        <v>5.5</v>
      </c>
      <c r="M720" s="21"/>
    </row>
    <row r="721" spans="1:13" s="9" customFormat="1">
      <c r="A721" s="6">
        <v>41913</v>
      </c>
      <c r="B721" s="7">
        <v>7.0000000000000007E-2</v>
      </c>
      <c r="C721" s="7">
        <v>3.98</v>
      </c>
      <c r="D721" s="59">
        <v>-0.53080000000000005</v>
      </c>
      <c r="E721" s="25">
        <v>-0.65214000000000005</v>
      </c>
      <c r="F721" s="21">
        <v>1.85</v>
      </c>
      <c r="G721" s="21">
        <v>2.34</v>
      </c>
      <c r="H721" s="21">
        <v>0.43</v>
      </c>
      <c r="I721" s="54">
        <v>25.16</v>
      </c>
      <c r="J721" s="60">
        <v>4486754</v>
      </c>
      <c r="K721" s="61">
        <f>IF(Tabela15115[[#This Row],[Fed Assets]]="",#N/A,((Tabela15115[[#This Row],[Fed Assets]]*1)/J709)-1)</f>
        <v>0.1673931075538404</v>
      </c>
      <c r="L721" s="21">
        <v>5.4</v>
      </c>
      <c r="M721" s="21"/>
    </row>
    <row r="722" spans="1:13" s="9" customFormat="1">
      <c r="A722" s="6">
        <v>41944</v>
      </c>
      <c r="B722" s="7">
        <v>0.08</v>
      </c>
      <c r="C722" s="7">
        <v>3.97</v>
      </c>
      <c r="D722" s="59">
        <v>-0.44650000000000001</v>
      </c>
      <c r="E722" s="25">
        <v>-0.65976000000000001</v>
      </c>
      <c r="F722" s="21">
        <v>1.71</v>
      </c>
      <c r="G722" s="21">
        <v>2.16</v>
      </c>
      <c r="H722" s="21">
        <v>0.39</v>
      </c>
      <c r="I722" s="54">
        <v>26.61</v>
      </c>
      <c r="J722" s="60">
        <v>4485931</v>
      </c>
      <c r="K722" s="61">
        <f>IF(Tabela15115[[#This Row],[Fed Assets]]="",#N/A,((Tabela15115[[#This Row],[Fed Assets]]*1)/J710)-1)</f>
        <v>0.14265733303853723</v>
      </c>
      <c r="L722" s="21">
        <v>5.6</v>
      </c>
      <c r="M722" s="21"/>
    </row>
    <row r="723" spans="1:13" s="9" customFormat="1">
      <c r="A723" s="6">
        <v>41974</v>
      </c>
      <c r="B723" s="7">
        <v>0.06</v>
      </c>
      <c r="C723" s="7">
        <v>3.87</v>
      </c>
      <c r="D723" s="59">
        <v>-0.54110000000000003</v>
      </c>
      <c r="E723" s="25">
        <v>-0.58138999999999996</v>
      </c>
      <c r="F723" s="21">
        <v>1.5</v>
      </c>
      <c r="G723" s="21">
        <v>2.13</v>
      </c>
      <c r="H723" s="21">
        <v>0.49</v>
      </c>
      <c r="I723" s="54">
        <v>26.79</v>
      </c>
      <c r="J723" s="60">
        <v>4497660</v>
      </c>
      <c r="K723" s="61">
        <f>IF(Tabela15115[[#This Row],[Fed Assets]]="",#N/A,((Tabela15115[[#This Row],[Fed Assets]]*1)/J711)-1)</f>
        <v>0.11533201490362854</v>
      </c>
      <c r="L723" s="21">
        <v>6</v>
      </c>
      <c r="M723" s="21"/>
    </row>
    <row r="724" spans="1:13" s="9" customFormat="1">
      <c r="A724" s="6">
        <v>42005</v>
      </c>
      <c r="B724" s="7">
        <v>0.06</v>
      </c>
      <c r="C724" s="7">
        <v>3.66</v>
      </c>
      <c r="D724" s="59">
        <v>-4.0899999999999999E-2</v>
      </c>
      <c r="E724" s="25">
        <v>-0.51920999999999995</v>
      </c>
      <c r="F724" s="21">
        <v>1.21</v>
      </c>
      <c r="G724" s="21">
        <v>1.66</v>
      </c>
      <c r="H724" s="21">
        <v>0.03</v>
      </c>
      <c r="I724" s="54">
        <v>26.49</v>
      </c>
      <c r="J724" s="60">
        <v>4500064</v>
      </c>
      <c r="K724" s="61">
        <f>IF(Tabela15115[[#This Row],[Fed Assets]]="",#N/A,((Tabela15115[[#This Row],[Fed Assets]]*1)/J712)-1)</f>
        <v>9.7004537633790022E-2</v>
      </c>
      <c r="L724" s="21">
        <v>6.3</v>
      </c>
      <c r="M724" s="21"/>
    </row>
    <row r="725" spans="1:13" s="9" customFormat="1">
      <c r="A725" s="6">
        <v>42036</v>
      </c>
      <c r="B725" s="7">
        <v>0.06</v>
      </c>
      <c r="C725" s="7">
        <v>3.8</v>
      </c>
      <c r="D725" s="59">
        <v>-0.26240000000000002</v>
      </c>
      <c r="E725" s="25">
        <v>-0.54662999999999995</v>
      </c>
      <c r="F725" s="21">
        <v>1.37</v>
      </c>
      <c r="G725" s="21">
        <v>1.98</v>
      </c>
      <c r="H725" s="21">
        <v>0.17</v>
      </c>
      <c r="I725" s="54">
        <v>27</v>
      </c>
      <c r="J725" s="60">
        <v>4486725</v>
      </c>
      <c r="K725" s="61">
        <f>IF(Tabela15115[[#This Row],[Fed Assets]]="",#N/A,((Tabela15115[[#This Row],[Fed Assets]]*1)/J713)-1)</f>
        <v>7.8546922911981065E-2</v>
      </c>
      <c r="L725" s="21">
        <v>6.4</v>
      </c>
      <c r="M725" s="21"/>
    </row>
    <row r="726" spans="1:13" s="9" customFormat="1">
      <c r="A726" s="6">
        <v>42064</v>
      </c>
      <c r="B726" s="7">
        <v>0.06</v>
      </c>
      <c r="C726" s="7">
        <v>3.69</v>
      </c>
      <c r="D726" s="59">
        <v>-0.24410000000000001</v>
      </c>
      <c r="E726" s="25">
        <v>-0.56445999999999996</v>
      </c>
      <c r="F726" s="21">
        <v>1.38</v>
      </c>
      <c r="G726" s="21">
        <v>1.91</v>
      </c>
      <c r="H726" s="21">
        <v>0.18</v>
      </c>
      <c r="I726" s="54">
        <v>26.73</v>
      </c>
      <c r="J726" s="60">
        <v>4480603</v>
      </c>
      <c r="K726" s="61">
        <f>IF(Tabela15115[[#This Row],[Fed Assets]]="",#N/A,((Tabela15115[[#This Row],[Fed Assets]]*1)/J714)-1)</f>
        <v>6.0003250554593324E-2</v>
      </c>
      <c r="L726" s="21">
        <v>5.9</v>
      </c>
      <c r="M726" s="21"/>
    </row>
    <row r="727" spans="1:13" s="9" customFormat="1">
      <c r="A727" s="6">
        <v>42095</v>
      </c>
      <c r="B727" s="7">
        <v>0.08</v>
      </c>
      <c r="C727" s="7">
        <v>3.68</v>
      </c>
      <c r="D727" s="59">
        <v>-0.4516</v>
      </c>
      <c r="E727" s="25">
        <v>-0.57330000000000003</v>
      </c>
      <c r="F727" s="21">
        <v>1.47</v>
      </c>
      <c r="G727" s="21">
        <v>2.04</v>
      </c>
      <c r="H727" s="21">
        <v>0.11</v>
      </c>
      <c r="I727" s="54">
        <v>26.79</v>
      </c>
      <c r="J727" s="60">
        <v>4471499</v>
      </c>
      <c r="K727" s="61">
        <f>IF(Tabela15115[[#This Row],[Fed Assets]]="",#N/A,((Tabela15115[[#This Row],[Fed Assets]]*1)/J715)-1)</f>
        <v>4.0839850755892249E-2</v>
      </c>
      <c r="L727" s="21">
        <v>5.9</v>
      </c>
      <c r="M727" s="21"/>
    </row>
    <row r="728" spans="1:13" s="9" customFormat="1">
      <c r="A728" s="6">
        <v>42125</v>
      </c>
      <c r="B728" s="7">
        <v>0.08</v>
      </c>
      <c r="C728" s="7">
        <v>3.87</v>
      </c>
      <c r="D728" s="59">
        <v>-0.2324</v>
      </c>
      <c r="E728" s="25">
        <v>-0.56520000000000004</v>
      </c>
      <c r="F728" s="21">
        <v>1.51</v>
      </c>
      <c r="G728" s="21">
        <v>2.11</v>
      </c>
      <c r="H728" s="21">
        <v>0.32</v>
      </c>
      <c r="I728" s="54">
        <v>26.81</v>
      </c>
      <c r="J728" s="60">
        <v>4463981</v>
      </c>
      <c r="K728" s="61">
        <f>IF(Tabela15115[[#This Row],[Fed Assets]]="",#N/A,((Tabela15115[[#This Row],[Fed Assets]]*1)/J716)-1)</f>
        <v>3.2694497408305212E-2</v>
      </c>
      <c r="L728" s="21">
        <v>5.8</v>
      </c>
      <c r="M728" s="21"/>
    </row>
    <row r="729" spans="1:13" s="9" customFormat="1">
      <c r="A729" s="6">
        <v>42156</v>
      </c>
      <c r="B729" s="7">
        <v>0.08</v>
      </c>
      <c r="C729" s="7">
        <v>4.0199999999999996</v>
      </c>
      <c r="D729" s="59">
        <v>-0.37440000000000001</v>
      </c>
      <c r="E729" s="25">
        <v>-0.55269000000000001</v>
      </c>
      <c r="F729" s="21">
        <v>1.71</v>
      </c>
      <c r="G729" s="21">
        <v>2.34</v>
      </c>
      <c r="H729" s="21">
        <v>0.48</v>
      </c>
      <c r="I729" s="54">
        <v>26.5</v>
      </c>
      <c r="J729" s="60">
        <v>4495055</v>
      </c>
      <c r="K729" s="61">
        <f>IF(Tabela15115[[#This Row],[Fed Assets]]="",#N/A,((Tabela15115[[#This Row],[Fed Assets]]*1)/J717)-1)</f>
        <v>2.9005701926678062E-2</v>
      </c>
      <c r="L729" s="21">
        <v>5.7</v>
      </c>
      <c r="M729" s="21"/>
    </row>
    <row r="730" spans="1:13" s="9" customFormat="1">
      <c r="A730" s="6">
        <v>42186</v>
      </c>
      <c r="B730" s="7">
        <v>0.08</v>
      </c>
      <c r="C730" s="7">
        <v>3.98</v>
      </c>
      <c r="D730" s="59">
        <v>-0.14169999999999999</v>
      </c>
      <c r="E730" s="25">
        <v>-0.51236000000000004</v>
      </c>
      <c r="F730" s="21">
        <v>1.53</v>
      </c>
      <c r="G730" s="21">
        <v>2.12</v>
      </c>
      <c r="H730" s="21">
        <v>0.46</v>
      </c>
      <c r="I730" s="54">
        <v>26.38</v>
      </c>
      <c r="J730" s="60">
        <v>4485480</v>
      </c>
      <c r="K730" s="61">
        <f>IF(Tabela15115[[#This Row],[Fed Assets]]="",#N/A,((Tabela15115[[#This Row],[Fed Assets]]*1)/J718)-1)</f>
        <v>1.7891875368903687E-2</v>
      </c>
      <c r="L730" s="21">
        <v>5.6</v>
      </c>
      <c r="M730" s="21"/>
    </row>
    <row r="731" spans="1:13" s="9" customFormat="1">
      <c r="A731" s="6">
        <v>42217</v>
      </c>
      <c r="B731" s="7">
        <v>0.08</v>
      </c>
      <c r="C731" s="7">
        <v>3.84</v>
      </c>
      <c r="D731" s="59">
        <v>0.59160000000000001</v>
      </c>
      <c r="E731" s="25">
        <v>-0.41893999999999998</v>
      </c>
      <c r="F731" s="21">
        <v>1.47</v>
      </c>
      <c r="G731" s="21">
        <v>2.13</v>
      </c>
      <c r="H731" s="21">
        <v>0.57999999999999996</v>
      </c>
      <c r="I731" s="54">
        <v>25.69</v>
      </c>
      <c r="J731" s="60">
        <v>4475105</v>
      </c>
      <c r="K731" s="61">
        <f>IF(Tabela15115[[#This Row],[Fed Assets]]="",#N/A,((Tabela15115[[#This Row],[Fed Assets]]*1)/J719)-1)</f>
        <v>1.3904093946715435E-2</v>
      </c>
      <c r="L731" s="21">
        <v>5.6</v>
      </c>
      <c r="M731" s="21"/>
    </row>
    <row r="732" spans="1:13" s="9" customFormat="1">
      <c r="A732" s="6">
        <v>42248</v>
      </c>
      <c r="B732" s="7">
        <v>7.0000000000000007E-2</v>
      </c>
      <c r="C732" s="7">
        <v>3.86</v>
      </c>
      <c r="D732" s="59">
        <v>0.36109999999999998</v>
      </c>
      <c r="E732" s="25">
        <v>-0.40771000000000002</v>
      </c>
      <c r="F732" s="21">
        <v>1.42</v>
      </c>
      <c r="G732" s="21">
        <v>2.06</v>
      </c>
      <c r="H732" s="21">
        <v>0.65</v>
      </c>
      <c r="I732" s="54">
        <v>24.5</v>
      </c>
      <c r="J732" s="60">
        <v>4484111</v>
      </c>
      <c r="K732" s="61">
        <f>IF(Tabela15115[[#This Row],[Fed Assets]]="",#N/A,((Tabela15115[[#This Row],[Fed Assets]]*1)/J720)-1)</f>
        <v>5.6202554355748724E-3</v>
      </c>
      <c r="L732" s="21">
        <v>5.8</v>
      </c>
      <c r="M732" s="21"/>
    </row>
    <row r="733" spans="1:13" s="9" customFormat="1">
      <c r="A733" s="6">
        <v>42278</v>
      </c>
      <c r="B733" s="7">
        <v>7.0000000000000007E-2</v>
      </c>
      <c r="C733" s="7">
        <v>3.76</v>
      </c>
      <c r="D733" s="59">
        <v>-7.0599999999999996E-2</v>
      </c>
      <c r="E733" s="25">
        <v>-0.48779</v>
      </c>
      <c r="F733" s="21">
        <v>1.41</v>
      </c>
      <c r="G733" s="21">
        <v>2.08</v>
      </c>
      <c r="H733" s="21">
        <v>0.63</v>
      </c>
      <c r="I733" s="54">
        <v>25.49</v>
      </c>
      <c r="J733" s="60">
        <v>4489339</v>
      </c>
      <c r="K733" s="61">
        <f>IF(Tabela15115[[#This Row],[Fed Assets]]="",#N/A,((Tabela15115[[#This Row],[Fed Assets]]*1)/J721)-1)</f>
        <v>5.7614034555930616E-4</v>
      </c>
      <c r="L733" s="21">
        <v>5.8</v>
      </c>
      <c r="M733" s="21"/>
    </row>
    <row r="734" spans="1:13" s="9" customFormat="1">
      <c r="A734" s="6">
        <v>42309</v>
      </c>
      <c r="B734" s="7">
        <v>0.08</v>
      </c>
      <c r="C734" s="7">
        <v>3.95</v>
      </c>
      <c r="D734" s="59">
        <v>-0.01</v>
      </c>
      <c r="E734" s="25">
        <v>-0.46298</v>
      </c>
      <c r="F734" s="21">
        <v>1.27</v>
      </c>
      <c r="G734" s="21">
        <v>1.99</v>
      </c>
      <c r="H734" s="21">
        <v>0.62</v>
      </c>
      <c r="I734" s="54">
        <v>26.23</v>
      </c>
      <c r="J734" s="60">
        <v>4477088</v>
      </c>
      <c r="K734" s="61">
        <f>IF(Tabela15115[[#This Row],[Fed Assets]]="",#N/A,((Tabela15115[[#This Row],[Fed Assets]]*1)/J722)-1)</f>
        <v>-1.9712741903520348E-3</v>
      </c>
      <c r="L734" s="21">
        <v>5.6</v>
      </c>
      <c r="M734" s="21"/>
    </row>
    <row r="735" spans="1:13" s="9" customFormat="1">
      <c r="A735" s="6">
        <v>42339</v>
      </c>
      <c r="B735" s="7">
        <v>0.2</v>
      </c>
      <c r="C735" s="7">
        <v>4.01</v>
      </c>
      <c r="D735" s="59">
        <v>0.31069999999999998</v>
      </c>
      <c r="E735" s="25">
        <v>-0.36792000000000002</v>
      </c>
      <c r="F735" s="21">
        <v>1.21</v>
      </c>
      <c r="G735" s="21">
        <v>2.11</v>
      </c>
      <c r="H735" s="21">
        <v>0.73</v>
      </c>
      <c r="I735" s="54">
        <v>25.97</v>
      </c>
      <c r="J735" s="60">
        <v>4486587</v>
      </c>
      <c r="K735" s="61">
        <f>IF(Tabela15115[[#This Row],[Fed Assets]]="",#N/A,((Tabela15115[[#This Row],[Fed Assets]]*1)/J723)-1)</f>
        <v>-2.4619468790437748E-3</v>
      </c>
      <c r="L735" s="21">
        <v>5.8</v>
      </c>
      <c r="M735" s="21"/>
    </row>
    <row r="736" spans="1:13" s="9" customFormat="1">
      <c r="A736" s="6">
        <v>42370</v>
      </c>
      <c r="B736" s="7">
        <v>0.28999999999999998</v>
      </c>
      <c r="C736" s="7">
        <v>3.79</v>
      </c>
      <c r="D736" s="59">
        <v>0.4758</v>
      </c>
      <c r="E736" s="25">
        <v>-0.28228999999999999</v>
      </c>
      <c r="F736" s="21">
        <v>1.18</v>
      </c>
      <c r="G736" s="21">
        <v>1.61</v>
      </c>
      <c r="H736" s="21">
        <v>0.53</v>
      </c>
      <c r="I736" s="54">
        <v>24.21</v>
      </c>
      <c r="J736" s="60">
        <v>4482349</v>
      </c>
      <c r="K736" s="61">
        <f>IF(Tabela15115[[#This Row],[Fed Assets]]="",#N/A,((Tabela15115[[#This Row],[Fed Assets]]*1)/J724)-1)</f>
        <v>-3.9366106793148337E-3</v>
      </c>
      <c r="L736" s="21">
        <v>6.1</v>
      </c>
      <c r="M736" s="21"/>
    </row>
    <row r="737" spans="1:13" s="9" customFormat="1">
      <c r="A737" s="6">
        <v>42401</v>
      </c>
      <c r="B737" s="7">
        <v>0.28999999999999998</v>
      </c>
      <c r="C737" s="7">
        <v>3.62</v>
      </c>
      <c r="D737" s="59">
        <v>0.4894</v>
      </c>
      <c r="E737" s="25">
        <v>-0.31002000000000002</v>
      </c>
      <c r="F737" s="21">
        <v>0.96</v>
      </c>
      <c r="G737" s="21">
        <v>1.41</v>
      </c>
      <c r="H737" s="21">
        <v>0.32</v>
      </c>
      <c r="I737" s="54">
        <v>24</v>
      </c>
      <c r="J737" s="60">
        <v>4489796</v>
      </c>
      <c r="K737" s="61">
        <f>IF(Tabela15115[[#This Row],[Fed Assets]]="",#N/A,((Tabela15115[[#This Row],[Fed Assets]]*1)/J725)-1)</f>
        <v>6.8446361210017237E-4</v>
      </c>
      <c r="L737" s="21">
        <v>5.6</v>
      </c>
      <c r="M737" s="21"/>
    </row>
    <row r="738" spans="1:13" s="9" customFormat="1">
      <c r="A738" s="6">
        <v>42430</v>
      </c>
      <c r="B738" s="7">
        <v>0.25</v>
      </c>
      <c r="C738" s="7">
        <v>3.71</v>
      </c>
      <c r="D738" s="59">
        <v>0.1109</v>
      </c>
      <c r="E738" s="25">
        <v>-0.39094000000000001</v>
      </c>
      <c r="F738" s="21">
        <v>1.05</v>
      </c>
      <c r="G738" s="21">
        <v>1.57</v>
      </c>
      <c r="H738" s="21">
        <v>0.16</v>
      </c>
      <c r="I738" s="54">
        <v>25.37</v>
      </c>
      <c r="J738" s="60">
        <v>4482840</v>
      </c>
      <c r="K738" s="61">
        <f>IF(Tabela15115[[#This Row],[Fed Assets]]="",#N/A,((Tabela15115[[#This Row],[Fed Assets]]*1)/J726)-1)</f>
        <v>4.9926315721338099E-4</v>
      </c>
      <c r="L738" s="21">
        <v>5.9</v>
      </c>
      <c r="M738" s="21"/>
    </row>
    <row r="739" spans="1:13" s="9" customFormat="1">
      <c r="A739" s="6">
        <v>42461</v>
      </c>
      <c r="B739" s="7">
        <v>0.3</v>
      </c>
      <c r="C739" s="7">
        <v>3.66</v>
      </c>
      <c r="D739" s="59">
        <v>8.2000000000000007E-3</v>
      </c>
      <c r="E739" s="25">
        <v>-0.39893000000000001</v>
      </c>
      <c r="F739" s="21">
        <v>1.06</v>
      </c>
      <c r="G739" s="21">
        <v>1.61</v>
      </c>
      <c r="H739" s="21">
        <v>0.12</v>
      </c>
      <c r="I739" s="54">
        <v>25.92</v>
      </c>
      <c r="J739" s="60">
        <v>4474665</v>
      </c>
      <c r="K739" s="61">
        <f>IF(Tabela15115[[#This Row],[Fed Assets]]="",#N/A,((Tabela15115[[#This Row],[Fed Assets]]*1)/J727)-1)</f>
        <v>7.0803996601576102E-4</v>
      </c>
      <c r="L739" s="21">
        <v>5.5</v>
      </c>
      <c r="M739" s="21"/>
    </row>
    <row r="740" spans="1:13" s="9" customFormat="1">
      <c r="A740" s="6">
        <v>42491</v>
      </c>
      <c r="B740" s="7">
        <v>0.28999999999999998</v>
      </c>
      <c r="C740" s="7">
        <v>3.64</v>
      </c>
      <c r="D740" s="59">
        <v>-6.2799999999999995E-2</v>
      </c>
      <c r="E740" s="25">
        <v>-0.38385999999999998</v>
      </c>
      <c r="F740" s="21">
        <v>0.97</v>
      </c>
      <c r="G740" s="21">
        <v>1.5</v>
      </c>
      <c r="H740" s="21">
        <v>0.3</v>
      </c>
      <c r="I740" s="54">
        <v>25.69</v>
      </c>
      <c r="J740" s="60">
        <v>4461111</v>
      </c>
      <c r="K740" s="61">
        <f>IF(Tabela15115[[#This Row],[Fed Assets]]="",#N/A,((Tabela15115[[#This Row],[Fed Assets]]*1)/J728)-1)</f>
        <v>-6.4292388341258278E-4</v>
      </c>
      <c r="L740" s="21">
        <v>5.3</v>
      </c>
      <c r="M740" s="21"/>
    </row>
    <row r="741" spans="1:13" s="9" customFormat="1">
      <c r="A741" s="6">
        <v>42522</v>
      </c>
      <c r="B741" s="7">
        <v>0.3</v>
      </c>
      <c r="C741" s="7">
        <v>3.48</v>
      </c>
      <c r="D741" s="59">
        <v>0.1905</v>
      </c>
      <c r="E741" s="25">
        <v>-0.35378999999999999</v>
      </c>
      <c r="F741" s="21">
        <v>0.91</v>
      </c>
      <c r="G741" s="21">
        <v>1.23</v>
      </c>
      <c r="H741" s="21">
        <v>0.09</v>
      </c>
      <c r="I741" s="54">
        <v>25.84</v>
      </c>
      <c r="J741" s="60">
        <v>4466482</v>
      </c>
      <c r="K741" s="61">
        <f>IF(Tabela15115[[#This Row],[Fed Assets]]="",#N/A,((Tabela15115[[#This Row],[Fed Assets]]*1)/J729)-1)</f>
        <v>-6.3565406874888097E-3</v>
      </c>
      <c r="L741" s="21">
        <v>4.9000000000000004</v>
      </c>
      <c r="M741" s="21"/>
    </row>
    <row r="742" spans="1:13" s="9" customFormat="1">
      <c r="A742" s="6">
        <v>42552</v>
      </c>
      <c r="B742" s="7">
        <v>0.3</v>
      </c>
      <c r="C742" s="7">
        <v>3.48</v>
      </c>
      <c r="D742" s="59">
        <v>0.183</v>
      </c>
      <c r="E742" s="25">
        <v>-0.37154999999999999</v>
      </c>
      <c r="F742" s="21">
        <v>0.79</v>
      </c>
      <c r="G742" s="21">
        <v>1.18</v>
      </c>
      <c r="H742" s="21">
        <v>-0.03</v>
      </c>
      <c r="I742" s="54">
        <v>26.69</v>
      </c>
      <c r="J742" s="60">
        <v>4464498</v>
      </c>
      <c r="K742" s="61">
        <f>IF(Tabela15115[[#This Row],[Fed Assets]]="",#N/A,((Tabela15115[[#This Row],[Fed Assets]]*1)/J730)-1)</f>
        <v>-4.6777602397067852E-3</v>
      </c>
      <c r="L742" s="21">
        <v>5.0999999999999996</v>
      </c>
      <c r="M742" s="21"/>
    </row>
    <row r="743" spans="1:13" s="9" customFormat="1">
      <c r="A743" s="6">
        <v>42583</v>
      </c>
      <c r="B743" s="7">
        <v>0.3</v>
      </c>
      <c r="C743" s="7">
        <v>3.43</v>
      </c>
      <c r="D743" s="59">
        <v>0.21260000000000001</v>
      </c>
      <c r="E743" s="25">
        <v>-0.36542000000000002</v>
      </c>
      <c r="F743" s="21">
        <v>0.78</v>
      </c>
      <c r="G743" s="21">
        <v>1.25</v>
      </c>
      <c r="H743" s="21">
        <v>0.11</v>
      </c>
      <c r="I743" s="54">
        <v>26.95</v>
      </c>
      <c r="J743" s="60">
        <v>4457907</v>
      </c>
      <c r="K743" s="61">
        <f>IF(Tabela15115[[#This Row],[Fed Assets]]="",#N/A,((Tabela15115[[#This Row],[Fed Assets]]*1)/J731)-1)</f>
        <v>-3.8430383197712858E-3</v>
      </c>
      <c r="L743" s="21">
        <v>5.0999999999999996</v>
      </c>
      <c r="M743" s="21"/>
    </row>
    <row r="744" spans="1:13" s="9" customFormat="1">
      <c r="A744" s="6">
        <v>42614</v>
      </c>
      <c r="B744" s="7">
        <v>0.28999999999999998</v>
      </c>
      <c r="C744" s="7">
        <v>3.42</v>
      </c>
      <c r="D744" s="59">
        <v>0.26579999999999998</v>
      </c>
      <c r="E744" s="25">
        <v>-0.33793000000000001</v>
      </c>
      <c r="F744" s="21">
        <v>0.83</v>
      </c>
      <c r="G744" s="21">
        <v>1.31</v>
      </c>
      <c r="H744" s="21">
        <v>0</v>
      </c>
      <c r="I744" s="54">
        <v>26.73</v>
      </c>
      <c r="J744" s="60">
        <v>4452002</v>
      </c>
      <c r="K744" s="61">
        <f>IF(Tabela15115[[#This Row],[Fed Assets]]="",#N/A,((Tabela15115[[#This Row],[Fed Assets]]*1)/J732)-1)</f>
        <v>-7.1606166751893019E-3</v>
      </c>
      <c r="L744" s="21">
        <v>5.0999999999999996</v>
      </c>
      <c r="M744" s="21"/>
    </row>
    <row r="745" spans="1:13" s="9" customFormat="1">
      <c r="A745" s="6">
        <v>42644</v>
      </c>
      <c r="B745" s="7">
        <v>0.31</v>
      </c>
      <c r="C745" s="7">
        <v>3.47</v>
      </c>
      <c r="D745" s="59">
        <v>4.6800000000000001E-2</v>
      </c>
      <c r="E745" s="25">
        <v>-0.37818000000000002</v>
      </c>
      <c r="F745" s="21">
        <v>0.98</v>
      </c>
      <c r="G745" s="21">
        <v>1.5</v>
      </c>
      <c r="H745" s="21">
        <v>0.11</v>
      </c>
      <c r="I745" s="54">
        <v>26.53</v>
      </c>
      <c r="J745" s="60">
        <v>4454326</v>
      </c>
      <c r="K745" s="61">
        <f>IF(Tabela15115[[#This Row],[Fed Assets]]="",#N/A,((Tabela15115[[#This Row],[Fed Assets]]*1)/J733)-1)</f>
        <v>-7.7991437046746048E-3</v>
      </c>
      <c r="L745" s="21">
        <v>5.3</v>
      </c>
      <c r="M745" s="21"/>
    </row>
    <row r="746" spans="1:13" s="9" customFormat="1">
      <c r="A746" s="6">
        <v>42675</v>
      </c>
      <c r="B746" s="7">
        <v>0.31</v>
      </c>
      <c r="C746" s="7">
        <v>4.03</v>
      </c>
      <c r="D746" s="59">
        <v>-0.1726</v>
      </c>
      <c r="E746" s="25">
        <v>-0.43874999999999997</v>
      </c>
      <c r="F746" s="21">
        <v>1.26</v>
      </c>
      <c r="G746" s="21">
        <v>1.89</v>
      </c>
      <c r="H746" s="21">
        <v>0.43</v>
      </c>
      <c r="I746" s="54">
        <v>26.85</v>
      </c>
      <c r="J746" s="60">
        <v>4446307</v>
      </c>
      <c r="K746" s="61">
        <f>IF(Tabela15115[[#This Row],[Fed Assets]]="",#N/A,((Tabela15115[[#This Row],[Fed Assets]]*1)/J734)-1)</f>
        <v>-6.8752278266587252E-3</v>
      </c>
      <c r="L746" s="21">
        <v>5.4</v>
      </c>
      <c r="M746" s="21"/>
    </row>
    <row r="747" spans="1:13" s="9" customFormat="1">
      <c r="A747" s="6">
        <v>42705</v>
      </c>
      <c r="B747" s="7">
        <v>0.55000000000000004</v>
      </c>
      <c r="C747" s="7">
        <v>4.32</v>
      </c>
      <c r="D747" s="59">
        <v>-0.1003</v>
      </c>
      <c r="E747" s="25">
        <v>-0.47561999999999999</v>
      </c>
      <c r="F747" s="21">
        <v>1.25</v>
      </c>
      <c r="G747" s="21">
        <v>1.94</v>
      </c>
      <c r="H747" s="21">
        <v>0.5</v>
      </c>
      <c r="I747" s="54">
        <v>27.87</v>
      </c>
      <c r="J747" s="60">
        <v>4451451</v>
      </c>
      <c r="K747" s="61">
        <f>IF(Tabela15115[[#This Row],[Fed Assets]]="",#N/A,((Tabela15115[[#This Row],[Fed Assets]]*1)/J735)-1)</f>
        <v>-7.8313426219083215E-3</v>
      </c>
      <c r="L747" s="21">
        <v>5</v>
      </c>
      <c r="M747" s="21"/>
    </row>
    <row r="748" spans="1:13">
      <c r="A748" s="6">
        <v>42736</v>
      </c>
      <c r="B748" s="7">
        <v>0.56000000000000005</v>
      </c>
      <c r="C748" s="7">
        <v>4.1900000000000004</v>
      </c>
      <c r="D748" s="59">
        <v>-0.25040000000000001</v>
      </c>
      <c r="E748" s="25">
        <v>-0.49242999999999998</v>
      </c>
      <c r="F748" s="21">
        <v>1.26</v>
      </c>
      <c r="G748" s="21">
        <v>1.93</v>
      </c>
      <c r="H748" s="21">
        <v>0.4</v>
      </c>
      <c r="I748" s="54">
        <v>28.06</v>
      </c>
      <c r="J748" s="60">
        <v>4452838</v>
      </c>
      <c r="K748" s="61">
        <f>IF(Tabela15115[[#This Row],[Fed Assets]]="",#N/A,((Tabela15115[[#This Row],[Fed Assets]]*1)/J736)-1)</f>
        <v>-6.5838246865650429E-3</v>
      </c>
      <c r="L748" s="21">
        <v>5.3</v>
      </c>
      <c r="M748" s="21"/>
    </row>
    <row r="749" spans="1:13">
      <c r="A749" s="6">
        <v>42767</v>
      </c>
      <c r="B749" s="7">
        <v>0.56999999999999995</v>
      </c>
      <c r="C749" s="7">
        <v>4.16</v>
      </c>
      <c r="D749" s="59">
        <v>-0.26019999999999999</v>
      </c>
      <c r="E749" s="25">
        <v>-0.48931000000000002</v>
      </c>
      <c r="F749" s="21">
        <v>1.1399999999999999</v>
      </c>
      <c r="G749" s="21">
        <v>1.83</v>
      </c>
      <c r="H749" s="21">
        <v>0.34</v>
      </c>
      <c r="I749" s="54">
        <v>28.66</v>
      </c>
      <c r="J749" s="60">
        <v>4468702</v>
      </c>
      <c r="K749" s="61">
        <f>IF(Tabela15115[[#This Row],[Fed Assets]]="",#N/A,((Tabela15115[[#This Row],[Fed Assets]]*1)/J737)-1)</f>
        <v>-4.6982090054871195E-3</v>
      </c>
      <c r="L749" s="21">
        <v>5.6</v>
      </c>
      <c r="M749" s="21"/>
    </row>
    <row r="750" spans="1:13">
      <c r="A750" s="6">
        <v>42795</v>
      </c>
      <c r="B750" s="7">
        <v>0.82</v>
      </c>
      <c r="C750" s="7">
        <v>4.1399999999999997</v>
      </c>
      <c r="D750" s="59">
        <v>-0.45140000000000002</v>
      </c>
      <c r="E750" s="25">
        <v>-0.47667999999999999</v>
      </c>
      <c r="F750" s="21">
        <v>1.1299999999999999</v>
      </c>
      <c r="G750" s="21">
        <v>1.64</v>
      </c>
      <c r="H750" s="21">
        <v>0.43</v>
      </c>
      <c r="I750" s="54">
        <v>29.09</v>
      </c>
      <c r="J750" s="60">
        <v>4469618</v>
      </c>
      <c r="K750" s="61">
        <f>IF(Tabela15115[[#This Row],[Fed Assets]]="",#N/A,((Tabela15115[[#This Row],[Fed Assets]]*1)/J738)-1)</f>
        <v>-2.9494695327069165E-3</v>
      </c>
      <c r="L750" s="21">
        <v>5.6</v>
      </c>
      <c r="M750" s="21"/>
    </row>
    <row r="751" spans="1:13">
      <c r="A751" s="6">
        <v>42826</v>
      </c>
      <c r="B751" s="7">
        <v>0.83</v>
      </c>
      <c r="C751" s="7">
        <v>4.03</v>
      </c>
      <c r="D751" s="59">
        <v>-0.6331</v>
      </c>
      <c r="E751" s="25">
        <v>-0.50100999999999996</v>
      </c>
      <c r="F751" s="21">
        <v>1.01</v>
      </c>
      <c r="G751" s="21">
        <v>1.49</v>
      </c>
      <c r="H751" s="21">
        <v>0.37</v>
      </c>
      <c r="I751" s="54">
        <v>28.9</v>
      </c>
      <c r="J751" s="60">
        <v>4470142</v>
      </c>
      <c r="K751" s="61">
        <f>IF(Tabela15115[[#This Row],[Fed Assets]]="",#N/A,((Tabela15115[[#This Row],[Fed Assets]]*1)/J739)-1)</f>
        <v>-1.0108019259542633E-3</v>
      </c>
      <c r="L751" s="21">
        <v>5.7</v>
      </c>
      <c r="M751" s="21"/>
    </row>
    <row r="752" spans="1:13">
      <c r="A752" s="6">
        <v>42856</v>
      </c>
      <c r="B752" s="7">
        <v>0.83</v>
      </c>
      <c r="C752" s="7">
        <v>3.95</v>
      </c>
      <c r="D752" s="59">
        <v>-0.69530000000000003</v>
      </c>
      <c r="E752" s="25">
        <v>-0.54330000000000001</v>
      </c>
      <c r="F752" s="21">
        <v>0.93</v>
      </c>
      <c r="G752" s="21">
        <v>1.23</v>
      </c>
      <c r="H752" s="21">
        <v>0.4</v>
      </c>
      <c r="I752" s="54">
        <v>29.31</v>
      </c>
      <c r="J752" s="60">
        <v>4459914</v>
      </c>
      <c r="K752" s="61">
        <f>IF(Tabela15115[[#This Row],[Fed Assets]]="",#N/A,((Tabela15115[[#This Row],[Fed Assets]]*1)/J740)-1)</f>
        <v>-2.6831881116606837E-4</v>
      </c>
      <c r="L752" s="21">
        <v>6.3</v>
      </c>
      <c r="M752" s="21"/>
    </row>
    <row r="753" spans="1:13">
      <c r="A753" s="6">
        <v>42887</v>
      </c>
      <c r="B753" s="7">
        <v>1.06</v>
      </c>
      <c r="C753" s="7">
        <v>3.88</v>
      </c>
      <c r="D753" s="59">
        <v>-0.60809999999999997</v>
      </c>
      <c r="E753" s="25">
        <v>-0.57186000000000003</v>
      </c>
      <c r="F753" s="21">
        <v>0.93</v>
      </c>
      <c r="G753" s="21">
        <v>1.28</v>
      </c>
      <c r="H753" s="21">
        <v>0.57999999999999996</v>
      </c>
      <c r="I753" s="54">
        <v>29.75</v>
      </c>
      <c r="J753" s="60">
        <v>4463347</v>
      </c>
      <c r="K753" s="61">
        <f>IF(Tabela15115[[#This Row],[Fed Assets]]="",#N/A,((Tabela15115[[#This Row],[Fed Assets]]*1)/J741)-1)</f>
        <v>-7.0189469027304163E-4</v>
      </c>
      <c r="L753" s="21">
        <v>6</v>
      </c>
      <c r="M753" s="21"/>
    </row>
    <row r="754" spans="1:13">
      <c r="A754" s="6">
        <v>42917</v>
      </c>
      <c r="B754" s="7">
        <v>1.07</v>
      </c>
      <c r="C754" s="7">
        <v>3.92</v>
      </c>
      <c r="D754" s="59">
        <v>-0.7631</v>
      </c>
      <c r="E754" s="25">
        <v>-0.58455000000000001</v>
      </c>
      <c r="F754" s="21">
        <v>0.96</v>
      </c>
      <c r="G754" s="21">
        <v>1.23</v>
      </c>
      <c r="H754" s="21">
        <v>0.48</v>
      </c>
      <c r="I754" s="54">
        <v>30</v>
      </c>
      <c r="J754" s="60">
        <v>4465284</v>
      </c>
      <c r="K754" s="61">
        <f>IF(Tabela15115[[#This Row],[Fed Assets]]="",#N/A,((Tabela15115[[#This Row],[Fed Assets]]*1)/J742)-1)</f>
        <v>1.7605562820266485E-4</v>
      </c>
      <c r="L754" s="21">
        <v>6</v>
      </c>
      <c r="M754" s="21"/>
    </row>
    <row r="755" spans="1:13">
      <c r="A755" s="6">
        <v>42948</v>
      </c>
      <c r="B755" s="7">
        <v>1.07</v>
      </c>
      <c r="C755" s="7">
        <v>3.82</v>
      </c>
      <c r="D755" s="59">
        <v>-0.50309999999999999</v>
      </c>
      <c r="E755" s="25">
        <v>-0.56225000000000003</v>
      </c>
      <c r="F755" s="21">
        <v>0.79</v>
      </c>
      <c r="G755" s="21">
        <v>1.1100000000000001</v>
      </c>
      <c r="H755" s="21">
        <v>0.36</v>
      </c>
      <c r="I755" s="54">
        <v>29.91</v>
      </c>
      <c r="J755" s="60">
        <v>4452360</v>
      </c>
      <c r="K755" s="61">
        <f>IF(Tabela15115[[#This Row],[Fed Assets]]="",#N/A,((Tabela15115[[#This Row],[Fed Assets]]*1)/J743)-1)</f>
        <v>-1.2443059040935234E-3</v>
      </c>
      <c r="L755" s="21">
        <v>6.1</v>
      </c>
      <c r="M755" s="21"/>
    </row>
    <row r="756" spans="1:13">
      <c r="A756" s="6">
        <v>42979</v>
      </c>
      <c r="B756" s="7">
        <v>1.06</v>
      </c>
      <c r="C756" s="7">
        <v>3.83</v>
      </c>
      <c r="D756" s="59">
        <v>-0.70540000000000003</v>
      </c>
      <c r="E756" s="25">
        <v>-0.57765999999999995</v>
      </c>
      <c r="F756" s="21">
        <v>0.86</v>
      </c>
      <c r="G756" s="21">
        <v>1.27</v>
      </c>
      <c r="H756" s="21">
        <v>0.49</v>
      </c>
      <c r="I756" s="54">
        <v>30.17</v>
      </c>
      <c r="J756" s="60">
        <v>4455661</v>
      </c>
      <c r="K756" s="61">
        <f>IF(Tabela15115[[#This Row],[Fed Assets]]="",#N/A,((Tabela15115[[#This Row],[Fed Assets]]*1)/J744)-1)</f>
        <v>8.2187743850958839E-4</v>
      </c>
      <c r="L756" s="21">
        <v>5.9</v>
      </c>
      <c r="M756" s="21"/>
    </row>
    <row r="757" spans="1:13">
      <c r="A757" s="6">
        <v>43009</v>
      </c>
      <c r="B757" s="7">
        <v>1.07</v>
      </c>
      <c r="C757" s="7">
        <v>3.94</v>
      </c>
      <c r="D757" s="59">
        <v>-0.79210000000000003</v>
      </c>
      <c r="E757" s="25">
        <v>-0.60904000000000003</v>
      </c>
      <c r="F757" s="21">
        <v>0.78</v>
      </c>
      <c r="G757" s="21">
        <v>1.23</v>
      </c>
      <c r="H757" s="21">
        <v>0.5</v>
      </c>
      <c r="I757" s="54">
        <v>30.92</v>
      </c>
      <c r="J757" s="60">
        <v>4461117</v>
      </c>
      <c r="K757" s="61">
        <f>IF(Tabela15115[[#This Row],[Fed Assets]]="",#N/A,((Tabela15115[[#This Row],[Fed Assets]]*1)/J745)-1)</f>
        <v>1.5245853132437315E-3</v>
      </c>
      <c r="L757" s="21">
        <v>6</v>
      </c>
      <c r="M757" s="21"/>
    </row>
    <row r="758" spans="1:13">
      <c r="A758" s="6">
        <v>43040</v>
      </c>
      <c r="B758" s="7">
        <v>1.07</v>
      </c>
      <c r="C758" s="7">
        <v>3.9</v>
      </c>
      <c r="D758" s="59">
        <v>-0.86160000000000003</v>
      </c>
      <c r="E758" s="25">
        <v>-0.62136999999999998</v>
      </c>
      <c r="F758" s="21">
        <v>0.64</v>
      </c>
      <c r="G758" s="21">
        <v>1.1499999999999999</v>
      </c>
      <c r="H758" s="21">
        <v>0.56000000000000005</v>
      </c>
      <c r="I758" s="54">
        <v>31.3</v>
      </c>
      <c r="J758" s="60">
        <v>4438592</v>
      </c>
      <c r="K758" s="61">
        <f>IF(Tabela15115[[#This Row],[Fed Assets]]="",#N/A,((Tabela15115[[#This Row],[Fed Assets]]*1)/J746)-1)</f>
        <v>-1.7351478429177281E-3</v>
      </c>
      <c r="L758" s="21">
        <v>5.6</v>
      </c>
      <c r="M758" s="21"/>
    </row>
    <row r="759" spans="1:13">
      <c r="A759" s="6">
        <v>43070</v>
      </c>
      <c r="B759" s="7">
        <v>1.33</v>
      </c>
      <c r="C759" s="7">
        <v>3.99</v>
      </c>
      <c r="D759" s="59">
        <v>-0.54469999999999996</v>
      </c>
      <c r="E759" s="25">
        <v>-0.63248000000000004</v>
      </c>
      <c r="F759" s="21">
        <v>0.51</v>
      </c>
      <c r="G759" s="21">
        <v>1.01</v>
      </c>
      <c r="H759" s="21">
        <v>0.44</v>
      </c>
      <c r="I759" s="54">
        <v>32.090000000000003</v>
      </c>
      <c r="J759" s="60">
        <v>4448680</v>
      </c>
      <c r="K759" s="61">
        <f>IF(Tabela15115[[#This Row],[Fed Assets]]="",#N/A,((Tabela15115[[#This Row],[Fed Assets]]*1)/J747)-1)</f>
        <v>-6.2249365431632508E-4</v>
      </c>
      <c r="L759" s="21">
        <v>5</v>
      </c>
      <c r="M759" s="21"/>
    </row>
    <row r="760" spans="1:13">
      <c r="A760" s="6">
        <v>43101</v>
      </c>
      <c r="B760" s="7">
        <v>1.34</v>
      </c>
      <c r="C760" s="7">
        <v>4.1500000000000004</v>
      </c>
      <c r="D760" s="59">
        <v>-0.69699999999999995</v>
      </c>
      <c r="E760" s="25">
        <v>-0.61780999999999997</v>
      </c>
      <c r="F760" s="21">
        <v>0.57999999999999996</v>
      </c>
      <c r="G760" s="21">
        <v>1.26</v>
      </c>
      <c r="H760" s="21">
        <v>0.61</v>
      </c>
      <c r="I760" s="54">
        <v>33.31</v>
      </c>
      <c r="J760" s="60">
        <v>4419225</v>
      </c>
      <c r="K760" s="61">
        <f>IF(Tabela15115[[#This Row],[Fed Assets]]="",#N/A,((Tabela15115[[#This Row],[Fed Assets]]*1)/J748)-1)</f>
        <v>-7.5486689612332958E-3</v>
      </c>
      <c r="L760" s="21">
        <v>5.7</v>
      </c>
      <c r="M760" s="21"/>
    </row>
    <row r="761" spans="1:13">
      <c r="A761" s="6">
        <v>43132</v>
      </c>
      <c r="B761" s="7">
        <v>1.35</v>
      </c>
      <c r="C761" s="7">
        <v>4.4000000000000004</v>
      </c>
      <c r="D761" s="59">
        <v>-0.39579999999999999</v>
      </c>
      <c r="E761" s="25">
        <v>-0.54723999999999995</v>
      </c>
      <c r="F761" s="21">
        <v>0.62</v>
      </c>
      <c r="G761" s="21">
        <v>1.22</v>
      </c>
      <c r="H761" s="21">
        <v>0.75</v>
      </c>
      <c r="I761" s="54">
        <v>32.04</v>
      </c>
      <c r="J761" s="60">
        <v>4393401</v>
      </c>
      <c r="K761" s="61">
        <f>IF(Tabela15115[[#This Row],[Fed Assets]]="",#N/A,((Tabela15115[[#This Row],[Fed Assets]]*1)/J749)-1)</f>
        <v>-1.6850754424886705E-2</v>
      </c>
      <c r="L761" s="21">
        <v>5.8</v>
      </c>
      <c r="M761" s="21"/>
    </row>
    <row r="762" spans="1:13">
      <c r="A762" s="6">
        <v>43160</v>
      </c>
      <c r="B762" s="7">
        <v>1.67</v>
      </c>
      <c r="C762" s="7">
        <v>4.4400000000000004</v>
      </c>
      <c r="D762" s="59">
        <v>0.28410000000000002</v>
      </c>
      <c r="E762" s="25">
        <v>-0.48929</v>
      </c>
      <c r="F762" s="21">
        <v>0.47</v>
      </c>
      <c r="G762" s="21">
        <v>1.01</v>
      </c>
      <c r="H762" s="21">
        <v>0.69</v>
      </c>
      <c r="I762" s="54">
        <v>31.81</v>
      </c>
      <c r="J762" s="60">
        <v>4392198</v>
      </c>
      <c r="K762" s="61">
        <f>IF(Tabela15115[[#This Row],[Fed Assets]]="",#N/A,((Tabela15115[[#This Row],[Fed Assets]]*1)/J750)-1)</f>
        <v>-1.732139077657191E-2</v>
      </c>
      <c r="L762" s="21">
        <v>5.9</v>
      </c>
      <c r="M762" s="21"/>
    </row>
    <row r="763" spans="1:13">
      <c r="A763" s="6">
        <v>43191</v>
      </c>
      <c r="B763" s="7">
        <v>1.69</v>
      </c>
      <c r="C763" s="7">
        <v>4.58</v>
      </c>
      <c r="D763" s="59">
        <v>-7.5899999999999995E-2</v>
      </c>
      <c r="E763" s="25">
        <v>-0.52678999999999998</v>
      </c>
      <c r="F763" s="21">
        <v>0.46</v>
      </c>
      <c r="G763" s="21">
        <v>1.08</v>
      </c>
      <c r="H763" s="21">
        <v>0.78</v>
      </c>
      <c r="I763" s="54">
        <v>30.97</v>
      </c>
      <c r="J763" s="60">
        <v>4372886</v>
      </c>
      <c r="K763" s="61">
        <f>IF(Tabela15115[[#This Row],[Fed Assets]]="",#N/A,((Tabela15115[[#This Row],[Fed Assets]]*1)/J751)-1)</f>
        <v>-2.175680325144036E-2</v>
      </c>
      <c r="L763" s="21">
        <v>6</v>
      </c>
      <c r="M763" s="21"/>
    </row>
    <row r="764" spans="1:13">
      <c r="A764" s="6">
        <v>43221</v>
      </c>
      <c r="B764" s="7">
        <v>1.7</v>
      </c>
      <c r="C764" s="7">
        <v>4.5599999999999996</v>
      </c>
      <c r="D764" s="59">
        <v>-0.2707</v>
      </c>
      <c r="E764" s="25">
        <v>-0.54913000000000001</v>
      </c>
      <c r="F764" s="21">
        <v>0.43</v>
      </c>
      <c r="G764" s="21">
        <v>0.9</v>
      </c>
      <c r="H764" s="21">
        <v>0.76</v>
      </c>
      <c r="I764" s="54">
        <v>31.24</v>
      </c>
      <c r="J764" s="60">
        <v>4327519</v>
      </c>
      <c r="K764" s="61">
        <f>IF(Tabela15115[[#This Row],[Fed Assets]]="",#N/A,((Tabela15115[[#This Row],[Fed Assets]]*1)/J752)-1)</f>
        <v>-2.968554999042583E-2</v>
      </c>
      <c r="L764" s="21">
        <v>6</v>
      </c>
      <c r="M764" s="21"/>
    </row>
    <row r="765" spans="1:13">
      <c r="A765" s="6">
        <v>43252</v>
      </c>
      <c r="B765" s="7">
        <v>1.91</v>
      </c>
      <c r="C765" s="7">
        <v>4.55</v>
      </c>
      <c r="D765" s="59">
        <v>-0.10680000000000001</v>
      </c>
      <c r="E765" s="25">
        <v>-0.51942999999999995</v>
      </c>
      <c r="F765" s="21">
        <v>0.33</v>
      </c>
      <c r="G765" s="21">
        <v>0.92</v>
      </c>
      <c r="H765" s="21">
        <v>0.74</v>
      </c>
      <c r="I765" s="54">
        <v>31.63</v>
      </c>
      <c r="J765" s="60">
        <v>4305491</v>
      </c>
      <c r="K765" s="61">
        <f>IF(Tabela15115[[#This Row],[Fed Assets]]="",#N/A,((Tabela15115[[#This Row],[Fed Assets]]*1)/J753)-1)</f>
        <v>-3.5367180727825964E-2</v>
      </c>
      <c r="L765" s="21">
        <v>6.3</v>
      </c>
      <c r="M765" s="21"/>
    </row>
    <row r="766" spans="1:13">
      <c r="A766" s="6">
        <v>43282</v>
      </c>
      <c r="B766" s="7">
        <v>1.91</v>
      </c>
      <c r="C766" s="7">
        <v>4.54</v>
      </c>
      <c r="D766" s="59">
        <v>-0.58989999999999998</v>
      </c>
      <c r="E766" s="25">
        <v>-0.54976000000000003</v>
      </c>
      <c r="F766" s="21">
        <v>0.28999999999999998</v>
      </c>
      <c r="G766" s="21">
        <v>0.93</v>
      </c>
      <c r="H766" s="21">
        <v>0.84</v>
      </c>
      <c r="I766" s="54">
        <v>31.89</v>
      </c>
      <c r="J766" s="60">
        <v>4277681</v>
      </c>
      <c r="K766" s="61">
        <f>IF(Tabela15115[[#This Row],[Fed Assets]]="",#N/A,((Tabela15115[[#This Row],[Fed Assets]]*1)/J754)-1)</f>
        <v>-4.2013677069588362E-2</v>
      </c>
      <c r="L766" s="21">
        <v>6.5</v>
      </c>
      <c r="M766" s="21"/>
    </row>
    <row r="767" spans="1:13">
      <c r="A767" s="6">
        <v>43313</v>
      </c>
      <c r="B767" s="7">
        <v>1.91</v>
      </c>
      <c r="C767" s="7">
        <v>4.5199999999999996</v>
      </c>
      <c r="D767" s="59">
        <v>-0.70660000000000001</v>
      </c>
      <c r="E767" s="25">
        <v>-0.58806000000000003</v>
      </c>
      <c r="F767" s="21">
        <v>0.24</v>
      </c>
      <c r="G767" s="21">
        <v>0.75</v>
      </c>
      <c r="H767" s="21">
        <v>0.78</v>
      </c>
      <c r="I767" s="54">
        <v>32.39</v>
      </c>
      <c r="J767" s="60">
        <v>4218914</v>
      </c>
      <c r="K767" s="61">
        <f>IF(Tabela15115[[#This Row],[Fed Assets]]="",#N/A,((Tabela15115[[#This Row],[Fed Assets]]*1)/J755)-1)</f>
        <v>-5.2431968663809725E-2</v>
      </c>
      <c r="L767" s="21">
        <v>6.6</v>
      </c>
      <c r="M767" s="21"/>
    </row>
    <row r="768" spans="1:13">
      <c r="A768" s="6">
        <v>43344</v>
      </c>
      <c r="B768" s="7">
        <v>2.1800000000000002</v>
      </c>
      <c r="C768" s="7">
        <v>4.72</v>
      </c>
      <c r="D768" s="59">
        <v>-0.79979999999999996</v>
      </c>
      <c r="E768" s="25">
        <v>-0.58111000000000002</v>
      </c>
      <c r="F768" s="21">
        <v>0.24</v>
      </c>
      <c r="G768" s="21">
        <v>0.86</v>
      </c>
      <c r="H768" s="21">
        <v>0.91</v>
      </c>
      <c r="I768" s="54">
        <v>32.619999999999997</v>
      </c>
      <c r="J768" s="60">
        <v>4192909</v>
      </c>
      <c r="K768" s="61">
        <f>IF(Tabela15115[[#This Row],[Fed Assets]]="",#N/A,((Tabela15115[[#This Row],[Fed Assets]]*1)/J756)-1)</f>
        <v>-5.8970374990377383E-2</v>
      </c>
      <c r="L768" s="21">
        <v>6.8</v>
      </c>
      <c r="M768" s="21"/>
    </row>
    <row r="769" spans="1:13">
      <c r="A769" s="6">
        <v>43374</v>
      </c>
      <c r="B769" s="7">
        <v>2.2000000000000002</v>
      </c>
      <c r="C769" s="7">
        <v>4.8600000000000003</v>
      </c>
      <c r="D769" s="59">
        <v>-0.2465</v>
      </c>
      <c r="E769" s="25">
        <v>-0.53000999999999998</v>
      </c>
      <c r="F769" s="21">
        <v>0.28000000000000003</v>
      </c>
      <c r="G769" s="21">
        <v>0.81</v>
      </c>
      <c r="H769" s="21">
        <v>1.1000000000000001</v>
      </c>
      <c r="I769" s="54">
        <v>31.04</v>
      </c>
      <c r="J769" s="60">
        <v>4139731</v>
      </c>
      <c r="K769" s="61">
        <f>IF(Tabela15115[[#This Row],[Fed Assets]]="",#N/A,((Tabela15115[[#This Row],[Fed Assets]]*1)/J757)-1)</f>
        <v>-7.204159855031822E-2</v>
      </c>
      <c r="L769" s="21">
        <v>6.7</v>
      </c>
      <c r="M769" s="21"/>
    </row>
    <row r="770" spans="1:13">
      <c r="A770" s="6">
        <v>43405</v>
      </c>
      <c r="B770" s="7">
        <v>2.2000000000000002</v>
      </c>
      <c r="C770" s="7">
        <v>4.8099999999999996</v>
      </c>
      <c r="D770" s="59">
        <v>-0.18779999999999999</v>
      </c>
      <c r="E770" s="25">
        <v>-0.43134</v>
      </c>
      <c r="F770" s="21">
        <v>0.21</v>
      </c>
      <c r="G770" s="21">
        <v>0.64</v>
      </c>
      <c r="H770" s="21">
        <v>1.04</v>
      </c>
      <c r="I770" s="54">
        <v>30.2</v>
      </c>
      <c r="J770" s="60">
        <v>4097170</v>
      </c>
      <c r="K770" s="61">
        <f>IF(Tabela15115[[#This Row],[Fed Assets]]="",#N/A,((Tabela15115[[#This Row],[Fed Assets]]*1)/J758)-1)</f>
        <v>-7.6921239888685378E-2</v>
      </c>
      <c r="L770" s="21">
        <v>6.5</v>
      </c>
      <c r="M770" s="21"/>
    </row>
    <row r="771" spans="1:13">
      <c r="A771" s="6">
        <v>43435</v>
      </c>
      <c r="B771" s="7">
        <v>2.4</v>
      </c>
      <c r="C771" s="7">
        <v>4.55</v>
      </c>
      <c r="D771" s="59">
        <v>0.61480000000000001</v>
      </c>
      <c r="E771" s="25">
        <v>-0.38697999999999999</v>
      </c>
      <c r="F771" s="21">
        <v>0.21</v>
      </c>
      <c r="G771" s="21">
        <v>0.24</v>
      </c>
      <c r="H771" s="21">
        <v>0.98</v>
      </c>
      <c r="I771" s="54">
        <v>28.29</v>
      </c>
      <c r="J771" s="60">
        <v>4075636</v>
      </c>
      <c r="K771" s="61">
        <f>IF(Tabela15115[[#This Row],[Fed Assets]]="",#N/A,((Tabela15115[[#This Row],[Fed Assets]]*1)/J759)-1)</f>
        <v>-8.3854986198153125E-2</v>
      </c>
      <c r="L771" s="21">
        <v>8.4</v>
      </c>
      <c r="M771" s="21"/>
    </row>
    <row r="772" spans="1:13">
      <c r="A772" s="6">
        <v>43466</v>
      </c>
      <c r="B772" s="7">
        <v>2.4</v>
      </c>
      <c r="C772" s="7">
        <v>4.46</v>
      </c>
      <c r="D772" s="59">
        <v>-0.16700000000000001</v>
      </c>
      <c r="E772" s="25">
        <v>-0.48214000000000001</v>
      </c>
      <c r="F772" s="21">
        <v>0.18</v>
      </c>
      <c r="G772" s="21">
        <v>0.22</v>
      </c>
      <c r="H772" s="21">
        <v>0.78</v>
      </c>
      <c r="I772" s="54">
        <v>28.38</v>
      </c>
      <c r="J772" s="60">
        <v>4039678</v>
      </c>
      <c r="K772" s="61">
        <f>IF(Tabela15115[[#This Row],[Fed Assets]]="",#N/A,((Tabela15115[[#This Row],[Fed Assets]]*1)/J760)-1)</f>
        <v>-8.5885421086276392E-2</v>
      </c>
      <c r="L772" s="21">
        <v>8.1999999999999993</v>
      </c>
      <c r="M772" s="21"/>
    </row>
    <row r="773" spans="1:13">
      <c r="A773" s="6">
        <v>43497</v>
      </c>
      <c r="B773" s="7">
        <v>2.4</v>
      </c>
      <c r="C773" s="7">
        <v>4.3499999999999996</v>
      </c>
      <c r="D773" s="59">
        <v>-0.55649999999999999</v>
      </c>
      <c r="E773" s="25">
        <v>-0.56608000000000003</v>
      </c>
      <c r="F773" s="21">
        <v>0.21</v>
      </c>
      <c r="G773" s="21">
        <v>0.28000000000000003</v>
      </c>
      <c r="H773" s="21">
        <v>0.78</v>
      </c>
      <c r="I773" s="54">
        <v>29.54</v>
      </c>
      <c r="J773" s="60">
        <v>3974590</v>
      </c>
      <c r="K773" s="61">
        <f>IF(Tabela15115[[#This Row],[Fed Assets]]="",#N/A,((Tabela15115[[#This Row],[Fed Assets]]*1)/J761)-1)</f>
        <v>-9.532728744769714E-2</v>
      </c>
      <c r="L773" s="21">
        <v>8.5</v>
      </c>
      <c r="M773" s="21"/>
    </row>
    <row r="774" spans="1:13">
      <c r="A774" s="6">
        <v>43525</v>
      </c>
      <c r="B774" s="7">
        <v>2.4300000000000002</v>
      </c>
      <c r="C774" s="7">
        <v>4.0599999999999996</v>
      </c>
      <c r="D774" s="59">
        <v>-0.33529999999999999</v>
      </c>
      <c r="E774" s="25">
        <v>-0.59386000000000005</v>
      </c>
      <c r="F774" s="21">
        <v>0.14000000000000001</v>
      </c>
      <c r="G774" s="21">
        <v>0.01</v>
      </c>
      <c r="H774" s="21">
        <v>0.53</v>
      </c>
      <c r="I774" s="54">
        <v>29.58</v>
      </c>
      <c r="J774" s="60">
        <v>3955617</v>
      </c>
      <c r="K774" s="61">
        <f>IF(Tabela15115[[#This Row],[Fed Assets]]="",#N/A,((Tabela15115[[#This Row],[Fed Assets]]*1)/J762)-1)</f>
        <v>-9.9399207412780521E-2</v>
      </c>
      <c r="L774" s="21">
        <v>7.9</v>
      </c>
      <c r="M774" s="21"/>
    </row>
    <row r="775" spans="1:13">
      <c r="A775" s="6">
        <v>43556</v>
      </c>
      <c r="B775" s="7">
        <v>2.4500000000000002</v>
      </c>
      <c r="C775" s="7">
        <v>4.2</v>
      </c>
      <c r="D775" s="59">
        <v>-0.66</v>
      </c>
      <c r="E775" s="25">
        <v>-0.60528000000000004</v>
      </c>
      <c r="F775" s="21">
        <v>0.24</v>
      </c>
      <c r="G775" s="21">
        <v>0.08</v>
      </c>
      <c r="H775" s="21">
        <v>0.56000000000000005</v>
      </c>
      <c r="I775" s="54">
        <v>30.13</v>
      </c>
      <c r="J775" s="60">
        <v>3928273</v>
      </c>
      <c r="K775" s="61">
        <f>IF(Tabela15115[[#This Row],[Fed Assets]]="",#N/A,((Tabela15115[[#This Row],[Fed Assets]]*1)/J763)-1)</f>
        <v>-0.10167495791109116</v>
      </c>
      <c r="L775" s="21">
        <v>7.7</v>
      </c>
      <c r="M775" s="21"/>
    </row>
    <row r="776" spans="1:13">
      <c r="A776" s="6">
        <v>43586</v>
      </c>
      <c r="B776" s="7">
        <v>2.4</v>
      </c>
      <c r="C776" s="7">
        <v>3.99</v>
      </c>
      <c r="D776" s="59">
        <v>-0.20569999999999999</v>
      </c>
      <c r="E776" s="25">
        <v>-0.56977999999999995</v>
      </c>
      <c r="F776" s="21">
        <v>0.19</v>
      </c>
      <c r="G776" s="21">
        <v>-0.21</v>
      </c>
      <c r="H776" s="21">
        <v>0.4</v>
      </c>
      <c r="I776" s="54">
        <v>28.34</v>
      </c>
      <c r="J776" s="60">
        <v>3851444</v>
      </c>
      <c r="K776" s="61">
        <f>IF(Tabela15115[[#This Row],[Fed Assets]]="",#N/A,((Tabela15115[[#This Row],[Fed Assets]]*1)/J764)-1)</f>
        <v>-0.11001107100858487</v>
      </c>
      <c r="L776" s="21">
        <v>7.3</v>
      </c>
      <c r="M776" s="21"/>
    </row>
    <row r="777" spans="1:13">
      <c r="A777" s="6">
        <v>43617</v>
      </c>
      <c r="B777" s="7">
        <v>2.4</v>
      </c>
      <c r="C777" s="7">
        <v>3.73</v>
      </c>
      <c r="D777" s="59">
        <v>-0.36880000000000002</v>
      </c>
      <c r="E777" s="25">
        <v>-0.56637000000000004</v>
      </c>
      <c r="F777" s="21">
        <v>0.25</v>
      </c>
      <c r="G777" s="21">
        <v>-0.12</v>
      </c>
      <c r="H777" s="21">
        <v>0.31</v>
      </c>
      <c r="I777" s="54">
        <v>29.28</v>
      </c>
      <c r="J777" s="60">
        <v>3826817</v>
      </c>
      <c r="K777" s="61">
        <f>IF(Tabela15115[[#This Row],[Fed Assets]]="",#N/A,((Tabela15115[[#This Row],[Fed Assets]]*1)/J765)-1)</f>
        <v>-0.11117756372037479</v>
      </c>
      <c r="L777" s="21">
        <v>7.1</v>
      </c>
      <c r="M777" s="21"/>
    </row>
    <row r="778" spans="1:13">
      <c r="A778" s="6">
        <v>43647</v>
      </c>
      <c r="B778" s="7">
        <v>2.4</v>
      </c>
      <c r="C778" s="7">
        <v>3.75</v>
      </c>
      <c r="D778" s="59">
        <v>-0.52439999999999998</v>
      </c>
      <c r="E778" s="25">
        <v>-0.57047999999999999</v>
      </c>
      <c r="F778" s="21">
        <v>0.13</v>
      </c>
      <c r="G778" s="21">
        <v>-0.06</v>
      </c>
      <c r="H778" s="21">
        <v>0.26</v>
      </c>
      <c r="I778" s="54">
        <v>29.99</v>
      </c>
      <c r="J778" s="60">
        <v>3779102</v>
      </c>
      <c r="K778" s="61">
        <f>IF(Tabela15115[[#This Row],[Fed Assets]]="",#N/A,((Tabela15115[[#This Row],[Fed Assets]]*1)/J766)-1)</f>
        <v>-0.11655357190028892</v>
      </c>
      <c r="L778" s="21">
        <v>6.8</v>
      </c>
      <c r="M778" s="21"/>
    </row>
    <row r="779" spans="1:13">
      <c r="A779" s="6">
        <v>43678</v>
      </c>
      <c r="B779" s="7">
        <v>2.13</v>
      </c>
      <c r="C779" s="7">
        <v>3.58</v>
      </c>
      <c r="D779" s="59">
        <v>-8.4099999999999994E-2</v>
      </c>
      <c r="E779" s="25">
        <v>-0.51844000000000001</v>
      </c>
      <c r="F779" s="21">
        <v>0</v>
      </c>
      <c r="G779" s="21">
        <v>-0.49</v>
      </c>
      <c r="H779" s="21">
        <v>-0.05</v>
      </c>
      <c r="I779" s="54">
        <v>28.71</v>
      </c>
      <c r="J779" s="60">
        <v>3759946</v>
      </c>
      <c r="K779" s="61">
        <f>IF(Tabela15115[[#This Row],[Fed Assets]]="",#N/A,((Tabela15115[[#This Row],[Fed Assets]]*1)/J767)-1)</f>
        <v>-0.10878818577482263</v>
      </c>
      <c r="L779" s="21">
        <v>7</v>
      </c>
      <c r="M779" s="21"/>
    </row>
    <row r="780" spans="1:13">
      <c r="A780" s="6">
        <v>43709</v>
      </c>
      <c r="B780" s="7">
        <v>1.9</v>
      </c>
      <c r="C780" s="7">
        <v>3.64</v>
      </c>
      <c r="D780" s="59">
        <v>7.2900000000000006E-2</v>
      </c>
      <c r="E780" s="25">
        <v>-0.49865999999999999</v>
      </c>
      <c r="F780" s="21">
        <v>0.05</v>
      </c>
      <c r="G780" s="21">
        <v>-0.2</v>
      </c>
      <c r="H780" s="21">
        <v>0.15</v>
      </c>
      <c r="I780" s="54">
        <v>29.23</v>
      </c>
      <c r="J780" s="60">
        <v>3857715</v>
      </c>
      <c r="K780" s="61">
        <f>IF(Tabela15115[[#This Row],[Fed Assets]]="",#N/A,((Tabela15115[[#This Row],[Fed Assets]]*1)/J768)-1)</f>
        <v>-7.9943065780821887E-2</v>
      </c>
      <c r="L780" s="21">
        <v>7.2</v>
      </c>
      <c r="M780" s="21"/>
    </row>
    <row r="781" spans="1:13">
      <c r="A781" s="6">
        <v>43739</v>
      </c>
      <c r="B781" s="7">
        <v>1.58</v>
      </c>
      <c r="C781" s="7">
        <v>3.78</v>
      </c>
      <c r="D781" s="59">
        <v>-0.1762</v>
      </c>
      <c r="E781" s="25">
        <v>-0.52703999999999995</v>
      </c>
      <c r="F781" s="21">
        <v>0.17</v>
      </c>
      <c r="G781" s="21">
        <v>0.15</v>
      </c>
      <c r="H781" s="21">
        <v>0.15</v>
      </c>
      <c r="I781" s="54">
        <v>28.84</v>
      </c>
      <c r="J781" s="60">
        <v>4019823</v>
      </c>
      <c r="K781" s="61">
        <f>IF(Tabela15115[[#This Row],[Fed Assets]]="",#N/A,((Tabela15115[[#This Row],[Fed Assets]]*1)/J769)-1)</f>
        <v>-2.8965167060371777E-2</v>
      </c>
      <c r="L781" s="21">
        <v>7.3</v>
      </c>
      <c r="M781" s="21"/>
    </row>
    <row r="782" spans="1:13">
      <c r="A782" s="6">
        <v>43770</v>
      </c>
      <c r="B782" s="7">
        <v>1.56</v>
      </c>
      <c r="C782" s="7">
        <v>3.68</v>
      </c>
      <c r="D782" s="59">
        <v>-0.23499999999999999</v>
      </c>
      <c r="E782" s="25">
        <v>-0.56089999999999995</v>
      </c>
      <c r="F782" s="21">
        <v>0.17</v>
      </c>
      <c r="G782" s="21">
        <v>0.19</v>
      </c>
      <c r="H782" s="21">
        <v>0.17</v>
      </c>
      <c r="I782" s="54">
        <v>29.84</v>
      </c>
      <c r="J782" s="60">
        <v>4052875</v>
      </c>
      <c r="K782" s="61">
        <f>IF(Tabela15115[[#This Row],[Fed Assets]]="",#N/A,((Tabela15115[[#This Row],[Fed Assets]]*1)/J770)-1)</f>
        <v>-1.0811120846828448E-2</v>
      </c>
      <c r="L782" s="21">
        <v>7.1</v>
      </c>
      <c r="M782" s="21"/>
    </row>
    <row r="783" spans="1:13">
      <c r="A783" s="6">
        <v>43800</v>
      </c>
      <c r="B783" s="7">
        <v>1.55</v>
      </c>
      <c r="C783" s="7">
        <v>3.74</v>
      </c>
      <c r="D783" s="59">
        <v>-0.22470000000000001</v>
      </c>
      <c r="E783" s="25">
        <v>-0.53493000000000002</v>
      </c>
      <c r="F783" s="21">
        <v>0.34</v>
      </c>
      <c r="G783" s="21">
        <v>0.37</v>
      </c>
      <c r="H783" s="21">
        <v>0.15</v>
      </c>
      <c r="I783" s="54">
        <v>30.97</v>
      </c>
      <c r="J783" s="60">
        <v>4165591</v>
      </c>
      <c r="K783" s="61">
        <f>IF(Tabela15115[[#This Row],[Fed Assets]]="",#N/A,((Tabela15115[[#This Row],[Fed Assets]]*1)/J771)-1)</f>
        <v>2.2071401862187923E-2</v>
      </c>
      <c r="L783" s="21">
        <v>6.4</v>
      </c>
      <c r="M783" s="21"/>
    </row>
    <row r="784" spans="1:13">
      <c r="A784" s="6">
        <v>43831</v>
      </c>
      <c r="B784" s="7">
        <v>1.59</v>
      </c>
      <c r="C784" s="7">
        <v>3.51</v>
      </c>
      <c r="D784" s="59">
        <v>-0.14990000000000001</v>
      </c>
      <c r="E784" s="25">
        <v>-0.62370999999999999</v>
      </c>
      <c r="F784" s="21">
        <v>0.18</v>
      </c>
      <c r="G784" s="21">
        <v>-0.04</v>
      </c>
      <c r="H784" s="21">
        <v>-0.14000000000000001</v>
      </c>
      <c r="I784" s="54">
        <v>30.84</v>
      </c>
      <c r="J784" s="60">
        <v>4151630</v>
      </c>
      <c r="K784" s="61">
        <f>IF(Tabela15115[[#This Row],[Fed Assets]]="",#N/A,((Tabela15115[[#This Row],[Fed Assets]]*1)/J772)-1)</f>
        <v>2.7713099905487537E-2</v>
      </c>
      <c r="L784" s="21">
        <v>7.2</v>
      </c>
      <c r="M784" s="21"/>
    </row>
    <row r="785" spans="1:13">
      <c r="A785" s="6">
        <v>43862</v>
      </c>
      <c r="B785" s="7">
        <v>1.58</v>
      </c>
      <c r="C785" s="7">
        <v>3.45</v>
      </c>
      <c r="D785" s="59">
        <v>0.63109999999999999</v>
      </c>
      <c r="E785" s="25">
        <v>-0.30754999999999999</v>
      </c>
      <c r="F785" s="21">
        <v>0.27</v>
      </c>
      <c r="G785" s="21">
        <v>-0.14000000000000001</v>
      </c>
      <c r="H785" s="21">
        <v>-0.28000000000000003</v>
      </c>
      <c r="I785" s="54">
        <v>28.05</v>
      </c>
      <c r="J785" s="60">
        <v>4158637</v>
      </c>
      <c r="K785" s="61">
        <f>IF(Tabela15115[[#This Row],[Fed Assets]]="",#N/A,((Tabela15115[[#This Row],[Fed Assets]]*1)/J773)-1)</f>
        <v>4.6305908282363806E-2</v>
      </c>
      <c r="L785" s="21">
        <v>7.7</v>
      </c>
      <c r="M785" s="21"/>
    </row>
    <row r="786" spans="1:13">
      <c r="A786" s="6">
        <v>43891</v>
      </c>
      <c r="B786" s="7">
        <v>0.08</v>
      </c>
      <c r="C786" s="7">
        <v>3.5</v>
      </c>
      <c r="D786" s="59">
        <v>5.2070999999999996</v>
      </c>
      <c r="E786" s="25">
        <v>0.36253000000000002</v>
      </c>
      <c r="F786" s="21">
        <v>0.47</v>
      </c>
      <c r="G786" s="21">
        <v>0.59</v>
      </c>
      <c r="H786" s="21">
        <v>-0.17</v>
      </c>
      <c r="I786" s="54">
        <v>24.4</v>
      </c>
      <c r="J786" s="60">
        <v>5254278</v>
      </c>
      <c r="K786" s="61">
        <f>IF(Tabela15115[[#This Row],[Fed Assets]]="",#N/A,((Tabela15115[[#This Row],[Fed Assets]]*1)/J774)-1)</f>
        <v>0.32830807431558728</v>
      </c>
      <c r="L786" s="21">
        <v>12.5</v>
      </c>
      <c r="M786" s="21"/>
    </row>
    <row r="787" spans="1:13">
      <c r="A787" s="6">
        <v>43922</v>
      </c>
      <c r="B787" s="7">
        <v>0.05</v>
      </c>
      <c r="C787" s="7">
        <v>3.23</v>
      </c>
      <c r="D787" s="59">
        <v>2.3170999999999999</v>
      </c>
      <c r="E787" s="25">
        <v>0.23763999999999999</v>
      </c>
      <c r="F787" s="21">
        <v>0.44</v>
      </c>
      <c r="G787" s="21">
        <v>0.55000000000000004</v>
      </c>
      <c r="H787" s="21">
        <v>-0.43</v>
      </c>
      <c r="I787" s="54">
        <v>27.27</v>
      </c>
      <c r="J787" s="60">
        <v>6655929</v>
      </c>
      <c r="K787" s="61">
        <f>IF(Tabela15115[[#This Row],[Fed Assets]]="",#N/A,((Tabela15115[[#This Row],[Fed Assets]]*1)/J775)-1)</f>
        <v>0.6943651828678914</v>
      </c>
      <c r="L787" s="21">
        <v>32</v>
      </c>
      <c r="M787" s="21"/>
    </row>
    <row r="788" spans="1:13">
      <c r="A788" s="6">
        <v>43952</v>
      </c>
      <c r="B788" s="7">
        <v>0.05</v>
      </c>
      <c r="C788" s="7">
        <v>3.15</v>
      </c>
      <c r="D788" s="59">
        <v>0.1537</v>
      </c>
      <c r="E788" s="25">
        <v>-0.24487</v>
      </c>
      <c r="F788" s="21">
        <v>0.49</v>
      </c>
      <c r="G788" s="21">
        <v>0.51</v>
      </c>
      <c r="H788" s="21">
        <v>-0.5</v>
      </c>
      <c r="I788" s="54">
        <v>27.33</v>
      </c>
      <c r="J788" s="60">
        <v>7097316</v>
      </c>
      <c r="K788" s="61">
        <f>IF(Tabela15115[[#This Row],[Fed Assets]]="",#N/A,((Tabela15115[[#This Row],[Fed Assets]]*1)/J776)-1)</f>
        <v>0.84276754380954255</v>
      </c>
      <c r="L788" s="21">
        <v>22.7</v>
      </c>
      <c r="M788" s="21"/>
    </row>
    <row r="789" spans="1:13">
      <c r="A789" s="6">
        <v>43983</v>
      </c>
      <c r="B789" s="7">
        <v>0.08</v>
      </c>
      <c r="C789" s="7">
        <v>3.13</v>
      </c>
      <c r="D789" s="59">
        <v>0.44740000000000002</v>
      </c>
      <c r="E789" s="25">
        <v>-0.36758000000000002</v>
      </c>
      <c r="F789" s="21">
        <v>0.5</v>
      </c>
      <c r="G789" s="21">
        <v>0.5</v>
      </c>
      <c r="H789" s="21">
        <v>-0.68</v>
      </c>
      <c r="I789" s="54">
        <v>29.07</v>
      </c>
      <c r="J789" s="60">
        <v>7082302</v>
      </c>
      <c r="K789" s="61">
        <f>IF(Tabela15115[[#This Row],[Fed Assets]]="",#N/A,((Tabela15115[[#This Row],[Fed Assets]]*1)/J777)-1)</f>
        <v>0.85070307777978416</v>
      </c>
      <c r="L789" s="21">
        <v>18.399999999999999</v>
      </c>
      <c r="M789" s="21"/>
    </row>
    <row r="790" spans="1:13">
      <c r="A790" s="6">
        <v>44013</v>
      </c>
      <c r="B790" s="7">
        <v>0.1</v>
      </c>
      <c r="C790" s="7">
        <v>2.99</v>
      </c>
      <c r="D790" s="59">
        <v>-0.11409999999999999</v>
      </c>
      <c r="E790" s="25">
        <v>-0.47887999999999997</v>
      </c>
      <c r="F790" s="21">
        <v>0.44</v>
      </c>
      <c r="G790" s="21">
        <v>0.46</v>
      </c>
      <c r="H790" s="21">
        <v>-1</v>
      </c>
      <c r="I790" s="54">
        <v>30.49</v>
      </c>
      <c r="J790" s="60">
        <v>6949032</v>
      </c>
      <c r="K790" s="61">
        <f>IF(Tabela15115[[#This Row],[Fed Assets]]="",#N/A,((Tabela15115[[#This Row],[Fed Assets]]*1)/J778)-1)</f>
        <v>0.83880509179164786</v>
      </c>
      <c r="L790" s="21">
        <v>17.899999999999999</v>
      </c>
      <c r="M790" s="21"/>
    </row>
    <row r="791" spans="1:13">
      <c r="A791" s="6">
        <v>44044</v>
      </c>
      <c r="B791" s="7">
        <v>0.09</v>
      </c>
      <c r="C791" s="7">
        <v>2.91</v>
      </c>
      <c r="D791" s="59">
        <v>-0.311</v>
      </c>
      <c r="E791" s="25">
        <v>-0.51083000000000001</v>
      </c>
      <c r="F791" s="21">
        <v>0.57999999999999996</v>
      </c>
      <c r="G791" s="21">
        <v>0.61</v>
      </c>
      <c r="H791" s="21">
        <v>-1.08</v>
      </c>
      <c r="I791" s="54">
        <v>32.21</v>
      </c>
      <c r="J791" s="60">
        <v>6990418</v>
      </c>
      <c r="K791" s="61">
        <f>IF(Tabela15115[[#This Row],[Fed Assets]]="",#N/A,((Tabela15115[[#This Row],[Fed Assets]]*1)/J779)-1)</f>
        <v>0.85918042439971209</v>
      </c>
      <c r="L791" s="21">
        <v>14</v>
      </c>
      <c r="M791" s="21"/>
    </row>
    <row r="792" spans="1:13">
      <c r="A792" s="6">
        <v>44075</v>
      </c>
      <c r="B792" s="7">
        <v>0.09</v>
      </c>
      <c r="C792" s="7">
        <v>2.9</v>
      </c>
      <c r="D792" s="59">
        <v>0.21510000000000001</v>
      </c>
      <c r="E792" s="25">
        <v>-0.48677999999999999</v>
      </c>
      <c r="F792" s="21">
        <v>0.56000000000000005</v>
      </c>
      <c r="G792" s="21">
        <v>0.59</v>
      </c>
      <c r="H792" s="21">
        <v>-0.94</v>
      </c>
      <c r="I792" s="54">
        <v>30.89</v>
      </c>
      <c r="J792" s="60">
        <v>7056129</v>
      </c>
      <c r="K792" s="61">
        <f>IF(Tabela15115[[#This Row],[Fed Assets]]="",#N/A,((Tabela15115[[#This Row],[Fed Assets]]*1)/J780)-1)</f>
        <v>0.82909546195092165</v>
      </c>
      <c r="L792" s="21">
        <v>13.2</v>
      </c>
      <c r="M792" s="21"/>
    </row>
    <row r="793" spans="1:13">
      <c r="A793" s="6">
        <v>44105</v>
      </c>
      <c r="B793" s="7">
        <v>0.09</v>
      </c>
      <c r="C793" s="7">
        <v>2.81</v>
      </c>
      <c r="D793" s="59">
        <v>0.3569</v>
      </c>
      <c r="E793" s="25">
        <v>-0.49298999999999998</v>
      </c>
      <c r="F793" s="21">
        <v>0.74</v>
      </c>
      <c r="G793" s="21">
        <v>0.79</v>
      </c>
      <c r="H793" s="21">
        <v>-0.82</v>
      </c>
      <c r="I793" s="54">
        <v>31.28</v>
      </c>
      <c r="J793" s="60">
        <v>7146306</v>
      </c>
      <c r="K793" s="61">
        <f>IF(Tabela15115[[#This Row],[Fed Assets]]="",#N/A,((Tabela15115[[#This Row],[Fed Assets]]*1)/J781)-1)</f>
        <v>0.77776633448786181</v>
      </c>
      <c r="L793" s="21">
        <v>12.8</v>
      </c>
      <c r="M793" s="21"/>
    </row>
    <row r="794" spans="1:13">
      <c r="A794" s="6">
        <v>44136</v>
      </c>
      <c r="B794" s="7">
        <v>0.09</v>
      </c>
      <c r="C794" s="7">
        <v>2.72</v>
      </c>
      <c r="D794" s="59">
        <v>-0.41410000000000002</v>
      </c>
      <c r="E794" s="25">
        <v>-0.55925000000000002</v>
      </c>
      <c r="F794" s="21">
        <v>0.68</v>
      </c>
      <c r="G794" s="21">
        <v>0.76</v>
      </c>
      <c r="H794" s="21">
        <v>-0.93</v>
      </c>
      <c r="I794" s="54">
        <v>33.08</v>
      </c>
      <c r="J794" s="60">
        <v>7216480</v>
      </c>
      <c r="K794" s="61">
        <f>IF(Tabela15115[[#This Row],[Fed Assets]]="",#N/A,((Tabela15115[[#This Row],[Fed Assets]]*1)/J782)-1)</f>
        <v>0.78058291953243075</v>
      </c>
      <c r="L794" s="21">
        <v>12.1</v>
      </c>
      <c r="M794" s="21"/>
    </row>
    <row r="795" spans="1:13">
      <c r="A795" s="6">
        <v>44166</v>
      </c>
      <c r="B795" s="7">
        <v>0.09</v>
      </c>
      <c r="C795" s="7">
        <v>2.67</v>
      </c>
      <c r="D795" s="59">
        <v>-0.45219999999999999</v>
      </c>
      <c r="E795" s="25">
        <v>-0.59728999999999999</v>
      </c>
      <c r="F795" s="21">
        <v>0.8</v>
      </c>
      <c r="G795" s="21">
        <v>0.84</v>
      </c>
      <c r="H795" s="21">
        <v>-1.06</v>
      </c>
      <c r="I795" s="54">
        <v>34.19</v>
      </c>
      <c r="J795" s="60">
        <v>7363351</v>
      </c>
      <c r="K795" s="61">
        <f>IF(Tabela15115[[#This Row],[Fed Assets]]="",#N/A,((Tabela15115[[#This Row],[Fed Assets]]*1)/J783)-1)</f>
        <v>0.76766057925514053</v>
      </c>
      <c r="L795" s="21">
        <v>12</v>
      </c>
      <c r="M795" s="21"/>
    </row>
    <row r="796" spans="1:13">
      <c r="A796" s="6">
        <v>44197</v>
      </c>
      <c r="B796" s="7">
        <v>7.0000000000000007E-2</v>
      </c>
      <c r="C796" s="7">
        <v>2.73</v>
      </c>
      <c r="D796" s="59">
        <v>-0.30120000000000002</v>
      </c>
      <c r="E796" s="25">
        <v>-0.61843000000000004</v>
      </c>
      <c r="F796" s="21">
        <v>1</v>
      </c>
      <c r="G796" s="21">
        <v>1.05</v>
      </c>
      <c r="H796" s="21">
        <v>-1.02</v>
      </c>
      <c r="I796" s="54">
        <v>34.51</v>
      </c>
      <c r="J796" s="60">
        <v>7404926</v>
      </c>
      <c r="K796" s="61">
        <f>IF(Tabela15115[[#This Row],[Fed Assets]]="",#N/A,((Tabela15115[[#This Row],[Fed Assets]]*1)/J784)-1)</f>
        <v>0.78361896411770804</v>
      </c>
      <c r="L796" s="21">
        <v>19.3</v>
      </c>
      <c r="M796" s="21"/>
    </row>
    <row r="797" spans="1:13">
      <c r="A797" s="6">
        <v>44228</v>
      </c>
      <c r="B797" s="7">
        <v>7.0000000000000007E-2</v>
      </c>
      <c r="C797" s="7">
        <v>2.97</v>
      </c>
      <c r="D797" s="59">
        <v>-0.51459999999999995</v>
      </c>
      <c r="E797" s="25">
        <v>-0.62617</v>
      </c>
      <c r="F797" s="21">
        <v>1.3</v>
      </c>
      <c r="G797" s="21">
        <v>1.4</v>
      </c>
      <c r="H797" s="21">
        <v>-0.71</v>
      </c>
      <c r="I797" s="54">
        <v>35.1</v>
      </c>
      <c r="J797" s="60">
        <v>7590111</v>
      </c>
      <c r="K797" s="61">
        <f>IF(Tabela15115[[#This Row],[Fed Assets]]="",#N/A,((Tabela15115[[#This Row],[Fed Assets]]*1)/J785)-1)</f>
        <v>0.82514391133441078</v>
      </c>
      <c r="L797" s="21">
        <v>12.8</v>
      </c>
      <c r="M797" s="21"/>
    </row>
    <row r="798" spans="1:13">
      <c r="A798" s="6">
        <v>44256</v>
      </c>
      <c r="B798" s="7">
        <v>0.06</v>
      </c>
      <c r="C798" s="7">
        <v>3.17</v>
      </c>
      <c r="D798" s="59">
        <v>-0.68420000000000003</v>
      </c>
      <c r="E798" s="25">
        <v>-0.64648000000000005</v>
      </c>
      <c r="F798" s="21">
        <v>1.58</v>
      </c>
      <c r="G798" s="21">
        <v>1.71</v>
      </c>
      <c r="H798" s="21">
        <v>-0.63</v>
      </c>
      <c r="I798" s="54">
        <v>35.74</v>
      </c>
      <c r="J798" s="60">
        <v>7688988</v>
      </c>
      <c r="K798" s="61">
        <f>IF(Tabela15115[[#This Row],[Fed Assets]]="",#N/A,((Tabela15115[[#This Row],[Fed Assets]]*1)/J786)-1)</f>
        <v>0.4633766999005382</v>
      </c>
      <c r="L798" s="21">
        <v>26.1</v>
      </c>
      <c r="M798" s="21"/>
    </row>
    <row r="799" spans="1:13">
      <c r="A799" s="6">
        <v>44287</v>
      </c>
      <c r="B799" s="7">
        <v>0.05</v>
      </c>
      <c r="C799" s="7">
        <v>2.98</v>
      </c>
      <c r="D799" s="59">
        <v>-0.86470000000000002</v>
      </c>
      <c r="E799" s="25">
        <v>-0.68291999999999997</v>
      </c>
      <c r="F799" s="21">
        <v>1.49</v>
      </c>
      <c r="G799" s="21">
        <v>1.64</v>
      </c>
      <c r="H799" s="21">
        <v>-0.76</v>
      </c>
      <c r="I799" s="54">
        <v>37.56</v>
      </c>
      <c r="J799" s="60">
        <v>7780962</v>
      </c>
      <c r="K799" s="61">
        <f>IF(Tabela15115[[#This Row],[Fed Assets]]="",#N/A,((Tabela15115[[#This Row],[Fed Assets]]*1)/J787)-1)</f>
        <v>0.1690271936494514</v>
      </c>
      <c r="L799" s="21">
        <v>12.3</v>
      </c>
      <c r="M799" s="21"/>
    </row>
    <row r="800" spans="1:13">
      <c r="A800" s="6">
        <v>44317</v>
      </c>
      <c r="B800" s="7">
        <v>0.05</v>
      </c>
      <c r="C800" s="7">
        <v>2.95</v>
      </c>
      <c r="D800" s="59">
        <v>-0.85909999999999997</v>
      </c>
      <c r="E800" s="25">
        <v>-0.69952999999999999</v>
      </c>
      <c r="F800" s="21">
        <v>1.44</v>
      </c>
      <c r="G800" s="21">
        <v>1.57</v>
      </c>
      <c r="H800" s="21">
        <v>-0.84</v>
      </c>
      <c r="I800" s="54">
        <v>36.549999999999997</v>
      </c>
      <c r="J800" s="60">
        <v>7903541</v>
      </c>
      <c r="K800" s="61">
        <f>IF(Tabela15115[[#This Row],[Fed Assets]]="",#N/A,((Tabela15115[[#This Row],[Fed Assets]]*1)/J788)-1)</f>
        <v>0.11359575929830368</v>
      </c>
      <c r="L800" s="21">
        <v>9.9</v>
      </c>
      <c r="M800" s="21"/>
    </row>
    <row r="801" spans="1:13">
      <c r="A801" s="6">
        <v>44348</v>
      </c>
      <c r="B801" s="7">
        <v>0.08</v>
      </c>
      <c r="C801" s="7">
        <v>3.02</v>
      </c>
      <c r="D801" s="59">
        <v>-0.86040000000000005</v>
      </c>
      <c r="E801" s="25">
        <v>-0.69279000000000002</v>
      </c>
      <c r="F801" s="21">
        <v>1.2</v>
      </c>
      <c r="G801" s="21">
        <v>1.4</v>
      </c>
      <c r="H801" s="21">
        <v>-0.87</v>
      </c>
      <c r="I801" s="54">
        <v>38.11</v>
      </c>
      <c r="J801" s="60">
        <v>8078544</v>
      </c>
      <c r="K801" s="61">
        <f>IF(Tabela15115[[#This Row],[Fed Assets]]="",#N/A,((Tabela15115[[#This Row],[Fed Assets]]*1)/J789)-1)</f>
        <v>0.14066641044112482</v>
      </c>
      <c r="L801" s="21">
        <v>8.6999999999999993</v>
      </c>
      <c r="M801" s="21"/>
    </row>
    <row r="802" spans="1:13">
      <c r="A802" s="6">
        <v>44378</v>
      </c>
      <c r="B802" s="7">
        <v>7.0000000000000007E-2</v>
      </c>
      <c r="C802" s="7">
        <v>2.8</v>
      </c>
      <c r="D802" s="59">
        <v>-0.81689999999999996</v>
      </c>
      <c r="E802" s="25">
        <v>-0.65185999999999999</v>
      </c>
      <c r="F802" s="21">
        <v>1.05</v>
      </c>
      <c r="G802" s="21">
        <v>1.18</v>
      </c>
      <c r="H802" s="21">
        <v>-1.1599999999999999</v>
      </c>
      <c r="I802" s="54">
        <v>37.44</v>
      </c>
      <c r="J802" s="60">
        <v>8221473</v>
      </c>
      <c r="K802" s="61">
        <f>IF(Tabela15115[[#This Row],[Fed Assets]]="",#N/A,((Tabela15115[[#This Row],[Fed Assets]]*1)/J790)-1)</f>
        <v>0.18311053971258162</v>
      </c>
      <c r="L802" s="21">
        <v>9.4</v>
      </c>
      <c r="M802" s="21"/>
    </row>
    <row r="803" spans="1:13">
      <c r="A803" s="6">
        <v>44409</v>
      </c>
      <c r="B803" s="7">
        <v>0.06</v>
      </c>
      <c r="C803" s="7">
        <v>2.87</v>
      </c>
      <c r="D803" s="59">
        <v>-0.80549999999999999</v>
      </c>
      <c r="E803" s="25">
        <v>-0.64124999999999999</v>
      </c>
      <c r="F803" s="21">
        <v>1.1000000000000001</v>
      </c>
      <c r="G803" s="21">
        <v>1.26</v>
      </c>
      <c r="H803" s="21">
        <v>-1.03</v>
      </c>
      <c r="I803" s="54">
        <v>39.06</v>
      </c>
      <c r="J803" s="60">
        <v>8332743</v>
      </c>
      <c r="K803" s="61">
        <f>IF(Tabela15115[[#This Row],[Fed Assets]]="",#N/A,((Tabela15115[[#This Row],[Fed Assets]]*1)/J791)-1)</f>
        <v>0.19202356711715951</v>
      </c>
      <c r="L803" s="21">
        <v>8.6999999999999993</v>
      </c>
      <c r="M803" s="21"/>
    </row>
    <row r="804" spans="1:13">
      <c r="A804" s="6">
        <v>44440</v>
      </c>
      <c r="B804" s="7">
        <v>0.06</v>
      </c>
      <c r="C804" s="7">
        <v>3.01</v>
      </c>
      <c r="D804" s="59">
        <v>-0.5867</v>
      </c>
      <c r="E804" s="25">
        <v>-0.64822999999999997</v>
      </c>
      <c r="F804" s="21">
        <v>1.24</v>
      </c>
      <c r="G804" s="21">
        <v>1.48</v>
      </c>
      <c r="H804" s="21">
        <v>-0.85</v>
      </c>
      <c r="I804" s="54">
        <v>37.200000000000003</v>
      </c>
      <c r="J804" s="60">
        <v>8447981</v>
      </c>
      <c r="K804" s="61">
        <f>IF(Tabela15115[[#This Row],[Fed Assets]]="",#N/A,((Tabela15115[[#This Row],[Fed Assets]]*1)/J792)-1)</f>
        <v>0.19725433024254513</v>
      </c>
      <c r="L804" s="21">
        <v>7.2</v>
      </c>
      <c r="M804" s="21"/>
    </row>
    <row r="805" spans="1:13">
      <c r="A805" s="6">
        <v>44470</v>
      </c>
      <c r="B805" s="7">
        <v>7.0000000000000007E-2</v>
      </c>
      <c r="C805" s="7">
        <v>3.14</v>
      </c>
      <c r="D805" s="59">
        <v>-0.83809999999999996</v>
      </c>
      <c r="E805" s="25">
        <v>-0.62546000000000002</v>
      </c>
      <c r="F805" s="21">
        <v>1.07</v>
      </c>
      <c r="G805" s="21">
        <v>1.5</v>
      </c>
      <c r="H805" s="21">
        <v>-0.96</v>
      </c>
      <c r="I805" s="54">
        <v>37.25</v>
      </c>
      <c r="J805" s="60">
        <v>8556181</v>
      </c>
      <c r="K805" s="61">
        <f>IF(Tabela15115[[#This Row],[Fed Assets]]="",#N/A,((Tabela15115[[#This Row],[Fed Assets]]*1)/J793)-1)</f>
        <v>0.19728724182815571</v>
      </c>
      <c r="L805" s="21">
        <v>6.6</v>
      </c>
      <c r="M805" s="21"/>
    </row>
    <row r="806" spans="1:13">
      <c r="A806" s="6">
        <v>44501</v>
      </c>
      <c r="B806" s="7">
        <v>7.0000000000000007E-2</v>
      </c>
      <c r="C806" s="7">
        <v>3.1</v>
      </c>
      <c r="D806" s="59">
        <v>-0.53010000000000002</v>
      </c>
      <c r="E806" s="25">
        <v>-0.54564999999999997</v>
      </c>
      <c r="F806" s="21">
        <v>0.91</v>
      </c>
      <c r="G806" s="21">
        <v>1.38</v>
      </c>
      <c r="H806" s="21">
        <v>-1.07</v>
      </c>
      <c r="I806" s="54">
        <v>38.58</v>
      </c>
      <c r="J806" s="60">
        <v>8681771</v>
      </c>
      <c r="K806" s="61">
        <f>IF(Tabela15115[[#This Row],[Fed Assets]]="",#N/A,((Tabela15115[[#This Row],[Fed Assets]]*1)/J794)-1)</f>
        <v>0.20304788484136305</v>
      </c>
      <c r="L806" s="21">
        <v>6.2</v>
      </c>
      <c r="M806" s="21"/>
    </row>
    <row r="807" spans="1:13">
      <c r="A807" s="6">
        <v>44531</v>
      </c>
      <c r="B807" s="7">
        <v>7.0000000000000007E-2</v>
      </c>
      <c r="C807" s="7">
        <v>3.11</v>
      </c>
      <c r="D807" s="59">
        <v>-0.81369999999999998</v>
      </c>
      <c r="E807" s="25">
        <v>-0.54873000000000005</v>
      </c>
      <c r="F807" s="21">
        <v>0.79</v>
      </c>
      <c r="G807" s="21">
        <v>1.46</v>
      </c>
      <c r="H807" s="21">
        <v>-1.04</v>
      </c>
      <c r="I807" s="54">
        <v>38.299999999999997</v>
      </c>
      <c r="J807" s="60">
        <v>8757460</v>
      </c>
      <c r="K807" s="61">
        <f>IF(Tabela15115[[#This Row],[Fed Assets]]="",#N/A,((Tabela15115[[#This Row],[Fed Assets]]*1)/J795)-1)</f>
        <v>0.18933078159658567</v>
      </c>
      <c r="L807" s="21">
        <v>6.1</v>
      </c>
      <c r="M807" s="21"/>
    </row>
    <row r="808" spans="1:13">
      <c r="A808" s="6">
        <v>44562</v>
      </c>
      <c r="B808" s="7">
        <v>0.08</v>
      </c>
      <c r="C808" s="7">
        <v>3.55</v>
      </c>
      <c r="D808" s="59">
        <v>-0.26550000000000001</v>
      </c>
      <c r="E808" s="25">
        <v>-0.53013999999999994</v>
      </c>
      <c r="F808" s="21">
        <v>0.61</v>
      </c>
      <c r="G808" s="21">
        <v>1.57</v>
      </c>
      <c r="H808" s="21">
        <v>-0.65</v>
      </c>
      <c r="I808" s="54">
        <v>36.94</v>
      </c>
      <c r="J808" s="60">
        <v>8860485</v>
      </c>
      <c r="K808" s="61">
        <f>IF(Tabela15115[[#This Row],[Fed Assets]]="",#N/A,((Tabela15115[[#This Row],[Fed Assets]]*1)/J796)-1)</f>
        <v>0.19656631274910774</v>
      </c>
      <c r="L808" s="21">
        <v>4.0999999999999996</v>
      </c>
      <c r="M808" s="21"/>
    </row>
    <row r="809" spans="1:13">
      <c r="A809" s="6">
        <v>44593</v>
      </c>
      <c r="B809" s="7">
        <v>0.08</v>
      </c>
      <c r="C809" s="7">
        <v>3.89</v>
      </c>
      <c r="D809" s="59">
        <v>-0.06</v>
      </c>
      <c r="E809" s="25">
        <v>-0.41704999999999998</v>
      </c>
      <c r="F809" s="21">
        <v>0.39</v>
      </c>
      <c r="G809" s="21">
        <v>1.48</v>
      </c>
      <c r="H809" s="21">
        <v>-0.79</v>
      </c>
      <c r="I809" s="54">
        <v>35.29</v>
      </c>
      <c r="J809" s="60">
        <v>8928129</v>
      </c>
      <c r="K809" s="61">
        <f>IF(Tabela15115[[#This Row],[Fed Assets]]="",#N/A,((Tabela15115[[#This Row],[Fed Assets]]*1)/J797)-1)</f>
        <v>0.17628437844980138</v>
      </c>
      <c r="L809" s="21">
        <v>4.0999999999999996</v>
      </c>
      <c r="M809" s="21"/>
    </row>
    <row r="810" spans="1:13">
      <c r="A810" s="6">
        <v>44621</v>
      </c>
      <c r="B810" s="7">
        <v>0.33</v>
      </c>
      <c r="C810" s="7">
        <v>4.67</v>
      </c>
      <c r="D810" s="59">
        <v>-0.69010000000000005</v>
      </c>
      <c r="E810" s="25">
        <v>-0.35619000000000001</v>
      </c>
      <c r="F810" s="21">
        <v>0.04</v>
      </c>
      <c r="G810" s="21">
        <v>1.8</v>
      </c>
      <c r="H810" s="21">
        <v>-0.52</v>
      </c>
      <c r="I810" s="54">
        <v>34.270000000000003</v>
      </c>
      <c r="J810" s="60">
        <v>8937142</v>
      </c>
      <c r="K810" s="61">
        <f>IF(Tabela15115[[#This Row],[Fed Assets]]="",#N/A,((Tabela15115[[#This Row],[Fed Assets]]*1)/J798)-1)</f>
        <v>0.16233007516723919</v>
      </c>
      <c r="L810" s="21">
        <v>3.4</v>
      </c>
      <c r="M810" s="21"/>
    </row>
    <row r="811" spans="1:13">
      <c r="A811" s="6">
        <v>44652</v>
      </c>
      <c r="B811" s="7">
        <v>0.33</v>
      </c>
      <c r="C811" s="7">
        <v>5.0999999999999996</v>
      </c>
      <c r="D811" s="59">
        <v>0.1129</v>
      </c>
      <c r="E811" s="25">
        <v>-0.31023000000000001</v>
      </c>
      <c r="F811" s="21">
        <v>0.19</v>
      </c>
      <c r="G811" s="21">
        <v>2.04</v>
      </c>
      <c r="H811" s="21">
        <v>0.01</v>
      </c>
      <c r="I811" s="54">
        <v>33.89</v>
      </c>
      <c r="J811" s="60">
        <v>8939199</v>
      </c>
      <c r="K811" s="61">
        <f>IF(Tabela15115[[#This Row],[Fed Assets]]="",#N/A,((Tabela15115[[#This Row],[Fed Assets]]*1)/J799)-1)</f>
        <v>0.14885524437723774</v>
      </c>
      <c r="L811" s="21">
        <v>3.1</v>
      </c>
      <c r="M811" s="21"/>
    </row>
    <row r="812" spans="1:13">
      <c r="A812" s="6">
        <v>44682</v>
      </c>
      <c r="B812" s="7">
        <v>0.83</v>
      </c>
      <c r="C812" s="7">
        <v>5.0999999999999996</v>
      </c>
      <c r="D812" s="59">
        <v>0.29270000000000002</v>
      </c>
      <c r="E812" s="25">
        <v>-0.23894000000000001</v>
      </c>
      <c r="F812" s="21">
        <v>0.32</v>
      </c>
      <c r="G812" s="21">
        <v>1.69</v>
      </c>
      <c r="H812" s="21">
        <v>0.21</v>
      </c>
      <c r="I812" s="54">
        <v>30.67</v>
      </c>
      <c r="J812" s="60">
        <v>8914281</v>
      </c>
      <c r="K812" s="61">
        <f>IF(Tabela15115[[#This Row],[Fed Assets]]="",#N/A,((Tabela15115[[#This Row],[Fed Assets]]*1)/J800)-1)</f>
        <v>0.1278844507797201</v>
      </c>
      <c r="L812" s="21">
        <v>3.1</v>
      </c>
      <c r="M812" s="21"/>
    </row>
    <row r="813" spans="1:13">
      <c r="A813" s="6">
        <v>44713</v>
      </c>
      <c r="B813" s="7">
        <v>1.58</v>
      </c>
      <c r="C813" s="7">
        <v>5.7</v>
      </c>
      <c r="D813" s="59">
        <v>0.29299999999999998</v>
      </c>
      <c r="E813" s="25">
        <v>-0.15595999999999999</v>
      </c>
      <c r="F813" s="21">
        <v>0.06</v>
      </c>
      <c r="G813" s="21">
        <v>1.26</v>
      </c>
      <c r="H813" s="21">
        <v>0.65</v>
      </c>
      <c r="I813" s="54">
        <v>29.05</v>
      </c>
      <c r="J813" s="60">
        <v>8913553</v>
      </c>
      <c r="K813" s="61">
        <f>IF(Tabela15115[[#This Row],[Fed Assets]]="",#N/A,((Tabela15115[[#This Row],[Fed Assets]]*1)/J801)-1)</f>
        <v>0.10336132352562544</v>
      </c>
      <c r="L813" s="21">
        <v>2.7</v>
      </c>
      <c r="M813" s="21"/>
    </row>
    <row r="814" spans="1:13">
      <c r="A814" s="6">
        <v>44743</v>
      </c>
      <c r="B814" s="7">
        <v>2.3199999999999998</v>
      </c>
      <c r="C814" s="7">
        <v>5.3</v>
      </c>
      <c r="D814" s="59">
        <v>-0.21179999999999999</v>
      </c>
      <c r="E814" s="25">
        <v>-0.22749</v>
      </c>
      <c r="F814" s="21">
        <v>-0.22</v>
      </c>
      <c r="G814" s="21">
        <v>0.26</v>
      </c>
      <c r="H814" s="21">
        <v>0.14000000000000001</v>
      </c>
      <c r="I814" s="54">
        <v>29</v>
      </c>
      <c r="J814" s="60">
        <v>8890004</v>
      </c>
      <c r="K814" s="61">
        <f>IF(Tabela15115[[#This Row],[Fed Assets]]="",#N/A,((Tabela15115[[#This Row],[Fed Assets]]*1)/J802)-1)</f>
        <v>8.1315233900299821E-2</v>
      </c>
      <c r="L814" s="21">
        <v>3.5</v>
      </c>
      <c r="M814" s="21"/>
    </row>
    <row r="815" spans="1:13">
      <c r="A815" s="6">
        <v>44774</v>
      </c>
      <c r="B815" s="7">
        <v>2.33</v>
      </c>
      <c r="C815" s="7">
        <v>5.55</v>
      </c>
      <c r="D815" s="59">
        <v>-0.31669999999999998</v>
      </c>
      <c r="E815" s="25">
        <v>-0.23884</v>
      </c>
      <c r="F815" s="21">
        <v>-0.3</v>
      </c>
      <c r="G815" s="21">
        <v>0.19</v>
      </c>
      <c r="H815" s="21">
        <v>0.67</v>
      </c>
      <c r="I815" s="54">
        <v>30.7</v>
      </c>
      <c r="J815" s="60">
        <v>8826093</v>
      </c>
      <c r="K815" s="61">
        <f>IF(Tabela15115[[#This Row],[Fed Assets]]="",#N/A,((Tabela15115[[#This Row],[Fed Assets]]*1)/J803)-1)</f>
        <v>5.9206194166794734E-2</v>
      </c>
      <c r="L815" s="21">
        <v>3.2</v>
      </c>
      <c r="M815" s="21"/>
    </row>
    <row r="816" spans="1:13">
      <c r="A816" s="6">
        <v>44805</v>
      </c>
      <c r="B816" s="7">
        <v>3.08</v>
      </c>
      <c r="C816" s="7">
        <v>6.7</v>
      </c>
      <c r="D816" s="59">
        <v>0.38919999999999999</v>
      </c>
      <c r="E816" s="25">
        <v>-0.10274</v>
      </c>
      <c r="F816" s="21">
        <v>-0.39</v>
      </c>
      <c r="G816" s="21">
        <v>0.5</v>
      </c>
      <c r="H816" s="21">
        <v>1.68</v>
      </c>
      <c r="I816" s="54">
        <v>28.23</v>
      </c>
      <c r="J816" s="60">
        <v>8795567</v>
      </c>
      <c r="K816" s="61">
        <f>IF(Tabela15115[[#This Row],[Fed Assets]]="",#N/A,((Tabela15115[[#This Row],[Fed Assets]]*1)/J804)-1)</f>
        <v>4.1144268672005824E-2</v>
      </c>
      <c r="L816" s="21">
        <v>3</v>
      </c>
      <c r="M816" s="21"/>
    </row>
    <row r="817" spans="1:13">
      <c r="A817" s="6">
        <v>44835</v>
      </c>
      <c r="B817" s="7">
        <v>3.08</v>
      </c>
      <c r="C817" s="7">
        <v>7.08</v>
      </c>
      <c r="D817" s="59">
        <v>-0.34389999999999998</v>
      </c>
      <c r="E817" s="25">
        <v>-0.14063000000000001</v>
      </c>
      <c r="F817" s="21">
        <v>-0.41</v>
      </c>
      <c r="G817" s="21">
        <v>-0.12</v>
      </c>
      <c r="H817" s="21">
        <v>1.58</v>
      </c>
      <c r="I817" s="54">
        <v>27.08</v>
      </c>
      <c r="J817" s="60">
        <v>8723090</v>
      </c>
      <c r="K817" s="61">
        <f>IF(Tabela15115[[#This Row],[Fed Assets]]="",#N/A,((Tabela15115[[#This Row],[Fed Assets]]*1)/J805)-1)</f>
        <v>1.9507418087578943E-2</v>
      </c>
      <c r="L817" s="21">
        <v>3</v>
      </c>
      <c r="M817" s="21"/>
    </row>
    <row r="818" spans="1:13">
      <c r="A818" s="6">
        <v>44866</v>
      </c>
      <c r="B818" s="7">
        <v>3.83</v>
      </c>
      <c r="C818" s="7">
        <v>6.58</v>
      </c>
      <c r="D818" s="59">
        <v>-0.26069999999999999</v>
      </c>
      <c r="E818" s="25">
        <v>-0.20830000000000001</v>
      </c>
      <c r="F818" s="21">
        <v>-0.7</v>
      </c>
      <c r="G818" s="21">
        <v>-0.69</v>
      </c>
      <c r="H818" s="21">
        <v>1.34</v>
      </c>
      <c r="I818" s="54">
        <v>28.38</v>
      </c>
      <c r="J818" s="60">
        <v>8584576</v>
      </c>
      <c r="K818" s="61">
        <f>IF(Tabela15115[[#This Row],[Fed Assets]]="",#N/A,((Tabela15115[[#This Row],[Fed Assets]]*1)/J806)-1)</f>
        <v>-1.1195296443548219E-2</v>
      </c>
      <c r="L818" s="21">
        <v>3.3</v>
      </c>
      <c r="M818" s="21"/>
    </row>
    <row r="819" spans="1:13">
      <c r="A819" s="6">
        <v>44896</v>
      </c>
      <c r="B819" s="7">
        <v>4.33</v>
      </c>
      <c r="C819" s="7">
        <v>6.42</v>
      </c>
      <c r="D819" s="59">
        <v>-8.6699999999999999E-2</v>
      </c>
      <c r="E819" s="25">
        <v>-0.2424</v>
      </c>
      <c r="F819" s="21">
        <v>-0.53</v>
      </c>
      <c r="G819" s="21">
        <v>-0.54</v>
      </c>
      <c r="H819" s="21">
        <v>1.58</v>
      </c>
      <c r="I819" s="54">
        <v>28.32</v>
      </c>
      <c r="J819" s="60">
        <v>8551169</v>
      </c>
      <c r="K819" s="61">
        <f>IF(Tabela15115[[#This Row],[Fed Assets]]="",#N/A,((Tabela15115[[#This Row],[Fed Assets]]*1)/J807)-1)</f>
        <v>-2.3556031086639284E-2</v>
      </c>
      <c r="L819" s="21">
        <v>3.4</v>
      </c>
      <c r="M819" s="21"/>
    </row>
    <row r="820" spans="1:13">
      <c r="A820" s="6">
        <v>44927</v>
      </c>
      <c r="B820" s="7">
        <v>4.33</v>
      </c>
      <c r="C820" s="7">
        <v>6.13</v>
      </c>
      <c r="D820" s="59">
        <v>-0.5282</v>
      </c>
      <c r="E820" s="25">
        <v>-0.34644000000000003</v>
      </c>
      <c r="F820" s="21">
        <v>-0.69</v>
      </c>
      <c r="G820" s="21">
        <v>-1.18</v>
      </c>
      <c r="H820" s="21">
        <v>1.28</v>
      </c>
      <c r="I820" s="54">
        <v>28.33</v>
      </c>
      <c r="J820" s="60">
        <v>8470557</v>
      </c>
      <c r="K820" s="61">
        <f>IF(Tabela15115[[#This Row],[Fed Assets]]="",#N/A,((Tabela15115[[#This Row],[Fed Assets]]*1)/J808)-1)</f>
        <v>-4.4007523290203632E-2</v>
      </c>
      <c r="L820" s="21">
        <v>4.4000000000000004</v>
      </c>
      <c r="M820" s="21"/>
    </row>
    <row r="821" spans="1:13">
      <c r="A821" s="6">
        <v>44958</v>
      </c>
      <c r="B821" s="7">
        <v>4.57</v>
      </c>
      <c r="C821" s="7">
        <v>6.5</v>
      </c>
      <c r="D821" s="59">
        <v>-0.27060000000000001</v>
      </c>
      <c r="E821" s="25">
        <v>-0.27901999999999999</v>
      </c>
      <c r="F821" s="21">
        <v>-0.89</v>
      </c>
      <c r="G821" s="21">
        <v>-0.96</v>
      </c>
      <c r="H821" s="21">
        <v>1.49</v>
      </c>
      <c r="I821" s="54">
        <v>28.92</v>
      </c>
      <c r="J821" s="60">
        <v>8382190</v>
      </c>
      <c r="K821" s="61">
        <f>IF(Tabela15115[[#This Row],[Fed Assets]]="",#N/A,((Tabela15115[[#This Row],[Fed Assets]]*1)/J809)-1)</f>
        <v>-6.1148198015508082E-2</v>
      </c>
      <c r="L821" s="21">
        <v>4.7</v>
      </c>
      <c r="M821" s="21"/>
    </row>
    <row r="822" spans="1:13">
      <c r="A822" s="6">
        <v>44986</v>
      </c>
      <c r="B822" s="7">
        <v>4.83</v>
      </c>
      <c r="C822" s="7">
        <v>6.32</v>
      </c>
      <c r="D822" s="59">
        <v>-0.31780000000000003</v>
      </c>
      <c r="E822" s="25">
        <v>-0.13461000000000001</v>
      </c>
      <c r="F822" s="21">
        <v>-0.57999999999999996</v>
      </c>
      <c r="G822" s="21">
        <v>-1.37</v>
      </c>
      <c r="H822" s="21">
        <v>1.1599999999999999</v>
      </c>
      <c r="I822" s="54">
        <v>27.95</v>
      </c>
      <c r="J822" s="60">
        <v>8705942</v>
      </c>
      <c r="K822" s="61">
        <f>IF(Tabela15115[[#This Row],[Fed Assets]]="",#N/A,((Tabela15115[[#This Row],[Fed Assets]]*1)/J810)-1)</f>
        <v>-2.5869567698487916E-2</v>
      </c>
      <c r="L822" s="21">
        <v>5.2</v>
      </c>
      <c r="M822" s="21"/>
    </row>
    <row r="823" spans="1:13">
      <c r="A823" s="6">
        <v>45017</v>
      </c>
      <c r="B823" s="7">
        <v>4.83</v>
      </c>
      <c r="C823" s="7">
        <v>6.43</v>
      </c>
      <c r="D823" s="59">
        <v>-0.29249999999999998</v>
      </c>
      <c r="E823" s="25">
        <v>-0.23349</v>
      </c>
      <c r="F823" s="21">
        <v>-0.6</v>
      </c>
      <c r="G823" s="21">
        <v>-1.66</v>
      </c>
      <c r="H823" s="21">
        <v>1.26</v>
      </c>
      <c r="I823" s="54">
        <v>28.76</v>
      </c>
      <c r="J823" s="60">
        <v>8562768</v>
      </c>
      <c r="K823" s="61">
        <f>IF(Tabela15115[[#This Row],[Fed Assets]]="",#N/A,((Tabela15115[[#This Row],[Fed Assets]]*1)/J811)-1)</f>
        <v>-4.21101487952108E-2</v>
      </c>
      <c r="L823" s="21">
        <v>5.2</v>
      </c>
      <c r="M823" s="21"/>
    </row>
    <row r="824" spans="1:13">
      <c r="A824" s="6">
        <v>45047</v>
      </c>
      <c r="B824" s="7">
        <v>5.08</v>
      </c>
      <c r="C824" s="7">
        <v>6.57</v>
      </c>
      <c r="D824" s="59">
        <v>-0.37190000000000001</v>
      </c>
      <c r="E824" s="25">
        <v>-0.24762000000000001</v>
      </c>
      <c r="F824" s="21">
        <v>-0.76</v>
      </c>
      <c r="G824" s="21">
        <v>-1.88</v>
      </c>
      <c r="H824" s="21">
        <v>1.46</v>
      </c>
      <c r="I824" s="54">
        <v>28.76</v>
      </c>
      <c r="J824" s="60">
        <v>8385854</v>
      </c>
      <c r="K824" s="61">
        <f>IF(Tabela15115[[#This Row],[Fed Assets]]="",#N/A,((Tabela15115[[#This Row],[Fed Assets]]*1)/J812)-1)</f>
        <v>-5.927870122110801E-2</v>
      </c>
      <c r="L824" s="21">
        <v>5.3</v>
      </c>
      <c r="M824" s="21"/>
    </row>
    <row r="825" spans="1:13">
      <c r="A825" s="6">
        <v>45078</v>
      </c>
      <c r="B825" s="7">
        <v>5.08</v>
      </c>
      <c r="C825" s="7">
        <v>6.71</v>
      </c>
      <c r="D825" s="59">
        <v>-0.70930000000000004</v>
      </c>
      <c r="E825" s="25">
        <v>-0.25599</v>
      </c>
      <c r="F825" s="21">
        <v>-1.06</v>
      </c>
      <c r="G825" s="21">
        <v>-1.62</v>
      </c>
      <c r="H825" s="21">
        <v>1.59</v>
      </c>
      <c r="I825" s="54">
        <v>29.94</v>
      </c>
      <c r="J825" s="60">
        <v>8340914</v>
      </c>
      <c r="K825" s="61">
        <f>IF(Tabela15115[[#This Row],[Fed Assets]]="",#N/A,((Tabela15115[[#This Row],[Fed Assets]]*1)/J813)-1)</f>
        <v>-6.4243629897079213E-2</v>
      </c>
      <c r="L825" s="21">
        <v>4.8</v>
      </c>
      <c r="M825" s="21"/>
    </row>
    <row r="826" spans="1:13">
      <c r="A826" s="6">
        <v>45108</v>
      </c>
      <c r="B826" s="7">
        <v>5.33</v>
      </c>
      <c r="C826" s="7">
        <v>6.81</v>
      </c>
      <c r="D826" s="59">
        <v>-0.78720000000000001</v>
      </c>
      <c r="E826" s="25">
        <v>-0.30726999999999999</v>
      </c>
      <c r="F826" s="21">
        <v>-0.91</v>
      </c>
      <c r="G826" s="21">
        <v>-1.58</v>
      </c>
      <c r="H826" s="21">
        <v>1.6</v>
      </c>
      <c r="I826" s="54">
        <v>30.89</v>
      </c>
      <c r="J826" s="60">
        <v>8243344</v>
      </c>
      <c r="K826" s="61">
        <f>IF(Tabela15115[[#This Row],[Fed Assets]]="",#N/A,((Tabela15115[[#This Row],[Fed Assets]]*1)/J814)-1)</f>
        <v>-7.2740124751349944E-2</v>
      </c>
      <c r="L826" s="21">
        <v>4.4000000000000004</v>
      </c>
      <c r="M826" s="21"/>
    </row>
    <row r="827" spans="1:13">
      <c r="A827" s="6">
        <v>45139</v>
      </c>
      <c r="B827" s="7">
        <v>5.33</v>
      </c>
      <c r="C827" s="7">
        <v>7.18</v>
      </c>
      <c r="D827" s="59">
        <v>-0.71189999999999998</v>
      </c>
      <c r="E827" s="25">
        <v>-0.35610999999999998</v>
      </c>
      <c r="F827" s="21">
        <v>-0.76</v>
      </c>
      <c r="G827" s="21">
        <v>-1.47</v>
      </c>
      <c r="H827" s="21">
        <v>1.9</v>
      </c>
      <c r="I827" s="21">
        <v>30.47</v>
      </c>
      <c r="J827" s="60">
        <v>8121316</v>
      </c>
      <c r="K827" s="61">
        <f>IF(Tabela15115[[#This Row],[Fed Assets]]="",#N/A,((Tabela15115[[#This Row],[Fed Assets]]*1)/J815)-1)</f>
        <v>-7.9851526604127088E-2</v>
      </c>
      <c r="L827" s="21">
        <v>4.4000000000000004</v>
      </c>
      <c r="M827" s="21"/>
    </row>
    <row r="828" spans="1:13">
      <c r="A828" s="6">
        <v>45170</v>
      </c>
      <c r="B828" s="7">
        <v>5.33</v>
      </c>
      <c r="C828" s="7"/>
      <c r="D828" s="59">
        <v>-0.54400000000000004</v>
      </c>
      <c r="E828" s="25">
        <v>-0.34489999999999998</v>
      </c>
      <c r="F828" s="21">
        <v>-0.44</v>
      </c>
      <c r="G828" s="21">
        <v>-0.96</v>
      </c>
      <c r="H828" s="21"/>
      <c r="I828" s="21">
        <v>30.81</v>
      </c>
      <c r="J828" s="60">
        <v>8002064</v>
      </c>
      <c r="K828" s="61">
        <f>IF(Tabela15115[[#This Row],[Fed Assets]]="",#N/A,((Tabela15115[[#This Row],[Fed Assets]]*1)/J816)-1)</f>
        <v>-9.0216241886395765E-2</v>
      </c>
      <c r="L828" s="21">
        <v>3.8</v>
      </c>
      <c r="M828" s="21"/>
    </row>
    <row r="829" spans="1:13">
      <c r="A829" s="6">
        <v>45200</v>
      </c>
      <c r="B829" s="7">
        <v>5.33</v>
      </c>
      <c r="C829" s="7"/>
      <c r="D829" s="59">
        <v>-0.3599</v>
      </c>
      <c r="E829" s="25">
        <v>-0.34155000000000002</v>
      </c>
      <c r="F829" s="21">
        <v>-0.19</v>
      </c>
      <c r="G829" s="21">
        <v>-0.71</v>
      </c>
      <c r="H829" s="21"/>
      <c r="I829" s="21"/>
      <c r="J829" s="60">
        <v>7907830</v>
      </c>
      <c r="K829" s="61">
        <f>IF(Tabela15115[[#This Row],[Fed Assets]]="",#N/A,((Tabela15115[[#This Row],[Fed Assets]]*1)/J817)-1)</f>
        <v>-9.3460000985889136E-2</v>
      </c>
      <c r="L829" s="21">
        <v>4</v>
      </c>
      <c r="M829" s="21"/>
    </row>
    <row r="830" spans="1:13">
      <c r="A830" s="6">
        <v>45231</v>
      </c>
      <c r="B830" s="7">
        <v>5.33</v>
      </c>
      <c r="C830" s="7"/>
      <c r="D830" s="59">
        <v>-0.71640000000000004</v>
      </c>
      <c r="E830" s="25">
        <v>-0.42181000000000002</v>
      </c>
      <c r="F830" s="21">
        <v>-0.36</v>
      </c>
      <c r="G830" s="21"/>
      <c r="H830" s="21"/>
      <c r="I830" s="21"/>
      <c r="J830" s="60">
        <v>7796145</v>
      </c>
      <c r="K830" s="61">
        <f>IF(Tabela15115[[#This Row],[Fed Assets]]="",#N/A,((Tabela15115[[#This Row],[Fed Assets]]*1)/J818)-1)</f>
        <v>-9.1842742145913814E-2</v>
      </c>
      <c r="L830" s="21">
        <v>4.0999999999999996</v>
      </c>
      <c r="M830" s="21"/>
    </row>
    <row r="831" spans="1:13">
      <c r="A831" s="6">
        <v>45261</v>
      </c>
      <c r="B831" s="7">
        <v>5.33</v>
      </c>
      <c r="C831" s="7"/>
      <c r="D831" s="59">
        <v>-0.35730000000000001</v>
      </c>
      <c r="E831" s="25">
        <v>-0.50465000000000004</v>
      </c>
      <c r="F831" s="21">
        <v>-0.35</v>
      </c>
      <c r="G831" s="21"/>
      <c r="H831" s="21"/>
      <c r="I831" s="21"/>
      <c r="J831" s="60">
        <v>7712781</v>
      </c>
      <c r="K831" s="61">
        <f>IF(Tabela15115[[#This Row],[Fed Assets]]="",#N/A,((Tabela15115[[#This Row],[Fed Assets]]*1)/J819)-1)</f>
        <v>-9.804367098814204E-2</v>
      </c>
      <c r="L831" s="21"/>
      <c r="M831" s="21"/>
    </row>
    <row r="832" spans="1:13">
      <c r="A832" s="6">
        <v>45292</v>
      </c>
      <c r="B832" s="7">
        <v>5.33</v>
      </c>
      <c r="C832" s="7"/>
      <c r="D832" s="59"/>
      <c r="E832" s="25"/>
      <c r="F832" s="21"/>
      <c r="G832" s="21"/>
      <c r="H832" s="21"/>
      <c r="I832" s="21"/>
      <c r="J832" s="60">
        <v>7673741</v>
      </c>
      <c r="K832" s="61">
        <f>IF(Tabela15115[[#This Row],[Fed Assets]]="",#N/A,((Tabela15115[[#This Row],[Fed Assets]]*1)/J820)-1)</f>
        <v>-9.4068902434633284E-2</v>
      </c>
      <c r="L832" s="21"/>
      <c r="M832" s="21"/>
    </row>
    <row r="833" spans="1:13">
      <c r="A833" s="6">
        <v>45323</v>
      </c>
      <c r="B833" s="7"/>
      <c r="C833" s="7"/>
      <c r="D833" s="59"/>
      <c r="E833" s="25"/>
      <c r="F833" s="21"/>
      <c r="G833" s="21"/>
      <c r="H833" s="21"/>
      <c r="I833" s="21"/>
      <c r="J833" s="60"/>
      <c r="K833" s="61" t="e">
        <f>IF(Tabela15115[[#This Row],[Fed Assets]]="",#N/A,((Tabela15115[[#This Row],[Fed Assets]]*1)/J821)-1)</f>
        <v>#N/A</v>
      </c>
      <c r="L833" s="21"/>
      <c r="M833" s="21"/>
    </row>
    <row r="834" spans="1:13">
      <c r="A834" s="6">
        <v>45352</v>
      </c>
      <c r="B834" s="7"/>
      <c r="C834" s="7"/>
      <c r="D834" s="59"/>
      <c r="E834" s="25"/>
      <c r="F834" s="21"/>
      <c r="G834" s="21"/>
      <c r="H834" s="21"/>
      <c r="I834" s="21"/>
      <c r="J834" s="60"/>
      <c r="K834" s="61" t="e">
        <f>IF(Tabela15115[[#This Row],[Fed Assets]]="",#N/A,((Tabela15115[[#This Row],[Fed Assets]]*1)/J822)-1)</f>
        <v>#N/A</v>
      </c>
      <c r="L834" s="21"/>
      <c r="M834" s="21"/>
    </row>
    <row r="835" spans="1:13">
      <c r="A835" s="6">
        <v>45383</v>
      </c>
      <c r="B835" s="7"/>
      <c r="C835" s="7"/>
      <c r="D835" s="59"/>
      <c r="E835" s="25"/>
      <c r="F835" s="21"/>
      <c r="G835" s="21"/>
      <c r="H835" s="21"/>
      <c r="I835" s="21"/>
      <c r="J835" s="60"/>
      <c r="K835" s="61" t="e">
        <f>IF(Tabela15115[[#This Row],[Fed Assets]]="",#N/A,((Tabela15115[[#This Row],[Fed Assets]]*1)/J823)-1)</f>
        <v>#N/A</v>
      </c>
      <c r="L835" s="21"/>
      <c r="M835" s="21"/>
    </row>
    <row r="836" spans="1:13">
      <c r="A836" s="6">
        <v>45413</v>
      </c>
      <c r="B836" s="7"/>
      <c r="C836" s="7"/>
      <c r="D836" s="59"/>
      <c r="E836" s="25"/>
      <c r="F836" s="21"/>
      <c r="G836" s="21"/>
      <c r="H836" s="21"/>
      <c r="I836" s="21"/>
      <c r="J836" s="60"/>
      <c r="K836" s="61" t="e">
        <f>IF(Tabela15115[[#This Row],[Fed Assets]]="",#N/A,((Tabela15115[[#This Row],[Fed Assets]]*1)/J824)-1)</f>
        <v>#N/A</v>
      </c>
      <c r="L836" s="21"/>
      <c r="M836" s="21"/>
    </row>
    <row r="837" spans="1:13">
      <c r="A837" s="6">
        <v>45444</v>
      </c>
      <c r="B837" s="7"/>
      <c r="C837" s="7"/>
      <c r="D837" s="59"/>
      <c r="E837" s="25"/>
      <c r="F837" s="21"/>
      <c r="G837" s="21"/>
      <c r="H837" s="21"/>
      <c r="I837" s="21"/>
      <c r="J837" s="60"/>
      <c r="K837" s="61" t="e">
        <f>IF(Tabela15115[[#This Row],[Fed Assets]]="",#N/A,((Tabela15115[[#This Row],[Fed Assets]]*1)/J825)-1)</f>
        <v>#N/A</v>
      </c>
      <c r="L837" s="21"/>
      <c r="M837" s="21"/>
    </row>
    <row r="838" spans="1:13">
      <c r="A838" s="6">
        <v>45474</v>
      </c>
      <c r="B838" s="7"/>
      <c r="C838" s="7"/>
      <c r="D838" s="59"/>
      <c r="E838" s="25"/>
      <c r="F838" s="21"/>
      <c r="G838" s="21"/>
      <c r="H838" s="21"/>
      <c r="I838" s="21"/>
      <c r="J838" s="60"/>
      <c r="K838" s="61" t="e">
        <f>IF(Tabela15115[[#This Row],[Fed Assets]]="",#N/A,((Tabela15115[[#This Row],[Fed Assets]]*1)/J826)-1)</f>
        <v>#N/A</v>
      </c>
      <c r="L838" s="21"/>
      <c r="M838" s="21"/>
    </row>
    <row r="839" spans="1:13">
      <c r="A839" s="6">
        <v>45505</v>
      </c>
      <c r="B839" s="7"/>
      <c r="C839" s="7"/>
      <c r="D839" s="59"/>
      <c r="E839" s="25"/>
      <c r="F839" s="21"/>
      <c r="G839" s="21"/>
      <c r="H839" s="21"/>
      <c r="I839" s="21"/>
      <c r="J839" s="60"/>
      <c r="K839" s="61" t="e">
        <f>IF(Tabela15115[[#This Row],[Fed Assets]]="",#N/A,((Tabela15115[[#This Row],[Fed Assets]]*1)/J827)-1)</f>
        <v>#N/A</v>
      </c>
      <c r="L839" s="21"/>
      <c r="M839" s="21"/>
    </row>
    <row r="840" spans="1:13">
      <c r="A840" s="6">
        <v>45536</v>
      </c>
      <c r="B840" s="7"/>
      <c r="C840" s="7"/>
      <c r="D840" s="59"/>
      <c r="E840" s="25"/>
      <c r="F840" s="21"/>
      <c r="G840" s="21"/>
      <c r="H840" s="21"/>
      <c r="I840" s="21"/>
      <c r="J840" s="60"/>
      <c r="K840" s="61" t="e">
        <f>IF(Tabela15115[[#This Row],[Fed Assets]]="",#N/A,((Tabela15115[[#This Row],[Fed Assets]]*1)/J828)-1)</f>
        <v>#N/A</v>
      </c>
      <c r="L840" s="21"/>
      <c r="M840" s="21"/>
    </row>
    <row r="841" spans="1:13">
      <c r="A841" s="6">
        <v>45566</v>
      </c>
      <c r="B841" s="7"/>
      <c r="C841" s="7"/>
      <c r="D841" s="59"/>
      <c r="E841" s="25"/>
      <c r="F841" s="21"/>
      <c r="G841" s="21"/>
      <c r="H841" s="21"/>
      <c r="I841" s="21"/>
      <c r="J841" s="60"/>
      <c r="K841" s="61" t="e">
        <f>IF(Tabela15115[[#This Row],[Fed Assets]]="",#N/A,((Tabela15115[[#This Row],[Fed Assets]]*1)/J829)-1)</f>
        <v>#N/A</v>
      </c>
      <c r="L841" s="21"/>
      <c r="M841" s="21"/>
    </row>
    <row r="842" spans="1:13">
      <c r="A842" s="6">
        <v>45597</v>
      </c>
      <c r="B842" s="7"/>
      <c r="C842" s="7"/>
      <c r="D842" s="59"/>
      <c r="E842" s="25"/>
      <c r="F842" s="21"/>
      <c r="G842" s="21"/>
      <c r="H842" s="21"/>
      <c r="I842" s="21"/>
      <c r="J842" s="60"/>
      <c r="K842" s="61" t="e">
        <f>IF(Tabela15115[[#This Row],[Fed Assets]]="",#N/A,((Tabela15115[[#This Row],[Fed Assets]]*1)/J830)-1)</f>
        <v>#N/A</v>
      </c>
      <c r="L842" s="21"/>
      <c r="M842" s="21"/>
    </row>
    <row r="843" spans="1:13">
      <c r="A843" s="6">
        <v>45627</v>
      </c>
      <c r="B843" s="7"/>
      <c r="C843" s="7"/>
      <c r="D843" s="59"/>
      <c r="E843" s="25"/>
      <c r="F843" s="21"/>
      <c r="G843" s="21"/>
      <c r="H843" s="21"/>
      <c r="I843" s="21"/>
      <c r="J843" s="60"/>
      <c r="K843" s="61" t="e">
        <f>IF(Tabela15115[[#This Row],[Fed Assets]]="",#N/A,((Tabela15115[[#This Row],[Fed Assets]]*1)/J831)-1)</f>
        <v>#N/A</v>
      </c>
      <c r="L843" s="21"/>
      <c r="M843" s="21"/>
    </row>
  </sheetData>
  <hyperlinks>
    <hyperlink ref="D1" r:id="rId1" xr:uid="{214DB676-35D5-410A-B779-EA03A638FF64}"/>
    <hyperlink ref="E1" r:id="rId2" xr:uid="{4B92BA66-382A-49A5-A68E-8DAFC423B922}"/>
    <hyperlink ref="D2" r:id="rId3" xr:uid="{93A8FB33-485F-4999-B738-623BB4CDD993}"/>
    <hyperlink ref="E2" r:id="rId4" location="0" xr:uid="{E4A552ED-2CC7-498F-89E7-6847C6DFCA51}"/>
    <hyperlink ref="J2" r:id="rId5" location="0" xr:uid="{A3A15EBA-12A1-4A55-B2ED-57BC07C3DA7F}"/>
    <hyperlink ref="B2" r:id="rId6" location="0" xr:uid="{E969C683-D885-488A-A2CE-2178F9D489FA}"/>
    <hyperlink ref="F2" r:id="rId7" location="0" xr:uid="{3A06A564-DFF4-4AFF-9156-DBCE5EAF8E06}"/>
    <hyperlink ref="G2" r:id="rId8" location="0" xr:uid="{0A754420-9FAE-4B30-BBAC-3A27F5A71654}"/>
    <hyperlink ref="H2" r:id="rId9" location="0" xr:uid="{FDF0B919-9AC4-47B3-BA4B-A3FA9FC227CA}"/>
    <hyperlink ref="L2" r:id="rId10" xr:uid="{18986C03-99EB-4EDD-94BA-9AA09F3A1BD7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0" r:id="rId11"/>
  <tableParts count="1">
    <tablePart r:id="rId1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097576-432C-4D6E-90B4-341384C3089B}">
  <sheetPr codeName="Planilha12"/>
  <dimension ref="A1:K1088"/>
  <sheetViews>
    <sheetView showGridLines="0" workbookViewId="0">
      <pane xSplit="1" ySplit="2" topLeftCell="B271" activePane="bottomRight" state="frozen"/>
      <selection activeCell="I37" sqref="I37"/>
      <selection pane="topRight" activeCell="I37" sqref="I37"/>
      <selection pane="bottomLeft" activeCell="I37" sqref="I37"/>
      <selection pane="bottomRight" activeCell="N306" sqref="N306"/>
    </sheetView>
  </sheetViews>
  <sheetFormatPr defaultRowHeight="12.75"/>
  <cols>
    <col min="1" max="1" width="10.140625" style="5" customWidth="1"/>
    <col min="2" max="5" width="18" style="5" customWidth="1"/>
    <col min="6" max="6" width="18.7109375" style="9" bestFit="1" customWidth="1"/>
    <col min="7" max="7" width="18.7109375" style="9" customWidth="1"/>
    <col min="8" max="8" width="30.7109375" style="9" customWidth="1"/>
    <col min="9" max="9" width="17.5703125" style="9" customWidth="1"/>
    <col min="10" max="10" width="19.85546875" style="9" customWidth="1"/>
    <col min="11" max="16384" width="9.140625" style="9"/>
  </cols>
  <sheetData>
    <row r="1" spans="1:11" ht="15">
      <c r="B1" s="20" t="s">
        <v>2</v>
      </c>
      <c r="C1" s="20"/>
      <c r="D1" s="20"/>
      <c r="E1" s="20"/>
      <c r="F1" s="20" t="s">
        <v>2</v>
      </c>
      <c r="G1" s="20"/>
      <c r="H1" s="20" t="s">
        <v>2</v>
      </c>
      <c r="I1" s="58" t="s">
        <v>2</v>
      </c>
      <c r="J1" s="58" t="s">
        <v>2</v>
      </c>
    </row>
    <row r="2" spans="1:11" ht="30" customHeight="1">
      <c r="A2" s="19" t="s">
        <v>32</v>
      </c>
      <c r="B2" s="19" t="s">
        <v>90</v>
      </c>
      <c r="C2" s="19" t="s">
        <v>91</v>
      </c>
      <c r="D2" s="19" t="s">
        <v>52</v>
      </c>
      <c r="E2" s="19" t="s">
        <v>169</v>
      </c>
      <c r="F2" s="19" t="s">
        <v>170</v>
      </c>
      <c r="G2" s="19" t="s">
        <v>168</v>
      </c>
      <c r="H2" s="19" t="s">
        <v>127</v>
      </c>
      <c r="I2" s="19" t="s">
        <v>128</v>
      </c>
      <c r="J2" s="19" t="s">
        <v>126</v>
      </c>
      <c r="K2" s="19" t="s">
        <v>29</v>
      </c>
    </row>
    <row r="3" spans="1:11">
      <c r="A3" s="6" t="s">
        <v>172</v>
      </c>
      <c r="B3" s="64">
        <v>2182.681</v>
      </c>
      <c r="C3" s="7"/>
      <c r="D3" s="7"/>
      <c r="E3" s="71"/>
      <c r="H3" s="63"/>
      <c r="I3" s="63"/>
      <c r="J3" s="63"/>
    </row>
    <row r="4" spans="1:11">
      <c r="A4" s="6" t="s">
        <v>173</v>
      </c>
      <c r="B4" s="64">
        <v>2176.8919999999998</v>
      </c>
      <c r="C4" s="8">
        <f>IF(Tabela3[[#This Row],[Real GDP]]="",#N/A,((((Tabela3[[#This Row],[Real GDP]]*1)/B3)-1)*4))</f>
        <v>-1.060897126057414E-2</v>
      </c>
      <c r="D4" s="7"/>
      <c r="E4" s="71"/>
      <c r="H4" s="63"/>
      <c r="I4" s="63"/>
      <c r="J4" s="63"/>
    </row>
    <row r="5" spans="1:11">
      <c r="A5" s="13" t="s">
        <v>174</v>
      </c>
      <c r="B5" s="64">
        <v>2172.4319999999998</v>
      </c>
      <c r="C5" s="8">
        <f>IF(Tabela3[[#This Row],[Real GDP]]="",#N/A,((((Tabela3[[#This Row],[Real GDP]]*1)/B4)-1)*4))</f>
        <v>-8.1951699946531953E-3</v>
      </c>
      <c r="D5" s="7"/>
      <c r="E5" s="71"/>
      <c r="H5" s="63"/>
      <c r="I5" s="63"/>
      <c r="J5" s="63"/>
    </row>
    <row r="6" spans="1:11">
      <c r="A6" s="6" t="s">
        <v>175</v>
      </c>
      <c r="B6" s="64">
        <v>2206.4520000000002</v>
      </c>
      <c r="C6" s="8">
        <f>IF(Tabela3[[#This Row],[Real GDP]]="",#N/A,((((Tabela3[[#This Row],[Real GDP]]*1)/B5)-1)*4))</f>
        <v>6.2639475021543767E-2</v>
      </c>
      <c r="D6" s="7"/>
      <c r="E6" s="71"/>
      <c r="H6" s="63"/>
      <c r="I6" s="63"/>
      <c r="J6" s="63"/>
    </row>
    <row r="7" spans="1:11">
      <c r="A7" s="6" t="s">
        <v>176</v>
      </c>
      <c r="B7" s="64">
        <v>2239.6819999999998</v>
      </c>
      <c r="C7" s="8">
        <f>IF(Tabela3[[#This Row],[Real GDP]]="",#N/A,((((Tabela3[[#This Row],[Real GDP]]*1)/B6)-1)*4))</f>
        <v>6.0241509899149115E-2</v>
      </c>
      <c r="D7" s="7"/>
      <c r="E7" s="71"/>
      <c r="H7" s="63"/>
      <c r="I7" s="63"/>
      <c r="J7" s="63"/>
    </row>
    <row r="8" spans="1:11">
      <c r="A8" s="6" t="s">
        <v>177</v>
      </c>
      <c r="B8" s="64">
        <v>2276.69</v>
      </c>
      <c r="C8" s="8">
        <f>IF(Tabela3[[#This Row],[Real GDP]]="",#N/A,((((Tabela3[[#This Row],[Real GDP]]*1)/B7)-1)*4))</f>
        <v>6.609509742901043E-2</v>
      </c>
      <c r="D8" s="7"/>
      <c r="E8" s="71"/>
      <c r="H8" s="63"/>
      <c r="I8" s="63"/>
      <c r="J8" s="63"/>
    </row>
    <row r="9" spans="1:11">
      <c r="A9" s="13" t="s">
        <v>178</v>
      </c>
      <c r="B9" s="64">
        <v>2289.77</v>
      </c>
      <c r="C9" s="8">
        <f>IF(Tabela3[[#This Row],[Real GDP]]="",#N/A,((((Tabela3[[#This Row],[Real GDP]]*1)/B8)-1)*4))</f>
        <v>2.2980730797780957E-2</v>
      </c>
      <c r="D9" s="7"/>
      <c r="E9" s="71"/>
      <c r="H9" s="63"/>
      <c r="I9" s="63"/>
      <c r="J9" s="63"/>
    </row>
    <row r="10" spans="1:11">
      <c r="A10" s="6" t="s">
        <v>179</v>
      </c>
      <c r="B10" s="64">
        <v>2292.364</v>
      </c>
      <c r="C10" s="8">
        <f>IF(Tabela3[[#This Row],[Real GDP]]="",#N/A,((((Tabela3[[#This Row],[Real GDP]]*1)/B9)-1)*4))</f>
        <v>4.5314594915648598E-3</v>
      </c>
      <c r="D10" s="7"/>
      <c r="E10" s="71"/>
      <c r="H10" s="63"/>
      <c r="I10" s="63"/>
      <c r="J10" s="63"/>
    </row>
    <row r="11" spans="1:11">
      <c r="A11" s="6" t="s">
        <v>180</v>
      </c>
      <c r="B11" s="64">
        <v>2260.8069999999998</v>
      </c>
      <c r="C11" s="8">
        <f>IF(Tabela3[[#This Row],[Real GDP]]="",#N/A,((((Tabela3[[#This Row],[Real GDP]]*1)/B10)-1)*4))</f>
        <v>-5.506455344788197E-2</v>
      </c>
      <c r="D11" s="7"/>
      <c r="E11" s="71"/>
      <c r="H11" s="63"/>
      <c r="I11" s="63"/>
      <c r="J11" s="63"/>
    </row>
    <row r="12" spans="1:11">
      <c r="A12" s="6" t="s">
        <v>181</v>
      </c>
      <c r="B12" s="64">
        <v>2253.1280000000002</v>
      </c>
      <c r="C12" s="8">
        <f>IF(Tabela3[[#This Row],[Real GDP]]="",#N/A,((((Tabela3[[#This Row],[Real GDP]]*1)/B11)-1)*4))</f>
        <v>-1.3586299051621342E-2</v>
      </c>
      <c r="D12" s="7"/>
      <c r="E12" s="71"/>
      <c r="H12" s="63"/>
      <c r="I12" s="63"/>
      <c r="J12" s="63"/>
    </row>
    <row r="13" spans="1:11">
      <c r="A13" s="13" t="s">
        <v>182</v>
      </c>
      <c r="B13" s="64">
        <v>2276.424</v>
      </c>
      <c r="C13" s="8">
        <f>IF(Tabela3[[#This Row],[Real GDP]]="",#N/A,((((Tabela3[[#This Row],[Real GDP]]*1)/B12)-1)*4))</f>
        <v>4.1357614835908052E-2</v>
      </c>
      <c r="D13" s="7"/>
      <c r="E13" s="71"/>
      <c r="H13" s="63"/>
      <c r="I13" s="63"/>
      <c r="J13" s="63"/>
    </row>
    <row r="14" spans="1:11">
      <c r="A14" s="6" t="s">
        <v>183</v>
      </c>
      <c r="B14" s="64">
        <v>2257.3519999999999</v>
      </c>
      <c r="C14" s="8">
        <f>IF(Tabela3[[#This Row],[Real GDP]]="",#N/A,((((Tabela3[[#This Row],[Real GDP]]*1)/B13)-1)*4))</f>
        <v>-3.3512210379086138E-2</v>
      </c>
      <c r="D14" s="7"/>
      <c r="E14" s="71"/>
      <c r="H14" s="63"/>
      <c r="I14" s="63"/>
      <c r="J14" s="63"/>
    </row>
    <row r="15" spans="1:11">
      <c r="A15" s="6" t="s">
        <v>184</v>
      </c>
      <c r="B15" s="64">
        <v>2346.1039999999998</v>
      </c>
      <c r="C15" s="8">
        <f>IF(Tabela3[[#This Row],[Real GDP]]="",#N/A,((((Tabela3[[#This Row],[Real GDP]]*1)/B14)-1)*4))</f>
        <v>0.15726745319294455</v>
      </c>
      <c r="D15" s="7"/>
      <c r="E15" s="71"/>
      <c r="H15" s="63"/>
      <c r="I15" s="63"/>
      <c r="J15" s="63"/>
    </row>
    <row r="16" spans="1:11">
      <c r="A16" s="6" t="s">
        <v>185</v>
      </c>
      <c r="B16" s="64">
        <v>2417.6819999999998</v>
      </c>
      <c r="C16" s="8">
        <f>IF(Tabela3[[#This Row],[Real GDP]]="",#N/A,((((Tabela3[[#This Row],[Real GDP]]*1)/B15)-1)*4))</f>
        <v>0.12203721574150173</v>
      </c>
      <c r="D16" s="7"/>
      <c r="E16" s="71"/>
      <c r="H16" s="63"/>
      <c r="I16" s="63"/>
      <c r="J16" s="63"/>
    </row>
    <row r="17" spans="1:10">
      <c r="A17" s="13" t="s">
        <v>186</v>
      </c>
      <c r="B17" s="64">
        <v>2511.127</v>
      </c>
      <c r="C17" s="8">
        <f>IF(Tabela3[[#This Row],[Real GDP]]="",#N/A,((((Tabela3[[#This Row],[Real GDP]]*1)/B16)-1)*4))</f>
        <v>0.15460263177704991</v>
      </c>
      <c r="D17" s="7"/>
      <c r="E17" s="71"/>
      <c r="H17" s="63"/>
      <c r="I17" s="63"/>
      <c r="J17" s="63"/>
    </row>
    <row r="18" spans="1:10">
      <c r="A18" s="6" t="s">
        <v>187</v>
      </c>
      <c r="B18" s="64">
        <v>2559.2139999999999</v>
      </c>
      <c r="C18" s="8">
        <f>IF(Tabela3[[#This Row],[Real GDP]]="",#N/A,((((Tabela3[[#This Row],[Real GDP]]*1)/B17)-1)*4))</f>
        <v>7.6598276391436571E-2</v>
      </c>
      <c r="D18" s="7"/>
      <c r="E18" s="71"/>
      <c r="H18" s="63"/>
      <c r="I18" s="63"/>
      <c r="J18" s="63"/>
    </row>
    <row r="19" spans="1:10">
      <c r="A19" s="6" t="s">
        <v>188</v>
      </c>
      <c r="B19" s="64">
        <v>2593.9670000000001</v>
      </c>
      <c r="C19" s="8">
        <f>IF(Tabela3[[#This Row],[Real GDP]]="",#N/A,((((Tabela3[[#This Row],[Real GDP]]*1)/B18)-1)*4))</f>
        <v>5.4318239897093612E-2</v>
      </c>
      <c r="D19" s="7"/>
      <c r="E19" s="71"/>
      <c r="H19" s="63"/>
      <c r="I19" s="63"/>
      <c r="J19" s="63"/>
    </row>
    <row r="20" spans="1:10">
      <c r="A20" s="6" t="s">
        <v>189</v>
      </c>
      <c r="B20" s="64">
        <v>2638.8980000000001</v>
      </c>
      <c r="C20" s="8">
        <f>IF(Tabela3[[#This Row],[Real GDP]]="",#N/A,((((Tabela3[[#This Row],[Real GDP]]*1)/B19)-1)*4))</f>
        <v>6.9285384124007976E-2</v>
      </c>
      <c r="D20" s="7"/>
      <c r="E20" s="71"/>
      <c r="H20" s="63"/>
      <c r="I20" s="63"/>
      <c r="J20" s="63"/>
    </row>
    <row r="21" spans="1:10">
      <c r="A21" s="13" t="s">
        <v>190</v>
      </c>
      <c r="B21" s="64">
        <v>2693.259</v>
      </c>
      <c r="C21" s="8">
        <f>IF(Tabela3[[#This Row],[Real GDP]]="",#N/A,((((Tabela3[[#This Row],[Real GDP]]*1)/B20)-1)*4))</f>
        <v>8.2399547083668701E-2</v>
      </c>
      <c r="D21" s="7"/>
      <c r="E21" s="71"/>
      <c r="H21" s="63"/>
      <c r="I21" s="63"/>
      <c r="J21" s="63"/>
    </row>
    <row r="22" spans="1:10">
      <c r="A22" s="6" t="s">
        <v>191</v>
      </c>
      <c r="B22" s="64">
        <v>2699.1559999999999</v>
      </c>
      <c r="C22" s="8">
        <f>IF(Tabela3[[#This Row],[Real GDP]]="",#N/A,((((Tabela3[[#This Row],[Real GDP]]*1)/B21)-1)*4))</f>
        <v>8.7581625086929904E-3</v>
      </c>
      <c r="D22" s="7"/>
      <c r="E22" s="71"/>
      <c r="H22" s="63"/>
      <c r="I22" s="63"/>
      <c r="J22" s="63"/>
    </row>
    <row r="23" spans="1:10">
      <c r="A23" s="6" t="s">
        <v>192</v>
      </c>
      <c r="B23" s="64">
        <v>2727.9540000000002</v>
      </c>
      <c r="C23" s="8">
        <f>IF(Tabela3[[#This Row],[Real GDP]]="",#N/A,((((Tabela3[[#This Row],[Real GDP]]*1)/B22)-1)*4))</f>
        <v>4.2677044231604455E-2</v>
      </c>
      <c r="D23" s="7"/>
      <c r="E23" s="71"/>
      <c r="H23" s="63">
        <v>13.6999061425</v>
      </c>
      <c r="I23" s="63"/>
      <c r="J23" s="63"/>
    </row>
    <row r="24" spans="1:10">
      <c r="A24" s="6" t="s">
        <v>193</v>
      </c>
      <c r="B24" s="64">
        <v>2733.8</v>
      </c>
      <c r="C24" s="8">
        <f>IF(Tabela3[[#This Row],[Real GDP]]="",#N/A,((((Tabela3[[#This Row],[Real GDP]]*1)/B23)-1)*4))</f>
        <v>8.5719920497195901E-3</v>
      </c>
      <c r="D24" s="7"/>
      <c r="E24" s="71"/>
      <c r="H24" s="63">
        <v>13.885424041</v>
      </c>
      <c r="I24" s="63"/>
      <c r="J24" s="63"/>
    </row>
    <row r="25" spans="1:10">
      <c r="A25" s="13" t="s">
        <v>194</v>
      </c>
      <c r="B25" s="64">
        <v>2753.5169999999998</v>
      </c>
      <c r="C25" s="8">
        <f>IF(Tabela3[[#This Row],[Real GDP]]="",#N/A,((((Tabela3[[#This Row],[Real GDP]]*1)/B24)-1)*4))</f>
        <v>2.8849220864730185E-2</v>
      </c>
      <c r="D25" s="7"/>
      <c r="E25" s="71"/>
      <c r="H25" s="63">
        <v>13.704911148800001</v>
      </c>
      <c r="I25" s="63"/>
      <c r="J25" s="63"/>
    </row>
    <row r="26" spans="1:10">
      <c r="A26" s="6" t="s">
        <v>195</v>
      </c>
      <c r="B26" s="64">
        <v>2843.9409999999998</v>
      </c>
      <c r="C26" s="8">
        <f>IF(Tabela3[[#This Row],[Real GDP]]="",#N/A,((((Tabela3[[#This Row],[Real GDP]]*1)/B25)-1)*4))</f>
        <v>0.13135782346722369</v>
      </c>
      <c r="D26" s="7"/>
      <c r="E26" s="71"/>
      <c r="H26" s="63">
        <v>12.8683045743</v>
      </c>
      <c r="I26" s="63"/>
      <c r="J26" s="63"/>
    </row>
    <row r="27" spans="1:10">
      <c r="A27" s="6" t="s">
        <v>196</v>
      </c>
      <c r="B27" s="64">
        <v>2896.8110000000001</v>
      </c>
      <c r="C27" s="8">
        <f>IF(Tabela3[[#This Row],[Real GDP]]="",#N/A,((((Tabela3[[#This Row],[Real GDP]]*1)/B26)-1)*4))</f>
        <v>7.4361598922060068E-2</v>
      </c>
      <c r="D27" s="7"/>
      <c r="E27" s="71"/>
      <c r="H27" s="63">
        <v>12.5267840319</v>
      </c>
      <c r="I27" s="63"/>
      <c r="J27" s="63"/>
    </row>
    <row r="28" spans="1:10">
      <c r="A28" s="6" t="s">
        <v>197</v>
      </c>
      <c r="B28" s="64">
        <v>2919.2060000000001</v>
      </c>
      <c r="C28" s="8">
        <f>IF(Tabela3[[#This Row],[Real GDP]]="",#N/A,((((Tabela3[[#This Row],[Real GDP]]*1)/B27)-1)*4))</f>
        <v>3.0923660535671971E-2</v>
      </c>
      <c r="D28" s="7"/>
      <c r="E28" s="71"/>
      <c r="H28" s="63">
        <v>11.829118223</v>
      </c>
      <c r="I28" s="63"/>
      <c r="J28" s="63"/>
    </row>
    <row r="29" spans="1:10">
      <c r="A29" s="13" t="s">
        <v>198</v>
      </c>
      <c r="B29" s="64">
        <v>2902.7849999999999</v>
      </c>
      <c r="C29" s="8">
        <f>IF(Tabela3[[#This Row],[Real GDP]]="",#N/A,((((Tabela3[[#This Row],[Real GDP]]*1)/B28)-1)*4))</f>
        <v>-2.2500638872351431E-2</v>
      </c>
      <c r="D29" s="7"/>
      <c r="E29" s="71"/>
      <c r="H29" s="63">
        <v>11.369846172500001</v>
      </c>
      <c r="I29" s="63"/>
      <c r="J29" s="63"/>
    </row>
    <row r="30" spans="1:10">
      <c r="A30" s="6" t="s">
        <v>199</v>
      </c>
      <c r="B30" s="64">
        <v>2858.8449999999998</v>
      </c>
      <c r="C30" s="8">
        <f>IF(Tabela3[[#This Row],[Real GDP]]="",#N/A,((((Tabela3[[#This Row],[Real GDP]]*1)/B29)-1)*4))</f>
        <v>-6.054874887392625E-2</v>
      </c>
      <c r="D30" s="7"/>
      <c r="E30" s="71"/>
      <c r="H30" s="63">
        <v>12.1300574047</v>
      </c>
      <c r="I30" s="63"/>
      <c r="J30" s="63"/>
    </row>
    <row r="31" spans="1:10">
      <c r="A31" s="6" t="s">
        <v>200</v>
      </c>
      <c r="B31" s="64">
        <v>2845.192</v>
      </c>
      <c r="C31" s="8">
        <f>IF(Tabela3[[#This Row],[Real GDP]]="",#N/A,((((Tabela3[[#This Row],[Real GDP]]*1)/B30)-1)*4))</f>
        <v>-1.9102819495285583E-2</v>
      </c>
      <c r="D31" s="7"/>
      <c r="E31" s="71"/>
      <c r="H31" s="63">
        <v>12.699112403799999</v>
      </c>
      <c r="I31" s="63"/>
      <c r="J31" s="63"/>
    </row>
    <row r="32" spans="1:10">
      <c r="A32" s="6" t="s">
        <v>201</v>
      </c>
      <c r="B32" s="64">
        <v>2848.3049999999998</v>
      </c>
      <c r="C32" s="8">
        <f>IF(Tabela3[[#This Row],[Real GDP]]="",#N/A,((((Tabela3[[#This Row],[Real GDP]]*1)/B31)-1)*4))</f>
        <v>4.3765060495033481E-3</v>
      </c>
      <c r="D32" s="7"/>
      <c r="E32" s="71"/>
      <c r="H32" s="63">
        <v>13.4973415935</v>
      </c>
      <c r="I32" s="63"/>
      <c r="J32" s="63"/>
    </row>
    <row r="33" spans="1:10">
      <c r="A33" s="13" t="s">
        <v>202</v>
      </c>
      <c r="B33" s="64">
        <v>2880.482</v>
      </c>
      <c r="C33" s="8">
        <f>IF(Tabela3[[#This Row],[Real GDP]]="",#N/A,((((Tabela3[[#This Row],[Real GDP]]*1)/B32)-1)*4))</f>
        <v>4.5187576470918422E-2</v>
      </c>
      <c r="D33" s="7"/>
      <c r="E33" s="71"/>
      <c r="H33" s="63">
        <v>14.3325750136</v>
      </c>
      <c r="I33" s="63"/>
      <c r="J33" s="63"/>
    </row>
    <row r="34" spans="1:10">
      <c r="A34" s="6" t="s">
        <v>203</v>
      </c>
      <c r="B34" s="64">
        <v>2936.8519999999999</v>
      </c>
      <c r="C34" s="8">
        <f>IF(Tabela3[[#This Row],[Real GDP]]="",#N/A,((((Tabela3[[#This Row],[Real GDP]]*1)/B33)-1)*4))</f>
        <v>7.8278565878904693E-2</v>
      </c>
      <c r="D34" s="7"/>
      <c r="E34" s="71"/>
      <c r="H34" s="63">
        <v>14.241269321800001</v>
      </c>
      <c r="I34" s="63"/>
      <c r="J34" s="63"/>
    </row>
    <row r="35" spans="1:10">
      <c r="A35" s="6" t="s">
        <v>204</v>
      </c>
      <c r="B35" s="64">
        <v>3020.7460000000001</v>
      </c>
      <c r="C35" s="8">
        <f>IF(Tabela3[[#This Row],[Real GDP]]="",#N/A,((((Tabela3[[#This Row],[Real GDP]]*1)/B34)-1)*4))</f>
        <v>0.11426384441572157</v>
      </c>
      <c r="D35" s="7"/>
      <c r="E35" s="71"/>
      <c r="H35" s="63">
        <v>14.4410915314</v>
      </c>
      <c r="I35" s="63"/>
      <c r="J35" s="63"/>
    </row>
    <row r="36" spans="1:10">
      <c r="A36" s="6" t="s">
        <v>205</v>
      </c>
      <c r="B36" s="64">
        <v>3069.91</v>
      </c>
      <c r="C36" s="8">
        <f>IF(Tabela3[[#This Row],[Real GDP]]="",#N/A,((((Tabela3[[#This Row],[Real GDP]]*1)/B35)-1)*4))</f>
        <v>6.5101799356847678E-2</v>
      </c>
      <c r="D36" s="7"/>
      <c r="E36" s="71"/>
      <c r="H36" s="63">
        <v>15.3643805705</v>
      </c>
      <c r="I36" s="63"/>
      <c r="J36" s="63"/>
    </row>
    <row r="37" spans="1:10">
      <c r="A37" s="13" t="s">
        <v>206</v>
      </c>
      <c r="B37" s="64">
        <v>3111.3789999999999</v>
      </c>
      <c r="C37" s="8">
        <f>IF(Tabela3[[#This Row],[Real GDP]]="",#N/A,((((Tabela3[[#This Row],[Real GDP]]*1)/B36)-1)*4))</f>
        <v>5.4032854383353701E-2</v>
      </c>
      <c r="D37" s="7"/>
      <c r="E37" s="71"/>
      <c r="H37" s="63">
        <v>15.7943618822</v>
      </c>
      <c r="I37" s="63"/>
      <c r="J37" s="63"/>
    </row>
    <row r="38" spans="1:10">
      <c r="A38" s="6" t="s">
        <v>207</v>
      </c>
      <c r="B38" s="64">
        <v>3130.0680000000002</v>
      </c>
      <c r="C38" s="8">
        <f>IF(Tabela3[[#This Row],[Real GDP]]="",#N/A,((((Tabela3[[#This Row],[Real GDP]]*1)/B37)-1)*4))</f>
        <v>2.4026645419924719E-2</v>
      </c>
      <c r="D38" s="7"/>
      <c r="E38" s="71"/>
      <c r="H38" s="63">
        <v>15.6712951226</v>
      </c>
      <c r="I38" s="63"/>
      <c r="J38" s="63"/>
    </row>
    <row r="39" spans="1:10">
      <c r="A39" s="6" t="s">
        <v>208</v>
      </c>
      <c r="B39" s="64">
        <v>3117.922</v>
      </c>
      <c r="C39" s="8">
        <f>IF(Tabela3[[#This Row],[Real GDP]]="",#N/A,((((Tabela3[[#This Row],[Real GDP]]*1)/B38)-1)*4))</f>
        <v>-1.5521707515619543E-2</v>
      </c>
      <c r="D39" s="7"/>
      <c r="E39" s="71"/>
      <c r="H39" s="63">
        <v>16.227959175799999</v>
      </c>
      <c r="I39" s="63"/>
      <c r="J39" s="63"/>
    </row>
    <row r="40" spans="1:10">
      <c r="A40" s="6" t="s">
        <v>209</v>
      </c>
      <c r="B40" s="64">
        <v>3143.694</v>
      </c>
      <c r="C40" s="8">
        <f>IF(Tabela3[[#This Row],[Real GDP]]="",#N/A,((((Tabela3[[#This Row],[Real GDP]]*1)/B39)-1)*4))</f>
        <v>3.3063046477749936E-2</v>
      </c>
      <c r="D40" s="7"/>
      <c r="E40" s="71"/>
      <c r="H40" s="63">
        <v>15.5936511327</v>
      </c>
      <c r="I40" s="63"/>
      <c r="J40" s="63"/>
    </row>
    <row r="41" spans="1:10">
      <c r="A41" s="13" t="s">
        <v>210</v>
      </c>
      <c r="B41" s="64">
        <v>3140.8739999999998</v>
      </c>
      <c r="C41" s="8">
        <f>IF(Tabela3[[#This Row],[Real GDP]]="",#N/A,((((Tabela3[[#This Row],[Real GDP]]*1)/B40)-1)*4))</f>
        <v>-3.5881354864693016E-3</v>
      </c>
      <c r="D41" s="7"/>
      <c r="E41" s="71"/>
      <c r="H41" s="63">
        <v>15.1121766945</v>
      </c>
      <c r="I41" s="63"/>
      <c r="J41" s="63"/>
    </row>
    <row r="42" spans="1:10">
      <c r="A42" s="6" t="s">
        <v>211</v>
      </c>
      <c r="B42" s="64">
        <v>3192.57</v>
      </c>
      <c r="C42" s="8">
        <f>IF(Tabela3[[#This Row],[Real GDP]]="",#N/A,((((Tabela3[[#This Row],[Real GDP]]*1)/B41)-1)*4))</f>
        <v>6.583645189205356E-2</v>
      </c>
      <c r="D42" s="7"/>
      <c r="E42" s="71"/>
      <c r="H42" s="63">
        <v>15.882968053000001</v>
      </c>
      <c r="I42" s="63"/>
      <c r="J42" s="63"/>
    </row>
    <row r="43" spans="1:10">
      <c r="A43" s="6" t="s">
        <v>212</v>
      </c>
      <c r="B43" s="64">
        <v>3213.011</v>
      </c>
      <c r="C43" s="8">
        <f>IF(Tabela3[[#This Row],[Real GDP]]="",#N/A,((((Tabela3[[#This Row],[Real GDP]]*1)/B42)-1)*4))</f>
        <v>2.5610714878608221E-2</v>
      </c>
      <c r="D43" s="7"/>
      <c r="E43" s="71"/>
      <c r="H43" s="63">
        <v>15.0453599333</v>
      </c>
      <c r="I43" s="63"/>
      <c r="J43" s="63"/>
    </row>
    <row r="44" spans="1:10">
      <c r="A44" s="6" t="s">
        <v>213</v>
      </c>
      <c r="B44" s="64">
        <v>3205.97</v>
      </c>
      <c r="C44" s="8">
        <f>IF(Tabela3[[#This Row],[Real GDP]]="",#N/A,((((Tabela3[[#This Row],[Real GDP]]*1)/B43)-1)*4))</f>
        <v>-8.7656095793011701E-3</v>
      </c>
      <c r="D44" s="7"/>
      <c r="E44" s="71"/>
      <c r="H44" s="63">
        <v>15.598792449099999</v>
      </c>
      <c r="I44" s="63"/>
      <c r="J44" s="63"/>
    </row>
    <row r="45" spans="1:10">
      <c r="A45" s="13" t="s">
        <v>214</v>
      </c>
      <c r="B45" s="64">
        <v>3237.386</v>
      </c>
      <c r="C45" s="8">
        <f>IF(Tabela3[[#This Row],[Real GDP]]="",#N/A,((((Tabela3[[#This Row],[Real GDP]]*1)/B44)-1)*4))</f>
        <v>3.9196873333187554E-2</v>
      </c>
      <c r="D45" s="7"/>
      <c r="E45" s="71"/>
      <c r="H45" s="63">
        <v>14.220298723599999</v>
      </c>
      <c r="I45" s="63"/>
      <c r="J45" s="63"/>
    </row>
    <row r="46" spans="1:10">
      <c r="A46" s="6" t="s">
        <v>215</v>
      </c>
      <c r="B46" s="64">
        <v>3203.8939999999998</v>
      </c>
      <c r="C46" s="8">
        <f>IF(Tabela3[[#This Row],[Real GDP]]="",#N/A,((((Tabela3[[#This Row],[Real GDP]]*1)/B45)-1)*4))</f>
        <v>-4.1381534361364825E-2</v>
      </c>
      <c r="D46" s="7"/>
      <c r="E46" s="71"/>
      <c r="H46" s="63">
        <v>14.1305138094</v>
      </c>
      <c r="I46" s="63"/>
      <c r="J46" s="63"/>
    </row>
    <row r="47" spans="1:10">
      <c r="A47" s="6" t="s">
        <v>216</v>
      </c>
      <c r="B47" s="64">
        <v>3120.7240000000002</v>
      </c>
      <c r="C47" s="8">
        <f>IF(Tabela3[[#This Row],[Real GDP]]="",#N/A,((((Tabela3[[#This Row],[Real GDP]]*1)/B46)-1)*4))</f>
        <v>-0.10383614439179256</v>
      </c>
      <c r="D47" s="7"/>
      <c r="E47" s="71"/>
      <c r="H47" s="63">
        <v>14.649901590800001</v>
      </c>
      <c r="I47" s="63"/>
      <c r="J47" s="63"/>
    </row>
    <row r="48" spans="1:10">
      <c r="A48" s="6" t="s">
        <v>217</v>
      </c>
      <c r="B48" s="64">
        <v>3141.2240000000002</v>
      </c>
      <c r="C48" s="8">
        <f>IF(Tabela3[[#This Row],[Real GDP]]="",#N/A,((((Tabela3[[#This Row],[Real GDP]]*1)/B47)-1)*4))</f>
        <v>2.6275953913258654E-2</v>
      </c>
      <c r="D48" s="7"/>
      <c r="E48" s="71"/>
      <c r="H48" s="63">
        <v>15.199310905500001</v>
      </c>
      <c r="I48" s="63"/>
      <c r="J48" s="63"/>
    </row>
    <row r="49" spans="1:10">
      <c r="A49" s="13" t="s">
        <v>218</v>
      </c>
      <c r="B49" s="64">
        <v>3213.884</v>
      </c>
      <c r="C49" s="8">
        <f>IF(Tabela3[[#This Row],[Real GDP]]="",#N/A,((((Tabela3[[#This Row],[Real GDP]]*1)/B48)-1)*4))</f>
        <v>9.2524442701316545E-2</v>
      </c>
      <c r="D49" s="7"/>
      <c r="E49" s="71"/>
      <c r="H49" s="63">
        <v>16.239171596999999</v>
      </c>
      <c r="I49" s="63"/>
      <c r="J49" s="63"/>
    </row>
    <row r="50" spans="1:10">
      <c r="A50" s="6" t="s">
        <v>219</v>
      </c>
      <c r="B50" s="64">
        <v>3289.0320000000002</v>
      </c>
      <c r="C50" s="8">
        <f>IF(Tabela3[[#This Row],[Real GDP]]="",#N/A,((((Tabela3[[#This Row],[Real GDP]]*1)/B49)-1)*4))</f>
        <v>9.3529200182707051E-2</v>
      </c>
      <c r="D50" s="7"/>
      <c r="E50" s="71"/>
      <c r="H50" s="63">
        <v>16.515339351200002</v>
      </c>
      <c r="I50" s="63"/>
      <c r="J50" s="63"/>
    </row>
    <row r="51" spans="1:10">
      <c r="A51" s="6" t="s">
        <v>220</v>
      </c>
      <c r="B51" s="64">
        <v>3352.1289999999999</v>
      </c>
      <c r="C51" s="8">
        <f>IF(Tabela3[[#This Row],[Real GDP]]="",#N/A,((((Tabela3[[#This Row],[Real GDP]]*1)/B50)-1)*4))</f>
        <v>7.6736255530502007E-2</v>
      </c>
      <c r="D51" s="7"/>
      <c r="E51" s="71"/>
      <c r="H51" s="63">
        <v>16.6760896272</v>
      </c>
      <c r="I51" s="63"/>
      <c r="J51" s="63"/>
    </row>
    <row r="52" spans="1:10">
      <c r="A52" s="6" t="s">
        <v>221</v>
      </c>
      <c r="B52" s="64">
        <v>3427.6669999999999</v>
      </c>
      <c r="C52" s="8">
        <f>IF(Tabela3[[#This Row],[Real GDP]]="",#N/A,((((Tabela3[[#This Row],[Real GDP]]*1)/B51)-1)*4))</f>
        <v>9.0137342566470657E-2</v>
      </c>
      <c r="D52" s="7"/>
      <c r="E52" s="71"/>
      <c r="H52" s="63">
        <v>16.993088927999999</v>
      </c>
      <c r="I52" s="63"/>
      <c r="J52" s="63"/>
    </row>
    <row r="53" spans="1:10">
      <c r="A53" s="13" t="s">
        <v>222</v>
      </c>
      <c r="B53" s="64">
        <v>3430.0569999999998</v>
      </c>
      <c r="C53" s="8">
        <f>IF(Tabela3[[#This Row],[Real GDP]]="",#N/A,((((Tabela3[[#This Row],[Real GDP]]*1)/B52)-1)*4))</f>
        <v>2.7890690665106632E-3</v>
      </c>
      <c r="D53" s="7"/>
      <c r="E53" s="71"/>
      <c r="H53" s="63">
        <v>16.553652642100001</v>
      </c>
      <c r="I53" s="63"/>
      <c r="J53" s="63"/>
    </row>
    <row r="54" spans="1:10">
      <c r="A54" s="6" t="s">
        <v>223</v>
      </c>
      <c r="B54" s="64">
        <v>3439.8319999999999</v>
      </c>
      <c r="C54" s="8">
        <f>IF(Tabela3[[#This Row],[Real GDP]]="",#N/A,((((Tabela3[[#This Row],[Real GDP]]*1)/B53)-1)*4))</f>
        <v>1.1399227476394991E-2</v>
      </c>
      <c r="D54" s="7"/>
      <c r="E54" s="71"/>
      <c r="H54" s="63">
        <v>17.165105726899998</v>
      </c>
      <c r="I54" s="63"/>
      <c r="J54" s="63"/>
    </row>
    <row r="55" spans="1:10">
      <c r="A55" s="6" t="s">
        <v>224</v>
      </c>
      <c r="B55" s="64">
        <v>3517.181</v>
      </c>
      <c r="C55" s="8">
        <f>IF(Tabela3[[#This Row],[Real GDP]]="",#N/A,((((Tabela3[[#This Row],[Real GDP]]*1)/B54)-1)*4))</f>
        <v>8.9945090341621459E-2</v>
      </c>
      <c r="D55" s="7"/>
      <c r="E55" s="71"/>
      <c r="H55" s="63">
        <v>16.150002771800001</v>
      </c>
      <c r="I55" s="63"/>
      <c r="J55" s="63"/>
    </row>
    <row r="56" spans="1:10">
      <c r="A56" s="6" t="s">
        <v>225</v>
      </c>
      <c r="B56" s="64">
        <v>3498.2460000000001</v>
      </c>
      <c r="C56" s="8">
        <f>IF(Tabela3[[#This Row],[Real GDP]]="",#N/A,((((Tabela3[[#This Row],[Real GDP]]*1)/B55)-1)*4))</f>
        <v>-2.1534291240627113E-2</v>
      </c>
      <c r="D56" s="7"/>
      <c r="E56" s="71"/>
      <c r="H56" s="63">
        <v>16.277254129999999</v>
      </c>
      <c r="I56" s="63"/>
      <c r="J56" s="63"/>
    </row>
    <row r="57" spans="1:10">
      <c r="A57" s="13" t="s">
        <v>226</v>
      </c>
      <c r="B57" s="64">
        <v>3515.3850000000002</v>
      </c>
      <c r="C57" s="8">
        <f>IF(Tabela3[[#This Row],[Real GDP]]="",#N/A,((((Tabela3[[#This Row],[Real GDP]]*1)/B56)-1)*4))</f>
        <v>1.9597249593082289E-2</v>
      </c>
      <c r="D57" s="7"/>
      <c r="E57" s="71"/>
      <c r="H57" s="63">
        <v>15.1730052759</v>
      </c>
      <c r="I57" s="63"/>
      <c r="J57" s="63"/>
    </row>
    <row r="58" spans="1:10">
      <c r="A58" s="6" t="s">
        <v>227</v>
      </c>
      <c r="B58" s="64">
        <v>3470.2779999999998</v>
      </c>
      <c r="C58" s="8">
        <f>IF(Tabela3[[#This Row],[Real GDP]]="",#N/A,((((Tabela3[[#This Row],[Real GDP]]*1)/B57)-1)*4))</f>
        <v>-5.1325246025684557E-2</v>
      </c>
      <c r="D58" s="7"/>
      <c r="E58" s="71"/>
      <c r="H58" s="63">
        <v>16.536852430500002</v>
      </c>
      <c r="I58" s="63"/>
      <c r="J58" s="63"/>
    </row>
    <row r="59" spans="1:10">
      <c r="A59" s="6" t="s">
        <v>228</v>
      </c>
      <c r="B59" s="64">
        <v>3493.703</v>
      </c>
      <c r="C59" s="8">
        <f>IF(Tabela3[[#This Row],[Real GDP]]="",#N/A,((((Tabela3[[#This Row],[Real GDP]]*1)/B58)-1)*4))</f>
        <v>2.7000718674411672E-2</v>
      </c>
      <c r="D59" s="7"/>
      <c r="E59" s="71"/>
      <c r="H59" s="63">
        <v>17.9317862939</v>
      </c>
      <c r="I59" s="63"/>
      <c r="J59" s="63"/>
    </row>
    <row r="60" spans="1:10">
      <c r="A60" s="6" t="s">
        <v>229</v>
      </c>
      <c r="B60" s="64">
        <v>3553.0210000000002</v>
      </c>
      <c r="C60" s="8">
        <f>IF(Tabela3[[#This Row],[Real GDP]]="",#N/A,((((Tabela3[[#This Row],[Real GDP]]*1)/B59)-1)*4))</f>
        <v>6.7914187325024855E-2</v>
      </c>
      <c r="D60" s="7"/>
      <c r="E60" s="71"/>
      <c r="H60" s="63">
        <v>17.741243332700002</v>
      </c>
      <c r="I60" s="63"/>
      <c r="J60" s="63"/>
    </row>
    <row r="61" spans="1:10">
      <c r="A61" s="13" t="s">
        <v>230</v>
      </c>
      <c r="B61" s="64">
        <v>3621.252</v>
      </c>
      <c r="C61" s="8">
        <f>IF(Tabela3[[#This Row],[Real GDP]]="",#N/A,((((Tabela3[[#This Row],[Real GDP]]*1)/B60)-1)*4))</f>
        <v>7.6814631830208313E-2</v>
      </c>
      <c r="D61" s="7"/>
      <c r="E61" s="71"/>
      <c r="H61" s="63">
        <v>17.881811066699999</v>
      </c>
      <c r="I61" s="63"/>
      <c r="J61" s="63"/>
    </row>
    <row r="62" spans="1:10">
      <c r="A62" s="6" t="s">
        <v>231</v>
      </c>
      <c r="B62" s="64">
        <v>3692.2890000000002</v>
      </c>
      <c r="C62" s="8">
        <f>IF(Tabela3[[#This Row],[Real GDP]]="",#N/A,((((Tabela3[[#This Row],[Real GDP]]*1)/B61)-1)*4))</f>
        <v>7.8466784415997637E-2</v>
      </c>
      <c r="D62" s="7"/>
      <c r="E62" s="71"/>
      <c r="H62" s="63">
        <v>18.7404979752</v>
      </c>
      <c r="I62" s="63"/>
      <c r="J62" s="63"/>
    </row>
    <row r="63" spans="1:10">
      <c r="A63" s="6" t="s">
        <v>232</v>
      </c>
      <c r="B63" s="64">
        <v>3758.1469999999999</v>
      </c>
      <c r="C63" s="8">
        <f>IF(Tabela3[[#This Row],[Real GDP]]="",#N/A,((((Tabela3[[#This Row],[Real GDP]]*1)/B62)-1)*4))</f>
        <v>7.1346527858463737E-2</v>
      </c>
      <c r="D63" s="7"/>
      <c r="E63" s="71"/>
      <c r="H63" s="63">
        <v>18.228647132100001</v>
      </c>
      <c r="I63" s="63"/>
      <c r="J63" s="63"/>
    </row>
    <row r="64" spans="1:10">
      <c r="A64" s="6" t="s">
        <v>233</v>
      </c>
      <c r="B64" s="64">
        <v>3792.1489999999999</v>
      </c>
      <c r="C64" s="8">
        <f>IF(Tabela3[[#This Row],[Real GDP]]="",#N/A,((((Tabela3[[#This Row],[Real GDP]]*1)/B63)-1)*4))</f>
        <v>3.6190175637089261E-2</v>
      </c>
      <c r="D64" s="7"/>
      <c r="E64" s="71"/>
      <c r="H64" s="63">
        <v>14.3926654186</v>
      </c>
      <c r="I64" s="63"/>
      <c r="J64" s="63"/>
    </row>
    <row r="65" spans="1:10">
      <c r="A65" s="13" t="s">
        <v>234</v>
      </c>
      <c r="B65" s="64">
        <v>3838.7759999999998</v>
      </c>
      <c r="C65" s="8">
        <f>IF(Tabela3[[#This Row],[Real GDP]]="",#N/A,((((Tabela3[[#This Row],[Real GDP]]*1)/B64)-1)*4))</f>
        <v>4.918266660935533E-2</v>
      </c>
      <c r="D65" s="7"/>
      <c r="E65" s="71"/>
      <c r="H65" s="63">
        <v>14.904549918700001</v>
      </c>
      <c r="I65" s="63"/>
      <c r="J65" s="63"/>
    </row>
    <row r="66" spans="1:10">
      <c r="A66" s="6" t="s">
        <v>235</v>
      </c>
      <c r="B66" s="64">
        <v>3851.4209999999998</v>
      </c>
      <c r="C66" s="8">
        <f>IF(Tabela3[[#This Row],[Real GDP]]="",#N/A,((((Tabela3[[#This Row],[Real GDP]]*1)/B65)-1)*4))</f>
        <v>1.3176074873865851E-2</v>
      </c>
      <c r="D66" s="7"/>
      <c r="E66" s="71"/>
      <c r="H66" s="63">
        <v>17.563388790899999</v>
      </c>
      <c r="I66" s="63"/>
      <c r="J66" s="63"/>
    </row>
    <row r="67" spans="1:10">
      <c r="A67" s="6" t="s">
        <v>236</v>
      </c>
      <c r="B67" s="64">
        <v>3893.482</v>
      </c>
      <c r="C67" s="8">
        <f>IF(Tabela3[[#This Row],[Real GDP]]="",#N/A,((((Tabela3[[#This Row],[Real GDP]]*1)/B66)-1)*4))</f>
        <v>4.3683617033816624E-2</v>
      </c>
      <c r="D67" s="7"/>
      <c r="E67" s="71"/>
      <c r="H67" s="63">
        <v>17.859119905</v>
      </c>
      <c r="I67" s="63"/>
      <c r="J67" s="63"/>
    </row>
    <row r="68" spans="1:10">
      <c r="A68" s="6" t="s">
        <v>237</v>
      </c>
      <c r="B68" s="64">
        <v>3937.183</v>
      </c>
      <c r="C68" s="8">
        <f>IF(Tabela3[[#This Row],[Real GDP]]="",#N/A,((((Tabela3[[#This Row],[Real GDP]]*1)/B67)-1)*4))</f>
        <v>4.4896573298657039E-2</v>
      </c>
      <c r="D68" s="7"/>
      <c r="E68" s="71"/>
      <c r="H68" s="63">
        <v>18.4418359935</v>
      </c>
      <c r="I68" s="63"/>
      <c r="J68" s="63"/>
    </row>
    <row r="69" spans="1:10">
      <c r="A69" s="13" t="s">
        <v>238</v>
      </c>
      <c r="B69" s="64">
        <v>4023.7550000000001</v>
      </c>
      <c r="C69" s="8">
        <f>IF(Tabela3[[#This Row],[Real GDP]]="",#N/A,((((Tabela3[[#This Row],[Real GDP]]*1)/B68)-1)*4))</f>
        <v>8.7953239663993266E-2</v>
      </c>
      <c r="D69" s="7"/>
      <c r="E69" s="71"/>
      <c r="H69" s="63">
        <v>18.870263259400001</v>
      </c>
      <c r="I69" s="63"/>
      <c r="J69" s="63"/>
    </row>
    <row r="70" spans="1:10">
      <c r="A70" s="6" t="s">
        <v>239</v>
      </c>
      <c r="B70" s="64">
        <v>4050.1469999999999</v>
      </c>
      <c r="C70" s="8">
        <f>IF(Tabela3[[#This Row],[Real GDP]]="",#N/A,((((Tabela3[[#This Row],[Real GDP]]*1)/B69)-1)*4))</f>
        <v>2.6236189827661072E-2</v>
      </c>
      <c r="D70" s="7"/>
      <c r="E70" s="71"/>
      <c r="H70" s="63">
        <v>17.8475833579</v>
      </c>
      <c r="I70" s="63"/>
      <c r="J70" s="63"/>
    </row>
    <row r="71" spans="1:10">
      <c r="A71" s="6" t="s">
        <v>240</v>
      </c>
      <c r="B71" s="64">
        <v>4135.5529999999999</v>
      </c>
      <c r="C71" s="8">
        <f>IF(Tabela3[[#This Row],[Real GDP]]="",#N/A,((((Tabela3[[#This Row],[Real GDP]]*1)/B70)-1)*4))</f>
        <v>8.4348543398547804E-2</v>
      </c>
      <c r="D71" s="7"/>
      <c r="E71" s="71"/>
      <c r="H71" s="63">
        <v>18.641711772200001</v>
      </c>
      <c r="I71" s="63"/>
      <c r="J71" s="63"/>
    </row>
    <row r="72" spans="1:10">
      <c r="A72" s="6" t="s">
        <v>241</v>
      </c>
      <c r="B72" s="64">
        <v>4180.5919999999996</v>
      </c>
      <c r="C72" s="8">
        <f>IF(Tabela3[[#This Row],[Real GDP]]="",#N/A,((((Tabela3[[#This Row],[Real GDP]]*1)/B71)-1)*4))</f>
        <v>4.3562735140862507E-2</v>
      </c>
      <c r="D72" s="7"/>
      <c r="E72" s="71"/>
      <c r="H72" s="63">
        <v>18.856438668999999</v>
      </c>
      <c r="I72" s="63"/>
      <c r="J72" s="63"/>
    </row>
    <row r="73" spans="1:10">
      <c r="A73" s="13" t="s">
        <v>242</v>
      </c>
      <c r="B73" s="64">
        <v>4245.9179999999997</v>
      </c>
      <c r="C73" s="8">
        <f>IF(Tabela3[[#This Row],[Real GDP]]="",#N/A,((((Tabela3[[#This Row],[Real GDP]]*1)/B72)-1)*4))</f>
        <v>6.2504066409733383E-2</v>
      </c>
      <c r="D73" s="7"/>
      <c r="E73" s="71"/>
      <c r="H73" s="63">
        <v>19.154639366400001</v>
      </c>
      <c r="I73" s="63"/>
      <c r="J73" s="63"/>
    </row>
    <row r="74" spans="1:10">
      <c r="A74" s="6" t="s">
        <v>243</v>
      </c>
      <c r="B74" s="64">
        <v>4259.0460000000003</v>
      </c>
      <c r="C74" s="8">
        <f>IF(Tabela3[[#This Row],[Real GDP]]="",#N/A,((((Tabela3[[#This Row],[Real GDP]]*1)/B73)-1)*4))</f>
        <v>1.2367643463675471E-2</v>
      </c>
      <c r="D74" s="7"/>
      <c r="E74" s="71"/>
      <c r="H74" s="63">
        <v>19.216332142300001</v>
      </c>
      <c r="I74" s="63"/>
      <c r="J74" s="63"/>
    </row>
    <row r="75" spans="1:10">
      <c r="A75" s="6" t="s">
        <v>244</v>
      </c>
      <c r="B75" s="64">
        <v>4362.1109999999999</v>
      </c>
      <c r="C75" s="8">
        <f>IF(Tabela3[[#This Row],[Real GDP]]="",#N/A,((((Tabela3[[#This Row],[Real GDP]]*1)/B74)-1)*4))</f>
        <v>9.6796324810767054E-2</v>
      </c>
      <c r="D75" s="7"/>
      <c r="E75" s="71"/>
      <c r="H75" s="63">
        <v>19.4013950316</v>
      </c>
      <c r="I75" s="63"/>
      <c r="J75" s="63"/>
    </row>
    <row r="76" spans="1:10">
      <c r="A76" s="6" t="s">
        <v>245</v>
      </c>
      <c r="B76" s="64">
        <v>4417.2250000000004</v>
      </c>
      <c r="C76" s="8">
        <f>IF(Tabela3[[#This Row],[Real GDP]]="",#N/A,((((Tabela3[[#This Row],[Real GDP]]*1)/B75)-1)*4))</f>
        <v>5.0538833147529161E-2</v>
      </c>
      <c r="D76" s="7"/>
      <c r="E76" s="71"/>
      <c r="H76" s="63">
        <v>18.572573433300001</v>
      </c>
      <c r="I76" s="63"/>
      <c r="J76" s="63"/>
    </row>
    <row r="77" spans="1:10">
      <c r="A77" s="13" t="s">
        <v>246</v>
      </c>
      <c r="B77" s="64">
        <v>4515.4269999999997</v>
      </c>
      <c r="C77" s="8">
        <f>IF(Tabela3[[#This Row],[Real GDP]]="",#N/A,((((Tabela3[[#This Row],[Real GDP]]*1)/B76)-1)*4))</f>
        <v>8.8926418735743695E-2</v>
      </c>
      <c r="D77" s="7"/>
      <c r="E77" s="71"/>
      <c r="H77" s="63">
        <v>19.650900808700001</v>
      </c>
      <c r="I77" s="63"/>
      <c r="J77" s="63"/>
    </row>
    <row r="78" spans="1:10">
      <c r="A78" s="6" t="s">
        <v>247</v>
      </c>
      <c r="B78" s="64">
        <v>4619.4579999999996</v>
      </c>
      <c r="C78" s="8">
        <f>IF(Tabela3[[#This Row],[Real GDP]]="",#N/A,((((Tabela3[[#This Row],[Real GDP]]*1)/B77)-1)*4))</f>
        <v>9.2156068517994072E-2</v>
      </c>
      <c r="D78" s="7"/>
      <c r="E78" s="71"/>
      <c r="H78" s="63">
        <v>20.278389450799999</v>
      </c>
      <c r="I78" s="63"/>
      <c r="J78" s="63"/>
    </row>
    <row r="79" spans="1:10">
      <c r="A79" s="6" t="s">
        <v>248</v>
      </c>
      <c r="B79" s="64">
        <v>4731.8879999999999</v>
      </c>
      <c r="C79" s="8">
        <f>IF(Tabela3[[#This Row],[Real GDP]]="",#N/A,((((Tabela3[[#This Row],[Real GDP]]*1)/B78)-1)*4))</f>
        <v>9.7353412456612887E-2</v>
      </c>
      <c r="D79" s="7"/>
      <c r="E79" s="71"/>
      <c r="H79" s="63">
        <v>19.597275846700001</v>
      </c>
      <c r="I79" s="63"/>
      <c r="J79" s="63"/>
    </row>
    <row r="80" spans="1:10">
      <c r="A80" s="6" t="s">
        <v>249</v>
      </c>
      <c r="B80" s="64">
        <v>4748.0460000000003</v>
      </c>
      <c r="C80" s="8">
        <f>IF(Tabela3[[#This Row],[Real GDP]]="",#N/A,((((Tabela3[[#This Row],[Real GDP]]*1)/B79)-1)*4))</f>
        <v>1.3658818636451464E-2</v>
      </c>
      <c r="D80" s="7"/>
      <c r="E80" s="71"/>
      <c r="H80" s="63">
        <v>18.500460415300001</v>
      </c>
      <c r="I80" s="63"/>
      <c r="J80" s="63"/>
    </row>
    <row r="81" spans="1:10">
      <c r="A81" s="13" t="s">
        <v>250</v>
      </c>
      <c r="B81" s="64">
        <v>4788.2539999999999</v>
      </c>
      <c r="C81" s="8">
        <f>IF(Tabela3[[#This Row],[Real GDP]]="",#N/A,((((Tabela3[[#This Row],[Real GDP]]*1)/B80)-1)*4))</f>
        <v>3.3873302828152596E-2</v>
      </c>
      <c r="D81" s="7"/>
      <c r="E81" s="71"/>
      <c r="H81" s="63">
        <v>16.685826648300001</v>
      </c>
      <c r="I81" s="63"/>
      <c r="J81" s="63"/>
    </row>
    <row r="82" spans="1:10">
      <c r="A82" s="6" t="s">
        <v>251</v>
      </c>
      <c r="B82" s="64">
        <v>4827.5370000000003</v>
      </c>
      <c r="C82" s="8">
        <f>IF(Tabela3[[#This Row],[Real GDP]]="",#N/A,((((Tabela3[[#This Row],[Real GDP]]*1)/B81)-1)*4))</f>
        <v>3.2816137155631253E-2</v>
      </c>
      <c r="D82" s="7"/>
      <c r="E82" s="71"/>
      <c r="H82" s="63">
        <v>17.332961603200001</v>
      </c>
      <c r="I82" s="63"/>
      <c r="J82" s="63"/>
    </row>
    <row r="83" spans="1:10">
      <c r="A83" s="6" t="s">
        <v>252</v>
      </c>
      <c r="B83" s="64">
        <v>4870.299</v>
      </c>
      <c r="C83" s="8">
        <f>IF(Tabela3[[#This Row],[Real GDP]]="",#N/A,((((Tabela3[[#This Row],[Real GDP]]*1)/B82)-1)*4))</f>
        <v>3.5431732579159991E-2</v>
      </c>
      <c r="D83" s="7"/>
      <c r="E83" s="71"/>
      <c r="H83" s="63">
        <v>18.963632684099998</v>
      </c>
      <c r="I83" s="63"/>
      <c r="J83" s="63"/>
    </row>
    <row r="84" spans="1:10">
      <c r="A84" s="6" t="s">
        <v>253</v>
      </c>
      <c r="B84" s="64">
        <v>4873.2870000000003</v>
      </c>
      <c r="C84" s="8">
        <f>IF(Tabela3[[#This Row],[Real GDP]]="",#N/A,((((Tabela3[[#This Row],[Real GDP]]*1)/B83)-1)*4))</f>
        <v>2.4540587754469101E-3</v>
      </c>
      <c r="D84" s="7"/>
      <c r="E84" s="71"/>
      <c r="H84" s="63">
        <v>18.912905481199999</v>
      </c>
      <c r="I84" s="63"/>
      <c r="J84" s="63"/>
    </row>
    <row r="85" spans="1:10">
      <c r="A85" s="13" t="s">
        <v>254</v>
      </c>
      <c r="B85" s="64">
        <v>4919.3919999999998</v>
      </c>
      <c r="C85" s="8">
        <f>IF(Tabela3[[#This Row],[Real GDP]]="",#N/A,((((Tabela3[[#This Row],[Real GDP]]*1)/B84)-1)*4))</f>
        <v>3.7843041052168402E-2</v>
      </c>
      <c r="D85" s="7"/>
      <c r="E85" s="71"/>
      <c r="H85" s="63">
        <v>19.547182695299998</v>
      </c>
      <c r="I85" s="63"/>
      <c r="J85" s="63"/>
    </row>
    <row r="86" spans="1:10">
      <c r="A86" s="6" t="s">
        <v>255</v>
      </c>
      <c r="B86" s="64">
        <v>4956.4769999999999</v>
      </c>
      <c r="C86" s="8">
        <f>IF(Tabela3[[#This Row],[Real GDP]]="",#N/A,((((Tabela3[[#This Row],[Real GDP]]*1)/B85)-1)*4))</f>
        <v>3.0154132868451811E-2</v>
      </c>
      <c r="D86" s="7"/>
      <c r="E86" s="71"/>
      <c r="H86" s="63">
        <v>19.722450001799999</v>
      </c>
      <c r="I86" s="63"/>
      <c r="J86" s="63"/>
    </row>
    <row r="87" spans="1:10">
      <c r="A87" s="6" t="s">
        <v>256</v>
      </c>
      <c r="B87" s="64">
        <v>5057.5529999999999</v>
      </c>
      <c r="C87" s="8">
        <f>IF(Tabela3[[#This Row],[Real GDP]]="",#N/A,((((Tabela3[[#This Row],[Real GDP]]*1)/B86)-1)*4))</f>
        <v>8.1570841547333295E-2</v>
      </c>
      <c r="D87" s="7"/>
      <c r="E87" s="71"/>
      <c r="H87" s="63">
        <v>18.180687940599999</v>
      </c>
      <c r="I87" s="63"/>
      <c r="J87" s="63"/>
    </row>
    <row r="88" spans="1:10">
      <c r="A88" s="6" t="s">
        <v>257</v>
      </c>
      <c r="B88" s="64">
        <v>5142.0330000000004</v>
      </c>
      <c r="C88" s="8">
        <f>IF(Tabela3[[#This Row],[Real GDP]]="",#N/A,((((Tabela3[[#This Row],[Real GDP]]*1)/B87)-1)*4))</f>
        <v>6.6814920179779413E-2</v>
      </c>
      <c r="D88" s="7"/>
      <c r="E88" s="71"/>
      <c r="H88" s="63">
        <v>19.865214884099998</v>
      </c>
      <c r="I88" s="63"/>
      <c r="J88" s="63"/>
    </row>
    <row r="89" spans="1:10">
      <c r="A89" s="13" t="s">
        <v>258</v>
      </c>
      <c r="B89" s="64">
        <v>5181.8590000000004</v>
      </c>
      <c r="C89" s="8">
        <f>IF(Tabela3[[#This Row],[Real GDP]]="",#N/A,((((Tabela3[[#This Row],[Real GDP]]*1)/B88)-1)*4))</f>
        <v>3.0980742441753861E-2</v>
      </c>
      <c r="D89" s="7"/>
      <c r="E89" s="71"/>
      <c r="H89" s="63">
        <v>19.769989909700001</v>
      </c>
      <c r="I89" s="63"/>
      <c r="J89" s="63"/>
    </row>
    <row r="90" spans="1:10">
      <c r="A90" s="6" t="s">
        <v>259</v>
      </c>
      <c r="B90" s="64">
        <v>5202.2120000000004</v>
      </c>
      <c r="C90" s="8">
        <f>IF(Tabela3[[#This Row],[Real GDP]]="",#N/A,((((Tabela3[[#This Row],[Real GDP]]*1)/B89)-1)*4))</f>
        <v>1.5710963961002911E-2</v>
      </c>
      <c r="D90" s="7"/>
      <c r="E90" s="71"/>
      <c r="H90" s="63">
        <v>21.0893548608</v>
      </c>
      <c r="I90" s="63"/>
      <c r="J90" s="63"/>
    </row>
    <row r="91" spans="1:10">
      <c r="A91" s="6" t="s">
        <v>260</v>
      </c>
      <c r="B91" s="64">
        <v>5283.5969999999998</v>
      </c>
      <c r="C91" s="8">
        <f>IF(Tabela3[[#This Row],[Real GDP]]="",#N/A,((((Tabela3[[#This Row],[Real GDP]]*1)/B90)-1)*4))</f>
        <v>6.2577226764306992E-2</v>
      </c>
      <c r="D91" s="7"/>
      <c r="E91" s="71"/>
      <c r="H91" s="63">
        <v>19.801252314399999</v>
      </c>
      <c r="I91" s="63"/>
      <c r="J91" s="63"/>
    </row>
    <row r="92" spans="1:10">
      <c r="A92" s="6" t="s">
        <v>261</v>
      </c>
      <c r="B92" s="64">
        <v>5299.625</v>
      </c>
      <c r="C92" s="8">
        <f>IF(Tabela3[[#This Row],[Real GDP]]="",#N/A,((((Tabela3[[#This Row],[Real GDP]]*1)/B91)-1)*4))</f>
        <v>1.2134157847390803E-2</v>
      </c>
      <c r="D92" s="7"/>
      <c r="E92" s="71"/>
      <c r="H92" s="63">
        <v>18.735290131599999</v>
      </c>
      <c r="I92" s="63"/>
      <c r="J92" s="63"/>
    </row>
    <row r="93" spans="1:10">
      <c r="A93" s="13" t="s">
        <v>262</v>
      </c>
      <c r="B93" s="64">
        <v>5334.6</v>
      </c>
      <c r="C93" s="8">
        <f>IF(Tabela3[[#This Row],[Real GDP]]="",#N/A,((((Tabela3[[#This Row],[Real GDP]]*1)/B92)-1)*4))</f>
        <v>2.6398094204778566E-2</v>
      </c>
      <c r="D93" s="7"/>
      <c r="E93" s="71"/>
      <c r="H93" s="63">
        <v>18.056596637999998</v>
      </c>
      <c r="I93" s="63"/>
      <c r="J93" s="63"/>
    </row>
    <row r="94" spans="1:10">
      <c r="A94" s="6" t="s">
        <v>263</v>
      </c>
      <c r="B94" s="64">
        <v>5308.5559999999996</v>
      </c>
      <c r="C94" s="8">
        <f>IF(Tabela3[[#This Row],[Real GDP]]="",#N/A,((((Tabela3[[#This Row],[Real GDP]]*1)/B93)-1)*4))</f>
        <v>-1.9528362014022083E-2</v>
      </c>
      <c r="D94" s="7"/>
      <c r="E94" s="71"/>
      <c r="H94" s="63">
        <v>16.8074063603</v>
      </c>
      <c r="I94" s="63"/>
      <c r="J94" s="63"/>
    </row>
    <row r="95" spans="1:10">
      <c r="A95" s="6" t="s">
        <v>264</v>
      </c>
      <c r="B95" s="64">
        <v>5300.652</v>
      </c>
      <c r="C95" s="8">
        <f>IF(Tabela3[[#This Row],[Real GDP]]="",#N/A,((((Tabela3[[#This Row],[Real GDP]]*1)/B94)-1)*4))</f>
        <v>-5.9556685471524595E-3</v>
      </c>
      <c r="D95" s="7"/>
      <c r="E95" s="71"/>
      <c r="H95" s="63">
        <v>16.220848708599998</v>
      </c>
      <c r="I95" s="63"/>
      <c r="J95" s="63"/>
    </row>
    <row r="96" spans="1:10">
      <c r="A96" s="6" t="s">
        <v>265</v>
      </c>
      <c r="B96" s="64">
        <v>5308.1639999999998</v>
      </c>
      <c r="C96" s="8">
        <f>IF(Tabela3[[#This Row],[Real GDP]]="",#N/A,((((Tabela3[[#This Row],[Real GDP]]*1)/B95)-1)*4))</f>
        <v>5.6687366007048823E-3</v>
      </c>
      <c r="D96" s="7"/>
      <c r="E96" s="71"/>
      <c r="H96" s="63">
        <v>12.957925063799999</v>
      </c>
      <c r="I96" s="63"/>
      <c r="J96" s="63"/>
    </row>
    <row r="97" spans="1:10">
      <c r="A97" s="13" t="s">
        <v>266</v>
      </c>
      <c r="B97" s="64">
        <v>5357.0770000000002</v>
      </c>
      <c r="C97" s="8">
        <f>IF(Tabela3[[#This Row],[Real GDP]]="",#N/A,((((Tabela3[[#This Row],[Real GDP]]*1)/B96)-1)*4))</f>
        <v>3.685869539825859E-2</v>
      </c>
      <c r="D97" s="7"/>
      <c r="E97" s="71"/>
      <c r="H97" s="63">
        <v>14.6108221451</v>
      </c>
      <c r="I97" s="63"/>
      <c r="J97" s="63"/>
    </row>
    <row r="98" spans="1:10">
      <c r="A98" s="6" t="s">
        <v>267</v>
      </c>
      <c r="B98" s="64">
        <v>5299.6719999999996</v>
      </c>
      <c r="C98" s="8">
        <f>IF(Tabela3[[#This Row],[Real GDP]]="",#N/A,((((Tabela3[[#This Row],[Real GDP]]*1)/B97)-1)*4))</f>
        <v>-4.2862926928248779E-2</v>
      </c>
      <c r="D98" s="7"/>
      <c r="E98" s="71"/>
      <c r="H98" s="63">
        <v>15.529405129100001</v>
      </c>
      <c r="I98" s="63"/>
      <c r="J98" s="63"/>
    </row>
    <row r="99" spans="1:10">
      <c r="A99" s="6" t="s">
        <v>268</v>
      </c>
      <c r="B99" s="64">
        <v>5443.6189999999997</v>
      </c>
      <c r="C99" s="8">
        <f>IF(Tabela3[[#This Row],[Real GDP]]="",#N/A,((((Tabela3[[#This Row],[Real GDP]]*1)/B98)-1)*4))</f>
        <v>0.10864596903355572</v>
      </c>
      <c r="D99" s="7"/>
      <c r="E99" s="71"/>
      <c r="H99" s="63">
        <v>16.4886356566</v>
      </c>
      <c r="I99" s="63"/>
      <c r="J99" s="63"/>
    </row>
    <row r="100" spans="1:10">
      <c r="A100" s="6" t="s">
        <v>269</v>
      </c>
      <c r="B100" s="64">
        <v>5473.0590000000002</v>
      </c>
      <c r="C100" s="8">
        <f>IF(Tabela3[[#This Row],[Real GDP]]="",#N/A,((((Tabela3[[#This Row],[Real GDP]]*1)/B99)-1)*4))</f>
        <v>2.163266753239057E-2</v>
      </c>
      <c r="D100" s="7"/>
      <c r="E100" s="71"/>
      <c r="H100" s="63">
        <v>16.108889704300001</v>
      </c>
      <c r="I100" s="63"/>
      <c r="J100" s="63"/>
    </row>
    <row r="101" spans="1:10">
      <c r="A101" s="13" t="s">
        <v>270</v>
      </c>
      <c r="B101" s="64">
        <v>5518.0720000000001</v>
      </c>
      <c r="C101" s="8">
        <f>IF(Tabela3[[#This Row],[Real GDP]]="",#N/A,((((Tabela3[[#This Row],[Real GDP]]*1)/B100)-1)*4))</f>
        <v>3.2897873017630808E-2</v>
      </c>
      <c r="D101" s="7"/>
      <c r="E101" s="71"/>
      <c r="H101" s="63">
        <v>15.571474716499999</v>
      </c>
      <c r="I101" s="63"/>
      <c r="J101" s="63"/>
    </row>
    <row r="102" spans="1:10">
      <c r="A102" s="6" t="s">
        <v>271</v>
      </c>
      <c r="B102" s="64">
        <v>5531.0320000000002</v>
      </c>
      <c r="C102" s="8">
        <f>IF(Tabela3[[#This Row],[Real GDP]]="",#N/A,((((Tabela3[[#This Row],[Real GDP]]*1)/B101)-1)*4))</f>
        <v>9.3945856451309595E-3</v>
      </c>
      <c r="D102" s="7"/>
      <c r="E102" s="71"/>
      <c r="H102" s="63">
        <v>16.2437204547</v>
      </c>
      <c r="I102" s="63"/>
      <c r="J102" s="63"/>
    </row>
    <row r="103" spans="1:10">
      <c r="A103" s="6" t="s">
        <v>272</v>
      </c>
      <c r="B103" s="64">
        <v>5632.6490000000003</v>
      </c>
      <c r="C103" s="8">
        <f>IF(Tabela3[[#This Row],[Real GDP]]="",#N/A,((((Tabela3[[#This Row],[Real GDP]]*1)/B102)-1)*4))</f>
        <v>7.3488636478689529E-2</v>
      </c>
      <c r="D103" s="7"/>
      <c r="E103" s="71"/>
      <c r="H103" s="63">
        <v>16.613282890899999</v>
      </c>
      <c r="I103" s="63"/>
      <c r="J103" s="63"/>
    </row>
    <row r="104" spans="1:10">
      <c r="A104" s="6" t="s">
        <v>273</v>
      </c>
      <c r="B104" s="64">
        <v>5760.47</v>
      </c>
      <c r="C104" s="8">
        <f>IF(Tabela3[[#This Row],[Real GDP]]="",#N/A,((((Tabela3[[#This Row],[Real GDP]]*1)/B103)-1)*4))</f>
        <v>9.0771500230175661E-2</v>
      </c>
      <c r="D104" s="7"/>
      <c r="E104" s="71"/>
      <c r="H104" s="63">
        <v>16.254904102200001</v>
      </c>
      <c r="I104" s="63"/>
      <c r="J104" s="63"/>
    </row>
    <row r="105" spans="1:10">
      <c r="A105" s="13" t="s">
        <v>274</v>
      </c>
      <c r="B105" s="64">
        <v>5814.8540000000003</v>
      </c>
      <c r="C105" s="8">
        <f>IF(Tabela3[[#This Row],[Real GDP]]="",#N/A,((((Tabela3[[#This Row],[Real GDP]]*1)/B104)-1)*4))</f>
        <v>3.7763585263007826E-2</v>
      </c>
      <c r="D105" s="7"/>
      <c r="E105" s="71"/>
      <c r="H105" s="63">
        <v>16.1872798311</v>
      </c>
      <c r="I105" s="63"/>
      <c r="J105" s="63"/>
    </row>
    <row r="106" spans="1:10">
      <c r="A106" s="6" t="s">
        <v>275</v>
      </c>
      <c r="B106" s="64">
        <v>5912.22</v>
      </c>
      <c r="C106" s="8">
        <f>IF(Tabela3[[#This Row],[Real GDP]]="",#N/A,((((Tabela3[[#This Row],[Real GDP]]*1)/B105)-1)*4))</f>
        <v>6.6977433999202418E-2</v>
      </c>
      <c r="D106" s="7"/>
      <c r="E106" s="71"/>
      <c r="H106" s="63">
        <v>17.667032191600001</v>
      </c>
      <c r="I106" s="63"/>
      <c r="J106" s="63"/>
    </row>
    <row r="107" spans="1:10">
      <c r="A107" s="6" t="s">
        <v>276</v>
      </c>
      <c r="B107" s="64">
        <v>6058.5439999999999</v>
      </c>
      <c r="C107" s="8">
        <f>IF(Tabela3[[#This Row],[Real GDP]]="",#N/A,((((Tabela3[[#This Row],[Real GDP]]*1)/B106)-1)*4))</f>
        <v>9.8997669234229591E-2</v>
      </c>
      <c r="D107" s="7"/>
      <c r="E107" s="71"/>
      <c r="H107" s="63">
        <v>16.1251921002</v>
      </c>
      <c r="I107" s="63"/>
      <c r="J107" s="63"/>
    </row>
    <row r="108" spans="1:10">
      <c r="A108" s="6" t="s">
        <v>277</v>
      </c>
      <c r="B108" s="64">
        <v>6124.5060000000003</v>
      </c>
      <c r="C108" s="8">
        <f>IF(Tabela3[[#This Row],[Real GDP]]="",#N/A,((((Tabela3[[#This Row],[Real GDP]]*1)/B107)-1)*4))</f>
        <v>4.3549737362640784E-2</v>
      </c>
      <c r="D108" s="7"/>
      <c r="E108" s="71"/>
      <c r="H108" s="63">
        <v>14.6089130342</v>
      </c>
      <c r="I108" s="63"/>
      <c r="J108" s="63"/>
    </row>
    <row r="109" spans="1:10">
      <c r="A109" s="13" t="s">
        <v>278</v>
      </c>
      <c r="B109" s="64">
        <v>6092.3010000000004</v>
      </c>
      <c r="C109" s="8">
        <f>IF(Tabela3[[#This Row],[Real GDP]]="",#N/A,((((Tabela3[[#This Row],[Real GDP]]*1)/B108)-1)*4))</f>
        <v>-2.1033533153531181E-2</v>
      </c>
      <c r="D109" s="7"/>
      <c r="E109" s="71"/>
      <c r="H109" s="63">
        <v>14.9298134331</v>
      </c>
      <c r="I109" s="63"/>
      <c r="J109" s="63"/>
    </row>
    <row r="110" spans="1:10">
      <c r="A110" s="6" t="s">
        <v>279</v>
      </c>
      <c r="B110" s="64">
        <v>6150.1310000000003</v>
      </c>
      <c r="C110" s="8">
        <f>IF(Tabela3[[#This Row],[Real GDP]]="",#N/A,((((Tabela3[[#This Row],[Real GDP]]*1)/B109)-1)*4))</f>
        <v>3.7969233627819676E-2</v>
      </c>
      <c r="D110" s="7"/>
      <c r="E110" s="71"/>
      <c r="H110" s="63">
        <v>12.417347525</v>
      </c>
      <c r="I110" s="63"/>
      <c r="J110" s="63"/>
    </row>
    <row r="111" spans="1:10">
      <c r="A111" s="6" t="s">
        <v>280</v>
      </c>
      <c r="B111" s="64">
        <v>6097.2579999999998</v>
      </c>
      <c r="C111" s="8">
        <f>IF(Tabela3[[#This Row],[Real GDP]]="",#N/A,((((Tabela3[[#This Row],[Real GDP]]*1)/B110)-1)*4))</f>
        <v>-3.4388210592587676E-2</v>
      </c>
      <c r="D111" s="7"/>
      <c r="E111" s="71"/>
      <c r="H111" s="63">
        <v>11.7187498964</v>
      </c>
      <c r="I111" s="63"/>
      <c r="J111" s="63"/>
    </row>
    <row r="112" spans="1:10">
      <c r="A112" s="6" t="s">
        <v>281</v>
      </c>
      <c r="B112" s="64">
        <v>6111.7510000000002</v>
      </c>
      <c r="C112" s="8">
        <f>IF(Tabela3[[#This Row],[Real GDP]]="",#N/A,((((Tabela3[[#This Row],[Real GDP]]*1)/B111)-1)*4))</f>
        <v>9.5078804275630091E-3</v>
      </c>
      <c r="D112" s="7"/>
      <c r="E112" s="71"/>
      <c r="H112" s="63">
        <v>10.310306944500001</v>
      </c>
      <c r="I112" s="63"/>
      <c r="J112" s="63"/>
    </row>
    <row r="113" spans="1:10">
      <c r="A113" s="13" t="s">
        <v>282</v>
      </c>
      <c r="B113" s="64">
        <v>6053.9780000000001</v>
      </c>
      <c r="C113" s="8">
        <f>IF(Tabela3[[#This Row],[Real GDP]]="",#N/A,((((Tabela3[[#This Row],[Real GDP]]*1)/B112)-1)*4))</f>
        <v>-3.7811095380031023E-2</v>
      </c>
      <c r="D113" s="7"/>
      <c r="E113" s="71"/>
      <c r="H113" s="63">
        <v>7.6131015842999998</v>
      </c>
      <c r="I113" s="63"/>
      <c r="J113" s="63"/>
    </row>
    <row r="114" spans="1:10">
      <c r="A114" s="6" t="s">
        <v>283</v>
      </c>
      <c r="B114" s="64">
        <v>6030.4639999999999</v>
      </c>
      <c r="C114" s="8">
        <f>IF(Tabela3[[#This Row],[Real GDP]]="",#N/A,((((Tabela3[[#This Row],[Real GDP]]*1)/B113)-1)*4))</f>
        <v>-1.5536230888186342E-2</v>
      </c>
      <c r="D114" s="7"/>
      <c r="E114" s="71"/>
      <c r="H114" s="63">
        <v>7.4317460438999996</v>
      </c>
      <c r="I114" s="63"/>
      <c r="J114" s="63"/>
    </row>
    <row r="115" spans="1:10">
      <c r="A115" s="6" t="s">
        <v>284</v>
      </c>
      <c r="B115" s="64">
        <v>5957.0349999999999</v>
      </c>
      <c r="C115" s="8">
        <f>IF(Tabela3[[#This Row],[Real GDP]]="",#N/A,((((Tabela3[[#This Row],[Real GDP]]*1)/B114)-1)*4))</f>
        <v>-4.8705373251544337E-2</v>
      </c>
      <c r="D115" s="7"/>
      <c r="E115" s="71"/>
      <c r="H115" s="63">
        <v>8.8687205711000008</v>
      </c>
      <c r="I115" s="63"/>
      <c r="J115" s="63"/>
    </row>
    <row r="116" spans="1:10">
      <c r="A116" s="6" t="s">
        <v>285</v>
      </c>
      <c r="B116" s="64">
        <v>5999.61</v>
      </c>
      <c r="C116" s="8">
        <f>IF(Tabela3[[#This Row],[Real GDP]]="",#N/A,((((Tabela3[[#This Row],[Real GDP]]*1)/B115)-1)*4))</f>
        <v>2.8588047577359887E-2</v>
      </c>
      <c r="D116" s="7"/>
      <c r="E116" s="71"/>
      <c r="H116" s="63">
        <v>9.8152160450999997</v>
      </c>
      <c r="I116" s="63"/>
      <c r="J116" s="63"/>
    </row>
    <row r="117" spans="1:10">
      <c r="A117" s="13" t="s">
        <v>286</v>
      </c>
      <c r="B117" s="64">
        <v>6102.326</v>
      </c>
      <c r="C117" s="8">
        <f>IF(Tabela3[[#This Row],[Real GDP]]="",#N/A,((((Tabela3[[#This Row],[Real GDP]]*1)/B116)-1)*4))</f>
        <v>6.8481784649335964E-2</v>
      </c>
      <c r="D117" s="7"/>
      <c r="E117" s="71"/>
      <c r="H117" s="63">
        <v>8.5455388242999994</v>
      </c>
      <c r="I117" s="63"/>
      <c r="J117" s="63"/>
    </row>
    <row r="118" spans="1:10">
      <c r="A118" s="6" t="s">
        <v>287</v>
      </c>
      <c r="B118" s="64">
        <v>6184.53</v>
      </c>
      <c r="C118" s="8">
        <f>IF(Tabela3[[#This Row],[Real GDP]]="",#N/A,((((Tabela3[[#This Row],[Real GDP]]*1)/B117)-1)*4))</f>
        <v>5.3883715815903344E-2</v>
      </c>
      <c r="D118" s="7"/>
      <c r="E118" s="71"/>
      <c r="H118" s="63">
        <v>8.9574527085</v>
      </c>
      <c r="I118" s="63"/>
      <c r="J118" s="63"/>
    </row>
    <row r="119" spans="1:10">
      <c r="A119" s="6" t="s">
        <v>288</v>
      </c>
      <c r="B119" s="64">
        <v>6323.6490000000003</v>
      </c>
      <c r="C119" s="8">
        <f>IF(Tabela3[[#This Row],[Real GDP]]="",#N/A,((((Tabela3[[#This Row],[Real GDP]]*1)/B118)-1)*4))</f>
        <v>8.9978704929881914E-2</v>
      </c>
      <c r="D119" s="7"/>
      <c r="E119" s="71"/>
      <c r="H119" s="63">
        <v>10.0991503639</v>
      </c>
      <c r="I119" s="63"/>
      <c r="J119" s="63"/>
    </row>
    <row r="120" spans="1:10">
      <c r="A120" s="6" t="s">
        <v>289</v>
      </c>
      <c r="B120" s="64">
        <v>6370.0249999999996</v>
      </c>
      <c r="C120" s="8">
        <f>IF(Tabela3[[#This Row],[Real GDP]]="",#N/A,((((Tabela3[[#This Row],[Real GDP]]*1)/B119)-1)*4))</f>
        <v>2.9334961507192503E-2</v>
      </c>
      <c r="D120" s="7"/>
      <c r="E120" s="71"/>
      <c r="H120" s="63">
        <v>10.0757960985</v>
      </c>
      <c r="I120" s="63"/>
      <c r="J120" s="63"/>
    </row>
    <row r="121" spans="1:10">
      <c r="A121" s="13" t="s">
        <v>290</v>
      </c>
      <c r="B121" s="64">
        <v>6404.8950000000004</v>
      </c>
      <c r="C121" s="8">
        <f>IF(Tabela3[[#This Row],[Real GDP]]="",#N/A,((((Tabela3[[#This Row],[Real GDP]]*1)/B120)-1)*4))</f>
        <v>2.1896303389704386E-2</v>
      </c>
      <c r="D121" s="7"/>
      <c r="E121" s="71"/>
      <c r="H121" s="63">
        <v>10.0143819869</v>
      </c>
      <c r="I121" s="63"/>
      <c r="J121" s="63"/>
    </row>
    <row r="122" spans="1:10">
      <c r="A122" s="6" t="s">
        <v>291</v>
      </c>
      <c r="B122" s="64">
        <v>6451.1769999999997</v>
      </c>
      <c r="C122" s="8">
        <f>IF(Tabela3[[#This Row],[Real GDP]]="",#N/A,((((Tabela3[[#This Row],[Real GDP]]*1)/B121)-1)*4))</f>
        <v>2.8904142846993608E-2</v>
      </c>
      <c r="D122" s="7"/>
      <c r="E122" s="71"/>
      <c r="H122" s="63">
        <v>10.0903204085</v>
      </c>
      <c r="I122" s="63"/>
      <c r="J122" s="63"/>
    </row>
    <row r="123" spans="1:10">
      <c r="A123" s="6" t="s">
        <v>292</v>
      </c>
      <c r="B123" s="64">
        <v>6527.7030000000004</v>
      </c>
      <c r="C123" s="8">
        <f>IF(Tabela3[[#This Row],[Real GDP]]="",#N/A,((((Tabela3[[#This Row],[Real GDP]]*1)/B122)-1)*4))</f>
        <v>4.7449325913706097E-2</v>
      </c>
      <c r="D123" s="7"/>
      <c r="E123" s="71"/>
      <c r="H123" s="63">
        <v>9.0956925917000007</v>
      </c>
      <c r="I123" s="63"/>
      <c r="J123" s="63"/>
    </row>
    <row r="124" spans="1:10">
      <c r="A124" s="6" t="s">
        <v>293</v>
      </c>
      <c r="B124" s="64">
        <v>6654.4660000000003</v>
      </c>
      <c r="C124" s="8">
        <f>IF(Tabela3[[#This Row],[Real GDP]]="",#N/A,((((Tabela3[[#This Row],[Real GDP]]*1)/B123)-1)*4))</f>
        <v>7.7676940877977607E-2</v>
      </c>
      <c r="D124" s="7"/>
      <c r="E124" s="71"/>
      <c r="H124" s="63">
        <v>9.0508798131999999</v>
      </c>
      <c r="I124" s="63"/>
      <c r="J124" s="63"/>
    </row>
    <row r="125" spans="1:10">
      <c r="A125" s="13" t="s">
        <v>294</v>
      </c>
      <c r="B125" s="64">
        <v>6774.4570000000003</v>
      </c>
      <c r="C125" s="8">
        <f>IF(Tabela3[[#This Row],[Real GDP]]="",#N/A,((((Tabela3[[#This Row],[Real GDP]]*1)/B124)-1)*4))</f>
        <v>7.2126598888625715E-2</v>
      </c>
      <c r="D125" s="7"/>
      <c r="E125" s="71"/>
      <c r="H125" s="63">
        <v>8.4234106542999996</v>
      </c>
      <c r="I125" s="63"/>
      <c r="J125" s="63"/>
    </row>
    <row r="126" spans="1:10">
      <c r="A126" s="6" t="s">
        <v>295</v>
      </c>
      <c r="B126" s="64">
        <v>6774.5919999999996</v>
      </c>
      <c r="C126" s="8">
        <f>IF(Tabela3[[#This Row],[Real GDP]]="",#N/A,((((Tabela3[[#This Row],[Real GDP]]*1)/B125)-1)*4))</f>
        <v>7.9711185708042365E-5</v>
      </c>
      <c r="D126" s="7"/>
      <c r="E126" s="71"/>
      <c r="H126" s="63">
        <v>7.8156945587999997</v>
      </c>
      <c r="I126" s="63"/>
      <c r="J126" s="63"/>
    </row>
    <row r="127" spans="1:10">
      <c r="A127" s="6" t="s">
        <v>296</v>
      </c>
      <c r="B127" s="64">
        <v>6796.26</v>
      </c>
      <c r="C127" s="8">
        <f>IF(Tabela3[[#This Row],[Real GDP]]="",#N/A,((((Tabela3[[#This Row],[Real GDP]]*1)/B126)-1)*4))</f>
        <v>1.2793685582837E-2</v>
      </c>
      <c r="D127" s="7"/>
      <c r="E127" s="71"/>
      <c r="H127" s="63">
        <v>7.1928813274000003</v>
      </c>
      <c r="I127" s="63"/>
      <c r="J127" s="63"/>
    </row>
    <row r="128" spans="1:10">
      <c r="A128" s="6" t="s">
        <v>297</v>
      </c>
      <c r="B128" s="64">
        <v>7058.92</v>
      </c>
      <c r="C128" s="8">
        <f>IF(Tabela3[[#This Row],[Real GDP]]="",#N/A,((((Tabela3[[#This Row],[Real GDP]]*1)/B127)-1)*4))</f>
        <v>0.15459090735198444</v>
      </c>
      <c r="D128" s="7"/>
      <c r="E128" s="71"/>
      <c r="H128" s="63">
        <v>7.4188405120000001</v>
      </c>
      <c r="I128" s="63"/>
      <c r="J128" s="63"/>
    </row>
    <row r="129" spans="1:10">
      <c r="A129" s="13" t="s">
        <v>298</v>
      </c>
      <c r="B129" s="64">
        <v>7129.915</v>
      </c>
      <c r="C129" s="8">
        <f>IF(Tabela3[[#This Row],[Real GDP]]="",#N/A,((((Tabela3[[#This Row],[Real GDP]]*1)/B128)-1)*4))</f>
        <v>4.0229950190680874E-2</v>
      </c>
      <c r="D129" s="7"/>
      <c r="E129" s="71"/>
      <c r="H129" s="63">
        <v>7.6727286079999999</v>
      </c>
      <c r="I129" s="63"/>
      <c r="J129" s="63"/>
    </row>
    <row r="130" spans="1:10">
      <c r="A130" s="6" t="s">
        <v>299</v>
      </c>
      <c r="B130" s="64">
        <v>7225.75</v>
      </c>
      <c r="C130" s="8">
        <f>IF(Tabela3[[#This Row],[Real GDP]]="",#N/A,((((Tabela3[[#This Row],[Real GDP]]*1)/B129)-1)*4))</f>
        <v>5.3765016834001145E-2</v>
      </c>
      <c r="D130" s="7"/>
      <c r="E130" s="71"/>
      <c r="H130" s="63">
        <v>7.1307940334</v>
      </c>
      <c r="I130" s="63"/>
      <c r="J130" s="63"/>
    </row>
    <row r="131" spans="1:10">
      <c r="A131" s="6" t="s">
        <v>300</v>
      </c>
      <c r="B131" s="64">
        <v>7238.7269999999999</v>
      </c>
      <c r="C131" s="8">
        <f>IF(Tabela3[[#This Row],[Real GDP]]="",#N/A,((((Tabela3[[#This Row],[Real GDP]]*1)/B130)-1)*4))</f>
        <v>7.1837525516382783E-3</v>
      </c>
      <c r="D131" s="7"/>
      <c r="E131" s="71"/>
      <c r="H131" s="63">
        <v>7.3239371301</v>
      </c>
      <c r="I131" s="63"/>
      <c r="J131" s="63"/>
    </row>
    <row r="132" spans="1:10">
      <c r="A132" s="6" t="s">
        <v>301</v>
      </c>
      <c r="B132" s="64">
        <v>7246.4539999999997</v>
      </c>
      <c r="C132" s="8">
        <f>IF(Tabela3[[#This Row],[Real GDP]]="",#N/A,((((Tabela3[[#This Row],[Real GDP]]*1)/B131)-1)*4))</f>
        <v>4.2698115290162875E-3</v>
      </c>
      <c r="D132" s="7"/>
      <c r="E132" s="71"/>
      <c r="H132" s="63">
        <v>7.2157718883999999</v>
      </c>
      <c r="I132" s="63"/>
      <c r="J132" s="63"/>
    </row>
    <row r="133" spans="1:10">
      <c r="A133" s="13" t="s">
        <v>302</v>
      </c>
      <c r="B133" s="64">
        <v>7300.2809999999999</v>
      </c>
      <c r="C133" s="8">
        <f>IF(Tabela3[[#This Row],[Real GDP]]="",#N/A,((((Tabela3[[#This Row],[Real GDP]]*1)/B132)-1)*4))</f>
        <v>2.9712187505778864E-2</v>
      </c>
      <c r="D133" s="7"/>
      <c r="E133" s="71"/>
      <c r="H133" s="63">
        <v>7.4184037500000004</v>
      </c>
      <c r="I133" s="63"/>
      <c r="J133" s="63"/>
    </row>
    <row r="134" spans="1:10">
      <c r="A134" s="6" t="s">
        <v>303</v>
      </c>
      <c r="B134" s="64">
        <v>7318.5349999999999</v>
      </c>
      <c r="C134" s="8">
        <f>IF(Tabela3[[#This Row],[Real GDP]]="",#N/A,((((Tabela3[[#This Row],[Real GDP]]*1)/B133)-1)*4))</f>
        <v>1.0001806779766476E-2</v>
      </c>
      <c r="D134" s="7"/>
      <c r="E134" s="71"/>
      <c r="H134" s="63">
        <v>7.4960761621999996</v>
      </c>
      <c r="I134" s="63"/>
      <c r="J134" s="63"/>
    </row>
    <row r="135" spans="1:10">
      <c r="A135" s="6" t="s">
        <v>304</v>
      </c>
      <c r="B135" s="64">
        <v>7341.5569999999998</v>
      </c>
      <c r="C135" s="8">
        <f>IF(Tabela3[[#This Row],[Real GDP]]="",#N/A,((((Tabela3[[#This Row],[Real GDP]]*1)/B134)-1)*4))</f>
        <v>1.2582846157052074E-2</v>
      </c>
      <c r="D135" s="7"/>
      <c r="E135" s="71"/>
      <c r="H135" s="63">
        <v>6.7143598686999999</v>
      </c>
      <c r="I135" s="63"/>
      <c r="J135" s="63">
        <v>10.615740000000001</v>
      </c>
    </row>
    <row r="136" spans="1:10">
      <c r="A136" s="6" t="s">
        <v>305</v>
      </c>
      <c r="B136" s="64">
        <v>7190.2889999999998</v>
      </c>
      <c r="C136" s="8">
        <f>IF(Tabela3[[#This Row],[Real GDP]]="",#N/A,((((Tabela3[[#This Row],[Real GDP]]*1)/B135)-1)*4))</f>
        <v>-8.2417394566302704E-2</v>
      </c>
      <c r="D136" s="7"/>
      <c r="E136" s="71"/>
      <c r="H136" s="63">
        <v>7.4137773146999999</v>
      </c>
      <c r="I136" s="63"/>
      <c r="J136" s="63">
        <v>10.636900000000001</v>
      </c>
    </row>
    <row r="137" spans="1:10">
      <c r="A137" s="13" t="s">
        <v>306</v>
      </c>
      <c r="B137" s="64">
        <v>7181.7430000000004</v>
      </c>
      <c r="C137" s="8">
        <f>IF(Tabela3[[#This Row],[Real GDP]]="",#N/A,((((Tabela3[[#This Row],[Real GDP]]*1)/B136)-1)*4))</f>
        <v>-4.7541899915284347E-3</v>
      </c>
      <c r="D137" s="7"/>
      <c r="E137" s="71"/>
      <c r="H137" s="63">
        <v>8.0302842542999997</v>
      </c>
      <c r="I137" s="63"/>
      <c r="J137" s="63">
        <v>10.406385999999999</v>
      </c>
    </row>
    <row r="138" spans="1:10">
      <c r="A138" s="6" t="s">
        <v>307</v>
      </c>
      <c r="B138" s="64">
        <v>7315.6769999999997</v>
      </c>
      <c r="C138" s="8">
        <f>IF(Tabela3[[#This Row],[Real GDP]]="",#N/A,((((Tabela3[[#This Row],[Real GDP]]*1)/B137)-1)*4))</f>
        <v>7.459693280586599E-2</v>
      </c>
      <c r="D138" s="7"/>
      <c r="E138" s="71"/>
      <c r="H138" s="63">
        <v>8.6279543536999999</v>
      </c>
      <c r="I138" s="63"/>
      <c r="J138" s="63">
        <v>10.252837</v>
      </c>
    </row>
    <row r="139" spans="1:10">
      <c r="A139" s="6" t="s">
        <v>308</v>
      </c>
      <c r="B139" s="64">
        <v>7459.0219999999999</v>
      </c>
      <c r="C139" s="8">
        <f>IF(Tabela3[[#This Row],[Real GDP]]="",#N/A,((((Tabela3[[#This Row],[Real GDP]]*1)/B138)-1)*4))</f>
        <v>7.8376888427414748E-2</v>
      </c>
      <c r="D139" s="7"/>
      <c r="E139" s="71"/>
      <c r="H139" s="63">
        <v>8.5129715099999999</v>
      </c>
      <c r="I139" s="63"/>
      <c r="J139" s="63">
        <v>10.287516</v>
      </c>
    </row>
    <row r="140" spans="1:10">
      <c r="A140" s="6" t="s">
        <v>309</v>
      </c>
      <c r="B140" s="64">
        <v>7403.7449999999999</v>
      </c>
      <c r="C140" s="8">
        <f>IF(Tabela3[[#This Row],[Real GDP]]="",#N/A,((((Tabela3[[#This Row],[Real GDP]]*1)/B139)-1)*4))</f>
        <v>-2.9643028268317106E-2</v>
      </c>
      <c r="D140" s="7"/>
      <c r="E140" s="71"/>
      <c r="H140" s="63">
        <v>8.1137021531000002</v>
      </c>
      <c r="I140" s="63"/>
      <c r="J140" s="63">
        <v>10.416878000000001</v>
      </c>
    </row>
    <row r="141" spans="1:10">
      <c r="A141" s="13" t="s">
        <v>310</v>
      </c>
      <c r="B141" s="64">
        <v>7492.4049999999997</v>
      </c>
      <c r="C141" s="8">
        <f>IF(Tabela3[[#This Row],[Real GDP]]="",#N/A,((((Tabela3[[#This Row],[Real GDP]]*1)/B140)-1)*4))</f>
        <v>4.790008299853632E-2</v>
      </c>
      <c r="D141" s="7"/>
      <c r="E141" s="71"/>
      <c r="H141" s="63">
        <v>6.7670979963000004</v>
      </c>
      <c r="I141" s="63"/>
      <c r="J141" s="63">
        <v>10.306743000000001</v>
      </c>
    </row>
    <row r="142" spans="1:10">
      <c r="A142" s="6" t="s">
        <v>311</v>
      </c>
      <c r="B142" s="64">
        <v>7410.768</v>
      </c>
      <c r="C142" s="8">
        <f>IF(Tabela3[[#This Row],[Real GDP]]="",#N/A,((((Tabela3[[#This Row],[Real GDP]]*1)/B141)-1)*4))</f>
        <v>-4.3583869264942177E-2</v>
      </c>
      <c r="D142" s="7"/>
      <c r="E142" s="71"/>
      <c r="H142" s="63">
        <v>7.1249402816999998</v>
      </c>
      <c r="I142" s="63"/>
      <c r="J142" s="63">
        <v>10.379325</v>
      </c>
    </row>
    <row r="143" spans="1:10">
      <c r="A143" s="6" t="s">
        <v>312</v>
      </c>
      <c r="B143" s="64">
        <v>7295.6310000000003</v>
      </c>
      <c r="C143" s="8">
        <f>IF(Tabela3[[#This Row],[Real GDP]]="",#N/A,((((Tabela3[[#This Row],[Real GDP]]*1)/B142)-1)*4))</f>
        <v>-6.2145785699943445E-2</v>
      </c>
      <c r="D143" s="7"/>
      <c r="E143" s="71"/>
      <c r="H143" s="63">
        <v>6.0883338192999998</v>
      </c>
      <c r="I143" s="63"/>
      <c r="J143" s="63">
        <v>10.447258</v>
      </c>
    </row>
    <row r="144" spans="1:10">
      <c r="A144" s="6" t="s">
        <v>313</v>
      </c>
      <c r="B144" s="64">
        <v>7328.9120000000003</v>
      </c>
      <c r="C144" s="8">
        <f>IF(Tabela3[[#This Row],[Real GDP]]="",#N/A,((((Tabela3[[#This Row],[Real GDP]]*1)/B143)-1)*4))</f>
        <v>1.8247085139037722E-2</v>
      </c>
      <c r="D144" s="7"/>
      <c r="E144" s="71"/>
      <c r="H144" s="63">
        <v>5.7980016857000001</v>
      </c>
      <c r="I144" s="63"/>
      <c r="J144" s="63">
        <v>10.504028999999999</v>
      </c>
    </row>
    <row r="145" spans="1:10">
      <c r="A145" s="13" t="s">
        <v>314</v>
      </c>
      <c r="B145" s="64">
        <v>7300.8959999999997</v>
      </c>
      <c r="C145" s="8">
        <f>IF(Tabela3[[#This Row],[Real GDP]]="",#N/A,((((Tabela3[[#This Row],[Real GDP]]*1)/B144)-1)*4))</f>
        <v>-1.5290673431472612E-2</v>
      </c>
      <c r="D145" s="7"/>
      <c r="E145" s="71"/>
      <c r="H145" s="63">
        <v>6.1358003095999996</v>
      </c>
      <c r="I145" s="63"/>
      <c r="J145" s="63">
        <v>10.409941</v>
      </c>
    </row>
    <row r="146" spans="1:10">
      <c r="A146" s="6" t="s">
        <v>315</v>
      </c>
      <c r="B146" s="64">
        <v>7303.817</v>
      </c>
      <c r="C146" s="8">
        <f>IF(Tabela3[[#This Row],[Real GDP]]="",#N/A,((((Tabela3[[#This Row],[Real GDP]]*1)/B145)-1)*4))</f>
        <v>1.6003515184985773E-3</v>
      </c>
      <c r="D146" s="7"/>
      <c r="E146" s="71"/>
      <c r="H146" s="63">
        <v>7.1997583708999997</v>
      </c>
      <c r="I146" s="63"/>
      <c r="J146" s="63">
        <v>10.380409999999999</v>
      </c>
    </row>
    <row r="147" spans="1:10">
      <c r="A147" s="6" t="s">
        <v>316</v>
      </c>
      <c r="B147" s="64">
        <v>7400.0659999999998</v>
      </c>
      <c r="C147" s="8">
        <f>IF(Tabela3[[#This Row],[Real GDP]]="",#N/A,((((Tabela3[[#This Row],[Real GDP]]*1)/B146)-1)*4))</f>
        <v>5.2711616405503925E-2</v>
      </c>
      <c r="D147" s="7"/>
      <c r="E147" s="71"/>
      <c r="H147" s="63">
        <v>7.7401610075000002</v>
      </c>
      <c r="I147" s="63"/>
      <c r="J147" s="63">
        <v>10.348922</v>
      </c>
    </row>
    <row r="148" spans="1:10">
      <c r="A148" s="6" t="s">
        <v>317</v>
      </c>
      <c r="B148" s="64">
        <v>7568.4560000000001</v>
      </c>
      <c r="C148" s="8">
        <f>IF(Tabela3[[#This Row],[Real GDP]]="",#N/A,((((Tabela3[[#This Row],[Real GDP]]*1)/B147)-1)*4))</f>
        <v>9.1020809814398973E-2</v>
      </c>
      <c r="D148" s="7"/>
      <c r="E148" s="71"/>
      <c r="H148" s="63">
        <v>8.4759669894999998</v>
      </c>
      <c r="I148" s="63"/>
      <c r="J148" s="63">
        <v>10.376333000000001</v>
      </c>
    </row>
    <row r="149" spans="1:10">
      <c r="A149" s="13" t="s">
        <v>318</v>
      </c>
      <c r="B149" s="64">
        <v>7719.7460000000001</v>
      </c>
      <c r="C149" s="8">
        <f>IF(Tabela3[[#This Row],[Real GDP]]="",#N/A,((((Tabela3[[#This Row],[Real GDP]]*1)/B148)-1)*4))</f>
        <v>7.9958184337730387E-2</v>
      </c>
      <c r="D149" s="7"/>
      <c r="E149" s="71"/>
      <c r="H149" s="63">
        <v>8.1177265828999996</v>
      </c>
      <c r="I149" s="63"/>
      <c r="J149" s="63">
        <v>10.381299</v>
      </c>
    </row>
    <row r="150" spans="1:10">
      <c r="A150" s="6" t="s">
        <v>319</v>
      </c>
      <c r="B150" s="64">
        <v>7880.7939999999999</v>
      </c>
      <c r="C150" s="8">
        <f>IF(Tabela3[[#This Row],[Real GDP]]="",#N/A,((((Tabela3[[#This Row],[Real GDP]]*1)/B149)-1)*4))</f>
        <v>8.344730513154186E-2</v>
      </c>
      <c r="D150" s="7"/>
      <c r="E150" s="71"/>
      <c r="H150" s="63">
        <v>7.6341266037000004</v>
      </c>
      <c r="I150" s="63"/>
      <c r="J150" s="63">
        <v>10.425534000000001</v>
      </c>
    </row>
    <row r="151" spans="1:10">
      <c r="A151" s="6" t="s">
        <v>320</v>
      </c>
      <c r="B151" s="64">
        <v>8034.8469999999998</v>
      </c>
      <c r="C151" s="8">
        <f>IF(Tabela3[[#This Row],[Real GDP]]="",#N/A,((((Tabela3[[#This Row],[Real GDP]]*1)/B150)-1)*4))</f>
        <v>7.8191613687656591E-2</v>
      </c>
      <c r="D151" s="7"/>
      <c r="E151" s="71"/>
      <c r="H151" s="63">
        <v>7.0895085990000002</v>
      </c>
      <c r="I151" s="63"/>
      <c r="J151" s="63">
        <v>10.478991000000001</v>
      </c>
    </row>
    <row r="152" spans="1:10">
      <c r="A152" s="6" t="s">
        <v>321</v>
      </c>
      <c r="B152" s="64">
        <v>8173.67</v>
      </c>
      <c r="C152" s="8">
        <f>IF(Tabela3[[#This Row],[Real GDP]]="",#N/A,((((Tabela3[[#This Row],[Real GDP]]*1)/B151)-1)*4))</f>
        <v>6.9110463459976401E-2</v>
      </c>
      <c r="D152" s="7"/>
      <c r="E152" s="71"/>
      <c r="H152" s="63">
        <v>6.4951777275999998</v>
      </c>
      <c r="I152" s="63"/>
      <c r="J152" s="63">
        <v>10.607963</v>
      </c>
    </row>
    <row r="153" spans="1:10">
      <c r="A153" s="13" t="s">
        <v>322</v>
      </c>
      <c r="B153" s="64">
        <v>8252.4650000000001</v>
      </c>
      <c r="C153" s="8">
        <f>IF(Tabela3[[#This Row],[Real GDP]]="",#N/A,((((Tabela3[[#This Row],[Real GDP]]*1)/B152)-1)*4))</f>
        <v>3.8560401875779249E-2</v>
      </c>
      <c r="D153" s="7"/>
      <c r="E153" s="71"/>
      <c r="H153" s="63">
        <v>6.6785213752999999</v>
      </c>
      <c r="I153" s="63"/>
      <c r="J153" s="63">
        <v>10.719033</v>
      </c>
    </row>
    <row r="154" spans="1:10">
      <c r="A154" s="6" t="s">
        <v>323</v>
      </c>
      <c r="B154" s="64">
        <v>8320.1990000000005</v>
      </c>
      <c r="C154" s="8">
        <f>IF(Tabela3[[#This Row],[Real GDP]]="",#N/A,((((Tabela3[[#This Row],[Real GDP]]*1)/B153)-1)*4))</f>
        <v>3.2830917792441738E-2</v>
      </c>
      <c r="D154" s="7"/>
      <c r="E154" s="71"/>
      <c r="H154" s="63">
        <v>6.5689174116000002</v>
      </c>
      <c r="I154" s="63"/>
      <c r="J154" s="63">
        <v>10.878463</v>
      </c>
    </row>
    <row r="155" spans="1:10">
      <c r="A155" s="6" t="s">
        <v>324</v>
      </c>
      <c r="B155" s="64">
        <v>8400.82</v>
      </c>
      <c r="C155" s="8">
        <f>IF(Tabela3[[#This Row],[Real GDP]]="",#N/A,((((Tabela3[[#This Row],[Real GDP]]*1)/B154)-1)*4))</f>
        <v>3.8759169101603597E-2</v>
      </c>
      <c r="D155" s="7"/>
      <c r="E155" s="71"/>
      <c r="H155" s="63">
        <v>6.8855591467000004</v>
      </c>
      <c r="I155" s="63"/>
      <c r="J155" s="63">
        <v>11.220535999999999</v>
      </c>
    </row>
    <row r="156" spans="1:10">
      <c r="A156" s="6" t="s">
        <v>325</v>
      </c>
      <c r="B156" s="64">
        <v>8474.7870000000003</v>
      </c>
      <c r="C156" s="8">
        <f>IF(Tabela3[[#This Row],[Real GDP]]="",#N/A,((((Tabela3[[#This Row],[Real GDP]]*1)/B155)-1)*4))</f>
        <v>3.5218942912716322E-2</v>
      </c>
      <c r="D156" s="7"/>
      <c r="E156" s="71"/>
      <c r="H156" s="63">
        <v>7.0598782949999999</v>
      </c>
      <c r="I156" s="63"/>
      <c r="J156" s="63">
        <v>11.310744</v>
      </c>
    </row>
    <row r="157" spans="1:10">
      <c r="A157" s="13" t="s">
        <v>326</v>
      </c>
      <c r="B157" s="64">
        <v>8604.2199999999993</v>
      </c>
      <c r="C157" s="8">
        <f>IF(Tabela3[[#This Row],[Real GDP]]="",#N/A,((((Tabela3[[#This Row],[Real GDP]]*1)/B156)-1)*4))</f>
        <v>6.109085691475169E-2</v>
      </c>
      <c r="D157" s="7"/>
      <c r="E157" s="71"/>
      <c r="H157" s="63">
        <v>6.4977952946000004</v>
      </c>
      <c r="I157" s="63"/>
      <c r="J157" s="63">
        <v>11.595799</v>
      </c>
    </row>
    <row r="158" spans="1:10">
      <c r="A158" s="6" t="s">
        <v>327</v>
      </c>
      <c r="B158" s="64">
        <v>8668.1880000000001</v>
      </c>
      <c r="C158" s="8">
        <f>IF(Tabela3[[#This Row],[Real GDP]]="",#N/A,((((Tabela3[[#This Row],[Real GDP]]*1)/B157)-1)*4))</f>
        <v>2.9737965788880771E-2</v>
      </c>
      <c r="D158" s="7"/>
      <c r="E158" s="71"/>
      <c r="H158" s="63">
        <v>7.4348329364000003</v>
      </c>
      <c r="I158" s="63"/>
      <c r="J158" s="63">
        <v>11.725569999999999</v>
      </c>
    </row>
    <row r="159" spans="1:10">
      <c r="A159" s="6" t="s">
        <v>328</v>
      </c>
      <c r="B159" s="64">
        <v>8749.1270000000004</v>
      </c>
      <c r="C159" s="8">
        <f>IF(Tabela3[[#This Row],[Real GDP]]="",#N/A,((((Tabela3[[#This Row],[Real GDP]]*1)/B158)-1)*4))</f>
        <v>3.7349905193565291E-2</v>
      </c>
      <c r="D159" s="7"/>
      <c r="E159" s="71"/>
      <c r="H159" s="63">
        <v>8.1543293696999992</v>
      </c>
      <c r="I159" s="63"/>
      <c r="J159" s="63">
        <v>11.739687</v>
      </c>
    </row>
    <row r="160" spans="1:10">
      <c r="A160" s="6" t="s">
        <v>329</v>
      </c>
      <c r="B160" s="64">
        <v>8788.5239999999994</v>
      </c>
      <c r="C160" s="8">
        <f>IF(Tabela3[[#This Row],[Real GDP]]="",#N/A,((((Tabela3[[#This Row],[Real GDP]]*1)/B159)-1)*4))</f>
        <v>1.8011854211282596E-2</v>
      </c>
      <c r="D160" s="7"/>
      <c r="E160" s="71"/>
      <c r="H160" s="63">
        <v>8.2696551754000005</v>
      </c>
      <c r="I160" s="63"/>
      <c r="J160" s="63">
        <v>11.812105000000001</v>
      </c>
    </row>
    <row r="161" spans="1:10">
      <c r="A161" s="13" t="s">
        <v>330</v>
      </c>
      <c r="B161" s="64">
        <v>8872.6010000000006</v>
      </c>
      <c r="C161" s="8">
        <f>IF(Tabela3[[#This Row],[Real GDP]]="",#N/A,((((Tabela3[[#This Row],[Real GDP]]*1)/B160)-1)*4))</f>
        <v>3.826672146540222E-2</v>
      </c>
      <c r="D161" s="7"/>
      <c r="E161" s="71"/>
      <c r="H161" s="63">
        <v>7.3763077793000003</v>
      </c>
      <c r="I161" s="63"/>
      <c r="J161" s="63">
        <v>11.91714</v>
      </c>
    </row>
    <row r="162" spans="1:10">
      <c r="A162" s="6" t="s">
        <v>331</v>
      </c>
      <c r="B162" s="64">
        <v>8920.1929999999993</v>
      </c>
      <c r="C162" s="8">
        <f>IF(Tabela3[[#This Row],[Real GDP]]="",#N/A,((((Tabela3[[#This Row],[Real GDP]]*1)/B161)-1)*4))</f>
        <v>2.1455715184306889E-2</v>
      </c>
      <c r="D162" s="7"/>
      <c r="E162" s="71"/>
      <c r="H162" s="63">
        <v>8.0260254332999992</v>
      </c>
      <c r="I162" s="63"/>
      <c r="J162" s="63">
        <v>12.062025</v>
      </c>
    </row>
    <row r="163" spans="1:10">
      <c r="A163" s="6" t="s">
        <v>332</v>
      </c>
      <c r="B163" s="64">
        <v>8986.3670000000002</v>
      </c>
      <c r="C163" s="8">
        <f>IF(Tabela3[[#This Row],[Real GDP]]="",#N/A,((((Tabela3[[#This Row],[Real GDP]]*1)/B162)-1)*4))</f>
        <v>2.9673797416715608E-2</v>
      </c>
      <c r="D163" s="7"/>
      <c r="E163" s="71"/>
      <c r="H163" s="63">
        <v>9.2185126534999995</v>
      </c>
      <c r="I163" s="63"/>
      <c r="J163" s="63">
        <v>11.931285000000001</v>
      </c>
    </row>
    <row r="164" spans="1:10">
      <c r="A164" s="6" t="s">
        <v>333</v>
      </c>
      <c r="B164" s="64">
        <v>9083.2559999999994</v>
      </c>
      <c r="C164" s="8">
        <f>IF(Tabela3[[#This Row],[Real GDP]]="",#N/A,((((Tabela3[[#This Row],[Real GDP]]*1)/B163)-1)*4))</f>
        <v>4.3127105759201534E-2</v>
      </c>
      <c r="D164" s="7"/>
      <c r="E164" s="71"/>
      <c r="H164" s="63">
        <v>9.0856806207999998</v>
      </c>
      <c r="I164" s="63"/>
      <c r="J164" s="63">
        <v>12.067256</v>
      </c>
    </row>
    <row r="165" spans="1:10">
      <c r="A165" s="13" t="s">
        <v>334</v>
      </c>
      <c r="B165" s="64">
        <v>9162.0239999999994</v>
      </c>
      <c r="C165" s="8">
        <f>IF(Tabela3[[#This Row],[Real GDP]]="",#N/A,((((Tabela3[[#This Row],[Real GDP]]*1)/B164)-1)*4))</f>
        <v>3.4687121005947397E-2</v>
      </c>
      <c r="D165" s="7"/>
      <c r="E165" s="71"/>
      <c r="H165" s="63">
        <v>9.3135218276000007</v>
      </c>
      <c r="I165" s="63"/>
      <c r="J165" s="63">
        <v>11.939659000000001</v>
      </c>
    </row>
    <row r="166" spans="1:10">
      <c r="A166" s="6" t="s">
        <v>335</v>
      </c>
      <c r="B166" s="64">
        <v>9319.3320000000003</v>
      </c>
      <c r="C166" s="8">
        <f>IF(Tabela3[[#This Row],[Real GDP]]="",#N/A,((((Tabela3[[#This Row],[Real GDP]]*1)/B165)-1)*4))</f>
        <v>6.86782745821235E-2</v>
      </c>
      <c r="D166" s="7"/>
      <c r="E166" s="71"/>
      <c r="H166" s="63">
        <v>7.5174016617000001</v>
      </c>
      <c r="I166" s="63"/>
      <c r="J166" s="63">
        <v>11.806445999999999</v>
      </c>
    </row>
    <row r="167" spans="1:10">
      <c r="A167" s="6" t="s">
        <v>336</v>
      </c>
      <c r="B167" s="64">
        <v>9367.5020000000004</v>
      </c>
      <c r="C167" s="8">
        <f>IF(Tabela3[[#This Row],[Real GDP]]="",#N/A,((((Tabela3[[#This Row],[Real GDP]]*1)/B166)-1)*4))</f>
        <v>2.0675301620331155E-2</v>
      </c>
      <c r="D167" s="7"/>
      <c r="E167" s="71"/>
      <c r="H167" s="63">
        <v>7.9268909981000002</v>
      </c>
      <c r="I167" s="63"/>
      <c r="J167" s="63">
        <v>11.752855</v>
      </c>
    </row>
    <row r="168" spans="1:10">
      <c r="A168" s="6" t="s">
        <v>337</v>
      </c>
      <c r="B168" s="64">
        <v>9490.5939999999991</v>
      </c>
      <c r="C168" s="8">
        <f>IF(Tabela3[[#This Row],[Real GDP]]="",#N/A,((((Tabela3[[#This Row],[Real GDP]]*1)/B167)-1)*4))</f>
        <v>5.2561291153179646E-2</v>
      </c>
      <c r="D168" s="7"/>
      <c r="E168" s="71"/>
      <c r="H168" s="63">
        <v>8.1639543172</v>
      </c>
      <c r="I168" s="63"/>
      <c r="J168" s="63">
        <v>11.736395999999999</v>
      </c>
    </row>
    <row r="169" spans="1:10">
      <c r="A169" s="13" t="s">
        <v>338</v>
      </c>
      <c r="B169" s="64">
        <v>9546.2060000000001</v>
      </c>
      <c r="C169" s="8">
        <f>IF(Tabela3[[#This Row],[Real GDP]]="",#N/A,((((Tabela3[[#This Row],[Real GDP]]*1)/B168)-1)*4))</f>
        <v>2.3438785812563978E-2</v>
      </c>
      <c r="D169" s="7"/>
      <c r="E169" s="71"/>
      <c r="H169" s="63">
        <v>8.0653550616</v>
      </c>
      <c r="I169" s="63"/>
      <c r="J169" s="63">
        <v>11.691190000000001</v>
      </c>
    </row>
    <row r="170" spans="1:10">
      <c r="A170" s="6" t="s">
        <v>339</v>
      </c>
      <c r="B170" s="64">
        <v>9673.4050000000007</v>
      </c>
      <c r="C170" s="8">
        <f>IF(Tabela3[[#This Row],[Real GDP]]="",#N/A,((((Tabela3[[#This Row],[Real GDP]]*1)/B169)-1)*4))</f>
        <v>5.3298242254567363E-2</v>
      </c>
      <c r="D170" s="7"/>
      <c r="E170" s="71"/>
      <c r="H170" s="63">
        <v>8.3579325093999994</v>
      </c>
      <c r="I170" s="63"/>
      <c r="J170" s="63">
        <v>11.569183000000001</v>
      </c>
    </row>
    <row r="171" spans="1:10">
      <c r="A171" s="6" t="s">
        <v>340</v>
      </c>
      <c r="B171" s="64">
        <v>9771.7250000000004</v>
      </c>
      <c r="C171" s="8">
        <f>IF(Tabela3[[#This Row],[Real GDP]]="",#N/A,((((Tabela3[[#This Row],[Real GDP]]*1)/B170)-1)*4))</f>
        <v>4.065579803595476E-2</v>
      </c>
      <c r="D171" s="7"/>
      <c r="E171" s="71"/>
      <c r="H171" s="63">
        <v>8.5847772446999997</v>
      </c>
      <c r="I171" s="63"/>
      <c r="J171" s="63">
        <v>11.565868</v>
      </c>
    </row>
    <row r="172" spans="1:10">
      <c r="A172" s="6" t="s">
        <v>341</v>
      </c>
      <c r="B172" s="64">
        <v>9846.2929999999997</v>
      </c>
      <c r="C172" s="8">
        <f>IF(Tabela3[[#This Row],[Real GDP]]="",#N/A,((((Tabela3[[#This Row],[Real GDP]]*1)/B171)-1)*4))</f>
        <v>3.0523986297199102E-2</v>
      </c>
      <c r="D172" s="7"/>
      <c r="E172" s="71"/>
      <c r="H172" s="63">
        <v>8.9115292014000005</v>
      </c>
      <c r="I172" s="63"/>
      <c r="J172" s="63">
        <v>11.731491999999999</v>
      </c>
    </row>
    <row r="173" spans="1:10">
      <c r="A173" s="13" t="s">
        <v>342</v>
      </c>
      <c r="B173" s="64">
        <v>9919.2279999999992</v>
      </c>
      <c r="C173" s="8">
        <f>IF(Tabela3[[#This Row],[Real GDP]]="",#N/A,((((Tabela3[[#This Row],[Real GDP]]*1)/B172)-1)*4))</f>
        <v>2.9629425002891452E-2</v>
      </c>
      <c r="D173" s="7"/>
      <c r="E173" s="71"/>
      <c r="H173" s="63">
        <v>9.3870466394999994</v>
      </c>
      <c r="I173" s="63"/>
      <c r="J173" s="63">
        <v>11.793877</v>
      </c>
    </row>
    <row r="174" spans="1:10">
      <c r="A174" s="6" t="s">
        <v>343</v>
      </c>
      <c r="B174" s="64">
        <v>9938.7669999999998</v>
      </c>
      <c r="C174" s="8">
        <f>IF(Tabela3[[#This Row],[Real GDP]]="",#N/A,((((Tabela3[[#This Row],[Real GDP]]*1)/B173)-1)*4))</f>
        <v>7.8792422152211827E-3</v>
      </c>
      <c r="D174" s="7"/>
      <c r="E174" s="71"/>
      <c r="H174" s="63">
        <v>9.5292898392000005</v>
      </c>
      <c r="I174" s="63"/>
      <c r="J174" s="63">
        <v>11.745679000000001</v>
      </c>
    </row>
    <row r="175" spans="1:10">
      <c r="A175" s="6" t="s">
        <v>344</v>
      </c>
      <c r="B175" s="64">
        <v>10047.386</v>
      </c>
      <c r="C175" s="8">
        <f>IF(Tabela3[[#This Row],[Real GDP]]="",#N/A,((((Tabela3[[#This Row],[Real GDP]]*1)/B174)-1)*4))</f>
        <v>4.3715281784954207E-2</v>
      </c>
      <c r="D175" s="7"/>
      <c r="E175" s="71"/>
      <c r="H175" s="63">
        <v>8.9053426862999991</v>
      </c>
      <c r="I175" s="63"/>
      <c r="J175" s="63">
        <v>11.649150000000001</v>
      </c>
    </row>
    <row r="176" spans="1:10">
      <c r="A176" s="6" t="s">
        <v>345</v>
      </c>
      <c r="B176" s="64">
        <v>10083.855</v>
      </c>
      <c r="C176" s="8">
        <f>IF(Tabela3[[#This Row],[Real GDP]]="",#N/A,((((Tabela3[[#This Row],[Real GDP]]*1)/B175)-1)*4))</f>
        <v>1.4518801208592613E-2</v>
      </c>
      <c r="D176" s="7"/>
      <c r="E176" s="71"/>
      <c r="H176" s="63">
        <v>9.1396968701999999</v>
      </c>
      <c r="I176" s="63"/>
      <c r="J176" s="63">
        <v>11.60066</v>
      </c>
    </row>
    <row r="177" spans="1:10">
      <c r="A177" s="13" t="s">
        <v>346</v>
      </c>
      <c r="B177" s="64">
        <v>10090.569</v>
      </c>
      <c r="C177" s="8">
        <f>IF(Tabela3[[#This Row],[Real GDP]]="",#N/A,((((Tabela3[[#This Row],[Real GDP]]*1)/B176)-1)*4))</f>
        <v>2.663267173120154E-3</v>
      </c>
      <c r="D177" s="7"/>
      <c r="E177" s="71"/>
      <c r="H177" s="63">
        <v>7.6179487291000001</v>
      </c>
      <c r="I177" s="63"/>
      <c r="J177" s="63">
        <v>11.583131</v>
      </c>
    </row>
    <row r="178" spans="1:10">
      <c r="A178" s="6" t="s">
        <v>347</v>
      </c>
      <c r="B178" s="64">
        <v>9998.7039999999997</v>
      </c>
      <c r="C178" s="8">
        <f>IF(Tabela3[[#This Row],[Real GDP]]="",#N/A,((((Tabela3[[#This Row],[Real GDP]]*1)/B177)-1)*4))</f>
        <v>-3.6416182278719678E-2</v>
      </c>
      <c r="D178" s="7"/>
      <c r="E178" s="71"/>
      <c r="H178" s="63">
        <v>8.4075857112999994</v>
      </c>
      <c r="I178" s="63"/>
      <c r="J178" s="63">
        <v>11.604449000000001</v>
      </c>
    </row>
    <row r="179" spans="1:10">
      <c r="A179" s="6" t="s">
        <v>348</v>
      </c>
      <c r="B179" s="64">
        <v>9951.9159999999993</v>
      </c>
      <c r="C179" s="8">
        <f>IF(Tabela3[[#This Row],[Real GDP]]="",#N/A,((((Tabela3[[#This Row],[Real GDP]]*1)/B178)-1)*4))</f>
        <v>-1.8717625804304472E-2</v>
      </c>
      <c r="D179" s="7"/>
      <c r="E179" s="71"/>
      <c r="H179" s="63">
        <v>9.5147225840999994</v>
      </c>
      <c r="I179" s="63">
        <v>5.26</v>
      </c>
      <c r="J179" s="63">
        <v>11.578032</v>
      </c>
    </row>
    <row r="180" spans="1:10">
      <c r="A180" s="6" t="s">
        <v>349</v>
      </c>
      <c r="B180" s="64">
        <v>10029.51</v>
      </c>
      <c r="C180" s="8">
        <f>IF(Tabela3[[#This Row],[Real GDP]]="",#N/A,((((Tabela3[[#This Row],[Real GDP]]*1)/B179)-1)*4))</f>
        <v>3.1187562274440417E-2</v>
      </c>
      <c r="D180" s="7"/>
      <c r="E180" s="71"/>
      <c r="H180" s="63">
        <v>9.4056715295999993</v>
      </c>
      <c r="I180" s="63">
        <v>5.48</v>
      </c>
      <c r="J180" s="63">
        <v>11.434237</v>
      </c>
    </row>
    <row r="181" spans="1:10">
      <c r="A181" s="13" t="s">
        <v>350</v>
      </c>
      <c r="B181" s="64">
        <v>10080.195</v>
      </c>
      <c r="C181" s="8">
        <f>IF(Tabela3[[#This Row],[Real GDP]]="",#N/A,((((Tabela3[[#This Row],[Real GDP]]*1)/B180)-1)*4))</f>
        <v>2.0214347460643545E-2</v>
      </c>
      <c r="D181" s="7"/>
      <c r="E181" s="71"/>
      <c r="H181" s="63">
        <v>9.9267188417999996</v>
      </c>
      <c r="I181" s="63">
        <v>5.35</v>
      </c>
      <c r="J181" s="63">
        <v>11.318681</v>
      </c>
    </row>
    <row r="182" spans="1:10">
      <c r="A182" s="6" t="s">
        <v>351</v>
      </c>
      <c r="B182" s="64">
        <v>10115.329</v>
      </c>
      <c r="C182" s="8">
        <f>IF(Tabela3[[#This Row],[Real GDP]]="",#N/A,((((Tabela3[[#This Row],[Real GDP]]*1)/B181)-1)*4))</f>
        <v>1.3941793784743695E-2</v>
      </c>
      <c r="D182" s="7"/>
      <c r="E182" s="71"/>
      <c r="H182" s="63">
        <v>11.1977411212</v>
      </c>
      <c r="I182" s="63">
        <v>5.32</v>
      </c>
      <c r="J182" s="63">
        <v>11.117333</v>
      </c>
    </row>
    <row r="183" spans="1:10">
      <c r="A183" s="6" t="s">
        <v>352</v>
      </c>
      <c r="B183" s="64">
        <v>10236.434999999999</v>
      </c>
      <c r="C183" s="8">
        <f>IF(Tabela3[[#This Row],[Real GDP]]="",#N/A,((((Tabela3[[#This Row],[Real GDP]]*1)/B182)-1)*4))</f>
        <v>4.7890088399497266E-2</v>
      </c>
      <c r="D183" s="7"/>
      <c r="E183" s="71"/>
      <c r="H183" s="63">
        <v>10.948114072899999</v>
      </c>
      <c r="I183" s="63">
        <v>5.27</v>
      </c>
      <c r="J183" s="63">
        <v>10.855581000000001</v>
      </c>
    </row>
    <row r="184" spans="1:10">
      <c r="A184" s="6" t="s">
        <v>353</v>
      </c>
      <c r="B184" s="64">
        <v>10347.429</v>
      </c>
      <c r="C184" s="8">
        <f>IF(Tabela3[[#This Row],[Real GDP]]="",#N/A,((((Tabela3[[#This Row],[Real GDP]]*1)/B183)-1)*4))</f>
        <v>4.3372131020223748E-2</v>
      </c>
      <c r="D184" s="7"/>
      <c r="E184" s="71"/>
      <c r="H184" s="63">
        <v>10.8531314966</v>
      </c>
      <c r="I184" s="63">
        <v>5.0999999999999996</v>
      </c>
      <c r="J184" s="63">
        <v>10.680885999999999</v>
      </c>
    </row>
    <row r="185" spans="1:10">
      <c r="A185" s="13" t="s">
        <v>354</v>
      </c>
      <c r="B185" s="64">
        <v>10449.673000000001</v>
      </c>
      <c r="C185" s="8">
        <f>IF(Tabela3[[#This Row],[Real GDP]]="",#N/A,((((Tabela3[[#This Row],[Real GDP]]*1)/B184)-1)*4))</f>
        <v>3.9524407463922273E-2</v>
      </c>
      <c r="D185" s="7"/>
      <c r="E185" s="71"/>
      <c r="H185" s="63">
        <v>11.117843304000001</v>
      </c>
      <c r="I185" s="63">
        <v>4.9800000000000004</v>
      </c>
      <c r="J185" s="63">
        <v>10.540050000000001</v>
      </c>
    </row>
    <row r="186" spans="1:10">
      <c r="A186" s="6" t="s">
        <v>355</v>
      </c>
      <c r="B186" s="64">
        <v>10558.647999999999</v>
      </c>
      <c r="C186" s="8">
        <f>IF(Tabela3[[#This Row],[Real GDP]]="",#N/A,((((Tabela3[[#This Row],[Real GDP]]*1)/B185)-1)*4))</f>
        <v>4.1714223976194731E-2</v>
      </c>
      <c r="D186" s="7"/>
      <c r="E186" s="71"/>
      <c r="H186" s="63">
        <v>12.257416168700001</v>
      </c>
      <c r="I186" s="63">
        <v>4.6900000000000004</v>
      </c>
      <c r="J186" s="63">
        <v>10.455215000000001</v>
      </c>
    </row>
    <row r="187" spans="1:10">
      <c r="A187" s="6" t="s">
        <v>356</v>
      </c>
      <c r="B187" s="64">
        <v>10576.275</v>
      </c>
      <c r="C187" s="8">
        <f>IF(Tabela3[[#This Row],[Real GDP]]="",#N/A,((((Tabela3[[#This Row],[Real GDP]]*1)/B186)-1)*4))</f>
        <v>6.6777488936082818E-3</v>
      </c>
      <c r="D187" s="7"/>
      <c r="E187" s="71"/>
      <c r="H187" s="63">
        <v>12.5552417247</v>
      </c>
      <c r="I187" s="63">
        <v>4.5999999999999996</v>
      </c>
      <c r="J187" s="63">
        <v>10.419138999999999</v>
      </c>
    </row>
    <row r="188" spans="1:10">
      <c r="A188" s="6" t="s">
        <v>357</v>
      </c>
      <c r="B188" s="64">
        <v>10637.847</v>
      </c>
      <c r="C188" s="8">
        <f>IF(Tabela3[[#This Row],[Real GDP]]="",#N/A,((((Tabela3[[#This Row],[Real GDP]]*1)/B187)-1)*4))</f>
        <v>2.328683775714957E-2</v>
      </c>
      <c r="D188" s="7"/>
      <c r="E188" s="71"/>
      <c r="H188" s="63">
        <v>12.637801562</v>
      </c>
      <c r="I188" s="63">
        <v>4.46</v>
      </c>
      <c r="J188" s="63">
        <v>10.354430000000001</v>
      </c>
    </row>
    <row r="189" spans="1:10">
      <c r="A189" s="13" t="s">
        <v>358</v>
      </c>
      <c r="B189" s="64">
        <v>10688.606</v>
      </c>
      <c r="C189" s="8">
        <f>IF(Tabela3[[#This Row],[Real GDP]]="",#N/A,((((Tabela3[[#This Row],[Real GDP]]*1)/B188)-1)*4))</f>
        <v>1.9086192911028199E-2</v>
      </c>
      <c r="D189" s="7"/>
      <c r="E189" s="71"/>
      <c r="H189" s="63">
        <v>13.0364633938</v>
      </c>
      <c r="I189" s="63">
        <v>4.08</v>
      </c>
      <c r="J189" s="63">
        <v>10.405427</v>
      </c>
    </row>
    <row r="190" spans="1:10">
      <c r="A190" s="6" t="s">
        <v>359</v>
      </c>
      <c r="B190" s="64">
        <v>10833.986999999999</v>
      </c>
      <c r="C190" s="8">
        <f>IF(Tabela3[[#This Row],[Real GDP]]="",#N/A,((((Tabela3[[#This Row],[Real GDP]]*1)/B189)-1)*4))</f>
        <v>5.4405972116476242E-2</v>
      </c>
      <c r="D190" s="7"/>
      <c r="E190" s="71"/>
      <c r="H190" s="63">
        <v>13.4000384936</v>
      </c>
      <c r="I190" s="63">
        <v>3.91</v>
      </c>
      <c r="J190" s="63">
        <v>10.368518</v>
      </c>
    </row>
    <row r="191" spans="1:10">
      <c r="A191" s="6" t="s">
        <v>360</v>
      </c>
      <c r="B191" s="64">
        <v>10939.116</v>
      </c>
      <c r="C191" s="8">
        <f>IF(Tabela3[[#This Row],[Real GDP]]="",#N/A,((((Tabela3[[#This Row],[Real GDP]]*1)/B190)-1)*4))</f>
        <v>3.8814519530068203E-2</v>
      </c>
      <c r="D191" s="7"/>
      <c r="E191" s="71"/>
      <c r="H191" s="63">
        <v>12.873249728299999</v>
      </c>
      <c r="I191" s="63">
        <v>3.6</v>
      </c>
      <c r="J191" s="63">
        <v>10.388445000000001</v>
      </c>
    </row>
    <row r="192" spans="1:10">
      <c r="A192" s="6" t="s">
        <v>361</v>
      </c>
      <c r="B192" s="64">
        <v>11087.361000000001</v>
      </c>
      <c r="C192" s="8">
        <f>IF(Tabela3[[#This Row],[Real GDP]]="",#N/A,((((Tabela3[[#This Row],[Real GDP]]*1)/B191)-1)*4))</f>
        <v>5.4207305233805236E-2</v>
      </c>
      <c r="D192" s="7"/>
      <c r="E192" s="71"/>
      <c r="H192" s="63">
        <v>12.6532469145</v>
      </c>
      <c r="I192" s="63">
        <v>3.29</v>
      </c>
      <c r="J192" s="63">
        <v>10.452491</v>
      </c>
    </row>
    <row r="193" spans="1:10">
      <c r="A193" s="13" t="s">
        <v>362</v>
      </c>
      <c r="B193" s="64">
        <v>11152.175999999999</v>
      </c>
      <c r="C193" s="8">
        <f>IF(Tabela3[[#This Row],[Real GDP]]="",#N/A,((((Tabela3[[#This Row],[Real GDP]]*1)/B192)-1)*4))</f>
        <v>2.3383382213314263E-2</v>
      </c>
      <c r="D193" s="7"/>
      <c r="E193" s="71"/>
      <c r="H193" s="63">
        <v>12.915823075200001</v>
      </c>
      <c r="I193" s="63">
        <v>3.25</v>
      </c>
      <c r="J193" s="63">
        <v>10.586957999999999</v>
      </c>
    </row>
    <row r="194" spans="1:10">
      <c r="A194" s="6" t="s">
        <v>363</v>
      </c>
      <c r="B194" s="64">
        <v>11279.932000000001</v>
      </c>
      <c r="C194" s="8">
        <f>IF(Tabela3[[#This Row],[Real GDP]]="",#N/A,((((Tabela3[[#This Row],[Real GDP]]*1)/B193)-1)*4))</f>
        <v>4.5822806239787184E-2</v>
      </c>
      <c r="D194" s="7"/>
      <c r="E194" s="71"/>
      <c r="H194" s="63">
        <v>12.787830212199999</v>
      </c>
      <c r="I194" s="63">
        <v>3.29</v>
      </c>
      <c r="J194" s="63">
        <v>10.699630000000001</v>
      </c>
    </row>
    <row r="195" spans="1:10">
      <c r="A195" s="6" t="s">
        <v>364</v>
      </c>
      <c r="B195" s="64">
        <v>11319.950999999999</v>
      </c>
      <c r="C195" s="8">
        <f>IF(Tabela3[[#This Row],[Real GDP]]="",#N/A,((((Tabela3[[#This Row],[Real GDP]]*1)/B194)-1)*4))</f>
        <v>1.4191220301682073E-2</v>
      </c>
      <c r="D195" s="7"/>
      <c r="E195" s="71"/>
      <c r="H195" s="63">
        <v>13.503349183999999</v>
      </c>
      <c r="I195" s="63">
        <v>3.48</v>
      </c>
      <c r="J195" s="63">
        <v>10.888513</v>
      </c>
    </row>
    <row r="196" spans="1:10">
      <c r="A196" s="6" t="s">
        <v>365</v>
      </c>
      <c r="B196" s="64">
        <v>11353.721</v>
      </c>
      <c r="C196" s="8">
        <f>IF(Tabela3[[#This Row],[Real GDP]]="",#N/A,((((Tabela3[[#This Row],[Real GDP]]*1)/B195)-1)*4))</f>
        <v>1.193291384388484E-2</v>
      </c>
      <c r="D196" s="7"/>
      <c r="E196" s="71"/>
      <c r="H196" s="63">
        <v>14.2451579748</v>
      </c>
      <c r="I196" s="63">
        <v>3.7</v>
      </c>
      <c r="J196" s="63">
        <v>11.080721</v>
      </c>
    </row>
    <row r="197" spans="1:10">
      <c r="A197" s="13" t="s">
        <v>366</v>
      </c>
      <c r="B197" s="64">
        <v>11450.31</v>
      </c>
      <c r="C197" s="8">
        <f>IF(Tabela3[[#This Row],[Real GDP]]="",#N/A,((((Tabela3[[#This Row],[Real GDP]]*1)/B196)-1)*4))</f>
        <v>3.4029020089537454E-2</v>
      </c>
      <c r="D197" s="7"/>
      <c r="E197" s="71"/>
      <c r="H197" s="63">
        <v>15.216018052700001</v>
      </c>
      <c r="I197" s="63">
        <v>3.85</v>
      </c>
      <c r="J197" s="63">
        <v>11.185719000000001</v>
      </c>
    </row>
    <row r="198" spans="1:10">
      <c r="A198" s="6" t="s">
        <v>367</v>
      </c>
      <c r="B198" s="64">
        <v>11528.066999999999</v>
      </c>
      <c r="C198" s="8">
        <f>IF(Tabela3[[#This Row],[Real GDP]]="",#N/A,((((Tabela3[[#This Row],[Real GDP]]*1)/B197)-1)*4))</f>
        <v>2.7163282042145021E-2</v>
      </c>
      <c r="D198" s="7"/>
      <c r="E198" s="71"/>
      <c r="H198" s="63">
        <v>15.9690662376</v>
      </c>
      <c r="I198" s="63">
        <v>3.95</v>
      </c>
      <c r="J198" s="63">
        <v>11.223492999999999</v>
      </c>
    </row>
    <row r="199" spans="1:10">
      <c r="A199" s="6" t="s">
        <v>368</v>
      </c>
      <c r="B199" s="64">
        <v>11614.418</v>
      </c>
      <c r="C199" s="8">
        <f>IF(Tabela3[[#This Row],[Real GDP]]="",#N/A,((((Tabela3[[#This Row],[Real GDP]]*1)/B198)-1)*4))</f>
        <v>2.996200490507217E-2</v>
      </c>
      <c r="D199" s="7"/>
      <c r="E199" s="71"/>
      <c r="H199" s="63">
        <v>16.5039200573</v>
      </c>
      <c r="I199" s="63">
        <v>4.04</v>
      </c>
      <c r="J199" s="63">
        <v>11.242343</v>
      </c>
    </row>
    <row r="200" spans="1:10">
      <c r="A200" s="6" t="s">
        <v>369</v>
      </c>
      <c r="B200" s="64">
        <v>11808.14</v>
      </c>
      <c r="C200" s="8">
        <f>IF(Tabela3[[#This Row],[Real GDP]]="",#N/A,((((Tabela3[[#This Row],[Real GDP]]*1)/B199)-1)*4))</f>
        <v>6.6717764075651331E-2</v>
      </c>
      <c r="D200" s="7"/>
      <c r="E200" s="71"/>
      <c r="H200" s="63">
        <v>16.9422036476</v>
      </c>
      <c r="I200" s="63">
        <v>4.2699999999999996</v>
      </c>
      <c r="J200" s="63">
        <v>11.269971999999999</v>
      </c>
    </row>
    <row r="201" spans="1:10">
      <c r="A201" s="13" t="s">
        <v>370</v>
      </c>
      <c r="B201" s="64">
        <v>11914.063</v>
      </c>
      <c r="C201" s="8">
        <f>IF(Tabela3[[#This Row],[Real GDP]]="",#N/A,((((Tabela3[[#This Row],[Real GDP]]*1)/B200)-1)*4))</f>
        <v>3.5881349645245031E-2</v>
      </c>
      <c r="D201" s="7"/>
      <c r="E201" s="71"/>
      <c r="H201" s="63">
        <v>17.002449127599998</v>
      </c>
      <c r="I201" s="63">
        <v>4.46</v>
      </c>
      <c r="J201" s="63">
        <v>11.315365999999999</v>
      </c>
    </row>
    <row r="202" spans="1:10">
      <c r="A202" s="6" t="s">
        <v>371</v>
      </c>
      <c r="B202" s="64">
        <v>12037.775</v>
      </c>
      <c r="C202" s="8">
        <f>IF(Tabela3[[#This Row],[Real GDP]]="",#N/A,((((Tabela3[[#This Row],[Real GDP]]*1)/B201)-1)*4))</f>
        <v>4.1534781207720251E-2</v>
      </c>
      <c r="D202" s="7"/>
      <c r="E202" s="71"/>
      <c r="H202" s="63">
        <v>17.5822870923</v>
      </c>
      <c r="I202" s="63">
        <v>4.5999999999999996</v>
      </c>
      <c r="J202" s="63">
        <v>11.371211000000001</v>
      </c>
    </row>
    <row r="203" spans="1:10">
      <c r="A203" s="6" t="s">
        <v>372</v>
      </c>
      <c r="B203" s="64">
        <v>12115.472</v>
      </c>
      <c r="C203" s="8">
        <f>IF(Tabela3[[#This Row],[Real GDP]]="",#N/A,((((Tabela3[[#This Row],[Real GDP]]*1)/B202)-1)*4))</f>
        <v>2.5817727943909574E-2</v>
      </c>
      <c r="D203" s="7"/>
      <c r="E203" s="71"/>
      <c r="H203" s="63">
        <v>17.572565642499999</v>
      </c>
      <c r="I203" s="63">
        <v>4.7</v>
      </c>
      <c r="J203" s="63">
        <v>11.328849</v>
      </c>
    </row>
    <row r="204" spans="1:10">
      <c r="A204" s="6" t="s">
        <v>373</v>
      </c>
      <c r="B204" s="64">
        <v>12317.221</v>
      </c>
      <c r="C204" s="8">
        <f>IF(Tabela3[[#This Row],[Real GDP]]="",#N/A,((((Tabela3[[#This Row],[Real GDP]]*1)/B203)-1)*4))</f>
        <v>6.6608713222233717E-2</v>
      </c>
      <c r="D204" s="7"/>
      <c r="E204" s="71"/>
      <c r="H204" s="63">
        <v>19.595059484299998</v>
      </c>
      <c r="I204" s="63">
        <v>4.7300000000000004</v>
      </c>
      <c r="J204" s="63">
        <v>11.328918</v>
      </c>
    </row>
    <row r="205" spans="1:10">
      <c r="A205" s="13" t="s">
        <v>374</v>
      </c>
      <c r="B205" s="64">
        <v>12471.01</v>
      </c>
      <c r="C205" s="8">
        <f>IF(Tabela3[[#This Row],[Real GDP]]="",#N/A,((((Tabela3[[#This Row],[Real GDP]]*1)/B204)-1)*4))</f>
        <v>4.9942759003837267E-2</v>
      </c>
      <c r="D205" s="7"/>
      <c r="E205" s="71"/>
      <c r="H205" s="63">
        <v>20.661347513500001</v>
      </c>
      <c r="I205" s="63">
        <v>4.7</v>
      </c>
      <c r="J205" s="63">
        <v>11.33802</v>
      </c>
    </row>
    <row r="206" spans="1:10">
      <c r="A206" s="6" t="s">
        <v>375</v>
      </c>
      <c r="B206" s="64">
        <v>12577.495000000001</v>
      </c>
      <c r="C206" s="8">
        <f>IF(Tabela3[[#This Row],[Real GDP]]="",#N/A,((((Tabela3[[#This Row],[Real GDP]]*1)/B205)-1)*4))</f>
        <v>3.4154410909781774E-2</v>
      </c>
      <c r="D206" s="7"/>
      <c r="E206" s="71"/>
      <c r="H206" s="63">
        <v>20.562697474099998</v>
      </c>
      <c r="I206" s="63">
        <v>4.8099999999999996</v>
      </c>
      <c r="J206" s="63">
        <v>11.288261</v>
      </c>
    </row>
    <row r="207" spans="1:10">
      <c r="A207" s="6" t="s">
        <v>376</v>
      </c>
      <c r="B207" s="64">
        <v>12703.742</v>
      </c>
      <c r="C207" s="8">
        <f>IF(Tabela3[[#This Row],[Real GDP]]="",#N/A,((((Tabela3[[#This Row],[Real GDP]]*1)/B206)-1)*4))</f>
        <v>4.0150125283293647E-2</v>
      </c>
      <c r="D207" s="7"/>
      <c r="E207" s="71"/>
      <c r="H207" s="63">
        <v>22.461890672700001</v>
      </c>
      <c r="I207" s="63">
        <v>4.76</v>
      </c>
      <c r="J207" s="63">
        <v>11.144147</v>
      </c>
    </row>
    <row r="208" spans="1:10">
      <c r="A208" s="6" t="s">
        <v>377</v>
      </c>
      <c r="B208" s="64">
        <v>12821.339</v>
      </c>
      <c r="C208" s="8">
        <f>IF(Tabela3[[#This Row],[Real GDP]]="",#N/A,((((Tabela3[[#This Row],[Real GDP]]*1)/B207)-1)*4))</f>
        <v>3.7027515199851813E-2</v>
      </c>
      <c r="D208" s="7"/>
      <c r="E208" s="71"/>
      <c r="H208" s="63">
        <v>22.382096408599999</v>
      </c>
      <c r="I208" s="63">
        <v>4.76</v>
      </c>
      <c r="J208" s="63">
        <v>11.166536000000001</v>
      </c>
    </row>
    <row r="209" spans="1:11">
      <c r="A209" s="13" t="s">
        <v>378</v>
      </c>
      <c r="B209" s="64">
        <v>12982.752</v>
      </c>
      <c r="C209" s="8">
        <f>IF(Tabela3[[#This Row],[Real GDP]]="",#N/A,((((Tabela3[[#This Row],[Real GDP]]*1)/B208)-1)*4))</f>
        <v>5.0357610854841361E-2</v>
      </c>
      <c r="D209" s="7"/>
      <c r="E209" s="71"/>
      <c r="H209" s="63">
        <v>19.9342323722</v>
      </c>
      <c r="I209" s="63">
        <v>4.72</v>
      </c>
      <c r="J209" s="63">
        <v>11.152642</v>
      </c>
    </row>
    <row r="210" spans="1:11">
      <c r="A210" s="6" t="s">
        <v>379</v>
      </c>
      <c r="B210" s="64">
        <v>13191.67</v>
      </c>
      <c r="C210" s="8">
        <f>IF(Tabela3[[#This Row],[Real GDP]]="",#N/A,((((Tabela3[[#This Row],[Real GDP]]*1)/B209)-1)*4))</f>
        <v>6.4367862838325962E-2</v>
      </c>
      <c r="D210" s="7"/>
      <c r="E210" s="71"/>
      <c r="H210" s="63">
        <v>22.6719358611</v>
      </c>
      <c r="I210" s="63">
        <v>4.74</v>
      </c>
      <c r="J210" s="63">
        <v>11.216343</v>
      </c>
    </row>
    <row r="211" spans="1:11">
      <c r="A211" s="6" t="s">
        <v>380</v>
      </c>
      <c r="B211" s="64">
        <v>13315.597</v>
      </c>
      <c r="C211" s="8">
        <f>IF(Tabela3[[#This Row],[Real GDP]]="",#N/A,((((Tabela3[[#This Row],[Real GDP]]*1)/B210)-1)*4))</f>
        <v>3.7577349948868743E-2</v>
      </c>
      <c r="D211" s="7"/>
      <c r="E211" s="71"/>
      <c r="H211" s="63">
        <v>22.6141985621</v>
      </c>
      <c r="I211" s="63">
        <v>4.66</v>
      </c>
      <c r="J211" s="63">
        <v>11.267941</v>
      </c>
    </row>
    <row r="212" spans="1:11">
      <c r="A212" s="6" t="s">
        <v>381</v>
      </c>
      <c r="B212" s="64">
        <v>13426.748</v>
      </c>
      <c r="C212" s="8">
        <f>IF(Tabela3[[#This Row],[Real GDP]]="",#N/A,((((Tabela3[[#This Row],[Real GDP]]*1)/B211)-1)*4))</f>
        <v>3.3389715834745815E-2</v>
      </c>
      <c r="D212" s="7"/>
      <c r="E212" s="71"/>
      <c r="H212" s="63">
        <v>23.847996560199999</v>
      </c>
      <c r="I212" s="63">
        <v>4.58</v>
      </c>
      <c r="J212" s="63">
        <v>11.429754000000001</v>
      </c>
    </row>
    <row r="213" spans="1:11">
      <c r="A213" s="13" t="s">
        <v>382</v>
      </c>
      <c r="B213" s="64">
        <v>13604.771000000001</v>
      </c>
      <c r="C213" s="8">
        <f>IF(Tabela3[[#This Row],[Real GDP]]="",#N/A,((((Tabela3[[#This Row],[Real GDP]]*1)/B212)-1)*4))</f>
        <v>5.3035329180231017E-2</v>
      </c>
      <c r="D213" s="7"/>
      <c r="E213" s="71"/>
      <c r="H213" s="63">
        <v>22.6414885521</v>
      </c>
      <c r="I213" s="63">
        <v>4.5999999999999996</v>
      </c>
      <c r="J213" s="63">
        <v>11.542358999999999</v>
      </c>
    </row>
    <row r="214" spans="1:11">
      <c r="A214" s="6" t="s">
        <v>383</v>
      </c>
      <c r="B214" s="64">
        <v>13827.98</v>
      </c>
      <c r="C214" s="8">
        <f>IF(Tabela3[[#This Row],[Real GDP]]="",#N/A,((((Tabela3[[#This Row],[Real GDP]]*1)/B213)-1)*4))</f>
        <v>6.5626683462735258E-2</v>
      </c>
      <c r="D214" s="7"/>
      <c r="E214" s="71"/>
      <c r="H214" s="63">
        <v>25.614897592199998</v>
      </c>
      <c r="I214" s="63">
        <v>4.55</v>
      </c>
      <c r="J214" s="63">
        <v>11.54613</v>
      </c>
    </row>
    <row r="215" spans="1:11">
      <c r="A215" s="6" t="s">
        <v>384</v>
      </c>
      <c r="B215" s="64">
        <v>13878.147000000001</v>
      </c>
      <c r="C215" s="8">
        <f>IF(Tabela3[[#This Row],[Real GDP]]="",#N/A,((((Tabela3[[#This Row],[Real GDP]]*1)/B214)-1)*4))</f>
        <v>1.4511736349055226E-2</v>
      </c>
      <c r="D215" s="7"/>
      <c r="E215" s="71"/>
      <c r="H215" s="63">
        <v>26.442826535599998</v>
      </c>
      <c r="I215" s="63">
        <v>4.43</v>
      </c>
      <c r="J215" s="63">
        <v>11.525337</v>
      </c>
    </row>
    <row r="216" spans="1:11">
      <c r="A216" s="6" t="s">
        <v>385</v>
      </c>
      <c r="B216" s="64">
        <v>14130.907999999999</v>
      </c>
      <c r="C216" s="8">
        <f>IF(Tabela3[[#This Row],[Real GDP]]="",#N/A,((((Tabela3[[#This Row],[Real GDP]]*1)/B215)-1)*4))</f>
        <v>7.2851512525410556E-2</v>
      </c>
      <c r="D216" s="7"/>
      <c r="E216" s="71"/>
      <c r="H216" s="63">
        <v>25.101743453899999</v>
      </c>
      <c r="I216" s="63">
        <v>4.51</v>
      </c>
      <c r="J216" s="63">
        <v>11.669062</v>
      </c>
    </row>
    <row r="217" spans="1:11">
      <c r="A217" s="13" t="s">
        <v>386</v>
      </c>
      <c r="B217" s="64">
        <v>14145.312</v>
      </c>
      <c r="C217" s="8">
        <f>IF(Tabela3[[#This Row],[Real GDP]]="",#N/A,((((Tabela3[[#This Row],[Real GDP]]*1)/B216)-1)*4))</f>
        <v>4.0773034542436193E-3</v>
      </c>
      <c r="D217" s="7"/>
      <c r="E217" s="71"/>
      <c r="H217" s="63">
        <v>24.628414467900001</v>
      </c>
      <c r="I217" s="63">
        <v>4.53</v>
      </c>
      <c r="J217" s="63">
        <v>11.827220000000001</v>
      </c>
    </row>
    <row r="218" spans="1:11">
      <c r="A218" s="6" t="s">
        <v>387</v>
      </c>
      <c r="B218" s="64">
        <v>14229.764999999999</v>
      </c>
      <c r="C218" s="8">
        <f>IF(Tabela3[[#This Row],[Real GDP]]="",#N/A,((((Tabela3[[#This Row],[Real GDP]]*1)/B217)-1)*4))</f>
        <v>2.3881551711266269E-2</v>
      </c>
      <c r="D218" s="7"/>
      <c r="E218" s="71"/>
      <c r="H218" s="63">
        <v>21.9826661719</v>
      </c>
      <c r="I218" s="63">
        <v>4.57</v>
      </c>
      <c r="J218" s="63">
        <v>12.020486999999999</v>
      </c>
    </row>
    <row r="219" spans="1:11">
      <c r="A219" s="6" t="s">
        <v>388</v>
      </c>
      <c r="B219" s="64">
        <v>14183.12</v>
      </c>
      <c r="C219" s="8">
        <f>IF(Tabela3[[#This Row],[Real GDP]]="",#N/A,((((Tabela3[[#This Row],[Real GDP]]*1)/B218)-1)*4))</f>
        <v>-1.3111952305606689E-2</v>
      </c>
      <c r="D219" s="7">
        <v>84.7</v>
      </c>
      <c r="E219" s="71"/>
      <c r="H219" s="63">
        <v>19.496016325199999</v>
      </c>
      <c r="I219" s="63">
        <v>4.8099999999999996</v>
      </c>
      <c r="J219" s="63">
        <v>12.121152</v>
      </c>
    </row>
    <row r="220" spans="1:11">
      <c r="A220" s="6" t="s">
        <v>389</v>
      </c>
      <c r="B220" s="64">
        <v>14271.694</v>
      </c>
      <c r="C220" s="8">
        <f>IF(Tabela3[[#This Row],[Real GDP]]="",#N/A,((((Tabela3[[#This Row],[Real GDP]]*1)/B219)-1)*4))</f>
        <v>2.4980117209753239E-2</v>
      </c>
      <c r="D220" s="7">
        <v>85.5</v>
      </c>
      <c r="E220" s="8">
        <f>IF(Tabela3[[#This Row],[Employment Cost Index (ECI)]]="",#N/A,((Tabela3[[#This Row],[Employment Cost Index (ECI)]]*1)/D219)-1)</f>
        <v>9.445100354191327E-3</v>
      </c>
      <c r="H220" s="63">
        <v>20.476958716999999</v>
      </c>
      <c r="I220" s="63">
        <v>4.9400000000000004</v>
      </c>
      <c r="J220" s="63">
        <v>12.353634</v>
      </c>
    </row>
    <row r="221" spans="1:11">
      <c r="A221" s="13" t="s">
        <v>390</v>
      </c>
      <c r="B221" s="64">
        <v>14214.516</v>
      </c>
      <c r="C221" s="8">
        <f>IF(Tabela3[[#This Row],[Real GDP]]="",#N/A,((((Tabela3[[#This Row],[Real GDP]]*1)/B220)-1)*4))</f>
        <v>-1.6025567812762986E-2</v>
      </c>
      <c r="D221" s="7">
        <v>86.4</v>
      </c>
      <c r="E221" s="8">
        <f>IF(Tabela3[[#This Row],[Employment Cost Index (ECI)]]="",#N/A,((Tabela3[[#This Row],[Employment Cost Index (ECI)]]*1)/D220)-1)</f>
        <v>1.0526315789473717E-2</v>
      </c>
      <c r="H221" s="63">
        <v>17.4030957899</v>
      </c>
      <c r="I221" s="63">
        <v>5</v>
      </c>
      <c r="J221" s="63">
        <v>12.309625</v>
      </c>
    </row>
    <row r="222" spans="1:11">
      <c r="A222" s="6" t="s">
        <v>391</v>
      </c>
      <c r="B222" s="64">
        <v>14253.574000000001</v>
      </c>
      <c r="C222" s="8">
        <f>IF(Tabela3[[#This Row],[Real GDP]]="",#N/A,((((Tabela3[[#This Row],[Real GDP]]*1)/B221)-1)*4))</f>
        <v>1.0991017914363077E-2</v>
      </c>
      <c r="D222" s="7">
        <v>87.2</v>
      </c>
      <c r="E222" s="8">
        <f>IF(Tabela3[[#This Row],[Employment Cost Index (ECI)]]="",#N/A,((Tabela3[[#This Row],[Employment Cost Index (ECI)]]*1)/D221)-1)</f>
        <v>9.2592592592593004E-3</v>
      </c>
      <c r="H222" s="63">
        <v>18.9855842885</v>
      </c>
      <c r="I222" s="63">
        <v>4.6900000000000004</v>
      </c>
      <c r="J222" s="63">
        <v>12.662143</v>
      </c>
    </row>
    <row r="223" spans="1:11">
      <c r="A223" s="6" t="s">
        <v>392</v>
      </c>
      <c r="B223" s="64">
        <v>14372.785</v>
      </c>
      <c r="C223" s="8">
        <f>IF(Tabela3[[#This Row],[Real GDP]]="",#N/A,((((Tabela3[[#This Row],[Real GDP]]*1)/B222)-1)*4))</f>
        <v>3.3454346257296486E-2</v>
      </c>
      <c r="D223" s="7">
        <v>87.9</v>
      </c>
      <c r="E223" s="8">
        <f>IF(Tabela3[[#This Row],[Employment Cost Index (ECI)]]="",#N/A,((Tabela3[[#This Row],[Employment Cost Index (ECI)]]*1)/D222)-1)</f>
        <v>8.0275229357797961E-3</v>
      </c>
      <c r="F223" s="8">
        <f>IF(Tabela3[[#This Row],[Employment Cost Index (ECI)]]="",#N/A,((Tabela3[[#This Row],[Employment Cost Index (ECI)]]*1)/D219)-1)</f>
        <v>3.7780401416765086E-2</v>
      </c>
      <c r="G223" s="8">
        <v>2.8500000000000001E-2</v>
      </c>
      <c r="H223" s="62">
        <v>18.8908130933</v>
      </c>
      <c r="I223" s="62">
        <v>4.9400000000000004</v>
      </c>
      <c r="J223" s="62">
        <v>12.442114999999999</v>
      </c>
      <c r="K223" s="9">
        <v>0</v>
      </c>
    </row>
    <row r="224" spans="1:11">
      <c r="A224" s="6" t="s">
        <v>393</v>
      </c>
      <c r="B224" s="64">
        <v>14460.848</v>
      </c>
      <c r="C224" s="8">
        <f>IF(Tabela3[[#This Row],[Real GDP]]="",#N/A,((((Tabela3[[#This Row],[Real GDP]]*1)/B223)-1)*4))</f>
        <v>2.4508263360232263E-2</v>
      </c>
      <c r="D224" s="7">
        <v>88.8</v>
      </c>
      <c r="E224" s="8">
        <f>IF(Tabela3[[#This Row],[Employment Cost Index (ECI)]]="",#N/A,((Tabela3[[#This Row],[Employment Cost Index (ECI)]]*1)/D223)-1)</f>
        <v>1.0238907849829282E-2</v>
      </c>
      <c r="F224" s="8">
        <f>IF(Tabela3[[#This Row],[Employment Cost Index (ECI)]]="",#N/A,((Tabela3[[#This Row],[Employment Cost Index (ECI)]]*1)/D220)-1)</f>
        <v>3.8596491228070073E-2</v>
      </c>
      <c r="G224" s="8">
        <v>2.8500000000000001E-2</v>
      </c>
      <c r="H224" s="7">
        <v>17.011124649700001</v>
      </c>
      <c r="I224" s="7">
        <v>4.78</v>
      </c>
      <c r="J224" s="7">
        <v>12.347863</v>
      </c>
      <c r="K224" s="9">
        <v>0</v>
      </c>
    </row>
    <row r="225" spans="1:11">
      <c r="A225" s="13" t="s">
        <v>394</v>
      </c>
      <c r="B225" s="64">
        <v>14519.633</v>
      </c>
      <c r="C225" s="8">
        <f>IF(Tabela3[[#This Row],[Real GDP]]="",#N/A,((((Tabela3[[#This Row],[Real GDP]]*1)/B224)-1)*4))</f>
        <v>1.6260457201403788E-2</v>
      </c>
      <c r="D225" s="7">
        <v>89.5</v>
      </c>
      <c r="E225" s="8">
        <f>IF(Tabela3[[#This Row],[Employment Cost Index (ECI)]]="",#N/A,((Tabela3[[#This Row],[Employment Cost Index (ECI)]]*1)/D224)-1)</f>
        <v>7.8828828828829689E-3</v>
      </c>
      <c r="F225" s="8">
        <f>IF(Tabela3[[#This Row],[Employment Cost Index (ECI)]]="",#N/A,((Tabela3[[#This Row],[Employment Cost Index (ECI)]]*1)/D221)-1)</f>
        <v>3.5879629629629539E-2</v>
      </c>
      <c r="G225" s="8">
        <v>2.8500000000000001E-2</v>
      </c>
      <c r="H225" s="62">
        <v>13.982134068100001</v>
      </c>
      <c r="I225" s="62">
        <v>4.8899999999999997</v>
      </c>
      <c r="J225" s="62">
        <v>12.356125</v>
      </c>
      <c r="K225" s="9">
        <v>0</v>
      </c>
    </row>
    <row r="226" spans="1:11">
      <c r="A226" s="6" t="s">
        <v>395</v>
      </c>
      <c r="B226" s="64">
        <v>14537.58</v>
      </c>
      <c r="C226" s="8">
        <f>IF(Tabela3[[#This Row],[Real GDP]]="",#N/A,((((Tabela3[[#This Row],[Real GDP]]*1)/B225)-1)*4))</f>
        <v>4.9442021020782434E-3</v>
      </c>
      <c r="D226" s="7">
        <v>90.1</v>
      </c>
      <c r="E226" s="8">
        <f>IF(Tabela3[[#This Row],[Employment Cost Index (ECI)]]="",#N/A,((Tabela3[[#This Row],[Employment Cost Index (ECI)]]*1)/D225)-1)</f>
        <v>6.7039106145250216E-3</v>
      </c>
      <c r="F226" s="8">
        <f>IF(Tabela3[[#This Row],[Employment Cost Index (ECI)]]="",#N/A,((Tabela3[[#This Row],[Employment Cost Index (ECI)]]*1)/D222)-1)</f>
        <v>3.3256880733944838E-2</v>
      </c>
      <c r="G226" s="8">
        <v>2.8500000000000001E-2</v>
      </c>
      <c r="H226" s="7">
        <v>14.5971851381</v>
      </c>
      <c r="I226" s="7">
        <v>4.84</v>
      </c>
      <c r="J226" s="7">
        <v>12.320268</v>
      </c>
      <c r="K226" s="9">
        <v>0</v>
      </c>
    </row>
    <row r="227" spans="1:11">
      <c r="A227" s="6" t="s">
        <v>396</v>
      </c>
      <c r="B227" s="64">
        <v>14614.141</v>
      </c>
      <c r="C227" s="8">
        <f>IF(Tabela3[[#This Row],[Real GDP]]="",#N/A,((((Tabela3[[#This Row],[Real GDP]]*1)/B226)-1)*4))</f>
        <v>2.1065679432202167E-2</v>
      </c>
      <c r="D227" s="7">
        <v>91.2</v>
      </c>
      <c r="E227" s="8">
        <f>IF(Tabela3[[#This Row],[Employment Cost Index (ECI)]]="",#N/A,((Tabela3[[#This Row],[Employment Cost Index (ECI)]]*1)/D226)-1)</f>
        <v>1.2208657047724891E-2</v>
      </c>
      <c r="F227" s="8">
        <f>IF(Tabela3[[#This Row],[Employment Cost Index (ECI)]]="",#N/A,((Tabela3[[#This Row],[Employment Cost Index (ECI)]]*1)/D223)-1)</f>
        <v>3.7542662116040848E-2</v>
      </c>
      <c r="G227" s="8">
        <v>2.8500000000000001E-2</v>
      </c>
      <c r="H227" s="62">
        <v>13.7276735484</v>
      </c>
      <c r="I227" s="62">
        <v>4.68</v>
      </c>
      <c r="J227" s="62">
        <v>12.348067</v>
      </c>
      <c r="K227" s="9">
        <v>0</v>
      </c>
    </row>
    <row r="228" spans="1:11">
      <c r="A228" s="6" t="s">
        <v>397</v>
      </c>
      <c r="B228" s="64">
        <v>14743.566999999999</v>
      </c>
      <c r="C228" s="8">
        <f>IF(Tabela3[[#This Row],[Real GDP]]="",#N/A,((((Tabela3[[#This Row],[Real GDP]]*1)/B227)-1)*4))</f>
        <v>3.5424866914859798E-2</v>
      </c>
      <c r="D228" s="7">
        <v>92</v>
      </c>
      <c r="E228" s="8">
        <f>IF(Tabela3[[#This Row],[Employment Cost Index (ECI)]]="",#N/A,((Tabela3[[#This Row],[Employment Cost Index (ECI)]]*1)/D227)-1)</f>
        <v>8.7719298245614308E-3</v>
      </c>
      <c r="F228" s="8">
        <f>IF(Tabela3[[#This Row],[Employment Cost Index (ECI)]]="",#N/A,((Tabela3[[#This Row],[Employment Cost Index (ECI)]]*1)/D224)-1)</f>
        <v>3.6036036036036112E-2</v>
      </c>
      <c r="G228" s="8">
        <v>2.8500000000000001E-2</v>
      </c>
      <c r="H228" s="7">
        <v>15.594556558900001</v>
      </c>
      <c r="I228" s="7">
        <v>4.53</v>
      </c>
      <c r="J228" s="7">
        <v>12.274711999999999</v>
      </c>
      <c r="K228" s="9">
        <v>0</v>
      </c>
    </row>
    <row r="229" spans="1:11">
      <c r="A229" s="13" t="s">
        <v>398</v>
      </c>
      <c r="B229" s="64">
        <v>14988.781999999999</v>
      </c>
      <c r="C229" s="8">
        <f>IF(Tabela3[[#This Row],[Real GDP]]="",#N/A,((((Tabela3[[#This Row],[Real GDP]]*1)/B228)-1)*4))</f>
        <v>6.6527998278842482E-2</v>
      </c>
      <c r="D229" s="7">
        <v>92.9</v>
      </c>
      <c r="E229" s="8">
        <f>IF(Tabela3[[#This Row],[Employment Cost Index (ECI)]]="",#N/A,((Tabela3[[#This Row],[Employment Cost Index (ECI)]]*1)/D228)-1)</f>
        <v>9.782608695652284E-3</v>
      </c>
      <c r="F229" s="8">
        <f>IF(Tabela3[[#This Row],[Employment Cost Index (ECI)]]="",#N/A,((Tabela3[[#This Row],[Employment Cost Index (ECI)]]*1)/D225)-1)</f>
        <v>3.7988826815642529E-2</v>
      </c>
      <c r="G229" s="8">
        <v>2.8500000000000001E-2</v>
      </c>
      <c r="H229" s="62">
        <v>16.226114583899999</v>
      </c>
      <c r="I229" s="62">
        <v>4.24</v>
      </c>
      <c r="J229" s="62">
        <v>12.11426</v>
      </c>
      <c r="K229" s="9">
        <v>0</v>
      </c>
    </row>
    <row r="230" spans="1:11">
      <c r="A230" s="6" t="s">
        <v>399</v>
      </c>
      <c r="B230" s="64">
        <v>15162.76</v>
      </c>
      <c r="C230" s="8">
        <f>IF(Tabela3[[#This Row],[Real GDP]]="",#N/A,((((Tabela3[[#This Row],[Real GDP]]*1)/B229)-1)*4))</f>
        <v>4.6428855927052481E-2</v>
      </c>
      <c r="D230" s="7">
        <v>93.6</v>
      </c>
      <c r="E230" s="8">
        <f>IF(Tabela3[[#This Row],[Employment Cost Index (ECI)]]="",#N/A,((Tabela3[[#This Row],[Employment Cost Index (ECI)]]*1)/D229)-1)</f>
        <v>7.5349838536058478E-3</v>
      </c>
      <c r="F230" s="8">
        <f>IF(Tabela3[[#This Row],[Employment Cost Index (ECI)]]="",#N/A,((Tabela3[[#This Row],[Employment Cost Index (ECI)]]*1)/D226)-1)</f>
        <v>3.8845726970033301E-2</v>
      </c>
      <c r="G230" s="8">
        <v>2.8500000000000001E-2</v>
      </c>
      <c r="H230" s="7">
        <v>17.686541643799998</v>
      </c>
      <c r="I230" s="7">
        <v>4.43</v>
      </c>
      <c r="J230" s="7">
        <v>12.184711999999999</v>
      </c>
      <c r="K230" s="9">
        <v>0</v>
      </c>
    </row>
    <row r="231" spans="1:11">
      <c r="A231" s="6" t="s">
        <v>400</v>
      </c>
      <c r="B231" s="64">
        <v>15248.68</v>
      </c>
      <c r="C231" s="8">
        <f>IF(Tabela3[[#This Row],[Real GDP]]="",#N/A,((((Tabela3[[#This Row],[Real GDP]]*1)/B230)-1)*4))</f>
        <v>2.266605815827738E-2</v>
      </c>
      <c r="D231" s="7">
        <v>94.6</v>
      </c>
      <c r="E231" s="8">
        <f>IF(Tabela3[[#This Row],[Employment Cost Index (ECI)]]="",#N/A,((Tabela3[[#This Row],[Employment Cost Index (ECI)]]*1)/D230)-1)</f>
        <v>1.0683760683760646E-2</v>
      </c>
      <c r="F231" s="8">
        <f>IF(Tabela3[[#This Row],[Employment Cost Index (ECI)]]="",#N/A,((Tabela3[[#This Row],[Employment Cost Index (ECI)]]*1)/D227)-1)</f>
        <v>3.7280701754385914E-2</v>
      </c>
      <c r="G231" s="8">
        <v>2.8500000000000001E-2</v>
      </c>
      <c r="H231" s="62">
        <v>17.724776633499999</v>
      </c>
      <c r="I231" s="62">
        <v>4.21</v>
      </c>
      <c r="J231" s="62">
        <v>12.189125000000001</v>
      </c>
      <c r="K231" s="9">
        <v>0</v>
      </c>
    </row>
    <row r="232" spans="1:11">
      <c r="A232" s="6" t="s">
        <v>401</v>
      </c>
      <c r="B232" s="64">
        <v>15366.85</v>
      </c>
      <c r="C232" s="8">
        <f>IF(Tabela3[[#This Row],[Real GDP]]="",#N/A,((((Tabela3[[#This Row],[Real GDP]]*1)/B231)-1)*4))</f>
        <v>3.0998092949684697E-2</v>
      </c>
      <c r="D232" s="7">
        <v>95.5</v>
      </c>
      <c r="E232" s="8">
        <f>IF(Tabela3[[#This Row],[Employment Cost Index (ECI)]]="",#N/A,((Tabela3[[#This Row],[Employment Cost Index (ECI)]]*1)/D231)-1)</f>
        <v>9.5137420718816035E-3</v>
      </c>
      <c r="F232" s="8">
        <f>IF(Tabela3[[#This Row],[Employment Cost Index (ECI)]]="",#N/A,((Tabela3[[#This Row],[Employment Cost Index (ECI)]]*1)/D228)-1)</f>
        <v>3.8043478260869623E-2</v>
      </c>
      <c r="G232" s="8">
        <v>2.8500000000000001E-2</v>
      </c>
      <c r="H232" s="7">
        <v>17.412935056199998</v>
      </c>
      <c r="I232" s="7">
        <v>4.1500000000000004</v>
      </c>
      <c r="J232" s="7">
        <v>12.125358</v>
      </c>
      <c r="K232" s="9">
        <v>0</v>
      </c>
    </row>
    <row r="233" spans="1:11">
      <c r="A233" s="13" t="s">
        <v>402</v>
      </c>
      <c r="B233" s="64">
        <v>15512.619000000001</v>
      </c>
      <c r="C233" s="8">
        <f>IF(Tabela3[[#This Row],[Real GDP]]="",#N/A,((((Tabela3[[#This Row],[Real GDP]]*1)/B232)-1)*4))</f>
        <v>3.794375555172369E-2</v>
      </c>
      <c r="D233" s="7">
        <v>96.4</v>
      </c>
      <c r="E233" s="8">
        <f>IF(Tabela3[[#This Row],[Employment Cost Index (ECI)]]="",#N/A,((Tabela3[[#This Row],[Employment Cost Index (ECI)]]*1)/D232)-1)</f>
        <v>9.4240837696335511E-3</v>
      </c>
      <c r="F233" s="8">
        <f>IF(Tabela3[[#This Row],[Employment Cost Index (ECI)]]="",#N/A,((Tabela3[[#This Row],[Employment Cost Index (ECI)]]*1)/D229)-1)</f>
        <v>3.7674919268030127E-2</v>
      </c>
      <c r="G233" s="8">
        <v>2.8500000000000001E-2</v>
      </c>
      <c r="H233" s="62">
        <v>16.912883271399998</v>
      </c>
      <c r="I233" s="62">
        <v>4.07</v>
      </c>
      <c r="J233" s="62">
        <v>12.231868</v>
      </c>
      <c r="K233" s="9">
        <v>0</v>
      </c>
    </row>
    <row r="234" spans="1:11">
      <c r="A234" s="6" t="s">
        <v>403</v>
      </c>
      <c r="B234" s="64">
        <v>15670.88</v>
      </c>
      <c r="C234" s="8">
        <f>IF(Tabela3[[#This Row],[Real GDP]]="",#N/A,((((Tabela3[[#This Row],[Real GDP]]*1)/B233)-1)*4))</f>
        <v>4.0808325144838342E-2</v>
      </c>
      <c r="D234" s="7">
        <v>97.1</v>
      </c>
      <c r="E234" s="8">
        <f>IF(Tabela3[[#This Row],[Employment Cost Index (ECI)]]="",#N/A,((Tabela3[[#This Row],[Employment Cost Index (ECI)]]*1)/D233)-1)</f>
        <v>7.2614107883817169E-3</v>
      </c>
      <c r="F234" s="8">
        <f>IF(Tabela3[[#This Row],[Employment Cost Index (ECI)]]="",#N/A,((Tabela3[[#This Row],[Employment Cost Index (ECI)]]*1)/D230)-1)</f>
        <v>3.7393162393162482E-2</v>
      </c>
      <c r="G234" s="8">
        <v>2.8500000000000001E-2</v>
      </c>
      <c r="H234" s="7">
        <v>17.8107629649</v>
      </c>
      <c r="I234" s="7">
        <v>4.03</v>
      </c>
      <c r="J234" s="7">
        <v>12.224183999999999</v>
      </c>
      <c r="K234" s="9">
        <v>0</v>
      </c>
    </row>
    <row r="235" spans="1:11">
      <c r="A235" s="6" t="s">
        <v>404</v>
      </c>
      <c r="B235" s="64">
        <v>15844.727000000001</v>
      </c>
      <c r="C235" s="8">
        <f>IF(Tabela3[[#This Row],[Real GDP]]="",#N/A,((((Tabela3[[#This Row],[Real GDP]]*1)/B234)-1)*4))</f>
        <v>4.4374534167832991E-2</v>
      </c>
      <c r="D235" s="7">
        <v>98</v>
      </c>
      <c r="E235" s="8">
        <f>IF(Tabela3[[#This Row],[Employment Cost Index (ECI)]]="",#N/A,((Tabela3[[#This Row],[Employment Cost Index (ECI)]]*1)/D234)-1)</f>
        <v>9.2687950566427979E-3</v>
      </c>
      <c r="F235" s="8">
        <f>IF(Tabela3[[#This Row],[Employment Cost Index (ECI)]]="",#N/A,((Tabela3[[#This Row],[Employment Cost Index (ECI)]]*1)/D231)-1)</f>
        <v>3.5940803382663811E-2</v>
      </c>
      <c r="G235" s="8">
        <v>2.8500000000000001E-2</v>
      </c>
      <c r="H235" s="62">
        <v>17.493649857699999</v>
      </c>
      <c r="I235" s="62">
        <v>3.7</v>
      </c>
      <c r="J235" s="62">
        <v>12.548985</v>
      </c>
      <c r="K235" s="9">
        <v>0</v>
      </c>
    </row>
    <row r="236" spans="1:11">
      <c r="A236" s="6" t="s">
        <v>405</v>
      </c>
      <c r="B236" s="64">
        <v>15922.781999999999</v>
      </c>
      <c r="C236" s="8">
        <f>IF(Tabela3[[#This Row],[Real GDP]]="",#N/A,((((Tabela3[[#This Row],[Real GDP]]*1)/B235)-1)*4))</f>
        <v>1.9704978192429223E-2</v>
      </c>
      <c r="D236" s="7">
        <v>98.6</v>
      </c>
      <c r="E236" s="8">
        <f>IF(Tabela3[[#This Row],[Employment Cost Index (ECI)]]="",#N/A,((Tabela3[[#This Row],[Employment Cost Index (ECI)]]*1)/D235)-1)</f>
        <v>6.1224489795916881E-3</v>
      </c>
      <c r="F236" s="8">
        <f>IF(Tabela3[[#This Row],[Employment Cost Index (ECI)]]="",#N/A,((Tabela3[[#This Row],[Employment Cost Index (ECI)]]*1)/D232)-1)</f>
        <v>3.2460732984293195E-2</v>
      </c>
      <c r="G236" s="8">
        <v>2.8500000000000001E-2</v>
      </c>
      <c r="H236" s="7">
        <v>17.620676970200002</v>
      </c>
      <c r="I236" s="7">
        <v>3.67</v>
      </c>
      <c r="J236" s="7">
        <v>12.543675</v>
      </c>
      <c r="K236" s="9">
        <v>0</v>
      </c>
    </row>
    <row r="237" spans="1:11">
      <c r="A237" s="13" t="s">
        <v>406</v>
      </c>
      <c r="B237" s="64">
        <v>16047.587</v>
      </c>
      <c r="C237" s="8">
        <f>IF(Tabela3[[#This Row],[Real GDP]]="",#N/A,((((Tabela3[[#This Row],[Real GDP]]*1)/B236)-1)*4))</f>
        <v>3.1352561380291633E-2</v>
      </c>
      <c r="D237" s="7">
        <v>99.3</v>
      </c>
      <c r="E237" s="8">
        <f>IF(Tabela3[[#This Row],[Employment Cost Index (ECI)]]="",#N/A,((Tabela3[[#This Row],[Employment Cost Index (ECI)]]*1)/D236)-1)</f>
        <v>7.0993914807302438E-3</v>
      </c>
      <c r="F237" s="8">
        <f>IF(Tabela3[[#This Row],[Employment Cost Index (ECI)]]="",#N/A,((Tabela3[[#This Row],[Employment Cost Index (ECI)]]*1)/D233)-1)</f>
        <v>3.0082987551867113E-2</v>
      </c>
      <c r="G237" s="8">
        <v>2.8500000000000001E-2</v>
      </c>
      <c r="H237" s="62">
        <v>18.07880449</v>
      </c>
      <c r="I237" s="62">
        <v>3.9</v>
      </c>
      <c r="J237" s="62">
        <v>12.587783999999999</v>
      </c>
      <c r="K237" s="9">
        <v>0</v>
      </c>
    </row>
    <row r="238" spans="1:11">
      <c r="A238" s="6" t="s">
        <v>407</v>
      </c>
      <c r="B238" s="64">
        <v>16136.734</v>
      </c>
      <c r="C238" s="8">
        <f>IF(Tabela3[[#This Row],[Real GDP]]="",#N/A,((((Tabela3[[#This Row],[Real GDP]]*1)/B237)-1)*4))</f>
        <v>2.222066158606939E-2</v>
      </c>
      <c r="D238" s="7">
        <v>100.1</v>
      </c>
      <c r="E238" s="8">
        <f>IF(Tabela3[[#This Row],[Employment Cost Index (ECI)]]="",#N/A,((Tabela3[[#This Row],[Employment Cost Index (ECI)]]*1)/D237)-1)</f>
        <v>8.0563947633434108E-3</v>
      </c>
      <c r="F238" s="8">
        <f>IF(Tabela3[[#This Row],[Employment Cost Index (ECI)]]="",#N/A,((Tabela3[[#This Row],[Employment Cost Index (ECI)]]*1)/D234)-1)</f>
        <v>3.0895983522142068E-2</v>
      </c>
      <c r="G238" s="8">
        <v>2.8500000000000001E-2</v>
      </c>
      <c r="H238" s="7">
        <v>18.0689314583</v>
      </c>
      <c r="I238" s="7">
        <v>3.54</v>
      </c>
      <c r="J238" s="7">
        <v>12.611487</v>
      </c>
      <c r="K238" s="9">
        <v>0</v>
      </c>
    </row>
    <row r="239" spans="1:11">
      <c r="A239" s="6" t="s">
        <v>408</v>
      </c>
      <c r="B239" s="64">
        <v>16353.834999999999</v>
      </c>
      <c r="C239" s="8">
        <f>IF(Tabela3[[#This Row],[Real GDP]]="",#N/A,((((Tabela3[[#This Row],[Real GDP]]*1)/B238)-1)*4))</f>
        <v>5.3815350739498946E-2</v>
      </c>
      <c r="D239" s="7">
        <v>100.7</v>
      </c>
      <c r="E239" s="8">
        <f>IF(Tabela3[[#This Row],[Employment Cost Index (ECI)]]="",#N/A,((Tabela3[[#This Row],[Employment Cost Index (ECI)]]*1)/D238)-1)</f>
        <v>5.9940059940060131E-3</v>
      </c>
      <c r="F239" s="8">
        <f>IF(Tabela3[[#This Row],[Employment Cost Index (ECI)]]="",#N/A,((Tabela3[[#This Row],[Employment Cost Index (ECI)]]*1)/D235)-1)</f>
        <v>2.7551020408163263E-2</v>
      </c>
      <c r="G239" s="8">
        <v>2.8500000000000001E-2</v>
      </c>
      <c r="H239" s="62">
        <v>19.174534322100001</v>
      </c>
      <c r="I239" s="62">
        <v>3.86</v>
      </c>
      <c r="J239" s="62">
        <v>12.618817</v>
      </c>
      <c r="K239" s="9">
        <v>0</v>
      </c>
    </row>
    <row r="240" spans="1:11">
      <c r="A240" s="6" t="s">
        <v>409</v>
      </c>
      <c r="B240" s="64">
        <v>16396.151000000002</v>
      </c>
      <c r="C240" s="8">
        <f>IF(Tabela3[[#This Row],[Real GDP]]="",#N/A,((((Tabela3[[#This Row],[Real GDP]]*1)/B239)-1)*4))</f>
        <v>1.03501105398216E-2</v>
      </c>
      <c r="D240" s="7">
        <v>101.6</v>
      </c>
      <c r="E240" s="8">
        <f>IF(Tabela3[[#This Row],[Employment Cost Index (ECI)]]="",#N/A,((Tabela3[[#This Row],[Employment Cost Index (ECI)]]*1)/D239)-1)</f>
        <v>8.9374379344586696E-3</v>
      </c>
      <c r="F240" s="8">
        <f>IF(Tabela3[[#This Row],[Employment Cost Index (ECI)]]="",#N/A,((Tabela3[[#This Row],[Employment Cost Index (ECI)]]*1)/D236)-1)</f>
        <v>3.0425963488843744E-2</v>
      </c>
      <c r="G240" s="8">
        <v>2.8500000000000001E-2</v>
      </c>
      <c r="H240" s="7">
        <v>18.550957998400001</v>
      </c>
      <c r="I240" s="7">
        <v>4.13</v>
      </c>
      <c r="J240" s="7">
        <v>12.667021999999999</v>
      </c>
      <c r="K240" s="9">
        <v>0</v>
      </c>
    </row>
    <row r="241" spans="1:11">
      <c r="A241" s="13" t="s">
        <v>410</v>
      </c>
      <c r="B241" s="64">
        <v>16420.738000000001</v>
      </c>
      <c r="C241" s="8">
        <f>IF(Tabela3[[#This Row],[Real GDP]]="",#N/A,((((Tabela3[[#This Row],[Real GDP]]*1)/B240)-1)*4))</f>
        <v>5.9982370252624762E-3</v>
      </c>
      <c r="D241" s="7">
        <v>102.6</v>
      </c>
      <c r="E241" s="8">
        <f>IF(Tabela3[[#This Row],[Employment Cost Index (ECI)]]="",#N/A,((Tabela3[[#This Row],[Employment Cost Index (ECI)]]*1)/D240)-1)</f>
        <v>9.8425196850393526E-3</v>
      </c>
      <c r="F241" s="8">
        <f>IF(Tabela3[[#This Row],[Employment Cost Index (ECI)]]="",#N/A,((Tabela3[[#This Row],[Employment Cost Index (ECI)]]*1)/D237)-1)</f>
        <v>3.3232628398791597E-2</v>
      </c>
      <c r="G241" s="8">
        <v>2.8500000000000001E-2</v>
      </c>
      <c r="H241" s="62">
        <v>18.834349935300001</v>
      </c>
      <c r="I241" s="62">
        <v>4.12</v>
      </c>
      <c r="J241" s="62">
        <v>12.779304</v>
      </c>
      <c r="K241" s="9">
        <v>0</v>
      </c>
    </row>
    <row r="242" spans="1:11">
      <c r="A242" s="6" t="s">
        <v>411</v>
      </c>
      <c r="B242" s="64">
        <v>16561.866000000002</v>
      </c>
      <c r="C242" s="8">
        <f>IF(Tabela3[[#This Row],[Real GDP]]="",#N/A,((((Tabela3[[#This Row],[Real GDP]]*1)/B241)-1)*4))</f>
        <v>3.4377992024475112E-2</v>
      </c>
      <c r="D242" s="7">
        <v>103.4</v>
      </c>
      <c r="E242" s="8">
        <f>IF(Tabela3[[#This Row],[Employment Cost Index (ECI)]]="",#N/A,((Tabela3[[#This Row],[Employment Cost Index (ECI)]]*1)/D241)-1)</f>
        <v>7.7972709551659136E-3</v>
      </c>
      <c r="F242" s="8">
        <f>IF(Tabela3[[#This Row],[Employment Cost Index (ECI)]]="",#N/A,((Tabela3[[#This Row],[Employment Cost Index (ECI)]]*1)/D238)-1)</f>
        <v>3.2967032967033072E-2</v>
      </c>
      <c r="G242" s="8">
        <v>2.8500000000000001E-2</v>
      </c>
      <c r="H242" s="7">
        <v>19.866449530600001</v>
      </c>
      <c r="I242" s="7">
        <v>3.95</v>
      </c>
      <c r="J242" s="7">
        <v>12.866873</v>
      </c>
      <c r="K242" s="9">
        <v>0</v>
      </c>
    </row>
    <row r="243" spans="1:11">
      <c r="A243" s="6" t="s">
        <v>412</v>
      </c>
      <c r="B243" s="64">
        <v>16611.689999999999</v>
      </c>
      <c r="C243" s="8">
        <f>IF(Tabela3[[#This Row],[Real GDP]]="",#N/A,((((Tabela3[[#This Row],[Real GDP]]*1)/B242)-1)*4))</f>
        <v>1.2033426668225822E-2</v>
      </c>
      <c r="D243" s="7">
        <v>104.2</v>
      </c>
      <c r="E243" s="8">
        <f>IF(Tabela3[[#This Row],[Employment Cost Index (ECI)]]="",#N/A,((Tabela3[[#This Row],[Employment Cost Index (ECI)]]*1)/D242)-1)</f>
        <v>7.7369439071566237E-3</v>
      </c>
      <c r="F243" s="8">
        <f>IF(Tabela3[[#This Row],[Employment Cost Index (ECI)]]="",#N/A,((Tabela3[[#This Row],[Employment Cost Index (ECI)]]*1)/D239)-1)</f>
        <v>3.4756703078450801E-2</v>
      </c>
      <c r="G243" s="8">
        <v>2.8500000000000001E-2</v>
      </c>
      <c r="H243" s="62">
        <v>20.33660703</v>
      </c>
      <c r="I243" s="62">
        <v>3.98</v>
      </c>
      <c r="J243" s="62">
        <v>12.896722</v>
      </c>
      <c r="K243" s="9">
        <v>0</v>
      </c>
    </row>
    <row r="244" spans="1:11">
      <c r="A244" s="6" t="s">
        <v>413</v>
      </c>
      <c r="B244" s="64">
        <v>16713.313999999998</v>
      </c>
      <c r="C244" s="8">
        <f>IF(Tabela3[[#This Row],[Real GDP]]="",#N/A,((((Tabela3[[#This Row],[Real GDP]]*1)/B243)-1)*4))</f>
        <v>2.4470478319785549E-2</v>
      </c>
      <c r="D244" s="7">
        <v>105.1</v>
      </c>
      <c r="E244" s="8">
        <f>IF(Tabela3[[#This Row],[Employment Cost Index (ECI)]]="",#N/A,((Tabela3[[#This Row],[Employment Cost Index (ECI)]]*1)/D243)-1)</f>
        <v>8.6372360844528817E-3</v>
      </c>
      <c r="F244" s="8">
        <f>IF(Tabela3[[#This Row],[Employment Cost Index (ECI)]]="",#N/A,((Tabela3[[#This Row],[Employment Cost Index (ECI)]]*1)/D240)-1)</f>
        <v>3.4448818897637734E-2</v>
      </c>
      <c r="G244" s="8">
        <v>2.8500000000000001E-2</v>
      </c>
      <c r="H244" s="7">
        <v>20.8004546453</v>
      </c>
      <c r="I244" s="7">
        <v>4.0199999999999996</v>
      </c>
      <c r="J244" s="7">
        <v>12.941819000000001</v>
      </c>
      <c r="K244" s="9">
        <v>0</v>
      </c>
    </row>
    <row r="245" spans="1:11">
      <c r="A245" s="13" t="s">
        <v>414</v>
      </c>
      <c r="B245" s="64">
        <v>16809.587</v>
      </c>
      <c r="C245" s="8">
        <f>IF(Tabela3[[#This Row],[Real GDP]]="",#N/A,((((Tabela3[[#This Row],[Real GDP]]*1)/B244)-1)*4))</f>
        <v>2.30410318384493E-2</v>
      </c>
      <c r="D245" s="7">
        <v>105.9</v>
      </c>
      <c r="E245" s="8">
        <f>IF(Tabela3[[#This Row],[Employment Cost Index (ECI)]]="",#N/A,((Tabela3[[#This Row],[Employment Cost Index (ECI)]]*1)/D244)-1)</f>
        <v>7.6117982873455947E-3</v>
      </c>
      <c r="F245" s="8">
        <f>IF(Tabela3[[#This Row],[Employment Cost Index (ECI)]]="",#N/A,((Tabela3[[#This Row],[Employment Cost Index (ECI)]]*1)/D241)-1)</f>
        <v>3.2163742690058506E-2</v>
      </c>
      <c r="G245" s="8">
        <v>2.8500000000000001E-2</v>
      </c>
      <c r="H245" s="62">
        <v>20.729880916900001</v>
      </c>
      <c r="I245" s="62">
        <v>4.41</v>
      </c>
      <c r="J245" s="62">
        <v>13.050642</v>
      </c>
      <c r="K245" s="9">
        <v>0</v>
      </c>
    </row>
    <row r="246" spans="1:11">
      <c r="A246" s="6" t="s">
        <v>415</v>
      </c>
      <c r="B246" s="64">
        <v>16915.190999999999</v>
      </c>
      <c r="C246" s="8">
        <f>IF(Tabela3[[#This Row],[Real GDP]]="",#N/A,((((Tabela3[[#This Row],[Real GDP]]*1)/B245)-1)*4))</f>
        <v>2.5129469272505034E-2</v>
      </c>
      <c r="D246" s="7">
        <v>106.8</v>
      </c>
      <c r="E246" s="8">
        <f>IF(Tabela3[[#This Row],[Employment Cost Index (ECI)]]="",#N/A,((Tabela3[[#This Row],[Employment Cost Index (ECI)]]*1)/D245)-1)</f>
        <v>8.4985835694049161E-3</v>
      </c>
      <c r="F246" s="8">
        <f>IF(Tabela3[[#This Row],[Employment Cost Index (ECI)]]="",#N/A,((Tabela3[[#This Row],[Employment Cost Index (ECI)]]*1)/D242)-1)</f>
        <v>3.2882011605415817E-2</v>
      </c>
      <c r="G246" s="8">
        <v>2.8500000000000001E-2</v>
      </c>
      <c r="H246" s="7">
        <v>19.764140019199999</v>
      </c>
      <c r="I246" s="7">
        <v>4.5999999999999996</v>
      </c>
      <c r="J246" s="7">
        <v>13.172720999999999</v>
      </c>
      <c r="K246" s="9">
        <v>1</v>
      </c>
    </row>
    <row r="247" spans="1:11">
      <c r="A247" s="6" t="s">
        <v>416</v>
      </c>
      <c r="B247" s="64">
        <v>16843.003000000001</v>
      </c>
      <c r="C247" s="8">
        <f>IF(Tabela3[[#This Row],[Real GDP]]="",#N/A,((((Tabela3[[#This Row],[Real GDP]]*1)/B246)-1)*4))</f>
        <v>-1.7070572835979014E-2</v>
      </c>
      <c r="D247" s="7">
        <v>107.6</v>
      </c>
      <c r="E247" s="8">
        <f>IF(Tabela3[[#This Row],[Employment Cost Index (ECI)]]="",#N/A,((Tabela3[[#This Row],[Employment Cost Index (ECI)]]*1)/D246)-1)</f>
        <v>7.4906367041198685E-3</v>
      </c>
      <c r="F247" s="8">
        <f>IF(Tabela3[[#This Row],[Employment Cost Index (ECI)]]="",#N/A,((Tabela3[[#This Row],[Employment Cost Index (ECI)]]*1)/D243)-1)</f>
        <v>3.2629558541266812E-2</v>
      </c>
      <c r="G247" s="8">
        <v>2.8500000000000001E-2</v>
      </c>
      <c r="H247" s="62">
        <v>18.423755471500002</v>
      </c>
      <c r="I247" s="62">
        <v>4.7699999999999996</v>
      </c>
      <c r="J247" s="62">
        <v>13.110655</v>
      </c>
      <c r="K247" s="9">
        <v>1</v>
      </c>
    </row>
    <row r="248" spans="1:11">
      <c r="A248" s="6" t="s">
        <v>417</v>
      </c>
      <c r="B248" s="64">
        <v>16943.291000000001</v>
      </c>
      <c r="C248" s="8">
        <f>IF(Tabela3[[#This Row],[Real GDP]]="",#N/A,((((Tabela3[[#This Row],[Real GDP]]*1)/B247)-1)*4))</f>
        <v>2.3817130472517434E-2</v>
      </c>
      <c r="D248" s="7">
        <v>108.3</v>
      </c>
      <c r="E248" s="8">
        <f>IF(Tabela3[[#This Row],[Employment Cost Index (ECI)]]="",#N/A,((Tabela3[[#This Row],[Employment Cost Index (ECI)]]*1)/D247)-1)</f>
        <v>6.5055762081784874E-3</v>
      </c>
      <c r="F248" s="8">
        <f>IF(Tabela3[[#This Row],[Employment Cost Index (ECI)]]="",#N/A,((Tabela3[[#This Row],[Employment Cost Index (ECI)]]*1)/D244)-1)</f>
        <v>3.0447193149381491E-2</v>
      </c>
      <c r="G248" s="8">
        <v>2.8500000000000001E-2</v>
      </c>
      <c r="H248" s="7">
        <v>17.899894392</v>
      </c>
      <c r="I248" s="7">
        <v>4.9000000000000004</v>
      </c>
      <c r="J248" s="7">
        <v>12.760975999999999</v>
      </c>
      <c r="K248" s="9">
        <v>1</v>
      </c>
    </row>
    <row r="249" spans="1:11">
      <c r="A249" s="13" t="s">
        <v>418</v>
      </c>
      <c r="B249" s="64">
        <v>16854.294999999998</v>
      </c>
      <c r="C249" s="8">
        <f>IF(Tabela3[[#This Row],[Real GDP]]="",#N/A,((((Tabela3[[#This Row],[Real GDP]]*1)/B248)-1)*4))</f>
        <v>-2.1010322020675432E-2</v>
      </c>
      <c r="D249" s="7">
        <v>109.1</v>
      </c>
      <c r="E249" s="8">
        <f>IF(Tabela3[[#This Row],[Employment Cost Index (ECI)]]="",#N/A,((Tabela3[[#This Row],[Employment Cost Index (ECI)]]*1)/D248)-1)</f>
        <v>7.3868882733147956E-3</v>
      </c>
      <c r="F249" s="8">
        <f>IF(Tabela3[[#This Row],[Employment Cost Index (ECI)]]="",#N/A,((Tabela3[[#This Row],[Employment Cost Index (ECI)]]*1)/D245)-1)</f>
        <v>3.0217186024551257E-2</v>
      </c>
      <c r="G249" s="8">
        <v>2.8500000000000001E-2</v>
      </c>
      <c r="H249" s="62">
        <v>15.9672273726</v>
      </c>
      <c r="I249" s="62">
        <v>4.8</v>
      </c>
      <c r="J249" s="62">
        <v>12.826082</v>
      </c>
      <c r="K249" s="9">
        <v>1</v>
      </c>
    </row>
    <row r="250" spans="1:11">
      <c r="A250" s="6" t="s">
        <v>419</v>
      </c>
      <c r="B250" s="64">
        <v>16485.349999999999</v>
      </c>
      <c r="C250" s="8">
        <f>IF(Tabela3[[#This Row],[Real GDP]]="",#N/A,((((Tabela3[[#This Row],[Real GDP]]*1)/B249)-1)*4))</f>
        <v>-8.7561063811924633E-2</v>
      </c>
      <c r="D250" s="7">
        <v>109.6</v>
      </c>
      <c r="E250" s="8">
        <f>IF(Tabela3[[#This Row],[Employment Cost Index (ECI)]]="",#N/A,((Tabela3[[#This Row],[Employment Cost Index (ECI)]]*1)/D249)-1)</f>
        <v>4.5829514207149646E-3</v>
      </c>
      <c r="F250" s="8">
        <f>IF(Tabela3[[#This Row],[Employment Cost Index (ECI)]]="",#N/A,((Tabela3[[#This Row],[Employment Cost Index (ECI)]]*1)/D246)-1)</f>
        <v>2.621722846441954E-2</v>
      </c>
      <c r="G250" s="8">
        <v>2.8500000000000001E-2</v>
      </c>
      <c r="H250" s="7">
        <v>12.8696762614</v>
      </c>
      <c r="I250" s="7">
        <v>5.64</v>
      </c>
      <c r="J250" s="7">
        <v>12.76267</v>
      </c>
      <c r="K250" s="9">
        <v>1</v>
      </c>
    </row>
    <row r="251" spans="1:11">
      <c r="A251" s="6" t="s">
        <v>420</v>
      </c>
      <c r="B251" s="64">
        <v>16298.262000000001</v>
      </c>
      <c r="C251" s="8">
        <f>IF(Tabela3[[#This Row],[Real GDP]]="",#N/A,((((Tabela3[[#This Row],[Real GDP]]*1)/B250)-1)*4))</f>
        <v>-4.5394971899292091E-2</v>
      </c>
      <c r="D251" s="7">
        <v>109.9</v>
      </c>
      <c r="E251" s="8">
        <f>IF(Tabela3[[#This Row],[Employment Cost Index (ECI)]]="",#N/A,((Tabela3[[#This Row],[Employment Cost Index (ECI)]]*1)/D250)-1)</f>
        <v>2.7372262773723843E-3</v>
      </c>
      <c r="F251" s="8">
        <f>IF(Tabela3[[#This Row],[Employment Cost Index (ECI)]]="",#N/A,((Tabela3[[#This Row],[Employment Cost Index (ECI)]]*1)/D247)-1)</f>
        <v>2.1375464684014966E-2</v>
      </c>
      <c r="G251" s="8">
        <v>2.8500000000000001E-2</v>
      </c>
      <c r="H251" s="62">
        <v>11.6831318627</v>
      </c>
      <c r="I251" s="62">
        <v>6.51</v>
      </c>
      <c r="J251" s="62">
        <v>12.676246000000001</v>
      </c>
      <c r="K251" s="9">
        <v>1</v>
      </c>
    </row>
    <row r="252" spans="1:11">
      <c r="A252" s="6" t="s">
        <v>421</v>
      </c>
      <c r="B252" s="64">
        <v>16269.145</v>
      </c>
      <c r="C252" s="8">
        <f>IF(Tabela3[[#This Row],[Real GDP]]="",#N/A,((((Tabela3[[#This Row],[Real GDP]]*1)/B251)-1)*4))</f>
        <v>-7.1460380254042555E-3</v>
      </c>
      <c r="D252" s="7">
        <v>110.2</v>
      </c>
      <c r="E252" s="8">
        <f>IF(Tabela3[[#This Row],[Employment Cost Index (ECI)]]="",#N/A,((Tabela3[[#This Row],[Employment Cost Index (ECI)]]*1)/D251)-1)</f>
        <v>2.7297543221109777E-3</v>
      </c>
      <c r="F252" s="8">
        <f>IF(Tabela3[[#This Row],[Employment Cost Index (ECI)]]="",#N/A,((Tabela3[[#This Row],[Employment Cost Index (ECI)]]*1)/D248)-1)</f>
        <v>1.7543859649122862E-2</v>
      </c>
      <c r="G252" s="8">
        <v>2.8500000000000001E-2</v>
      </c>
      <c r="H252" s="7">
        <v>14.076863594200001</v>
      </c>
      <c r="I252" s="7">
        <v>6.77</v>
      </c>
      <c r="J252" s="7">
        <v>12.365322000000001</v>
      </c>
      <c r="K252" s="9">
        <v>1</v>
      </c>
    </row>
    <row r="253" spans="1:11">
      <c r="A253" s="13" t="s">
        <v>422</v>
      </c>
      <c r="B253" s="64">
        <v>16326.281000000001</v>
      </c>
      <c r="C253" s="8">
        <f>IF(Tabela3[[#This Row],[Real GDP]]="",#N/A,((((Tabela3[[#This Row],[Real GDP]]*1)/B252)-1)*4))</f>
        <v>1.4047695807001936E-2</v>
      </c>
      <c r="D253" s="7">
        <v>110.7</v>
      </c>
      <c r="E253" s="8">
        <f>IF(Tabela3[[#This Row],[Employment Cost Index (ECI)]]="",#N/A,((Tabela3[[#This Row],[Employment Cost Index (ECI)]]*1)/D252)-1)</f>
        <v>4.5372050816696596E-3</v>
      </c>
      <c r="F253" s="8">
        <f>IF(Tabela3[[#This Row],[Employment Cost Index (ECI)]]="",#N/A,((Tabela3[[#This Row],[Employment Cost Index (ECI)]]*1)/D249)-1)</f>
        <v>1.4665444546287931E-2</v>
      </c>
      <c r="G253" s="8">
        <v>2.8500000000000001E-2</v>
      </c>
      <c r="H253" s="62">
        <v>16.151690882800001</v>
      </c>
      <c r="I253" s="62">
        <v>6.49</v>
      </c>
      <c r="J253" s="62">
        <v>12.240999</v>
      </c>
      <c r="K253" s="9">
        <v>1</v>
      </c>
    </row>
    <row r="254" spans="1:11">
      <c r="A254" s="6" t="s">
        <v>423</v>
      </c>
      <c r="B254" s="64">
        <v>16502.754000000001</v>
      </c>
      <c r="C254" s="8">
        <f>IF(Tabela3[[#This Row],[Real GDP]]="",#N/A,((((Tabela3[[#This Row],[Real GDP]]*1)/B253)-1)*4))</f>
        <v>4.3236546032742851E-2</v>
      </c>
      <c r="D254" s="7">
        <v>111.1</v>
      </c>
      <c r="E254" s="8">
        <f>IF(Tabela3[[#This Row],[Employment Cost Index (ECI)]]="",#N/A,((Tabela3[[#This Row],[Employment Cost Index (ECI)]]*1)/D253)-1)</f>
        <v>3.6133694670279493E-3</v>
      </c>
      <c r="F254" s="8">
        <f>IF(Tabela3[[#This Row],[Employment Cost Index (ECI)]]="",#N/A,((Tabela3[[#This Row],[Employment Cost Index (ECI)]]*1)/D250)-1)</f>
        <v>1.3686131386861256E-2</v>
      </c>
      <c r="G254" s="8">
        <v>2.8500000000000001E-2</v>
      </c>
      <c r="H254" s="7">
        <v>16.6506280764</v>
      </c>
      <c r="I254" s="7">
        <v>6.33</v>
      </c>
      <c r="J254" s="7">
        <v>11.941789999999999</v>
      </c>
      <c r="K254" s="9">
        <v>0</v>
      </c>
    </row>
    <row r="255" spans="1:11">
      <c r="A255" s="6" t="s">
        <v>424</v>
      </c>
      <c r="B255" s="64">
        <v>16582.71</v>
      </c>
      <c r="C255" s="8">
        <f>IF(Tabela3[[#This Row],[Real GDP]]="",#N/A,((((Tabela3[[#This Row],[Real GDP]]*1)/B254)-1)*4))</f>
        <v>1.9380038022744017E-2</v>
      </c>
      <c r="D255" s="7">
        <v>111.8</v>
      </c>
      <c r="E255" s="8">
        <f>IF(Tabela3[[#This Row],[Employment Cost Index (ECI)]]="",#N/A,((Tabela3[[#This Row],[Employment Cost Index (ECI)]]*1)/D254)-1)</f>
        <v>6.3006300630064072E-3</v>
      </c>
      <c r="F255" s="8">
        <f>IF(Tabela3[[#This Row],[Employment Cost Index (ECI)]]="",#N/A,((Tabela3[[#This Row],[Employment Cost Index (ECI)]]*1)/D251)-1)</f>
        <v>1.7288444040036266E-2</v>
      </c>
      <c r="G255" s="8">
        <v>2.8500000000000001E-2</v>
      </c>
      <c r="H255" s="62">
        <v>17.319955184600001</v>
      </c>
      <c r="I255" s="62">
        <v>5.78</v>
      </c>
      <c r="J255" s="62">
        <v>11.634188</v>
      </c>
      <c r="K255" s="9">
        <v>0</v>
      </c>
    </row>
    <row r="256" spans="1:11">
      <c r="A256" s="6" t="s">
        <v>425</v>
      </c>
      <c r="B256" s="64">
        <v>16743.162</v>
      </c>
      <c r="C256" s="8">
        <f>IF(Tabela3[[#This Row],[Real GDP]]="",#N/A,((((Tabela3[[#This Row],[Real GDP]]*1)/B255)-1)*4))</f>
        <v>3.8703444732496095E-2</v>
      </c>
      <c r="D256" s="7">
        <v>112.3</v>
      </c>
      <c r="E256" s="8">
        <f>IF(Tabela3[[#This Row],[Employment Cost Index (ECI)]]="",#N/A,((Tabela3[[#This Row],[Employment Cost Index (ECI)]]*1)/D255)-1)</f>
        <v>4.472271914132353E-3</v>
      </c>
      <c r="F256" s="8">
        <f>IF(Tabela3[[#This Row],[Employment Cost Index (ECI)]]="",#N/A,((Tabela3[[#This Row],[Employment Cost Index (ECI)]]*1)/D252)-1)</f>
        <v>1.9056261343012748E-2</v>
      </c>
      <c r="G256" s="8">
        <v>2.8500000000000001E-2</v>
      </c>
      <c r="H256" s="7">
        <v>15.704606586700001</v>
      </c>
      <c r="I256" s="7">
        <v>5.0999999999999996</v>
      </c>
      <c r="J256" s="7">
        <v>11.297374</v>
      </c>
      <c r="K256" s="9">
        <v>0</v>
      </c>
    </row>
    <row r="257" spans="1:11">
      <c r="A257" s="13" t="s">
        <v>426</v>
      </c>
      <c r="B257" s="64">
        <v>16872.266</v>
      </c>
      <c r="C257" s="8">
        <f>IF(Tabela3[[#This Row],[Real GDP]]="",#N/A,((((Tabela3[[#This Row],[Real GDP]]*1)/B256)-1)*4))</f>
        <v>3.0843397441892684E-2</v>
      </c>
      <c r="D257" s="7">
        <v>112.8</v>
      </c>
      <c r="E257" s="8">
        <f>IF(Tabela3[[#This Row],[Employment Cost Index (ECI)]]="",#N/A,((Tabela3[[#This Row],[Employment Cost Index (ECI)]]*1)/D256)-1)</f>
        <v>4.4523597506678225E-3</v>
      </c>
      <c r="F257" s="8">
        <f>IF(Tabela3[[#This Row],[Employment Cost Index (ECI)]]="",#N/A,((Tabela3[[#This Row],[Employment Cost Index (ECI)]]*1)/D253)-1)</f>
        <v>1.8970189701897011E-2</v>
      </c>
      <c r="G257" s="8">
        <v>2.8500000000000001E-2</v>
      </c>
      <c r="H257" s="62">
        <v>17.234746040899999</v>
      </c>
      <c r="I257" s="62">
        <v>4.58</v>
      </c>
      <c r="J257" s="62">
        <v>11.096391000000001</v>
      </c>
      <c r="K257" s="9">
        <v>0</v>
      </c>
    </row>
    <row r="258" spans="1:11">
      <c r="A258" s="6" t="s">
        <v>427</v>
      </c>
      <c r="B258" s="64">
        <v>16960.864000000001</v>
      </c>
      <c r="C258" s="8">
        <f>IF(Tabela3[[#This Row],[Real GDP]]="",#N/A,((((Tabela3[[#This Row],[Real GDP]]*1)/B257)-1)*4))</f>
        <v>2.1004410433074661E-2</v>
      </c>
      <c r="D258" s="7">
        <v>113.3</v>
      </c>
      <c r="E258" s="8">
        <f>IF(Tabela3[[#This Row],[Employment Cost Index (ECI)]]="",#N/A,((Tabela3[[#This Row],[Employment Cost Index (ECI)]]*1)/D257)-1)</f>
        <v>4.4326241134751143E-3</v>
      </c>
      <c r="F258" s="8">
        <f>IF(Tabela3[[#This Row],[Employment Cost Index (ECI)]]="",#N/A,((Tabela3[[#This Row],[Employment Cost Index (ECI)]]*1)/D254)-1)</f>
        <v>1.980198019801982E-2</v>
      </c>
      <c r="G258" s="8">
        <v>2.8500000000000001E-2</v>
      </c>
      <c r="H258" s="7">
        <v>18.583334258200001</v>
      </c>
      <c r="I258" s="7">
        <v>4.1399999999999997</v>
      </c>
      <c r="J258" s="7">
        <v>10.949832000000001</v>
      </c>
      <c r="K258" s="9">
        <v>0</v>
      </c>
    </row>
    <row r="259" spans="1:11">
      <c r="A259" s="6" t="s">
        <v>428</v>
      </c>
      <c r="B259" s="64">
        <v>16920.632000000001</v>
      </c>
      <c r="C259" s="8">
        <f>IF(Tabela3[[#This Row],[Real GDP]]="",#N/A,((((Tabela3[[#This Row],[Real GDP]]*1)/B258)-1)*4))</f>
        <v>-9.4881958843604508E-3</v>
      </c>
      <c r="D259" s="7">
        <v>114</v>
      </c>
      <c r="E259" s="8">
        <f>IF(Tabela3[[#This Row],[Employment Cost Index (ECI)]]="",#N/A,((Tabela3[[#This Row],[Employment Cost Index (ECI)]]*1)/D258)-1)</f>
        <v>6.1782877316858276E-3</v>
      </c>
      <c r="F259" s="8">
        <f>IF(Tabela3[[#This Row],[Employment Cost Index (ECI)]]="",#N/A,((Tabela3[[#This Row],[Employment Cost Index (ECI)]]*1)/D255)-1)</f>
        <v>1.9677996422182487E-2</v>
      </c>
      <c r="G259" s="8">
        <v>2.8500000000000001E-2</v>
      </c>
      <c r="H259" s="62">
        <v>19.5715031306</v>
      </c>
      <c r="I259" s="62">
        <v>3.82</v>
      </c>
      <c r="J259" s="62">
        <v>10.761016</v>
      </c>
      <c r="K259" s="9">
        <v>0</v>
      </c>
    </row>
    <row r="260" spans="1:11">
      <c r="A260" s="6" t="s">
        <v>429</v>
      </c>
      <c r="B260" s="64">
        <v>17035.114000000001</v>
      </c>
      <c r="C260" s="8">
        <f>IF(Tabela3[[#This Row],[Real GDP]]="",#N/A,((((Tabela3[[#This Row],[Real GDP]]*1)/B259)-1)*4))</f>
        <v>2.706329172574673E-2</v>
      </c>
      <c r="D260" s="7">
        <v>114.7</v>
      </c>
      <c r="E260" s="8">
        <f>IF(Tabela3[[#This Row],[Employment Cost Index (ECI)]]="",#N/A,((Tabela3[[#This Row],[Employment Cost Index (ECI)]]*1)/D259)-1)</f>
        <v>6.1403508771931126E-3</v>
      </c>
      <c r="F260" s="8">
        <f>IF(Tabela3[[#This Row],[Employment Cost Index (ECI)]]="",#N/A,((Tabela3[[#This Row],[Employment Cost Index (ECI)]]*1)/D256)-1)</f>
        <v>2.1371326803205859E-2</v>
      </c>
      <c r="G260" s="8">
        <v>2.8500000000000001E-2</v>
      </c>
      <c r="H260" s="7">
        <v>19.3333286845</v>
      </c>
      <c r="I260" s="7">
        <v>3.65</v>
      </c>
      <c r="J260" s="7">
        <v>10.680833</v>
      </c>
      <c r="K260" s="9">
        <v>0</v>
      </c>
    </row>
    <row r="261" spans="1:11">
      <c r="A261" s="13" t="s">
        <v>430</v>
      </c>
      <c r="B261" s="64">
        <v>17031.312999999998</v>
      </c>
      <c r="C261" s="8">
        <f>IF(Tabela3[[#This Row],[Real GDP]]="",#N/A,((((Tabela3[[#This Row],[Real GDP]]*1)/B260)-1)*4))</f>
        <v>-8.9250943668561789E-4</v>
      </c>
      <c r="D261" s="7">
        <v>115.1</v>
      </c>
      <c r="E261" s="8">
        <f>IF(Tabela3[[#This Row],[Employment Cost Index (ECI)]]="",#N/A,((Tabela3[[#This Row],[Employment Cost Index (ECI)]]*1)/D260)-1)</f>
        <v>3.4873583260679464E-3</v>
      </c>
      <c r="F261" s="8">
        <f>IF(Tabela3[[#This Row],[Employment Cost Index (ECI)]]="",#N/A,((Tabela3[[#This Row],[Employment Cost Index (ECI)]]*1)/D257)-1)</f>
        <v>2.0390070921985748E-2</v>
      </c>
      <c r="G261" s="8">
        <v>2.8500000000000001E-2</v>
      </c>
      <c r="H261" s="62">
        <v>16.455830026800001</v>
      </c>
      <c r="I261" s="62">
        <v>3.45</v>
      </c>
      <c r="J261" s="62">
        <v>10.570842000000001</v>
      </c>
      <c r="K261" s="9">
        <v>0</v>
      </c>
    </row>
    <row r="262" spans="1:11">
      <c r="A262" s="6" t="s">
        <v>431</v>
      </c>
      <c r="B262" s="64">
        <v>17222.582999999999</v>
      </c>
      <c r="C262" s="8">
        <f>IF(Tabela3[[#This Row],[Real GDP]]="",#N/A,((((Tabela3[[#This Row],[Real GDP]]*1)/B261)-1)*4))</f>
        <v>4.492196227031986E-2</v>
      </c>
      <c r="D262" s="7">
        <v>115.6</v>
      </c>
      <c r="E262" s="8">
        <f>IF(Tabela3[[#This Row],[Employment Cost Index (ECI)]]="",#N/A,((Tabela3[[#This Row],[Employment Cost Index (ECI)]]*1)/D261)-1)</f>
        <v>4.3440486533448119E-3</v>
      </c>
      <c r="F262" s="8">
        <f>IF(Tabela3[[#This Row],[Employment Cost Index (ECI)]]="",#N/A,((Tabela3[[#This Row],[Employment Cost Index (ECI)]]*1)/D258)-1)</f>
        <v>2.030008826125318E-2</v>
      </c>
      <c r="G262" s="8">
        <v>2.8500000000000001E-2</v>
      </c>
      <c r="H262" s="7">
        <v>17.3881175195</v>
      </c>
      <c r="I262" s="7">
        <v>3.25</v>
      </c>
      <c r="J262" s="7">
        <v>10.446358</v>
      </c>
      <c r="K262" s="9">
        <v>0</v>
      </c>
    </row>
    <row r="263" spans="1:11">
      <c r="A263" s="6" t="s">
        <v>432</v>
      </c>
      <c r="B263" s="64">
        <v>17367.009999999998</v>
      </c>
      <c r="C263" s="8">
        <f>IF(Tabela3[[#This Row],[Real GDP]]="",#N/A,((((Tabela3[[#This Row],[Real GDP]]*1)/B262)-1)*4))</f>
        <v>3.3543632798866518E-2</v>
      </c>
      <c r="D263" s="7">
        <v>116.3</v>
      </c>
      <c r="E263" s="8">
        <f>IF(Tabela3[[#This Row],[Employment Cost Index (ECI)]]="",#N/A,((Tabela3[[#This Row],[Employment Cost Index (ECI)]]*1)/D262)-1)</f>
        <v>6.0553633217992342E-3</v>
      </c>
      <c r="F263" s="8">
        <f>IF(Tabela3[[#This Row],[Employment Cost Index (ECI)]]="",#N/A,((Tabela3[[#This Row],[Employment Cost Index (ECI)]]*1)/D259)-1)</f>
        <v>2.017543859649118E-2</v>
      </c>
      <c r="G263" s="8">
        <v>2.8500000000000001E-2</v>
      </c>
      <c r="H263" s="62">
        <v>19.141927979599998</v>
      </c>
      <c r="I263" s="62">
        <v>3.06</v>
      </c>
      <c r="J263" s="62">
        <v>10.207318000000001</v>
      </c>
      <c r="K263" s="9">
        <v>0</v>
      </c>
    </row>
    <row r="264" spans="1:11">
      <c r="A264" s="6" t="s">
        <v>433</v>
      </c>
      <c r="B264" s="64">
        <v>17444.525000000001</v>
      </c>
      <c r="C264" s="8">
        <f>IF(Tabela3[[#This Row],[Real GDP]]="",#N/A,((((Tabela3[[#This Row],[Real GDP]]*1)/B263)-1)*4))</f>
        <v>1.7853389846612444E-2</v>
      </c>
      <c r="D264" s="7">
        <v>116.8</v>
      </c>
      <c r="E264" s="8">
        <f>IF(Tabela3[[#This Row],[Employment Cost Index (ECI)]]="",#N/A,((Tabela3[[#This Row],[Employment Cost Index (ECI)]]*1)/D263)-1)</f>
        <v>4.2992261392948983E-3</v>
      </c>
      <c r="F264" s="8">
        <f>IF(Tabela3[[#This Row],[Employment Cost Index (ECI)]]="",#N/A,((Tabela3[[#This Row],[Employment Cost Index (ECI)]]*1)/D260)-1)</f>
        <v>1.8308631211856996E-2</v>
      </c>
      <c r="G264" s="8">
        <v>2.8500000000000001E-2</v>
      </c>
      <c r="H264" s="7">
        <v>18.357276146299998</v>
      </c>
      <c r="I264" s="7">
        <v>2.92</v>
      </c>
      <c r="J264" s="7">
        <v>10.076971</v>
      </c>
      <c r="K264" s="9">
        <v>0</v>
      </c>
    </row>
    <row r="265" spans="1:11">
      <c r="A265" s="13" t="s">
        <v>434</v>
      </c>
      <c r="B265" s="64">
        <v>17469.650000000001</v>
      </c>
      <c r="C265" s="8">
        <f>IF(Tabela3[[#This Row],[Real GDP]]="",#N/A,((((Tabela3[[#This Row],[Real GDP]]*1)/B264)-1)*4))</f>
        <v>5.7611198929174989E-3</v>
      </c>
      <c r="D265" s="7">
        <v>117.3</v>
      </c>
      <c r="E265" s="8">
        <f>IF(Tabela3[[#This Row],[Employment Cost Index (ECI)]]="",#N/A,((Tabela3[[#This Row],[Employment Cost Index (ECI)]]*1)/D264)-1)</f>
        <v>4.2808219178083196E-3</v>
      </c>
      <c r="F265" s="8">
        <f>IF(Tabela3[[#This Row],[Employment Cost Index (ECI)]]="",#N/A,((Tabela3[[#This Row],[Employment Cost Index (ECI)]]*1)/D261)-1)</f>
        <v>1.9113814074717572E-2</v>
      </c>
      <c r="G265" s="8">
        <v>2.8500000000000001E-2</v>
      </c>
      <c r="H265" s="62">
        <v>19.015727500699999</v>
      </c>
      <c r="I265" s="62">
        <v>2.82</v>
      </c>
      <c r="J265" s="62">
        <v>10.128193</v>
      </c>
      <c r="K265" s="9">
        <v>0</v>
      </c>
    </row>
    <row r="266" spans="1:11">
      <c r="A266" s="6" t="s">
        <v>435</v>
      </c>
      <c r="B266" s="64">
        <v>17489.851999999999</v>
      </c>
      <c r="C266" s="8">
        <f>IF(Tabela3[[#This Row],[Real GDP]]="",#N/A,((((Tabela3[[#This Row],[Real GDP]]*1)/B265)-1)*4))</f>
        <v>4.6256221504146211E-3</v>
      </c>
      <c r="D266" s="7">
        <v>117.8</v>
      </c>
      <c r="E266" s="8">
        <f>IF(Tabela3[[#This Row],[Employment Cost Index (ECI)]]="",#N/A,((Tabela3[[#This Row],[Employment Cost Index (ECI)]]*1)/D265)-1)</f>
        <v>4.2625745950555238E-3</v>
      </c>
      <c r="F266" s="8">
        <f>IF(Tabela3[[#This Row],[Employment Cost Index (ECI)]]="",#N/A,((Tabela3[[#This Row],[Employment Cost Index (ECI)]]*1)/D262)-1)</f>
        <v>1.9031141868512069E-2</v>
      </c>
      <c r="G266" s="8">
        <v>2.8500000000000001E-2</v>
      </c>
      <c r="H266" s="7">
        <v>18.912000829699998</v>
      </c>
      <c r="I266" s="7">
        <v>2.71</v>
      </c>
      <c r="J266" s="7">
        <v>9.805904</v>
      </c>
      <c r="K266" s="9">
        <v>0</v>
      </c>
    </row>
    <row r="267" spans="1:11">
      <c r="A267" s="6" t="s">
        <v>436</v>
      </c>
      <c r="B267" s="64">
        <v>17662.400000000001</v>
      </c>
      <c r="C267" s="8">
        <f>IF(Tabela3[[#This Row],[Real GDP]]="",#N/A,((((Tabela3[[#This Row],[Real GDP]]*1)/B266)-1)*4))</f>
        <v>3.9462426554553787E-2</v>
      </c>
      <c r="D267" s="7">
        <v>118.4</v>
      </c>
      <c r="E267" s="8">
        <f>IF(Tabela3[[#This Row],[Employment Cost Index (ECI)]]="",#N/A,((Tabela3[[#This Row],[Employment Cost Index (ECI)]]*1)/D266)-1)</f>
        <v>5.0933786078100063E-3</v>
      </c>
      <c r="F267" s="8">
        <f>IF(Tabela3[[#This Row],[Employment Cost Index (ECI)]]="",#N/A,((Tabela3[[#This Row],[Employment Cost Index (ECI)]]*1)/D263)-1)</f>
        <v>1.8056749785038795E-2</v>
      </c>
      <c r="G267" s="8">
        <v>2.8500000000000001E-2</v>
      </c>
      <c r="H267" s="62">
        <v>20.470348729000001</v>
      </c>
      <c r="I267" s="62">
        <v>2.64</v>
      </c>
      <c r="J267" s="62">
        <v>10.168555</v>
      </c>
      <c r="K267" s="9">
        <v>0</v>
      </c>
    </row>
    <row r="268" spans="1:11">
      <c r="A268" s="6" t="s">
        <v>437</v>
      </c>
      <c r="B268" s="64">
        <v>17709.670999999998</v>
      </c>
      <c r="C268" s="8">
        <f>IF(Tabela3[[#This Row],[Real GDP]]="",#N/A,((((Tabela3[[#This Row],[Real GDP]]*1)/B267)-1)*4))</f>
        <v>1.070545339251705E-2</v>
      </c>
      <c r="D268" s="7">
        <v>119</v>
      </c>
      <c r="E268" s="8">
        <f>IF(Tabela3[[#This Row],[Employment Cost Index (ECI)]]="",#N/A,((Tabela3[[#This Row],[Employment Cost Index (ECI)]]*1)/D267)-1)</f>
        <v>5.0675675675675436E-3</v>
      </c>
      <c r="F268" s="8">
        <f>IF(Tabela3[[#This Row],[Employment Cost Index (ECI)]]="",#N/A,((Tabela3[[#This Row],[Employment Cost Index (ECI)]]*1)/D264)-1)</f>
        <v>1.8835616438356295E-2</v>
      </c>
      <c r="G268" s="8">
        <v>2.8500000000000001E-2</v>
      </c>
      <c r="H268" s="7">
        <v>20.651638508400001</v>
      </c>
      <c r="I268" s="7">
        <v>2.5299999999999998</v>
      </c>
      <c r="J268" s="7">
        <v>10.084725000000001</v>
      </c>
      <c r="K268" s="9">
        <v>0</v>
      </c>
    </row>
    <row r="269" spans="1:11">
      <c r="A269" s="13" t="s">
        <v>438</v>
      </c>
      <c r="B269" s="64">
        <v>17860.45</v>
      </c>
      <c r="C269" s="8">
        <f>IF(Tabela3[[#This Row],[Real GDP]]="",#N/A,((((Tabela3[[#This Row],[Real GDP]]*1)/B268)-1)*4))</f>
        <v>3.405574276337564E-2</v>
      </c>
      <c r="D269" s="7">
        <v>119.5</v>
      </c>
      <c r="E269" s="8">
        <f>IF(Tabela3[[#This Row],[Employment Cost Index (ECI)]]="",#N/A,((Tabela3[[#This Row],[Employment Cost Index (ECI)]]*1)/D268)-1)</f>
        <v>4.2016806722688926E-3</v>
      </c>
      <c r="F269" s="8">
        <f>IF(Tabela3[[#This Row],[Employment Cost Index (ECI)]]="",#N/A,((Tabela3[[#This Row],[Employment Cost Index (ECI)]]*1)/D265)-1)</f>
        <v>1.8755328218243772E-2</v>
      </c>
      <c r="G269" s="8">
        <v>2.8500000000000001E-2</v>
      </c>
      <c r="H269" s="62">
        <v>21.341258921000001</v>
      </c>
      <c r="I269" s="62">
        <v>2.44</v>
      </c>
      <c r="J269" s="62">
        <v>10.045859</v>
      </c>
      <c r="K269" s="9">
        <v>0</v>
      </c>
    </row>
    <row r="270" spans="1:11">
      <c r="A270" s="6" t="s">
        <v>439</v>
      </c>
      <c r="B270" s="64">
        <v>18016.147000000001</v>
      </c>
      <c r="C270" s="8">
        <f>IF(Tabela3[[#This Row],[Real GDP]]="",#N/A,((((Tabela3[[#This Row],[Real GDP]]*1)/B269)-1)*4))</f>
        <v>3.4869670137090303E-2</v>
      </c>
      <c r="D270" s="7">
        <v>120.1</v>
      </c>
      <c r="E270" s="8">
        <f>IF(Tabela3[[#This Row],[Employment Cost Index (ECI)]]="",#N/A,((Tabela3[[#This Row],[Employment Cost Index (ECI)]]*1)/D269)-1)</f>
        <v>5.0209205020919079E-3</v>
      </c>
      <c r="F270" s="8">
        <f>IF(Tabela3[[#This Row],[Employment Cost Index (ECI)]]="",#N/A,((Tabela3[[#This Row],[Employment Cost Index (ECI)]]*1)/D266)-1)</f>
        <v>1.9524617996604432E-2</v>
      </c>
      <c r="G270" s="8">
        <v>2.8500000000000001E-2</v>
      </c>
      <c r="H270" s="7">
        <v>22.2834235724</v>
      </c>
      <c r="I270" s="7">
        <v>2.38</v>
      </c>
      <c r="J270" s="7">
        <v>10.049177999999999</v>
      </c>
      <c r="K270" s="9">
        <v>0</v>
      </c>
    </row>
    <row r="271" spans="1:11">
      <c r="A271" s="6" t="s">
        <v>440</v>
      </c>
      <c r="B271" s="64">
        <v>17953.973999999998</v>
      </c>
      <c r="C271" s="8">
        <f>IF(Tabela3[[#This Row],[Real GDP]]="",#N/A,((((Tabela3[[#This Row],[Real GDP]]*1)/B270)-1)*4))</f>
        <v>-1.380383941139085E-2</v>
      </c>
      <c r="D271" s="7">
        <v>120.5</v>
      </c>
      <c r="E271" s="8">
        <f>IF(Tabela3[[#This Row],[Employment Cost Index (ECI)]]="",#N/A,((Tabela3[[#This Row],[Employment Cost Index (ECI)]]*1)/D270)-1)</f>
        <v>3.3305578684430515E-3</v>
      </c>
      <c r="F271" s="8">
        <f>IF(Tabela3[[#This Row],[Employment Cost Index (ECI)]]="",#N/A,((Tabela3[[#This Row],[Employment Cost Index (ECI)]]*1)/D267)-1)</f>
        <v>1.7736486486486402E-2</v>
      </c>
      <c r="G271" s="8">
        <v>2.8500000000000001E-2</v>
      </c>
      <c r="H271" s="62">
        <v>22.7599697353</v>
      </c>
      <c r="I271" s="62">
        <v>2.3199999999999998</v>
      </c>
      <c r="J271" s="62">
        <v>9.9712099999999992</v>
      </c>
      <c r="K271" s="9">
        <v>0</v>
      </c>
    </row>
    <row r="272" spans="1:11">
      <c r="A272" s="6" t="s">
        <v>441</v>
      </c>
      <c r="B272" s="64">
        <v>18185.911</v>
      </c>
      <c r="C272" s="8">
        <f>IF(Tabela3[[#This Row],[Real GDP]]="",#N/A,((((Tabela3[[#This Row],[Real GDP]]*1)/B271)-1)*4))</f>
        <v>5.1673685168531769E-2</v>
      </c>
      <c r="D272" s="7">
        <v>121.4</v>
      </c>
      <c r="E272" s="8">
        <f>IF(Tabela3[[#This Row],[Employment Cost Index (ECI)]]="",#N/A,((Tabela3[[#This Row],[Employment Cost Index (ECI)]]*1)/D271)-1)</f>
        <v>7.468879668049766E-3</v>
      </c>
      <c r="F272" s="8">
        <f>IF(Tabela3[[#This Row],[Employment Cost Index (ECI)]]="",#N/A,((Tabela3[[#This Row],[Employment Cost Index (ECI)]]*1)/D268)-1)</f>
        <v>2.0168067226890907E-2</v>
      </c>
      <c r="G272" s="8">
        <v>2.8500000000000001E-2</v>
      </c>
      <c r="H272" s="7">
        <v>23.3720899536</v>
      </c>
      <c r="I272" s="7">
        <v>2.2599999999999998</v>
      </c>
      <c r="J272" s="7">
        <v>9.9044100000000004</v>
      </c>
      <c r="K272" s="9">
        <v>0</v>
      </c>
    </row>
    <row r="273" spans="1:11">
      <c r="A273" s="13" t="s">
        <v>442</v>
      </c>
      <c r="B273" s="64">
        <v>18406.940999999999</v>
      </c>
      <c r="C273" s="8">
        <f>IF(Tabela3[[#This Row],[Real GDP]]="",#N/A,((((Tabela3[[#This Row],[Real GDP]]*1)/B272)-1)*4))</f>
        <v>4.8615656372671623E-2</v>
      </c>
      <c r="D273" s="7">
        <v>122.2</v>
      </c>
      <c r="E273" s="8">
        <f>IF(Tabela3[[#This Row],[Employment Cost Index (ECI)]]="",#N/A,((Tabela3[[#This Row],[Employment Cost Index (ECI)]]*1)/D272)-1)</f>
        <v>6.5897858319603486E-3</v>
      </c>
      <c r="F273" s="8">
        <f>IF(Tabela3[[#This Row],[Employment Cost Index (ECI)]]="",#N/A,((Tabela3[[#This Row],[Employment Cost Index (ECI)]]*1)/D269)-1)</f>
        <v>2.2594142259414252E-2</v>
      </c>
      <c r="G273" s="8">
        <v>2.8500000000000001E-2</v>
      </c>
      <c r="H273" s="62">
        <v>22.781720227200001</v>
      </c>
      <c r="I273" s="62">
        <v>2.2000000000000002</v>
      </c>
      <c r="J273" s="62">
        <v>9.8629149999999992</v>
      </c>
      <c r="K273" s="9">
        <v>0</v>
      </c>
    </row>
    <row r="274" spans="1:11">
      <c r="A274" s="6" t="s">
        <v>443</v>
      </c>
      <c r="B274" s="64">
        <v>18500.030999999999</v>
      </c>
      <c r="C274" s="8">
        <f>IF(Tabela3[[#This Row],[Real GDP]]="",#N/A,((((Tabela3[[#This Row],[Real GDP]]*1)/B273)-1)*4))</f>
        <v>2.0229325448481994E-2</v>
      </c>
      <c r="D274" s="7">
        <v>122.8</v>
      </c>
      <c r="E274" s="8">
        <f>IF(Tabela3[[#This Row],[Employment Cost Index (ECI)]]="",#N/A,((Tabela3[[#This Row],[Employment Cost Index (ECI)]]*1)/D273)-1)</f>
        <v>4.9099836333879043E-3</v>
      </c>
      <c r="F274" s="8">
        <f>IF(Tabela3[[#This Row],[Employment Cost Index (ECI)]]="",#N/A,((Tabela3[[#This Row],[Employment Cost Index (ECI)]]*1)/D270)-1)</f>
        <v>2.2481265611989931E-2</v>
      </c>
      <c r="G274" s="8">
        <v>2.8500000000000001E-2</v>
      </c>
      <c r="H274" s="7">
        <v>23.1850692565</v>
      </c>
      <c r="I274" s="7">
        <v>2.15</v>
      </c>
      <c r="J274" s="7">
        <v>9.8266120000000008</v>
      </c>
      <c r="K274" s="9">
        <v>0</v>
      </c>
    </row>
    <row r="275" spans="1:11">
      <c r="A275" s="6" t="s">
        <v>444</v>
      </c>
      <c r="B275" s="64">
        <v>18666.620999999999</v>
      </c>
      <c r="C275" s="8">
        <f>IF(Tabela3[[#This Row],[Real GDP]]="",#N/A,((((Tabela3[[#This Row],[Real GDP]]*1)/B274)-1)*4))</f>
        <v>3.6019399102628746E-2</v>
      </c>
      <c r="D275" s="7">
        <v>123.6</v>
      </c>
      <c r="E275" s="8">
        <f>IF(Tabela3[[#This Row],[Employment Cost Index (ECI)]]="",#N/A,((Tabela3[[#This Row],[Employment Cost Index (ECI)]]*1)/D274)-1)</f>
        <v>6.514657980456029E-3</v>
      </c>
      <c r="F275" s="8">
        <f>IF(Tabela3[[#This Row],[Employment Cost Index (ECI)]]="",#N/A,((Tabela3[[#This Row],[Employment Cost Index (ECI)]]*1)/D271)-1)</f>
        <v>2.5726141078838083E-2</v>
      </c>
      <c r="G275" s="8">
        <v>2.8500000000000001E-2</v>
      </c>
      <c r="H275" s="62">
        <v>23.3515180166</v>
      </c>
      <c r="I275" s="62">
        <v>2.11</v>
      </c>
      <c r="J275" s="62">
        <v>9.8472240000000006</v>
      </c>
      <c r="K275" s="9">
        <v>0</v>
      </c>
    </row>
    <row r="276" spans="1:11">
      <c r="A276" s="6" t="s">
        <v>445</v>
      </c>
      <c r="B276" s="64">
        <v>18782.242999999999</v>
      </c>
      <c r="C276" s="8">
        <f>IF(Tabela3[[#This Row],[Real GDP]]="",#N/A,((((Tabela3[[#This Row],[Real GDP]]*1)/B275)-1)*4))</f>
        <v>2.4776203470354474E-2</v>
      </c>
      <c r="D276" s="7">
        <v>123.8</v>
      </c>
      <c r="E276" s="8">
        <f>IF(Tabela3[[#This Row],[Employment Cost Index (ECI)]]="",#N/A,((Tabela3[[#This Row],[Employment Cost Index (ECI)]]*1)/D275)-1)</f>
        <v>1.6181229773462036E-3</v>
      </c>
      <c r="F276" s="8">
        <f>IF(Tabela3[[#This Row],[Employment Cost Index (ECI)]]="",#N/A,((Tabela3[[#This Row],[Employment Cost Index (ECI)]]*1)/D272)-1)</f>
        <v>1.9769357495881268E-2</v>
      </c>
      <c r="G276" s="8">
        <v>2.8500000000000001E-2</v>
      </c>
      <c r="H276" s="7">
        <v>23.241547412599999</v>
      </c>
      <c r="I276" s="7">
        <v>2.12</v>
      </c>
      <c r="J276" s="7">
        <v>9.8821349999999999</v>
      </c>
      <c r="K276" s="9">
        <v>0</v>
      </c>
    </row>
    <row r="277" spans="1:11">
      <c r="A277" s="13" t="s">
        <v>446</v>
      </c>
      <c r="B277" s="64">
        <v>18857.418000000001</v>
      </c>
      <c r="C277" s="8">
        <f>IF(Tabela3[[#This Row],[Real GDP]]="",#N/A,((((Tabela3[[#This Row],[Real GDP]]*1)/B276)-1)*4))</f>
        <v>1.6009802450112964E-2</v>
      </c>
      <c r="D277" s="7">
        <v>124.6</v>
      </c>
      <c r="E277" s="8">
        <f>IF(Tabela3[[#This Row],[Employment Cost Index (ECI)]]="",#N/A,((Tabela3[[#This Row],[Employment Cost Index (ECI)]]*1)/D276)-1)</f>
        <v>6.4620355411955099E-3</v>
      </c>
      <c r="F277" s="8">
        <f>IF(Tabela3[[#This Row],[Employment Cost Index (ECI)]]="",#N/A,((Tabela3[[#This Row],[Employment Cost Index (ECI)]]*1)/D273)-1)</f>
        <v>1.9639934533551395E-2</v>
      </c>
      <c r="G277" s="8">
        <v>2.8500000000000001E-2</v>
      </c>
      <c r="H277" s="62">
        <v>21.503081292200001</v>
      </c>
      <c r="I277" s="62">
        <v>2.15</v>
      </c>
      <c r="J277" s="62">
        <v>9.9414339999999992</v>
      </c>
      <c r="K277" s="9">
        <v>0</v>
      </c>
    </row>
    <row r="278" spans="1:11">
      <c r="A278" s="6" t="s">
        <v>447</v>
      </c>
      <c r="B278" s="64">
        <v>18892.205999999998</v>
      </c>
      <c r="C278" s="8">
        <f>IF(Tabela3[[#This Row],[Real GDP]]="",#N/A,((((Tabela3[[#This Row],[Real GDP]]*1)/B277)-1)*4))</f>
        <v>7.3791650585457447E-3</v>
      </c>
      <c r="D278" s="7">
        <v>125.3</v>
      </c>
      <c r="E278" s="8">
        <f>IF(Tabela3[[#This Row],[Employment Cost Index (ECI)]]="",#N/A,((Tabela3[[#This Row],[Employment Cost Index (ECI)]]*1)/D277)-1)</f>
        <v>5.6179775280900124E-3</v>
      </c>
      <c r="F278" s="8">
        <f>IF(Tabela3[[#This Row],[Employment Cost Index (ECI)]]="",#N/A,((Tabela3[[#This Row],[Employment Cost Index (ECI)]]*1)/D274)-1)</f>
        <v>2.0358306188924979E-2</v>
      </c>
      <c r="G278" s="8">
        <v>2.8500000000000001E-2</v>
      </c>
      <c r="H278" s="7">
        <v>22.138364481299998</v>
      </c>
      <c r="I278" s="7">
        <v>2.16</v>
      </c>
      <c r="J278" s="7">
        <v>9.8822530000000004</v>
      </c>
      <c r="K278" s="9">
        <v>0</v>
      </c>
    </row>
    <row r="279" spans="1:11">
      <c r="A279" s="6" t="s">
        <v>448</v>
      </c>
      <c r="B279" s="64">
        <v>19001.689999999999</v>
      </c>
      <c r="C279" s="8">
        <f>IF(Tabela3[[#This Row],[Real GDP]]="",#N/A,((((Tabela3[[#This Row],[Real GDP]]*1)/B278)-1)*4))</f>
        <v>2.3180776241800594E-2</v>
      </c>
      <c r="D279" s="7">
        <v>126</v>
      </c>
      <c r="E279" s="8">
        <f>IF(Tabela3[[#This Row],[Employment Cost Index (ECI)]]="",#N/A,((Tabela3[[#This Row],[Employment Cost Index (ECI)]]*1)/D278)-1)</f>
        <v>5.5865921787709993E-3</v>
      </c>
      <c r="F279" s="8">
        <f>IF(Tabela3[[#This Row],[Employment Cost Index (ECI)]]="",#N/A,((Tabela3[[#This Row],[Employment Cost Index (ECI)]]*1)/D275)-1)</f>
        <v>1.9417475728155331E-2</v>
      </c>
      <c r="G279" s="8">
        <v>2.8500000000000001E-2</v>
      </c>
      <c r="H279" s="62">
        <v>22.108678244499998</v>
      </c>
      <c r="I279" s="62">
        <v>2.14</v>
      </c>
      <c r="J279" s="62">
        <v>9.8531189999999995</v>
      </c>
      <c r="K279" s="9">
        <v>0</v>
      </c>
    </row>
    <row r="280" spans="1:11">
      <c r="A280" s="6" t="s">
        <v>449</v>
      </c>
      <c r="B280" s="64">
        <v>19062.708999999999</v>
      </c>
      <c r="C280" s="8">
        <f>IF(Tabela3[[#This Row],[Real GDP]]="",#N/A,((((Tabela3[[#This Row],[Real GDP]]*1)/B279)-1)*4))</f>
        <v>1.2844962737524668E-2</v>
      </c>
      <c r="D280" s="7">
        <v>126.7</v>
      </c>
      <c r="E280" s="8">
        <f>IF(Tabela3[[#This Row],[Employment Cost Index (ECI)]]="",#N/A,((Tabela3[[#This Row],[Employment Cost Index (ECI)]]*1)/D279)-1)</f>
        <v>5.5555555555555358E-3</v>
      </c>
      <c r="F280" s="8">
        <f>IF(Tabela3[[#This Row],[Employment Cost Index (ECI)]]="",#N/A,((Tabela3[[#This Row],[Employment Cost Index (ECI)]]*1)/D276)-1)</f>
        <v>2.342487883683364E-2</v>
      </c>
      <c r="G280" s="8">
        <v>2.8500000000000001E-2</v>
      </c>
      <c r="H280" s="7">
        <v>22.235928428499999</v>
      </c>
      <c r="I280" s="7">
        <v>2.21</v>
      </c>
      <c r="J280" s="7">
        <v>9.9491560000000003</v>
      </c>
      <c r="K280" s="9">
        <v>0</v>
      </c>
    </row>
    <row r="281" spans="1:11">
      <c r="A281" s="13" t="s">
        <v>450</v>
      </c>
      <c r="B281" s="64">
        <v>19197.937999999998</v>
      </c>
      <c r="C281" s="8">
        <f>IF(Tabela3[[#This Row],[Real GDP]]="",#N/A,((((Tabela3[[#This Row],[Real GDP]]*1)/B280)-1)*4))</f>
        <v>2.8375610203145385E-2</v>
      </c>
      <c r="D281" s="7">
        <v>127.4</v>
      </c>
      <c r="E281" s="8">
        <f>IF(Tabela3[[#This Row],[Employment Cost Index (ECI)]]="",#N/A,((Tabela3[[#This Row],[Employment Cost Index (ECI)]]*1)/D280)-1)</f>
        <v>5.5248618784531356E-3</v>
      </c>
      <c r="F281" s="8">
        <f>IF(Tabela3[[#This Row],[Employment Cost Index (ECI)]]="",#N/A,((Tabela3[[#This Row],[Employment Cost Index (ECI)]]*1)/D277)-1)</f>
        <v>2.2471910112359605E-2</v>
      </c>
      <c r="G281" s="8">
        <v>2.8500000000000001E-2</v>
      </c>
      <c r="H281" s="62">
        <v>22.5400081051</v>
      </c>
      <c r="I281" s="62">
        <v>2.2999999999999998</v>
      </c>
      <c r="J281" s="62">
        <v>10.011635999999999</v>
      </c>
      <c r="K281" s="9">
        <v>0</v>
      </c>
    </row>
    <row r="282" spans="1:11">
      <c r="A282" s="6" t="s">
        <v>451</v>
      </c>
      <c r="B282" s="64">
        <v>19304.351999999999</v>
      </c>
      <c r="C282" s="8">
        <f>IF(Tabela3[[#This Row],[Real GDP]]="",#N/A,((((Tabela3[[#This Row],[Real GDP]]*1)/B281)-1)*4))</f>
        <v>2.2171964509938746E-2</v>
      </c>
      <c r="D282" s="7">
        <v>128.1</v>
      </c>
      <c r="E282" s="8">
        <f>IF(Tabela3[[#This Row],[Employment Cost Index (ECI)]]="",#N/A,((Tabela3[[#This Row],[Employment Cost Index (ECI)]]*1)/D281)-1)</f>
        <v>5.494505494505475E-3</v>
      </c>
      <c r="F282" s="8">
        <f>IF(Tabela3[[#This Row],[Employment Cost Index (ECI)]]="",#N/A,((Tabela3[[#This Row],[Employment Cost Index (ECI)]]*1)/D278)-1)</f>
        <v>2.2346368715083775E-2</v>
      </c>
      <c r="G282" s="8">
        <v>2.8500000000000001E-2</v>
      </c>
      <c r="H282" s="7">
        <v>22.785137187899998</v>
      </c>
      <c r="I282" s="7">
        <v>2.37</v>
      </c>
      <c r="J282" s="7">
        <v>9.9870330000000003</v>
      </c>
      <c r="K282" s="9">
        <v>0</v>
      </c>
    </row>
    <row r="283" spans="1:11">
      <c r="A283" s="6" t="s">
        <v>452</v>
      </c>
      <c r="B283" s="64">
        <v>19398.343000000001</v>
      </c>
      <c r="C283" s="8">
        <f>IF(Tabela3[[#This Row],[Real GDP]]="",#N/A,((((Tabela3[[#This Row],[Real GDP]]*1)/B282)-1)*4))</f>
        <v>1.9475608401670286E-2</v>
      </c>
      <c r="D283" s="7">
        <v>128.9</v>
      </c>
      <c r="E283" s="8">
        <f>IF(Tabela3[[#This Row],[Employment Cost Index (ECI)]]="",#N/A,((Tabela3[[#This Row],[Employment Cost Index (ECI)]]*1)/D282)-1)</f>
        <v>6.2451209992193668E-3</v>
      </c>
      <c r="F283" s="8">
        <f>IF(Tabela3[[#This Row],[Employment Cost Index (ECI)]]="",#N/A,((Tabela3[[#This Row],[Employment Cost Index (ECI)]]*1)/D279)-1)</f>
        <v>2.3015873015873156E-2</v>
      </c>
      <c r="G283" s="8">
        <v>2.8500000000000001E-2</v>
      </c>
      <c r="H283" s="62">
        <v>23.556779302399999</v>
      </c>
      <c r="I283" s="62">
        <v>2.39</v>
      </c>
      <c r="J283" s="62">
        <v>9.9417080000000002</v>
      </c>
      <c r="K283" s="9">
        <v>0</v>
      </c>
    </row>
    <row r="284" spans="1:11">
      <c r="A284" s="6" t="s">
        <v>453</v>
      </c>
      <c r="B284" s="64">
        <v>19506.949000000001</v>
      </c>
      <c r="C284" s="8">
        <f>IF(Tabela3[[#This Row],[Real GDP]]="",#N/A,((((Tabela3[[#This Row],[Real GDP]]*1)/B283)-1)*4))</f>
        <v>2.2394902492444579E-2</v>
      </c>
      <c r="D284" s="7">
        <v>129.69999999999999</v>
      </c>
      <c r="E284" s="8">
        <f>IF(Tabela3[[#This Row],[Employment Cost Index (ECI)]]="",#N/A,((Tabela3[[#This Row],[Employment Cost Index (ECI)]]*1)/D283)-1)</f>
        <v>6.2063615205585343E-3</v>
      </c>
      <c r="F284" s="8">
        <f>IF(Tabela3[[#This Row],[Employment Cost Index (ECI)]]="",#N/A,((Tabela3[[#This Row],[Employment Cost Index (ECI)]]*1)/D280)-1)</f>
        <v>2.3677979479084232E-2</v>
      </c>
      <c r="G284" s="8">
        <v>2.8500000000000001E-2</v>
      </c>
      <c r="H284" s="7">
        <v>23.782425278600002</v>
      </c>
      <c r="I284" s="7">
        <v>2.48</v>
      </c>
      <c r="J284" s="7">
        <v>9.9095870000000001</v>
      </c>
      <c r="K284" s="9">
        <v>0</v>
      </c>
    </row>
    <row r="285" spans="1:11">
      <c r="A285" s="13" t="s">
        <v>454</v>
      </c>
      <c r="B285" s="64">
        <v>19660.766</v>
      </c>
      <c r="C285" s="8">
        <f>IF(Tabela3[[#This Row],[Real GDP]]="",#N/A,((((Tabela3[[#This Row],[Real GDP]]*1)/B284)-1)*4))</f>
        <v>3.1540965222188078E-2</v>
      </c>
      <c r="D285" s="7">
        <v>130.6</v>
      </c>
      <c r="E285" s="8">
        <f>IF(Tabela3[[#This Row],[Employment Cost Index (ECI)]]="",#N/A,((Tabela3[[#This Row],[Employment Cost Index (ECI)]]*1)/D284)-1)</f>
        <v>6.9390902081727379E-3</v>
      </c>
      <c r="F285" s="8">
        <f>IF(Tabela3[[#This Row],[Employment Cost Index (ECI)]]="",#N/A,((Tabela3[[#This Row],[Employment Cost Index (ECI)]]*1)/D281)-1)</f>
        <v>2.5117739403453632E-2</v>
      </c>
      <c r="G285" s="8">
        <v>2.8500000000000001E-2</v>
      </c>
      <c r="H285" s="62">
        <v>24.226709857399999</v>
      </c>
      <c r="I285" s="62">
        <v>2.5499999999999998</v>
      </c>
      <c r="J285" s="62">
        <v>9.9146959999999993</v>
      </c>
      <c r="K285" s="9">
        <v>0</v>
      </c>
    </row>
    <row r="286" spans="1:11">
      <c r="A286" s="6" t="s">
        <v>455</v>
      </c>
      <c r="B286" s="64">
        <v>19882.351999999999</v>
      </c>
      <c r="C286" s="8">
        <f>IF(Tabela3[[#This Row],[Real GDP]]="",#N/A,((((Tabela3[[#This Row],[Real GDP]]*1)/B285)-1)*4))</f>
        <v>4.5081865070771165E-2</v>
      </c>
      <c r="D286" s="7">
        <v>131.4</v>
      </c>
      <c r="E286" s="8">
        <f>IF(Tabela3[[#This Row],[Employment Cost Index (ECI)]]="",#N/A,((Tabela3[[#This Row],[Employment Cost Index (ECI)]]*1)/D285)-1)</f>
        <v>6.1255742725880857E-3</v>
      </c>
      <c r="F286" s="8">
        <f>IF(Tabela3[[#This Row],[Employment Cost Index (ECI)]]="",#N/A,((Tabela3[[#This Row],[Employment Cost Index (ECI)]]*1)/D282)-1)</f>
        <v>2.5761124121779888E-2</v>
      </c>
      <c r="G286" s="8">
        <v>2.8500000000000001E-2</v>
      </c>
      <c r="H286" s="7">
        <v>24.974464040600001</v>
      </c>
      <c r="I286" s="7">
        <v>2.4900000000000002</v>
      </c>
      <c r="J286" s="7">
        <v>9.9310120000000008</v>
      </c>
      <c r="K286" s="9">
        <v>0</v>
      </c>
    </row>
    <row r="287" spans="1:11">
      <c r="A287" s="6" t="s">
        <v>456</v>
      </c>
      <c r="B287" s="64">
        <v>20044.077000000001</v>
      </c>
      <c r="C287" s="8">
        <f>IF(Tabela3[[#This Row],[Real GDP]]="",#N/A,((((Tabela3[[#This Row],[Real GDP]]*1)/B286)-1)*4))</f>
        <v>3.2536392072729292E-2</v>
      </c>
      <c r="D287" s="7">
        <v>132.4</v>
      </c>
      <c r="E287" s="8">
        <f>IF(Tabela3[[#This Row],[Employment Cost Index (ECI)]]="",#N/A,((Tabela3[[#This Row],[Employment Cost Index (ECI)]]*1)/D286)-1)</f>
        <v>7.6103500761035558E-3</v>
      </c>
      <c r="F287" s="8">
        <f>IF(Tabela3[[#This Row],[Employment Cost Index (ECI)]]="",#N/A,((Tabela3[[#This Row],[Employment Cost Index (ECI)]]*1)/D283)-1)</f>
        <v>2.7152831652443643E-2</v>
      </c>
      <c r="G287" s="8">
        <v>2.8500000000000001E-2</v>
      </c>
      <c r="H287" s="62">
        <v>24.573589717200001</v>
      </c>
      <c r="I287" s="62">
        <v>2.48</v>
      </c>
      <c r="J287" s="62">
        <v>9.8766549999999995</v>
      </c>
      <c r="K287" s="9">
        <v>0</v>
      </c>
    </row>
    <row r="288" spans="1:11">
      <c r="A288" s="6" t="s">
        <v>457</v>
      </c>
      <c r="B288" s="64">
        <v>20150.475999999999</v>
      </c>
      <c r="C288" s="8">
        <f>IF(Tabela3[[#This Row],[Real GDP]]="",#N/A,((((Tabela3[[#This Row],[Real GDP]]*1)/B287)-1)*4))</f>
        <v>2.1233005640518776E-2</v>
      </c>
      <c r="D288" s="7">
        <v>133.30000000000001</v>
      </c>
      <c r="E288" s="8">
        <f>IF(Tabela3[[#This Row],[Employment Cost Index (ECI)]]="",#N/A,((Tabela3[[#This Row],[Employment Cost Index (ECI)]]*1)/D287)-1)</f>
        <v>6.7975830815709681E-3</v>
      </c>
      <c r="F288" s="8">
        <f>IF(Tabela3[[#This Row],[Employment Cost Index (ECI)]]="",#N/A,((Tabela3[[#This Row],[Employment Cost Index (ECI)]]*1)/D284)-1)</f>
        <v>2.7756360832690952E-2</v>
      </c>
      <c r="G288" s="8">
        <v>2.8500000000000001E-2</v>
      </c>
      <c r="H288" s="7">
        <v>24.688850903999999</v>
      </c>
      <c r="I288" s="7">
        <v>2.4900000000000002</v>
      </c>
      <c r="J288" s="7">
        <v>9.8292920000000006</v>
      </c>
      <c r="K288" s="9">
        <v>0</v>
      </c>
    </row>
    <row r="289" spans="1:11">
      <c r="A289" s="13" t="s">
        <v>458</v>
      </c>
      <c r="B289" s="64">
        <v>20276.153999999999</v>
      </c>
      <c r="C289" s="8">
        <f>IF(Tabela3[[#This Row],[Real GDP]]="",#N/A,((((Tabela3[[#This Row],[Real GDP]]*1)/B288)-1)*4))</f>
        <v>2.4947897012457254E-2</v>
      </c>
      <c r="D289" s="7">
        <v>134.30000000000001</v>
      </c>
      <c r="E289" s="8">
        <f>IF(Tabela3[[#This Row],[Employment Cost Index (ECI)]]="",#N/A,((Tabela3[[#This Row],[Employment Cost Index (ECI)]]*1)/D288)-1)</f>
        <v>7.5018754688671585E-3</v>
      </c>
      <c r="F289" s="8">
        <f>IF(Tabela3[[#This Row],[Employment Cost Index (ECI)]]="",#N/A,((Tabela3[[#This Row],[Employment Cost Index (ECI)]]*1)/D285)-1)</f>
        <v>2.8330781010719841E-2</v>
      </c>
      <c r="G289" s="8">
        <v>2.8500000000000001E-2</v>
      </c>
      <c r="H289" s="62">
        <v>25.3397348116</v>
      </c>
      <c r="I289" s="62">
        <v>2.5299999999999998</v>
      </c>
      <c r="J289" s="62">
        <v>9.8061629999999997</v>
      </c>
      <c r="K289" s="9">
        <v>0</v>
      </c>
    </row>
    <row r="290" spans="1:11">
      <c r="A290" s="6" t="s">
        <v>459</v>
      </c>
      <c r="B290" s="64">
        <v>20304.874</v>
      </c>
      <c r="C290" s="8">
        <f>IF(Tabela3[[#This Row],[Real GDP]]="",#N/A,((((Tabela3[[#This Row],[Real GDP]]*1)/B289)-1)*4))</f>
        <v>5.6657687646284316E-3</v>
      </c>
      <c r="D290" s="7">
        <v>135.30000000000001</v>
      </c>
      <c r="E290" s="8">
        <f>IF(Tabela3[[#This Row],[Employment Cost Index (ECI)]]="",#N/A,((Tabela3[[#This Row],[Employment Cost Index (ECI)]]*1)/D289)-1)</f>
        <v>7.446016381235987E-3</v>
      </c>
      <c r="F290" s="8">
        <f>IF(Tabela3[[#This Row],[Employment Cost Index (ECI)]]="",#N/A,((Tabela3[[#This Row],[Employment Cost Index (ECI)]]*1)/D286)-1)</f>
        <v>2.9680365296803624E-2</v>
      </c>
      <c r="G290" s="8">
        <v>2.8500000000000001E-2</v>
      </c>
      <c r="H290" s="7">
        <v>22.323513065099998</v>
      </c>
      <c r="I290" s="7">
        <v>2.5499999999999998</v>
      </c>
      <c r="J290" s="7">
        <v>9.7893349999999995</v>
      </c>
      <c r="K290" s="9">
        <v>0</v>
      </c>
    </row>
    <row r="291" spans="1:11">
      <c r="A291" s="6" t="s">
        <v>460</v>
      </c>
      <c r="B291" s="64">
        <v>20415.150000000001</v>
      </c>
      <c r="C291" s="8">
        <f>IF(Tabela3[[#This Row],[Real GDP]]="",#N/A,((((Tabela3[[#This Row],[Real GDP]]*1)/B290)-1)*4))</f>
        <v>2.1724045172602402E-2</v>
      </c>
      <c r="D291" s="7">
        <v>136.1</v>
      </c>
      <c r="E291" s="8">
        <f>IF(Tabela3[[#This Row],[Employment Cost Index (ECI)]]="",#N/A,((Tabela3[[#This Row],[Employment Cost Index (ECI)]]*1)/D290)-1)</f>
        <v>5.9127864005912301E-3</v>
      </c>
      <c r="F291" s="8">
        <f>IF(Tabela3[[#This Row],[Employment Cost Index (ECI)]]="",#N/A,((Tabela3[[#This Row],[Employment Cost Index (ECI)]]*1)/D287)-1)</f>
        <v>2.7945619335347338E-2</v>
      </c>
      <c r="G291" s="8">
        <v>2.8500000000000001E-2</v>
      </c>
      <c r="H291" s="62">
        <v>24.554747938399998</v>
      </c>
      <c r="I291" s="62">
        <v>2.5099999999999998</v>
      </c>
      <c r="J291" s="62">
        <v>9.7750710000000005</v>
      </c>
      <c r="K291" s="9">
        <v>0</v>
      </c>
    </row>
    <row r="292" spans="1:11">
      <c r="A292" s="6" t="s">
        <v>461</v>
      </c>
      <c r="B292" s="64">
        <v>20584.527999999998</v>
      </c>
      <c r="C292" s="8">
        <f>IF(Tabela3[[#This Row],[Real GDP]]="",#N/A,((((Tabela3[[#This Row],[Real GDP]]*1)/B291)-1)*4))</f>
        <v>3.3186726524173871E-2</v>
      </c>
      <c r="D292" s="7">
        <v>137</v>
      </c>
      <c r="E292" s="8">
        <f>IF(Tabela3[[#This Row],[Employment Cost Index (ECI)]]="",#N/A,((Tabela3[[#This Row],[Employment Cost Index (ECI)]]*1)/D291)-1)</f>
        <v>6.6127847171197907E-3</v>
      </c>
      <c r="F292" s="8">
        <f>IF(Tabela3[[#This Row],[Employment Cost Index (ECI)]]="",#N/A,((Tabela3[[#This Row],[Employment Cost Index (ECI)]]*1)/D288)-1)</f>
        <v>2.7756939234808709E-2</v>
      </c>
      <c r="G292" s="8">
        <v>2.8500000000000001E-2</v>
      </c>
      <c r="H292" s="7">
        <v>24.839724451599999</v>
      </c>
      <c r="I292" s="7">
        <v>2.59</v>
      </c>
      <c r="J292" s="7">
        <v>9.8067729999999997</v>
      </c>
      <c r="K292" s="9">
        <v>0</v>
      </c>
    </row>
    <row r="293" spans="1:11">
      <c r="A293" s="13" t="s">
        <v>106</v>
      </c>
      <c r="B293" s="64">
        <v>20817.580999999998</v>
      </c>
      <c r="C293" s="8">
        <f>IF(Tabela3[[#This Row],[Real GDP]]="",#N/A,((((Tabela3[[#This Row],[Real GDP]]*1)/B292)-1)*4))</f>
        <v>4.5287023341026078E-2</v>
      </c>
      <c r="D293" s="7">
        <v>138</v>
      </c>
      <c r="E293" s="8">
        <f>IF(Tabela3[[#This Row],[Employment Cost Index (ECI)]]="",#N/A,((Tabela3[[#This Row],[Employment Cost Index (ECI)]]*1)/D292)-1)</f>
        <v>7.2992700729928028E-3</v>
      </c>
      <c r="F293" s="8">
        <f>IF(Tabela3[[#This Row],[Employment Cost Index (ECI)]]="",#N/A,((Tabela3[[#This Row],[Employment Cost Index (ECI)]]*1)/D289)-1)</f>
        <v>2.7550260610573307E-2</v>
      </c>
      <c r="G293" s="8">
        <v>2.8500000000000001E-2</v>
      </c>
      <c r="H293" s="62">
        <v>24.504433425399998</v>
      </c>
      <c r="I293" s="62">
        <v>2.62</v>
      </c>
      <c r="J293" s="62">
        <v>9.8154640000000004</v>
      </c>
      <c r="K293" s="9">
        <v>0</v>
      </c>
    </row>
    <row r="294" spans="1:11">
      <c r="A294" s="6" t="s">
        <v>107</v>
      </c>
      <c r="B294" s="64">
        <v>20951.088</v>
      </c>
      <c r="C294" s="8">
        <f>IF(Tabela3[[#This Row],[Real GDP]]="",#N/A,((((Tabela3[[#This Row],[Real GDP]]*1)/B293)-1)*4))</f>
        <v>2.565274034480769E-2</v>
      </c>
      <c r="D294" s="7">
        <v>138.9</v>
      </c>
      <c r="E294" s="8">
        <f>IF(Tabela3[[#This Row],[Employment Cost Index (ECI)]]="",#N/A,((Tabela3[[#This Row],[Employment Cost Index (ECI)]]*1)/D293)-1)</f>
        <v>6.521739130434856E-3</v>
      </c>
      <c r="F294" s="8">
        <f>IF(Tabela3[[#This Row],[Employment Cost Index (ECI)]]="",#N/A,((Tabela3[[#This Row],[Employment Cost Index (ECI)]]*1)/D290)-1)</f>
        <v>2.6607538802660757E-2</v>
      </c>
      <c r="G294" s="8">
        <v>2.8500000000000001E-2</v>
      </c>
      <c r="H294" s="7">
        <v>25.685139291199999</v>
      </c>
      <c r="I294" s="7">
        <v>2.62</v>
      </c>
      <c r="J294" s="7">
        <v>9.8134820000000005</v>
      </c>
      <c r="K294" s="9">
        <v>0</v>
      </c>
    </row>
    <row r="295" spans="1:11">
      <c r="A295" s="6" t="s">
        <v>108</v>
      </c>
      <c r="B295" s="64">
        <v>20665.553</v>
      </c>
      <c r="C295" s="8">
        <f>IF(Tabela3[[#This Row],[Real GDP]]="",#N/A,((((Tabela3[[#This Row],[Real GDP]]*1)/B294)-1)*4))</f>
        <v>-5.4514591318598704E-2</v>
      </c>
      <c r="D295" s="7">
        <v>140</v>
      </c>
      <c r="E295" s="8">
        <f>IF(Tabela3[[#This Row],[Employment Cost Index (ECI)]]="",#N/A,((Tabela3[[#This Row],[Employment Cost Index (ECI)]]*1)/D294)-1)</f>
        <v>7.9193664506838068E-3</v>
      </c>
      <c r="F295" s="8">
        <f>IF(Tabela3[[#This Row],[Employment Cost Index (ECI)]]="",#N/A,((Tabela3[[#This Row],[Employment Cost Index (ECI)]]*1)/D291)-1)</f>
        <v>2.8655400440852352E-2</v>
      </c>
      <c r="G295" s="8">
        <v>2.8500000000000001E-2</v>
      </c>
      <c r="H295" s="62">
        <v>20.8053392765</v>
      </c>
      <c r="I295" s="62">
        <v>2.66</v>
      </c>
      <c r="J295" s="62">
        <v>9.7419779999999996</v>
      </c>
      <c r="K295" s="9">
        <v>1</v>
      </c>
    </row>
    <row r="296" spans="1:11">
      <c r="A296" s="6" t="s">
        <v>109</v>
      </c>
      <c r="B296" s="64">
        <v>19034.830000000002</v>
      </c>
      <c r="C296" s="8">
        <f>IF(Tabela3[[#This Row],[Real GDP]]="",#N/A,((((Tabela3[[#This Row],[Real GDP]]*1)/B295)-1)*4))</f>
        <v>-0.31564081541877886</v>
      </c>
      <c r="D296" s="7">
        <v>140.6</v>
      </c>
      <c r="E296" s="8">
        <f>IF(Tabela3[[#This Row],[Employment Cost Index (ECI)]]="",#N/A,((Tabela3[[#This Row],[Employment Cost Index (ECI)]]*1)/D295)-1)</f>
        <v>4.2857142857142261E-3</v>
      </c>
      <c r="F296" s="8">
        <f>IF(Tabela3[[#This Row],[Employment Cost Index (ECI)]]="",#N/A,((Tabela3[[#This Row],[Employment Cost Index (ECI)]]*1)/D292)-1)</f>
        <v>2.6277372262773602E-2</v>
      </c>
      <c r="G296" s="8">
        <v>2.8500000000000001E-2</v>
      </c>
      <c r="H296" s="7">
        <v>23.883460433900002</v>
      </c>
      <c r="I296" s="7">
        <v>2.4500000000000002</v>
      </c>
      <c r="J296" s="7">
        <v>8.7767169999999997</v>
      </c>
      <c r="K296" s="9">
        <v>1</v>
      </c>
    </row>
    <row r="297" spans="1:11">
      <c r="A297" s="13" t="s">
        <v>110</v>
      </c>
      <c r="B297" s="64">
        <v>20511.785</v>
      </c>
      <c r="C297" s="8">
        <f>IF(Tabela3[[#This Row],[Real GDP]]="",#N/A,((((Tabela3[[#This Row],[Real GDP]]*1)/B296)-1)*4))</f>
        <v>0.31036893946517985</v>
      </c>
      <c r="D297" s="7">
        <v>141.4</v>
      </c>
      <c r="E297" s="8">
        <f>IF(Tabela3[[#This Row],[Employment Cost Index (ECI)]]="",#N/A,((Tabela3[[#This Row],[Employment Cost Index (ECI)]]*1)/D296)-1)</f>
        <v>5.6899004267425557E-3</v>
      </c>
      <c r="F297" s="8">
        <f>IF(Tabela3[[#This Row],[Employment Cost Index (ECI)]]="",#N/A,((Tabela3[[#This Row],[Employment Cost Index (ECI)]]*1)/D293)-1)</f>
        <v>2.4637681159420222E-2</v>
      </c>
      <c r="G297" s="8">
        <v>2.8500000000000001E-2</v>
      </c>
      <c r="H297" s="62">
        <v>25.148009950199999</v>
      </c>
      <c r="I297" s="62">
        <v>2</v>
      </c>
      <c r="J297" s="62">
        <v>9.0850910000000002</v>
      </c>
      <c r="K297" s="9">
        <v>0</v>
      </c>
    </row>
    <row r="298" spans="1:11">
      <c r="A298" s="6" t="s">
        <v>111</v>
      </c>
      <c r="B298" s="64">
        <v>20724.128000000001</v>
      </c>
      <c r="C298" s="8">
        <f>IF(Tabela3[[#This Row],[Real GDP]]="",#N/A,((((Tabela3[[#This Row],[Real GDP]]*1)/B297)-1)*4))</f>
        <v>4.1408975376838519E-2</v>
      </c>
      <c r="D298" s="7">
        <v>142.4</v>
      </c>
      <c r="E298" s="8">
        <f>IF(Tabela3[[#This Row],[Employment Cost Index (ECI)]]="",#N/A,((Tabela3[[#This Row],[Employment Cost Index (ECI)]]*1)/D297)-1)</f>
        <v>7.0721357850069833E-3</v>
      </c>
      <c r="F298" s="8">
        <f>IF(Tabela3[[#This Row],[Employment Cost Index (ECI)]]="",#N/A,((Tabela3[[#This Row],[Employment Cost Index (ECI)]]*1)/D294)-1)</f>
        <v>2.5197984161267062E-2</v>
      </c>
      <c r="G298" s="8">
        <v>2.8500000000000001E-2</v>
      </c>
      <c r="H298" s="7">
        <v>27.538774403200001</v>
      </c>
      <c r="I298" s="7">
        <v>2.11</v>
      </c>
      <c r="J298" s="7">
        <v>9.3036849999999998</v>
      </c>
      <c r="K298" s="9">
        <v>0</v>
      </c>
    </row>
    <row r="299" spans="1:11">
      <c r="A299" s="6" t="s">
        <v>112</v>
      </c>
      <c r="B299" s="64">
        <v>20990.541000000001</v>
      </c>
      <c r="C299" s="8">
        <f>IF(Tabela3[[#This Row],[Real GDP]]="",#N/A,((((Tabela3[[#This Row],[Real GDP]]*1)/B298)-1)*4))</f>
        <v>5.1420836620966526E-2</v>
      </c>
      <c r="D299" s="7">
        <v>143.69999999999999</v>
      </c>
      <c r="E299" s="8">
        <f>IF(Tabela3[[#This Row],[Employment Cost Index (ECI)]]="",#N/A,((Tabela3[[#This Row],[Employment Cost Index (ECI)]]*1)/D298)-1)</f>
        <v>9.1292134831459926E-3</v>
      </c>
      <c r="F299" s="8">
        <f>IF(Tabela3[[#This Row],[Employment Cost Index (ECI)]]="",#N/A,((Tabela3[[#This Row],[Employment Cost Index (ECI)]]*1)/D295)-1)</f>
        <v>2.6428571428571246E-2</v>
      </c>
      <c r="G299" s="8">
        <v>2.8500000000000001E-2</v>
      </c>
      <c r="H299" s="62">
        <v>28.377016230100001</v>
      </c>
      <c r="I299" s="62">
        <v>1.86</v>
      </c>
      <c r="J299" s="62">
        <v>8.3086870000000008</v>
      </c>
      <c r="K299" s="9">
        <v>0</v>
      </c>
    </row>
    <row r="300" spans="1:11">
      <c r="A300" s="6" t="s">
        <v>113</v>
      </c>
      <c r="B300" s="64">
        <v>21309.544000000002</v>
      </c>
      <c r="C300" s="8">
        <f>IF(Tabela3[[#This Row],[Real GDP]]="",#N/A,((((Tabela3[[#This Row],[Real GDP]]*1)/B299)-1)*4))</f>
        <v>6.0789857679227843E-2</v>
      </c>
      <c r="D300" s="7">
        <v>144.69999999999999</v>
      </c>
      <c r="E300" s="8">
        <f>IF(Tabela3[[#This Row],[Employment Cost Index (ECI)]]="",#N/A,((Tabela3[[#This Row],[Employment Cost Index (ECI)]]*1)/D299)-1)</f>
        <v>6.9589422407794199E-3</v>
      </c>
      <c r="F300" s="8">
        <f>IF(Tabela3[[#This Row],[Employment Cost Index (ECI)]]="",#N/A,((Tabela3[[#This Row],[Employment Cost Index (ECI)]]*1)/D296)-1)</f>
        <v>2.9160739687055459E-2</v>
      </c>
      <c r="G300" s="8">
        <v>2.8500000000000001E-2</v>
      </c>
      <c r="H300" s="7">
        <v>29.232080000500002</v>
      </c>
      <c r="I300" s="7">
        <v>1.59</v>
      </c>
      <c r="J300" s="7">
        <v>9.0160999999999998</v>
      </c>
      <c r="K300" s="9">
        <v>0</v>
      </c>
    </row>
    <row r="301" spans="1:11">
      <c r="A301" s="13" t="s">
        <v>114</v>
      </c>
      <c r="B301" s="64">
        <v>21483.082999999999</v>
      </c>
      <c r="C301" s="8">
        <f>IF(Tabela3[[#This Row],[Real GDP]]="",#N/A,((((Tabela3[[#This Row],[Real GDP]]*1)/B300)-1)*4))</f>
        <v>3.2574887571502842E-2</v>
      </c>
      <c r="D301" s="7">
        <v>146.5</v>
      </c>
      <c r="E301" s="8">
        <f>IF(Tabela3[[#This Row],[Employment Cost Index (ECI)]]="",#N/A,((Tabela3[[#This Row],[Employment Cost Index (ECI)]]*1)/D300)-1)</f>
        <v>1.2439530062197779E-2</v>
      </c>
      <c r="F301" s="8">
        <f>IF(Tabela3[[#This Row],[Employment Cost Index (ECI)]]="",#N/A,((Tabela3[[#This Row],[Employment Cost Index (ECI)]]*1)/D297)-1)</f>
        <v>3.6067892503536036E-2</v>
      </c>
      <c r="G301" s="8">
        <v>2.8500000000000001E-2</v>
      </c>
      <c r="H301" s="62">
        <v>28.603857841500002</v>
      </c>
      <c r="I301" s="62">
        <v>1.55</v>
      </c>
      <c r="J301" s="62">
        <v>9.1168790000000008</v>
      </c>
      <c r="K301" s="9">
        <v>0</v>
      </c>
    </row>
    <row r="302" spans="1:11">
      <c r="A302" s="6" t="s">
        <v>115</v>
      </c>
      <c r="B302" s="64">
        <v>21847.601999999999</v>
      </c>
      <c r="C302" s="8">
        <f>IF(Tabela3[[#This Row],[Real GDP]]="",#N/A,((((Tabela3[[#This Row],[Real GDP]]*1)/B301)-1)*4))</f>
        <v>6.7870891715123172E-2</v>
      </c>
      <c r="D302" s="7">
        <v>148.1</v>
      </c>
      <c r="E302" s="8">
        <f>IF(Tabela3[[#This Row],[Employment Cost Index (ECI)]]="",#N/A,((Tabela3[[#This Row],[Employment Cost Index (ECI)]]*1)/D301)-1)</f>
        <v>1.0921501706484538E-2</v>
      </c>
      <c r="F302" s="8">
        <f>IF(Tabela3[[#This Row],[Employment Cost Index (ECI)]]="",#N/A,((Tabela3[[#This Row],[Employment Cost Index (ECI)]]*1)/D298)-1)</f>
        <v>4.0028089887640395E-2</v>
      </c>
      <c r="G302" s="8">
        <v>2.8500000000000001E-2</v>
      </c>
      <c r="H302" s="7">
        <v>29.212077727299999</v>
      </c>
      <c r="I302" s="7">
        <v>1.57</v>
      </c>
      <c r="J302" s="7">
        <v>9.251315</v>
      </c>
      <c r="K302" s="9">
        <v>0</v>
      </c>
    </row>
    <row r="303" spans="1:11">
      <c r="A303" s="6" t="s">
        <v>116</v>
      </c>
      <c r="B303" s="64">
        <v>21738.870999999999</v>
      </c>
      <c r="C303" s="8">
        <f>IF(Tabela3[[#This Row],[Real GDP]]="",#N/A,((((Tabela3[[#This Row],[Real GDP]]*1)/B302)-1)*4))</f>
        <v>-1.9907173336460193E-2</v>
      </c>
      <c r="D303" s="7">
        <v>150.1</v>
      </c>
      <c r="E303" s="8">
        <f>IF(Tabela3[[#This Row],[Employment Cost Index (ECI)]]="",#N/A,((Tabela3[[#This Row],[Employment Cost Index (ECI)]]*1)/D302)-1)</f>
        <v>1.3504388926401045E-2</v>
      </c>
      <c r="F303" s="8">
        <f>IF(Tabela3[[#This Row],[Employment Cost Index (ECI)]]="",#N/A,((Tabela3[[#This Row],[Employment Cost Index (ECI)]]*1)/D299)-1)</f>
        <v>4.453723034098811E-2</v>
      </c>
      <c r="G303" s="8">
        <v>2.8500000000000001E-2</v>
      </c>
      <c r="H303" s="62">
        <v>27.593983888699999</v>
      </c>
      <c r="I303" s="62">
        <v>1.66</v>
      </c>
      <c r="J303" s="62">
        <v>9.5175940000000008</v>
      </c>
      <c r="K303" s="9">
        <v>0</v>
      </c>
    </row>
    <row r="304" spans="1:11">
      <c r="A304" s="6" t="s">
        <v>117</v>
      </c>
      <c r="B304" s="64">
        <v>21708.16</v>
      </c>
      <c r="C304" s="8">
        <f>IF(Tabela3[[#This Row],[Real GDP]]="",#N/A,((((Tabela3[[#This Row],[Real GDP]]*1)/B303)-1)*4))</f>
        <v>-5.6508914377384478E-3</v>
      </c>
      <c r="D304" s="7">
        <v>152.1</v>
      </c>
      <c r="E304" s="8">
        <f>IF(Tabela3[[#This Row],[Employment Cost Index (ECI)]]="",#N/A,((Tabela3[[#This Row],[Employment Cost Index (ECI)]]*1)/D303)-1)</f>
        <v>1.3324450366422491E-2</v>
      </c>
      <c r="F304" s="8">
        <f>IF(Tabela3[[#This Row],[Employment Cost Index (ECI)]]="",#N/A,((Tabela3[[#This Row],[Employment Cost Index (ECI)]]*1)/D300)-1)</f>
        <v>5.1140290255701437E-2</v>
      </c>
      <c r="G304" s="8">
        <v>2.8500000000000001E-2</v>
      </c>
      <c r="H304" s="7">
        <v>23.7360880329</v>
      </c>
      <c r="I304" s="7">
        <v>1.84</v>
      </c>
      <c r="J304" s="7">
        <v>9.6066190000000002</v>
      </c>
      <c r="K304" s="9">
        <v>0</v>
      </c>
    </row>
    <row r="305" spans="1:11">
      <c r="A305" s="13" t="s">
        <v>118</v>
      </c>
      <c r="B305" s="64">
        <v>21851.133999999998</v>
      </c>
      <c r="C305" s="8">
        <f>IF(Tabela3[[#This Row],[Real GDP]]="",#N/A,((((Tabela3[[#This Row],[Real GDP]]*1)/B304)-1)*4))</f>
        <v>2.6344747781479327E-2</v>
      </c>
      <c r="D305" s="7">
        <v>153.9</v>
      </c>
      <c r="E305" s="8">
        <f>IF(Tabela3[[#This Row],[Employment Cost Index (ECI)]]="",#N/A,((Tabela3[[#This Row],[Employment Cost Index (ECI)]]*1)/D304)-1)</f>
        <v>1.1834319526627279E-2</v>
      </c>
      <c r="F305" s="8">
        <f>IF(Tabela3[[#This Row],[Employment Cost Index (ECI)]]="",#N/A,((Tabela3[[#This Row],[Employment Cost Index (ECI)]]*1)/D301)-1)</f>
        <v>5.0511945392491597E-2</v>
      </c>
      <c r="G305" s="8">
        <v>2.8500000000000001E-2</v>
      </c>
      <c r="H305" s="62">
        <v>22.892622993500002</v>
      </c>
      <c r="I305" s="62">
        <v>2.08</v>
      </c>
      <c r="J305" s="62">
        <v>9.6747630000000004</v>
      </c>
      <c r="K305" s="9">
        <v>0</v>
      </c>
    </row>
    <row r="306" spans="1:11">
      <c r="A306" s="6" t="s">
        <v>119</v>
      </c>
      <c r="B306" s="64">
        <v>21989.981</v>
      </c>
      <c r="C306" s="8">
        <f>IF(Tabela3[[#This Row],[Real GDP]]="",#N/A,((((Tabela3[[#This Row],[Real GDP]]*1)/B305)-1)*4))</f>
        <v>2.5416895983521925E-2</v>
      </c>
      <c r="D306" s="7">
        <v>155.6</v>
      </c>
      <c r="E306" s="8">
        <f>IF(Tabela3[[#This Row],[Employment Cost Index (ECI)]]="",#N/A,((Tabela3[[#This Row],[Employment Cost Index (ECI)]]*1)/D305)-1)</f>
        <v>1.1046133853151341E-2</v>
      </c>
      <c r="F306" s="8">
        <f>IF(Tabela3[[#This Row],[Employment Cost Index (ECI)]]="",#N/A,((Tabela3[[#This Row],[Employment Cost Index (ECI)]]*1)/D302)-1)</f>
        <v>5.0641458474004031E-2</v>
      </c>
      <c r="G306" s="8">
        <v>2.8500000000000001E-2</v>
      </c>
      <c r="H306" s="7">
        <v>24.009829517899998</v>
      </c>
      <c r="I306" s="7">
        <v>2.25</v>
      </c>
      <c r="J306" s="7">
        <v>9.7410759999999996</v>
      </c>
      <c r="K306" s="9">
        <v>0</v>
      </c>
    </row>
    <row r="307" spans="1:11">
      <c r="A307" s="6" t="s">
        <v>120</v>
      </c>
      <c r="B307" s="64">
        <v>22112.329000000002</v>
      </c>
      <c r="C307" s="8">
        <f>IF(Tabela3[[#This Row],[Real GDP]]="",#N/A,((((Tabela3[[#This Row],[Real GDP]]*1)/B306)-1)*4))</f>
        <v>2.2255226141396633E-2</v>
      </c>
      <c r="D307" s="7">
        <v>157.4</v>
      </c>
      <c r="E307" s="8">
        <f>IF(Tabela3[[#This Row],[Employment Cost Index (ECI)]]="",#N/A,((Tabela3[[#This Row],[Employment Cost Index (ECI)]]*1)/D306)-1)</f>
        <v>1.1568123393316254E-2</v>
      </c>
      <c r="F307" s="8">
        <f>IF(Tabela3[[#This Row],[Employment Cost Index (ECI)]]="",#N/A,((Tabela3[[#This Row],[Employment Cost Index (ECI)]]*1)/D303)-1)</f>
        <v>4.863424383744186E-2</v>
      </c>
      <c r="G307" s="8">
        <v>2.8500000000000001E-2</v>
      </c>
      <c r="H307" s="62">
        <v>24.992964147799999</v>
      </c>
      <c r="I307" s="62">
        <v>2.4300000000000002</v>
      </c>
      <c r="J307" s="62">
        <v>9.6305610000000001</v>
      </c>
      <c r="K307" s="9">
        <v>0</v>
      </c>
    </row>
    <row r="308" spans="1:11">
      <c r="A308" s="6" t="s">
        <v>121</v>
      </c>
      <c r="B308" s="64">
        <v>22225.35</v>
      </c>
      <c r="C308" s="8">
        <f>IF(Tabela3[[#This Row],[Real GDP]]="",#N/A,((((Tabela3[[#This Row],[Real GDP]]*1)/B307)-1)*4))</f>
        <v>2.0444883937824621E-2</v>
      </c>
      <c r="D308" s="7">
        <v>159</v>
      </c>
      <c r="E308" s="8">
        <f>IF(Tabela3[[#This Row],[Employment Cost Index (ECI)]]="",#N/A,((Tabela3[[#This Row],[Employment Cost Index (ECI)]]*1)/D307)-1)</f>
        <v>1.0165184243964287E-2</v>
      </c>
      <c r="F308" s="8">
        <f>IF(Tabela3[[#This Row],[Employment Cost Index (ECI)]]="",#N/A,((Tabela3[[#This Row],[Employment Cost Index (ECI)]]*1)/D304)-1)</f>
        <v>4.5364891518737682E-2</v>
      </c>
      <c r="G308" s="8">
        <v>2.8500000000000001E-2</v>
      </c>
      <c r="H308" s="7"/>
      <c r="I308" s="7">
        <v>2.77</v>
      </c>
      <c r="J308" s="7"/>
      <c r="K308" s="9">
        <v>0</v>
      </c>
    </row>
    <row r="309" spans="1:11">
      <c r="A309" s="13" t="s">
        <v>462</v>
      </c>
      <c r="B309" s="64">
        <v>22491.566999999999</v>
      </c>
      <c r="C309" s="8">
        <f>IF(Tabela3[[#This Row],[Real GDP]]="",#N/A,((((Tabela3[[#This Row],[Real GDP]]*1)/B308)-1)*4))</f>
        <v>4.791231634147497E-2</v>
      </c>
      <c r="D309" s="7">
        <v>160.69999999999999</v>
      </c>
      <c r="E309" s="8">
        <f>IF(Tabela3[[#This Row],[Employment Cost Index (ECI)]]="",#N/A,((Tabela3[[#This Row],[Employment Cost Index (ECI)]]*1)/D308)-1)</f>
        <v>1.0691823899370956E-2</v>
      </c>
      <c r="F309" s="8">
        <f>IF(Tabela3[[#This Row],[Employment Cost Index (ECI)]]="",#N/A,((Tabela3[[#This Row],[Employment Cost Index (ECI)]]*1)/D305)-1)</f>
        <v>4.4184535412605586E-2</v>
      </c>
      <c r="G309" s="8">
        <v>2.8500000000000001E-2</v>
      </c>
      <c r="H309" s="62"/>
      <c r="I309" s="62"/>
      <c r="J309" s="62"/>
      <c r="K309" s="9">
        <v>0</v>
      </c>
    </row>
    <row r="310" spans="1:11">
      <c r="A310" s="6" t="s">
        <v>463</v>
      </c>
      <c r="B310" s="64"/>
      <c r="C310" s="8" t="e">
        <f>IF(Tabela3[[#This Row],[Real GDP]]="",#N/A,((((Tabela3[[#This Row],[Real GDP]]*1)/B309)-1)*4))</f>
        <v>#N/A</v>
      </c>
      <c r="D310" s="7"/>
      <c r="E310" s="85" t="e">
        <f>IF(Tabela3[[#This Row],[Employment Cost Index (ECI)]]="",#N/A,((Tabela3[[#This Row],[Employment Cost Index (ECI)]]*1)/D309)-1)</f>
        <v>#N/A</v>
      </c>
      <c r="F310" s="8" t="e">
        <f>IF(Tabela3[[#This Row],[Employment Cost Index (ECI)]]="",#N/A,((Tabela3[[#This Row],[Employment Cost Index (ECI)]]*1)/D306)-1)</f>
        <v>#N/A</v>
      </c>
      <c r="G310" s="8">
        <v>2.8500000000000001E-2</v>
      </c>
      <c r="H310" s="7"/>
      <c r="I310" s="7"/>
      <c r="J310" s="7"/>
      <c r="K310" s="9">
        <v>0</v>
      </c>
    </row>
    <row r="311" spans="1:11">
      <c r="A311" s="6" t="s">
        <v>464</v>
      </c>
      <c r="B311" s="64"/>
      <c r="C311" s="8" t="e">
        <f>IF(Tabela3[[#This Row],[Real GDP]]="",#N/A,((((Tabela3[[#This Row],[Real GDP]]*1)/B310)-1)*4))</f>
        <v>#N/A</v>
      </c>
      <c r="D311" s="7"/>
      <c r="E311" s="85" t="e">
        <f>IF(Tabela3[[#This Row],[Employment Cost Index (ECI)]]="",#N/A,((Tabela3[[#This Row],[Employment Cost Index (ECI)]]*1)/D310)-1)</f>
        <v>#N/A</v>
      </c>
      <c r="F311" s="8" t="e">
        <f>IF(Tabela3[[#This Row],[Employment Cost Index (ECI)]]="",#N/A,((Tabela3[[#This Row],[Employment Cost Index (ECI)]]*1)/D307)-1)</f>
        <v>#N/A</v>
      </c>
      <c r="G311" s="8">
        <v>2.8500000000000001E-2</v>
      </c>
      <c r="H311" s="7"/>
      <c r="I311" s="7"/>
      <c r="J311" s="7"/>
    </row>
    <row r="312" spans="1:11">
      <c r="A312" s="6" t="s">
        <v>465</v>
      </c>
      <c r="B312" s="64"/>
      <c r="C312" s="8" t="e">
        <f>IF(Tabela3[[#This Row],[Real GDP]]="",#N/A,((((Tabela3[[#This Row],[Real GDP]]*1)/B311)-1)*4))</f>
        <v>#N/A</v>
      </c>
      <c r="D312" s="7"/>
      <c r="E312" s="85" t="e">
        <f>IF(Tabela3[[#This Row],[Employment Cost Index (ECI)]]="",#N/A,((Tabela3[[#This Row],[Employment Cost Index (ECI)]]*1)/D311)-1)</f>
        <v>#N/A</v>
      </c>
      <c r="F312" s="11"/>
      <c r="G312" s="8"/>
      <c r="H312" s="7"/>
      <c r="I312" s="7"/>
      <c r="J312" s="7"/>
    </row>
    <row r="313" spans="1:11">
      <c r="A313" s="13" t="s">
        <v>466</v>
      </c>
      <c r="B313" s="64"/>
      <c r="C313" s="8" t="e">
        <f>IF(Tabela3[[#This Row],[Real GDP]]="",#N/A,((((Tabela3[[#This Row],[Real GDP]]*1)/B312)-1)*4))</f>
        <v>#N/A</v>
      </c>
      <c r="D313" s="7"/>
      <c r="E313" s="85" t="e">
        <f>IF(Tabela3[[#This Row],[Employment Cost Index (ECI)]]="",#N/A,((Tabela3[[#This Row],[Employment Cost Index (ECI)]]*1)/D312)-1)</f>
        <v>#N/A</v>
      </c>
      <c r="F313" s="11"/>
      <c r="G313" s="8"/>
      <c r="H313" s="7"/>
      <c r="I313" s="7"/>
      <c r="J313" s="7"/>
    </row>
    <row r="314" spans="1:11">
      <c r="B314" s="11"/>
      <c r="C314" s="11"/>
      <c r="D314" s="11"/>
      <c r="E314" s="11"/>
    </row>
    <row r="315" spans="1:11">
      <c r="B315" s="11"/>
      <c r="C315" s="11"/>
      <c r="D315" s="11"/>
      <c r="E315" s="11"/>
    </row>
    <row r="316" spans="1:11">
      <c r="B316" s="11"/>
      <c r="C316" s="11"/>
      <c r="D316" s="11"/>
      <c r="E316" s="11"/>
    </row>
    <row r="317" spans="1:11">
      <c r="B317" s="11"/>
      <c r="C317" s="11"/>
      <c r="D317" s="11"/>
      <c r="E317" s="11"/>
    </row>
    <row r="318" spans="1:11">
      <c r="B318" s="11"/>
      <c r="C318" s="11"/>
      <c r="D318" s="11"/>
      <c r="E318" s="11"/>
    </row>
    <row r="319" spans="1:11">
      <c r="B319" s="11"/>
      <c r="C319" s="11"/>
      <c r="D319" s="11"/>
      <c r="E319" s="11"/>
    </row>
    <row r="320" spans="1:11">
      <c r="B320" s="11"/>
      <c r="C320" s="11"/>
      <c r="D320" s="11"/>
      <c r="E320" s="11"/>
    </row>
    <row r="321" spans="2:5">
      <c r="B321" s="11"/>
      <c r="C321" s="11"/>
      <c r="D321" s="11"/>
      <c r="E321" s="11"/>
    </row>
    <row r="322" spans="2:5">
      <c r="B322" s="11"/>
      <c r="C322" s="11"/>
      <c r="D322" s="11"/>
      <c r="E322" s="11"/>
    </row>
    <row r="323" spans="2:5">
      <c r="B323" s="11"/>
      <c r="C323" s="11"/>
      <c r="D323" s="11"/>
      <c r="E323" s="11"/>
    </row>
    <row r="324" spans="2:5">
      <c r="B324" s="11"/>
      <c r="C324" s="11"/>
      <c r="D324" s="11"/>
      <c r="E324" s="11"/>
    </row>
    <row r="325" spans="2:5">
      <c r="B325" s="11"/>
      <c r="C325" s="11"/>
      <c r="D325" s="11"/>
      <c r="E325" s="11"/>
    </row>
    <row r="326" spans="2:5">
      <c r="B326" s="11"/>
      <c r="C326" s="11"/>
      <c r="D326" s="11"/>
      <c r="E326" s="11"/>
    </row>
    <row r="327" spans="2:5">
      <c r="B327" s="11"/>
      <c r="C327" s="11"/>
      <c r="D327" s="11"/>
      <c r="E327" s="11"/>
    </row>
    <row r="328" spans="2:5">
      <c r="B328" s="11"/>
      <c r="C328" s="11"/>
      <c r="D328" s="11"/>
      <c r="E328" s="11"/>
    </row>
    <row r="329" spans="2:5">
      <c r="B329" s="11"/>
      <c r="C329" s="11"/>
      <c r="D329" s="11"/>
      <c r="E329" s="11"/>
    </row>
    <row r="330" spans="2:5">
      <c r="B330" s="11"/>
      <c r="C330" s="11"/>
      <c r="D330" s="11"/>
      <c r="E330" s="11"/>
    </row>
    <row r="331" spans="2:5">
      <c r="B331" s="11"/>
      <c r="C331" s="11"/>
      <c r="D331" s="11"/>
      <c r="E331" s="11"/>
    </row>
    <row r="332" spans="2:5">
      <c r="B332" s="11"/>
      <c r="C332" s="11"/>
      <c r="D332" s="11"/>
      <c r="E332" s="11"/>
    </row>
    <row r="333" spans="2:5">
      <c r="B333" s="11"/>
      <c r="C333" s="11"/>
      <c r="D333" s="11"/>
      <c r="E333" s="11"/>
    </row>
    <row r="334" spans="2:5">
      <c r="B334" s="11"/>
      <c r="C334" s="11"/>
      <c r="D334" s="11"/>
      <c r="E334" s="11"/>
    </row>
    <row r="335" spans="2:5">
      <c r="B335" s="11"/>
      <c r="C335" s="11"/>
      <c r="D335" s="11"/>
      <c r="E335" s="11"/>
    </row>
    <row r="336" spans="2:5">
      <c r="B336" s="11"/>
      <c r="C336" s="11"/>
      <c r="D336" s="11"/>
      <c r="E336" s="11"/>
    </row>
    <row r="337" spans="2:5">
      <c r="B337" s="11"/>
      <c r="C337" s="11"/>
      <c r="D337" s="11"/>
      <c r="E337" s="11"/>
    </row>
    <row r="338" spans="2:5">
      <c r="B338" s="11"/>
      <c r="C338" s="11"/>
      <c r="D338" s="11"/>
      <c r="E338" s="11"/>
    </row>
    <row r="339" spans="2:5">
      <c r="B339" s="11"/>
      <c r="C339" s="11"/>
      <c r="D339" s="11"/>
      <c r="E339" s="11"/>
    </row>
    <row r="340" spans="2:5">
      <c r="B340" s="11"/>
      <c r="C340" s="11"/>
      <c r="D340" s="11"/>
      <c r="E340" s="11"/>
    </row>
    <row r="341" spans="2:5">
      <c r="B341" s="11"/>
      <c r="C341" s="11"/>
      <c r="D341" s="11"/>
      <c r="E341" s="11"/>
    </row>
    <row r="342" spans="2:5">
      <c r="B342" s="11"/>
      <c r="C342" s="11"/>
      <c r="D342" s="11"/>
      <c r="E342" s="11"/>
    </row>
    <row r="343" spans="2:5">
      <c r="B343" s="11"/>
      <c r="C343" s="11"/>
      <c r="D343" s="11"/>
      <c r="E343" s="11"/>
    </row>
    <row r="344" spans="2:5">
      <c r="B344" s="11"/>
      <c r="C344" s="11"/>
      <c r="D344" s="11"/>
      <c r="E344" s="11"/>
    </row>
    <row r="345" spans="2:5">
      <c r="B345" s="11"/>
      <c r="C345" s="11"/>
      <c r="D345" s="11"/>
      <c r="E345" s="11"/>
    </row>
    <row r="346" spans="2:5">
      <c r="B346" s="11"/>
      <c r="C346" s="11"/>
      <c r="D346" s="11"/>
      <c r="E346" s="11"/>
    </row>
    <row r="347" spans="2:5">
      <c r="B347" s="11"/>
      <c r="C347" s="11"/>
      <c r="D347" s="11"/>
      <c r="E347" s="11"/>
    </row>
    <row r="348" spans="2:5">
      <c r="B348" s="11"/>
      <c r="C348" s="11"/>
      <c r="D348" s="11"/>
      <c r="E348" s="11"/>
    </row>
    <row r="349" spans="2:5">
      <c r="B349" s="11"/>
      <c r="C349" s="11"/>
      <c r="D349" s="11"/>
      <c r="E349" s="11"/>
    </row>
    <row r="350" spans="2:5">
      <c r="B350" s="11"/>
      <c r="C350" s="11"/>
      <c r="D350" s="11"/>
      <c r="E350" s="11"/>
    </row>
    <row r="351" spans="2:5">
      <c r="B351" s="11"/>
      <c r="C351" s="11"/>
      <c r="D351" s="11"/>
      <c r="E351" s="11"/>
    </row>
    <row r="352" spans="2:5">
      <c r="B352" s="11"/>
      <c r="C352" s="11"/>
      <c r="D352" s="11"/>
      <c r="E352" s="11"/>
    </row>
    <row r="353" spans="2:5">
      <c r="B353" s="11"/>
      <c r="C353" s="11"/>
      <c r="D353" s="11"/>
      <c r="E353" s="11"/>
    </row>
    <row r="354" spans="2:5">
      <c r="B354" s="11"/>
      <c r="C354" s="11"/>
      <c r="D354" s="11"/>
      <c r="E354" s="11"/>
    </row>
    <row r="355" spans="2:5">
      <c r="B355" s="11"/>
      <c r="C355" s="11"/>
      <c r="D355" s="11"/>
      <c r="E355" s="11"/>
    </row>
    <row r="356" spans="2:5">
      <c r="B356" s="11"/>
      <c r="C356" s="11"/>
      <c r="D356" s="11"/>
      <c r="E356" s="11"/>
    </row>
    <row r="357" spans="2:5">
      <c r="B357" s="11"/>
      <c r="C357" s="11"/>
      <c r="D357" s="11"/>
      <c r="E357" s="11"/>
    </row>
    <row r="358" spans="2:5">
      <c r="B358" s="11"/>
      <c r="C358" s="11"/>
      <c r="D358" s="11"/>
      <c r="E358" s="11"/>
    </row>
    <row r="359" spans="2:5">
      <c r="B359" s="11"/>
      <c r="C359" s="11"/>
      <c r="D359" s="11"/>
      <c r="E359" s="11"/>
    </row>
    <row r="360" spans="2:5">
      <c r="B360" s="11"/>
      <c r="C360" s="11"/>
      <c r="D360" s="11"/>
      <c r="E360" s="11"/>
    </row>
    <row r="361" spans="2:5">
      <c r="B361" s="11"/>
      <c r="C361" s="11"/>
      <c r="D361" s="11"/>
      <c r="E361" s="11"/>
    </row>
    <row r="362" spans="2:5">
      <c r="B362" s="11"/>
      <c r="C362" s="11"/>
      <c r="D362" s="11"/>
      <c r="E362" s="11"/>
    </row>
    <row r="363" spans="2:5">
      <c r="B363" s="11"/>
      <c r="C363" s="11"/>
      <c r="D363" s="11"/>
      <c r="E363" s="11"/>
    </row>
    <row r="364" spans="2:5">
      <c r="B364" s="11"/>
      <c r="C364" s="11"/>
      <c r="D364" s="11"/>
      <c r="E364" s="11"/>
    </row>
    <row r="365" spans="2:5">
      <c r="B365" s="11"/>
      <c r="C365" s="11"/>
      <c r="D365" s="11"/>
      <c r="E365" s="11"/>
    </row>
    <row r="366" spans="2:5">
      <c r="B366" s="11"/>
      <c r="C366" s="11"/>
      <c r="D366" s="11"/>
      <c r="E366" s="11"/>
    </row>
    <row r="367" spans="2:5">
      <c r="B367" s="11"/>
      <c r="C367" s="11"/>
      <c r="D367" s="11"/>
      <c r="E367" s="11"/>
    </row>
    <row r="368" spans="2:5">
      <c r="B368" s="11"/>
      <c r="C368" s="11"/>
      <c r="D368" s="11"/>
      <c r="E368" s="11"/>
    </row>
    <row r="369" spans="2:5">
      <c r="B369" s="11"/>
      <c r="C369" s="11"/>
      <c r="D369" s="11"/>
      <c r="E369" s="11"/>
    </row>
    <row r="370" spans="2:5">
      <c r="B370" s="11"/>
      <c r="C370" s="11"/>
      <c r="D370" s="11"/>
      <c r="E370" s="11"/>
    </row>
    <row r="371" spans="2:5">
      <c r="B371" s="11"/>
      <c r="C371" s="11"/>
      <c r="D371" s="11"/>
      <c r="E371" s="11"/>
    </row>
    <row r="372" spans="2:5">
      <c r="B372" s="11"/>
      <c r="C372" s="11"/>
      <c r="D372" s="11"/>
      <c r="E372" s="11"/>
    </row>
    <row r="373" spans="2:5">
      <c r="B373" s="11"/>
      <c r="C373" s="11"/>
      <c r="D373" s="11"/>
      <c r="E373" s="11"/>
    </row>
    <row r="374" spans="2:5">
      <c r="B374" s="11"/>
      <c r="C374" s="11"/>
      <c r="D374" s="11"/>
      <c r="E374" s="11"/>
    </row>
    <row r="375" spans="2:5">
      <c r="B375" s="11"/>
      <c r="C375" s="11"/>
      <c r="D375" s="11"/>
      <c r="E375" s="11"/>
    </row>
    <row r="376" spans="2:5">
      <c r="B376" s="11"/>
      <c r="C376" s="11"/>
      <c r="D376" s="11"/>
      <c r="E376" s="11"/>
    </row>
    <row r="377" spans="2:5">
      <c r="B377" s="11"/>
      <c r="C377" s="11"/>
      <c r="D377" s="11"/>
      <c r="E377" s="11"/>
    </row>
    <row r="378" spans="2:5">
      <c r="B378" s="11"/>
      <c r="C378" s="11"/>
      <c r="D378" s="11"/>
      <c r="E378" s="11"/>
    </row>
    <row r="379" spans="2:5">
      <c r="B379" s="11"/>
      <c r="C379" s="11"/>
      <c r="D379" s="11"/>
      <c r="E379" s="11"/>
    </row>
    <row r="380" spans="2:5">
      <c r="B380" s="11"/>
      <c r="C380" s="11"/>
      <c r="D380" s="11"/>
      <c r="E380" s="11"/>
    </row>
    <row r="381" spans="2:5">
      <c r="B381" s="11"/>
      <c r="C381" s="11"/>
      <c r="D381" s="11"/>
      <c r="E381" s="11"/>
    </row>
    <row r="382" spans="2:5">
      <c r="B382" s="11"/>
      <c r="C382" s="11"/>
      <c r="D382" s="11"/>
      <c r="E382" s="11"/>
    </row>
    <row r="383" spans="2:5">
      <c r="B383" s="11"/>
      <c r="C383" s="11"/>
      <c r="D383" s="11"/>
      <c r="E383" s="11"/>
    </row>
    <row r="384" spans="2:5">
      <c r="B384" s="11"/>
      <c r="C384" s="11"/>
      <c r="D384" s="11"/>
      <c r="E384" s="11"/>
    </row>
    <row r="385" spans="2:5">
      <c r="B385" s="11"/>
      <c r="C385" s="11"/>
      <c r="D385" s="11"/>
      <c r="E385" s="11"/>
    </row>
    <row r="386" spans="2:5">
      <c r="B386" s="11"/>
      <c r="C386" s="11"/>
      <c r="D386" s="11"/>
      <c r="E386" s="11"/>
    </row>
    <row r="387" spans="2:5">
      <c r="B387" s="11"/>
      <c r="C387" s="11"/>
      <c r="D387" s="11"/>
      <c r="E387" s="11"/>
    </row>
    <row r="388" spans="2:5">
      <c r="B388" s="11"/>
      <c r="C388" s="11"/>
      <c r="D388" s="11"/>
      <c r="E388" s="11"/>
    </row>
    <row r="389" spans="2:5">
      <c r="B389" s="11"/>
      <c r="C389" s="11"/>
      <c r="D389" s="11"/>
      <c r="E389" s="11"/>
    </row>
    <row r="390" spans="2:5">
      <c r="B390" s="11"/>
      <c r="C390" s="11"/>
      <c r="D390" s="11"/>
      <c r="E390" s="11"/>
    </row>
    <row r="391" spans="2:5">
      <c r="B391" s="11"/>
      <c r="C391" s="11"/>
      <c r="D391" s="11"/>
      <c r="E391" s="11"/>
    </row>
    <row r="392" spans="2:5">
      <c r="B392" s="11"/>
      <c r="C392" s="11"/>
      <c r="D392" s="11"/>
      <c r="E392" s="11"/>
    </row>
    <row r="393" spans="2:5">
      <c r="B393" s="11"/>
      <c r="C393" s="11"/>
      <c r="D393" s="11"/>
      <c r="E393" s="11"/>
    </row>
    <row r="394" spans="2:5">
      <c r="B394" s="11"/>
      <c r="C394" s="11"/>
      <c r="D394" s="11"/>
      <c r="E394" s="11"/>
    </row>
    <row r="395" spans="2:5">
      <c r="B395" s="11"/>
      <c r="C395" s="11"/>
      <c r="D395" s="11"/>
      <c r="E395" s="11"/>
    </row>
    <row r="396" spans="2:5">
      <c r="B396" s="11"/>
      <c r="C396" s="11"/>
      <c r="D396" s="11"/>
      <c r="E396" s="11"/>
    </row>
    <row r="397" spans="2:5">
      <c r="B397" s="11"/>
      <c r="C397" s="11"/>
      <c r="D397" s="11"/>
      <c r="E397" s="11"/>
    </row>
    <row r="398" spans="2:5">
      <c r="B398" s="11"/>
      <c r="C398" s="11"/>
      <c r="D398" s="11"/>
      <c r="E398" s="11"/>
    </row>
    <row r="399" spans="2:5">
      <c r="B399" s="11"/>
      <c r="C399" s="11"/>
      <c r="D399" s="11"/>
      <c r="E399" s="11"/>
    </row>
    <row r="400" spans="2:5">
      <c r="B400" s="11"/>
      <c r="C400" s="11"/>
      <c r="D400" s="11"/>
      <c r="E400" s="11"/>
    </row>
    <row r="401" spans="2:5">
      <c r="B401" s="11"/>
      <c r="C401" s="11"/>
      <c r="D401" s="11"/>
      <c r="E401" s="11"/>
    </row>
    <row r="402" spans="2:5">
      <c r="B402" s="11"/>
      <c r="C402" s="11"/>
      <c r="D402" s="11"/>
      <c r="E402" s="11"/>
    </row>
    <row r="403" spans="2:5">
      <c r="B403" s="11"/>
      <c r="C403" s="11"/>
      <c r="D403" s="11"/>
      <c r="E403" s="11"/>
    </row>
    <row r="404" spans="2:5">
      <c r="B404" s="11"/>
      <c r="C404" s="11"/>
      <c r="D404" s="11"/>
      <c r="E404" s="11"/>
    </row>
    <row r="405" spans="2:5">
      <c r="B405" s="11"/>
      <c r="C405" s="11"/>
      <c r="D405" s="11"/>
      <c r="E405" s="11"/>
    </row>
    <row r="406" spans="2:5">
      <c r="B406" s="11"/>
      <c r="C406" s="11"/>
      <c r="D406" s="11"/>
      <c r="E406" s="11"/>
    </row>
    <row r="407" spans="2:5">
      <c r="B407" s="11"/>
      <c r="C407" s="11"/>
      <c r="D407" s="11"/>
      <c r="E407" s="11"/>
    </row>
    <row r="408" spans="2:5">
      <c r="B408" s="11"/>
      <c r="C408" s="11"/>
      <c r="D408" s="11"/>
      <c r="E408" s="11"/>
    </row>
    <row r="409" spans="2:5">
      <c r="B409" s="11"/>
      <c r="C409" s="11"/>
      <c r="D409" s="11"/>
      <c r="E409" s="11"/>
    </row>
    <row r="410" spans="2:5">
      <c r="B410" s="11"/>
      <c r="C410" s="11"/>
      <c r="D410" s="11"/>
      <c r="E410" s="11"/>
    </row>
    <row r="411" spans="2:5">
      <c r="B411" s="11"/>
      <c r="C411" s="11"/>
      <c r="D411" s="11"/>
      <c r="E411" s="11"/>
    </row>
    <row r="412" spans="2:5">
      <c r="B412" s="11"/>
      <c r="C412" s="11"/>
      <c r="D412" s="11"/>
      <c r="E412" s="11"/>
    </row>
    <row r="413" spans="2:5">
      <c r="B413" s="11"/>
      <c r="C413" s="11"/>
      <c r="D413" s="11"/>
      <c r="E413" s="11"/>
    </row>
    <row r="414" spans="2:5">
      <c r="B414" s="11"/>
      <c r="C414" s="11"/>
      <c r="D414" s="11"/>
      <c r="E414" s="11"/>
    </row>
    <row r="415" spans="2:5">
      <c r="B415" s="11"/>
      <c r="C415" s="11"/>
      <c r="D415" s="11"/>
      <c r="E415" s="11"/>
    </row>
    <row r="416" spans="2:5">
      <c r="B416" s="11"/>
      <c r="C416" s="11"/>
      <c r="D416" s="11"/>
      <c r="E416" s="11"/>
    </row>
    <row r="417" spans="2:5">
      <c r="B417" s="11"/>
      <c r="C417" s="11"/>
      <c r="D417" s="11"/>
      <c r="E417" s="11"/>
    </row>
    <row r="418" spans="2:5">
      <c r="B418" s="11"/>
      <c r="C418" s="11"/>
      <c r="D418" s="11"/>
      <c r="E418" s="11"/>
    </row>
    <row r="419" spans="2:5">
      <c r="B419" s="11"/>
      <c r="C419" s="11"/>
      <c r="D419" s="11"/>
      <c r="E419" s="11"/>
    </row>
    <row r="420" spans="2:5">
      <c r="B420" s="11"/>
      <c r="C420" s="11"/>
      <c r="D420" s="11"/>
      <c r="E420" s="11"/>
    </row>
    <row r="421" spans="2:5">
      <c r="B421" s="11"/>
      <c r="C421" s="11"/>
      <c r="D421" s="11"/>
      <c r="E421" s="11"/>
    </row>
    <row r="422" spans="2:5">
      <c r="B422" s="11"/>
      <c r="C422" s="11"/>
      <c r="D422" s="11"/>
      <c r="E422" s="11"/>
    </row>
    <row r="423" spans="2:5">
      <c r="B423" s="11"/>
      <c r="C423" s="11"/>
      <c r="D423" s="11"/>
      <c r="E423" s="11"/>
    </row>
    <row r="424" spans="2:5">
      <c r="B424" s="11"/>
      <c r="C424" s="11"/>
      <c r="D424" s="11"/>
      <c r="E424" s="11"/>
    </row>
    <row r="425" spans="2:5">
      <c r="B425" s="11"/>
      <c r="C425" s="11"/>
      <c r="D425" s="11"/>
      <c r="E425" s="11"/>
    </row>
    <row r="426" spans="2:5">
      <c r="B426" s="11"/>
      <c r="C426" s="11"/>
      <c r="D426" s="11"/>
      <c r="E426" s="11"/>
    </row>
    <row r="427" spans="2:5">
      <c r="B427" s="11"/>
      <c r="C427" s="11"/>
      <c r="D427" s="11"/>
      <c r="E427" s="11"/>
    </row>
    <row r="428" spans="2:5">
      <c r="B428" s="11"/>
      <c r="C428" s="11"/>
      <c r="D428" s="11"/>
      <c r="E428" s="11"/>
    </row>
    <row r="429" spans="2:5">
      <c r="B429" s="11"/>
      <c r="C429" s="11"/>
      <c r="D429" s="11"/>
      <c r="E429" s="11"/>
    </row>
    <row r="430" spans="2:5">
      <c r="B430" s="11"/>
      <c r="C430" s="11"/>
      <c r="D430" s="11"/>
      <c r="E430" s="11"/>
    </row>
    <row r="431" spans="2:5">
      <c r="B431" s="11"/>
      <c r="C431" s="11"/>
      <c r="D431" s="11"/>
      <c r="E431" s="11"/>
    </row>
    <row r="432" spans="2:5">
      <c r="B432" s="11"/>
      <c r="C432" s="11"/>
      <c r="D432" s="11"/>
      <c r="E432" s="11"/>
    </row>
    <row r="433" spans="2:5">
      <c r="B433" s="11"/>
      <c r="C433" s="11"/>
      <c r="D433" s="11"/>
      <c r="E433" s="11"/>
    </row>
    <row r="434" spans="2:5">
      <c r="B434" s="11"/>
      <c r="C434" s="11"/>
      <c r="D434" s="11"/>
      <c r="E434" s="11"/>
    </row>
    <row r="435" spans="2:5">
      <c r="B435" s="11"/>
      <c r="C435" s="11"/>
      <c r="D435" s="11"/>
      <c r="E435" s="11"/>
    </row>
    <row r="436" spans="2:5">
      <c r="B436" s="11"/>
      <c r="C436" s="11"/>
      <c r="D436" s="11"/>
      <c r="E436" s="11"/>
    </row>
    <row r="437" spans="2:5">
      <c r="B437" s="11"/>
      <c r="C437" s="11"/>
      <c r="D437" s="11"/>
      <c r="E437" s="11"/>
    </row>
    <row r="438" spans="2:5">
      <c r="B438" s="11"/>
      <c r="C438" s="11"/>
      <c r="D438" s="11"/>
      <c r="E438" s="11"/>
    </row>
    <row r="439" spans="2:5">
      <c r="B439" s="11"/>
      <c r="C439" s="11"/>
      <c r="D439" s="11"/>
      <c r="E439" s="11"/>
    </row>
    <row r="440" spans="2:5">
      <c r="B440" s="11"/>
      <c r="C440" s="11"/>
      <c r="D440" s="11"/>
      <c r="E440" s="11"/>
    </row>
    <row r="441" spans="2:5">
      <c r="B441" s="11"/>
      <c r="C441" s="11"/>
      <c r="D441" s="11"/>
      <c r="E441" s="11"/>
    </row>
    <row r="442" spans="2:5">
      <c r="B442" s="11"/>
      <c r="C442" s="11"/>
      <c r="D442" s="11"/>
      <c r="E442" s="11"/>
    </row>
    <row r="443" spans="2:5">
      <c r="B443" s="11"/>
      <c r="C443" s="11"/>
      <c r="D443" s="11"/>
      <c r="E443" s="11"/>
    </row>
    <row r="444" spans="2:5">
      <c r="B444" s="11"/>
      <c r="C444" s="11"/>
      <c r="D444" s="11"/>
      <c r="E444" s="11"/>
    </row>
    <row r="445" spans="2:5">
      <c r="B445" s="11"/>
      <c r="C445" s="11"/>
      <c r="D445" s="11"/>
      <c r="E445" s="11"/>
    </row>
    <row r="446" spans="2:5">
      <c r="B446" s="11"/>
      <c r="C446" s="11"/>
      <c r="D446" s="11"/>
      <c r="E446" s="11"/>
    </row>
    <row r="447" spans="2:5">
      <c r="B447" s="11"/>
      <c r="C447" s="11"/>
      <c r="D447" s="11"/>
      <c r="E447" s="11"/>
    </row>
    <row r="448" spans="2:5">
      <c r="B448" s="11"/>
      <c r="C448" s="11"/>
      <c r="D448" s="11"/>
      <c r="E448" s="11"/>
    </row>
    <row r="449" spans="2:5">
      <c r="B449" s="11"/>
      <c r="C449" s="11"/>
      <c r="D449" s="11"/>
      <c r="E449" s="11"/>
    </row>
    <row r="450" spans="2:5">
      <c r="B450" s="11"/>
      <c r="C450" s="11"/>
      <c r="D450" s="11"/>
      <c r="E450" s="11"/>
    </row>
    <row r="451" spans="2:5">
      <c r="B451" s="11"/>
      <c r="C451" s="11"/>
      <c r="D451" s="11"/>
      <c r="E451" s="11"/>
    </row>
    <row r="452" spans="2:5">
      <c r="B452" s="11"/>
      <c r="C452" s="11"/>
      <c r="D452" s="11"/>
      <c r="E452" s="11"/>
    </row>
    <row r="453" spans="2:5">
      <c r="B453" s="11"/>
      <c r="C453" s="11"/>
      <c r="D453" s="11"/>
      <c r="E453" s="11"/>
    </row>
    <row r="454" spans="2:5">
      <c r="B454" s="11"/>
      <c r="C454" s="11"/>
      <c r="D454" s="11"/>
      <c r="E454" s="11"/>
    </row>
    <row r="455" spans="2:5">
      <c r="B455" s="11"/>
      <c r="C455" s="11"/>
      <c r="D455" s="11"/>
      <c r="E455" s="11"/>
    </row>
    <row r="456" spans="2:5">
      <c r="B456" s="11"/>
      <c r="C456" s="11"/>
      <c r="D456" s="11"/>
      <c r="E456" s="11"/>
    </row>
    <row r="457" spans="2:5">
      <c r="B457" s="11"/>
      <c r="C457" s="11"/>
      <c r="D457" s="11"/>
      <c r="E457" s="11"/>
    </row>
    <row r="458" spans="2:5">
      <c r="B458" s="11"/>
      <c r="C458" s="11"/>
      <c r="D458" s="11"/>
      <c r="E458" s="11"/>
    </row>
    <row r="459" spans="2:5">
      <c r="B459" s="11"/>
      <c r="C459" s="11"/>
      <c r="D459" s="11"/>
      <c r="E459" s="11"/>
    </row>
    <row r="460" spans="2:5">
      <c r="B460" s="11"/>
      <c r="C460" s="11"/>
      <c r="D460" s="11"/>
      <c r="E460" s="11"/>
    </row>
    <row r="461" spans="2:5">
      <c r="B461" s="11"/>
      <c r="C461" s="11"/>
      <c r="D461" s="11"/>
      <c r="E461" s="11"/>
    </row>
    <row r="462" spans="2:5">
      <c r="B462" s="11"/>
      <c r="C462" s="11"/>
      <c r="D462" s="11"/>
      <c r="E462" s="11"/>
    </row>
    <row r="463" spans="2:5">
      <c r="B463" s="11"/>
      <c r="C463" s="11"/>
      <c r="D463" s="11"/>
      <c r="E463" s="11"/>
    </row>
    <row r="464" spans="2:5">
      <c r="B464" s="11"/>
      <c r="C464" s="11"/>
      <c r="D464" s="11"/>
      <c r="E464" s="11"/>
    </row>
    <row r="465" spans="2:5">
      <c r="B465" s="11"/>
      <c r="C465" s="11"/>
      <c r="D465" s="11"/>
      <c r="E465" s="11"/>
    </row>
    <row r="466" spans="2:5">
      <c r="B466" s="11"/>
      <c r="C466" s="11"/>
      <c r="D466" s="11"/>
      <c r="E466" s="11"/>
    </row>
    <row r="467" spans="2:5">
      <c r="B467" s="11"/>
      <c r="C467" s="11"/>
      <c r="D467" s="11"/>
      <c r="E467" s="11"/>
    </row>
    <row r="468" spans="2:5">
      <c r="B468" s="11"/>
      <c r="C468" s="11"/>
      <c r="D468" s="11"/>
      <c r="E468" s="11"/>
    </row>
    <row r="469" spans="2:5">
      <c r="B469" s="11"/>
      <c r="C469" s="11"/>
      <c r="D469" s="11"/>
      <c r="E469" s="11"/>
    </row>
    <row r="470" spans="2:5">
      <c r="B470" s="11"/>
      <c r="C470" s="11"/>
      <c r="D470" s="11"/>
      <c r="E470" s="11"/>
    </row>
    <row r="471" spans="2:5">
      <c r="B471" s="11"/>
      <c r="C471" s="11"/>
      <c r="D471" s="11"/>
      <c r="E471" s="11"/>
    </row>
    <row r="472" spans="2:5">
      <c r="B472" s="11"/>
      <c r="C472" s="11"/>
      <c r="D472" s="11"/>
      <c r="E472" s="11"/>
    </row>
    <row r="473" spans="2:5">
      <c r="B473" s="11"/>
      <c r="C473" s="11"/>
      <c r="D473" s="11"/>
      <c r="E473" s="11"/>
    </row>
    <row r="474" spans="2:5">
      <c r="B474" s="11"/>
      <c r="C474" s="11"/>
      <c r="D474" s="11"/>
      <c r="E474" s="11"/>
    </row>
    <row r="475" spans="2:5">
      <c r="B475" s="11"/>
      <c r="C475" s="11"/>
      <c r="D475" s="11"/>
      <c r="E475" s="11"/>
    </row>
    <row r="476" spans="2:5">
      <c r="B476" s="11"/>
      <c r="C476" s="11"/>
      <c r="D476" s="11"/>
      <c r="E476" s="11"/>
    </row>
    <row r="477" spans="2:5">
      <c r="B477" s="11"/>
      <c r="C477" s="11"/>
      <c r="D477" s="11"/>
      <c r="E477" s="11"/>
    </row>
    <row r="478" spans="2:5">
      <c r="B478" s="11"/>
      <c r="C478" s="11"/>
      <c r="D478" s="11"/>
      <c r="E478" s="11"/>
    </row>
    <row r="479" spans="2:5">
      <c r="B479" s="11"/>
      <c r="C479" s="11"/>
      <c r="D479" s="11"/>
      <c r="E479" s="11"/>
    </row>
    <row r="480" spans="2:5">
      <c r="B480" s="11"/>
      <c r="C480" s="11"/>
      <c r="D480" s="11"/>
      <c r="E480" s="11"/>
    </row>
    <row r="481" spans="2:5">
      <c r="B481" s="11"/>
      <c r="C481" s="11"/>
      <c r="D481" s="11"/>
      <c r="E481" s="11"/>
    </row>
    <row r="482" spans="2:5">
      <c r="B482" s="11"/>
      <c r="C482" s="11"/>
      <c r="D482" s="11"/>
      <c r="E482" s="11"/>
    </row>
    <row r="483" spans="2:5">
      <c r="B483" s="11"/>
      <c r="C483" s="11"/>
      <c r="D483" s="11"/>
      <c r="E483" s="11"/>
    </row>
    <row r="484" spans="2:5">
      <c r="B484" s="11"/>
      <c r="C484" s="11"/>
      <c r="D484" s="11"/>
      <c r="E484" s="11"/>
    </row>
    <row r="485" spans="2:5">
      <c r="B485" s="11"/>
      <c r="C485" s="11"/>
      <c r="D485" s="11"/>
      <c r="E485" s="11"/>
    </row>
    <row r="486" spans="2:5">
      <c r="B486" s="11"/>
      <c r="C486" s="11"/>
      <c r="D486" s="11"/>
      <c r="E486" s="11"/>
    </row>
    <row r="487" spans="2:5">
      <c r="B487" s="11"/>
      <c r="C487" s="11"/>
      <c r="D487" s="11"/>
      <c r="E487" s="11"/>
    </row>
    <row r="488" spans="2:5">
      <c r="B488" s="11"/>
      <c r="C488" s="11"/>
      <c r="D488" s="11"/>
      <c r="E488" s="11"/>
    </row>
    <row r="489" spans="2:5">
      <c r="B489" s="11"/>
      <c r="C489" s="11"/>
      <c r="D489" s="11"/>
      <c r="E489" s="11"/>
    </row>
    <row r="490" spans="2:5">
      <c r="B490" s="11"/>
      <c r="C490" s="11"/>
      <c r="D490" s="11"/>
      <c r="E490" s="11"/>
    </row>
    <row r="491" spans="2:5">
      <c r="B491" s="11"/>
      <c r="C491" s="11"/>
      <c r="D491" s="11"/>
      <c r="E491" s="11"/>
    </row>
    <row r="492" spans="2:5">
      <c r="B492" s="11"/>
      <c r="C492" s="11"/>
      <c r="D492" s="11"/>
      <c r="E492" s="11"/>
    </row>
    <row r="493" spans="2:5">
      <c r="B493" s="11"/>
      <c r="C493" s="11"/>
      <c r="D493" s="11"/>
      <c r="E493" s="11"/>
    </row>
    <row r="494" spans="2:5">
      <c r="B494" s="11"/>
      <c r="C494" s="11"/>
      <c r="D494" s="11"/>
      <c r="E494" s="11"/>
    </row>
    <row r="495" spans="2:5">
      <c r="B495" s="11"/>
      <c r="C495" s="11"/>
      <c r="D495" s="11"/>
      <c r="E495" s="11"/>
    </row>
    <row r="496" spans="2:5">
      <c r="B496" s="11"/>
      <c r="C496" s="11"/>
      <c r="D496" s="11"/>
      <c r="E496" s="11"/>
    </row>
    <row r="497" spans="2:5">
      <c r="B497" s="11"/>
      <c r="C497" s="11"/>
      <c r="D497" s="11"/>
      <c r="E497" s="11"/>
    </row>
    <row r="498" spans="2:5">
      <c r="B498" s="11"/>
      <c r="C498" s="11"/>
      <c r="D498" s="11"/>
      <c r="E498" s="11"/>
    </row>
    <row r="499" spans="2:5">
      <c r="B499" s="11"/>
      <c r="C499" s="11"/>
      <c r="D499" s="11"/>
      <c r="E499" s="11"/>
    </row>
    <row r="500" spans="2:5">
      <c r="B500" s="11"/>
      <c r="C500" s="11"/>
      <c r="D500" s="11"/>
      <c r="E500" s="11"/>
    </row>
    <row r="501" spans="2:5">
      <c r="B501" s="11"/>
      <c r="C501" s="11"/>
      <c r="D501" s="11"/>
      <c r="E501" s="11"/>
    </row>
    <row r="502" spans="2:5">
      <c r="B502" s="11"/>
      <c r="C502" s="11"/>
      <c r="D502" s="11"/>
      <c r="E502" s="11"/>
    </row>
    <row r="503" spans="2:5">
      <c r="B503" s="11"/>
      <c r="C503" s="11"/>
      <c r="D503" s="11"/>
      <c r="E503" s="11"/>
    </row>
    <row r="504" spans="2:5">
      <c r="B504" s="11"/>
      <c r="C504" s="11"/>
      <c r="D504" s="11"/>
      <c r="E504" s="11"/>
    </row>
    <row r="505" spans="2:5">
      <c r="B505" s="11"/>
      <c r="C505" s="11"/>
      <c r="D505" s="11"/>
      <c r="E505" s="11"/>
    </row>
    <row r="506" spans="2:5">
      <c r="B506" s="11"/>
      <c r="C506" s="11"/>
      <c r="D506" s="11"/>
      <c r="E506" s="11"/>
    </row>
    <row r="507" spans="2:5">
      <c r="B507" s="11"/>
      <c r="C507" s="11"/>
      <c r="D507" s="11"/>
      <c r="E507" s="11"/>
    </row>
    <row r="508" spans="2:5">
      <c r="B508" s="11"/>
      <c r="C508" s="11"/>
      <c r="D508" s="11"/>
      <c r="E508" s="11"/>
    </row>
    <row r="509" spans="2:5">
      <c r="B509" s="11"/>
      <c r="C509" s="11"/>
      <c r="D509" s="11"/>
      <c r="E509" s="11"/>
    </row>
    <row r="510" spans="2:5">
      <c r="B510" s="11"/>
      <c r="C510" s="11"/>
      <c r="D510" s="11"/>
      <c r="E510" s="11"/>
    </row>
    <row r="511" spans="2:5">
      <c r="B511" s="11"/>
      <c r="C511" s="11"/>
      <c r="D511" s="11"/>
      <c r="E511" s="11"/>
    </row>
    <row r="512" spans="2:5">
      <c r="B512" s="11"/>
      <c r="C512" s="11"/>
      <c r="D512" s="11"/>
      <c r="E512" s="11"/>
    </row>
    <row r="513" spans="2:5">
      <c r="B513" s="11"/>
      <c r="C513" s="11"/>
      <c r="D513" s="11"/>
      <c r="E513" s="11"/>
    </row>
    <row r="514" spans="2:5">
      <c r="B514" s="11"/>
      <c r="C514" s="11"/>
      <c r="D514" s="11"/>
      <c r="E514" s="11"/>
    </row>
    <row r="515" spans="2:5">
      <c r="B515" s="11"/>
      <c r="C515" s="11"/>
      <c r="D515" s="11"/>
      <c r="E515" s="11"/>
    </row>
    <row r="516" spans="2:5">
      <c r="B516" s="11"/>
      <c r="C516" s="11"/>
      <c r="D516" s="11"/>
      <c r="E516" s="11"/>
    </row>
    <row r="517" spans="2:5">
      <c r="B517" s="11"/>
      <c r="C517" s="11"/>
      <c r="D517" s="11"/>
      <c r="E517" s="11"/>
    </row>
    <row r="518" spans="2:5">
      <c r="B518" s="11"/>
      <c r="C518" s="11"/>
      <c r="D518" s="11"/>
      <c r="E518" s="11"/>
    </row>
    <row r="519" spans="2:5">
      <c r="B519" s="11"/>
      <c r="C519" s="11"/>
      <c r="D519" s="11"/>
      <c r="E519" s="11"/>
    </row>
    <row r="520" spans="2:5">
      <c r="B520" s="11"/>
      <c r="C520" s="11"/>
      <c r="D520" s="11"/>
      <c r="E520" s="11"/>
    </row>
    <row r="521" spans="2:5">
      <c r="B521" s="11"/>
      <c r="C521" s="11"/>
      <c r="D521" s="11"/>
      <c r="E521" s="11"/>
    </row>
    <row r="522" spans="2:5">
      <c r="B522" s="11"/>
      <c r="C522" s="11"/>
      <c r="D522" s="11"/>
      <c r="E522" s="11"/>
    </row>
    <row r="523" spans="2:5">
      <c r="B523" s="11"/>
      <c r="C523" s="11"/>
      <c r="D523" s="11"/>
      <c r="E523" s="11"/>
    </row>
    <row r="524" spans="2:5">
      <c r="B524" s="11"/>
      <c r="C524" s="11"/>
      <c r="D524" s="11"/>
      <c r="E524" s="11"/>
    </row>
    <row r="525" spans="2:5">
      <c r="B525" s="11"/>
      <c r="C525" s="11"/>
      <c r="D525" s="11"/>
      <c r="E525" s="11"/>
    </row>
    <row r="526" spans="2:5">
      <c r="B526" s="11"/>
      <c r="C526" s="11"/>
      <c r="D526" s="11"/>
      <c r="E526" s="11"/>
    </row>
    <row r="527" spans="2:5">
      <c r="B527" s="11"/>
      <c r="C527" s="11"/>
      <c r="D527" s="11"/>
      <c r="E527" s="11"/>
    </row>
    <row r="528" spans="2:5">
      <c r="B528" s="11"/>
      <c r="C528" s="11"/>
      <c r="D528" s="11"/>
      <c r="E528" s="11"/>
    </row>
    <row r="529" spans="2:5">
      <c r="B529" s="11"/>
      <c r="C529" s="11"/>
      <c r="D529" s="11"/>
      <c r="E529" s="11"/>
    </row>
    <row r="530" spans="2:5">
      <c r="B530" s="11"/>
      <c r="C530" s="11"/>
      <c r="D530" s="11"/>
      <c r="E530" s="11"/>
    </row>
    <row r="531" spans="2:5">
      <c r="B531" s="11"/>
      <c r="C531" s="11"/>
      <c r="D531" s="11"/>
      <c r="E531" s="11"/>
    </row>
    <row r="532" spans="2:5">
      <c r="B532" s="11"/>
      <c r="C532" s="11"/>
      <c r="D532" s="11"/>
      <c r="E532" s="11"/>
    </row>
    <row r="533" spans="2:5">
      <c r="B533" s="11"/>
      <c r="C533" s="11"/>
      <c r="D533" s="11"/>
      <c r="E533" s="11"/>
    </row>
    <row r="534" spans="2:5">
      <c r="B534" s="11"/>
      <c r="C534" s="11"/>
      <c r="D534" s="11"/>
      <c r="E534" s="11"/>
    </row>
    <row r="535" spans="2:5">
      <c r="B535" s="11"/>
      <c r="C535" s="11"/>
      <c r="D535" s="11"/>
      <c r="E535" s="11"/>
    </row>
    <row r="536" spans="2:5">
      <c r="B536" s="11"/>
      <c r="C536" s="11"/>
      <c r="D536" s="11"/>
      <c r="E536" s="11"/>
    </row>
    <row r="537" spans="2:5">
      <c r="B537" s="11"/>
      <c r="C537" s="11"/>
      <c r="D537" s="11"/>
      <c r="E537" s="11"/>
    </row>
    <row r="538" spans="2:5">
      <c r="B538" s="11"/>
      <c r="C538" s="11"/>
      <c r="D538" s="11"/>
      <c r="E538" s="11"/>
    </row>
    <row r="539" spans="2:5">
      <c r="B539" s="11"/>
      <c r="C539" s="11"/>
      <c r="D539" s="11"/>
      <c r="E539" s="11"/>
    </row>
    <row r="540" spans="2:5">
      <c r="B540" s="11"/>
      <c r="C540" s="11"/>
      <c r="D540" s="11"/>
      <c r="E540" s="11"/>
    </row>
    <row r="541" spans="2:5">
      <c r="B541" s="11"/>
      <c r="C541" s="11"/>
      <c r="D541" s="11"/>
      <c r="E541" s="11"/>
    </row>
    <row r="542" spans="2:5">
      <c r="B542" s="11"/>
      <c r="C542" s="11"/>
      <c r="D542" s="11"/>
      <c r="E542" s="11"/>
    </row>
    <row r="543" spans="2:5">
      <c r="B543" s="11"/>
      <c r="C543" s="11"/>
      <c r="D543" s="11"/>
      <c r="E543" s="11"/>
    </row>
    <row r="544" spans="2:5">
      <c r="B544" s="11"/>
      <c r="C544" s="11"/>
      <c r="D544" s="11"/>
      <c r="E544" s="11"/>
    </row>
    <row r="545" spans="2:5">
      <c r="B545" s="11"/>
      <c r="C545" s="11"/>
      <c r="D545" s="11"/>
      <c r="E545" s="11"/>
    </row>
    <row r="546" spans="2:5">
      <c r="B546" s="11"/>
      <c r="C546" s="11"/>
      <c r="D546" s="11"/>
      <c r="E546" s="11"/>
    </row>
    <row r="547" spans="2:5">
      <c r="B547" s="11"/>
      <c r="C547" s="11"/>
      <c r="D547" s="11"/>
      <c r="E547" s="11"/>
    </row>
    <row r="548" spans="2:5">
      <c r="B548" s="11"/>
      <c r="C548" s="11"/>
      <c r="D548" s="11"/>
      <c r="E548" s="11"/>
    </row>
    <row r="549" spans="2:5">
      <c r="B549" s="11"/>
      <c r="C549" s="11"/>
      <c r="D549" s="11"/>
      <c r="E549" s="11"/>
    </row>
    <row r="550" spans="2:5">
      <c r="B550" s="11"/>
      <c r="C550" s="11"/>
      <c r="D550" s="11"/>
      <c r="E550" s="11"/>
    </row>
    <row r="551" spans="2:5">
      <c r="B551" s="11"/>
      <c r="C551" s="11"/>
      <c r="D551" s="11"/>
      <c r="E551" s="11"/>
    </row>
    <row r="552" spans="2:5">
      <c r="B552" s="11"/>
      <c r="C552" s="11"/>
      <c r="D552" s="11"/>
      <c r="E552" s="11"/>
    </row>
    <row r="553" spans="2:5">
      <c r="B553" s="11"/>
      <c r="C553" s="11"/>
      <c r="D553" s="11"/>
      <c r="E553" s="11"/>
    </row>
    <row r="554" spans="2:5">
      <c r="B554" s="11"/>
      <c r="C554" s="11"/>
      <c r="D554" s="11"/>
      <c r="E554" s="11"/>
    </row>
    <row r="555" spans="2:5">
      <c r="B555" s="11"/>
      <c r="C555" s="11"/>
      <c r="D555" s="11"/>
      <c r="E555" s="11"/>
    </row>
    <row r="556" spans="2:5">
      <c r="B556" s="11"/>
      <c r="C556" s="11"/>
      <c r="D556" s="11"/>
      <c r="E556" s="11"/>
    </row>
    <row r="557" spans="2:5">
      <c r="B557" s="11"/>
      <c r="C557" s="11"/>
      <c r="D557" s="11"/>
      <c r="E557" s="11"/>
    </row>
    <row r="558" spans="2:5">
      <c r="B558" s="11"/>
      <c r="C558" s="11"/>
      <c r="D558" s="11"/>
      <c r="E558" s="11"/>
    </row>
    <row r="559" spans="2:5">
      <c r="B559" s="11"/>
      <c r="C559" s="11"/>
      <c r="D559" s="11"/>
      <c r="E559" s="11"/>
    </row>
    <row r="560" spans="2:5">
      <c r="B560" s="11"/>
      <c r="C560" s="11"/>
      <c r="D560" s="11"/>
      <c r="E560" s="11"/>
    </row>
    <row r="561" spans="2:5">
      <c r="B561" s="11"/>
      <c r="C561" s="11"/>
      <c r="D561" s="11"/>
      <c r="E561" s="11"/>
    </row>
    <row r="562" spans="2:5">
      <c r="B562" s="11"/>
      <c r="C562" s="11"/>
      <c r="D562" s="11"/>
      <c r="E562" s="11"/>
    </row>
    <row r="563" spans="2:5">
      <c r="B563" s="11"/>
      <c r="C563" s="11"/>
      <c r="D563" s="11"/>
      <c r="E563" s="11"/>
    </row>
    <row r="564" spans="2:5">
      <c r="B564" s="11"/>
      <c r="C564" s="11"/>
      <c r="D564" s="11"/>
      <c r="E564" s="11"/>
    </row>
    <row r="565" spans="2:5">
      <c r="B565" s="11"/>
      <c r="C565" s="11"/>
      <c r="D565" s="11"/>
      <c r="E565" s="11"/>
    </row>
    <row r="566" spans="2:5">
      <c r="B566" s="11"/>
      <c r="C566" s="11"/>
      <c r="D566" s="11"/>
      <c r="E566" s="11"/>
    </row>
    <row r="567" spans="2:5">
      <c r="B567" s="11"/>
      <c r="C567" s="11"/>
      <c r="D567" s="11"/>
      <c r="E567" s="11"/>
    </row>
    <row r="568" spans="2:5">
      <c r="B568" s="11"/>
      <c r="C568" s="11"/>
      <c r="D568" s="11"/>
      <c r="E568" s="11"/>
    </row>
    <row r="569" spans="2:5">
      <c r="B569" s="11"/>
      <c r="C569" s="11"/>
      <c r="D569" s="11"/>
      <c r="E569" s="11"/>
    </row>
    <row r="570" spans="2:5">
      <c r="B570" s="11"/>
      <c r="C570" s="11"/>
      <c r="D570" s="11"/>
      <c r="E570" s="11"/>
    </row>
    <row r="571" spans="2:5">
      <c r="B571" s="11"/>
      <c r="C571" s="11"/>
      <c r="D571" s="11"/>
      <c r="E571" s="11"/>
    </row>
    <row r="572" spans="2:5">
      <c r="B572" s="11"/>
      <c r="C572" s="11"/>
      <c r="D572" s="11"/>
      <c r="E572" s="11"/>
    </row>
    <row r="573" spans="2:5">
      <c r="B573" s="11"/>
      <c r="C573" s="11"/>
      <c r="D573" s="11"/>
      <c r="E573" s="11"/>
    </row>
    <row r="574" spans="2:5">
      <c r="B574" s="11"/>
      <c r="C574" s="11"/>
      <c r="D574" s="11"/>
      <c r="E574" s="11"/>
    </row>
    <row r="575" spans="2:5">
      <c r="B575" s="11"/>
      <c r="C575" s="11"/>
      <c r="D575" s="11"/>
      <c r="E575" s="11"/>
    </row>
    <row r="576" spans="2:5">
      <c r="B576" s="11"/>
      <c r="C576" s="11"/>
      <c r="D576" s="11"/>
      <c r="E576" s="11"/>
    </row>
    <row r="577" spans="2:5">
      <c r="B577" s="11"/>
      <c r="C577" s="11"/>
      <c r="D577" s="11"/>
      <c r="E577" s="11"/>
    </row>
    <row r="578" spans="2:5">
      <c r="B578" s="11"/>
      <c r="C578" s="11"/>
      <c r="D578" s="11"/>
      <c r="E578" s="11"/>
    </row>
    <row r="579" spans="2:5">
      <c r="B579" s="11"/>
      <c r="C579" s="11"/>
      <c r="D579" s="11"/>
      <c r="E579" s="11"/>
    </row>
    <row r="580" spans="2:5">
      <c r="B580" s="11"/>
      <c r="C580" s="11"/>
      <c r="D580" s="11"/>
      <c r="E580" s="11"/>
    </row>
    <row r="581" spans="2:5">
      <c r="B581" s="11"/>
      <c r="C581" s="11"/>
      <c r="D581" s="11"/>
      <c r="E581" s="11"/>
    </row>
    <row r="582" spans="2:5">
      <c r="B582" s="11"/>
      <c r="C582" s="11"/>
      <c r="D582" s="11"/>
      <c r="E582" s="11"/>
    </row>
    <row r="583" spans="2:5">
      <c r="B583" s="11"/>
      <c r="C583" s="11"/>
      <c r="D583" s="11"/>
      <c r="E583" s="11"/>
    </row>
    <row r="584" spans="2:5">
      <c r="B584" s="11"/>
      <c r="C584" s="11"/>
      <c r="D584" s="11"/>
      <c r="E584" s="11"/>
    </row>
    <row r="585" spans="2:5">
      <c r="B585" s="11"/>
      <c r="C585" s="11"/>
      <c r="D585" s="11"/>
      <c r="E585" s="11"/>
    </row>
    <row r="586" spans="2:5">
      <c r="B586" s="11"/>
      <c r="C586" s="11"/>
      <c r="D586" s="11"/>
      <c r="E586" s="11"/>
    </row>
    <row r="587" spans="2:5">
      <c r="B587" s="11"/>
      <c r="C587" s="11"/>
      <c r="D587" s="11"/>
      <c r="E587" s="11"/>
    </row>
    <row r="588" spans="2:5">
      <c r="B588" s="11"/>
      <c r="C588" s="11"/>
      <c r="D588" s="11"/>
      <c r="E588" s="11"/>
    </row>
    <row r="589" spans="2:5">
      <c r="B589" s="11"/>
      <c r="C589" s="11"/>
      <c r="D589" s="11"/>
      <c r="E589" s="11"/>
    </row>
    <row r="590" spans="2:5">
      <c r="B590" s="11"/>
      <c r="C590" s="11"/>
      <c r="D590" s="11"/>
      <c r="E590" s="11"/>
    </row>
    <row r="591" spans="2:5">
      <c r="B591" s="11"/>
      <c r="C591" s="11"/>
      <c r="D591" s="11"/>
      <c r="E591" s="11"/>
    </row>
    <row r="592" spans="2:5">
      <c r="B592" s="11"/>
      <c r="C592" s="11"/>
      <c r="D592" s="11"/>
      <c r="E592" s="11"/>
    </row>
    <row r="593" spans="2:5">
      <c r="B593" s="11"/>
      <c r="C593" s="11"/>
      <c r="D593" s="11"/>
      <c r="E593" s="11"/>
    </row>
    <row r="594" spans="2:5">
      <c r="B594" s="11"/>
      <c r="C594" s="11"/>
      <c r="D594" s="11"/>
      <c r="E594" s="11"/>
    </row>
    <row r="595" spans="2:5">
      <c r="B595" s="11"/>
      <c r="C595" s="11"/>
      <c r="D595" s="11"/>
      <c r="E595" s="11"/>
    </row>
    <row r="596" spans="2:5">
      <c r="B596" s="11"/>
      <c r="C596" s="11"/>
      <c r="D596" s="11"/>
      <c r="E596" s="11"/>
    </row>
    <row r="597" spans="2:5">
      <c r="B597" s="11"/>
      <c r="C597" s="11"/>
      <c r="D597" s="11"/>
      <c r="E597" s="11"/>
    </row>
    <row r="598" spans="2:5">
      <c r="B598" s="11"/>
      <c r="C598" s="11"/>
      <c r="D598" s="11"/>
      <c r="E598" s="11"/>
    </row>
    <row r="599" spans="2:5">
      <c r="B599" s="11"/>
      <c r="C599" s="11"/>
      <c r="D599" s="11"/>
      <c r="E599" s="11"/>
    </row>
    <row r="600" spans="2:5">
      <c r="B600" s="11"/>
      <c r="C600" s="11"/>
      <c r="D600" s="11"/>
      <c r="E600" s="11"/>
    </row>
    <row r="601" spans="2:5">
      <c r="B601" s="11"/>
      <c r="C601" s="11"/>
      <c r="D601" s="11"/>
      <c r="E601" s="11"/>
    </row>
    <row r="602" spans="2:5">
      <c r="B602" s="11"/>
      <c r="C602" s="11"/>
      <c r="D602" s="11"/>
      <c r="E602" s="11"/>
    </row>
    <row r="603" spans="2:5">
      <c r="B603" s="11"/>
      <c r="C603" s="11"/>
      <c r="D603" s="11"/>
      <c r="E603" s="11"/>
    </row>
    <row r="604" spans="2:5">
      <c r="B604" s="11"/>
      <c r="C604" s="11"/>
      <c r="D604" s="11"/>
      <c r="E604" s="11"/>
    </row>
    <row r="605" spans="2:5">
      <c r="B605" s="11"/>
      <c r="C605" s="11"/>
      <c r="D605" s="11"/>
      <c r="E605" s="11"/>
    </row>
    <row r="606" spans="2:5">
      <c r="B606" s="11"/>
      <c r="C606" s="11"/>
      <c r="D606" s="11"/>
      <c r="E606" s="11"/>
    </row>
    <row r="607" spans="2:5">
      <c r="B607" s="11"/>
      <c r="C607" s="11"/>
      <c r="D607" s="11"/>
      <c r="E607" s="11"/>
    </row>
    <row r="608" spans="2:5">
      <c r="B608" s="11"/>
      <c r="C608" s="11"/>
      <c r="D608" s="11"/>
      <c r="E608" s="11"/>
    </row>
    <row r="609" spans="2:5">
      <c r="B609" s="11"/>
      <c r="C609" s="11"/>
      <c r="D609" s="11"/>
      <c r="E609" s="11"/>
    </row>
    <row r="610" spans="2:5">
      <c r="B610" s="11"/>
      <c r="C610" s="11"/>
      <c r="D610" s="11"/>
      <c r="E610" s="11"/>
    </row>
    <row r="611" spans="2:5">
      <c r="B611" s="11"/>
      <c r="C611" s="11"/>
      <c r="D611" s="11"/>
      <c r="E611" s="11"/>
    </row>
    <row r="612" spans="2:5">
      <c r="B612" s="11"/>
      <c r="C612" s="11"/>
      <c r="D612" s="11"/>
      <c r="E612" s="11"/>
    </row>
    <row r="613" spans="2:5">
      <c r="B613" s="11"/>
      <c r="C613" s="11"/>
      <c r="D613" s="11"/>
      <c r="E613" s="11"/>
    </row>
    <row r="614" spans="2:5">
      <c r="B614" s="11"/>
      <c r="C614" s="11"/>
      <c r="D614" s="11"/>
      <c r="E614" s="11"/>
    </row>
    <row r="615" spans="2:5">
      <c r="B615" s="11"/>
      <c r="C615" s="11"/>
      <c r="D615" s="11"/>
      <c r="E615" s="11"/>
    </row>
    <row r="616" spans="2:5">
      <c r="B616" s="11"/>
      <c r="C616" s="11"/>
      <c r="D616" s="11"/>
      <c r="E616" s="11"/>
    </row>
    <row r="617" spans="2:5">
      <c r="B617" s="11"/>
      <c r="C617" s="11"/>
      <c r="D617" s="11"/>
      <c r="E617" s="11"/>
    </row>
    <row r="618" spans="2:5">
      <c r="B618" s="11"/>
      <c r="C618" s="11"/>
      <c r="D618" s="11"/>
      <c r="E618" s="11"/>
    </row>
    <row r="619" spans="2:5">
      <c r="B619" s="11"/>
      <c r="C619" s="11"/>
      <c r="D619" s="11"/>
      <c r="E619" s="11"/>
    </row>
    <row r="620" spans="2:5">
      <c r="B620" s="11"/>
      <c r="C620" s="11"/>
      <c r="D620" s="11"/>
      <c r="E620" s="11"/>
    </row>
    <row r="621" spans="2:5">
      <c r="B621" s="11"/>
      <c r="C621" s="11"/>
      <c r="D621" s="11"/>
      <c r="E621" s="11"/>
    </row>
    <row r="622" spans="2:5">
      <c r="B622" s="11"/>
      <c r="C622" s="11"/>
      <c r="D622" s="11"/>
      <c r="E622" s="11"/>
    </row>
    <row r="623" spans="2:5">
      <c r="B623" s="11"/>
      <c r="C623" s="11"/>
      <c r="D623" s="11"/>
      <c r="E623" s="11"/>
    </row>
    <row r="624" spans="2:5">
      <c r="B624" s="11"/>
      <c r="C624" s="11"/>
      <c r="D624" s="11"/>
      <c r="E624" s="11"/>
    </row>
    <row r="625" spans="2:5">
      <c r="B625" s="11"/>
      <c r="C625" s="11"/>
      <c r="D625" s="11"/>
      <c r="E625" s="11"/>
    </row>
    <row r="626" spans="2:5">
      <c r="B626" s="11"/>
      <c r="C626" s="11"/>
      <c r="D626" s="11"/>
      <c r="E626" s="11"/>
    </row>
    <row r="627" spans="2:5">
      <c r="B627" s="11"/>
      <c r="C627" s="11"/>
      <c r="D627" s="11"/>
      <c r="E627" s="11"/>
    </row>
    <row r="628" spans="2:5">
      <c r="B628" s="11"/>
      <c r="C628" s="11"/>
      <c r="D628" s="11"/>
      <c r="E628" s="11"/>
    </row>
    <row r="629" spans="2:5">
      <c r="B629" s="11"/>
      <c r="C629" s="11"/>
      <c r="D629" s="11"/>
      <c r="E629" s="11"/>
    </row>
    <row r="630" spans="2:5">
      <c r="B630" s="11"/>
      <c r="C630" s="11"/>
      <c r="D630" s="11"/>
      <c r="E630" s="11"/>
    </row>
    <row r="631" spans="2:5">
      <c r="B631" s="11"/>
      <c r="C631" s="11"/>
      <c r="D631" s="11"/>
      <c r="E631" s="11"/>
    </row>
    <row r="632" spans="2:5">
      <c r="B632" s="11"/>
      <c r="C632" s="11"/>
      <c r="D632" s="11"/>
      <c r="E632" s="11"/>
    </row>
    <row r="633" spans="2:5">
      <c r="B633" s="11"/>
      <c r="C633" s="11"/>
      <c r="D633" s="11"/>
      <c r="E633" s="11"/>
    </row>
    <row r="634" spans="2:5">
      <c r="B634" s="11"/>
      <c r="C634" s="11"/>
      <c r="D634" s="11"/>
      <c r="E634" s="11"/>
    </row>
    <row r="635" spans="2:5">
      <c r="B635" s="11"/>
      <c r="C635" s="11"/>
      <c r="D635" s="11"/>
      <c r="E635" s="11"/>
    </row>
    <row r="636" spans="2:5">
      <c r="B636" s="11"/>
      <c r="C636" s="11"/>
      <c r="D636" s="11"/>
      <c r="E636" s="11"/>
    </row>
    <row r="637" spans="2:5">
      <c r="B637" s="11"/>
      <c r="C637" s="11"/>
      <c r="D637" s="11"/>
      <c r="E637" s="11"/>
    </row>
    <row r="638" spans="2:5">
      <c r="B638" s="11"/>
      <c r="C638" s="11"/>
      <c r="D638" s="11"/>
      <c r="E638" s="11"/>
    </row>
    <row r="639" spans="2:5">
      <c r="B639" s="11"/>
      <c r="C639" s="11"/>
      <c r="D639" s="11"/>
      <c r="E639" s="11"/>
    </row>
    <row r="640" spans="2:5">
      <c r="B640" s="11"/>
      <c r="C640" s="11"/>
      <c r="D640" s="11"/>
      <c r="E640" s="11"/>
    </row>
    <row r="641" spans="2:5">
      <c r="B641" s="11"/>
      <c r="C641" s="11"/>
      <c r="D641" s="11"/>
      <c r="E641" s="11"/>
    </row>
    <row r="642" spans="2:5">
      <c r="B642" s="11"/>
      <c r="C642" s="11"/>
      <c r="D642" s="11"/>
      <c r="E642" s="11"/>
    </row>
    <row r="643" spans="2:5">
      <c r="B643" s="11"/>
      <c r="C643" s="11"/>
      <c r="D643" s="11"/>
      <c r="E643" s="11"/>
    </row>
    <row r="644" spans="2:5">
      <c r="B644" s="11"/>
      <c r="C644" s="11"/>
      <c r="D644" s="11"/>
      <c r="E644" s="11"/>
    </row>
    <row r="645" spans="2:5">
      <c r="B645" s="11"/>
      <c r="C645" s="11"/>
      <c r="D645" s="11"/>
      <c r="E645" s="11"/>
    </row>
    <row r="646" spans="2:5">
      <c r="B646" s="11"/>
      <c r="C646" s="11"/>
      <c r="D646" s="11"/>
      <c r="E646" s="11"/>
    </row>
    <row r="647" spans="2:5">
      <c r="B647" s="11"/>
      <c r="C647" s="11"/>
      <c r="D647" s="11"/>
      <c r="E647" s="11"/>
    </row>
    <row r="648" spans="2:5">
      <c r="B648" s="11"/>
      <c r="C648" s="11"/>
      <c r="D648" s="11"/>
      <c r="E648" s="11"/>
    </row>
    <row r="649" spans="2:5">
      <c r="B649" s="11"/>
      <c r="C649" s="11"/>
      <c r="D649" s="11"/>
      <c r="E649" s="11"/>
    </row>
    <row r="650" spans="2:5">
      <c r="B650" s="11"/>
      <c r="C650" s="11"/>
      <c r="D650" s="11"/>
      <c r="E650" s="11"/>
    </row>
    <row r="651" spans="2:5">
      <c r="B651" s="11"/>
      <c r="C651" s="11"/>
      <c r="D651" s="11"/>
      <c r="E651" s="11"/>
    </row>
    <row r="652" spans="2:5">
      <c r="B652" s="11"/>
      <c r="C652" s="11"/>
      <c r="D652" s="11"/>
      <c r="E652" s="11"/>
    </row>
    <row r="653" spans="2:5">
      <c r="B653" s="11"/>
      <c r="C653" s="11"/>
      <c r="D653" s="11"/>
      <c r="E653" s="11"/>
    </row>
    <row r="654" spans="2:5">
      <c r="B654" s="11"/>
      <c r="C654" s="11"/>
      <c r="D654" s="11"/>
      <c r="E654" s="11"/>
    </row>
    <row r="655" spans="2:5">
      <c r="B655" s="11"/>
      <c r="C655" s="11"/>
      <c r="D655" s="11"/>
      <c r="E655" s="11"/>
    </row>
    <row r="656" spans="2:5">
      <c r="B656" s="11"/>
      <c r="C656" s="11"/>
      <c r="D656" s="11"/>
      <c r="E656" s="11"/>
    </row>
    <row r="657" spans="2:5">
      <c r="B657" s="11"/>
      <c r="C657" s="11"/>
      <c r="D657" s="11"/>
      <c r="E657" s="11"/>
    </row>
    <row r="658" spans="2:5">
      <c r="B658" s="11"/>
      <c r="C658" s="11"/>
      <c r="D658" s="11"/>
      <c r="E658" s="11"/>
    </row>
    <row r="659" spans="2:5">
      <c r="B659" s="11"/>
      <c r="C659" s="11"/>
      <c r="D659" s="11"/>
      <c r="E659" s="11"/>
    </row>
    <row r="660" spans="2:5">
      <c r="B660" s="11"/>
      <c r="C660" s="11"/>
      <c r="D660" s="11"/>
      <c r="E660" s="11"/>
    </row>
    <row r="661" spans="2:5">
      <c r="B661" s="11"/>
      <c r="C661" s="11"/>
      <c r="D661" s="11"/>
      <c r="E661" s="11"/>
    </row>
    <row r="662" spans="2:5">
      <c r="B662" s="11"/>
      <c r="C662" s="11"/>
      <c r="D662" s="11"/>
      <c r="E662" s="11"/>
    </row>
    <row r="663" spans="2:5">
      <c r="B663" s="11"/>
      <c r="C663" s="11"/>
      <c r="D663" s="11"/>
      <c r="E663" s="11"/>
    </row>
    <row r="664" spans="2:5">
      <c r="B664" s="11"/>
      <c r="C664" s="11"/>
      <c r="D664" s="11"/>
      <c r="E664" s="11"/>
    </row>
    <row r="665" spans="2:5">
      <c r="B665" s="11"/>
      <c r="C665" s="11"/>
      <c r="D665" s="11"/>
      <c r="E665" s="11"/>
    </row>
    <row r="666" spans="2:5">
      <c r="B666" s="11"/>
      <c r="C666" s="11"/>
      <c r="D666" s="11"/>
      <c r="E666" s="11"/>
    </row>
    <row r="667" spans="2:5">
      <c r="B667" s="11"/>
      <c r="C667" s="11"/>
      <c r="D667" s="11"/>
      <c r="E667" s="11"/>
    </row>
    <row r="668" spans="2:5">
      <c r="B668" s="11"/>
      <c r="C668" s="11"/>
      <c r="D668" s="11"/>
      <c r="E668" s="11"/>
    </row>
    <row r="669" spans="2:5">
      <c r="B669" s="11"/>
      <c r="C669" s="11"/>
      <c r="D669" s="11"/>
      <c r="E669" s="11"/>
    </row>
    <row r="670" spans="2:5">
      <c r="B670" s="11"/>
      <c r="C670" s="11"/>
      <c r="D670" s="11"/>
      <c r="E670" s="11"/>
    </row>
    <row r="671" spans="2:5">
      <c r="B671" s="11"/>
      <c r="C671" s="11"/>
      <c r="D671" s="11"/>
      <c r="E671" s="11"/>
    </row>
    <row r="672" spans="2:5">
      <c r="B672" s="11"/>
      <c r="C672" s="11"/>
      <c r="D672" s="11"/>
      <c r="E672" s="11"/>
    </row>
    <row r="673" spans="2:5">
      <c r="B673" s="11"/>
      <c r="C673" s="11"/>
      <c r="D673" s="11"/>
      <c r="E673" s="11"/>
    </row>
    <row r="674" spans="2:5">
      <c r="B674" s="11"/>
      <c r="C674" s="11"/>
      <c r="D674" s="11"/>
      <c r="E674" s="11"/>
    </row>
    <row r="675" spans="2:5">
      <c r="B675" s="11"/>
      <c r="C675" s="11"/>
      <c r="D675" s="11"/>
      <c r="E675" s="11"/>
    </row>
    <row r="676" spans="2:5">
      <c r="B676" s="11"/>
      <c r="C676" s="11"/>
      <c r="D676" s="11"/>
      <c r="E676" s="11"/>
    </row>
    <row r="677" spans="2:5">
      <c r="B677" s="11"/>
      <c r="C677" s="11"/>
      <c r="D677" s="11"/>
      <c r="E677" s="11"/>
    </row>
    <row r="678" spans="2:5">
      <c r="B678" s="11"/>
      <c r="C678" s="11"/>
      <c r="D678" s="11"/>
      <c r="E678" s="11"/>
    </row>
    <row r="679" spans="2:5">
      <c r="B679" s="11"/>
      <c r="C679" s="11"/>
      <c r="D679" s="11"/>
      <c r="E679" s="11"/>
    </row>
    <row r="680" spans="2:5">
      <c r="B680" s="11"/>
      <c r="C680" s="11"/>
      <c r="D680" s="11"/>
      <c r="E680" s="11"/>
    </row>
    <row r="681" spans="2:5">
      <c r="B681" s="11"/>
      <c r="C681" s="11"/>
      <c r="D681" s="11"/>
      <c r="E681" s="11"/>
    </row>
    <row r="682" spans="2:5">
      <c r="B682" s="11"/>
      <c r="C682" s="11"/>
      <c r="D682" s="11"/>
      <c r="E682" s="11"/>
    </row>
    <row r="683" spans="2:5">
      <c r="B683" s="11"/>
      <c r="C683" s="11"/>
      <c r="D683" s="11"/>
      <c r="E683" s="11"/>
    </row>
    <row r="684" spans="2:5">
      <c r="B684" s="11"/>
      <c r="C684" s="11"/>
      <c r="D684" s="11"/>
      <c r="E684" s="11"/>
    </row>
    <row r="685" spans="2:5">
      <c r="B685" s="11"/>
      <c r="C685" s="11"/>
      <c r="D685" s="11"/>
      <c r="E685" s="11"/>
    </row>
    <row r="686" spans="2:5">
      <c r="B686" s="11"/>
      <c r="C686" s="11"/>
      <c r="D686" s="11"/>
      <c r="E686" s="11"/>
    </row>
    <row r="687" spans="2:5">
      <c r="B687" s="11"/>
      <c r="C687" s="11"/>
      <c r="D687" s="11"/>
      <c r="E687" s="11"/>
    </row>
    <row r="688" spans="2:5">
      <c r="B688" s="11"/>
      <c r="C688" s="11"/>
      <c r="D688" s="11"/>
      <c r="E688" s="11"/>
    </row>
    <row r="689" spans="2:5">
      <c r="B689" s="11"/>
      <c r="C689" s="11"/>
      <c r="D689" s="11"/>
      <c r="E689" s="11"/>
    </row>
    <row r="690" spans="2:5">
      <c r="B690" s="11"/>
      <c r="C690" s="11"/>
      <c r="D690" s="11"/>
      <c r="E690" s="11"/>
    </row>
    <row r="691" spans="2:5">
      <c r="B691" s="11"/>
      <c r="C691" s="11"/>
      <c r="D691" s="11"/>
      <c r="E691" s="11"/>
    </row>
    <row r="692" spans="2:5">
      <c r="B692" s="11"/>
      <c r="C692" s="11"/>
      <c r="D692" s="11"/>
      <c r="E692" s="11"/>
    </row>
    <row r="693" spans="2:5">
      <c r="B693" s="11"/>
      <c r="C693" s="11"/>
      <c r="D693" s="11"/>
      <c r="E693" s="11"/>
    </row>
    <row r="694" spans="2:5">
      <c r="B694" s="11"/>
      <c r="C694" s="11"/>
      <c r="D694" s="11"/>
      <c r="E694" s="11"/>
    </row>
    <row r="695" spans="2:5">
      <c r="B695" s="11"/>
      <c r="C695" s="11"/>
      <c r="D695" s="11"/>
      <c r="E695" s="11"/>
    </row>
    <row r="696" spans="2:5">
      <c r="B696" s="11"/>
      <c r="C696" s="11"/>
      <c r="D696" s="11"/>
      <c r="E696" s="11"/>
    </row>
    <row r="697" spans="2:5">
      <c r="B697" s="11"/>
      <c r="C697" s="11"/>
      <c r="D697" s="11"/>
      <c r="E697" s="11"/>
    </row>
    <row r="698" spans="2:5">
      <c r="B698" s="11"/>
      <c r="C698" s="11"/>
      <c r="D698" s="11"/>
      <c r="E698" s="11"/>
    </row>
    <row r="699" spans="2:5">
      <c r="B699" s="11"/>
      <c r="C699" s="11"/>
      <c r="D699" s="11"/>
      <c r="E699" s="11"/>
    </row>
    <row r="700" spans="2:5">
      <c r="B700" s="11"/>
      <c r="C700" s="11"/>
      <c r="D700" s="11"/>
      <c r="E700" s="11"/>
    </row>
    <row r="701" spans="2:5">
      <c r="B701" s="11"/>
      <c r="C701" s="11"/>
      <c r="D701" s="11"/>
      <c r="E701" s="11"/>
    </row>
    <row r="702" spans="2:5">
      <c r="B702" s="11"/>
      <c r="C702" s="11"/>
      <c r="D702" s="11"/>
      <c r="E702" s="11"/>
    </row>
    <row r="703" spans="2:5">
      <c r="B703" s="11"/>
      <c r="C703" s="11"/>
      <c r="D703" s="11"/>
      <c r="E703" s="11"/>
    </row>
    <row r="704" spans="2:5">
      <c r="B704" s="11"/>
      <c r="C704" s="11"/>
      <c r="D704" s="11"/>
      <c r="E704" s="11"/>
    </row>
    <row r="705" spans="2:5">
      <c r="B705" s="11"/>
      <c r="C705" s="11"/>
      <c r="D705" s="11"/>
      <c r="E705" s="11"/>
    </row>
    <row r="706" spans="2:5">
      <c r="B706" s="11"/>
      <c r="C706" s="11"/>
      <c r="D706" s="11"/>
      <c r="E706" s="11"/>
    </row>
    <row r="707" spans="2:5">
      <c r="B707" s="11"/>
      <c r="C707" s="11"/>
      <c r="D707" s="11"/>
      <c r="E707" s="11"/>
    </row>
    <row r="708" spans="2:5">
      <c r="B708" s="11"/>
      <c r="C708" s="11"/>
      <c r="D708" s="11"/>
      <c r="E708" s="11"/>
    </row>
    <row r="709" spans="2:5">
      <c r="B709" s="11"/>
      <c r="C709" s="11"/>
      <c r="D709" s="11"/>
      <c r="E709" s="11"/>
    </row>
    <row r="710" spans="2:5">
      <c r="B710" s="11"/>
      <c r="C710" s="11"/>
      <c r="D710" s="11"/>
      <c r="E710" s="11"/>
    </row>
    <row r="711" spans="2:5">
      <c r="B711" s="11"/>
      <c r="C711" s="11"/>
      <c r="D711" s="11"/>
      <c r="E711" s="11"/>
    </row>
    <row r="712" spans="2:5">
      <c r="B712" s="11"/>
      <c r="C712" s="11"/>
      <c r="D712" s="11"/>
      <c r="E712" s="11"/>
    </row>
    <row r="713" spans="2:5">
      <c r="B713" s="11"/>
      <c r="C713" s="11"/>
      <c r="D713" s="11"/>
      <c r="E713" s="11"/>
    </row>
    <row r="714" spans="2:5">
      <c r="B714" s="11"/>
      <c r="C714" s="11"/>
      <c r="D714" s="11"/>
      <c r="E714" s="11"/>
    </row>
    <row r="715" spans="2:5">
      <c r="B715" s="11"/>
      <c r="C715" s="11"/>
      <c r="D715" s="11"/>
      <c r="E715" s="11"/>
    </row>
    <row r="716" spans="2:5">
      <c r="B716" s="11"/>
      <c r="C716" s="11"/>
      <c r="D716" s="11"/>
      <c r="E716" s="11"/>
    </row>
    <row r="717" spans="2:5">
      <c r="B717" s="11"/>
      <c r="C717" s="11"/>
      <c r="D717" s="11"/>
      <c r="E717" s="11"/>
    </row>
    <row r="718" spans="2:5">
      <c r="B718" s="11"/>
      <c r="C718" s="11"/>
      <c r="D718" s="11"/>
      <c r="E718" s="11"/>
    </row>
    <row r="719" spans="2:5">
      <c r="B719" s="11"/>
      <c r="C719" s="11"/>
      <c r="D719" s="11"/>
      <c r="E719" s="11"/>
    </row>
    <row r="720" spans="2:5">
      <c r="B720" s="11"/>
      <c r="C720" s="11"/>
      <c r="D720" s="11"/>
      <c r="E720" s="11"/>
    </row>
    <row r="721" spans="2:5">
      <c r="B721" s="11"/>
      <c r="C721" s="11"/>
      <c r="D721" s="11"/>
      <c r="E721" s="11"/>
    </row>
    <row r="722" spans="2:5">
      <c r="B722" s="11"/>
      <c r="C722" s="11"/>
      <c r="D722" s="11"/>
      <c r="E722" s="11"/>
    </row>
    <row r="723" spans="2:5">
      <c r="B723" s="11"/>
      <c r="C723" s="11"/>
      <c r="D723" s="11"/>
      <c r="E723" s="11"/>
    </row>
    <row r="724" spans="2:5">
      <c r="B724" s="11"/>
      <c r="C724" s="11"/>
      <c r="D724" s="11"/>
      <c r="E724" s="11"/>
    </row>
    <row r="725" spans="2:5">
      <c r="B725" s="11"/>
      <c r="C725" s="11"/>
      <c r="D725" s="11"/>
      <c r="E725" s="11"/>
    </row>
    <row r="726" spans="2:5">
      <c r="B726" s="11"/>
      <c r="C726" s="11"/>
      <c r="D726" s="11"/>
      <c r="E726" s="11"/>
    </row>
    <row r="727" spans="2:5">
      <c r="B727" s="11"/>
      <c r="C727" s="11"/>
      <c r="D727" s="11"/>
      <c r="E727" s="11"/>
    </row>
    <row r="728" spans="2:5">
      <c r="B728" s="11"/>
      <c r="C728" s="11"/>
      <c r="D728" s="11"/>
      <c r="E728" s="11"/>
    </row>
    <row r="729" spans="2:5">
      <c r="B729" s="11"/>
      <c r="C729" s="11"/>
      <c r="D729" s="11"/>
      <c r="E729" s="11"/>
    </row>
    <row r="730" spans="2:5">
      <c r="B730" s="11"/>
      <c r="C730" s="11"/>
      <c r="D730" s="11"/>
      <c r="E730" s="11"/>
    </row>
    <row r="731" spans="2:5">
      <c r="B731" s="11"/>
      <c r="C731" s="11"/>
      <c r="D731" s="11"/>
      <c r="E731" s="11"/>
    </row>
    <row r="732" spans="2:5">
      <c r="B732" s="11"/>
      <c r="C732" s="11"/>
      <c r="D732" s="11"/>
      <c r="E732" s="11"/>
    </row>
    <row r="733" spans="2:5">
      <c r="B733" s="11"/>
      <c r="C733" s="11"/>
      <c r="D733" s="11"/>
      <c r="E733" s="11"/>
    </row>
    <row r="734" spans="2:5">
      <c r="B734" s="11"/>
      <c r="C734" s="11"/>
      <c r="D734" s="11"/>
      <c r="E734" s="11"/>
    </row>
    <row r="735" spans="2:5">
      <c r="B735" s="11"/>
      <c r="C735" s="11"/>
      <c r="D735" s="11"/>
      <c r="E735" s="11"/>
    </row>
    <row r="736" spans="2:5">
      <c r="B736" s="11"/>
      <c r="C736" s="11"/>
      <c r="D736" s="11"/>
      <c r="E736" s="11"/>
    </row>
    <row r="737" spans="2:5">
      <c r="B737" s="11"/>
      <c r="C737" s="11"/>
      <c r="D737" s="11"/>
      <c r="E737" s="11"/>
    </row>
    <row r="738" spans="2:5">
      <c r="B738" s="11"/>
      <c r="C738" s="11"/>
      <c r="D738" s="11"/>
      <c r="E738" s="11"/>
    </row>
    <row r="739" spans="2:5">
      <c r="B739" s="11"/>
      <c r="C739" s="11"/>
      <c r="D739" s="11"/>
      <c r="E739" s="11"/>
    </row>
    <row r="740" spans="2:5">
      <c r="B740" s="11"/>
      <c r="C740" s="11"/>
      <c r="D740" s="11"/>
      <c r="E740" s="11"/>
    </row>
    <row r="741" spans="2:5">
      <c r="B741" s="11"/>
      <c r="C741" s="11"/>
      <c r="D741" s="11"/>
      <c r="E741" s="11"/>
    </row>
    <row r="742" spans="2:5">
      <c r="B742" s="11"/>
      <c r="C742" s="11"/>
      <c r="D742" s="11"/>
      <c r="E742" s="11"/>
    </row>
    <row r="743" spans="2:5">
      <c r="B743" s="11"/>
      <c r="C743" s="11"/>
      <c r="D743" s="11"/>
      <c r="E743" s="11"/>
    </row>
    <row r="744" spans="2:5">
      <c r="B744" s="11"/>
      <c r="C744" s="11"/>
      <c r="D744" s="11"/>
      <c r="E744" s="11"/>
    </row>
    <row r="745" spans="2:5">
      <c r="B745" s="11"/>
      <c r="C745" s="11"/>
      <c r="D745" s="11"/>
      <c r="E745" s="11"/>
    </row>
    <row r="746" spans="2:5">
      <c r="B746" s="11"/>
      <c r="C746" s="11"/>
      <c r="D746" s="11"/>
      <c r="E746" s="11"/>
    </row>
    <row r="747" spans="2:5">
      <c r="B747" s="11"/>
      <c r="C747" s="11"/>
      <c r="D747" s="11"/>
      <c r="E747" s="11"/>
    </row>
    <row r="748" spans="2:5">
      <c r="B748" s="11"/>
      <c r="C748" s="11"/>
      <c r="D748" s="11"/>
      <c r="E748" s="11"/>
    </row>
    <row r="749" spans="2:5">
      <c r="B749" s="11"/>
      <c r="C749" s="11"/>
      <c r="D749" s="11"/>
      <c r="E749" s="11"/>
    </row>
    <row r="750" spans="2:5">
      <c r="B750" s="11"/>
      <c r="C750" s="11"/>
      <c r="D750" s="11"/>
      <c r="E750" s="11"/>
    </row>
    <row r="751" spans="2:5">
      <c r="B751" s="11"/>
      <c r="C751" s="11"/>
      <c r="D751" s="11"/>
      <c r="E751" s="11"/>
    </row>
    <row r="752" spans="2:5">
      <c r="B752" s="11"/>
      <c r="C752" s="11"/>
      <c r="D752" s="11"/>
      <c r="E752" s="11"/>
    </row>
    <row r="753" spans="2:5">
      <c r="B753" s="11"/>
      <c r="C753" s="11"/>
      <c r="D753" s="11"/>
      <c r="E753" s="11"/>
    </row>
    <row r="754" spans="2:5">
      <c r="B754" s="11"/>
      <c r="C754" s="11"/>
      <c r="D754" s="11"/>
      <c r="E754" s="11"/>
    </row>
    <row r="755" spans="2:5">
      <c r="B755" s="11"/>
      <c r="C755" s="11"/>
      <c r="D755" s="11"/>
      <c r="E755" s="11"/>
    </row>
    <row r="756" spans="2:5">
      <c r="B756" s="11"/>
      <c r="C756" s="11"/>
      <c r="D756" s="11"/>
      <c r="E756" s="11"/>
    </row>
    <row r="757" spans="2:5">
      <c r="B757" s="11"/>
      <c r="C757" s="11"/>
      <c r="D757" s="11"/>
      <c r="E757" s="11"/>
    </row>
    <row r="758" spans="2:5">
      <c r="B758" s="11"/>
      <c r="C758" s="11"/>
      <c r="D758" s="11"/>
      <c r="E758" s="11"/>
    </row>
    <row r="759" spans="2:5">
      <c r="B759" s="11"/>
      <c r="C759" s="11"/>
      <c r="D759" s="11"/>
      <c r="E759" s="11"/>
    </row>
    <row r="760" spans="2:5">
      <c r="B760" s="11"/>
      <c r="C760" s="11"/>
      <c r="D760" s="11"/>
      <c r="E760" s="11"/>
    </row>
    <row r="761" spans="2:5">
      <c r="B761" s="11"/>
      <c r="C761" s="11"/>
      <c r="D761" s="11"/>
      <c r="E761" s="11"/>
    </row>
    <row r="762" spans="2:5">
      <c r="B762" s="11"/>
      <c r="C762" s="11"/>
      <c r="D762" s="11"/>
      <c r="E762" s="11"/>
    </row>
    <row r="763" spans="2:5">
      <c r="B763" s="11"/>
      <c r="C763" s="11"/>
      <c r="D763" s="11"/>
      <c r="E763" s="11"/>
    </row>
    <row r="764" spans="2:5">
      <c r="B764" s="11"/>
      <c r="C764" s="11"/>
      <c r="D764" s="11"/>
      <c r="E764" s="11"/>
    </row>
    <row r="765" spans="2:5">
      <c r="B765" s="11"/>
      <c r="C765" s="11"/>
      <c r="D765" s="11"/>
      <c r="E765" s="11"/>
    </row>
    <row r="766" spans="2:5">
      <c r="B766" s="11"/>
      <c r="C766" s="11"/>
      <c r="D766" s="11"/>
      <c r="E766" s="11"/>
    </row>
    <row r="767" spans="2:5">
      <c r="B767" s="11"/>
      <c r="C767" s="11"/>
      <c r="D767" s="11"/>
      <c r="E767" s="11"/>
    </row>
    <row r="768" spans="2:5">
      <c r="B768" s="11"/>
      <c r="C768" s="11"/>
      <c r="D768" s="11"/>
      <c r="E768" s="11"/>
    </row>
    <row r="769" spans="2:5">
      <c r="B769" s="11"/>
      <c r="C769" s="11"/>
      <c r="D769" s="11"/>
      <c r="E769" s="11"/>
    </row>
    <row r="770" spans="2:5">
      <c r="B770" s="11"/>
      <c r="C770" s="11"/>
      <c r="D770" s="11"/>
      <c r="E770" s="11"/>
    </row>
    <row r="771" spans="2:5">
      <c r="B771" s="11"/>
      <c r="C771" s="11"/>
      <c r="D771" s="11"/>
      <c r="E771" s="11"/>
    </row>
    <row r="772" spans="2:5">
      <c r="B772" s="11"/>
      <c r="C772" s="11"/>
      <c r="D772" s="11"/>
      <c r="E772" s="11"/>
    </row>
    <row r="773" spans="2:5">
      <c r="B773" s="11"/>
      <c r="C773" s="11"/>
      <c r="D773" s="11"/>
      <c r="E773" s="11"/>
    </row>
    <row r="774" spans="2:5">
      <c r="B774" s="11"/>
      <c r="C774" s="11"/>
      <c r="D774" s="11"/>
      <c r="E774" s="11"/>
    </row>
    <row r="775" spans="2:5">
      <c r="B775" s="11"/>
      <c r="C775" s="11"/>
      <c r="D775" s="11"/>
      <c r="E775" s="11"/>
    </row>
    <row r="776" spans="2:5">
      <c r="B776" s="11"/>
      <c r="C776" s="11"/>
      <c r="D776" s="11"/>
      <c r="E776" s="11"/>
    </row>
    <row r="777" spans="2:5">
      <c r="B777" s="11"/>
      <c r="C777" s="11"/>
      <c r="D777" s="11"/>
      <c r="E777" s="11"/>
    </row>
    <row r="778" spans="2:5">
      <c r="B778" s="11"/>
      <c r="C778" s="11"/>
      <c r="D778" s="11"/>
      <c r="E778" s="11"/>
    </row>
    <row r="779" spans="2:5">
      <c r="B779" s="11"/>
      <c r="C779" s="11"/>
      <c r="D779" s="11"/>
      <c r="E779" s="11"/>
    </row>
    <row r="780" spans="2:5">
      <c r="B780" s="11"/>
      <c r="C780" s="11"/>
      <c r="D780" s="11"/>
      <c r="E780" s="11"/>
    </row>
    <row r="781" spans="2:5">
      <c r="B781" s="11"/>
      <c r="C781" s="11"/>
      <c r="D781" s="11"/>
      <c r="E781" s="11"/>
    </row>
    <row r="782" spans="2:5">
      <c r="B782" s="11"/>
      <c r="C782" s="11"/>
      <c r="D782" s="11"/>
      <c r="E782" s="11"/>
    </row>
    <row r="783" spans="2:5">
      <c r="B783" s="11"/>
      <c r="C783" s="11"/>
      <c r="D783" s="11"/>
      <c r="E783" s="11"/>
    </row>
    <row r="784" spans="2:5">
      <c r="B784" s="11"/>
      <c r="C784" s="11"/>
      <c r="D784" s="11"/>
      <c r="E784" s="11"/>
    </row>
    <row r="785" spans="2:5">
      <c r="B785" s="11"/>
      <c r="C785" s="11"/>
      <c r="D785" s="11"/>
      <c r="E785" s="11"/>
    </row>
    <row r="786" spans="2:5">
      <c r="B786" s="11"/>
      <c r="C786" s="11"/>
      <c r="D786" s="11"/>
      <c r="E786" s="11"/>
    </row>
    <row r="787" spans="2:5">
      <c r="B787" s="11"/>
      <c r="C787" s="11"/>
      <c r="D787" s="11"/>
      <c r="E787" s="11"/>
    </row>
    <row r="788" spans="2:5">
      <c r="B788" s="11"/>
      <c r="C788" s="11"/>
      <c r="D788" s="11"/>
      <c r="E788" s="11"/>
    </row>
    <row r="789" spans="2:5">
      <c r="B789" s="11"/>
      <c r="C789" s="11"/>
      <c r="D789" s="11"/>
      <c r="E789" s="11"/>
    </row>
    <row r="790" spans="2:5">
      <c r="B790" s="11"/>
      <c r="C790" s="11"/>
      <c r="D790" s="11"/>
      <c r="E790" s="11"/>
    </row>
    <row r="791" spans="2:5">
      <c r="B791" s="11"/>
      <c r="C791" s="11"/>
      <c r="D791" s="11"/>
      <c r="E791" s="11"/>
    </row>
    <row r="792" spans="2:5">
      <c r="B792" s="11"/>
      <c r="C792" s="11"/>
      <c r="D792" s="11"/>
      <c r="E792" s="11"/>
    </row>
    <row r="793" spans="2:5">
      <c r="B793" s="11"/>
      <c r="C793" s="11"/>
      <c r="D793" s="11"/>
      <c r="E793" s="11"/>
    </row>
    <row r="794" spans="2:5">
      <c r="B794" s="11"/>
      <c r="C794" s="11"/>
      <c r="D794" s="11"/>
      <c r="E794" s="11"/>
    </row>
    <row r="795" spans="2:5">
      <c r="B795" s="11"/>
      <c r="C795" s="11"/>
      <c r="D795" s="11"/>
      <c r="E795" s="11"/>
    </row>
    <row r="796" spans="2:5">
      <c r="B796" s="11"/>
      <c r="C796" s="11"/>
      <c r="D796" s="11"/>
      <c r="E796" s="11"/>
    </row>
    <row r="797" spans="2:5">
      <c r="B797" s="11"/>
      <c r="C797" s="11"/>
      <c r="D797" s="11"/>
      <c r="E797" s="11"/>
    </row>
    <row r="798" spans="2:5">
      <c r="B798" s="11"/>
      <c r="C798" s="11"/>
      <c r="D798" s="11"/>
      <c r="E798" s="11"/>
    </row>
    <row r="799" spans="2:5">
      <c r="B799" s="11"/>
      <c r="C799" s="11"/>
      <c r="D799" s="11"/>
      <c r="E799" s="11"/>
    </row>
    <row r="800" spans="2:5">
      <c r="B800" s="11"/>
      <c r="C800" s="11"/>
      <c r="D800" s="11"/>
      <c r="E800" s="11"/>
    </row>
    <row r="801" spans="2:5">
      <c r="B801" s="11"/>
      <c r="C801" s="11"/>
      <c r="D801" s="11"/>
      <c r="E801" s="11"/>
    </row>
    <row r="802" spans="2:5">
      <c r="B802" s="11"/>
      <c r="C802" s="11"/>
      <c r="D802" s="11"/>
      <c r="E802" s="11"/>
    </row>
    <row r="803" spans="2:5">
      <c r="B803" s="11"/>
      <c r="C803" s="11"/>
      <c r="D803" s="11"/>
      <c r="E803" s="11"/>
    </row>
    <row r="804" spans="2:5">
      <c r="B804" s="11"/>
      <c r="C804" s="11"/>
      <c r="D804" s="11"/>
      <c r="E804" s="11"/>
    </row>
    <row r="805" spans="2:5">
      <c r="B805" s="11"/>
      <c r="C805" s="11"/>
      <c r="D805" s="11"/>
      <c r="E805" s="11"/>
    </row>
    <row r="806" spans="2:5">
      <c r="B806" s="11"/>
      <c r="C806" s="11"/>
      <c r="D806" s="11"/>
      <c r="E806" s="11"/>
    </row>
    <row r="807" spans="2:5">
      <c r="B807" s="11"/>
      <c r="C807" s="11"/>
      <c r="D807" s="11"/>
      <c r="E807" s="11"/>
    </row>
    <row r="808" spans="2:5">
      <c r="B808" s="11"/>
      <c r="C808" s="11"/>
      <c r="D808" s="11"/>
      <c r="E808" s="11"/>
    </row>
    <row r="809" spans="2:5">
      <c r="B809" s="11"/>
      <c r="C809" s="11"/>
      <c r="D809" s="11"/>
      <c r="E809" s="11"/>
    </row>
    <row r="810" spans="2:5">
      <c r="B810" s="11"/>
      <c r="C810" s="11"/>
      <c r="D810" s="11"/>
      <c r="E810" s="11"/>
    </row>
    <row r="811" spans="2:5">
      <c r="B811" s="11"/>
      <c r="C811" s="11"/>
      <c r="D811" s="11"/>
      <c r="E811" s="11"/>
    </row>
    <row r="812" spans="2:5">
      <c r="B812" s="11"/>
      <c r="C812" s="11"/>
      <c r="D812" s="11"/>
      <c r="E812" s="11"/>
    </row>
    <row r="813" spans="2:5">
      <c r="B813" s="11"/>
      <c r="C813" s="11"/>
      <c r="D813" s="11"/>
      <c r="E813" s="11"/>
    </row>
    <row r="814" spans="2:5">
      <c r="B814" s="11"/>
      <c r="C814" s="11"/>
      <c r="D814" s="11"/>
      <c r="E814" s="11"/>
    </row>
    <row r="815" spans="2:5">
      <c r="B815" s="11"/>
      <c r="C815" s="11"/>
      <c r="D815" s="11"/>
      <c r="E815" s="11"/>
    </row>
    <row r="816" spans="2:5">
      <c r="B816" s="11"/>
      <c r="C816" s="11"/>
      <c r="D816" s="11"/>
      <c r="E816" s="11"/>
    </row>
    <row r="817" spans="2:5">
      <c r="B817" s="11"/>
      <c r="C817" s="11"/>
      <c r="D817" s="11"/>
      <c r="E817" s="11"/>
    </row>
    <row r="818" spans="2:5">
      <c r="B818" s="11"/>
      <c r="C818" s="11"/>
      <c r="D818" s="11"/>
      <c r="E818" s="11"/>
    </row>
    <row r="819" spans="2:5">
      <c r="B819" s="11"/>
      <c r="C819" s="11"/>
      <c r="D819" s="11"/>
      <c r="E819" s="11"/>
    </row>
    <row r="820" spans="2:5">
      <c r="B820" s="11"/>
      <c r="C820" s="11"/>
      <c r="D820" s="11"/>
      <c r="E820" s="11"/>
    </row>
    <row r="821" spans="2:5">
      <c r="B821" s="11"/>
      <c r="C821" s="11"/>
      <c r="D821" s="11"/>
      <c r="E821" s="11"/>
    </row>
    <row r="822" spans="2:5">
      <c r="B822" s="11"/>
      <c r="C822" s="11"/>
      <c r="D822" s="11"/>
      <c r="E822" s="11"/>
    </row>
    <row r="823" spans="2:5">
      <c r="B823" s="11"/>
      <c r="C823" s="11"/>
      <c r="D823" s="11"/>
      <c r="E823" s="11"/>
    </row>
    <row r="824" spans="2:5">
      <c r="B824" s="11"/>
      <c r="C824" s="11"/>
      <c r="D824" s="11"/>
      <c r="E824" s="11"/>
    </row>
    <row r="825" spans="2:5">
      <c r="B825" s="11"/>
      <c r="C825" s="11"/>
      <c r="D825" s="11"/>
      <c r="E825" s="11"/>
    </row>
    <row r="826" spans="2:5">
      <c r="B826" s="11"/>
      <c r="C826" s="11"/>
      <c r="D826" s="11"/>
      <c r="E826" s="11"/>
    </row>
    <row r="827" spans="2:5">
      <c r="B827" s="11"/>
      <c r="C827" s="11"/>
      <c r="D827" s="11"/>
      <c r="E827" s="11"/>
    </row>
    <row r="828" spans="2:5">
      <c r="B828" s="11"/>
      <c r="C828" s="11"/>
      <c r="D828" s="11"/>
      <c r="E828" s="11"/>
    </row>
    <row r="829" spans="2:5">
      <c r="B829" s="11"/>
      <c r="C829" s="11"/>
      <c r="D829" s="11"/>
      <c r="E829" s="11"/>
    </row>
    <row r="830" spans="2:5">
      <c r="B830" s="11"/>
      <c r="C830" s="11"/>
      <c r="D830" s="11"/>
      <c r="E830" s="11"/>
    </row>
    <row r="831" spans="2:5">
      <c r="B831" s="11"/>
      <c r="C831" s="11"/>
      <c r="D831" s="11"/>
      <c r="E831" s="11"/>
    </row>
    <row r="832" spans="2:5">
      <c r="B832" s="11"/>
      <c r="C832" s="11"/>
      <c r="D832" s="11"/>
      <c r="E832" s="11"/>
    </row>
    <row r="833" spans="2:5">
      <c r="B833" s="11"/>
      <c r="C833" s="11"/>
      <c r="D833" s="11"/>
      <c r="E833" s="11"/>
    </row>
    <row r="834" spans="2:5">
      <c r="B834" s="11"/>
      <c r="C834" s="11"/>
      <c r="D834" s="11"/>
      <c r="E834" s="11"/>
    </row>
    <row r="835" spans="2:5">
      <c r="B835" s="11"/>
      <c r="C835" s="11"/>
      <c r="D835" s="11"/>
      <c r="E835" s="11"/>
    </row>
    <row r="836" spans="2:5">
      <c r="B836" s="11"/>
      <c r="C836" s="11"/>
      <c r="D836" s="11"/>
      <c r="E836" s="11"/>
    </row>
    <row r="837" spans="2:5">
      <c r="B837" s="11"/>
      <c r="C837" s="11"/>
      <c r="D837" s="11"/>
      <c r="E837" s="11"/>
    </row>
    <row r="838" spans="2:5">
      <c r="B838" s="11"/>
      <c r="C838" s="11"/>
      <c r="D838" s="11"/>
      <c r="E838" s="11"/>
    </row>
    <row r="839" spans="2:5">
      <c r="B839" s="11"/>
      <c r="C839" s="11"/>
      <c r="D839" s="11"/>
      <c r="E839" s="11"/>
    </row>
    <row r="840" spans="2:5">
      <c r="B840" s="11"/>
      <c r="C840" s="11"/>
      <c r="D840" s="11"/>
      <c r="E840" s="11"/>
    </row>
    <row r="841" spans="2:5">
      <c r="B841" s="11"/>
      <c r="C841" s="11"/>
      <c r="D841" s="11"/>
      <c r="E841" s="11"/>
    </row>
    <row r="842" spans="2:5">
      <c r="B842" s="11"/>
      <c r="C842" s="11"/>
      <c r="D842" s="11"/>
      <c r="E842" s="11"/>
    </row>
    <row r="843" spans="2:5">
      <c r="B843" s="11"/>
      <c r="C843" s="11"/>
      <c r="D843" s="11"/>
      <c r="E843" s="11"/>
    </row>
    <row r="844" spans="2:5">
      <c r="B844" s="11"/>
      <c r="C844" s="11"/>
      <c r="D844" s="11"/>
      <c r="E844" s="11"/>
    </row>
    <row r="845" spans="2:5">
      <c r="B845" s="11"/>
      <c r="C845" s="11"/>
      <c r="D845" s="11"/>
      <c r="E845" s="11"/>
    </row>
    <row r="846" spans="2:5">
      <c r="B846" s="11"/>
      <c r="C846" s="11"/>
      <c r="D846" s="11"/>
      <c r="E846" s="11"/>
    </row>
    <row r="847" spans="2:5">
      <c r="B847" s="11"/>
      <c r="C847" s="11"/>
      <c r="D847" s="11"/>
      <c r="E847" s="11"/>
    </row>
    <row r="848" spans="2:5">
      <c r="B848" s="11"/>
      <c r="C848" s="11"/>
      <c r="D848" s="11"/>
      <c r="E848" s="11"/>
    </row>
    <row r="849" spans="2:5">
      <c r="B849" s="11"/>
      <c r="C849" s="11"/>
      <c r="D849" s="11"/>
      <c r="E849" s="11"/>
    </row>
    <row r="850" spans="2:5">
      <c r="B850" s="11"/>
      <c r="C850" s="11"/>
      <c r="D850" s="11"/>
      <c r="E850" s="11"/>
    </row>
    <row r="851" spans="2:5">
      <c r="B851" s="11"/>
      <c r="C851" s="11"/>
      <c r="D851" s="11"/>
      <c r="E851" s="11"/>
    </row>
    <row r="852" spans="2:5">
      <c r="B852" s="11"/>
      <c r="C852" s="11"/>
      <c r="D852" s="11"/>
      <c r="E852" s="11"/>
    </row>
    <row r="853" spans="2:5">
      <c r="B853" s="11"/>
      <c r="C853" s="11"/>
      <c r="D853" s="11"/>
      <c r="E853" s="11"/>
    </row>
    <row r="854" spans="2:5">
      <c r="B854" s="11"/>
      <c r="C854" s="11"/>
      <c r="D854" s="11"/>
      <c r="E854" s="11"/>
    </row>
    <row r="855" spans="2:5">
      <c r="B855" s="11"/>
      <c r="C855" s="11"/>
      <c r="D855" s="11"/>
      <c r="E855" s="11"/>
    </row>
    <row r="856" spans="2:5">
      <c r="B856" s="11"/>
      <c r="C856" s="11"/>
      <c r="D856" s="11"/>
      <c r="E856" s="11"/>
    </row>
    <row r="857" spans="2:5">
      <c r="B857" s="11"/>
      <c r="C857" s="11"/>
      <c r="D857" s="11"/>
      <c r="E857" s="11"/>
    </row>
    <row r="858" spans="2:5">
      <c r="B858" s="11"/>
      <c r="C858" s="11"/>
      <c r="D858" s="11"/>
      <c r="E858" s="11"/>
    </row>
    <row r="859" spans="2:5">
      <c r="B859" s="11"/>
      <c r="C859" s="11"/>
      <c r="D859" s="11"/>
      <c r="E859" s="11"/>
    </row>
    <row r="860" spans="2:5">
      <c r="B860" s="11"/>
      <c r="C860" s="11"/>
      <c r="D860" s="11"/>
      <c r="E860" s="11"/>
    </row>
    <row r="861" spans="2:5">
      <c r="B861" s="11"/>
      <c r="C861" s="11"/>
      <c r="D861" s="11"/>
      <c r="E861" s="11"/>
    </row>
    <row r="862" spans="2:5">
      <c r="B862" s="11"/>
      <c r="C862" s="11"/>
      <c r="D862" s="11"/>
      <c r="E862" s="11"/>
    </row>
    <row r="863" spans="2:5">
      <c r="B863" s="11"/>
      <c r="C863" s="11"/>
      <c r="D863" s="11"/>
      <c r="E863" s="11"/>
    </row>
    <row r="864" spans="2:5">
      <c r="B864" s="11"/>
      <c r="C864" s="11"/>
      <c r="D864" s="11"/>
      <c r="E864" s="11"/>
    </row>
    <row r="865" spans="2:5">
      <c r="B865" s="11"/>
      <c r="C865" s="11"/>
      <c r="D865" s="11"/>
      <c r="E865" s="11"/>
    </row>
    <row r="866" spans="2:5">
      <c r="B866" s="11"/>
      <c r="C866" s="11"/>
      <c r="D866" s="11"/>
      <c r="E866" s="11"/>
    </row>
    <row r="867" spans="2:5">
      <c r="B867" s="11"/>
      <c r="C867" s="11"/>
      <c r="D867" s="11"/>
      <c r="E867" s="11"/>
    </row>
    <row r="868" spans="2:5">
      <c r="B868" s="11"/>
      <c r="C868" s="11"/>
      <c r="D868" s="11"/>
      <c r="E868" s="11"/>
    </row>
    <row r="869" spans="2:5">
      <c r="B869" s="11"/>
      <c r="C869" s="11"/>
      <c r="D869" s="11"/>
      <c r="E869" s="11"/>
    </row>
    <row r="870" spans="2:5">
      <c r="B870" s="11"/>
      <c r="C870" s="11"/>
      <c r="D870" s="11"/>
      <c r="E870" s="11"/>
    </row>
    <row r="871" spans="2:5">
      <c r="B871" s="11"/>
      <c r="C871" s="11"/>
      <c r="D871" s="11"/>
      <c r="E871" s="11"/>
    </row>
    <row r="872" spans="2:5">
      <c r="B872" s="11"/>
      <c r="C872" s="11"/>
      <c r="D872" s="11"/>
      <c r="E872" s="11"/>
    </row>
    <row r="873" spans="2:5">
      <c r="B873" s="11"/>
      <c r="C873" s="11"/>
      <c r="D873" s="11"/>
      <c r="E873" s="11"/>
    </row>
    <row r="874" spans="2:5">
      <c r="B874" s="11"/>
      <c r="C874" s="11"/>
      <c r="D874" s="11"/>
      <c r="E874" s="11"/>
    </row>
    <row r="875" spans="2:5">
      <c r="B875" s="11"/>
      <c r="C875" s="11"/>
      <c r="D875" s="11"/>
      <c r="E875" s="11"/>
    </row>
    <row r="876" spans="2:5">
      <c r="B876" s="11"/>
      <c r="C876" s="11"/>
      <c r="D876" s="11"/>
      <c r="E876" s="11"/>
    </row>
    <row r="877" spans="2:5">
      <c r="B877" s="11"/>
      <c r="C877" s="11"/>
      <c r="D877" s="11"/>
      <c r="E877" s="11"/>
    </row>
    <row r="878" spans="2:5">
      <c r="B878" s="11"/>
      <c r="C878" s="11"/>
      <c r="D878" s="11"/>
      <c r="E878" s="11"/>
    </row>
    <row r="879" spans="2:5">
      <c r="B879" s="11"/>
      <c r="C879" s="11"/>
      <c r="D879" s="11"/>
      <c r="E879" s="11"/>
    </row>
    <row r="880" spans="2:5">
      <c r="B880" s="11"/>
      <c r="C880" s="11"/>
      <c r="D880" s="11"/>
      <c r="E880" s="11"/>
    </row>
    <row r="881" spans="2:5">
      <c r="B881" s="11"/>
      <c r="C881" s="11"/>
      <c r="D881" s="11"/>
      <c r="E881" s="11"/>
    </row>
    <row r="882" spans="2:5">
      <c r="B882" s="11"/>
      <c r="C882" s="11"/>
      <c r="D882" s="11"/>
      <c r="E882" s="11"/>
    </row>
    <row r="883" spans="2:5">
      <c r="B883" s="11"/>
      <c r="C883" s="11"/>
      <c r="D883" s="11"/>
      <c r="E883" s="11"/>
    </row>
    <row r="884" spans="2:5">
      <c r="B884" s="11"/>
      <c r="C884" s="11"/>
      <c r="D884" s="11"/>
      <c r="E884" s="11"/>
    </row>
    <row r="885" spans="2:5">
      <c r="B885" s="11"/>
      <c r="C885" s="11"/>
      <c r="D885" s="11"/>
      <c r="E885" s="11"/>
    </row>
    <row r="886" spans="2:5">
      <c r="B886" s="11"/>
      <c r="C886" s="11"/>
      <c r="D886" s="11"/>
      <c r="E886" s="11"/>
    </row>
    <row r="887" spans="2:5">
      <c r="B887" s="11"/>
      <c r="C887" s="11"/>
      <c r="D887" s="11"/>
      <c r="E887" s="11"/>
    </row>
    <row r="888" spans="2:5">
      <c r="B888" s="11"/>
      <c r="C888" s="11"/>
      <c r="D888" s="11"/>
      <c r="E888" s="11"/>
    </row>
    <row r="889" spans="2:5">
      <c r="B889" s="11"/>
      <c r="C889" s="11"/>
      <c r="D889" s="11"/>
      <c r="E889" s="11"/>
    </row>
    <row r="890" spans="2:5">
      <c r="B890" s="11"/>
      <c r="C890" s="11"/>
      <c r="D890" s="11"/>
      <c r="E890" s="11"/>
    </row>
    <row r="891" spans="2:5">
      <c r="B891" s="11"/>
      <c r="C891" s="11"/>
      <c r="D891" s="11"/>
      <c r="E891" s="11"/>
    </row>
    <row r="892" spans="2:5">
      <c r="B892" s="11"/>
      <c r="C892" s="11"/>
      <c r="D892" s="11"/>
      <c r="E892" s="11"/>
    </row>
    <row r="893" spans="2:5">
      <c r="B893" s="11"/>
      <c r="C893" s="11"/>
      <c r="D893" s="11"/>
      <c r="E893" s="11"/>
    </row>
    <row r="894" spans="2:5">
      <c r="B894" s="11"/>
      <c r="C894" s="11"/>
      <c r="D894" s="11"/>
      <c r="E894" s="11"/>
    </row>
    <row r="895" spans="2:5">
      <c r="B895" s="11"/>
      <c r="C895" s="11"/>
      <c r="D895" s="11"/>
      <c r="E895" s="11"/>
    </row>
    <row r="896" spans="2:5">
      <c r="B896" s="11"/>
      <c r="C896" s="11"/>
      <c r="D896" s="11"/>
      <c r="E896" s="11"/>
    </row>
    <row r="897" spans="2:5">
      <c r="B897" s="11"/>
      <c r="C897" s="11"/>
      <c r="D897" s="11"/>
      <c r="E897" s="11"/>
    </row>
    <row r="898" spans="2:5">
      <c r="B898" s="11"/>
      <c r="C898" s="11"/>
      <c r="D898" s="11"/>
      <c r="E898" s="11"/>
    </row>
    <row r="899" spans="2:5">
      <c r="B899" s="11"/>
      <c r="C899" s="11"/>
      <c r="D899" s="11"/>
      <c r="E899" s="11"/>
    </row>
    <row r="900" spans="2:5">
      <c r="B900" s="11"/>
      <c r="C900" s="11"/>
      <c r="D900" s="11"/>
      <c r="E900" s="11"/>
    </row>
    <row r="901" spans="2:5">
      <c r="B901" s="11"/>
      <c r="C901" s="11"/>
      <c r="D901" s="11"/>
      <c r="E901" s="11"/>
    </row>
    <row r="902" spans="2:5">
      <c r="B902" s="11"/>
      <c r="C902" s="11"/>
      <c r="D902" s="11"/>
      <c r="E902" s="11"/>
    </row>
    <row r="903" spans="2:5">
      <c r="B903" s="11"/>
      <c r="C903" s="11"/>
      <c r="D903" s="11"/>
      <c r="E903" s="11"/>
    </row>
    <row r="904" spans="2:5">
      <c r="B904" s="11"/>
      <c r="C904" s="11"/>
      <c r="D904" s="11"/>
      <c r="E904" s="11"/>
    </row>
    <row r="905" spans="2:5">
      <c r="B905" s="11"/>
      <c r="C905" s="11"/>
      <c r="D905" s="11"/>
      <c r="E905" s="11"/>
    </row>
    <row r="906" spans="2:5">
      <c r="B906" s="11"/>
      <c r="C906" s="11"/>
      <c r="D906" s="11"/>
      <c r="E906" s="11"/>
    </row>
    <row r="907" spans="2:5">
      <c r="B907" s="11"/>
      <c r="C907" s="11"/>
      <c r="D907" s="11"/>
      <c r="E907" s="11"/>
    </row>
    <row r="908" spans="2:5">
      <c r="B908" s="11"/>
      <c r="C908" s="11"/>
      <c r="D908" s="11"/>
      <c r="E908" s="11"/>
    </row>
    <row r="909" spans="2:5">
      <c r="B909" s="11"/>
      <c r="C909" s="11"/>
      <c r="D909" s="11"/>
      <c r="E909" s="11"/>
    </row>
    <row r="910" spans="2:5">
      <c r="B910" s="11"/>
      <c r="C910" s="11"/>
      <c r="D910" s="11"/>
      <c r="E910" s="11"/>
    </row>
    <row r="911" spans="2:5">
      <c r="B911" s="11"/>
      <c r="C911" s="11"/>
      <c r="D911" s="11"/>
      <c r="E911" s="11"/>
    </row>
    <row r="912" spans="2:5">
      <c r="B912" s="11"/>
      <c r="C912" s="11"/>
      <c r="D912" s="11"/>
      <c r="E912" s="11"/>
    </row>
    <row r="913" spans="2:5">
      <c r="B913" s="11"/>
      <c r="C913" s="11"/>
      <c r="D913" s="11"/>
      <c r="E913" s="11"/>
    </row>
    <row r="914" spans="2:5">
      <c r="B914" s="11"/>
      <c r="C914" s="11"/>
      <c r="D914" s="11"/>
      <c r="E914" s="11"/>
    </row>
    <row r="915" spans="2:5">
      <c r="B915" s="11"/>
      <c r="C915" s="11"/>
      <c r="D915" s="11"/>
      <c r="E915" s="11"/>
    </row>
    <row r="916" spans="2:5">
      <c r="B916" s="11"/>
      <c r="C916" s="11"/>
      <c r="D916" s="11"/>
      <c r="E916" s="11"/>
    </row>
    <row r="917" spans="2:5">
      <c r="B917" s="11"/>
      <c r="C917" s="11"/>
      <c r="D917" s="11"/>
      <c r="E917" s="11"/>
    </row>
    <row r="918" spans="2:5">
      <c r="B918" s="11"/>
      <c r="C918" s="11"/>
      <c r="D918" s="11"/>
      <c r="E918" s="11"/>
    </row>
    <row r="919" spans="2:5">
      <c r="B919" s="11"/>
      <c r="C919" s="11"/>
      <c r="D919" s="11"/>
      <c r="E919" s="11"/>
    </row>
    <row r="920" spans="2:5">
      <c r="B920" s="11"/>
      <c r="C920" s="11"/>
      <c r="D920" s="11"/>
      <c r="E920" s="11"/>
    </row>
    <row r="921" spans="2:5">
      <c r="B921" s="11"/>
      <c r="C921" s="11"/>
      <c r="D921" s="11"/>
      <c r="E921" s="11"/>
    </row>
    <row r="922" spans="2:5">
      <c r="B922" s="11"/>
      <c r="C922" s="11"/>
      <c r="D922" s="11"/>
      <c r="E922" s="11"/>
    </row>
    <row r="923" spans="2:5">
      <c r="B923" s="11"/>
      <c r="C923" s="11"/>
      <c r="D923" s="11"/>
      <c r="E923" s="11"/>
    </row>
    <row r="924" spans="2:5">
      <c r="B924" s="11"/>
      <c r="C924" s="11"/>
      <c r="D924" s="11"/>
      <c r="E924" s="11"/>
    </row>
    <row r="925" spans="2:5">
      <c r="B925" s="11"/>
      <c r="C925" s="11"/>
      <c r="D925" s="11"/>
      <c r="E925" s="11"/>
    </row>
    <row r="926" spans="2:5">
      <c r="B926" s="11"/>
      <c r="C926" s="11"/>
      <c r="D926" s="11"/>
      <c r="E926" s="11"/>
    </row>
    <row r="927" spans="2:5">
      <c r="B927" s="11"/>
      <c r="C927" s="11"/>
      <c r="D927" s="11"/>
      <c r="E927" s="11"/>
    </row>
    <row r="928" spans="2:5">
      <c r="B928" s="11"/>
      <c r="C928" s="11"/>
      <c r="D928" s="11"/>
      <c r="E928" s="11"/>
    </row>
    <row r="929" spans="2:5">
      <c r="B929" s="11"/>
      <c r="C929" s="11"/>
      <c r="D929" s="11"/>
      <c r="E929" s="11"/>
    </row>
    <row r="930" spans="2:5">
      <c r="B930" s="11"/>
      <c r="C930" s="11"/>
      <c r="D930" s="11"/>
      <c r="E930" s="11"/>
    </row>
    <row r="931" spans="2:5">
      <c r="B931" s="11"/>
      <c r="C931" s="11"/>
      <c r="D931" s="11"/>
      <c r="E931" s="11"/>
    </row>
    <row r="932" spans="2:5">
      <c r="B932" s="11"/>
      <c r="C932" s="11"/>
      <c r="D932" s="11"/>
      <c r="E932" s="11"/>
    </row>
    <row r="933" spans="2:5">
      <c r="B933" s="11"/>
      <c r="C933" s="11"/>
      <c r="D933" s="11"/>
      <c r="E933" s="11"/>
    </row>
    <row r="934" spans="2:5">
      <c r="B934" s="11"/>
      <c r="C934" s="11"/>
      <c r="D934" s="11"/>
      <c r="E934" s="11"/>
    </row>
    <row r="935" spans="2:5">
      <c r="B935" s="11"/>
      <c r="C935" s="11"/>
      <c r="D935" s="11"/>
      <c r="E935" s="11"/>
    </row>
    <row r="936" spans="2:5">
      <c r="B936" s="11"/>
      <c r="C936" s="11"/>
      <c r="D936" s="11"/>
      <c r="E936" s="11"/>
    </row>
    <row r="937" spans="2:5">
      <c r="B937" s="11"/>
      <c r="C937" s="11"/>
      <c r="D937" s="11"/>
      <c r="E937" s="11"/>
    </row>
    <row r="938" spans="2:5">
      <c r="B938" s="11"/>
      <c r="C938" s="11"/>
      <c r="D938" s="11"/>
      <c r="E938" s="11"/>
    </row>
    <row r="939" spans="2:5">
      <c r="B939" s="11"/>
      <c r="C939" s="11"/>
      <c r="D939" s="11"/>
      <c r="E939" s="11"/>
    </row>
    <row r="940" spans="2:5">
      <c r="B940" s="11"/>
      <c r="C940" s="11"/>
      <c r="D940" s="11"/>
      <c r="E940" s="11"/>
    </row>
    <row r="941" spans="2:5">
      <c r="B941" s="11"/>
      <c r="C941" s="11"/>
      <c r="D941" s="11"/>
      <c r="E941" s="11"/>
    </row>
    <row r="942" spans="2:5">
      <c r="B942" s="11"/>
      <c r="C942" s="11"/>
      <c r="D942" s="11"/>
      <c r="E942" s="11"/>
    </row>
    <row r="943" spans="2:5">
      <c r="B943" s="11"/>
      <c r="C943" s="11"/>
      <c r="D943" s="11"/>
      <c r="E943" s="11"/>
    </row>
    <row r="944" spans="2:5">
      <c r="B944" s="11"/>
      <c r="C944" s="11"/>
      <c r="D944" s="11"/>
      <c r="E944" s="11"/>
    </row>
    <row r="945" spans="2:5">
      <c r="B945" s="11"/>
      <c r="C945" s="11"/>
      <c r="D945" s="11"/>
      <c r="E945" s="11"/>
    </row>
    <row r="946" spans="2:5">
      <c r="B946" s="11"/>
      <c r="C946" s="11"/>
      <c r="D946" s="11"/>
      <c r="E946" s="11"/>
    </row>
    <row r="947" spans="2:5">
      <c r="B947" s="11"/>
      <c r="C947" s="11"/>
      <c r="D947" s="11"/>
      <c r="E947" s="11"/>
    </row>
    <row r="948" spans="2:5">
      <c r="B948" s="11"/>
      <c r="C948" s="11"/>
      <c r="D948" s="11"/>
      <c r="E948" s="11"/>
    </row>
    <row r="949" spans="2:5">
      <c r="B949" s="11"/>
      <c r="C949" s="11"/>
      <c r="D949" s="11"/>
      <c r="E949" s="11"/>
    </row>
    <row r="950" spans="2:5">
      <c r="B950" s="11"/>
      <c r="C950" s="11"/>
      <c r="D950" s="11"/>
      <c r="E950" s="11"/>
    </row>
    <row r="951" spans="2:5">
      <c r="B951" s="11"/>
      <c r="C951" s="11"/>
      <c r="D951" s="11"/>
      <c r="E951" s="11"/>
    </row>
    <row r="952" spans="2:5">
      <c r="B952" s="11"/>
      <c r="C952" s="11"/>
      <c r="D952" s="11"/>
      <c r="E952" s="11"/>
    </row>
    <row r="953" spans="2:5">
      <c r="B953" s="11"/>
      <c r="C953" s="11"/>
      <c r="D953" s="11"/>
      <c r="E953" s="11"/>
    </row>
    <row r="954" spans="2:5">
      <c r="B954" s="11"/>
      <c r="C954" s="11"/>
      <c r="D954" s="11"/>
      <c r="E954" s="11"/>
    </row>
    <row r="955" spans="2:5">
      <c r="B955" s="11"/>
      <c r="C955" s="11"/>
      <c r="D955" s="11"/>
      <c r="E955" s="11"/>
    </row>
    <row r="956" spans="2:5">
      <c r="B956" s="11"/>
      <c r="C956" s="11"/>
      <c r="D956" s="11"/>
      <c r="E956" s="11"/>
    </row>
    <row r="957" spans="2:5">
      <c r="B957" s="11"/>
      <c r="C957" s="11"/>
      <c r="D957" s="11"/>
      <c r="E957" s="11"/>
    </row>
    <row r="958" spans="2:5">
      <c r="B958" s="11"/>
      <c r="C958" s="11"/>
      <c r="D958" s="11"/>
      <c r="E958" s="11"/>
    </row>
    <row r="959" spans="2:5">
      <c r="B959" s="11"/>
      <c r="C959" s="11"/>
      <c r="D959" s="11"/>
      <c r="E959" s="11"/>
    </row>
    <row r="960" spans="2:5">
      <c r="B960" s="11"/>
      <c r="C960" s="11"/>
      <c r="D960" s="11"/>
      <c r="E960" s="11"/>
    </row>
    <row r="961" spans="2:5">
      <c r="B961" s="11"/>
      <c r="C961" s="11"/>
      <c r="D961" s="11"/>
      <c r="E961" s="11"/>
    </row>
    <row r="962" spans="2:5">
      <c r="B962" s="11"/>
      <c r="C962" s="11"/>
      <c r="D962" s="11"/>
      <c r="E962" s="11"/>
    </row>
    <row r="963" spans="2:5">
      <c r="B963" s="11"/>
      <c r="C963" s="11"/>
      <c r="D963" s="11"/>
      <c r="E963" s="11"/>
    </row>
    <row r="964" spans="2:5">
      <c r="B964" s="11"/>
      <c r="C964" s="11"/>
      <c r="D964" s="11"/>
      <c r="E964" s="11"/>
    </row>
    <row r="965" spans="2:5">
      <c r="B965" s="11"/>
      <c r="C965" s="11"/>
      <c r="D965" s="11"/>
      <c r="E965" s="11"/>
    </row>
    <row r="966" spans="2:5">
      <c r="B966" s="11"/>
      <c r="C966" s="11"/>
      <c r="D966" s="11"/>
      <c r="E966" s="11"/>
    </row>
    <row r="967" spans="2:5">
      <c r="B967" s="11"/>
      <c r="C967" s="11"/>
      <c r="D967" s="11"/>
      <c r="E967" s="11"/>
    </row>
    <row r="968" spans="2:5">
      <c r="B968" s="11"/>
      <c r="C968" s="11"/>
      <c r="D968" s="11"/>
      <c r="E968" s="11"/>
    </row>
    <row r="969" spans="2:5">
      <c r="B969" s="11"/>
      <c r="C969" s="11"/>
      <c r="D969" s="11"/>
      <c r="E969" s="11"/>
    </row>
    <row r="970" spans="2:5">
      <c r="B970" s="11"/>
      <c r="C970" s="11"/>
      <c r="D970" s="11"/>
      <c r="E970" s="11"/>
    </row>
    <row r="971" spans="2:5">
      <c r="B971" s="11"/>
      <c r="C971" s="11"/>
      <c r="D971" s="11"/>
      <c r="E971" s="11"/>
    </row>
    <row r="972" spans="2:5">
      <c r="B972" s="11"/>
      <c r="C972" s="11"/>
      <c r="D972" s="11"/>
      <c r="E972" s="11"/>
    </row>
    <row r="973" spans="2:5">
      <c r="B973" s="11"/>
      <c r="C973" s="11"/>
      <c r="D973" s="11"/>
      <c r="E973" s="11"/>
    </row>
    <row r="974" spans="2:5">
      <c r="B974" s="11"/>
      <c r="C974" s="11"/>
      <c r="D974" s="11"/>
      <c r="E974" s="11"/>
    </row>
    <row r="975" spans="2:5">
      <c r="B975" s="11"/>
      <c r="C975" s="11"/>
      <c r="D975" s="11"/>
      <c r="E975" s="11"/>
    </row>
    <row r="976" spans="2:5">
      <c r="B976" s="11"/>
      <c r="C976" s="11"/>
      <c r="D976" s="11"/>
      <c r="E976" s="11"/>
    </row>
    <row r="977" spans="2:5">
      <c r="B977" s="11"/>
      <c r="C977" s="11"/>
      <c r="D977" s="11"/>
      <c r="E977" s="11"/>
    </row>
    <row r="978" spans="2:5">
      <c r="B978" s="11"/>
      <c r="C978" s="11"/>
      <c r="D978" s="11"/>
      <c r="E978" s="11"/>
    </row>
    <row r="979" spans="2:5">
      <c r="B979" s="11"/>
      <c r="C979" s="11"/>
      <c r="D979" s="11"/>
      <c r="E979" s="11"/>
    </row>
    <row r="980" spans="2:5">
      <c r="B980" s="11"/>
      <c r="C980" s="11"/>
      <c r="D980" s="11"/>
      <c r="E980" s="11"/>
    </row>
    <row r="981" spans="2:5">
      <c r="B981" s="11"/>
      <c r="C981" s="11"/>
      <c r="D981" s="11"/>
      <c r="E981" s="11"/>
    </row>
    <row r="982" spans="2:5">
      <c r="B982" s="11"/>
      <c r="C982" s="11"/>
      <c r="D982" s="11"/>
      <c r="E982" s="11"/>
    </row>
    <row r="983" spans="2:5">
      <c r="B983" s="11"/>
      <c r="C983" s="11"/>
      <c r="D983" s="11"/>
      <c r="E983" s="11"/>
    </row>
    <row r="984" spans="2:5">
      <c r="B984" s="11"/>
      <c r="C984" s="11"/>
      <c r="D984" s="11"/>
      <c r="E984" s="11"/>
    </row>
    <row r="985" spans="2:5">
      <c r="B985" s="11"/>
      <c r="C985" s="11"/>
      <c r="D985" s="11"/>
      <c r="E985" s="11"/>
    </row>
    <row r="986" spans="2:5">
      <c r="B986" s="11"/>
      <c r="C986" s="11"/>
      <c r="D986" s="11"/>
      <c r="E986" s="11"/>
    </row>
    <row r="987" spans="2:5">
      <c r="B987" s="11"/>
      <c r="C987" s="11"/>
      <c r="D987" s="11"/>
      <c r="E987" s="11"/>
    </row>
    <row r="988" spans="2:5">
      <c r="B988" s="11"/>
      <c r="C988" s="11"/>
      <c r="D988" s="11"/>
      <c r="E988" s="11"/>
    </row>
    <row r="989" spans="2:5">
      <c r="B989" s="11"/>
      <c r="C989" s="11"/>
      <c r="D989" s="11"/>
      <c r="E989" s="11"/>
    </row>
    <row r="990" spans="2:5">
      <c r="B990" s="11"/>
      <c r="C990" s="11"/>
      <c r="D990" s="11"/>
      <c r="E990" s="11"/>
    </row>
    <row r="991" spans="2:5">
      <c r="B991" s="11"/>
      <c r="C991" s="11"/>
      <c r="D991" s="11"/>
      <c r="E991" s="11"/>
    </row>
    <row r="992" spans="2:5">
      <c r="B992" s="11"/>
      <c r="C992" s="11"/>
      <c r="D992" s="11"/>
      <c r="E992" s="11"/>
    </row>
    <row r="993" spans="2:5">
      <c r="B993" s="11"/>
      <c r="C993" s="11"/>
      <c r="D993" s="11"/>
      <c r="E993" s="11"/>
    </row>
    <row r="994" spans="2:5">
      <c r="B994" s="11"/>
      <c r="C994" s="11"/>
      <c r="D994" s="11"/>
      <c r="E994" s="11"/>
    </row>
    <row r="995" spans="2:5">
      <c r="B995" s="11"/>
      <c r="C995" s="11"/>
      <c r="D995" s="11"/>
      <c r="E995" s="11"/>
    </row>
    <row r="996" spans="2:5">
      <c r="B996" s="11"/>
      <c r="C996" s="11"/>
      <c r="D996" s="11"/>
      <c r="E996" s="11"/>
    </row>
    <row r="997" spans="2:5">
      <c r="B997" s="11"/>
      <c r="C997" s="11"/>
      <c r="D997" s="11"/>
      <c r="E997" s="11"/>
    </row>
    <row r="998" spans="2:5">
      <c r="B998" s="11"/>
      <c r="C998" s="11"/>
      <c r="D998" s="11"/>
      <c r="E998" s="11"/>
    </row>
    <row r="999" spans="2:5">
      <c r="B999" s="11"/>
      <c r="C999" s="11"/>
      <c r="D999" s="11"/>
      <c r="E999" s="11"/>
    </row>
    <row r="1000" spans="2:5">
      <c r="B1000" s="11"/>
      <c r="C1000" s="11"/>
      <c r="D1000" s="11"/>
      <c r="E1000" s="11"/>
    </row>
    <row r="1001" spans="2:5">
      <c r="B1001" s="11"/>
      <c r="C1001" s="11"/>
      <c r="D1001" s="11"/>
      <c r="E1001" s="11"/>
    </row>
    <row r="1002" spans="2:5">
      <c r="B1002" s="11"/>
      <c r="C1002" s="11"/>
      <c r="D1002" s="11"/>
      <c r="E1002" s="11"/>
    </row>
    <row r="1003" spans="2:5">
      <c r="B1003" s="11"/>
      <c r="C1003" s="11"/>
      <c r="D1003" s="11"/>
      <c r="E1003" s="11"/>
    </row>
    <row r="1004" spans="2:5">
      <c r="B1004" s="11"/>
      <c r="C1004" s="11"/>
      <c r="D1004" s="11"/>
      <c r="E1004" s="11"/>
    </row>
    <row r="1005" spans="2:5">
      <c r="B1005" s="11"/>
      <c r="C1005" s="11"/>
      <c r="D1005" s="11"/>
      <c r="E1005" s="11"/>
    </row>
    <row r="1006" spans="2:5">
      <c r="B1006" s="11"/>
      <c r="C1006" s="11"/>
      <c r="D1006" s="11"/>
      <c r="E1006" s="11"/>
    </row>
    <row r="1007" spans="2:5">
      <c r="B1007" s="11"/>
      <c r="C1007" s="11"/>
      <c r="D1007" s="11"/>
      <c r="E1007" s="11"/>
    </row>
    <row r="1008" spans="2:5">
      <c r="B1008" s="11"/>
      <c r="C1008" s="11"/>
      <c r="D1008" s="11"/>
      <c r="E1008" s="11"/>
    </row>
    <row r="1009" spans="2:5">
      <c r="B1009" s="11"/>
      <c r="C1009" s="11"/>
      <c r="D1009" s="11"/>
      <c r="E1009" s="11"/>
    </row>
    <row r="1010" spans="2:5">
      <c r="B1010" s="11"/>
      <c r="C1010" s="11"/>
      <c r="D1010" s="11"/>
      <c r="E1010" s="11"/>
    </row>
    <row r="1011" spans="2:5">
      <c r="B1011" s="11"/>
      <c r="C1011" s="11"/>
      <c r="D1011" s="11"/>
      <c r="E1011" s="11"/>
    </row>
    <row r="1012" spans="2:5">
      <c r="B1012" s="11"/>
      <c r="C1012" s="11"/>
      <c r="D1012" s="11"/>
      <c r="E1012" s="11"/>
    </row>
    <row r="1013" spans="2:5">
      <c r="B1013" s="11"/>
      <c r="C1013" s="11"/>
      <c r="D1013" s="11"/>
      <c r="E1013" s="11"/>
    </row>
    <row r="1014" spans="2:5">
      <c r="B1014" s="11"/>
      <c r="C1014" s="11"/>
      <c r="D1014" s="11"/>
      <c r="E1014" s="11"/>
    </row>
    <row r="1015" spans="2:5">
      <c r="B1015" s="11"/>
      <c r="C1015" s="11"/>
      <c r="D1015" s="11"/>
      <c r="E1015" s="11"/>
    </row>
    <row r="1016" spans="2:5">
      <c r="B1016" s="11"/>
      <c r="C1016" s="11"/>
      <c r="D1016" s="11"/>
      <c r="E1016" s="11"/>
    </row>
    <row r="1017" spans="2:5">
      <c r="B1017" s="11"/>
      <c r="C1017" s="11"/>
      <c r="D1017" s="11"/>
      <c r="E1017" s="11"/>
    </row>
    <row r="1018" spans="2:5">
      <c r="B1018" s="11"/>
      <c r="C1018" s="11"/>
      <c r="D1018" s="11"/>
      <c r="E1018" s="11"/>
    </row>
    <row r="1019" spans="2:5">
      <c r="B1019" s="11"/>
      <c r="C1019" s="11"/>
      <c r="D1019" s="11"/>
      <c r="E1019" s="11"/>
    </row>
    <row r="1020" spans="2:5">
      <c r="B1020" s="11"/>
      <c r="C1020" s="11"/>
      <c r="D1020" s="11"/>
      <c r="E1020" s="11"/>
    </row>
    <row r="1021" spans="2:5">
      <c r="B1021" s="11"/>
      <c r="C1021" s="11"/>
      <c r="D1021" s="11"/>
      <c r="E1021" s="11"/>
    </row>
    <row r="1022" spans="2:5">
      <c r="B1022" s="11"/>
      <c r="C1022" s="11"/>
      <c r="D1022" s="11"/>
      <c r="E1022" s="11"/>
    </row>
    <row r="1023" spans="2:5">
      <c r="B1023" s="11"/>
      <c r="C1023" s="11"/>
      <c r="D1023" s="11"/>
      <c r="E1023" s="11"/>
    </row>
    <row r="1024" spans="2:5">
      <c r="B1024" s="11"/>
      <c r="C1024" s="11"/>
      <c r="D1024" s="11"/>
      <c r="E1024" s="11"/>
    </row>
    <row r="1025" spans="2:5">
      <c r="B1025" s="11"/>
      <c r="C1025" s="11"/>
      <c r="D1025" s="11"/>
      <c r="E1025" s="11"/>
    </row>
    <row r="1026" spans="2:5">
      <c r="B1026" s="11"/>
      <c r="C1026" s="11"/>
      <c r="D1026" s="11"/>
      <c r="E1026" s="11"/>
    </row>
    <row r="1027" spans="2:5">
      <c r="B1027" s="11"/>
      <c r="C1027" s="11"/>
      <c r="D1027" s="11"/>
      <c r="E1027" s="11"/>
    </row>
    <row r="1028" spans="2:5">
      <c r="B1028" s="11"/>
      <c r="C1028" s="11"/>
      <c r="D1028" s="11"/>
      <c r="E1028" s="11"/>
    </row>
    <row r="1029" spans="2:5">
      <c r="B1029" s="11"/>
      <c r="C1029" s="11"/>
      <c r="D1029" s="11"/>
      <c r="E1029" s="11"/>
    </row>
    <row r="1030" spans="2:5">
      <c r="B1030" s="11"/>
      <c r="C1030" s="11"/>
      <c r="D1030" s="11"/>
      <c r="E1030" s="11"/>
    </row>
    <row r="1031" spans="2:5">
      <c r="B1031" s="11"/>
      <c r="C1031" s="11"/>
      <c r="D1031" s="11"/>
      <c r="E1031" s="11"/>
    </row>
    <row r="1032" spans="2:5">
      <c r="B1032" s="11"/>
      <c r="C1032" s="11"/>
      <c r="D1032" s="11"/>
      <c r="E1032" s="11"/>
    </row>
    <row r="1033" spans="2:5">
      <c r="B1033" s="11"/>
      <c r="C1033" s="11"/>
      <c r="D1033" s="11"/>
      <c r="E1033" s="11"/>
    </row>
    <row r="1034" spans="2:5">
      <c r="B1034" s="11"/>
      <c r="C1034" s="11"/>
      <c r="D1034" s="11"/>
      <c r="E1034" s="11"/>
    </row>
    <row r="1035" spans="2:5">
      <c r="B1035" s="11"/>
      <c r="C1035" s="11"/>
      <c r="D1035" s="11"/>
      <c r="E1035" s="11"/>
    </row>
    <row r="1036" spans="2:5">
      <c r="B1036" s="11"/>
      <c r="C1036" s="11"/>
      <c r="D1036" s="11"/>
      <c r="E1036" s="11"/>
    </row>
    <row r="1037" spans="2:5">
      <c r="B1037" s="11"/>
      <c r="C1037" s="11"/>
      <c r="D1037" s="11"/>
      <c r="E1037" s="11"/>
    </row>
    <row r="1038" spans="2:5">
      <c r="B1038" s="11"/>
      <c r="C1038" s="11"/>
      <c r="D1038" s="11"/>
      <c r="E1038" s="11"/>
    </row>
    <row r="1039" spans="2:5">
      <c r="B1039" s="11"/>
      <c r="C1039" s="11"/>
      <c r="D1039" s="11"/>
      <c r="E1039" s="11"/>
    </row>
    <row r="1040" spans="2:5">
      <c r="B1040" s="11"/>
      <c r="C1040" s="11"/>
      <c r="D1040" s="11"/>
      <c r="E1040" s="11"/>
    </row>
    <row r="1041" spans="2:5">
      <c r="B1041" s="11"/>
      <c r="C1041" s="11"/>
      <c r="D1041" s="11"/>
      <c r="E1041" s="11"/>
    </row>
    <row r="1042" spans="2:5">
      <c r="B1042" s="11"/>
      <c r="C1042" s="11"/>
      <c r="D1042" s="11"/>
      <c r="E1042" s="11"/>
    </row>
    <row r="1043" spans="2:5">
      <c r="B1043" s="11"/>
      <c r="C1043" s="11"/>
      <c r="D1043" s="11"/>
      <c r="E1043" s="11"/>
    </row>
    <row r="1044" spans="2:5">
      <c r="B1044" s="11"/>
      <c r="C1044" s="11"/>
      <c r="D1044" s="11"/>
      <c r="E1044" s="11"/>
    </row>
    <row r="1045" spans="2:5">
      <c r="B1045" s="11"/>
      <c r="C1045" s="11"/>
      <c r="D1045" s="11"/>
      <c r="E1045" s="11"/>
    </row>
    <row r="1046" spans="2:5">
      <c r="B1046" s="11"/>
      <c r="C1046" s="11"/>
      <c r="D1046" s="11"/>
      <c r="E1046" s="11"/>
    </row>
    <row r="1047" spans="2:5">
      <c r="B1047" s="11"/>
      <c r="C1047" s="11"/>
      <c r="D1047" s="11"/>
      <c r="E1047" s="11"/>
    </row>
    <row r="1048" spans="2:5">
      <c r="B1048" s="11"/>
      <c r="C1048" s="11"/>
      <c r="D1048" s="11"/>
      <c r="E1048" s="11"/>
    </row>
    <row r="1049" spans="2:5">
      <c r="B1049" s="11"/>
      <c r="C1049" s="11"/>
      <c r="D1049" s="11"/>
      <c r="E1049" s="11"/>
    </row>
    <row r="1050" spans="2:5">
      <c r="B1050" s="11"/>
      <c r="C1050" s="11"/>
      <c r="D1050" s="11"/>
      <c r="E1050" s="11"/>
    </row>
    <row r="1051" spans="2:5">
      <c r="B1051" s="11"/>
      <c r="C1051" s="11"/>
      <c r="D1051" s="11"/>
      <c r="E1051" s="11"/>
    </row>
    <row r="1052" spans="2:5">
      <c r="B1052" s="11"/>
      <c r="C1052" s="11"/>
      <c r="D1052" s="11"/>
      <c r="E1052" s="11"/>
    </row>
    <row r="1053" spans="2:5">
      <c r="B1053" s="11"/>
      <c r="C1053" s="11"/>
      <c r="D1053" s="11"/>
      <c r="E1053" s="11"/>
    </row>
    <row r="1054" spans="2:5">
      <c r="B1054" s="11"/>
      <c r="C1054" s="11"/>
      <c r="D1054" s="11"/>
      <c r="E1054" s="11"/>
    </row>
    <row r="1055" spans="2:5">
      <c r="B1055" s="11"/>
      <c r="C1055" s="11"/>
      <c r="D1055" s="11"/>
      <c r="E1055" s="11"/>
    </row>
    <row r="1056" spans="2:5">
      <c r="B1056" s="11"/>
      <c r="C1056" s="11"/>
      <c r="D1056" s="11"/>
      <c r="E1056" s="11"/>
    </row>
    <row r="1057" spans="2:5">
      <c r="B1057" s="11"/>
      <c r="C1057" s="11"/>
      <c r="D1057" s="11"/>
      <c r="E1057" s="11"/>
    </row>
    <row r="1058" spans="2:5">
      <c r="B1058" s="11"/>
      <c r="C1058" s="11"/>
      <c r="D1058" s="11"/>
      <c r="E1058" s="11"/>
    </row>
    <row r="1059" spans="2:5">
      <c r="B1059" s="11"/>
      <c r="C1059" s="11"/>
      <c r="D1059" s="11"/>
      <c r="E1059" s="11"/>
    </row>
    <row r="1060" spans="2:5">
      <c r="B1060" s="11"/>
      <c r="C1060" s="11"/>
      <c r="D1060" s="11"/>
      <c r="E1060" s="11"/>
    </row>
    <row r="1061" spans="2:5">
      <c r="B1061" s="11"/>
      <c r="C1061" s="11"/>
      <c r="D1061" s="11"/>
      <c r="E1061" s="11"/>
    </row>
    <row r="1062" spans="2:5">
      <c r="B1062" s="11"/>
      <c r="C1062" s="11"/>
      <c r="D1062" s="11"/>
      <c r="E1062" s="11"/>
    </row>
    <row r="1063" spans="2:5">
      <c r="B1063" s="11"/>
      <c r="C1063" s="11"/>
      <c r="D1063" s="11"/>
      <c r="E1063" s="11"/>
    </row>
    <row r="1064" spans="2:5">
      <c r="B1064" s="11"/>
      <c r="C1064" s="11"/>
      <c r="D1064" s="11"/>
      <c r="E1064" s="11"/>
    </row>
    <row r="1065" spans="2:5">
      <c r="B1065" s="11"/>
      <c r="C1065" s="11"/>
      <c r="D1065" s="11"/>
      <c r="E1065" s="11"/>
    </row>
    <row r="1066" spans="2:5">
      <c r="B1066" s="11"/>
      <c r="C1066" s="11"/>
      <c r="D1066" s="11"/>
      <c r="E1066" s="11"/>
    </row>
    <row r="1067" spans="2:5">
      <c r="B1067" s="11"/>
      <c r="C1067" s="11"/>
      <c r="D1067" s="11"/>
      <c r="E1067" s="11"/>
    </row>
    <row r="1068" spans="2:5">
      <c r="B1068" s="11"/>
      <c r="C1068" s="11"/>
      <c r="D1068" s="11"/>
      <c r="E1068" s="11"/>
    </row>
    <row r="1069" spans="2:5">
      <c r="B1069" s="11"/>
      <c r="C1069" s="11"/>
      <c r="D1069" s="11"/>
      <c r="E1069" s="11"/>
    </row>
    <row r="1070" spans="2:5">
      <c r="B1070" s="11"/>
      <c r="C1070" s="11"/>
      <c r="D1070" s="11"/>
      <c r="E1070" s="11"/>
    </row>
    <row r="1071" spans="2:5">
      <c r="B1071" s="11"/>
      <c r="C1071" s="11"/>
      <c r="D1071" s="11"/>
      <c r="E1071" s="11"/>
    </row>
    <row r="1072" spans="2:5">
      <c r="B1072" s="11"/>
      <c r="C1072" s="11"/>
      <c r="D1072" s="11"/>
      <c r="E1072" s="11"/>
    </row>
    <row r="1073" spans="2:5">
      <c r="B1073" s="11"/>
      <c r="C1073" s="11"/>
      <c r="D1073" s="11"/>
      <c r="E1073" s="11"/>
    </row>
    <row r="1074" spans="2:5">
      <c r="B1074" s="11"/>
      <c r="C1074" s="11"/>
      <c r="D1074" s="11"/>
      <c r="E1074" s="11"/>
    </row>
    <row r="1075" spans="2:5">
      <c r="B1075" s="11"/>
      <c r="C1075" s="11"/>
      <c r="D1075" s="11"/>
      <c r="E1075" s="11"/>
    </row>
    <row r="1076" spans="2:5">
      <c r="B1076" s="11"/>
      <c r="C1076" s="11"/>
      <c r="D1076" s="11"/>
      <c r="E1076" s="11"/>
    </row>
    <row r="1077" spans="2:5">
      <c r="B1077" s="11"/>
      <c r="C1077" s="11"/>
      <c r="D1077" s="11"/>
      <c r="E1077" s="11"/>
    </row>
    <row r="1078" spans="2:5">
      <c r="B1078" s="11"/>
      <c r="C1078" s="11"/>
      <c r="D1078" s="11"/>
      <c r="E1078" s="11"/>
    </row>
    <row r="1079" spans="2:5">
      <c r="B1079" s="11"/>
      <c r="C1079" s="11"/>
      <c r="D1079" s="11"/>
      <c r="E1079" s="11"/>
    </row>
    <row r="1080" spans="2:5">
      <c r="B1080" s="10"/>
      <c r="C1080" s="10"/>
      <c r="D1080" s="10"/>
      <c r="E1080" s="10"/>
    </row>
    <row r="1081" spans="2:5">
      <c r="B1081" s="10"/>
      <c r="C1081" s="10"/>
      <c r="D1081" s="10"/>
      <c r="E1081" s="10"/>
    </row>
    <row r="1082" spans="2:5">
      <c r="B1082" s="10"/>
      <c r="C1082" s="10"/>
      <c r="D1082" s="10"/>
      <c r="E1082" s="10"/>
    </row>
    <row r="1083" spans="2:5">
      <c r="B1083" s="10"/>
      <c r="C1083" s="10"/>
      <c r="D1083" s="10"/>
      <c r="E1083" s="10"/>
    </row>
    <row r="1084" spans="2:5">
      <c r="B1084" s="10"/>
      <c r="C1084" s="10"/>
      <c r="D1084" s="10"/>
      <c r="E1084" s="10"/>
    </row>
    <row r="1085" spans="2:5">
      <c r="B1085" s="10"/>
      <c r="C1085" s="10"/>
      <c r="D1085" s="10"/>
      <c r="E1085" s="10"/>
    </row>
    <row r="1086" spans="2:5">
      <c r="B1086" s="10"/>
      <c r="C1086" s="10"/>
      <c r="D1086" s="10"/>
      <c r="E1086" s="10"/>
    </row>
    <row r="1087" spans="2:5">
      <c r="B1087" s="10"/>
      <c r="C1087" s="10"/>
      <c r="D1087" s="10"/>
      <c r="E1087" s="10"/>
    </row>
    <row r="1088" spans="2:5">
      <c r="B1088" s="10"/>
      <c r="C1088" s="10"/>
      <c r="D1088" s="10"/>
      <c r="E1088" s="10"/>
    </row>
  </sheetData>
  <phoneticPr fontId="2" type="noConversion"/>
  <hyperlinks>
    <hyperlink ref="F1" r:id="rId1" location="0" xr:uid="{E50AE759-33CC-4C76-93AE-A3F5918E6D3F}"/>
    <hyperlink ref="B1" r:id="rId2" location="0" xr:uid="{97004CCC-E0A4-495E-A86C-4EFC313E66DF}"/>
    <hyperlink ref="H1" r:id="rId3" xr:uid="{A04A7686-9677-4E12-A845-A02B597E07A0}"/>
    <hyperlink ref="I1" r:id="rId4" xr:uid="{CEE04003-6963-47C8-8264-6069CB0F73CF}"/>
    <hyperlink ref="J1" r:id="rId5" xr:uid="{502ABBA3-4224-4D86-92C8-ED77A9C1F83B}"/>
  </hyperlinks>
  <pageMargins left="0.511811024" right="0.511811024" top="0.78740157499999996" bottom="0.78740157499999996" header="0.31496062000000002" footer="0.31496062000000002"/>
  <tableParts count="1">
    <tablePart r:id="rId6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3C9939-E2AA-490F-9159-7FF0F7DAD3AD}">
  <sheetPr codeName="Planilha13"/>
  <dimension ref="A1:C856"/>
  <sheetViews>
    <sheetView showGridLines="0" workbookViewId="0">
      <pane xSplit="1" ySplit="2" topLeftCell="B36" activePane="bottomRight" state="frozen"/>
      <selection activeCell="I37" sqref="I37"/>
      <selection pane="topRight" activeCell="I37" sqref="I37"/>
      <selection pane="bottomLeft" activeCell="I37" sqref="I37"/>
      <selection pane="bottomRight" activeCell="H49" sqref="H49"/>
    </sheetView>
  </sheetViews>
  <sheetFormatPr defaultRowHeight="12.75"/>
  <cols>
    <col min="1" max="1" width="10.140625" style="5" customWidth="1"/>
    <col min="2" max="3" width="18" style="5" customWidth="1"/>
    <col min="4" max="16384" width="9.140625" style="9"/>
  </cols>
  <sheetData>
    <row r="1" spans="1:3">
      <c r="B1" s="20"/>
      <c r="C1" s="20"/>
    </row>
    <row r="2" spans="1:3" ht="30" customHeight="1">
      <c r="A2" s="19" t="s">
        <v>32</v>
      </c>
      <c r="B2" s="19" t="s">
        <v>129</v>
      </c>
      <c r="C2" s="19" t="s">
        <v>8</v>
      </c>
    </row>
    <row r="3" spans="1:3">
      <c r="A3" s="65">
        <v>1950</v>
      </c>
      <c r="B3" s="25">
        <v>-1.04027</v>
      </c>
      <c r="C3" s="25">
        <v>4.3</v>
      </c>
    </row>
    <row r="4" spans="1:3">
      <c r="A4" s="66">
        <v>1951</v>
      </c>
      <c r="B4" s="25">
        <v>1.7589399999999999</v>
      </c>
      <c r="C4" s="25">
        <v>3.1</v>
      </c>
    </row>
    <row r="5" spans="1:3">
      <c r="A5" s="65">
        <v>1952</v>
      </c>
      <c r="B5" s="25">
        <v>-0.41350999999999999</v>
      </c>
      <c r="C5" s="25">
        <v>2.7</v>
      </c>
    </row>
    <row r="6" spans="1:3">
      <c r="A6" s="66">
        <v>1953</v>
      </c>
      <c r="B6" s="25">
        <v>-1.66822</v>
      </c>
      <c r="C6" s="25">
        <v>4.5</v>
      </c>
    </row>
    <row r="7" spans="1:3">
      <c r="A7" s="65">
        <v>1954</v>
      </c>
      <c r="B7" s="25">
        <v>-0.29548000000000002</v>
      </c>
      <c r="C7" s="25">
        <v>5</v>
      </c>
    </row>
    <row r="8" spans="1:3">
      <c r="A8" s="66">
        <v>1955</v>
      </c>
      <c r="B8" s="25">
        <v>-0.70343999999999995</v>
      </c>
      <c r="C8" s="25">
        <v>4.2</v>
      </c>
    </row>
    <row r="9" spans="1:3">
      <c r="A9" s="65">
        <v>1956</v>
      </c>
      <c r="B9" s="25">
        <v>0.87836999999999998</v>
      </c>
      <c r="C9" s="25">
        <v>4.2</v>
      </c>
    </row>
    <row r="10" spans="1:3">
      <c r="A10" s="66">
        <v>1957</v>
      </c>
      <c r="B10" s="25">
        <v>0.71977000000000002</v>
      </c>
      <c r="C10" s="25">
        <v>5.2</v>
      </c>
    </row>
    <row r="11" spans="1:3">
      <c r="A11" s="65">
        <v>1958</v>
      </c>
      <c r="B11" s="25">
        <v>-0.57540000000000002</v>
      </c>
      <c r="C11" s="25">
        <v>6.2</v>
      </c>
    </row>
    <row r="12" spans="1:3">
      <c r="A12" s="66">
        <v>1959</v>
      </c>
      <c r="B12" s="25">
        <v>-2.46313</v>
      </c>
      <c r="C12" s="25">
        <v>5.3</v>
      </c>
    </row>
    <row r="13" spans="1:3">
      <c r="A13" s="65">
        <v>1960</v>
      </c>
      <c r="B13" s="25">
        <v>5.5500000000000001E-2</v>
      </c>
      <c r="C13" s="25">
        <v>6.6</v>
      </c>
    </row>
    <row r="14" spans="1:3">
      <c r="A14" s="66">
        <v>1961</v>
      </c>
      <c r="B14" s="25">
        <v>-0.59319999999999995</v>
      </c>
      <c r="C14" s="25">
        <v>6</v>
      </c>
    </row>
    <row r="15" spans="1:3">
      <c r="A15" s="65">
        <v>1962</v>
      </c>
      <c r="B15" s="25">
        <v>-1.18327</v>
      </c>
      <c r="C15" s="25">
        <v>5.5</v>
      </c>
    </row>
    <row r="16" spans="1:3">
      <c r="A16" s="66">
        <v>1963</v>
      </c>
      <c r="B16" s="25">
        <v>-0.74609999999999999</v>
      </c>
      <c r="C16" s="25">
        <v>5.5</v>
      </c>
    </row>
    <row r="17" spans="1:3">
      <c r="A17" s="65">
        <v>1964</v>
      </c>
      <c r="B17" s="25">
        <v>-0.86417999999999995</v>
      </c>
      <c r="C17" s="25">
        <v>5</v>
      </c>
    </row>
    <row r="18" spans="1:3">
      <c r="A18" s="66">
        <v>1965</v>
      </c>
      <c r="B18" s="25">
        <v>-0.19009000000000001</v>
      </c>
      <c r="C18" s="25">
        <v>4</v>
      </c>
    </row>
    <row r="19" spans="1:3">
      <c r="A19" s="65">
        <v>1966</v>
      </c>
      <c r="B19" s="25">
        <v>-0.45462999999999998</v>
      </c>
      <c r="C19" s="25">
        <v>3.8</v>
      </c>
    </row>
    <row r="20" spans="1:3">
      <c r="A20" s="66">
        <v>1967</v>
      </c>
      <c r="B20" s="25">
        <v>-1.00505</v>
      </c>
      <c r="C20" s="25">
        <v>3.8</v>
      </c>
    </row>
    <row r="21" spans="1:3">
      <c r="A21" s="65">
        <v>1968</v>
      </c>
      <c r="B21" s="25">
        <v>-2.6748500000000002</v>
      </c>
      <c r="C21" s="25">
        <v>3.4</v>
      </c>
    </row>
    <row r="22" spans="1:3">
      <c r="A22" s="66">
        <v>1969</v>
      </c>
      <c r="B22" s="25">
        <v>0.31858999999999998</v>
      </c>
      <c r="C22" s="25">
        <v>3.5</v>
      </c>
    </row>
    <row r="23" spans="1:3">
      <c r="A23" s="65">
        <v>1970</v>
      </c>
      <c r="B23" s="25">
        <v>-0.26479000000000003</v>
      </c>
      <c r="C23" s="25">
        <v>6.1</v>
      </c>
    </row>
    <row r="24" spans="1:3">
      <c r="A24" s="66">
        <v>1971</v>
      </c>
      <c r="B24" s="25">
        <v>-1.9773400000000001</v>
      </c>
      <c r="C24" s="25">
        <v>6</v>
      </c>
    </row>
    <row r="25" spans="1:3">
      <c r="A25" s="65">
        <v>1972</v>
      </c>
      <c r="B25" s="25">
        <v>-1.8272900000000001</v>
      </c>
      <c r="C25" s="25">
        <v>5.2</v>
      </c>
    </row>
    <row r="26" spans="1:3">
      <c r="A26" s="66">
        <v>1973</v>
      </c>
      <c r="B26" s="25">
        <v>-1.0459000000000001</v>
      </c>
      <c r="C26" s="25">
        <v>4.9000000000000004</v>
      </c>
    </row>
    <row r="27" spans="1:3">
      <c r="A27" s="65">
        <v>1974</v>
      </c>
      <c r="B27" s="25">
        <v>-0.39701999999999998</v>
      </c>
      <c r="C27" s="25">
        <v>7.2</v>
      </c>
    </row>
    <row r="28" spans="1:3">
      <c r="A28" s="66">
        <v>1975</v>
      </c>
      <c r="B28" s="25">
        <v>-3.1599400000000002</v>
      </c>
      <c r="C28" s="25">
        <v>8.1999999999999993</v>
      </c>
    </row>
    <row r="29" spans="1:3">
      <c r="A29" s="65">
        <v>1976</v>
      </c>
      <c r="B29" s="25">
        <v>-3.9357099999999998</v>
      </c>
      <c r="C29" s="25">
        <v>7.8</v>
      </c>
    </row>
    <row r="30" spans="1:3">
      <c r="A30" s="66">
        <v>1977</v>
      </c>
      <c r="B30" s="25">
        <v>-2.5775000000000001</v>
      </c>
      <c r="C30" s="25">
        <v>6.4</v>
      </c>
    </row>
    <row r="31" spans="1:3">
      <c r="A31" s="65">
        <v>1978</v>
      </c>
      <c r="B31" s="25">
        <v>-2.5167999999999999</v>
      </c>
      <c r="C31" s="25">
        <v>6</v>
      </c>
    </row>
    <row r="32" spans="1:3">
      <c r="A32" s="66">
        <v>1979</v>
      </c>
      <c r="B32" s="25">
        <v>-1.55009</v>
      </c>
      <c r="C32" s="25">
        <v>6</v>
      </c>
    </row>
    <row r="33" spans="1:3">
      <c r="A33" s="65">
        <v>1980</v>
      </c>
      <c r="B33" s="25">
        <v>-2.5838999999999999</v>
      </c>
      <c r="C33" s="25">
        <v>7.2</v>
      </c>
    </row>
    <row r="34" spans="1:3">
      <c r="A34" s="66">
        <v>1981</v>
      </c>
      <c r="B34" s="25">
        <v>-2.4623300000000001</v>
      </c>
      <c r="C34" s="25">
        <v>8.5</v>
      </c>
    </row>
    <row r="35" spans="1:3">
      <c r="A35" s="65">
        <v>1982</v>
      </c>
      <c r="B35" s="25">
        <v>-3.8273000000000001</v>
      </c>
      <c r="C35" s="25">
        <v>10.8</v>
      </c>
    </row>
    <row r="36" spans="1:3">
      <c r="A36" s="66">
        <v>1983</v>
      </c>
      <c r="B36" s="25">
        <v>-5.71821</v>
      </c>
      <c r="C36" s="25">
        <v>8.3000000000000007</v>
      </c>
    </row>
    <row r="37" spans="1:3">
      <c r="A37" s="65">
        <v>1984</v>
      </c>
      <c r="B37" s="25">
        <v>-4.5910000000000002</v>
      </c>
      <c r="C37" s="25">
        <v>7.3</v>
      </c>
    </row>
    <row r="38" spans="1:3">
      <c r="A38" s="66">
        <v>1985</v>
      </c>
      <c r="B38" s="25">
        <v>-4.8930400000000001</v>
      </c>
      <c r="C38" s="25">
        <v>7</v>
      </c>
    </row>
    <row r="39" spans="1:3">
      <c r="A39" s="65">
        <v>1986</v>
      </c>
      <c r="B39" s="25">
        <v>-4.8306699999999996</v>
      </c>
      <c r="C39" s="25">
        <v>6.6</v>
      </c>
    </row>
    <row r="40" spans="1:3">
      <c r="A40" s="66">
        <v>1987</v>
      </c>
      <c r="B40" s="25">
        <v>-3.0838999999999999</v>
      </c>
      <c r="C40" s="25">
        <v>5.7</v>
      </c>
    </row>
    <row r="41" spans="1:3">
      <c r="A41" s="65">
        <v>1988</v>
      </c>
      <c r="B41" s="25">
        <v>-2.9634299999999998</v>
      </c>
      <c r="C41" s="25">
        <v>5.3</v>
      </c>
    </row>
    <row r="42" spans="1:3">
      <c r="A42" s="66">
        <v>1989</v>
      </c>
      <c r="B42" s="25">
        <v>-2.7056100000000001</v>
      </c>
      <c r="C42" s="25">
        <v>5.4</v>
      </c>
    </row>
    <row r="43" spans="1:3">
      <c r="A43" s="65">
        <v>1990</v>
      </c>
      <c r="B43" s="25">
        <v>-3.7067000000000001</v>
      </c>
      <c r="C43" s="25">
        <v>6.3</v>
      </c>
    </row>
    <row r="44" spans="1:3">
      <c r="A44" s="66">
        <v>1991</v>
      </c>
      <c r="B44" s="25">
        <v>-4.3720699999999999</v>
      </c>
      <c r="C44" s="25">
        <v>7.3</v>
      </c>
    </row>
    <row r="45" spans="1:3">
      <c r="A45" s="65">
        <v>1992</v>
      </c>
      <c r="B45" s="25">
        <v>-4.4525499999999996</v>
      </c>
      <c r="C45" s="25">
        <v>7.4</v>
      </c>
    </row>
    <row r="46" spans="1:3">
      <c r="A46" s="66">
        <v>1993</v>
      </c>
      <c r="B46" s="25">
        <v>-3.7187299999999999</v>
      </c>
      <c r="C46" s="25">
        <v>6.5</v>
      </c>
    </row>
    <row r="47" spans="1:3">
      <c r="A47" s="65">
        <v>1994</v>
      </c>
      <c r="B47" s="25">
        <v>-2.7882500000000001</v>
      </c>
      <c r="C47" s="25">
        <v>5.5</v>
      </c>
    </row>
    <row r="48" spans="1:3">
      <c r="A48" s="66">
        <v>1995</v>
      </c>
      <c r="B48" s="25">
        <v>-2.1460400000000002</v>
      </c>
      <c r="C48" s="25">
        <v>5.6</v>
      </c>
    </row>
    <row r="49" spans="1:3">
      <c r="A49" s="65">
        <v>1996</v>
      </c>
      <c r="B49" s="25">
        <v>-1.3307199999999999</v>
      </c>
      <c r="C49" s="25">
        <v>5.4</v>
      </c>
    </row>
    <row r="50" spans="1:3">
      <c r="A50" s="66">
        <v>1997</v>
      </c>
      <c r="B50" s="25">
        <v>-0.25513000000000002</v>
      </c>
      <c r="C50" s="25">
        <v>4.7</v>
      </c>
    </row>
    <row r="51" spans="1:3">
      <c r="A51" s="65">
        <v>1998</v>
      </c>
      <c r="B51" s="25">
        <v>0.76432999999999995</v>
      </c>
      <c r="C51" s="25">
        <v>4.4000000000000004</v>
      </c>
    </row>
    <row r="52" spans="1:3">
      <c r="A52" s="66">
        <v>1999</v>
      </c>
      <c r="B52" s="25">
        <v>1.3042</v>
      </c>
      <c r="C52" s="25">
        <v>4</v>
      </c>
    </row>
    <row r="53" spans="1:3">
      <c r="A53" s="65">
        <v>2000</v>
      </c>
      <c r="B53" s="25">
        <v>2.3045800000000001</v>
      </c>
      <c r="C53" s="25">
        <v>3.9</v>
      </c>
    </row>
    <row r="54" spans="1:3">
      <c r="A54" s="66">
        <v>2001</v>
      </c>
      <c r="B54" s="25">
        <v>1.21184</v>
      </c>
      <c r="C54" s="25">
        <v>5.7</v>
      </c>
    </row>
    <row r="55" spans="1:3">
      <c r="A55" s="65">
        <v>2002</v>
      </c>
      <c r="B55" s="25">
        <v>-1.44347</v>
      </c>
      <c r="C55" s="25">
        <v>6</v>
      </c>
    </row>
    <row r="56" spans="1:3">
      <c r="A56" s="66">
        <v>2003</v>
      </c>
      <c r="B56" s="25">
        <v>-3.29583</v>
      </c>
      <c r="C56" s="25">
        <v>5.7</v>
      </c>
    </row>
    <row r="57" spans="1:3">
      <c r="A57" s="65">
        <v>2004</v>
      </c>
      <c r="B57" s="25">
        <v>-3.37825</v>
      </c>
      <c r="C57" s="25">
        <v>5.4</v>
      </c>
    </row>
    <row r="58" spans="1:3">
      <c r="A58" s="66">
        <v>2005</v>
      </c>
      <c r="B58" s="25">
        <v>-2.4414500000000001</v>
      </c>
      <c r="C58" s="25">
        <v>4.9000000000000004</v>
      </c>
    </row>
    <row r="59" spans="1:3">
      <c r="A59" s="65">
        <v>2006</v>
      </c>
      <c r="B59" s="25">
        <v>-1.7963800000000001</v>
      </c>
      <c r="C59" s="25">
        <v>4.4000000000000004</v>
      </c>
    </row>
    <row r="60" spans="1:3">
      <c r="A60" s="66">
        <v>2007</v>
      </c>
      <c r="B60" s="25">
        <v>-1.11026</v>
      </c>
      <c r="C60" s="25">
        <v>5</v>
      </c>
    </row>
    <row r="61" spans="1:3">
      <c r="A61" s="65">
        <v>2008</v>
      </c>
      <c r="B61" s="25">
        <v>-3.1046499999999999</v>
      </c>
      <c r="C61" s="25">
        <v>7.3</v>
      </c>
    </row>
    <row r="62" spans="1:3">
      <c r="A62" s="66">
        <v>2009</v>
      </c>
      <c r="B62" s="25">
        <v>-9.7574400000000008</v>
      </c>
      <c r="C62" s="25">
        <v>9.9</v>
      </c>
    </row>
    <row r="63" spans="1:3">
      <c r="A63" s="65">
        <v>2010</v>
      </c>
      <c r="B63" s="25">
        <v>-8.60107</v>
      </c>
      <c r="C63" s="25">
        <v>9.3000000000000007</v>
      </c>
    </row>
    <row r="64" spans="1:3">
      <c r="A64" s="66">
        <v>2011</v>
      </c>
      <c r="B64" s="25">
        <v>-8.3309099999999994</v>
      </c>
      <c r="C64" s="25">
        <v>8.5</v>
      </c>
    </row>
    <row r="65" spans="1:3">
      <c r="A65" s="65">
        <v>2012</v>
      </c>
      <c r="B65" s="25">
        <v>-6.6234500000000001</v>
      </c>
      <c r="C65" s="25">
        <v>7.9</v>
      </c>
    </row>
    <row r="66" spans="1:3">
      <c r="A66" s="66">
        <v>2013</v>
      </c>
      <c r="B66" s="25">
        <v>-4.0358999999999998</v>
      </c>
      <c r="C66" s="25">
        <v>6.7</v>
      </c>
    </row>
    <row r="67" spans="1:3">
      <c r="A67" s="65">
        <v>2014</v>
      </c>
      <c r="B67" s="25">
        <v>-2.7622499999999999</v>
      </c>
      <c r="C67" s="25">
        <v>5.6</v>
      </c>
    </row>
    <row r="68" spans="1:3">
      <c r="A68" s="66">
        <v>2015</v>
      </c>
      <c r="B68" s="25">
        <v>-2.4275500000000001</v>
      </c>
      <c r="C68" s="25">
        <v>5</v>
      </c>
    </row>
    <row r="69" spans="1:3">
      <c r="A69" s="65">
        <v>2016</v>
      </c>
      <c r="B69" s="25">
        <v>-3.1272899999999999</v>
      </c>
      <c r="C69" s="25">
        <v>4.7</v>
      </c>
    </row>
    <row r="70" spans="1:3">
      <c r="A70" s="66">
        <v>2017</v>
      </c>
      <c r="B70" s="25">
        <v>-3.4165299999999998</v>
      </c>
      <c r="C70" s="25">
        <v>4.0999999999999996</v>
      </c>
    </row>
    <row r="71" spans="1:3">
      <c r="A71" s="65">
        <v>2018</v>
      </c>
      <c r="B71" s="25">
        <v>-3.7945600000000002</v>
      </c>
      <c r="C71" s="25">
        <v>3.9</v>
      </c>
    </row>
    <row r="72" spans="1:3">
      <c r="A72" s="66">
        <v>2019</v>
      </c>
      <c r="B72" s="25">
        <v>-4.6003299999999996</v>
      </c>
      <c r="C72" s="25">
        <v>3.6</v>
      </c>
    </row>
    <row r="73" spans="1:3">
      <c r="A73" s="65">
        <v>2020</v>
      </c>
      <c r="B73" s="25">
        <v>-14.87363</v>
      </c>
      <c r="C73" s="25">
        <v>6.7</v>
      </c>
    </row>
    <row r="74" spans="1:3">
      <c r="A74" s="66">
        <v>2021</v>
      </c>
      <c r="B74" s="25">
        <v>-11.90371</v>
      </c>
      <c r="C74" s="25">
        <v>3.9</v>
      </c>
    </row>
    <row r="75" spans="1:3">
      <c r="A75" s="65">
        <v>2022</v>
      </c>
      <c r="B75" s="25">
        <v>-5.4036799999999996</v>
      </c>
      <c r="C75" s="25">
        <v>3.5</v>
      </c>
    </row>
    <row r="76" spans="1:3">
      <c r="A76" s="66">
        <v>2023</v>
      </c>
      <c r="B76" s="25">
        <v>-5.8</v>
      </c>
      <c r="C76" s="7">
        <v>3.8</v>
      </c>
    </row>
    <row r="77" spans="1:3">
      <c r="B77" s="11"/>
      <c r="C77" s="11"/>
    </row>
    <row r="78" spans="1:3">
      <c r="B78" s="11"/>
      <c r="C78" s="11"/>
    </row>
    <row r="79" spans="1:3">
      <c r="B79" s="11"/>
      <c r="C79" s="11"/>
    </row>
    <row r="80" spans="1:3">
      <c r="B80" s="11"/>
      <c r="C80" s="11"/>
    </row>
    <row r="81" spans="2:3">
      <c r="B81" s="11"/>
      <c r="C81" s="11"/>
    </row>
    <row r="82" spans="2:3">
      <c r="B82" s="11"/>
      <c r="C82" s="11"/>
    </row>
    <row r="83" spans="2:3">
      <c r="B83" s="11"/>
      <c r="C83" s="11"/>
    </row>
    <row r="84" spans="2:3">
      <c r="B84" s="11"/>
      <c r="C84" s="11"/>
    </row>
    <row r="85" spans="2:3">
      <c r="B85" s="11"/>
      <c r="C85" s="11"/>
    </row>
    <row r="86" spans="2:3">
      <c r="B86" s="11"/>
      <c r="C86" s="11"/>
    </row>
    <row r="87" spans="2:3">
      <c r="B87" s="11"/>
      <c r="C87" s="11"/>
    </row>
    <row r="88" spans="2:3">
      <c r="B88" s="11"/>
      <c r="C88" s="11"/>
    </row>
    <row r="89" spans="2:3">
      <c r="B89" s="11"/>
      <c r="C89" s="11"/>
    </row>
    <row r="90" spans="2:3">
      <c r="B90" s="11"/>
      <c r="C90" s="11"/>
    </row>
    <row r="91" spans="2:3">
      <c r="B91" s="11"/>
      <c r="C91" s="11"/>
    </row>
    <row r="92" spans="2:3">
      <c r="B92" s="11"/>
      <c r="C92" s="11"/>
    </row>
    <row r="93" spans="2:3">
      <c r="B93" s="11"/>
      <c r="C93" s="11"/>
    </row>
    <row r="94" spans="2:3">
      <c r="B94" s="11"/>
      <c r="C94" s="11"/>
    </row>
    <row r="95" spans="2:3">
      <c r="B95" s="11"/>
      <c r="C95" s="11"/>
    </row>
    <row r="96" spans="2:3">
      <c r="B96" s="11"/>
      <c r="C96" s="11"/>
    </row>
    <row r="97" spans="2:3">
      <c r="B97" s="11"/>
      <c r="C97" s="11"/>
    </row>
    <row r="98" spans="2:3">
      <c r="B98" s="11"/>
      <c r="C98" s="11"/>
    </row>
    <row r="99" spans="2:3">
      <c r="B99" s="11"/>
      <c r="C99" s="11"/>
    </row>
    <row r="100" spans="2:3">
      <c r="B100" s="11"/>
      <c r="C100" s="11"/>
    </row>
    <row r="101" spans="2:3">
      <c r="B101" s="11"/>
      <c r="C101" s="11"/>
    </row>
    <row r="102" spans="2:3">
      <c r="B102" s="11"/>
      <c r="C102" s="11"/>
    </row>
    <row r="103" spans="2:3">
      <c r="B103" s="11"/>
      <c r="C103" s="11"/>
    </row>
    <row r="104" spans="2:3">
      <c r="B104" s="11"/>
      <c r="C104" s="11"/>
    </row>
    <row r="105" spans="2:3">
      <c r="B105" s="11"/>
      <c r="C105" s="11"/>
    </row>
    <row r="106" spans="2:3">
      <c r="B106" s="11"/>
      <c r="C106" s="11"/>
    </row>
    <row r="107" spans="2:3">
      <c r="B107" s="11"/>
      <c r="C107" s="11"/>
    </row>
    <row r="108" spans="2:3">
      <c r="B108" s="11"/>
      <c r="C108" s="11"/>
    </row>
    <row r="109" spans="2:3">
      <c r="B109" s="11"/>
      <c r="C109" s="11"/>
    </row>
    <row r="110" spans="2:3">
      <c r="B110" s="11"/>
      <c r="C110" s="11"/>
    </row>
    <row r="111" spans="2:3">
      <c r="B111" s="11"/>
      <c r="C111" s="11"/>
    </row>
    <row r="112" spans="2:3">
      <c r="B112" s="11"/>
      <c r="C112" s="11"/>
    </row>
    <row r="113" spans="2:3">
      <c r="B113" s="11"/>
      <c r="C113" s="11"/>
    </row>
    <row r="114" spans="2:3">
      <c r="B114" s="11"/>
      <c r="C114" s="11"/>
    </row>
    <row r="115" spans="2:3">
      <c r="B115" s="11"/>
      <c r="C115" s="11"/>
    </row>
    <row r="116" spans="2:3">
      <c r="B116" s="11"/>
      <c r="C116" s="11"/>
    </row>
    <row r="117" spans="2:3">
      <c r="B117" s="11"/>
      <c r="C117" s="11"/>
    </row>
    <row r="118" spans="2:3">
      <c r="B118" s="11"/>
      <c r="C118" s="11"/>
    </row>
    <row r="119" spans="2:3">
      <c r="B119" s="11"/>
      <c r="C119" s="11"/>
    </row>
    <row r="120" spans="2:3">
      <c r="B120" s="11"/>
      <c r="C120" s="11"/>
    </row>
    <row r="121" spans="2:3">
      <c r="B121" s="11"/>
      <c r="C121" s="11"/>
    </row>
    <row r="122" spans="2:3">
      <c r="B122" s="11"/>
      <c r="C122" s="11"/>
    </row>
    <row r="123" spans="2:3">
      <c r="B123" s="11"/>
      <c r="C123" s="11"/>
    </row>
    <row r="124" spans="2:3">
      <c r="B124" s="11"/>
      <c r="C124" s="11"/>
    </row>
    <row r="125" spans="2:3">
      <c r="B125" s="11"/>
      <c r="C125" s="11"/>
    </row>
    <row r="126" spans="2:3">
      <c r="B126" s="11"/>
      <c r="C126" s="11"/>
    </row>
    <row r="127" spans="2:3">
      <c r="B127" s="11"/>
      <c r="C127" s="11"/>
    </row>
    <row r="128" spans="2:3">
      <c r="B128" s="11"/>
      <c r="C128" s="11"/>
    </row>
    <row r="129" spans="2:3">
      <c r="B129" s="11"/>
      <c r="C129" s="11"/>
    </row>
    <row r="130" spans="2:3">
      <c r="B130" s="11"/>
      <c r="C130" s="11"/>
    </row>
    <row r="131" spans="2:3">
      <c r="B131" s="11"/>
      <c r="C131" s="11"/>
    </row>
    <row r="132" spans="2:3">
      <c r="B132" s="11"/>
      <c r="C132" s="11"/>
    </row>
    <row r="133" spans="2:3">
      <c r="B133" s="11"/>
      <c r="C133" s="11"/>
    </row>
    <row r="134" spans="2:3">
      <c r="B134" s="11"/>
      <c r="C134" s="11"/>
    </row>
    <row r="135" spans="2:3">
      <c r="B135" s="11"/>
      <c r="C135" s="11"/>
    </row>
    <row r="136" spans="2:3">
      <c r="B136" s="11"/>
      <c r="C136" s="11"/>
    </row>
    <row r="137" spans="2:3">
      <c r="B137" s="11"/>
      <c r="C137" s="11"/>
    </row>
    <row r="138" spans="2:3">
      <c r="B138" s="11"/>
      <c r="C138" s="11"/>
    </row>
    <row r="139" spans="2:3">
      <c r="B139" s="11"/>
      <c r="C139" s="11"/>
    </row>
    <row r="140" spans="2:3">
      <c r="B140" s="11"/>
      <c r="C140" s="11"/>
    </row>
    <row r="141" spans="2:3">
      <c r="B141" s="11"/>
      <c r="C141" s="11"/>
    </row>
    <row r="142" spans="2:3">
      <c r="B142" s="11"/>
      <c r="C142" s="11"/>
    </row>
    <row r="143" spans="2:3">
      <c r="B143" s="11"/>
      <c r="C143" s="11"/>
    </row>
    <row r="144" spans="2:3">
      <c r="B144" s="11"/>
      <c r="C144" s="11"/>
    </row>
    <row r="145" spans="2:3">
      <c r="B145" s="11"/>
      <c r="C145" s="11"/>
    </row>
    <row r="146" spans="2:3">
      <c r="B146" s="11"/>
      <c r="C146" s="11"/>
    </row>
    <row r="147" spans="2:3">
      <c r="B147" s="11"/>
      <c r="C147" s="11"/>
    </row>
    <row r="148" spans="2:3">
      <c r="B148" s="11"/>
      <c r="C148" s="11"/>
    </row>
    <row r="149" spans="2:3">
      <c r="B149" s="11"/>
      <c r="C149" s="11"/>
    </row>
    <row r="150" spans="2:3">
      <c r="B150" s="11"/>
      <c r="C150" s="11"/>
    </row>
    <row r="151" spans="2:3">
      <c r="B151" s="11"/>
      <c r="C151" s="11"/>
    </row>
    <row r="152" spans="2:3">
      <c r="B152" s="11"/>
      <c r="C152" s="11"/>
    </row>
    <row r="153" spans="2:3">
      <c r="B153" s="11"/>
      <c r="C153" s="11"/>
    </row>
    <row r="154" spans="2:3">
      <c r="B154" s="11"/>
      <c r="C154" s="11"/>
    </row>
    <row r="155" spans="2:3">
      <c r="B155" s="11"/>
      <c r="C155" s="11"/>
    </row>
    <row r="156" spans="2:3">
      <c r="B156" s="11"/>
      <c r="C156" s="11"/>
    </row>
    <row r="157" spans="2:3">
      <c r="B157" s="11"/>
      <c r="C157" s="11"/>
    </row>
    <row r="158" spans="2:3">
      <c r="B158" s="11"/>
      <c r="C158" s="11"/>
    </row>
    <row r="159" spans="2:3">
      <c r="B159" s="11"/>
      <c r="C159" s="11"/>
    </row>
    <row r="160" spans="2:3">
      <c r="B160" s="11"/>
      <c r="C160" s="11"/>
    </row>
    <row r="161" spans="2:3">
      <c r="B161" s="11"/>
      <c r="C161" s="11"/>
    </row>
    <row r="162" spans="2:3">
      <c r="B162" s="11"/>
      <c r="C162" s="11"/>
    </row>
    <row r="163" spans="2:3">
      <c r="B163" s="11"/>
      <c r="C163" s="11"/>
    </row>
    <row r="164" spans="2:3">
      <c r="B164" s="11"/>
      <c r="C164" s="11"/>
    </row>
    <row r="165" spans="2:3">
      <c r="B165" s="11"/>
      <c r="C165" s="11"/>
    </row>
    <row r="166" spans="2:3">
      <c r="B166" s="11"/>
      <c r="C166" s="11"/>
    </row>
    <row r="167" spans="2:3">
      <c r="B167" s="11"/>
      <c r="C167" s="11"/>
    </row>
    <row r="168" spans="2:3">
      <c r="B168" s="11"/>
      <c r="C168" s="11"/>
    </row>
    <row r="169" spans="2:3">
      <c r="B169" s="11"/>
      <c r="C169" s="11"/>
    </row>
    <row r="170" spans="2:3">
      <c r="B170" s="11"/>
      <c r="C170" s="11"/>
    </row>
    <row r="171" spans="2:3">
      <c r="B171" s="11"/>
      <c r="C171" s="11"/>
    </row>
    <row r="172" spans="2:3">
      <c r="B172" s="11"/>
      <c r="C172" s="11"/>
    </row>
    <row r="173" spans="2:3">
      <c r="B173" s="11"/>
      <c r="C173" s="11"/>
    </row>
    <row r="174" spans="2:3">
      <c r="B174" s="11"/>
      <c r="C174" s="11"/>
    </row>
    <row r="175" spans="2:3">
      <c r="B175" s="11"/>
      <c r="C175" s="11"/>
    </row>
    <row r="176" spans="2:3">
      <c r="B176" s="11"/>
      <c r="C176" s="11"/>
    </row>
    <row r="177" spans="2:3">
      <c r="B177" s="11"/>
      <c r="C177" s="11"/>
    </row>
    <row r="178" spans="2:3">
      <c r="B178" s="11"/>
      <c r="C178" s="11"/>
    </row>
    <row r="179" spans="2:3">
      <c r="B179" s="11"/>
      <c r="C179" s="11"/>
    </row>
    <row r="180" spans="2:3">
      <c r="B180" s="11"/>
      <c r="C180" s="11"/>
    </row>
    <row r="181" spans="2:3">
      <c r="B181" s="11"/>
      <c r="C181" s="11"/>
    </row>
    <row r="182" spans="2:3">
      <c r="B182" s="11"/>
      <c r="C182" s="11"/>
    </row>
    <row r="183" spans="2:3">
      <c r="B183" s="11"/>
      <c r="C183" s="11"/>
    </row>
    <row r="184" spans="2:3">
      <c r="B184" s="11"/>
      <c r="C184" s="11"/>
    </row>
    <row r="185" spans="2:3">
      <c r="B185" s="11"/>
      <c r="C185" s="11"/>
    </row>
    <row r="186" spans="2:3">
      <c r="B186" s="11"/>
      <c r="C186" s="11"/>
    </row>
    <row r="187" spans="2:3">
      <c r="B187" s="11"/>
      <c r="C187" s="11"/>
    </row>
    <row r="188" spans="2:3">
      <c r="B188" s="11"/>
      <c r="C188" s="11"/>
    </row>
    <row r="189" spans="2:3">
      <c r="B189" s="11"/>
      <c r="C189" s="11"/>
    </row>
    <row r="190" spans="2:3">
      <c r="B190" s="11"/>
      <c r="C190" s="11"/>
    </row>
    <row r="191" spans="2:3">
      <c r="B191" s="11"/>
      <c r="C191" s="11"/>
    </row>
    <row r="192" spans="2:3">
      <c r="B192" s="11"/>
      <c r="C192" s="11"/>
    </row>
    <row r="193" spans="2:3">
      <c r="B193" s="11"/>
      <c r="C193" s="11"/>
    </row>
    <row r="194" spans="2:3">
      <c r="B194" s="11"/>
      <c r="C194" s="11"/>
    </row>
    <row r="195" spans="2:3">
      <c r="B195" s="11"/>
      <c r="C195" s="11"/>
    </row>
    <row r="196" spans="2:3">
      <c r="B196" s="11"/>
      <c r="C196" s="11"/>
    </row>
    <row r="197" spans="2:3">
      <c r="B197" s="11"/>
      <c r="C197" s="11"/>
    </row>
    <row r="198" spans="2:3">
      <c r="B198" s="11"/>
      <c r="C198" s="11"/>
    </row>
    <row r="199" spans="2:3">
      <c r="B199" s="11"/>
      <c r="C199" s="11"/>
    </row>
    <row r="200" spans="2:3">
      <c r="B200" s="11"/>
      <c r="C200" s="11"/>
    </row>
    <row r="201" spans="2:3">
      <c r="B201" s="11"/>
      <c r="C201" s="11"/>
    </row>
    <row r="202" spans="2:3">
      <c r="B202" s="11"/>
      <c r="C202" s="11"/>
    </row>
    <row r="203" spans="2:3">
      <c r="B203" s="11"/>
      <c r="C203" s="11"/>
    </row>
    <row r="204" spans="2:3">
      <c r="B204" s="11"/>
      <c r="C204" s="11"/>
    </row>
    <row r="205" spans="2:3">
      <c r="B205" s="11"/>
      <c r="C205" s="11"/>
    </row>
    <row r="206" spans="2:3">
      <c r="B206" s="11"/>
      <c r="C206" s="11"/>
    </row>
    <row r="207" spans="2:3">
      <c r="B207" s="11"/>
      <c r="C207" s="11"/>
    </row>
    <row r="208" spans="2:3">
      <c r="B208" s="11"/>
      <c r="C208" s="11"/>
    </row>
    <row r="209" spans="2:3">
      <c r="B209" s="11"/>
      <c r="C209" s="11"/>
    </row>
    <row r="210" spans="2:3">
      <c r="B210" s="11"/>
      <c r="C210" s="11"/>
    </row>
    <row r="211" spans="2:3">
      <c r="B211" s="11"/>
      <c r="C211" s="11"/>
    </row>
    <row r="212" spans="2:3">
      <c r="B212" s="11"/>
      <c r="C212" s="11"/>
    </row>
    <row r="213" spans="2:3">
      <c r="B213" s="11"/>
      <c r="C213" s="11"/>
    </row>
    <row r="214" spans="2:3">
      <c r="B214" s="11"/>
      <c r="C214" s="11"/>
    </row>
    <row r="215" spans="2:3">
      <c r="B215" s="11"/>
      <c r="C215" s="11"/>
    </row>
    <row r="216" spans="2:3">
      <c r="B216" s="11"/>
      <c r="C216" s="11"/>
    </row>
    <row r="217" spans="2:3">
      <c r="B217" s="11"/>
      <c r="C217" s="11"/>
    </row>
    <row r="218" spans="2:3">
      <c r="B218" s="11"/>
      <c r="C218" s="11"/>
    </row>
    <row r="219" spans="2:3">
      <c r="B219" s="11"/>
      <c r="C219" s="11"/>
    </row>
    <row r="220" spans="2:3">
      <c r="B220" s="11"/>
      <c r="C220" s="11"/>
    </row>
    <row r="221" spans="2:3">
      <c r="B221" s="11"/>
      <c r="C221" s="11"/>
    </row>
    <row r="222" spans="2:3">
      <c r="B222" s="11"/>
      <c r="C222" s="11"/>
    </row>
    <row r="223" spans="2:3">
      <c r="B223" s="11"/>
      <c r="C223" s="11"/>
    </row>
    <row r="224" spans="2:3">
      <c r="B224" s="11"/>
      <c r="C224" s="11"/>
    </row>
    <row r="225" spans="2:3">
      <c r="B225" s="11"/>
      <c r="C225" s="11"/>
    </row>
    <row r="226" spans="2:3">
      <c r="B226" s="11"/>
      <c r="C226" s="11"/>
    </row>
    <row r="227" spans="2:3">
      <c r="B227" s="11"/>
      <c r="C227" s="11"/>
    </row>
    <row r="228" spans="2:3">
      <c r="B228" s="11"/>
      <c r="C228" s="11"/>
    </row>
    <row r="229" spans="2:3">
      <c r="B229" s="11"/>
      <c r="C229" s="11"/>
    </row>
    <row r="230" spans="2:3">
      <c r="B230" s="11"/>
      <c r="C230" s="11"/>
    </row>
    <row r="231" spans="2:3">
      <c r="B231" s="11"/>
      <c r="C231" s="11"/>
    </row>
    <row r="232" spans="2:3">
      <c r="B232" s="11"/>
      <c r="C232" s="11"/>
    </row>
    <row r="233" spans="2:3">
      <c r="B233" s="11"/>
      <c r="C233" s="11"/>
    </row>
    <row r="234" spans="2:3">
      <c r="B234" s="11"/>
      <c r="C234" s="11"/>
    </row>
    <row r="235" spans="2:3">
      <c r="B235" s="11"/>
      <c r="C235" s="11"/>
    </row>
    <row r="236" spans="2:3">
      <c r="B236" s="11"/>
      <c r="C236" s="11"/>
    </row>
    <row r="237" spans="2:3">
      <c r="B237" s="11"/>
      <c r="C237" s="11"/>
    </row>
    <row r="238" spans="2:3">
      <c r="B238" s="11"/>
      <c r="C238" s="11"/>
    </row>
    <row r="239" spans="2:3">
      <c r="B239" s="11"/>
      <c r="C239" s="11"/>
    </row>
    <row r="240" spans="2:3">
      <c r="B240" s="11"/>
      <c r="C240" s="11"/>
    </row>
    <row r="241" spans="2:3">
      <c r="B241" s="11"/>
      <c r="C241" s="11"/>
    </row>
    <row r="242" spans="2:3">
      <c r="B242" s="11"/>
      <c r="C242" s="11"/>
    </row>
    <row r="243" spans="2:3">
      <c r="B243" s="11"/>
      <c r="C243" s="11"/>
    </row>
    <row r="244" spans="2:3">
      <c r="B244" s="11"/>
      <c r="C244" s="11"/>
    </row>
    <row r="245" spans="2:3">
      <c r="B245" s="11"/>
      <c r="C245" s="11"/>
    </row>
    <row r="246" spans="2:3">
      <c r="B246" s="11"/>
      <c r="C246" s="11"/>
    </row>
    <row r="247" spans="2:3">
      <c r="B247" s="11"/>
      <c r="C247" s="11"/>
    </row>
    <row r="248" spans="2:3">
      <c r="B248" s="11"/>
      <c r="C248" s="11"/>
    </row>
    <row r="249" spans="2:3">
      <c r="B249" s="11"/>
      <c r="C249" s="11"/>
    </row>
    <row r="250" spans="2:3">
      <c r="B250" s="11"/>
      <c r="C250" s="11"/>
    </row>
    <row r="251" spans="2:3">
      <c r="B251" s="11"/>
      <c r="C251" s="11"/>
    </row>
    <row r="252" spans="2:3">
      <c r="B252" s="11"/>
      <c r="C252" s="11"/>
    </row>
    <row r="253" spans="2:3">
      <c r="B253" s="11"/>
      <c r="C253" s="11"/>
    </row>
    <row r="254" spans="2:3">
      <c r="B254" s="11"/>
      <c r="C254" s="11"/>
    </row>
    <row r="255" spans="2:3">
      <c r="B255" s="11"/>
      <c r="C255" s="11"/>
    </row>
    <row r="256" spans="2:3">
      <c r="B256" s="11"/>
      <c r="C256" s="11"/>
    </row>
    <row r="257" spans="2:3">
      <c r="B257" s="11"/>
      <c r="C257" s="11"/>
    </row>
    <row r="258" spans="2:3">
      <c r="B258" s="11"/>
      <c r="C258" s="11"/>
    </row>
    <row r="259" spans="2:3">
      <c r="B259" s="11"/>
      <c r="C259" s="11"/>
    </row>
    <row r="260" spans="2:3">
      <c r="B260" s="11"/>
      <c r="C260" s="11"/>
    </row>
    <row r="261" spans="2:3">
      <c r="B261" s="11"/>
      <c r="C261" s="11"/>
    </row>
    <row r="262" spans="2:3">
      <c r="B262" s="11"/>
      <c r="C262" s="11"/>
    </row>
    <row r="263" spans="2:3">
      <c r="B263" s="11"/>
      <c r="C263" s="11"/>
    </row>
    <row r="264" spans="2:3">
      <c r="B264" s="11"/>
      <c r="C264" s="11"/>
    </row>
    <row r="265" spans="2:3">
      <c r="B265" s="11"/>
      <c r="C265" s="11"/>
    </row>
    <row r="266" spans="2:3">
      <c r="B266" s="11"/>
      <c r="C266" s="11"/>
    </row>
    <row r="267" spans="2:3">
      <c r="B267" s="11"/>
      <c r="C267" s="11"/>
    </row>
    <row r="268" spans="2:3">
      <c r="B268" s="11"/>
      <c r="C268" s="11"/>
    </row>
    <row r="269" spans="2:3">
      <c r="B269" s="11"/>
      <c r="C269" s="11"/>
    </row>
    <row r="270" spans="2:3">
      <c r="B270" s="11"/>
      <c r="C270" s="11"/>
    </row>
    <row r="271" spans="2:3">
      <c r="B271" s="11"/>
      <c r="C271" s="11"/>
    </row>
    <row r="272" spans="2:3">
      <c r="B272" s="11"/>
      <c r="C272" s="11"/>
    </row>
    <row r="273" spans="2:3">
      <c r="B273" s="11"/>
      <c r="C273" s="11"/>
    </row>
    <row r="274" spans="2:3">
      <c r="B274" s="11"/>
      <c r="C274" s="11"/>
    </row>
    <row r="275" spans="2:3">
      <c r="B275" s="11"/>
      <c r="C275" s="11"/>
    </row>
    <row r="276" spans="2:3">
      <c r="B276" s="11"/>
      <c r="C276" s="11"/>
    </row>
    <row r="277" spans="2:3">
      <c r="B277" s="11"/>
      <c r="C277" s="11"/>
    </row>
    <row r="278" spans="2:3">
      <c r="B278" s="11"/>
      <c r="C278" s="11"/>
    </row>
    <row r="279" spans="2:3">
      <c r="B279" s="11"/>
      <c r="C279" s="11"/>
    </row>
    <row r="280" spans="2:3">
      <c r="B280" s="11"/>
      <c r="C280" s="11"/>
    </row>
    <row r="281" spans="2:3">
      <c r="B281" s="11"/>
      <c r="C281" s="11"/>
    </row>
    <row r="282" spans="2:3">
      <c r="B282" s="11"/>
      <c r="C282" s="11"/>
    </row>
    <row r="283" spans="2:3">
      <c r="B283" s="11"/>
      <c r="C283" s="11"/>
    </row>
    <row r="284" spans="2:3">
      <c r="B284" s="11"/>
      <c r="C284" s="11"/>
    </row>
    <row r="285" spans="2:3">
      <c r="B285" s="11"/>
      <c r="C285" s="11"/>
    </row>
    <row r="286" spans="2:3">
      <c r="B286" s="11"/>
      <c r="C286" s="11"/>
    </row>
    <row r="287" spans="2:3">
      <c r="B287" s="11"/>
      <c r="C287" s="11"/>
    </row>
    <row r="288" spans="2:3">
      <c r="B288" s="11"/>
      <c r="C288" s="11"/>
    </row>
    <row r="289" spans="2:3">
      <c r="B289" s="11"/>
      <c r="C289" s="11"/>
    </row>
    <row r="290" spans="2:3">
      <c r="B290" s="11"/>
      <c r="C290" s="11"/>
    </row>
    <row r="291" spans="2:3">
      <c r="B291" s="11"/>
      <c r="C291" s="11"/>
    </row>
    <row r="292" spans="2:3">
      <c r="B292" s="11"/>
      <c r="C292" s="11"/>
    </row>
    <row r="293" spans="2:3">
      <c r="B293" s="11"/>
      <c r="C293" s="11"/>
    </row>
    <row r="294" spans="2:3">
      <c r="B294" s="11"/>
      <c r="C294" s="11"/>
    </row>
    <row r="295" spans="2:3">
      <c r="B295" s="11"/>
      <c r="C295" s="11"/>
    </row>
    <row r="296" spans="2:3">
      <c r="B296" s="11"/>
      <c r="C296" s="11"/>
    </row>
    <row r="297" spans="2:3">
      <c r="B297" s="11"/>
      <c r="C297" s="11"/>
    </row>
    <row r="298" spans="2:3">
      <c r="B298" s="11"/>
      <c r="C298" s="11"/>
    </row>
    <row r="299" spans="2:3">
      <c r="B299" s="11"/>
      <c r="C299" s="11"/>
    </row>
    <row r="300" spans="2:3">
      <c r="B300" s="11"/>
      <c r="C300" s="11"/>
    </row>
    <row r="301" spans="2:3">
      <c r="B301" s="11"/>
      <c r="C301" s="11"/>
    </row>
    <row r="302" spans="2:3">
      <c r="B302" s="11"/>
      <c r="C302" s="11"/>
    </row>
    <row r="303" spans="2:3">
      <c r="B303" s="11"/>
      <c r="C303" s="11"/>
    </row>
    <row r="304" spans="2:3">
      <c r="B304" s="11"/>
      <c r="C304" s="11"/>
    </row>
    <row r="305" spans="2:3">
      <c r="B305" s="11"/>
      <c r="C305" s="11"/>
    </row>
    <row r="306" spans="2:3">
      <c r="B306" s="11"/>
      <c r="C306" s="11"/>
    </row>
    <row r="307" spans="2:3">
      <c r="B307" s="11"/>
      <c r="C307" s="11"/>
    </row>
    <row r="308" spans="2:3">
      <c r="B308" s="11"/>
      <c r="C308" s="11"/>
    </row>
    <row r="309" spans="2:3">
      <c r="B309" s="11"/>
      <c r="C309" s="11"/>
    </row>
    <row r="310" spans="2:3">
      <c r="B310" s="11"/>
      <c r="C310" s="11"/>
    </row>
    <row r="311" spans="2:3">
      <c r="B311" s="11"/>
      <c r="C311" s="11"/>
    </row>
    <row r="312" spans="2:3">
      <c r="B312" s="11"/>
      <c r="C312" s="11"/>
    </row>
    <row r="313" spans="2:3">
      <c r="B313" s="11"/>
      <c r="C313" s="11"/>
    </row>
    <row r="314" spans="2:3">
      <c r="B314" s="11"/>
      <c r="C314" s="11"/>
    </row>
    <row r="315" spans="2:3">
      <c r="B315" s="11"/>
      <c r="C315" s="11"/>
    </row>
    <row r="316" spans="2:3">
      <c r="B316" s="11"/>
      <c r="C316" s="11"/>
    </row>
    <row r="317" spans="2:3">
      <c r="B317" s="11"/>
      <c r="C317" s="11"/>
    </row>
    <row r="318" spans="2:3">
      <c r="B318" s="11"/>
      <c r="C318" s="11"/>
    </row>
    <row r="319" spans="2:3">
      <c r="B319" s="11"/>
      <c r="C319" s="11"/>
    </row>
    <row r="320" spans="2:3">
      <c r="B320" s="11"/>
      <c r="C320" s="11"/>
    </row>
    <row r="321" spans="2:3">
      <c r="B321" s="11"/>
      <c r="C321" s="11"/>
    </row>
    <row r="322" spans="2:3">
      <c r="B322" s="11"/>
      <c r="C322" s="11"/>
    </row>
    <row r="323" spans="2:3">
      <c r="B323" s="11"/>
      <c r="C323" s="11"/>
    </row>
    <row r="324" spans="2:3">
      <c r="B324" s="11"/>
      <c r="C324" s="11"/>
    </row>
    <row r="325" spans="2:3">
      <c r="B325" s="11"/>
      <c r="C325" s="11"/>
    </row>
    <row r="326" spans="2:3">
      <c r="B326" s="11"/>
      <c r="C326" s="11"/>
    </row>
    <row r="327" spans="2:3">
      <c r="B327" s="11"/>
      <c r="C327" s="11"/>
    </row>
    <row r="328" spans="2:3">
      <c r="B328" s="11"/>
      <c r="C328" s="11"/>
    </row>
    <row r="329" spans="2:3">
      <c r="B329" s="11"/>
      <c r="C329" s="11"/>
    </row>
    <row r="330" spans="2:3">
      <c r="B330" s="11"/>
      <c r="C330" s="11"/>
    </row>
    <row r="331" spans="2:3">
      <c r="B331" s="11"/>
      <c r="C331" s="11"/>
    </row>
    <row r="332" spans="2:3">
      <c r="B332" s="11"/>
      <c r="C332" s="11"/>
    </row>
    <row r="333" spans="2:3">
      <c r="B333" s="11"/>
      <c r="C333" s="11"/>
    </row>
    <row r="334" spans="2:3">
      <c r="B334" s="11"/>
      <c r="C334" s="11"/>
    </row>
    <row r="335" spans="2:3">
      <c r="B335" s="11"/>
      <c r="C335" s="11"/>
    </row>
    <row r="336" spans="2:3">
      <c r="B336" s="11"/>
      <c r="C336" s="11"/>
    </row>
    <row r="337" spans="2:3">
      <c r="B337" s="11"/>
      <c r="C337" s="11"/>
    </row>
    <row r="338" spans="2:3">
      <c r="B338" s="11"/>
      <c r="C338" s="11"/>
    </row>
    <row r="339" spans="2:3">
      <c r="B339" s="11"/>
      <c r="C339" s="11"/>
    </row>
    <row r="340" spans="2:3">
      <c r="B340" s="11"/>
      <c r="C340" s="11"/>
    </row>
    <row r="341" spans="2:3">
      <c r="B341" s="11"/>
      <c r="C341" s="11"/>
    </row>
    <row r="342" spans="2:3">
      <c r="B342" s="11"/>
      <c r="C342" s="11"/>
    </row>
    <row r="343" spans="2:3">
      <c r="B343" s="11"/>
      <c r="C343" s="11"/>
    </row>
    <row r="344" spans="2:3">
      <c r="B344" s="11"/>
      <c r="C344" s="11"/>
    </row>
    <row r="345" spans="2:3">
      <c r="B345" s="11"/>
      <c r="C345" s="11"/>
    </row>
    <row r="346" spans="2:3">
      <c r="B346" s="11"/>
      <c r="C346" s="11"/>
    </row>
    <row r="347" spans="2:3">
      <c r="B347" s="11"/>
      <c r="C347" s="11"/>
    </row>
    <row r="348" spans="2:3">
      <c r="B348" s="11"/>
      <c r="C348" s="11"/>
    </row>
    <row r="349" spans="2:3">
      <c r="B349" s="11"/>
      <c r="C349" s="11"/>
    </row>
    <row r="350" spans="2:3">
      <c r="B350" s="11"/>
      <c r="C350" s="11"/>
    </row>
    <row r="351" spans="2:3">
      <c r="B351" s="11"/>
      <c r="C351" s="11"/>
    </row>
    <row r="352" spans="2:3">
      <c r="B352" s="11"/>
      <c r="C352" s="11"/>
    </row>
    <row r="353" spans="2:3">
      <c r="B353" s="11"/>
      <c r="C353" s="11"/>
    </row>
    <row r="354" spans="2:3">
      <c r="B354" s="11"/>
      <c r="C354" s="11"/>
    </row>
    <row r="355" spans="2:3">
      <c r="B355" s="11"/>
      <c r="C355" s="11"/>
    </row>
    <row r="356" spans="2:3">
      <c r="B356" s="11"/>
      <c r="C356" s="11"/>
    </row>
    <row r="357" spans="2:3">
      <c r="B357" s="11"/>
      <c r="C357" s="11"/>
    </row>
    <row r="358" spans="2:3">
      <c r="B358" s="11"/>
      <c r="C358" s="11"/>
    </row>
    <row r="359" spans="2:3">
      <c r="B359" s="11"/>
      <c r="C359" s="11"/>
    </row>
    <row r="360" spans="2:3">
      <c r="B360" s="11"/>
      <c r="C360" s="11"/>
    </row>
    <row r="361" spans="2:3">
      <c r="B361" s="11"/>
      <c r="C361" s="11"/>
    </row>
    <row r="362" spans="2:3">
      <c r="B362" s="11"/>
      <c r="C362" s="11"/>
    </row>
    <row r="363" spans="2:3">
      <c r="B363" s="11"/>
      <c r="C363" s="11"/>
    </row>
    <row r="364" spans="2:3">
      <c r="B364" s="11"/>
      <c r="C364" s="11"/>
    </row>
    <row r="365" spans="2:3">
      <c r="B365" s="11"/>
      <c r="C365" s="11"/>
    </row>
    <row r="366" spans="2:3">
      <c r="B366" s="11"/>
      <c r="C366" s="11"/>
    </row>
    <row r="367" spans="2:3">
      <c r="B367" s="11"/>
      <c r="C367" s="11"/>
    </row>
    <row r="368" spans="2:3">
      <c r="B368" s="11"/>
      <c r="C368" s="11"/>
    </row>
    <row r="369" spans="2:3">
      <c r="B369" s="11"/>
      <c r="C369" s="11"/>
    </row>
    <row r="370" spans="2:3">
      <c r="B370" s="11"/>
      <c r="C370" s="11"/>
    </row>
    <row r="371" spans="2:3">
      <c r="B371" s="11"/>
      <c r="C371" s="11"/>
    </row>
    <row r="372" spans="2:3">
      <c r="B372" s="11"/>
      <c r="C372" s="11"/>
    </row>
    <row r="373" spans="2:3">
      <c r="B373" s="11"/>
      <c r="C373" s="11"/>
    </row>
    <row r="374" spans="2:3">
      <c r="B374" s="11"/>
      <c r="C374" s="11"/>
    </row>
    <row r="375" spans="2:3">
      <c r="B375" s="11"/>
      <c r="C375" s="11"/>
    </row>
    <row r="376" spans="2:3">
      <c r="B376" s="11"/>
      <c r="C376" s="11"/>
    </row>
    <row r="377" spans="2:3">
      <c r="B377" s="11"/>
      <c r="C377" s="11"/>
    </row>
    <row r="378" spans="2:3">
      <c r="B378" s="11"/>
      <c r="C378" s="11"/>
    </row>
    <row r="379" spans="2:3">
      <c r="B379" s="11"/>
      <c r="C379" s="11"/>
    </row>
    <row r="380" spans="2:3">
      <c r="B380" s="11"/>
      <c r="C380" s="11"/>
    </row>
    <row r="381" spans="2:3">
      <c r="B381" s="11"/>
      <c r="C381" s="11"/>
    </row>
    <row r="382" spans="2:3">
      <c r="B382" s="11"/>
      <c r="C382" s="11"/>
    </row>
    <row r="383" spans="2:3">
      <c r="B383" s="11"/>
      <c r="C383" s="11"/>
    </row>
    <row r="384" spans="2:3">
      <c r="B384" s="11"/>
      <c r="C384" s="11"/>
    </row>
    <row r="385" spans="2:3">
      <c r="B385" s="11"/>
      <c r="C385" s="11"/>
    </row>
    <row r="386" spans="2:3">
      <c r="B386" s="11"/>
      <c r="C386" s="11"/>
    </row>
    <row r="387" spans="2:3">
      <c r="B387" s="11"/>
      <c r="C387" s="11"/>
    </row>
    <row r="388" spans="2:3">
      <c r="B388" s="11"/>
      <c r="C388" s="11"/>
    </row>
    <row r="389" spans="2:3">
      <c r="B389" s="11"/>
      <c r="C389" s="11"/>
    </row>
    <row r="390" spans="2:3">
      <c r="B390" s="11"/>
      <c r="C390" s="11"/>
    </row>
    <row r="391" spans="2:3">
      <c r="B391" s="11"/>
      <c r="C391" s="11"/>
    </row>
    <row r="392" spans="2:3">
      <c r="B392" s="11"/>
      <c r="C392" s="11"/>
    </row>
    <row r="393" spans="2:3">
      <c r="B393" s="11"/>
      <c r="C393" s="11"/>
    </row>
    <row r="394" spans="2:3">
      <c r="B394" s="11"/>
      <c r="C394" s="11"/>
    </row>
    <row r="395" spans="2:3">
      <c r="B395" s="11"/>
      <c r="C395" s="11"/>
    </row>
    <row r="396" spans="2:3">
      <c r="B396" s="11"/>
      <c r="C396" s="11"/>
    </row>
    <row r="397" spans="2:3">
      <c r="B397" s="11"/>
      <c r="C397" s="11"/>
    </row>
    <row r="398" spans="2:3">
      <c r="B398" s="11"/>
      <c r="C398" s="11"/>
    </row>
    <row r="399" spans="2:3">
      <c r="B399" s="11"/>
      <c r="C399" s="11"/>
    </row>
    <row r="400" spans="2:3">
      <c r="B400" s="11"/>
      <c r="C400" s="11"/>
    </row>
    <row r="401" spans="2:3">
      <c r="B401" s="11"/>
      <c r="C401" s="11"/>
    </row>
    <row r="402" spans="2:3">
      <c r="B402" s="11"/>
      <c r="C402" s="11"/>
    </row>
    <row r="403" spans="2:3">
      <c r="B403" s="11"/>
      <c r="C403" s="11"/>
    </row>
    <row r="404" spans="2:3">
      <c r="B404" s="11"/>
      <c r="C404" s="11"/>
    </row>
    <row r="405" spans="2:3">
      <c r="B405" s="11"/>
      <c r="C405" s="11"/>
    </row>
    <row r="406" spans="2:3">
      <c r="B406" s="11"/>
      <c r="C406" s="11"/>
    </row>
    <row r="407" spans="2:3">
      <c r="B407" s="11"/>
      <c r="C407" s="11"/>
    </row>
    <row r="408" spans="2:3">
      <c r="B408" s="11"/>
      <c r="C408" s="11"/>
    </row>
    <row r="409" spans="2:3">
      <c r="B409" s="11"/>
      <c r="C409" s="11"/>
    </row>
    <row r="410" spans="2:3">
      <c r="B410" s="11"/>
      <c r="C410" s="11"/>
    </row>
    <row r="411" spans="2:3">
      <c r="B411" s="11"/>
      <c r="C411" s="11"/>
    </row>
    <row r="412" spans="2:3">
      <c r="B412" s="11"/>
      <c r="C412" s="11"/>
    </row>
    <row r="413" spans="2:3">
      <c r="B413" s="11"/>
      <c r="C413" s="11"/>
    </row>
    <row r="414" spans="2:3">
      <c r="B414" s="11"/>
      <c r="C414" s="11"/>
    </row>
    <row r="415" spans="2:3">
      <c r="B415" s="11"/>
      <c r="C415" s="11"/>
    </row>
    <row r="416" spans="2:3">
      <c r="B416" s="11"/>
      <c r="C416" s="11"/>
    </row>
    <row r="417" spans="2:3">
      <c r="B417" s="11"/>
      <c r="C417" s="11"/>
    </row>
    <row r="418" spans="2:3">
      <c r="B418" s="11"/>
      <c r="C418" s="11"/>
    </row>
    <row r="419" spans="2:3">
      <c r="B419" s="11"/>
      <c r="C419" s="11"/>
    </row>
    <row r="420" spans="2:3">
      <c r="B420" s="11"/>
      <c r="C420" s="11"/>
    </row>
    <row r="421" spans="2:3">
      <c r="B421" s="11"/>
      <c r="C421" s="11"/>
    </row>
    <row r="422" spans="2:3">
      <c r="B422" s="11"/>
      <c r="C422" s="11"/>
    </row>
    <row r="423" spans="2:3">
      <c r="B423" s="11"/>
      <c r="C423" s="11"/>
    </row>
    <row r="424" spans="2:3">
      <c r="B424" s="11"/>
      <c r="C424" s="11"/>
    </row>
    <row r="425" spans="2:3">
      <c r="B425" s="11"/>
      <c r="C425" s="11"/>
    </row>
    <row r="426" spans="2:3">
      <c r="B426" s="11"/>
      <c r="C426" s="11"/>
    </row>
    <row r="427" spans="2:3">
      <c r="B427" s="11"/>
      <c r="C427" s="11"/>
    </row>
    <row r="428" spans="2:3">
      <c r="B428" s="11"/>
      <c r="C428" s="11"/>
    </row>
    <row r="429" spans="2:3">
      <c r="B429" s="11"/>
      <c r="C429" s="11"/>
    </row>
    <row r="430" spans="2:3">
      <c r="B430" s="11"/>
      <c r="C430" s="11"/>
    </row>
    <row r="431" spans="2:3">
      <c r="B431" s="11"/>
      <c r="C431" s="11"/>
    </row>
    <row r="432" spans="2:3">
      <c r="B432" s="11"/>
      <c r="C432" s="11"/>
    </row>
    <row r="433" spans="2:3">
      <c r="B433" s="11"/>
      <c r="C433" s="11"/>
    </row>
    <row r="434" spans="2:3">
      <c r="B434" s="11"/>
      <c r="C434" s="11"/>
    </row>
    <row r="435" spans="2:3">
      <c r="B435" s="11"/>
      <c r="C435" s="11"/>
    </row>
    <row r="436" spans="2:3">
      <c r="B436" s="11"/>
      <c r="C436" s="11"/>
    </row>
    <row r="437" spans="2:3">
      <c r="B437" s="11"/>
      <c r="C437" s="11"/>
    </row>
    <row r="438" spans="2:3">
      <c r="B438" s="11"/>
      <c r="C438" s="11"/>
    </row>
    <row r="439" spans="2:3">
      <c r="B439" s="11"/>
      <c r="C439" s="11"/>
    </row>
    <row r="440" spans="2:3">
      <c r="B440" s="11"/>
      <c r="C440" s="11"/>
    </row>
    <row r="441" spans="2:3">
      <c r="B441" s="11"/>
      <c r="C441" s="11"/>
    </row>
    <row r="442" spans="2:3">
      <c r="B442" s="11"/>
      <c r="C442" s="11"/>
    </row>
    <row r="443" spans="2:3">
      <c r="B443" s="11"/>
      <c r="C443" s="11"/>
    </row>
    <row r="444" spans="2:3">
      <c r="B444" s="11"/>
      <c r="C444" s="11"/>
    </row>
    <row r="445" spans="2:3">
      <c r="B445" s="11"/>
      <c r="C445" s="11"/>
    </row>
    <row r="446" spans="2:3">
      <c r="B446" s="11"/>
      <c r="C446" s="11"/>
    </row>
    <row r="447" spans="2:3">
      <c r="B447" s="11"/>
      <c r="C447" s="11"/>
    </row>
    <row r="448" spans="2:3">
      <c r="B448" s="11"/>
      <c r="C448" s="11"/>
    </row>
    <row r="449" spans="2:3">
      <c r="B449" s="11"/>
      <c r="C449" s="11"/>
    </row>
    <row r="450" spans="2:3">
      <c r="B450" s="11"/>
      <c r="C450" s="11"/>
    </row>
    <row r="451" spans="2:3">
      <c r="B451" s="11"/>
      <c r="C451" s="11"/>
    </row>
    <row r="452" spans="2:3">
      <c r="B452" s="11"/>
      <c r="C452" s="11"/>
    </row>
    <row r="453" spans="2:3">
      <c r="B453" s="11"/>
      <c r="C453" s="11"/>
    </row>
    <row r="454" spans="2:3">
      <c r="B454" s="11"/>
      <c r="C454" s="11"/>
    </row>
    <row r="455" spans="2:3">
      <c r="B455" s="11"/>
      <c r="C455" s="11"/>
    </row>
    <row r="456" spans="2:3">
      <c r="B456" s="11"/>
      <c r="C456" s="11"/>
    </row>
    <row r="457" spans="2:3">
      <c r="B457" s="11"/>
      <c r="C457" s="11"/>
    </row>
    <row r="458" spans="2:3">
      <c r="B458" s="11"/>
      <c r="C458" s="11"/>
    </row>
    <row r="459" spans="2:3">
      <c r="B459" s="11"/>
      <c r="C459" s="11"/>
    </row>
    <row r="460" spans="2:3">
      <c r="B460" s="11"/>
      <c r="C460" s="11"/>
    </row>
    <row r="461" spans="2:3">
      <c r="B461" s="11"/>
      <c r="C461" s="11"/>
    </row>
    <row r="462" spans="2:3">
      <c r="B462" s="11"/>
      <c r="C462" s="11"/>
    </row>
    <row r="463" spans="2:3">
      <c r="B463" s="11"/>
      <c r="C463" s="11"/>
    </row>
    <row r="464" spans="2:3">
      <c r="B464" s="11"/>
      <c r="C464" s="11"/>
    </row>
    <row r="465" spans="2:3">
      <c r="B465" s="11"/>
      <c r="C465" s="11"/>
    </row>
    <row r="466" spans="2:3">
      <c r="B466" s="11"/>
      <c r="C466" s="11"/>
    </row>
    <row r="467" spans="2:3">
      <c r="B467" s="11"/>
      <c r="C467" s="11"/>
    </row>
    <row r="468" spans="2:3">
      <c r="B468" s="11"/>
      <c r="C468" s="11"/>
    </row>
    <row r="469" spans="2:3">
      <c r="B469" s="11"/>
      <c r="C469" s="11"/>
    </row>
    <row r="470" spans="2:3">
      <c r="B470" s="11"/>
      <c r="C470" s="11"/>
    </row>
    <row r="471" spans="2:3">
      <c r="B471" s="11"/>
      <c r="C471" s="11"/>
    </row>
    <row r="472" spans="2:3">
      <c r="B472" s="11"/>
      <c r="C472" s="11"/>
    </row>
    <row r="473" spans="2:3">
      <c r="B473" s="11"/>
      <c r="C473" s="11"/>
    </row>
    <row r="474" spans="2:3">
      <c r="B474" s="11"/>
      <c r="C474" s="11"/>
    </row>
    <row r="475" spans="2:3">
      <c r="B475" s="11"/>
      <c r="C475" s="11"/>
    </row>
    <row r="476" spans="2:3">
      <c r="B476" s="11"/>
      <c r="C476" s="11"/>
    </row>
    <row r="477" spans="2:3">
      <c r="B477" s="11"/>
      <c r="C477" s="11"/>
    </row>
    <row r="478" spans="2:3">
      <c r="B478" s="11"/>
      <c r="C478" s="11"/>
    </row>
    <row r="479" spans="2:3">
      <c r="B479" s="11"/>
      <c r="C479" s="11"/>
    </row>
    <row r="480" spans="2:3">
      <c r="B480" s="11"/>
      <c r="C480" s="11"/>
    </row>
    <row r="481" spans="2:3">
      <c r="B481" s="11"/>
      <c r="C481" s="11"/>
    </row>
    <row r="482" spans="2:3">
      <c r="B482" s="11"/>
      <c r="C482" s="11"/>
    </row>
    <row r="483" spans="2:3">
      <c r="B483" s="11"/>
      <c r="C483" s="11"/>
    </row>
    <row r="484" spans="2:3">
      <c r="B484" s="11"/>
      <c r="C484" s="11"/>
    </row>
    <row r="485" spans="2:3">
      <c r="B485" s="11"/>
      <c r="C485" s="11"/>
    </row>
    <row r="486" spans="2:3">
      <c r="B486" s="11"/>
      <c r="C486" s="11"/>
    </row>
    <row r="487" spans="2:3">
      <c r="B487" s="11"/>
      <c r="C487" s="11"/>
    </row>
    <row r="488" spans="2:3">
      <c r="B488" s="11"/>
      <c r="C488" s="11"/>
    </row>
    <row r="489" spans="2:3">
      <c r="B489" s="11"/>
      <c r="C489" s="11"/>
    </row>
    <row r="490" spans="2:3">
      <c r="B490" s="11"/>
      <c r="C490" s="11"/>
    </row>
    <row r="491" spans="2:3">
      <c r="B491" s="11"/>
      <c r="C491" s="11"/>
    </row>
    <row r="492" spans="2:3">
      <c r="B492" s="11"/>
      <c r="C492" s="11"/>
    </row>
    <row r="493" spans="2:3">
      <c r="B493" s="11"/>
      <c r="C493" s="11"/>
    </row>
    <row r="494" spans="2:3">
      <c r="B494" s="11"/>
      <c r="C494" s="11"/>
    </row>
    <row r="495" spans="2:3">
      <c r="B495" s="11"/>
      <c r="C495" s="11"/>
    </row>
    <row r="496" spans="2:3">
      <c r="B496" s="11"/>
      <c r="C496" s="11"/>
    </row>
    <row r="497" spans="2:3">
      <c r="B497" s="11"/>
      <c r="C497" s="11"/>
    </row>
    <row r="498" spans="2:3">
      <c r="B498" s="11"/>
      <c r="C498" s="11"/>
    </row>
    <row r="499" spans="2:3">
      <c r="B499" s="11"/>
      <c r="C499" s="11"/>
    </row>
    <row r="500" spans="2:3">
      <c r="B500" s="11"/>
      <c r="C500" s="11"/>
    </row>
    <row r="501" spans="2:3">
      <c r="B501" s="11"/>
      <c r="C501" s="11"/>
    </row>
    <row r="502" spans="2:3">
      <c r="B502" s="11"/>
      <c r="C502" s="11"/>
    </row>
    <row r="503" spans="2:3">
      <c r="B503" s="11"/>
      <c r="C503" s="11"/>
    </row>
    <row r="504" spans="2:3">
      <c r="B504" s="11"/>
      <c r="C504" s="11"/>
    </row>
    <row r="505" spans="2:3">
      <c r="B505" s="11"/>
      <c r="C505" s="11"/>
    </row>
    <row r="506" spans="2:3">
      <c r="B506" s="11"/>
      <c r="C506" s="11"/>
    </row>
    <row r="507" spans="2:3">
      <c r="B507" s="11"/>
      <c r="C507" s="11"/>
    </row>
    <row r="508" spans="2:3">
      <c r="B508" s="11"/>
      <c r="C508" s="11"/>
    </row>
    <row r="509" spans="2:3">
      <c r="B509" s="11"/>
      <c r="C509" s="11"/>
    </row>
    <row r="510" spans="2:3">
      <c r="B510" s="11"/>
      <c r="C510" s="11"/>
    </row>
    <row r="511" spans="2:3">
      <c r="B511" s="11"/>
      <c r="C511" s="11"/>
    </row>
    <row r="512" spans="2:3">
      <c r="B512" s="11"/>
      <c r="C512" s="11"/>
    </row>
    <row r="513" spans="2:3">
      <c r="B513" s="11"/>
      <c r="C513" s="11"/>
    </row>
    <row r="514" spans="2:3">
      <c r="B514" s="11"/>
      <c r="C514" s="11"/>
    </row>
    <row r="515" spans="2:3">
      <c r="B515" s="11"/>
      <c r="C515" s="11"/>
    </row>
    <row r="516" spans="2:3">
      <c r="B516" s="11"/>
      <c r="C516" s="11"/>
    </row>
    <row r="517" spans="2:3">
      <c r="B517" s="11"/>
      <c r="C517" s="11"/>
    </row>
    <row r="518" spans="2:3">
      <c r="B518" s="11"/>
      <c r="C518" s="11"/>
    </row>
    <row r="519" spans="2:3">
      <c r="B519" s="11"/>
      <c r="C519" s="11"/>
    </row>
    <row r="520" spans="2:3">
      <c r="B520" s="11"/>
      <c r="C520" s="11"/>
    </row>
    <row r="521" spans="2:3">
      <c r="B521" s="11"/>
      <c r="C521" s="11"/>
    </row>
    <row r="522" spans="2:3">
      <c r="B522" s="11"/>
      <c r="C522" s="11"/>
    </row>
    <row r="523" spans="2:3">
      <c r="B523" s="11"/>
      <c r="C523" s="11"/>
    </row>
    <row r="524" spans="2:3">
      <c r="B524" s="11"/>
      <c r="C524" s="11"/>
    </row>
    <row r="525" spans="2:3">
      <c r="B525" s="11"/>
      <c r="C525" s="11"/>
    </row>
    <row r="526" spans="2:3">
      <c r="B526" s="11"/>
      <c r="C526" s="11"/>
    </row>
    <row r="527" spans="2:3">
      <c r="B527" s="11"/>
      <c r="C527" s="11"/>
    </row>
    <row r="528" spans="2:3">
      <c r="B528" s="11"/>
      <c r="C528" s="11"/>
    </row>
    <row r="529" spans="2:3">
      <c r="B529" s="11"/>
      <c r="C529" s="11"/>
    </row>
    <row r="530" spans="2:3">
      <c r="B530" s="11"/>
      <c r="C530" s="11"/>
    </row>
    <row r="531" spans="2:3">
      <c r="B531" s="11"/>
      <c r="C531" s="11"/>
    </row>
    <row r="532" spans="2:3">
      <c r="B532" s="11"/>
      <c r="C532" s="11"/>
    </row>
    <row r="533" spans="2:3">
      <c r="B533" s="11"/>
      <c r="C533" s="11"/>
    </row>
    <row r="534" spans="2:3">
      <c r="B534" s="11"/>
      <c r="C534" s="11"/>
    </row>
    <row r="535" spans="2:3">
      <c r="B535" s="11"/>
      <c r="C535" s="11"/>
    </row>
    <row r="536" spans="2:3">
      <c r="B536" s="11"/>
      <c r="C536" s="11"/>
    </row>
    <row r="537" spans="2:3">
      <c r="B537" s="11"/>
      <c r="C537" s="11"/>
    </row>
    <row r="538" spans="2:3">
      <c r="B538" s="11"/>
      <c r="C538" s="11"/>
    </row>
    <row r="539" spans="2:3">
      <c r="B539" s="11"/>
      <c r="C539" s="11"/>
    </row>
    <row r="540" spans="2:3">
      <c r="B540" s="11"/>
      <c r="C540" s="11"/>
    </row>
    <row r="541" spans="2:3">
      <c r="B541" s="11"/>
      <c r="C541" s="11"/>
    </row>
    <row r="542" spans="2:3">
      <c r="B542" s="11"/>
      <c r="C542" s="11"/>
    </row>
    <row r="543" spans="2:3">
      <c r="B543" s="11"/>
      <c r="C543" s="11"/>
    </row>
    <row r="544" spans="2:3">
      <c r="B544" s="11"/>
      <c r="C544" s="11"/>
    </row>
    <row r="545" spans="2:3">
      <c r="B545" s="11"/>
      <c r="C545" s="11"/>
    </row>
    <row r="546" spans="2:3">
      <c r="B546" s="11"/>
      <c r="C546" s="11"/>
    </row>
    <row r="547" spans="2:3">
      <c r="B547" s="11"/>
      <c r="C547" s="11"/>
    </row>
    <row r="548" spans="2:3">
      <c r="B548" s="11"/>
      <c r="C548" s="11"/>
    </row>
    <row r="549" spans="2:3">
      <c r="B549" s="11"/>
      <c r="C549" s="11"/>
    </row>
    <row r="550" spans="2:3">
      <c r="B550" s="11"/>
      <c r="C550" s="11"/>
    </row>
    <row r="551" spans="2:3">
      <c r="B551" s="11"/>
      <c r="C551" s="11"/>
    </row>
    <row r="552" spans="2:3">
      <c r="B552" s="11"/>
      <c r="C552" s="11"/>
    </row>
    <row r="553" spans="2:3">
      <c r="B553" s="11"/>
      <c r="C553" s="11"/>
    </row>
    <row r="554" spans="2:3">
      <c r="B554" s="11"/>
      <c r="C554" s="11"/>
    </row>
    <row r="555" spans="2:3">
      <c r="B555" s="11"/>
      <c r="C555" s="11"/>
    </row>
    <row r="556" spans="2:3">
      <c r="B556" s="11"/>
      <c r="C556" s="11"/>
    </row>
    <row r="557" spans="2:3">
      <c r="B557" s="11"/>
      <c r="C557" s="11"/>
    </row>
    <row r="558" spans="2:3">
      <c r="B558" s="11"/>
      <c r="C558" s="11"/>
    </row>
    <row r="559" spans="2:3">
      <c r="B559" s="11"/>
      <c r="C559" s="11"/>
    </row>
    <row r="560" spans="2:3">
      <c r="B560" s="11"/>
      <c r="C560" s="11"/>
    </row>
    <row r="561" spans="2:3">
      <c r="B561" s="11"/>
      <c r="C561" s="11"/>
    </row>
    <row r="562" spans="2:3">
      <c r="B562" s="11"/>
      <c r="C562" s="11"/>
    </row>
    <row r="563" spans="2:3">
      <c r="B563" s="11"/>
      <c r="C563" s="11"/>
    </row>
    <row r="564" spans="2:3">
      <c r="B564" s="11"/>
      <c r="C564" s="11"/>
    </row>
    <row r="565" spans="2:3">
      <c r="B565" s="11"/>
      <c r="C565" s="11"/>
    </row>
    <row r="566" spans="2:3">
      <c r="B566" s="11"/>
      <c r="C566" s="11"/>
    </row>
    <row r="567" spans="2:3">
      <c r="B567" s="11"/>
      <c r="C567" s="11"/>
    </row>
    <row r="568" spans="2:3">
      <c r="B568" s="11"/>
      <c r="C568" s="11"/>
    </row>
    <row r="569" spans="2:3">
      <c r="B569" s="11"/>
      <c r="C569" s="11"/>
    </row>
    <row r="570" spans="2:3">
      <c r="B570" s="11"/>
      <c r="C570" s="11"/>
    </row>
    <row r="571" spans="2:3">
      <c r="B571" s="11"/>
      <c r="C571" s="11"/>
    </row>
    <row r="572" spans="2:3">
      <c r="B572" s="11"/>
      <c r="C572" s="11"/>
    </row>
    <row r="573" spans="2:3">
      <c r="B573" s="11"/>
      <c r="C573" s="11"/>
    </row>
    <row r="574" spans="2:3">
      <c r="B574" s="11"/>
      <c r="C574" s="11"/>
    </row>
    <row r="575" spans="2:3">
      <c r="B575" s="11"/>
      <c r="C575" s="11"/>
    </row>
    <row r="576" spans="2:3">
      <c r="B576" s="11"/>
      <c r="C576" s="11"/>
    </row>
    <row r="577" spans="2:3">
      <c r="B577" s="11"/>
      <c r="C577" s="11"/>
    </row>
    <row r="578" spans="2:3">
      <c r="B578" s="11"/>
      <c r="C578" s="11"/>
    </row>
    <row r="579" spans="2:3">
      <c r="B579" s="11"/>
      <c r="C579" s="11"/>
    </row>
    <row r="580" spans="2:3">
      <c r="B580" s="11"/>
      <c r="C580" s="11"/>
    </row>
    <row r="581" spans="2:3">
      <c r="B581" s="11"/>
      <c r="C581" s="11"/>
    </row>
    <row r="582" spans="2:3">
      <c r="B582" s="11"/>
      <c r="C582" s="11"/>
    </row>
    <row r="583" spans="2:3">
      <c r="B583" s="11"/>
      <c r="C583" s="11"/>
    </row>
    <row r="584" spans="2:3">
      <c r="B584" s="11"/>
      <c r="C584" s="11"/>
    </row>
    <row r="585" spans="2:3">
      <c r="B585" s="11"/>
      <c r="C585" s="11"/>
    </row>
    <row r="586" spans="2:3">
      <c r="B586" s="11"/>
      <c r="C586" s="11"/>
    </row>
    <row r="587" spans="2:3">
      <c r="B587" s="11"/>
      <c r="C587" s="11"/>
    </row>
    <row r="588" spans="2:3">
      <c r="B588" s="11"/>
      <c r="C588" s="11"/>
    </row>
    <row r="589" spans="2:3">
      <c r="B589" s="11"/>
      <c r="C589" s="11"/>
    </row>
    <row r="590" spans="2:3">
      <c r="B590" s="11"/>
      <c r="C590" s="11"/>
    </row>
    <row r="591" spans="2:3">
      <c r="B591" s="11"/>
      <c r="C591" s="11"/>
    </row>
    <row r="592" spans="2:3">
      <c r="B592" s="11"/>
      <c r="C592" s="11"/>
    </row>
    <row r="593" spans="2:3">
      <c r="B593" s="11"/>
      <c r="C593" s="11"/>
    </row>
    <row r="594" spans="2:3">
      <c r="B594" s="11"/>
      <c r="C594" s="11"/>
    </row>
    <row r="595" spans="2:3">
      <c r="B595" s="11"/>
      <c r="C595" s="11"/>
    </row>
    <row r="596" spans="2:3">
      <c r="B596" s="11"/>
      <c r="C596" s="11"/>
    </row>
    <row r="597" spans="2:3">
      <c r="B597" s="11"/>
      <c r="C597" s="11"/>
    </row>
    <row r="598" spans="2:3">
      <c r="B598" s="11"/>
      <c r="C598" s="11"/>
    </row>
    <row r="599" spans="2:3">
      <c r="B599" s="11"/>
      <c r="C599" s="11"/>
    </row>
    <row r="600" spans="2:3">
      <c r="B600" s="11"/>
      <c r="C600" s="11"/>
    </row>
    <row r="601" spans="2:3">
      <c r="B601" s="11"/>
      <c r="C601" s="11"/>
    </row>
    <row r="602" spans="2:3">
      <c r="B602" s="11"/>
      <c r="C602" s="11"/>
    </row>
    <row r="603" spans="2:3">
      <c r="B603" s="11"/>
      <c r="C603" s="11"/>
    </row>
    <row r="604" spans="2:3">
      <c r="B604" s="11"/>
      <c r="C604" s="11"/>
    </row>
    <row r="605" spans="2:3">
      <c r="B605" s="11"/>
      <c r="C605" s="11"/>
    </row>
    <row r="606" spans="2:3">
      <c r="B606" s="11"/>
      <c r="C606" s="11"/>
    </row>
    <row r="607" spans="2:3">
      <c r="B607" s="11"/>
      <c r="C607" s="11"/>
    </row>
    <row r="608" spans="2:3">
      <c r="B608" s="11"/>
      <c r="C608" s="11"/>
    </row>
    <row r="609" spans="2:3">
      <c r="B609" s="11"/>
      <c r="C609" s="11"/>
    </row>
    <row r="610" spans="2:3">
      <c r="B610" s="11"/>
      <c r="C610" s="11"/>
    </row>
    <row r="611" spans="2:3">
      <c r="B611" s="11"/>
      <c r="C611" s="11"/>
    </row>
    <row r="612" spans="2:3">
      <c r="B612" s="11"/>
      <c r="C612" s="11"/>
    </row>
    <row r="613" spans="2:3">
      <c r="B613" s="11"/>
      <c r="C613" s="11"/>
    </row>
    <row r="614" spans="2:3">
      <c r="B614" s="11"/>
      <c r="C614" s="11"/>
    </row>
    <row r="615" spans="2:3">
      <c r="B615" s="11"/>
      <c r="C615" s="11"/>
    </row>
    <row r="616" spans="2:3">
      <c r="B616" s="11"/>
      <c r="C616" s="11"/>
    </row>
    <row r="617" spans="2:3">
      <c r="B617" s="11"/>
      <c r="C617" s="11"/>
    </row>
    <row r="618" spans="2:3">
      <c r="B618" s="11"/>
      <c r="C618" s="11"/>
    </row>
    <row r="619" spans="2:3">
      <c r="B619" s="11"/>
      <c r="C619" s="11"/>
    </row>
    <row r="620" spans="2:3">
      <c r="B620" s="11"/>
      <c r="C620" s="11"/>
    </row>
    <row r="621" spans="2:3">
      <c r="B621" s="11"/>
      <c r="C621" s="11"/>
    </row>
    <row r="622" spans="2:3">
      <c r="B622" s="11"/>
      <c r="C622" s="11"/>
    </row>
    <row r="623" spans="2:3">
      <c r="B623" s="11"/>
      <c r="C623" s="11"/>
    </row>
    <row r="624" spans="2:3">
      <c r="B624" s="11"/>
      <c r="C624" s="11"/>
    </row>
    <row r="625" spans="2:3">
      <c r="B625" s="11"/>
      <c r="C625" s="11"/>
    </row>
    <row r="626" spans="2:3">
      <c r="B626" s="11"/>
      <c r="C626" s="11"/>
    </row>
    <row r="627" spans="2:3">
      <c r="B627" s="11"/>
      <c r="C627" s="11"/>
    </row>
    <row r="628" spans="2:3">
      <c r="B628" s="11"/>
      <c r="C628" s="11"/>
    </row>
    <row r="629" spans="2:3">
      <c r="B629" s="11"/>
      <c r="C629" s="11"/>
    </row>
    <row r="630" spans="2:3">
      <c r="B630" s="11"/>
      <c r="C630" s="11"/>
    </row>
    <row r="631" spans="2:3">
      <c r="B631" s="11"/>
      <c r="C631" s="11"/>
    </row>
    <row r="632" spans="2:3">
      <c r="B632" s="11"/>
      <c r="C632" s="11"/>
    </row>
    <row r="633" spans="2:3">
      <c r="B633" s="11"/>
      <c r="C633" s="11"/>
    </row>
    <row r="634" spans="2:3">
      <c r="B634" s="11"/>
      <c r="C634" s="11"/>
    </row>
    <row r="635" spans="2:3">
      <c r="B635" s="11"/>
      <c r="C635" s="11"/>
    </row>
    <row r="636" spans="2:3">
      <c r="B636" s="11"/>
      <c r="C636" s="11"/>
    </row>
    <row r="637" spans="2:3">
      <c r="B637" s="11"/>
      <c r="C637" s="11"/>
    </row>
    <row r="638" spans="2:3">
      <c r="B638" s="11"/>
      <c r="C638" s="11"/>
    </row>
    <row r="639" spans="2:3">
      <c r="B639" s="11"/>
      <c r="C639" s="11"/>
    </row>
    <row r="640" spans="2:3">
      <c r="B640" s="11"/>
      <c r="C640" s="11"/>
    </row>
    <row r="641" spans="2:3">
      <c r="B641" s="11"/>
      <c r="C641" s="11"/>
    </row>
    <row r="642" spans="2:3">
      <c r="B642" s="11"/>
      <c r="C642" s="11"/>
    </row>
    <row r="643" spans="2:3">
      <c r="B643" s="11"/>
      <c r="C643" s="11"/>
    </row>
    <row r="644" spans="2:3">
      <c r="B644" s="11"/>
      <c r="C644" s="11"/>
    </row>
    <row r="645" spans="2:3">
      <c r="B645" s="11"/>
      <c r="C645" s="11"/>
    </row>
    <row r="646" spans="2:3">
      <c r="B646" s="11"/>
      <c r="C646" s="11"/>
    </row>
    <row r="647" spans="2:3">
      <c r="B647" s="11"/>
      <c r="C647" s="11"/>
    </row>
    <row r="648" spans="2:3">
      <c r="B648" s="11"/>
      <c r="C648" s="11"/>
    </row>
    <row r="649" spans="2:3">
      <c r="B649" s="11"/>
      <c r="C649" s="11"/>
    </row>
    <row r="650" spans="2:3">
      <c r="B650" s="11"/>
      <c r="C650" s="11"/>
    </row>
    <row r="651" spans="2:3">
      <c r="B651" s="11"/>
      <c r="C651" s="11"/>
    </row>
    <row r="652" spans="2:3">
      <c r="B652" s="11"/>
      <c r="C652" s="11"/>
    </row>
    <row r="653" spans="2:3">
      <c r="B653" s="11"/>
      <c r="C653" s="11"/>
    </row>
    <row r="654" spans="2:3">
      <c r="B654" s="11"/>
      <c r="C654" s="11"/>
    </row>
    <row r="655" spans="2:3">
      <c r="B655" s="11"/>
      <c r="C655" s="11"/>
    </row>
    <row r="656" spans="2:3">
      <c r="B656" s="11"/>
      <c r="C656" s="11"/>
    </row>
    <row r="657" spans="2:3">
      <c r="B657" s="11"/>
      <c r="C657" s="11"/>
    </row>
    <row r="658" spans="2:3">
      <c r="B658" s="11"/>
      <c r="C658" s="11"/>
    </row>
    <row r="659" spans="2:3">
      <c r="B659" s="11"/>
      <c r="C659" s="11"/>
    </row>
    <row r="660" spans="2:3">
      <c r="B660" s="11"/>
      <c r="C660" s="11"/>
    </row>
    <row r="661" spans="2:3">
      <c r="B661" s="11"/>
      <c r="C661" s="11"/>
    </row>
    <row r="662" spans="2:3">
      <c r="B662" s="11"/>
      <c r="C662" s="11"/>
    </row>
    <row r="663" spans="2:3">
      <c r="B663" s="11"/>
      <c r="C663" s="11"/>
    </row>
    <row r="664" spans="2:3">
      <c r="B664" s="11"/>
      <c r="C664" s="11"/>
    </row>
    <row r="665" spans="2:3">
      <c r="B665" s="11"/>
      <c r="C665" s="11"/>
    </row>
    <row r="666" spans="2:3">
      <c r="B666" s="11"/>
      <c r="C666" s="11"/>
    </row>
    <row r="667" spans="2:3">
      <c r="B667" s="11"/>
      <c r="C667" s="11"/>
    </row>
    <row r="668" spans="2:3">
      <c r="B668" s="11"/>
      <c r="C668" s="11"/>
    </row>
    <row r="669" spans="2:3">
      <c r="B669" s="11"/>
      <c r="C669" s="11"/>
    </row>
    <row r="670" spans="2:3">
      <c r="B670" s="11"/>
      <c r="C670" s="11"/>
    </row>
    <row r="671" spans="2:3">
      <c r="B671" s="11"/>
      <c r="C671" s="11"/>
    </row>
    <row r="672" spans="2:3">
      <c r="B672" s="11"/>
      <c r="C672" s="11"/>
    </row>
    <row r="673" spans="2:3">
      <c r="B673" s="11"/>
      <c r="C673" s="11"/>
    </row>
    <row r="674" spans="2:3">
      <c r="B674" s="11"/>
      <c r="C674" s="11"/>
    </row>
    <row r="675" spans="2:3">
      <c r="B675" s="11"/>
      <c r="C675" s="11"/>
    </row>
    <row r="676" spans="2:3">
      <c r="B676" s="11"/>
      <c r="C676" s="11"/>
    </row>
    <row r="677" spans="2:3">
      <c r="B677" s="11"/>
      <c r="C677" s="11"/>
    </row>
    <row r="678" spans="2:3">
      <c r="B678" s="11"/>
      <c r="C678" s="11"/>
    </row>
    <row r="679" spans="2:3">
      <c r="B679" s="11"/>
      <c r="C679" s="11"/>
    </row>
    <row r="680" spans="2:3">
      <c r="B680" s="11"/>
      <c r="C680" s="11"/>
    </row>
    <row r="681" spans="2:3">
      <c r="B681" s="11"/>
      <c r="C681" s="11"/>
    </row>
    <row r="682" spans="2:3">
      <c r="B682" s="11"/>
      <c r="C682" s="11"/>
    </row>
    <row r="683" spans="2:3">
      <c r="B683" s="11"/>
      <c r="C683" s="11"/>
    </row>
    <row r="684" spans="2:3">
      <c r="B684" s="11"/>
      <c r="C684" s="11"/>
    </row>
    <row r="685" spans="2:3">
      <c r="B685" s="11"/>
      <c r="C685" s="11"/>
    </row>
    <row r="686" spans="2:3">
      <c r="B686" s="11"/>
      <c r="C686" s="11"/>
    </row>
    <row r="687" spans="2:3">
      <c r="B687" s="11"/>
      <c r="C687" s="11"/>
    </row>
    <row r="688" spans="2:3">
      <c r="B688" s="11"/>
      <c r="C688" s="11"/>
    </row>
    <row r="689" spans="2:3">
      <c r="B689" s="11"/>
      <c r="C689" s="11"/>
    </row>
    <row r="690" spans="2:3">
      <c r="B690" s="11"/>
      <c r="C690" s="11"/>
    </row>
    <row r="691" spans="2:3">
      <c r="B691" s="11"/>
      <c r="C691" s="11"/>
    </row>
    <row r="692" spans="2:3">
      <c r="B692" s="11"/>
      <c r="C692" s="11"/>
    </row>
    <row r="693" spans="2:3">
      <c r="B693" s="11"/>
      <c r="C693" s="11"/>
    </row>
    <row r="694" spans="2:3">
      <c r="B694" s="11"/>
      <c r="C694" s="11"/>
    </row>
    <row r="695" spans="2:3">
      <c r="B695" s="11"/>
      <c r="C695" s="11"/>
    </row>
    <row r="696" spans="2:3">
      <c r="B696" s="11"/>
      <c r="C696" s="11"/>
    </row>
    <row r="697" spans="2:3">
      <c r="B697" s="11"/>
      <c r="C697" s="11"/>
    </row>
    <row r="698" spans="2:3">
      <c r="B698" s="11"/>
      <c r="C698" s="11"/>
    </row>
    <row r="699" spans="2:3">
      <c r="B699" s="11"/>
      <c r="C699" s="11"/>
    </row>
    <row r="700" spans="2:3">
      <c r="B700" s="11"/>
      <c r="C700" s="11"/>
    </row>
    <row r="701" spans="2:3">
      <c r="B701" s="11"/>
      <c r="C701" s="11"/>
    </row>
    <row r="702" spans="2:3">
      <c r="B702" s="11"/>
      <c r="C702" s="11"/>
    </row>
    <row r="703" spans="2:3">
      <c r="B703" s="11"/>
      <c r="C703" s="11"/>
    </row>
    <row r="704" spans="2:3">
      <c r="B704" s="11"/>
      <c r="C704" s="11"/>
    </row>
    <row r="705" spans="2:3">
      <c r="B705" s="11"/>
      <c r="C705" s="11"/>
    </row>
    <row r="706" spans="2:3">
      <c r="B706" s="11"/>
      <c r="C706" s="11"/>
    </row>
    <row r="707" spans="2:3">
      <c r="B707" s="11"/>
      <c r="C707" s="11"/>
    </row>
    <row r="708" spans="2:3">
      <c r="B708" s="11"/>
      <c r="C708" s="11"/>
    </row>
    <row r="709" spans="2:3">
      <c r="B709" s="11"/>
      <c r="C709" s="11"/>
    </row>
    <row r="710" spans="2:3">
      <c r="B710" s="11"/>
      <c r="C710" s="11"/>
    </row>
    <row r="711" spans="2:3">
      <c r="B711" s="11"/>
      <c r="C711" s="11"/>
    </row>
    <row r="712" spans="2:3">
      <c r="B712" s="11"/>
      <c r="C712" s="11"/>
    </row>
    <row r="713" spans="2:3">
      <c r="B713" s="11"/>
      <c r="C713" s="11"/>
    </row>
    <row r="714" spans="2:3">
      <c r="B714" s="11"/>
      <c r="C714" s="11"/>
    </row>
    <row r="715" spans="2:3">
      <c r="B715" s="11"/>
      <c r="C715" s="11"/>
    </row>
    <row r="716" spans="2:3">
      <c r="B716" s="11"/>
      <c r="C716" s="11"/>
    </row>
    <row r="717" spans="2:3">
      <c r="B717" s="11"/>
      <c r="C717" s="11"/>
    </row>
    <row r="718" spans="2:3">
      <c r="B718" s="11"/>
      <c r="C718" s="11"/>
    </row>
    <row r="719" spans="2:3">
      <c r="B719" s="11"/>
      <c r="C719" s="11"/>
    </row>
    <row r="720" spans="2:3">
      <c r="B720" s="11"/>
      <c r="C720" s="11"/>
    </row>
    <row r="721" spans="2:3">
      <c r="B721" s="11"/>
      <c r="C721" s="11"/>
    </row>
    <row r="722" spans="2:3">
      <c r="B722" s="11"/>
      <c r="C722" s="11"/>
    </row>
    <row r="723" spans="2:3">
      <c r="B723" s="11"/>
      <c r="C723" s="11"/>
    </row>
    <row r="724" spans="2:3">
      <c r="B724" s="11"/>
      <c r="C724" s="11"/>
    </row>
    <row r="725" spans="2:3">
      <c r="B725" s="11"/>
      <c r="C725" s="11"/>
    </row>
    <row r="726" spans="2:3">
      <c r="B726" s="11"/>
      <c r="C726" s="11"/>
    </row>
    <row r="727" spans="2:3">
      <c r="B727" s="11"/>
      <c r="C727" s="11"/>
    </row>
    <row r="728" spans="2:3">
      <c r="B728" s="11"/>
      <c r="C728" s="11"/>
    </row>
    <row r="729" spans="2:3">
      <c r="B729" s="11"/>
      <c r="C729" s="11"/>
    </row>
    <row r="730" spans="2:3">
      <c r="B730" s="11"/>
      <c r="C730" s="11"/>
    </row>
    <row r="731" spans="2:3">
      <c r="B731" s="11"/>
      <c r="C731" s="11"/>
    </row>
    <row r="732" spans="2:3">
      <c r="B732" s="11"/>
      <c r="C732" s="11"/>
    </row>
    <row r="733" spans="2:3">
      <c r="B733" s="11"/>
      <c r="C733" s="11"/>
    </row>
    <row r="734" spans="2:3">
      <c r="B734" s="11"/>
      <c r="C734" s="11"/>
    </row>
    <row r="735" spans="2:3">
      <c r="B735" s="11"/>
      <c r="C735" s="11"/>
    </row>
    <row r="736" spans="2:3">
      <c r="B736" s="11"/>
      <c r="C736" s="11"/>
    </row>
    <row r="737" spans="2:3">
      <c r="B737" s="11"/>
      <c r="C737" s="11"/>
    </row>
    <row r="738" spans="2:3">
      <c r="B738" s="11"/>
      <c r="C738" s="11"/>
    </row>
    <row r="739" spans="2:3">
      <c r="B739" s="11"/>
      <c r="C739" s="11"/>
    </row>
    <row r="740" spans="2:3">
      <c r="B740" s="11"/>
      <c r="C740" s="11"/>
    </row>
    <row r="741" spans="2:3">
      <c r="B741" s="11"/>
      <c r="C741" s="11"/>
    </row>
    <row r="742" spans="2:3">
      <c r="B742" s="11"/>
      <c r="C742" s="11"/>
    </row>
    <row r="743" spans="2:3">
      <c r="B743" s="11"/>
      <c r="C743" s="11"/>
    </row>
    <row r="744" spans="2:3">
      <c r="B744" s="11"/>
      <c r="C744" s="11"/>
    </row>
    <row r="745" spans="2:3">
      <c r="B745" s="11"/>
      <c r="C745" s="11"/>
    </row>
    <row r="746" spans="2:3">
      <c r="B746" s="11"/>
      <c r="C746" s="11"/>
    </row>
    <row r="747" spans="2:3">
      <c r="B747" s="11"/>
      <c r="C747" s="11"/>
    </row>
    <row r="748" spans="2:3">
      <c r="B748" s="11"/>
      <c r="C748" s="11"/>
    </row>
    <row r="749" spans="2:3">
      <c r="B749" s="11"/>
      <c r="C749" s="11"/>
    </row>
    <row r="750" spans="2:3">
      <c r="B750" s="11"/>
      <c r="C750" s="11"/>
    </row>
    <row r="751" spans="2:3">
      <c r="B751" s="11"/>
      <c r="C751" s="11"/>
    </row>
    <row r="752" spans="2:3">
      <c r="B752" s="11"/>
      <c r="C752" s="11"/>
    </row>
    <row r="753" spans="2:3">
      <c r="B753" s="11"/>
      <c r="C753" s="11"/>
    </row>
    <row r="754" spans="2:3">
      <c r="B754" s="11"/>
      <c r="C754" s="11"/>
    </row>
    <row r="755" spans="2:3">
      <c r="B755" s="11"/>
      <c r="C755" s="11"/>
    </row>
    <row r="756" spans="2:3">
      <c r="B756" s="11"/>
      <c r="C756" s="11"/>
    </row>
    <row r="757" spans="2:3">
      <c r="B757" s="11"/>
      <c r="C757" s="11"/>
    </row>
    <row r="758" spans="2:3">
      <c r="B758" s="11"/>
      <c r="C758" s="11"/>
    </row>
    <row r="759" spans="2:3">
      <c r="B759" s="11"/>
      <c r="C759" s="11"/>
    </row>
    <row r="760" spans="2:3">
      <c r="B760" s="11"/>
      <c r="C760" s="11"/>
    </row>
    <row r="761" spans="2:3">
      <c r="B761" s="11"/>
      <c r="C761" s="11"/>
    </row>
    <row r="762" spans="2:3">
      <c r="B762" s="11"/>
      <c r="C762" s="11"/>
    </row>
    <row r="763" spans="2:3">
      <c r="B763" s="11"/>
      <c r="C763" s="11"/>
    </row>
    <row r="764" spans="2:3">
      <c r="B764" s="11"/>
      <c r="C764" s="11"/>
    </row>
    <row r="765" spans="2:3">
      <c r="B765" s="11"/>
      <c r="C765" s="11"/>
    </row>
    <row r="766" spans="2:3">
      <c r="B766" s="11"/>
      <c r="C766" s="11"/>
    </row>
    <row r="767" spans="2:3">
      <c r="B767" s="11"/>
      <c r="C767" s="11"/>
    </row>
    <row r="768" spans="2:3">
      <c r="B768" s="11"/>
      <c r="C768" s="11"/>
    </row>
    <row r="769" spans="2:3">
      <c r="B769" s="11"/>
      <c r="C769" s="11"/>
    </row>
    <row r="770" spans="2:3">
      <c r="B770" s="11"/>
      <c r="C770" s="11"/>
    </row>
    <row r="771" spans="2:3">
      <c r="B771" s="11"/>
      <c r="C771" s="11"/>
    </row>
    <row r="772" spans="2:3">
      <c r="B772" s="11"/>
      <c r="C772" s="11"/>
    </row>
    <row r="773" spans="2:3">
      <c r="B773" s="11"/>
      <c r="C773" s="11"/>
    </row>
    <row r="774" spans="2:3">
      <c r="B774" s="11"/>
      <c r="C774" s="11"/>
    </row>
    <row r="775" spans="2:3">
      <c r="B775" s="11"/>
      <c r="C775" s="11"/>
    </row>
    <row r="776" spans="2:3">
      <c r="B776" s="11"/>
      <c r="C776" s="11"/>
    </row>
    <row r="777" spans="2:3">
      <c r="B777" s="11"/>
      <c r="C777" s="11"/>
    </row>
    <row r="778" spans="2:3">
      <c r="B778" s="11"/>
      <c r="C778" s="11"/>
    </row>
    <row r="779" spans="2:3">
      <c r="B779" s="11"/>
      <c r="C779" s="11"/>
    </row>
    <row r="780" spans="2:3">
      <c r="B780" s="11"/>
      <c r="C780" s="11"/>
    </row>
    <row r="781" spans="2:3">
      <c r="B781" s="11"/>
      <c r="C781" s="11"/>
    </row>
    <row r="782" spans="2:3">
      <c r="B782" s="11"/>
      <c r="C782" s="11"/>
    </row>
    <row r="783" spans="2:3">
      <c r="B783" s="11"/>
      <c r="C783" s="11"/>
    </row>
    <row r="784" spans="2:3">
      <c r="B784" s="11"/>
      <c r="C784" s="11"/>
    </row>
    <row r="785" spans="2:3">
      <c r="B785" s="11"/>
      <c r="C785" s="11"/>
    </row>
    <row r="786" spans="2:3">
      <c r="B786" s="11"/>
      <c r="C786" s="11"/>
    </row>
    <row r="787" spans="2:3">
      <c r="B787" s="11"/>
      <c r="C787" s="11"/>
    </row>
    <row r="788" spans="2:3">
      <c r="B788" s="11"/>
      <c r="C788" s="11"/>
    </row>
    <row r="789" spans="2:3">
      <c r="B789" s="11"/>
      <c r="C789" s="11"/>
    </row>
    <row r="790" spans="2:3">
      <c r="B790" s="11"/>
      <c r="C790" s="11"/>
    </row>
    <row r="791" spans="2:3">
      <c r="B791" s="11"/>
      <c r="C791" s="11"/>
    </row>
    <row r="792" spans="2:3">
      <c r="B792" s="11"/>
      <c r="C792" s="11"/>
    </row>
    <row r="793" spans="2:3">
      <c r="B793" s="11"/>
      <c r="C793" s="11"/>
    </row>
    <row r="794" spans="2:3">
      <c r="B794" s="11"/>
      <c r="C794" s="11"/>
    </row>
    <row r="795" spans="2:3">
      <c r="B795" s="11"/>
      <c r="C795" s="11"/>
    </row>
    <row r="796" spans="2:3">
      <c r="B796" s="11"/>
      <c r="C796" s="11"/>
    </row>
    <row r="797" spans="2:3">
      <c r="B797" s="11"/>
      <c r="C797" s="11"/>
    </row>
    <row r="798" spans="2:3">
      <c r="B798" s="11"/>
      <c r="C798" s="11"/>
    </row>
    <row r="799" spans="2:3">
      <c r="B799" s="11"/>
      <c r="C799" s="11"/>
    </row>
    <row r="800" spans="2:3">
      <c r="B800" s="11"/>
      <c r="C800" s="11"/>
    </row>
    <row r="801" spans="2:3">
      <c r="B801" s="11"/>
      <c r="C801" s="11"/>
    </row>
    <row r="802" spans="2:3">
      <c r="B802" s="11"/>
      <c r="C802" s="11"/>
    </row>
    <row r="803" spans="2:3">
      <c r="B803" s="11"/>
      <c r="C803" s="11"/>
    </row>
    <row r="804" spans="2:3">
      <c r="B804" s="11"/>
      <c r="C804" s="11"/>
    </row>
    <row r="805" spans="2:3">
      <c r="B805" s="11"/>
      <c r="C805" s="11"/>
    </row>
    <row r="806" spans="2:3">
      <c r="B806" s="11"/>
      <c r="C806" s="11"/>
    </row>
    <row r="807" spans="2:3">
      <c r="B807" s="11"/>
      <c r="C807" s="11"/>
    </row>
    <row r="808" spans="2:3">
      <c r="B808" s="11"/>
      <c r="C808" s="11"/>
    </row>
    <row r="809" spans="2:3">
      <c r="B809" s="11"/>
      <c r="C809" s="11"/>
    </row>
    <row r="810" spans="2:3">
      <c r="B810" s="11"/>
      <c r="C810" s="11"/>
    </row>
    <row r="811" spans="2:3">
      <c r="B811" s="11"/>
      <c r="C811" s="11"/>
    </row>
    <row r="812" spans="2:3">
      <c r="B812" s="11"/>
      <c r="C812" s="11"/>
    </row>
    <row r="813" spans="2:3">
      <c r="B813" s="11"/>
      <c r="C813" s="11"/>
    </row>
    <row r="814" spans="2:3">
      <c r="B814" s="11"/>
      <c r="C814" s="11"/>
    </row>
    <row r="815" spans="2:3">
      <c r="B815" s="11"/>
      <c r="C815" s="11"/>
    </row>
    <row r="816" spans="2:3">
      <c r="B816" s="11"/>
      <c r="C816" s="11"/>
    </row>
    <row r="817" spans="2:3">
      <c r="B817" s="11"/>
      <c r="C817" s="11"/>
    </row>
    <row r="818" spans="2:3">
      <c r="B818" s="11"/>
      <c r="C818" s="11"/>
    </row>
    <row r="819" spans="2:3">
      <c r="B819" s="11"/>
      <c r="C819" s="11"/>
    </row>
    <row r="820" spans="2:3">
      <c r="B820" s="11"/>
      <c r="C820" s="11"/>
    </row>
    <row r="821" spans="2:3">
      <c r="B821" s="11"/>
      <c r="C821" s="11"/>
    </row>
    <row r="822" spans="2:3">
      <c r="B822" s="11"/>
      <c r="C822" s="11"/>
    </row>
    <row r="823" spans="2:3">
      <c r="B823" s="11"/>
      <c r="C823" s="11"/>
    </row>
    <row r="824" spans="2:3">
      <c r="B824" s="11"/>
      <c r="C824" s="11"/>
    </row>
    <row r="825" spans="2:3">
      <c r="B825" s="11"/>
      <c r="C825" s="11"/>
    </row>
    <row r="826" spans="2:3">
      <c r="B826" s="11"/>
      <c r="C826" s="11"/>
    </row>
    <row r="827" spans="2:3">
      <c r="B827" s="11"/>
      <c r="C827" s="11"/>
    </row>
    <row r="828" spans="2:3">
      <c r="B828" s="11"/>
      <c r="C828" s="11"/>
    </row>
    <row r="829" spans="2:3">
      <c r="B829" s="11"/>
      <c r="C829" s="11"/>
    </row>
    <row r="830" spans="2:3">
      <c r="B830" s="11"/>
      <c r="C830" s="11"/>
    </row>
    <row r="831" spans="2:3">
      <c r="B831" s="11"/>
      <c r="C831" s="11"/>
    </row>
    <row r="832" spans="2:3">
      <c r="B832" s="11"/>
      <c r="C832" s="11"/>
    </row>
    <row r="833" spans="2:3">
      <c r="B833" s="11"/>
      <c r="C833" s="11"/>
    </row>
    <row r="834" spans="2:3">
      <c r="B834" s="11"/>
      <c r="C834" s="11"/>
    </row>
    <row r="835" spans="2:3">
      <c r="B835" s="11"/>
      <c r="C835" s="11"/>
    </row>
    <row r="836" spans="2:3">
      <c r="B836" s="11"/>
      <c r="C836" s="11"/>
    </row>
    <row r="837" spans="2:3">
      <c r="B837" s="11"/>
      <c r="C837" s="11"/>
    </row>
    <row r="838" spans="2:3">
      <c r="B838" s="11"/>
      <c r="C838" s="11"/>
    </row>
    <row r="839" spans="2:3">
      <c r="B839" s="11"/>
      <c r="C839" s="11"/>
    </row>
    <row r="840" spans="2:3">
      <c r="B840" s="11"/>
      <c r="C840" s="11"/>
    </row>
    <row r="841" spans="2:3">
      <c r="B841" s="11"/>
      <c r="C841" s="11"/>
    </row>
    <row r="842" spans="2:3">
      <c r="B842" s="11"/>
      <c r="C842" s="11"/>
    </row>
    <row r="843" spans="2:3">
      <c r="B843" s="11"/>
      <c r="C843" s="11"/>
    </row>
    <row r="844" spans="2:3">
      <c r="B844" s="11"/>
      <c r="C844" s="11"/>
    </row>
    <row r="845" spans="2:3">
      <c r="B845" s="11"/>
      <c r="C845" s="11"/>
    </row>
    <row r="846" spans="2:3">
      <c r="B846" s="11"/>
      <c r="C846" s="11"/>
    </row>
    <row r="847" spans="2:3">
      <c r="B847" s="11"/>
      <c r="C847" s="11"/>
    </row>
    <row r="848" spans="2:3">
      <c r="B848" s="10"/>
      <c r="C848" s="10"/>
    </row>
    <row r="849" spans="2:3">
      <c r="B849" s="10"/>
      <c r="C849" s="10"/>
    </row>
    <row r="850" spans="2:3">
      <c r="B850" s="10"/>
      <c r="C850" s="10"/>
    </row>
    <row r="851" spans="2:3">
      <c r="B851" s="10"/>
      <c r="C851" s="10"/>
    </row>
    <row r="852" spans="2:3">
      <c r="B852" s="10"/>
      <c r="C852" s="10"/>
    </row>
    <row r="853" spans="2:3">
      <c r="B853" s="10"/>
      <c r="C853" s="10"/>
    </row>
    <row r="854" spans="2:3">
      <c r="B854" s="10"/>
      <c r="C854" s="10"/>
    </row>
    <row r="855" spans="2:3">
      <c r="B855" s="10"/>
      <c r="C855" s="10"/>
    </row>
    <row r="856" spans="2:3">
      <c r="B856" s="10"/>
      <c r="C856" s="10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004B04-9D7E-4150-A496-98B5AE8E3F86}">
  <sheetPr codeName="Planilha17"/>
  <dimension ref="B1:AJ147"/>
  <sheetViews>
    <sheetView showGridLines="0" zoomScale="85" zoomScaleNormal="85" workbookViewId="0">
      <pane xSplit="6" ySplit="3" topLeftCell="G58" activePane="bottomRight" state="frozen"/>
      <selection pane="topRight" activeCell="G1" sqref="G1"/>
      <selection pane="bottomLeft" activeCell="A4" sqref="A4"/>
      <selection pane="bottomRight" activeCell="AG124" sqref="AG124"/>
    </sheetView>
  </sheetViews>
  <sheetFormatPr defaultRowHeight="15"/>
  <cols>
    <col min="1" max="1" width="1.7109375" customWidth="1"/>
    <col min="7" max="7" width="1.7109375" customWidth="1"/>
  </cols>
  <sheetData>
    <row r="1" spans="2:36" s="79" customFormat="1"/>
    <row r="2" spans="2:36" s="79" customFormat="1" ht="15" customHeight="1">
      <c r="B2" s="109"/>
      <c r="C2" s="80"/>
      <c r="D2" s="109" t="s">
        <v>64</v>
      </c>
      <c r="E2" s="109"/>
      <c r="F2" s="10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2:36" s="79" customFormat="1" ht="15" customHeight="1">
      <c r="B3" s="109"/>
      <c r="C3" s="80"/>
      <c r="D3" s="109"/>
      <c r="E3" s="109"/>
      <c r="F3" s="109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</row>
    <row r="4" spans="2:36">
      <c r="B4" s="91"/>
      <c r="C4" s="92"/>
      <c r="D4" s="92"/>
      <c r="E4" s="92"/>
      <c r="F4" s="93"/>
    </row>
    <row r="5" spans="2:36">
      <c r="B5" s="94"/>
      <c r="C5" s="95"/>
      <c r="D5" s="95"/>
      <c r="E5" s="95"/>
      <c r="F5" s="96"/>
    </row>
    <row r="6" spans="2:36">
      <c r="B6" s="94"/>
      <c r="C6" s="95"/>
      <c r="D6" s="95"/>
      <c r="E6" s="95"/>
      <c r="F6" s="96"/>
    </row>
    <row r="7" spans="2:36">
      <c r="B7" s="94"/>
      <c r="C7" s="95"/>
      <c r="D7" s="95"/>
      <c r="E7" s="95"/>
      <c r="F7" s="96"/>
    </row>
    <row r="8" spans="2:36">
      <c r="B8" s="94"/>
      <c r="C8" s="95"/>
      <c r="D8" s="95"/>
      <c r="E8" s="95"/>
      <c r="F8" s="96"/>
    </row>
    <row r="9" spans="2:36">
      <c r="B9" s="94"/>
      <c r="C9" s="95"/>
      <c r="D9" s="95"/>
      <c r="E9" s="95"/>
      <c r="F9" s="96"/>
    </row>
    <row r="10" spans="2:36">
      <c r="B10" s="94"/>
      <c r="C10" s="95"/>
      <c r="D10" s="95"/>
      <c r="E10" s="95"/>
      <c r="F10" s="96"/>
    </row>
    <row r="11" spans="2:36">
      <c r="B11" s="94"/>
      <c r="C11" s="95"/>
      <c r="D11" s="95"/>
      <c r="E11" s="95"/>
      <c r="F11" s="96"/>
    </row>
    <row r="12" spans="2:36">
      <c r="B12" s="94"/>
      <c r="C12" s="95"/>
      <c r="D12" s="95"/>
      <c r="E12" s="95"/>
      <c r="F12" s="96"/>
    </row>
    <row r="13" spans="2:36">
      <c r="B13" s="94"/>
      <c r="C13" s="95"/>
      <c r="D13" s="95"/>
      <c r="E13" s="95"/>
      <c r="F13" s="96"/>
    </row>
    <row r="14" spans="2:36">
      <c r="B14" s="94"/>
      <c r="C14" s="95"/>
      <c r="D14" s="95"/>
      <c r="E14" s="95"/>
      <c r="F14" s="96"/>
    </row>
    <row r="15" spans="2:36">
      <c r="B15" s="94"/>
      <c r="C15" s="95"/>
      <c r="D15" s="95"/>
      <c r="E15" s="95"/>
      <c r="F15" s="96"/>
    </row>
    <row r="16" spans="2:36">
      <c r="B16" s="94"/>
      <c r="C16" s="95"/>
      <c r="D16" s="95"/>
      <c r="E16" s="95"/>
      <c r="F16" s="96"/>
    </row>
    <row r="17" spans="2:6">
      <c r="B17" s="94"/>
      <c r="C17" s="95"/>
      <c r="D17" s="95"/>
      <c r="E17" s="95"/>
      <c r="F17" s="96"/>
    </row>
    <row r="18" spans="2:6">
      <c r="B18" s="94"/>
      <c r="C18" s="95"/>
      <c r="D18" s="95"/>
      <c r="E18" s="95"/>
      <c r="F18" s="96"/>
    </row>
    <row r="19" spans="2:6">
      <c r="B19" s="94"/>
      <c r="C19" s="95"/>
      <c r="D19" s="95"/>
      <c r="E19" s="95"/>
      <c r="F19" s="96"/>
    </row>
    <row r="20" spans="2:6">
      <c r="B20" s="94"/>
      <c r="C20" s="95"/>
      <c r="D20" s="95"/>
      <c r="E20" s="95"/>
      <c r="F20" s="96"/>
    </row>
    <row r="21" spans="2:6">
      <c r="B21" s="94"/>
      <c r="C21" s="95"/>
      <c r="D21" s="95"/>
      <c r="E21" s="95"/>
      <c r="F21" s="96"/>
    </row>
    <row r="22" spans="2:6">
      <c r="B22" s="94"/>
      <c r="C22" s="95"/>
      <c r="D22" s="95"/>
      <c r="E22" s="95"/>
      <c r="F22" s="96"/>
    </row>
    <row r="23" spans="2:6">
      <c r="B23" s="94"/>
      <c r="C23" s="95"/>
      <c r="D23" s="95"/>
      <c r="E23" s="95"/>
      <c r="F23" s="96"/>
    </row>
    <row r="24" spans="2:6">
      <c r="B24" s="94"/>
      <c r="C24" s="95"/>
      <c r="D24" s="95"/>
      <c r="E24" s="95"/>
      <c r="F24" s="96"/>
    </row>
    <row r="25" spans="2:6">
      <c r="B25" s="94"/>
      <c r="C25" s="95"/>
      <c r="D25" s="95"/>
      <c r="E25" s="95"/>
      <c r="F25" s="96"/>
    </row>
    <row r="26" spans="2:6">
      <c r="B26" s="94"/>
      <c r="C26" s="95"/>
      <c r="D26" s="95"/>
      <c r="E26" s="95"/>
      <c r="F26" s="96"/>
    </row>
    <row r="27" spans="2:6">
      <c r="B27" s="94"/>
      <c r="C27" s="95"/>
      <c r="D27" s="95"/>
      <c r="E27" s="95"/>
      <c r="F27" s="96"/>
    </row>
    <row r="28" spans="2:6">
      <c r="B28" s="94"/>
      <c r="C28" s="95"/>
      <c r="D28" s="95"/>
      <c r="E28" s="95"/>
      <c r="F28" s="96"/>
    </row>
    <row r="29" spans="2:6">
      <c r="B29" s="94"/>
      <c r="C29" s="95"/>
      <c r="D29" s="95"/>
      <c r="E29" s="95"/>
      <c r="F29" s="96"/>
    </row>
    <row r="30" spans="2:6">
      <c r="B30" s="94"/>
      <c r="C30" s="95"/>
      <c r="D30" s="95"/>
      <c r="E30" s="95"/>
      <c r="F30" s="96"/>
    </row>
    <row r="31" spans="2:6">
      <c r="B31" s="97"/>
      <c r="C31" s="98"/>
      <c r="D31" s="98"/>
      <c r="E31" s="98"/>
      <c r="F31" s="99"/>
    </row>
    <row r="33" spans="2:6" ht="15" customHeight="1">
      <c r="B33" s="91"/>
      <c r="C33" s="92"/>
      <c r="D33" s="92"/>
      <c r="E33" s="92"/>
      <c r="F33" s="93"/>
    </row>
    <row r="34" spans="2:6">
      <c r="B34" s="94"/>
      <c r="C34" s="95"/>
      <c r="D34" s="95"/>
      <c r="E34" s="95"/>
      <c r="F34" s="96"/>
    </row>
    <row r="35" spans="2:6">
      <c r="B35" s="94"/>
      <c r="C35" s="95"/>
      <c r="D35" s="95"/>
      <c r="E35" s="95"/>
      <c r="F35" s="96"/>
    </row>
    <row r="36" spans="2:6">
      <c r="B36" s="94"/>
      <c r="C36" s="95"/>
      <c r="D36" s="95"/>
      <c r="E36" s="95"/>
      <c r="F36" s="96"/>
    </row>
    <row r="37" spans="2:6">
      <c r="B37" s="94"/>
      <c r="C37" s="95"/>
      <c r="D37" s="95"/>
      <c r="E37" s="95"/>
      <c r="F37" s="96"/>
    </row>
    <row r="38" spans="2:6">
      <c r="B38" s="94"/>
      <c r="C38" s="95"/>
      <c r="D38" s="95"/>
      <c r="E38" s="95"/>
      <c r="F38" s="96"/>
    </row>
    <row r="39" spans="2:6">
      <c r="B39" s="94"/>
      <c r="C39" s="95"/>
      <c r="D39" s="95"/>
      <c r="E39" s="95"/>
      <c r="F39" s="96"/>
    </row>
    <row r="40" spans="2:6">
      <c r="B40" s="94"/>
      <c r="C40" s="95"/>
      <c r="D40" s="95"/>
      <c r="E40" s="95"/>
      <c r="F40" s="96"/>
    </row>
    <row r="41" spans="2:6">
      <c r="B41" s="94"/>
      <c r="C41" s="95"/>
      <c r="D41" s="95"/>
      <c r="E41" s="95"/>
      <c r="F41" s="96"/>
    </row>
    <row r="42" spans="2:6">
      <c r="B42" s="94"/>
      <c r="C42" s="95"/>
      <c r="D42" s="95"/>
      <c r="E42" s="95"/>
      <c r="F42" s="96"/>
    </row>
    <row r="43" spans="2:6">
      <c r="B43" s="94"/>
      <c r="C43" s="95"/>
      <c r="D43" s="95"/>
      <c r="E43" s="95"/>
      <c r="F43" s="96"/>
    </row>
    <row r="44" spans="2:6">
      <c r="B44" s="94"/>
      <c r="C44" s="95"/>
      <c r="D44" s="95"/>
      <c r="E44" s="95"/>
      <c r="F44" s="96"/>
    </row>
    <row r="45" spans="2:6">
      <c r="B45" s="94"/>
      <c r="C45" s="95"/>
      <c r="D45" s="95"/>
      <c r="E45" s="95"/>
      <c r="F45" s="96"/>
    </row>
    <row r="46" spans="2:6">
      <c r="B46" s="94"/>
      <c r="C46" s="95"/>
      <c r="D46" s="95"/>
      <c r="E46" s="95"/>
      <c r="F46" s="96"/>
    </row>
    <row r="47" spans="2:6">
      <c r="B47" s="94"/>
      <c r="C47" s="95"/>
      <c r="D47" s="95"/>
      <c r="E47" s="95"/>
      <c r="F47" s="96"/>
    </row>
    <row r="48" spans="2:6">
      <c r="B48" s="94"/>
      <c r="C48" s="95"/>
      <c r="D48" s="95"/>
      <c r="E48" s="95"/>
      <c r="F48" s="96"/>
    </row>
    <row r="49" spans="2:6">
      <c r="B49" s="94"/>
      <c r="C49" s="95"/>
      <c r="D49" s="95"/>
      <c r="E49" s="95"/>
      <c r="F49" s="96"/>
    </row>
    <row r="50" spans="2:6">
      <c r="B50" s="94"/>
      <c r="C50" s="95"/>
      <c r="D50" s="95"/>
      <c r="E50" s="95"/>
      <c r="F50" s="96"/>
    </row>
    <row r="51" spans="2:6">
      <c r="B51" s="94"/>
      <c r="C51" s="95"/>
      <c r="D51" s="95"/>
      <c r="E51" s="95"/>
      <c r="F51" s="96"/>
    </row>
    <row r="52" spans="2:6">
      <c r="B52" s="94"/>
      <c r="C52" s="95"/>
      <c r="D52" s="95"/>
      <c r="E52" s="95"/>
      <c r="F52" s="96"/>
    </row>
    <row r="53" spans="2:6">
      <c r="B53" s="94"/>
      <c r="C53" s="95"/>
      <c r="D53" s="95"/>
      <c r="E53" s="95"/>
      <c r="F53" s="96"/>
    </row>
    <row r="54" spans="2:6">
      <c r="B54" s="94"/>
      <c r="C54" s="95"/>
      <c r="D54" s="95"/>
      <c r="E54" s="95"/>
      <c r="F54" s="96"/>
    </row>
    <row r="55" spans="2:6">
      <c r="B55" s="94"/>
      <c r="C55" s="95"/>
      <c r="D55" s="95"/>
      <c r="E55" s="95"/>
      <c r="F55" s="96"/>
    </row>
    <row r="56" spans="2:6">
      <c r="B56" s="94"/>
      <c r="C56" s="95"/>
      <c r="D56" s="95"/>
      <c r="E56" s="95"/>
      <c r="F56" s="96"/>
    </row>
    <row r="57" spans="2:6">
      <c r="B57" s="94"/>
      <c r="C57" s="95"/>
      <c r="D57" s="95"/>
      <c r="E57" s="95"/>
      <c r="F57" s="96"/>
    </row>
    <row r="58" spans="2:6">
      <c r="B58" s="94"/>
      <c r="C58" s="95"/>
      <c r="D58" s="95"/>
      <c r="E58" s="95"/>
      <c r="F58" s="96"/>
    </row>
    <row r="59" spans="2:6">
      <c r="B59" s="94"/>
      <c r="C59" s="95"/>
      <c r="D59" s="95"/>
      <c r="E59" s="95"/>
      <c r="F59" s="96"/>
    </row>
    <row r="60" spans="2:6">
      <c r="B60" s="97"/>
      <c r="C60" s="98"/>
      <c r="D60" s="98"/>
      <c r="E60" s="98"/>
      <c r="F60" s="99"/>
    </row>
    <row r="62" spans="2:6" ht="15" customHeight="1">
      <c r="B62" s="91"/>
      <c r="C62" s="92"/>
      <c r="D62" s="92"/>
      <c r="E62" s="92"/>
      <c r="F62" s="93"/>
    </row>
    <row r="63" spans="2:6">
      <c r="B63" s="94"/>
      <c r="C63" s="95"/>
      <c r="D63" s="95"/>
      <c r="E63" s="95"/>
      <c r="F63" s="96"/>
    </row>
    <row r="64" spans="2:6">
      <c r="B64" s="94"/>
      <c r="C64" s="95"/>
      <c r="D64" s="95"/>
      <c r="E64" s="95"/>
      <c r="F64" s="96"/>
    </row>
    <row r="65" spans="2:6">
      <c r="B65" s="94"/>
      <c r="C65" s="95"/>
      <c r="D65" s="95"/>
      <c r="E65" s="95"/>
      <c r="F65" s="96"/>
    </row>
    <row r="66" spans="2:6">
      <c r="B66" s="94"/>
      <c r="C66" s="95"/>
      <c r="D66" s="95"/>
      <c r="E66" s="95"/>
      <c r="F66" s="96"/>
    </row>
    <row r="67" spans="2:6">
      <c r="B67" s="94"/>
      <c r="C67" s="95"/>
      <c r="D67" s="95"/>
      <c r="E67" s="95"/>
      <c r="F67" s="96"/>
    </row>
    <row r="68" spans="2:6">
      <c r="B68" s="94"/>
      <c r="C68" s="95"/>
      <c r="D68" s="95"/>
      <c r="E68" s="95"/>
      <c r="F68" s="96"/>
    </row>
    <row r="69" spans="2:6">
      <c r="B69" s="94"/>
      <c r="C69" s="95"/>
      <c r="D69" s="95"/>
      <c r="E69" s="95"/>
      <c r="F69" s="96"/>
    </row>
    <row r="70" spans="2:6">
      <c r="B70" s="94"/>
      <c r="C70" s="95"/>
      <c r="D70" s="95"/>
      <c r="E70" s="95"/>
      <c r="F70" s="96"/>
    </row>
    <row r="71" spans="2:6">
      <c r="B71" s="94"/>
      <c r="C71" s="95"/>
      <c r="D71" s="95"/>
      <c r="E71" s="95"/>
      <c r="F71" s="96"/>
    </row>
    <row r="72" spans="2:6">
      <c r="B72" s="94"/>
      <c r="C72" s="95"/>
      <c r="D72" s="95"/>
      <c r="E72" s="95"/>
      <c r="F72" s="96"/>
    </row>
    <row r="73" spans="2:6">
      <c r="B73" s="94"/>
      <c r="C73" s="95"/>
      <c r="D73" s="95"/>
      <c r="E73" s="95"/>
      <c r="F73" s="96"/>
    </row>
    <row r="74" spans="2:6">
      <c r="B74" s="94"/>
      <c r="C74" s="95"/>
      <c r="D74" s="95"/>
      <c r="E74" s="95"/>
      <c r="F74" s="96"/>
    </row>
    <row r="75" spans="2:6">
      <c r="B75" s="94"/>
      <c r="C75" s="95"/>
      <c r="D75" s="95"/>
      <c r="E75" s="95"/>
      <c r="F75" s="96"/>
    </row>
    <row r="76" spans="2:6">
      <c r="B76" s="94"/>
      <c r="C76" s="95"/>
      <c r="D76" s="95"/>
      <c r="E76" s="95"/>
      <c r="F76" s="96"/>
    </row>
    <row r="77" spans="2:6">
      <c r="B77" s="94"/>
      <c r="C77" s="95"/>
      <c r="D77" s="95"/>
      <c r="E77" s="95"/>
      <c r="F77" s="96"/>
    </row>
    <row r="78" spans="2:6">
      <c r="B78" s="94"/>
      <c r="C78" s="95"/>
      <c r="D78" s="95"/>
      <c r="E78" s="95"/>
      <c r="F78" s="96"/>
    </row>
    <row r="79" spans="2:6">
      <c r="B79" s="94"/>
      <c r="C79" s="95"/>
      <c r="D79" s="95"/>
      <c r="E79" s="95"/>
      <c r="F79" s="96"/>
    </row>
    <row r="80" spans="2:6">
      <c r="B80" s="94"/>
      <c r="C80" s="95"/>
      <c r="D80" s="95"/>
      <c r="E80" s="95"/>
      <c r="F80" s="96"/>
    </row>
    <row r="81" spans="2:6">
      <c r="B81" s="94"/>
      <c r="C81" s="95"/>
      <c r="D81" s="95"/>
      <c r="E81" s="95"/>
      <c r="F81" s="96"/>
    </row>
    <row r="82" spans="2:6">
      <c r="B82" s="94"/>
      <c r="C82" s="95"/>
      <c r="D82" s="95"/>
      <c r="E82" s="95"/>
      <c r="F82" s="96"/>
    </row>
    <row r="83" spans="2:6">
      <c r="B83" s="94"/>
      <c r="C83" s="95"/>
      <c r="D83" s="95"/>
      <c r="E83" s="95"/>
      <c r="F83" s="96"/>
    </row>
    <row r="84" spans="2:6">
      <c r="B84" s="94"/>
      <c r="C84" s="95"/>
      <c r="D84" s="95"/>
      <c r="E84" s="95"/>
      <c r="F84" s="96"/>
    </row>
    <row r="85" spans="2:6">
      <c r="B85" s="94"/>
      <c r="C85" s="95"/>
      <c r="D85" s="95"/>
      <c r="E85" s="95"/>
      <c r="F85" s="96"/>
    </row>
    <row r="86" spans="2:6">
      <c r="B86" s="94"/>
      <c r="C86" s="95"/>
      <c r="D86" s="95"/>
      <c r="E86" s="95"/>
      <c r="F86" s="96"/>
    </row>
    <row r="87" spans="2:6">
      <c r="B87" s="94"/>
      <c r="C87" s="95"/>
      <c r="D87" s="95"/>
      <c r="E87" s="95"/>
      <c r="F87" s="96"/>
    </row>
    <row r="88" spans="2:6">
      <c r="B88" s="94"/>
      <c r="C88" s="95"/>
      <c r="D88" s="95"/>
      <c r="E88" s="95"/>
      <c r="F88" s="96"/>
    </row>
    <row r="89" spans="2:6">
      <c r="B89" s="97"/>
      <c r="C89" s="98"/>
      <c r="D89" s="98"/>
      <c r="E89" s="98"/>
      <c r="F89" s="99"/>
    </row>
    <row r="91" spans="2:6">
      <c r="B91" s="110"/>
      <c r="C91" s="111"/>
      <c r="D91" s="111"/>
      <c r="E91" s="111"/>
      <c r="F91" s="112"/>
    </row>
    <row r="92" spans="2:6">
      <c r="B92" s="113"/>
      <c r="C92" s="114"/>
      <c r="D92" s="114"/>
      <c r="E92" s="114"/>
      <c r="F92" s="115"/>
    </row>
    <row r="93" spans="2:6">
      <c r="B93" s="113"/>
      <c r="C93" s="114"/>
      <c r="D93" s="114"/>
      <c r="E93" s="114"/>
      <c r="F93" s="115"/>
    </row>
    <row r="94" spans="2:6">
      <c r="B94" s="113"/>
      <c r="C94" s="114"/>
      <c r="D94" s="114"/>
      <c r="E94" s="114"/>
      <c r="F94" s="115"/>
    </row>
    <row r="95" spans="2:6">
      <c r="B95" s="113"/>
      <c r="C95" s="114"/>
      <c r="D95" s="114"/>
      <c r="E95" s="114"/>
      <c r="F95" s="115"/>
    </row>
    <row r="96" spans="2:6">
      <c r="B96" s="113"/>
      <c r="C96" s="114"/>
      <c r="D96" s="114"/>
      <c r="E96" s="114"/>
      <c r="F96" s="115"/>
    </row>
    <row r="97" spans="2:6">
      <c r="B97" s="113"/>
      <c r="C97" s="114"/>
      <c r="D97" s="114"/>
      <c r="E97" s="114"/>
      <c r="F97" s="115"/>
    </row>
    <row r="98" spans="2:6">
      <c r="B98" s="113"/>
      <c r="C98" s="114"/>
      <c r="D98" s="114"/>
      <c r="E98" s="114"/>
      <c r="F98" s="115"/>
    </row>
    <row r="99" spans="2:6">
      <c r="B99" s="113"/>
      <c r="C99" s="114"/>
      <c r="D99" s="114"/>
      <c r="E99" s="114"/>
      <c r="F99" s="115"/>
    </row>
    <row r="100" spans="2:6">
      <c r="B100" s="113"/>
      <c r="C100" s="114"/>
      <c r="D100" s="114"/>
      <c r="E100" s="114"/>
      <c r="F100" s="115"/>
    </row>
    <row r="101" spans="2:6">
      <c r="B101" s="113"/>
      <c r="C101" s="114"/>
      <c r="D101" s="114"/>
      <c r="E101" s="114"/>
      <c r="F101" s="115"/>
    </row>
    <row r="102" spans="2:6">
      <c r="B102" s="113"/>
      <c r="C102" s="114"/>
      <c r="D102" s="114"/>
      <c r="E102" s="114"/>
      <c r="F102" s="115"/>
    </row>
    <row r="103" spans="2:6">
      <c r="B103" s="113"/>
      <c r="C103" s="114"/>
      <c r="D103" s="114"/>
      <c r="E103" s="114"/>
      <c r="F103" s="115"/>
    </row>
    <row r="104" spans="2:6">
      <c r="B104" s="113"/>
      <c r="C104" s="114"/>
      <c r="D104" s="114"/>
      <c r="E104" s="114"/>
      <c r="F104" s="115"/>
    </row>
    <row r="105" spans="2:6">
      <c r="B105" s="113"/>
      <c r="C105" s="114"/>
      <c r="D105" s="114"/>
      <c r="E105" s="114"/>
      <c r="F105" s="115"/>
    </row>
    <row r="106" spans="2:6">
      <c r="B106" s="113"/>
      <c r="C106" s="114"/>
      <c r="D106" s="114"/>
      <c r="E106" s="114"/>
      <c r="F106" s="115"/>
    </row>
    <row r="107" spans="2:6">
      <c r="B107" s="113"/>
      <c r="C107" s="114"/>
      <c r="D107" s="114"/>
      <c r="E107" s="114"/>
      <c r="F107" s="115"/>
    </row>
    <row r="108" spans="2:6">
      <c r="B108" s="113"/>
      <c r="C108" s="114"/>
      <c r="D108" s="114"/>
      <c r="E108" s="114"/>
      <c r="F108" s="115"/>
    </row>
    <row r="109" spans="2:6">
      <c r="B109" s="113"/>
      <c r="C109" s="114"/>
      <c r="D109" s="114"/>
      <c r="E109" s="114"/>
      <c r="F109" s="115"/>
    </row>
    <row r="110" spans="2:6">
      <c r="B110" s="113"/>
      <c r="C110" s="114"/>
      <c r="D110" s="114"/>
      <c r="E110" s="114"/>
      <c r="F110" s="115"/>
    </row>
    <row r="111" spans="2:6">
      <c r="B111" s="113"/>
      <c r="C111" s="114"/>
      <c r="D111" s="114"/>
      <c r="E111" s="114"/>
      <c r="F111" s="115"/>
    </row>
    <row r="112" spans="2:6">
      <c r="B112" s="113"/>
      <c r="C112" s="114"/>
      <c r="D112" s="114"/>
      <c r="E112" s="114"/>
      <c r="F112" s="115"/>
    </row>
    <row r="113" spans="2:6">
      <c r="B113" s="113"/>
      <c r="C113" s="114"/>
      <c r="D113" s="114"/>
      <c r="E113" s="114"/>
      <c r="F113" s="115"/>
    </row>
    <row r="114" spans="2:6">
      <c r="B114" s="113"/>
      <c r="C114" s="114"/>
      <c r="D114" s="114"/>
      <c r="E114" s="114"/>
      <c r="F114" s="115"/>
    </row>
    <row r="115" spans="2:6">
      <c r="B115" s="113"/>
      <c r="C115" s="114"/>
      <c r="D115" s="114"/>
      <c r="E115" s="114"/>
      <c r="F115" s="115"/>
    </row>
    <row r="116" spans="2:6">
      <c r="B116" s="113"/>
      <c r="C116" s="114"/>
      <c r="D116" s="114"/>
      <c r="E116" s="114"/>
      <c r="F116" s="115"/>
    </row>
    <row r="117" spans="2:6">
      <c r="B117" s="113"/>
      <c r="C117" s="114"/>
      <c r="D117" s="114"/>
      <c r="E117" s="114"/>
      <c r="F117" s="115"/>
    </row>
    <row r="118" spans="2:6">
      <c r="B118" s="116"/>
      <c r="C118" s="117"/>
      <c r="D118" s="117"/>
      <c r="E118" s="117"/>
      <c r="F118" s="118"/>
    </row>
    <row r="120" spans="2:6">
      <c r="B120" s="110"/>
      <c r="C120" s="111"/>
      <c r="D120" s="111"/>
      <c r="E120" s="111"/>
      <c r="F120" s="112"/>
    </row>
    <row r="121" spans="2:6">
      <c r="B121" s="113"/>
      <c r="C121" s="114"/>
      <c r="D121" s="114"/>
      <c r="E121" s="114"/>
      <c r="F121" s="115"/>
    </row>
    <row r="122" spans="2:6">
      <c r="B122" s="113"/>
      <c r="C122" s="114"/>
      <c r="D122" s="114"/>
      <c r="E122" s="114"/>
      <c r="F122" s="115"/>
    </row>
    <row r="123" spans="2:6">
      <c r="B123" s="113"/>
      <c r="C123" s="114"/>
      <c r="D123" s="114"/>
      <c r="E123" s="114"/>
      <c r="F123" s="115"/>
    </row>
    <row r="124" spans="2:6">
      <c r="B124" s="113"/>
      <c r="C124" s="114"/>
      <c r="D124" s="114"/>
      <c r="E124" s="114"/>
      <c r="F124" s="115"/>
    </row>
    <row r="125" spans="2:6">
      <c r="B125" s="113"/>
      <c r="C125" s="114"/>
      <c r="D125" s="114"/>
      <c r="E125" s="114"/>
      <c r="F125" s="115"/>
    </row>
    <row r="126" spans="2:6">
      <c r="B126" s="113"/>
      <c r="C126" s="114"/>
      <c r="D126" s="114"/>
      <c r="E126" s="114"/>
      <c r="F126" s="115"/>
    </row>
    <row r="127" spans="2:6">
      <c r="B127" s="113"/>
      <c r="C127" s="114"/>
      <c r="D127" s="114"/>
      <c r="E127" s="114"/>
      <c r="F127" s="115"/>
    </row>
    <row r="128" spans="2:6">
      <c r="B128" s="113"/>
      <c r="C128" s="114"/>
      <c r="D128" s="114"/>
      <c r="E128" s="114"/>
      <c r="F128" s="115"/>
    </row>
    <row r="129" spans="2:6">
      <c r="B129" s="113"/>
      <c r="C129" s="114"/>
      <c r="D129" s="114"/>
      <c r="E129" s="114"/>
      <c r="F129" s="115"/>
    </row>
    <row r="130" spans="2:6">
      <c r="B130" s="113"/>
      <c r="C130" s="114"/>
      <c r="D130" s="114"/>
      <c r="E130" s="114"/>
      <c r="F130" s="115"/>
    </row>
    <row r="131" spans="2:6">
      <c r="B131" s="113"/>
      <c r="C131" s="114"/>
      <c r="D131" s="114"/>
      <c r="E131" s="114"/>
      <c r="F131" s="115"/>
    </row>
    <row r="132" spans="2:6">
      <c r="B132" s="113"/>
      <c r="C132" s="114"/>
      <c r="D132" s="114"/>
      <c r="E132" s="114"/>
      <c r="F132" s="115"/>
    </row>
    <row r="133" spans="2:6">
      <c r="B133" s="113"/>
      <c r="C133" s="114"/>
      <c r="D133" s="114"/>
      <c r="E133" s="114"/>
      <c r="F133" s="115"/>
    </row>
    <row r="134" spans="2:6">
      <c r="B134" s="113"/>
      <c r="C134" s="114"/>
      <c r="D134" s="114"/>
      <c r="E134" s="114"/>
      <c r="F134" s="115"/>
    </row>
    <row r="135" spans="2:6">
      <c r="B135" s="113"/>
      <c r="C135" s="114"/>
      <c r="D135" s="114"/>
      <c r="E135" s="114"/>
      <c r="F135" s="115"/>
    </row>
    <row r="136" spans="2:6">
      <c r="B136" s="113"/>
      <c r="C136" s="114"/>
      <c r="D136" s="114"/>
      <c r="E136" s="114"/>
      <c r="F136" s="115"/>
    </row>
    <row r="137" spans="2:6">
      <c r="B137" s="113"/>
      <c r="C137" s="114"/>
      <c r="D137" s="114"/>
      <c r="E137" s="114"/>
      <c r="F137" s="115"/>
    </row>
    <row r="138" spans="2:6">
      <c r="B138" s="113"/>
      <c r="C138" s="114"/>
      <c r="D138" s="114"/>
      <c r="E138" s="114"/>
      <c r="F138" s="115"/>
    </row>
    <row r="139" spans="2:6">
      <c r="B139" s="113"/>
      <c r="C139" s="114"/>
      <c r="D139" s="114"/>
      <c r="E139" s="114"/>
      <c r="F139" s="115"/>
    </row>
    <row r="140" spans="2:6">
      <c r="B140" s="113"/>
      <c r="C140" s="114"/>
      <c r="D140" s="114"/>
      <c r="E140" s="114"/>
      <c r="F140" s="115"/>
    </row>
    <row r="141" spans="2:6">
      <c r="B141" s="113"/>
      <c r="C141" s="114"/>
      <c r="D141" s="114"/>
      <c r="E141" s="114"/>
      <c r="F141" s="115"/>
    </row>
    <row r="142" spans="2:6">
      <c r="B142" s="113"/>
      <c r="C142" s="114"/>
      <c r="D142" s="114"/>
      <c r="E142" s="114"/>
      <c r="F142" s="115"/>
    </row>
    <row r="143" spans="2:6">
      <c r="B143" s="113"/>
      <c r="C143" s="114"/>
      <c r="D143" s="114"/>
      <c r="E143" s="114"/>
      <c r="F143" s="115"/>
    </row>
    <row r="144" spans="2:6">
      <c r="B144" s="113"/>
      <c r="C144" s="114"/>
      <c r="D144" s="114"/>
      <c r="E144" s="114"/>
      <c r="F144" s="115"/>
    </row>
    <row r="145" spans="2:6">
      <c r="B145" s="113"/>
      <c r="C145" s="114"/>
      <c r="D145" s="114"/>
      <c r="E145" s="114"/>
      <c r="F145" s="115"/>
    </row>
    <row r="146" spans="2:6">
      <c r="B146" s="113"/>
      <c r="C146" s="114"/>
      <c r="D146" s="114"/>
      <c r="E146" s="114"/>
      <c r="F146" s="115"/>
    </row>
    <row r="147" spans="2:6">
      <c r="B147" s="116"/>
      <c r="C147" s="117"/>
      <c r="D147" s="117"/>
      <c r="E147" s="117"/>
      <c r="F147" s="118"/>
    </row>
  </sheetData>
  <mergeCells count="7">
    <mergeCell ref="B120:F147"/>
    <mergeCell ref="B2:B3"/>
    <mergeCell ref="D2:F3"/>
    <mergeCell ref="B4:F31"/>
    <mergeCell ref="B33:F60"/>
    <mergeCell ref="B62:F89"/>
    <mergeCell ref="B91:F118"/>
  </mergeCells>
  <pageMargins left="0.511811024" right="0.511811024" top="0.78740157499999996" bottom="0.78740157499999996" header="0.31496062000000002" footer="0.31496062000000002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C129C4-7F20-4121-8794-809CA7305E91}">
  <sheetPr codeName="Planilha5"/>
  <dimension ref="A1:C925"/>
  <sheetViews>
    <sheetView showGridLines="0" workbookViewId="0">
      <pane xSplit="1" ySplit="1" topLeftCell="B884" activePane="bottomRight" state="frozen"/>
      <selection activeCell="I37" sqref="I37"/>
      <selection pane="topRight" activeCell="I37" sqref="I37"/>
      <selection pane="bottomLeft" activeCell="I37" sqref="I37"/>
      <selection pane="bottomRight" activeCell="C915" sqref="C915"/>
    </sheetView>
  </sheetViews>
  <sheetFormatPr defaultRowHeight="12.75"/>
  <cols>
    <col min="1" max="1" width="9.140625" style="9"/>
    <col min="2" max="2" width="10.7109375" style="5" customWidth="1"/>
    <col min="3" max="16384" width="9.140625" style="9"/>
  </cols>
  <sheetData>
    <row r="1" spans="1:3" ht="30" customHeight="1">
      <c r="A1" s="18" t="s">
        <v>23</v>
      </c>
      <c r="B1" s="18" t="s">
        <v>29</v>
      </c>
      <c r="C1" s="18" t="s">
        <v>141</v>
      </c>
    </row>
    <row r="2" spans="1:3">
      <c r="A2" s="13">
        <v>17533</v>
      </c>
      <c r="B2" s="5">
        <v>0</v>
      </c>
      <c r="C2" s="5">
        <v>50</v>
      </c>
    </row>
    <row r="3" spans="1:3">
      <c r="A3" s="6">
        <v>17564</v>
      </c>
      <c r="B3" s="5">
        <v>0</v>
      </c>
      <c r="C3" s="5">
        <v>50</v>
      </c>
    </row>
    <row r="4" spans="1:3">
      <c r="A4" s="13">
        <v>17593</v>
      </c>
      <c r="B4" s="5">
        <v>0</v>
      </c>
      <c r="C4" s="5">
        <v>50</v>
      </c>
    </row>
    <row r="5" spans="1:3">
      <c r="A5" s="6">
        <v>17624</v>
      </c>
      <c r="B5" s="5">
        <v>0</v>
      </c>
      <c r="C5" s="5">
        <v>50</v>
      </c>
    </row>
    <row r="6" spans="1:3">
      <c r="A6" s="13">
        <v>17654</v>
      </c>
      <c r="B6" s="5">
        <v>0</v>
      </c>
      <c r="C6" s="5">
        <v>50</v>
      </c>
    </row>
    <row r="7" spans="1:3">
      <c r="A7" s="6">
        <v>17685</v>
      </c>
      <c r="B7" s="5">
        <v>0</v>
      </c>
      <c r="C7" s="5">
        <v>50</v>
      </c>
    </row>
    <row r="8" spans="1:3">
      <c r="A8" s="13">
        <v>17715</v>
      </c>
      <c r="B8" s="5">
        <v>0</v>
      </c>
      <c r="C8" s="5">
        <v>50</v>
      </c>
    </row>
    <row r="9" spans="1:3">
      <c r="A9" s="6">
        <v>17746</v>
      </c>
      <c r="B9" s="5">
        <v>0</v>
      </c>
      <c r="C9" s="5">
        <v>50</v>
      </c>
    </row>
    <row r="10" spans="1:3">
      <c r="A10" s="13">
        <v>17777</v>
      </c>
      <c r="B10" s="5">
        <v>0</v>
      </c>
      <c r="C10" s="5">
        <v>50</v>
      </c>
    </row>
    <row r="11" spans="1:3">
      <c r="A11" s="6">
        <v>17807</v>
      </c>
      <c r="B11" s="5">
        <v>0</v>
      </c>
      <c r="C11" s="5">
        <v>50</v>
      </c>
    </row>
    <row r="12" spans="1:3">
      <c r="A12" s="13">
        <v>17838</v>
      </c>
      <c r="B12" s="5">
        <v>1</v>
      </c>
      <c r="C12" s="5">
        <v>50</v>
      </c>
    </row>
    <row r="13" spans="1:3">
      <c r="A13" s="6">
        <v>17868</v>
      </c>
      <c r="B13" s="5">
        <v>1</v>
      </c>
      <c r="C13" s="5">
        <v>50</v>
      </c>
    </row>
    <row r="14" spans="1:3">
      <c r="A14" s="13">
        <v>17899</v>
      </c>
      <c r="B14" s="5">
        <v>1</v>
      </c>
      <c r="C14" s="5">
        <v>50</v>
      </c>
    </row>
    <row r="15" spans="1:3">
      <c r="A15" s="6">
        <v>17930</v>
      </c>
      <c r="B15" s="5">
        <v>1</v>
      </c>
      <c r="C15" s="5">
        <v>50</v>
      </c>
    </row>
    <row r="16" spans="1:3">
      <c r="A16" s="13">
        <v>17958</v>
      </c>
      <c r="B16" s="5">
        <v>1</v>
      </c>
      <c r="C16" s="5">
        <v>50</v>
      </c>
    </row>
    <row r="17" spans="1:3">
      <c r="A17" s="6">
        <v>17989</v>
      </c>
      <c r="B17" s="5">
        <v>1</v>
      </c>
      <c r="C17" s="5">
        <v>50</v>
      </c>
    </row>
    <row r="18" spans="1:3">
      <c r="A18" s="13">
        <v>18019</v>
      </c>
      <c r="B18" s="5">
        <v>1</v>
      </c>
      <c r="C18" s="5">
        <v>50</v>
      </c>
    </row>
    <row r="19" spans="1:3">
      <c r="A19" s="6">
        <v>18050</v>
      </c>
      <c r="B19" s="5">
        <v>1</v>
      </c>
      <c r="C19" s="5">
        <v>50</v>
      </c>
    </row>
    <row r="20" spans="1:3">
      <c r="A20" s="13">
        <v>18080</v>
      </c>
      <c r="B20" s="5">
        <v>1</v>
      </c>
      <c r="C20" s="5">
        <v>50</v>
      </c>
    </row>
    <row r="21" spans="1:3">
      <c r="A21" s="6">
        <v>18111</v>
      </c>
      <c r="B21" s="5">
        <v>1</v>
      </c>
      <c r="C21" s="5">
        <v>50</v>
      </c>
    </row>
    <row r="22" spans="1:3">
      <c r="A22" s="13">
        <v>18142</v>
      </c>
      <c r="B22" s="5">
        <v>1</v>
      </c>
      <c r="C22" s="5">
        <v>50</v>
      </c>
    </row>
    <row r="23" spans="1:3">
      <c r="A23" s="6">
        <v>18172</v>
      </c>
      <c r="B23" s="5">
        <v>1</v>
      </c>
      <c r="C23" s="5">
        <v>50</v>
      </c>
    </row>
    <row r="24" spans="1:3">
      <c r="A24" s="13">
        <v>18203</v>
      </c>
      <c r="B24" s="5">
        <v>0</v>
      </c>
      <c r="C24" s="5">
        <v>50</v>
      </c>
    </row>
    <row r="25" spans="1:3">
      <c r="A25" s="6">
        <v>18233</v>
      </c>
      <c r="B25" s="5">
        <v>0</v>
      </c>
      <c r="C25" s="5">
        <v>50</v>
      </c>
    </row>
    <row r="26" spans="1:3">
      <c r="A26" s="13">
        <v>18264</v>
      </c>
      <c r="B26" s="5">
        <v>0</v>
      </c>
      <c r="C26" s="5">
        <v>50</v>
      </c>
    </row>
    <row r="27" spans="1:3">
      <c r="A27" s="6">
        <v>18295</v>
      </c>
      <c r="B27" s="5">
        <v>0</v>
      </c>
      <c r="C27" s="5">
        <v>50</v>
      </c>
    </row>
    <row r="28" spans="1:3">
      <c r="A28" s="13">
        <v>18323</v>
      </c>
      <c r="B28" s="5">
        <v>0</v>
      </c>
      <c r="C28" s="5">
        <v>50</v>
      </c>
    </row>
    <row r="29" spans="1:3">
      <c r="A29" s="6">
        <v>18354</v>
      </c>
      <c r="B29" s="5">
        <v>0</v>
      </c>
      <c r="C29" s="5">
        <v>50</v>
      </c>
    </row>
    <row r="30" spans="1:3">
      <c r="A30" s="13">
        <v>18384</v>
      </c>
      <c r="B30" s="5">
        <v>0</v>
      </c>
      <c r="C30" s="5">
        <v>50</v>
      </c>
    </row>
    <row r="31" spans="1:3">
      <c r="A31" s="6">
        <v>18415</v>
      </c>
      <c r="B31" s="5">
        <v>0</v>
      </c>
      <c r="C31" s="5">
        <v>50</v>
      </c>
    </row>
    <row r="32" spans="1:3">
      <c r="A32" s="13">
        <v>18445</v>
      </c>
      <c r="B32" s="5">
        <v>0</v>
      </c>
      <c r="C32" s="5">
        <v>50</v>
      </c>
    </row>
    <row r="33" spans="1:3">
      <c r="A33" s="6">
        <v>18476</v>
      </c>
      <c r="B33" s="5">
        <v>0</v>
      </c>
      <c r="C33" s="5">
        <v>50</v>
      </c>
    </row>
    <row r="34" spans="1:3">
      <c r="A34" s="13">
        <v>18507</v>
      </c>
      <c r="B34" s="5">
        <v>0</v>
      </c>
      <c r="C34" s="5">
        <v>50</v>
      </c>
    </row>
    <row r="35" spans="1:3">
      <c r="A35" s="6">
        <v>18537</v>
      </c>
      <c r="B35" s="5">
        <v>0</v>
      </c>
      <c r="C35" s="5">
        <v>50</v>
      </c>
    </row>
    <row r="36" spans="1:3">
      <c r="A36" s="13">
        <v>18568</v>
      </c>
      <c r="B36" s="5">
        <v>0</v>
      </c>
      <c r="C36" s="5">
        <v>50</v>
      </c>
    </row>
    <row r="37" spans="1:3">
      <c r="A37" s="6">
        <v>18598</v>
      </c>
      <c r="B37" s="5">
        <v>0</v>
      </c>
      <c r="C37" s="5">
        <v>50</v>
      </c>
    </row>
    <row r="38" spans="1:3">
      <c r="A38" s="13">
        <v>18629</v>
      </c>
      <c r="B38" s="5">
        <v>0</v>
      </c>
      <c r="C38" s="5">
        <v>50</v>
      </c>
    </row>
    <row r="39" spans="1:3">
      <c r="A39" s="6">
        <v>18660</v>
      </c>
      <c r="B39" s="5">
        <v>0</v>
      </c>
      <c r="C39" s="5">
        <v>50</v>
      </c>
    </row>
    <row r="40" spans="1:3">
      <c r="A40" s="13">
        <v>18688</v>
      </c>
      <c r="B40" s="5">
        <v>0</v>
      </c>
      <c r="C40" s="5">
        <v>50</v>
      </c>
    </row>
    <row r="41" spans="1:3">
      <c r="A41" s="6">
        <v>18719</v>
      </c>
      <c r="B41" s="5">
        <v>0</v>
      </c>
      <c r="C41" s="5">
        <v>50</v>
      </c>
    </row>
    <row r="42" spans="1:3">
      <c r="A42" s="13">
        <v>18749</v>
      </c>
      <c r="B42" s="5">
        <v>0</v>
      </c>
      <c r="C42" s="5">
        <v>50</v>
      </c>
    </row>
    <row r="43" spans="1:3">
      <c r="A43" s="6">
        <v>18780</v>
      </c>
      <c r="B43" s="5">
        <v>0</v>
      </c>
      <c r="C43" s="5">
        <v>50</v>
      </c>
    </row>
    <row r="44" spans="1:3">
      <c r="A44" s="13">
        <v>18810</v>
      </c>
      <c r="B44" s="5">
        <v>0</v>
      </c>
      <c r="C44" s="5">
        <v>50</v>
      </c>
    </row>
    <row r="45" spans="1:3">
      <c r="A45" s="6">
        <v>18841</v>
      </c>
      <c r="B45" s="5">
        <v>0</v>
      </c>
      <c r="C45" s="5">
        <v>50</v>
      </c>
    </row>
    <row r="46" spans="1:3">
      <c r="A46" s="13">
        <v>18872</v>
      </c>
      <c r="B46" s="5">
        <v>0</v>
      </c>
      <c r="C46" s="5">
        <v>50</v>
      </c>
    </row>
    <row r="47" spans="1:3">
      <c r="A47" s="6">
        <v>18902</v>
      </c>
      <c r="B47" s="5">
        <v>0</v>
      </c>
      <c r="C47" s="5">
        <v>50</v>
      </c>
    </row>
    <row r="48" spans="1:3">
      <c r="A48" s="13">
        <v>18933</v>
      </c>
      <c r="B48" s="5">
        <v>0</v>
      </c>
      <c r="C48" s="5">
        <v>50</v>
      </c>
    </row>
    <row r="49" spans="1:3">
      <c r="A49" s="6">
        <v>18963</v>
      </c>
      <c r="B49" s="5">
        <v>0</v>
      </c>
      <c r="C49" s="5">
        <v>50</v>
      </c>
    </row>
    <row r="50" spans="1:3">
      <c r="A50" s="13">
        <v>18994</v>
      </c>
      <c r="B50" s="5">
        <v>0</v>
      </c>
      <c r="C50" s="5">
        <v>50</v>
      </c>
    </row>
    <row r="51" spans="1:3">
      <c r="A51" s="6">
        <v>19025</v>
      </c>
      <c r="B51" s="5">
        <v>0</v>
      </c>
      <c r="C51" s="5">
        <v>50</v>
      </c>
    </row>
    <row r="52" spans="1:3">
      <c r="A52" s="13">
        <v>19054</v>
      </c>
      <c r="B52" s="5">
        <v>0</v>
      </c>
      <c r="C52" s="5">
        <v>50</v>
      </c>
    </row>
    <row r="53" spans="1:3">
      <c r="A53" s="6">
        <v>19085</v>
      </c>
      <c r="B53" s="5">
        <v>0</v>
      </c>
      <c r="C53" s="5">
        <v>50</v>
      </c>
    </row>
    <row r="54" spans="1:3">
      <c r="A54" s="13">
        <v>19115</v>
      </c>
      <c r="B54" s="5">
        <v>0</v>
      </c>
      <c r="C54" s="5">
        <v>50</v>
      </c>
    </row>
    <row r="55" spans="1:3">
      <c r="A55" s="6">
        <v>19146</v>
      </c>
      <c r="B55" s="5">
        <v>0</v>
      </c>
      <c r="C55" s="5">
        <v>50</v>
      </c>
    </row>
    <row r="56" spans="1:3">
      <c r="A56" s="13">
        <v>19176</v>
      </c>
      <c r="B56" s="5">
        <v>0</v>
      </c>
      <c r="C56" s="5">
        <v>50</v>
      </c>
    </row>
    <row r="57" spans="1:3">
      <c r="A57" s="6">
        <v>19207</v>
      </c>
      <c r="B57" s="5">
        <v>0</v>
      </c>
      <c r="C57" s="5">
        <v>50</v>
      </c>
    </row>
    <row r="58" spans="1:3">
      <c r="A58" s="13">
        <v>19238</v>
      </c>
      <c r="B58" s="5">
        <v>0</v>
      </c>
      <c r="C58" s="5">
        <v>50</v>
      </c>
    </row>
    <row r="59" spans="1:3">
      <c r="A59" s="6">
        <v>19268</v>
      </c>
      <c r="B59" s="5">
        <v>0</v>
      </c>
      <c r="C59" s="5">
        <v>50</v>
      </c>
    </row>
    <row r="60" spans="1:3">
      <c r="A60" s="13">
        <v>19299</v>
      </c>
      <c r="B60" s="5">
        <v>0</v>
      </c>
      <c r="C60" s="5">
        <v>50</v>
      </c>
    </row>
    <row r="61" spans="1:3">
      <c r="A61" s="6">
        <v>19329</v>
      </c>
      <c r="B61" s="5">
        <v>0</v>
      </c>
      <c r="C61" s="5">
        <v>50</v>
      </c>
    </row>
    <row r="62" spans="1:3">
      <c r="A62" s="13">
        <v>19360</v>
      </c>
      <c r="B62" s="5">
        <v>0</v>
      </c>
      <c r="C62" s="5">
        <v>50</v>
      </c>
    </row>
    <row r="63" spans="1:3">
      <c r="A63" s="6">
        <v>19391</v>
      </c>
      <c r="B63" s="5">
        <v>0</v>
      </c>
      <c r="C63" s="5">
        <v>50</v>
      </c>
    </row>
    <row r="64" spans="1:3">
      <c r="A64" s="13">
        <v>19419</v>
      </c>
      <c r="B64" s="5">
        <v>0</v>
      </c>
      <c r="C64" s="5">
        <v>50</v>
      </c>
    </row>
    <row r="65" spans="1:3">
      <c r="A65" s="6">
        <v>19450</v>
      </c>
      <c r="B65" s="5">
        <v>0</v>
      </c>
      <c r="C65" s="5">
        <v>50</v>
      </c>
    </row>
    <row r="66" spans="1:3">
      <c r="A66" s="13">
        <v>19480</v>
      </c>
      <c r="B66" s="5">
        <v>0</v>
      </c>
      <c r="C66" s="5">
        <v>50</v>
      </c>
    </row>
    <row r="67" spans="1:3">
      <c r="A67" s="6">
        <v>19511</v>
      </c>
      <c r="B67" s="5">
        <v>0</v>
      </c>
      <c r="C67" s="5">
        <v>50</v>
      </c>
    </row>
    <row r="68" spans="1:3">
      <c r="A68" s="13">
        <v>19541</v>
      </c>
      <c r="B68" s="5">
        <v>1</v>
      </c>
      <c r="C68" s="5">
        <v>50</v>
      </c>
    </row>
    <row r="69" spans="1:3">
      <c r="A69" s="6">
        <v>19572</v>
      </c>
      <c r="B69" s="5">
        <v>1</v>
      </c>
      <c r="C69" s="5">
        <v>50</v>
      </c>
    </row>
    <row r="70" spans="1:3">
      <c r="A70" s="13">
        <v>19603</v>
      </c>
      <c r="B70" s="5">
        <v>1</v>
      </c>
      <c r="C70" s="5">
        <v>50</v>
      </c>
    </row>
    <row r="71" spans="1:3">
      <c r="A71" s="6">
        <v>19633</v>
      </c>
      <c r="B71" s="5">
        <v>1</v>
      </c>
      <c r="C71" s="5">
        <v>50</v>
      </c>
    </row>
    <row r="72" spans="1:3">
      <c r="A72" s="13">
        <v>19664</v>
      </c>
      <c r="B72" s="5">
        <v>1</v>
      </c>
      <c r="C72" s="5">
        <v>50</v>
      </c>
    </row>
    <row r="73" spans="1:3">
      <c r="A73" s="6">
        <v>19694</v>
      </c>
      <c r="B73" s="5">
        <v>1</v>
      </c>
      <c r="C73" s="5">
        <v>50</v>
      </c>
    </row>
    <row r="74" spans="1:3">
      <c r="A74" s="13">
        <v>19725</v>
      </c>
      <c r="B74" s="5">
        <v>1</v>
      </c>
      <c r="C74" s="5">
        <v>50</v>
      </c>
    </row>
    <row r="75" spans="1:3">
      <c r="A75" s="6">
        <v>19756</v>
      </c>
      <c r="B75" s="5">
        <v>1</v>
      </c>
      <c r="C75" s="5">
        <v>50</v>
      </c>
    </row>
    <row r="76" spans="1:3">
      <c r="A76" s="13">
        <v>19784</v>
      </c>
      <c r="B76" s="5">
        <v>1</v>
      </c>
      <c r="C76" s="5">
        <v>50</v>
      </c>
    </row>
    <row r="77" spans="1:3">
      <c r="A77" s="6">
        <v>19815</v>
      </c>
      <c r="B77" s="5">
        <v>1</v>
      </c>
      <c r="C77" s="5">
        <v>50</v>
      </c>
    </row>
    <row r="78" spans="1:3">
      <c r="A78" s="13">
        <v>19845</v>
      </c>
      <c r="B78" s="5">
        <v>1</v>
      </c>
      <c r="C78" s="5">
        <v>50</v>
      </c>
    </row>
    <row r="79" spans="1:3">
      <c r="A79" s="6">
        <v>19876</v>
      </c>
      <c r="B79" s="5">
        <v>0</v>
      </c>
      <c r="C79" s="5">
        <v>50</v>
      </c>
    </row>
    <row r="80" spans="1:3">
      <c r="A80" s="13">
        <v>19906</v>
      </c>
      <c r="B80" s="5">
        <v>0</v>
      </c>
      <c r="C80" s="5">
        <v>50</v>
      </c>
    </row>
    <row r="81" spans="1:3">
      <c r="A81" s="6">
        <v>19937</v>
      </c>
      <c r="B81" s="5">
        <v>0</v>
      </c>
      <c r="C81" s="5">
        <v>50</v>
      </c>
    </row>
    <row r="82" spans="1:3">
      <c r="A82" s="13">
        <v>19968</v>
      </c>
      <c r="B82" s="5">
        <v>0</v>
      </c>
      <c r="C82" s="5">
        <v>50</v>
      </c>
    </row>
    <row r="83" spans="1:3">
      <c r="A83" s="6">
        <v>19998</v>
      </c>
      <c r="B83" s="5">
        <v>0</v>
      </c>
      <c r="C83" s="5">
        <v>50</v>
      </c>
    </row>
    <row r="84" spans="1:3">
      <c r="A84" s="13">
        <v>20029</v>
      </c>
      <c r="B84" s="5">
        <v>0</v>
      </c>
      <c r="C84" s="5">
        <v>50</v>
      </c>
    </row>
    <row r="85" spans="1:3">
      <c r="A85" s="6">
        <v>20059</v>
      </c>
      <c r="B85" s="5">
        <v>0</v>
      </c>
      <c r="C85" s="5">
        <v>50</v>
      </c>
    </row>
    <row r="86" spans="1:3">
      <c r="A86" s="13">
        <v>20090</v>
      </c>
      <c r="B86" s="5">
        <v>0</v>
      </c>
      <c r="C86" s="5">
        <v>50</v>
      </c>
    </row>
    <row r="87" spans="1:3">
      <c r="A87" s="6">
        <v>20121</v>
      </c>
      <c r="B87" s="5">
        <v>0</v>
      </c>
      <c r="C87" s="5">
        <v>50</v>
      </c>
    </row>
    <row r="88" spans="1:3">
      <c r="A88" s="13">
        <v>20149</v>
      </c>
      <c r="B88" s="5">
        <v>0</v>
      </c>
      <c r="C88" s="5">
        <v>50</v>
      </c>
    </row>
    <row r="89" spans="1:3">
      <c r="A89" s="6">
        <v>20180</v>
      </c>
      <c r="B89" s="5">
        <v>0</v>
      </c>
      <c r="C89" s="5">
        <v>50</v>
      </c>
    </row>
    <row r="90" spans="1:3">
      <c r="A90" s="13">
        <v>20210</v>
      </c>
      <c r="B90" s="5">
        <v>0</v>
      </c>
      <c r="C90" s="5">
        <v>50</v>
      </c>
    </row>
    <row r="91" spans="1:3">
      <c r="A91" s="6">
        <v>20241</v>
      </c>
      <c r="B91" s="5">
        <v>0</v>
      </c>
      <c r="C91" s="5">
        <v>50</v>
      </c>
    </row>
    <row r="92" spans="1:3">
      <c r="A92" s="13">
        <v>20271</v>
      </c>
      <c r="B92" s="5">
        <v>0</v>
      </c>
      <c r="C92" s="5">
        <v>50</v>
      </c>
    </row>
    <row r="93" spans="1:3">
      <c r="A93" s="6">
        <v>20302</v>
      </c>
      <c r="B93" s="5">
        <v>0</v>
      </c>
      <c r="C93" s="5">
        <v>50</v>
      </c>
    </row>
    <row r="94" spans="1:3">
      <c r="A94" s="13">
        <v>20333</v>
      </c>
      <c r="B94" s="5">
        <v>0</v>
      </c>
      <c r="C94" s="5">
        <v>50</v>
      </c>
    </row>
    <row r="95" spans="1:3">
      <c r="A95" s="6">
        <v>20363</v>
      </c>
      <c r="B95" s="5">
        <v>0</v>
      </c>
      <c r="C95" s="5">
        <v>50</v>
      </c>
    </row>
    <row r="96" spans="1:3">
      <c r="A96" s="13">
        <v>20394</v>
      </c>
      <c r="B96" s="5">
        <v>0</v>
      </c>
      <c r="C96" s="5">
        <v>50</v>
      </c>
    </row>
    <row r="97" spans="1:3">
      <c r="A97" s="6">
        <v>20424</v>
      </c>
      <c r="B97" s="5">
        <v>0</v>
      </c>
      <c r="C97" s="5">
        <v>50</v>
      </c>
    </row>
    <row r="98" spans="1:3">
      <c r="A98" s="13">
        <v>20455</v>
      </c>
      <c r="B98" s="5">
        <v>0</v>
      </c>
      <c r="C98" s="5">
        <v>50</v>
      </c>
    </row>
    <row r="99" spans="1:3">
      <c r="A99" s="6">
        <v>20486</v>
      </c>
      <c r="B99" s="5">
        <v>0</v>
      </c>
      <c r="C99" s="5">
        <v>50</v>
      </c>
    </row>
    <row r="100" spans="1:3">
      <c r="A100" s="13">
        <v>20515</v>
      </c>
      <c r="B100" s="5">
        <v>0</v>
      </c>
      <c r="C100" s="5">
        <v>50</v>
      </c>
    </row>
    <row r="101" spans="1:3">
      <c r="A101" s="6">
        <v>20546</v>
      </c>
      <c r="B101" s="5">
        <v>0</v>
      </c>
      <c r="C101" s="5">
        <v>50</v>
      </c>
    </row>
    <row r="102" spans="1:3">
      <c r="A102" s="13">
        <v>20576</v>
      </c>
      <c r="B102" s="5">
        <v>0</v>
      </c>
      <c r="C102" s="5">
        <v>50</v>
      </c>
    </row>
    <row r="103" spans="1:3">
      <c r="A103" s="6">
        <v>20607</v>
      </c>
      <c r="B103" s="5">
        <v>0</v>
      </c>
      <c r="C103" s="5">
        <v>50</v>
      </c>
    </row>
    <row r="104" spans="1:3">
      <c r="A104" s="13">
        <v>20637</v>
      </c>
      <c r="B104" s="5">
        <v>0</v>
      </c>
      <c r="C104" s="5">
        <v>50</v>
      </c>
    </row>
    <row r="105" spans="1:3">
      <c r="A105" s="6">
        <v>20668</v>
      </c>
      <c r="B105" s="5">
        <v>0</v>
      </c>
      <c r="C105" s="5">
        <v>50</v>
      </c>
    </row>
    <row r="106" spans="1:3">
      <c r="A106" s="13">
        <v>20699</v>
      </c>
      <c r="B106" s="5">
        <v>0</v>
      </c>
      <c r="C106" s="5">
        <v>50</v>
      </c>
    </row>
    <row r="107" spans="1:3">
      <c r="A107" s="6">
        <v>20729</v>
      </c>
      <c r="B107" s="5">
        <v>0</v>
      </c>
      <c r="C107" s="5">
        <v>50</v>
      </c>
    </row>
    <row r="108" spans="1:3">
      <c r="A108" s="13">
        <v>20760</v>
      </c>
      <c r="B108" s="5">
        <v>0</v>
      </c>
      <c r="C108" s="5">
        <v>50</v>
      </c>
    </row>
    <row r="109" spans="1:3">
      <c r="A109" s="6">
        <v>20790</v>
      </c>
      <c r="B109" s="5">
        <v>0</v>
      </c>
      <c r="C109" s="5">
        <v>50</v>
      </c>
    </row>
    <row r="110" spans="1:3">
      <c r="A110" s="13">
        <v>20821</v>
      </c>
      <c r="B110" s="5">
        <v>0</v>
      </c>
      <c r="C110" s="5">
        <v>50</v>
      </c>
    </row>
    <row r="111" spans="1:3">
      <c r="A111" s="6">
        <v>20852</v>
      </c>
      <c r="B111" s="5">
        <v>0</v>
      </c>
      <c r="C111" s="5">
        <v>50</v>
      </c>
    </row>
    <row r="112" spans="1:3">
      <c r="A112" s="13">
        <v>20880</v>
      </c>
      <c r="B112" s="5">
        <v>0</v>
      </c>
      <c r="C112" s="5">
        <v>50</v>
      </c>
    </row>
    <row r="113" spans="1:3">
      <c r="A113" s="6">
        <v>20911</v>
      </c>
      <c r="B113" s="5">
        <v>0</v>
      </c>
      <c r="C113" s="5">
        <v>50</v>
      </c>
    </row>
    <row r="114" spans="1:3">
      <c r="A114" s="13">
        <v>20941</v>
      </c>
      <c r="B114" s="5">
        <v>0</v>
      </c>
      <c r="C114" s="5">
        <v>50</v>
      </c>
    </row>
    <row r="115" spans="1:3">
      <c r="A115" s="6">
        <v>20972</v>
      </c>
      <c r="B115" s="5">
        <v>0</v>
      </c>
      <c r="C115" s="5">
        <v>50</v>
      </c>
    </row>
    <row r="116" spans="1:3">
      <c r="A116" s="13">
        <v>21002</v>
      </c>
      <c r="B116" s="5">
        <v>0</v>
      </c>
      <c r="C116" s="5">
        <v>50</v>
      </c>
    </row>
    <row r="117" spans="1:3">
      <c r="A117" s="6">
        <v>21033</v>
      </c>
      <c r="B117" s="5">
        <v>1</v>
      </c>
      <c r="C117" s="5">
        <v>50</v>
      </c>
    </row>
    <row r="118" spans="1:3">
      <c r="A118" s="13">
        <v>21064</v>
      </c>
      <c r="B118" s="5">
        <v>1</v>
      </c>
      <c r="C118" s="5">
        <v>50</v>
      </c>
    </row>
    <row r="119" spans="1:3">
      <c r="A119" s="6">
        <v>21094</v>
      </c>
      <c r="B119" s="5">
        <v>1</v>
      </c>
      <c r="C119" s="5">
        <v>50</v>
      </c>
    </row>
    <row r="120" spans="1:3">
      <c r="A120" s="13">
        <v>21125</v>
      </c>
      <c r="B120" s="5">
        <v>1</v>
      </c>
      <c r="C120" s="5">
        <v>50</v>
      </c>
    </row>
    <row r="121" spans="1:3">
      <c r="A121" s="6">
        <v>21155</v>
      </c>
      <c r="B121" s="5">
        <v>1</v>
      </c>
      <c r="C121" s="5">
        <v>50</v>
      </c>
    </row>
    <row r="122" spans="1:3">
      <c r="A122" s="13">
        <v>21186</v>
      </c>
      <c r="B122" s="5">
        <v>1</v>
      </c>
      <c r="C122" s="5">
        <v>50</v>
      </c>
    </row>
    <row r="123" spans="1:3">
      <c r="A123" s="6">
        <v>21217</v>
      </c>
      <c r="B123" s="5">
        <v>1</v>
      </c>
      <c r="C123" s="5">
        <v>50</v>
      </c>
    </row>
    <row r="124" spans="1:3">
      <c r="A124" s="13">
        <v>21245</v>
      </c>
      <c r="B124" s="5">
        <v>1</v>
      </c>
      <c r="C124" s="5">
        <v>50</v>
      </c>
    </row>
    <row r="125" spans="1:3">
      <c r="A125" s="6">
        <v>21276</v>
      </c>
      <c r="B125" s="5">
        <v>1</v>
      </c>
      <c r="C125" s="5">
        <v>50</v>
      </c>
    </row>
    <row r="126" spans="1:3">
      <c r="A126" s="13">
        <v>21306</v>
      </c>
      <c r="B126" s="5">
        <v>0</v>
      </c>
      <c r="C126" s="5">
        <v>50</v>
      </c>
    </row>
    <row r="127" spans="1:3">
      <c r="A127" s="6">
        <v>21337</v>
      </c>
      <c r="B127" s="5">
        <v>0</v>
      </c>
      <c r="C127" s="5">
        <v>50</v>
      </c>
    </row>
    <row r="128" spans="1:3">
      <c r="A128" s="13">
        <v>21367</v>
      </c>
      <c r="B128" s="5">
        <v>0</v>
      </c>
      <c r="C128" s="5">
        <v>50</v>
      </c>
    </row>
    <row r="129" spans="1:3">
      <c r="A129" s="6">
        <v>21398</v>
      </c>
      <c r="B129" s="5">
        <v>0</v>
      </c>
      <c r="C129" s="5">
        <v>50</v>
      </c>
    </row>
    <row r="130" spans="1:3">
      <c r="A130" s="13">
        <v>21429</v>
      </c>
      <c r="B130" s="5">
        <v>0</v>
      </c>
      <c r="C130" s="5">
        <v>50</v>
      </c>
    </row>
    <row r="131" spans="1:3">
      <c r="A131" s="6">
        <v>21459</v>
      </c>
      <c r="B131" s="5">
        <v>0</v>
      </c>
      <c r="C131" s="5">
        <v>50</v>
      </c>
    </row>
    <row r="132" spans="1:3">
      <c r="A132" s="13">
        <v>21490</v>
      </c>
      <c r="B132" s="5">
        <v>0</v>
      </c>
      <c r="C132" s="5">
        <v>50</v>
      </c>
    </row>
    <row r="133" spans="1:3">
      <c r="A133" s="6">
        <v>21520</v>
      </c>
      <c r="B133" s="5">
        <v>0</v>
      </c>
      <c r="C133" s="5">
        <v>50</v>
      </c>
    </row>
    <row r="134" spans="1:3">
      <c r="A134" s="13">
        <v>21551</v>
      </c>
      <c r="B134" s="5">
        <v>0</v>
      </c>
      <c r="C134" s="5">
        <v>50</v>
      </c>
    </row>
    <row r="135" spans="1:3">
      <c r="A135" s="6">
        <v>21582</v>
      </c>
      <c r="B135" s="5">
        <v>0</v>
      </c>
      <c r="C135" s="5">
        <v>50</v>
      </c>
    </row>
    <row r="136" spans="1:3">
      <c r="A136" s="13">
        <v>21610</v>
      </c>
      <c r="B136" s="5">
        <v>0</v>
      </c>
      <c r="C136" s="5">
        <v>50</v>
      </c>
    </row>
    <row r="137" spans="1:3">
      <c r="A137" s="6">
        <v>21641</v>
      </c>
      <c r="B137" s="5">
        <v>0</v>
      </c>
      <c r="C137" s="5">
        <v>50</v>
      </c>
    </row>
    <row r="138" spans="1:3">
      <c r="A138" s="13">
        <v>21671</v>
      </c>
      <c r="B138" s="5">
        <v>0</v>
      </c>
      <c r="C138" s="5">
        <v>50</v>
      </c>
    </row>
    <row r="139" spans="1:3">
      <c r="A139" s="6">
        <v>21702</v>
      </c>
      <c r="B139" s="5">
        <v>0</v>
      </c>
      <c r="C139" s="5">
        <v>50</v>
      </c>
    </row>
    <row r="140" spans="1:3">
      <c r="A140" s="13">
        <v>21732</v>
      </c>
      <c r="B140" s="5">
        <v>0</v>
      </c>
      <c r="C140" s="5">
        <v>50</v>
      </c>
    </row>
    <row r="141" spans="1:3">
      <c r="A141" s="6">
        <v>21763</v>
      </c>
      <c r="B141" s="5">
        <v>0</v>
      </c>
      <c r="C141" s="5">
        <v>50</v>
      </c>
    </row>
    <row r="142" spans="1:3">
      <c r="A142" s="13">
        <v>21794</v>
      </c>
      <c r="B142" s="5">
        <v>0</v>
      </c>
      <c r="C142" s="5">
        <v>50</v>
      </c>
    </row>
    <row r="143" spans="1:3">
      <c r="A143" s="6">
        <v>21824</v>
      </c>
      <c r="B143" s="5">
        <v>0</v>
      </c>
      <c r="C143" s="5">
        <v>50</v>
      </c>
    </row>
    <row r="144" spans="1:3">
      <c r="A144" s="13">
        <v>21855</v>
      </c>
      <c r="B144" s="5">
        <v>0</v>
      </c>
      <c r="C144" s="5">
        <v>50</v>
      </c>
    </row>
    <row r="145" spans="1:3">
      <c r="A145" s="6">
        <v>21885</v>
      </c>
      <c r="B145" s="5">
        <v>0</v>
      </c>
      <c r="C145" s="5">
        <v>50</v>
      </c>
    </row>
    <row r="146" spans="1:3">
      <c r="A146" s="13">
        <v>21916</v>
      </c>
      <c r="B146" s="5">
        <v>0</v>
      </c>
      <c r="C146" s="5">
        <v>50</v>
      </c>
    </row>
    <row r="147" spans="1:3">
      <c r="A147" s="6">
        <v>21947</v>
      </c>
      <c r="B147" s="5">
        <v>0</v>
      </c>
      <c r="C147" s="5">
        <v>50</v>
      </c>
    </row>
    <row r="148" spans="1:3">
      <c r="A148" s="13">
        <v>21976</v>
      </c>
      <c r="B148" s="5">
        <v>0</v>
      </c>
      <c r="C148" s="5">
        <v>50</v>
      </c>
    </row>
    <row r="149" spans="1:3">
      <c r="A149" s="6">
        <v>22007</v>
      </c>
      <c r="B149" s="5">
        <v>1</v>
      </c>
      <c r="C149" s="5">
        <v>50</v>
      </c>
    </row>
    <row r="150" spans="1:3">
      <c r="A150" s="13">
        <v>22037</v>
      </c>
      <c r="B150" s="5">
        <v>1</v>
      </c>
      <c r="C150" s="5">
        <v>50</v>
      </c>
    </row>
    <row r="151" spans="1:3">
      <c r="A151" s="6">
        <v>22068</v>
      </c>
      <c r="B151" s="5">
        <v>1</v>
      </c>
      <c r="C151" s="5">
        <v>50</v>
      </c>
    </row>
    <row r="152" spans="1:3">
      <c r="A152" s="13">
        <v>22098</v>
      </c>
      <c r="B152" s="5">
        <v>1</v>
      </c>
      <c r="C152" s="5">
        <v>50</v>
      </c>
    </row>
    <row r="153" spans="1:3">
      <c r="A153" s="6">
        <v>22129</v>
      </c>
      <c r="B153" s="5">
        <v>1</v>
      </c>
      <c r="C153" s="5">
        <v>50</v>
      </c>
    </row>
    <row r="154" spans="1:3">
      <c r="A154" s="13">
        <v>22160</v>
      </c>
      <c r="B154" s="5">
        <v>1</v>
      </c>
      <c r="C154" s="5">
        <v>50</v>
      </c>
    </row>
    <row r="155" spans="1:3">
      <c r="A155" s="6">
        <v>22190</v>
      </c>
      <c r="B155" s="5">
        <v>1</v>
      </c>
      <c r="C155" s="5">
        <v>50</v>
      </c>
    </row>
    <row r="156" spans="1:3">
      <c r="A156" s="13">
        <v>22221</v>
      </c>
      <c r="B156" s="5">
        <v>1</v>
      </c>
      <c r="C156" s="5">
        <v>50</v>
      </c>
    </row>
    <row r="157" spans="1:3">
      <c r="A157" s="6">
        <v>22251</v>
      </c>
      <c r="B157" s="5">
        <v>1</v>
      </c>
      <c r="C157" s="5">
        <v>50</v>
      </c>
    </row>
    <row r="158" spans="1:3">
      <c r="A158" s="13">
        <v>22282</v>
      </c>
      <c r="B158" s="5">
        <v>1</v>
      </c>
      <c r="C158" s="5">
        <v>50</v>
      </c>
    </row>
    <row r="159" spans="1:3">
      <c r="A159" s="6">
        <v>22313</v>
      </c>
      <c r="B159" s="5">
        <v>1</v>
      </c>
      <c r="C159" s="5">
        <v>50</v>
      </c>
    </row>
    <row r="160" spans="1:3">
      <c r="A160" s="13">
        <v>22341</v>
      </c>
      <c r="B160" s="5">
        <v>0</v>
      </c>
      <c r="C160" s="5">
        <v>50</v>
      </c>
    </row>
    <row r="161" spans="1:3">
      <c r="A161" s="6">
        <v>22372</v>
      </c>
      <c r="B161" s="5">
        <v>0</v>
      </c>
      <c r="C161" s="5">
        <v>50</v>
      </c>
    </row>
    <row r="162" spans="1:3">
      <c r="A162" s="13">
        <v>22402</v>
      </c>
      <c r="B162" s="5">
        <v>0</v>
      </c>
      <c r="C162" s="5">
        <v>50</v>
      </c>
    </row>
    <row r="163" spans="1:3">
      <c r="A163" s="6">
        <v>22433</v>
      </c>
      <c r="B163" s="5">
        <v>0</v>
      </c>
      <c r="C163" s="5">
        <v>50</v>
      </c>
    </row>
    <row r="164" spans="1:3">
      <c r="A164" s="13">
        <v>22463</v>
      </c>
      <c r="B164" s="5">
        <v>0</v>
      </c>
      <c r="C164" s="5">
        <v>50</v>
      </c>
    </row>
    <row r="165" spans="1:3">
      <c r="A165" s="6">
        <v>22494</v>
      </c>
      <c r="B165" s="5">
        <v>0</v>
      </c>
      <c r="C165" s="5">
        <v>50</v>
      </c>
    </row>
    <row r="166" spans="1:3">
      <c r="A166" s="13">
        <v>22525</v>
      </c>
      <c r="B166" s="5">
        <v>0</v>
      </c>
      <c r="C166" s="5">
        <v>50</v>
      </c>
    </row>
    <row r="167" spans="1:3">
      <c r="A167" s="6">
        <v>22555</v>
      </c>
      <c r="B167" s="5">
        <v>0</v>
      </c>
      <c r="C167" s="5">
        <v>50</v>
      </c>
    </row>
    <row r="168" spans="1:3">
      <c r="A168" s="13">
        <v>22586</v>
      </c>
      <c r="B168" s="5">
        <v>0</v>
      </c>
      <c r="C168" s="5">
        <v>50</v>
      </c>
    </row>
    <row r="169" spans="1:3">
      <c r="A169" s="6">
        <v>22616</v>
      </c>
      <c r="B169" s="5">
        <v>0</v>
      </c>
      <c r="C169" s="5">
        <v>50</v>
      </c>
    </row>
    <row r="170" spans="1:3">
      <c r="A170" s="13">
        <v>22647</v>
      </c>
      <c r="B170" s="5">
        <v>0</v>
      </c>
      <c r="C170" s="5">
        <v>50</v>
      </c>
    </row>
    <row r="171" spans="1:3">
      <c r="A171" s="6">
        <v>22678</v>
      </c>
      <c r="B171" s="5">
        <v>0</v>
      </c>
      <c r="C171" s="5">
        <v>50</v>
      </c>
    </row>
    <row r="172" spans="1:3">
      <c r="A172" s="13">
        <v>22706</v>
      </c>
      <c r="B172" s="5">
        <v>0</v>
      </c>
      <c r="C172" s="5">
        <v>50</v>
      </c>
    </row>
    <row r="173" spans="1:3">
      <c r="A173" s="6">
        <v>22737</v>
      </c>
      <c r="B173" s="5">
        <v>0</v>
      </c>
      <c r="C173" s="5">
        <v>50</v>
      </c>
    </row>
    <row r="174" spans="1:3">
      <c r="A174" s="13">
        <v>22767</v>
      </c>
      <c r="B174" s="5">
        <v>0</v>
      </c>
      <c r="C174" s="5">
        <v>50</v>
      </c>
    </row>
    <row r="175" spans="1:3">
      <c r="A175" s="6">
        <v>22798</v>
      </c>
      <c r="B175" s="5">
        <v>0</v>
      </c>
      <c r="C175" s="5">
        <v>50</v>
      </c>
    </row>
    <row r="176" spans="1:3">
      <c r="A176" s="13">
        <v>22828</v>
      </c>
      <c r="B176" s="5">
        <v>0</v>
      </c>
      <c r="C176" s="5">
        <v>50</v>
      </c>
    </row>
    <row r="177" spans="1:3">
      <c r="A177" s="6">
        <v>22859</v>
      </c>
      <c r="B177" s="5">
        <v>0</v>
      </c>
      <c r="C177" s="5">
        <v>50</v>
      </c>
    </row>
    <row r="178" spans="1:3">
      <c r="A178" s="13">
        <v>22890</v>
      </c>
      <c r="B178" s="5">
        <v>0</v>
      </c>
      <c r="C178" s="5">
        <v>50</v>
      </c>
    </row>
    <row r="179" spans="1:3">
      <c r="A179" s="6">
        <v>22920</v>
      </c>
      <c r="B179" s="5">
        <v>0</v>
      </c>
      <c r="C179" s="5">
        <v>50</v>
      </c>
    </row>
    <row r="180" spans="1:3">
      <c r="A180" s="13">
        <v>22951</v>
      </c>
      <c r="B180" s="5">
        <v>0</v>
      </c>
      <c r="C180" s="5">
        <v>50</v>
      </c>
    </row>
    <row r="181" spans="1:3">
      <c r="A181" s="6">
        <v>22981</v>
      </c>
      <c r="B181" s="5">
        <v>0</v>
      </c>
      <c r="C181" s="5">
        <v>50</v>
      </c>
    </row>
    <row r="182" spans="1:3">
      <c r="A182" s="13">
        <v>23012</v>
      </c>
      <c r="B182" s="5">
        <v>0</v>
      </c>
      <c r="C182" s="5">
        <v>50</v>
      </c>
    </row>
    <row r="183" spans="1:3">
      <c r="A183" s="6">
        <v>23043</v>
      </c>
      <c r="B183" s="5">
        <v>0</v>
      </c>
      <c r="C183" s="5">
        <v>50</v>
      </c>
    </row>
    <row r="184" spans="1:3">
      <c r="A184" s="13">
        <v>23071</v>
      </c>
      <c r="B184" s="5">
        <v>0</v>
      </c>
      <c r="C184" s="5">
        <v>50</v>
      </c>
    </row>
    <row r="185" spans="1:3">
      <c r="A185" s="6">
        <v>23102</v>
      </c>
      <c r="B185" s="5">
        <v>0</v>
      </c>
      <c r="C185" s="5">
        <v>50</v>
      </c>
    </row>
    <row r="186" spans="1:3">
      <c r="A186" s="13">
        <v>23132</v>
      </c>
      <c r="B186" s="5">
        <v>0</v>
      </c>
      <c r="C186" s="5">
        <v>50</v>
      </c>
    </row>
    <row r="187" spans="1:3">
      <c r="A187" s="6">
        <v>23163</v>
      </c>
      <c r="B187" s="5">
        <v>0</v>
      </c>
      <c r="C187" s="5">
        <v>50</v>
      </c>
    </row>
    <row r="188" spans="1:3">
      <c r="A188" s="13">
        <v>23193</v>
      </c>
      <c r="B188" s="5">
        <v>0</v>
      </c>
      <c r="C188" s="5">
        <v>50</v>
      </c>
    </row>
    <row r="189" spans="1:3">
      <c r="A189" s="6">
        <v>23224</v>
      </c>
      <c r="B189" s="5">
        <v>0</v>
      </c>
      <c r="C189" s="5">
        <v>50</v>
      </c>
    </row>
    <row r="190" spans="1:3">
      <c r="A190" s="13">
        <v>23255</v>
      </c>
      <c r="B190" s="5">
        <v>0</v>
      </c>
      <c r="C190" s="5">
        <v>50</v>
      </c>
    </row>
    <row r="191" spans="1:3">
      <c r="A191" s="6">
        <v>23285</v>
      </c>
      <c r="B191" s="5">
        <v>0</v>
      </c>
      <c r="C191" s="5">
        <v>50</v>
      </c>
    </row>
    <row r="192" spans="1:3">
      <c r="A192" s="13">
        <v>23316</v>
      </c>
      <c r="B192" s="5">
        <v>0</v>
      </c>
      <c r="C192" s="5">
        <v>50</v>
      </c>
    </row>
    <row r="193" spans="1:3">
      <c r="A193" s="6">
        <v>23346</v>
      </c>
      <c r="B193" s="5">
        <v>0</v>
      </c>
      <c r="C193" s="5">
        <v>50</v>
      </c>
    </row>
    <row r="194" spans="1:3">
      <c r="A194" s="13">
        <v>23377</v>
      </c>
      <c r="B194" s="5">
        <v>0</v>
      </c>
      <c r="C194" s="5">
        <v>50</v>
      </c>
    </row>
    <row r="195" spans="1:3">
      <c r="A195" s="6">
        <v>23408</v>
      </c>
      <c r="B195" s="5">
        <v>0</v>
      </c>
      <c r="C195" s="5">
        <v>50</v>
      </c>
    </row>
    <row r="196" spans="1:3">
      <c r="A196" s="13">
        <v>23437</v>
      </c>
      <c r="B196" s="5">
        <v>0</v>
      </c>
      <c r="C196" s="5">
        <v>50</v>
      </c>
    </row>
    <row r="197" spans="1:3">
      <c r="A197" s="6">
        <v>23468</v>
      </c>
      <c r="B197" s="5">
        <v>0</v>
      </c>
      <c r="C197" s="5">
        <v>50</v>
      </c>
    </row>
    <row r="198" spans="1:3">
      <c r="A198" s="13">
        <v>23498</v>
      </c>
      <c r="B198" s="5">
        <v>0</v>
      </c>
      <c r="C198" s="5">
        <v>50</v>
      </c>
    </row>
    <row r="199" spans="1:3">
      <c r="A199" s="6">
        <v>23529</v>
      </c>
      <c r="B199" s="5">
        <v>0</v>
      </c>
      <c r="C199" s="5">
        <v>50</v>
      </c>
    </row>
    <row r="200" spans="1:3">
      <c r="A200" s="13">
        <v>23559</v>
      </c>
      <c r="B200" s="5">
        <v>0</v>
      </c>
      <c r="C200" s="5">
        <v>50</v>
      </c>
    </row>
    <row r="201" spans="1:3">
      <c r="A201" s="6">
        <v>23590</v>
      </c>
      <c r="B201" s="5">
        <v>0</v>
      </c>
      <c r="C201" s="5">
        <v>50</v>
      </c>
    </row>
    <row r="202" spans="1:3">
      <c r="A202" s="13">
        <v>23621</v>
      </c>
      <c r="B202" s="5">
        <v>0</v>
      </c>
      <c r="C202" s="5">
        <v>50</v>
      </c>
    </row>
    <row r="203" spans="1:3">
      <c r="A203" s="6">
        <v>23651</v>
      </c>
      <c r="B203" s="5">
        <v>0</v>
      </c>
      <c r="C203" s="5">
        <v>50</v>
      </c>
    </row>
    <row r="204" spans="1:3">
      <c r="A204" s="13">
        <v>23682</v>
      </c>
      <c r="B204" s="5">
        <v>0</v>
      </c>
      <c r="C204" s="5">
        <v>50</v>
      </c>
    </row>
    <row r="205" spans="1:3">
      <c r="A205" s="6">
        <v>23712</v>
      </c>
      <c r="B205" s="5">
        <v>0</v>
      </c>
      <c r="C205" s="5">
        <v>50</v>
      </c>
    </row>
    <row r="206" spans="1:3">
      <c r="A206" s="13">
        <v>23743</v>
      </c>
      <c r="B206" s="5">
        <v>0</v>
      </c>
      <c r="C206" s="5">
        <v>50</v>
      </c>
    </row>
    <row r="207" spans="1:3">
      <c r="A207" s="6">
        <v>23774</v>
      </c>
      <c r="B207" s="5">
        <v>0</v>
      </c>
      <c r="C207" s="5">
        <v>50</v>
      </c>
    </row>
    <row r="208" spans="1:3">
      <c r="A208" s="13">
        <v>23802</v>
      </c>
      <c r="B208" s="5">
        <v>0</v>
      </c>
      <c r="C208" s="5">
        <v>50</v>
      </c>
    </row>
    <row r="209" spans="1:3">
      <c r="A209" s="6">
        <v>23833</v>
      </c>
      <c r="B209" s="5">
        <v>0</v>
      </c>
      <c r="C209" s="5">
        <v>50</v>
      </c>
    </row>
    <row r="210" spans="1:3">
      <c r="A210" s="13">
        <v>23863</v>
      </c>
      <c r="B210" s="5">
        <v>0</v>
      </c>
      <c r="C210" s="5">
        <v>50</v>
      </c>
    </row>
    <row r="211" spans="1:3">
      <c r="A211" s="6">
        <v>23894</v>
      </c>
      <c r="B211" s="5">
        <v>0</v>
      </c>
      <c r="C211" s="5">
        <v>50</v>
      </c>
    </row>
    <row r="212" spans="1:3">
      <c r="A212" s="13">
        <v>23924</v>
      </c>
      <c r="B212" s="5">
        <v>0</v>
      </c>
      <c r="C212" s="5">
        <v>50</v>
      </c>
    </row>
    <row r="213" spans="1:3">
      <c r="A213" s="6">
        <v>23955</v>
      </c>
      <c r="B213" s="5">
        <v>0</v>
      </c>
      <c r="C213" s="5">
        <v>50</v>
      </c>
    </row>
    <row r="214" spans="1:3">
      <c r="A214" s="13">
        <v>23986</v>
      </c>
      <c r="B214" s="5">
        <v>0</v>
      </c>
      <c r="C214" s="5">
        <v>50</v>
      </c>
    </row>
    <row r="215" spans="1:3">
      <c r="A215" s="6">
        <v>24016</v>
      </c>
      <c r="B215" s="5">
        <v>0</v>
      </c>
      <c r="C215" s="5">
        <v>50</v>
      </c>
    </row>
    <row r="216" spans="1:3">
      <c r="A216" s="13">
        <v>24047</v>
      </c>
      <c r="B216" s="5">
        <v>0</v>
      </c>
      <c r="C216" s="5">
        <v>50</v>
      </c>
    </row>
    <row r="217" spans="1:3">
      <c r="A217" s="6">
        <v>24077</v>
      </c>
      <c r="B217" s="5">
        <v>0</v>
      </c>
      <c r="C217" s="5">
        <v>50</v>
      </c>
    </row>
    <row r="218" spans="1:3">
      <c r="A218" s="13">
        <v>24108</v>
      </c>
      <c r="B218" s="5">
        <v>0</v>
      </c>
      <c r="C218" s="5">
        <v>50</v>
      </c>
    </row>
    <row r="219" spans="1:3">
      <c r="A219" s="6">
        <v>24139</v>
      </c>
      <c r="B219" s="5">
        <v>0</v>
      </c>
      <c r="C219" s="5">
        <v>50</v>
      </c>
    </row>
    <row r="220" spans="1:3">
      <c r="A220" s="13">
        <v>24167</v>
      </c>
      <c r="B220" s="5">
        <v>0</v>
      </c>
      <c r="C220" s="5">
        <v>50</v>
      </c>
    </row>
    <row r="221" spans="1:3">
      <c r="A221" s="6">
        <v>24198</v>
      </c>
      <c r="B221" s="5">
        <v>0</v>
      </c>
      <c r="C221" s="5">
        <v>50</v>
      </c>
    </row>
    <row r="222" spans="1:3">
      <c r="A222" s="13">
        <v>24228</v>
      </c>
      <c r="B222" s="5">
        <v>0</v>
      </c>
      <c r="C222" s="5">
        <v>50</v>
      </c>
    </row>
    <row r="223" spans="1:3">
      <c r="A223" s="6">
        <v>24259</v>
      </c>
      <c r="B223" s="5">
        <v>0</v>
      </c>
      <c r="C223" s="5">
        <v>50</v>
      </c>
    </row>
    <row r="224" spans="1:3">
      <c r="A224" s="13">
        <v>24289</v>
      </c>
      <c r="B224" s="5">
        <v>0</v>
      </c>
      <c r="C224" s="5">
        <v>50</v>
      </c>
    </row>
    <row r="225" spans="1:3">
      <c r="A225" s="6">
        <v>24320</v>
      </c>
      <c r="B225" s="5">
        <v>0</v>
      </c>
      <c r="C225" s="5">
        <v>50</v>
      </c>
    </row>
    <row r="226" spans="1:3">
      <c r="A226" s="13">
        <v>24351</v>
      </c>
      <c r="B226" s="5">
        <v>0</v>
      </c>
      <c r="C226" s="5">
        <v>50</v>
      </c>
    </row>
    <row r="227" spans="1:3">
      <c r="A227" s="6">
        <v>24381</v>
      </c>
      <c r="B227" s="5">
        <v>0</v>
      </c>
      <c r="C227" s="5">
        <v>50</v>
      </c>
    </row>
    <row r="228" spans="1:3">
      <c r="A228" s="13">
        <v>24412</v>
      </c>
      <c r="B228" s="5">
        <v>0</v>
      </c>
      <c r="C228" s="5">
        <v>50</v>
      </c>
    </row>
    <row r="229" spans="1:3">
      <c r="A229" s="6">
        <v>24442</v>
      </c>
      <c r="B229" s="5">
        <v>0</v>
      </c>
      <c r="C229" s="5">
        <v>50</v>
      </c>
    </row>
    <row r="230" spans="1:3">
      <c r="A230" s="13">
        <v>24473</v>
      </c>
      <c r="B230" s="5">
        <v>0</v>
      </c>
      <c r="C230" s="5">
        <v>50</v>
      </c>
    </row>
    <row r="231" spans="1:3">
      <c r="A231" s="6">
        <v>24504</v>
      </c>
      <c r="B231" s="5">
        <v>0</v>
      </c>
      <c r="C231" s="5">
        <v>50</v>
      </c>
    </row>
    <row r="232" spans="1:3">
      <c r="A232" s="13">
        <v>24532</v>
      </c>
      <c r="B232" s="5">
        <v>0</v>
      </c>
      <c r="C232" s="5">
        <v>50</v>
      </c>
    </row>
    <row r="233" spans="1:3">
      <c r="A233" s="6">
        <v>24563</v>
      </c>
      <c r="B233" s="5">
        <v>0</v>
      </c>
      <c r="C233" s="5">
        <v>50</v>
      </c>
    </row>
    <row r="234" spans="1:3">
      <c r="A234" s="13">
        <v>24593</v>
      </c>
      <c r="B234" s="5">
        <v>0</v>
      </c>
      <c r="C234" s="5">
        <v>50</v>
      </c>
    </row>
    <row r="235" spans="1:3">
      <c r="A235" s="6">
        <v>24624</v>
      </c>
      <c r="B235" s="5">
        <v>0</v>
      </c>
      <c r="C235" s="5">
        <v>50</v>
      </c>
    </row>
    <row r="236" spans="1:3">
      <c r="A236" s="13">
        <v>24654</v>
      </c>
      <c r="B236" s="5">
        <v>0</v>
      </c>
      <c r="C236" s="5">
        <v>50</v>
      </c>
    </row>
    <row r="237" spans="1:3">
      <c r="A237" s="6">
        <v>24685</v>
      </c>
      <c r="B237" s="5">
        <v>0</v>
      </c>
      <c r="C237" s="5">
        <v>50</v>
      </c>
    </row>
    <row r="238" spans="1:3">
      <c r="A238" s="13">
        <v>24716</v>
      </c>
      <c r="B238" s="5">
        <v>0</v>
      </c>
      <c r="C238" s="5">
        <v>50</v>
      </c>
    </row>
    <row r="239" spans="1:3">
      <c r="A239" s="6">
        <v>24746</v>
      </c>
      <c r="B239" s="5">
        <v>0</v>
      </c>
      <c r="C239" s="5">
        <v>50</v>
      </c>
    </row>
    <row r="240" spans="1:3">
      <c r="A240" s="13">
        <v>24777</v>
      </c>
      <c r="B240" s="5">
        <v>0</v>
      </c>
      <c r="C240" s="5">
        <v>50</v>
      </c>
    </row>
    <row r="241" spans="1:3">
      <c r="A241" s="6">
        <v>24807</v>
      </c>
      <c r="B241" s="5">
        <v>0</v>
      </c>
      <c r="C241" s="5">
        <v>50</v>
      </c>
    </row>
    <row r="242" spans="1:3">
      <c r="A242" s="13">
        <v>24838</v>
      </c>
      <c r="B242" s="5">
        <v>0</v>
      </c>
      <c r="C242" s="5">
        <v>50</v>
      </c>
    </row>
    <row r="243" spans="1:3">
      <c r="A243" s="6">
        <v>24869</v>
      </c>
      <c r="B243" s="5">
        <v>0</v>
      </c>
      <c r="C243" s="5">
        <v>50</v>
      </c>
    </row>
    <row r="244" spans="1:3">
      <c r="A244" s="13">
        <v>24898</v>
      </c>
      <c r="B244" s="5">
        <v>0</v>
      </c>
      <c r="C244" s="5">
        <v>50</v>
      </c>
    </row>
    <row r="245" spans="1:3">
      <c r="A245" s="6">
        <v>24929</v>
      </c>
      <c r="B245" s="5">
        <v>0</v>
      </c>
      <c r="C245" s="5">
        <v>50</v>
      </c>
    </row>
    <row r="246" spans="1:3">
      <c r="A246" s="13">
        <v>24959</v>
      </c>
      <c r="B246" s="5">
        <v>0</v>
      </c>
      <c r="C246" s="5">
        <v>50</v>
      </c>
    </row>
    <row r="247" spans="1:3">
      <c r="A247" s="6">
        <v>24990</v>
      </c>
      <c r="B247" s="5">
        <v>0</v>
      </c>
      <c r="C247" s="5">
        <v>50</v>
      </c>
    </row>
    <row r="248" spans="1:3">
      <c r="A248" s="13">
        <v>25020</v>
      </c>
      <c r="B248" s="5">
        <v>0</v>
      </c>
      <c r="C248" s="5">
        <v>50</v>
      </c>
    </row>
    <row r="249" spans="1:3">
      <c r="A249" s="6">
        <v>25051</v>
      </c>
      <c r="B249" s="5">
        <v>0</v>
      </c>
      <c r="C249" s="5">
        <v>50</v>
      </c>
    </row>
    <row r="250" spans="1:3">
      <c r="A250" s="13">
        <v>25082</v>
      </c>
      <c r="B250" s="5">
        <v>0</v>
      </c>
      <c r="C250" s="5">
        <v>50</v>
      </c>
    </row>
    <row r="251" spans="1:3">
      <c r="A251" s="6">
        <v>25112</v>
      </c>
      <c r="B251" s="5">
        <v>0</v>
      </c>
      <c r="C251" s="5">
        <v>50</v>
      </c>
    </row>
    <row r="252" spans="1:3">
      <c r="A252" s="13">
        <v>25143</v>
      </c>
      <c r="B252" s="5">
        <v>0</v>
      </c>
      <c r="C252" s="5">
        <v>50</v>
      </c>
    </row>
    <row r="253" spans="1:3">
      <c r="A253" s="6">
        <v>25173</v>
      </c>
      <c r="B253" s="5">
        <v>0</v>
      </c>
      <c r="C253" s="5">
        <v>50</v>
      </c>
    </row>
    <row r="254" spans="1:3">
      <c r="A254" s="13">
        <v>25204</v>
      </c>
      <c r="B254" s="5">
        <v>0</v>
      </c>
      <c r="C254" s="5">
        <v>50</v>
      </c>
    </row>
    <row r="255" spans="1:3">
      <c r="A255" s="6">
        <v>25235</v>
      </c>
      <c r="B255" s="5">
        <v>0</v>
      </c>
      <c r="C255" s="5">
        <v>50</v>
      </c>
    </row>
    <row r="256" spans="1:3">
      <c r="A256" s="13">
        <v>25263</v>
      </c>
      <c r="B256" s="5">
        <v>0</v>
      </c>
      <c r="C256" s="5">
        <v>50</v>
      </c>
    </row>
    <row r="257" spans="1:3">
      <c r="A257" s="6">
        <v>25294</v>
      </c>
      <c r="B257" s="5">
        <v>0</v>
      </c>
      <c r="C257" s="5">
        <v>50</v>
      </c>
    </row>
    <row r="258" spans="1:3">
      <c r="A258" s="13">
        <v>25324</v>
      </c>
      <c r="B258" s="5">
        <v>0</v>
      </c>
      <c r="C258" s="5">
        <v>50</v>
      </c>
    </row>
    <row r="259" spans="1:3">
      <c r="A259" s="6">
        <v>25355</v>
      </c>
      <c r="B259" s="5">
        <v>0</v>
      </c>
      <c r="C259" s="5">
        <v>50</v>
      </c>
    </row>
    <row r="260" spans="1:3">
      <c r="A260" s="13">
        <v>25385</v>
      </c>
      <c r="B260" s="5">
        <v>0</v>
      </c>
      <c r="C260" s="5">
        <v>50</v>
      </c>
    </row>
    <row r="261" spans="1:3">
      <c r="A261" s="6">
        <v>25416</v>
      </c>
      <c r="B261" s="5">
        <v>0</v>
      </c>
      <c r="C261" s="5">
        <v>50</v>
      </c>
    </row>
    <row r="262" spans="1:3">
      <c r="A262" s="13">
        <v>25447</v>
      </c>
      <c r="B262" s="5">
        <v>0</v>
      </c>
      <c r="C262" s="5">
        <v>50</v>
      </c>
    </row>
    <row r="263" spans="1:3">
      <c r="A263" s="6">
        <v>25477</v>
      </c>
      <c r="B263" s="5">
        <v>0</v>
      </c>
      <c r="C263" s="5">
        <v>50</v>
      </c>
    </row>
    <row r="264" spans="1:3">
      <c r="A264" s="13">
        <v>25508</v>
      </c>
      <c r="B264" s="5">
        <v>0</v>
      </c>
      <c r="C264" s="5">
        <v>50</v>
      </c>
    </row>
    <row r="265" spans="1:3">
      <c r="A265" s="6">
        <v>25538</v>
      </c>
      <c r="B265" s="5">
        <v>1</v>
      </c>
      <c r="C265" s="5">
        <v>50</v>
      </c>
    </row>
    <row r="266" spans="1:3">
      <c r="A266" s="13">
        <v>25569</v>
      </c>
      <c r="B266" s="5">
        <v>1</v>
      </c>
      <c r="C266" s="5">
        <v>50</v>
      </c>
    </row>
    <row r="267" spans="1:3">
      <c r="A267" s="6">
        <v>25600</v>
      </c>
      <c r="B267" s="5">
        <v>1</v>
      </c>
      <c r="C267" s="5">
        <v>50</v>
      </c>
    </row>
    <row r="268" spans="1:3">
      <c r="A268" s="13">
        <v>25628</v>
      </c>
      <c r="B268" s="5">
        <v>1</v>
      </c>
      <c r="C268" s="5">
        <v>50</v>
      </c>
    </row>
    <row r="269" spans="1:3">
      <c r="A269" s="6">
        <v>25659</v>
      </c>
      <c r="B269" s="5">
        <v>1</v>
      </c>
      <c r="C269" s="5">
        <v>50</v>
      </c>
    </row>
    <row r="270" spans="1:3">
      <c r="A270" s="13">
        <v>25689</v>
      </c>
      <c r="B270" s="5">
        <v>1</v>
      </c>
      <c r="C270" s="5">
        <v>50</v>
      </c>
    </row>
    <row r="271" spans="1:3">
      <c r="A271" s="6">
        <v>25720</v>
      </c>
      <c r="B271" s="5">
        <v>1</v>
      </c>
      <c r="C271" s="5">
        <v>50</v>
      </c>
    </row>
    <row r="272" spans="1:3">
      <c r="A272" s="13">
        <v>25750</v>
      </c>
      <c r="B272" s="5">
        <v>1</v>
      </c>
      <c r="C272" s="5">
        <v>50</v>
      </c>
    </row>
    <row r="273" spans="1:3">
      <c r="A273" s="6">
        <v>25781</v>
      </c>
      <c r="B273" s="5">
        <v>1</v>
      </c>
      <c r="C273" s="5">
        <v>50</v>
      </c>
    </row>
    <row r="274" spans="1:3">
      <c r="A274" s="13">
        <v>25812</v>
      </c>
      <c r="B274" s="5">
        <v>1</v>
      </c>
      <c r="C274" s="5">
        <v>50</v>
      </c>
    </row>
    <row r="275" spans="1:3">
      <c r="A275" s="6">
        <v>25842</v>
      </c>
      <c r="B275" s="5">
        <v>1</v>
      </c>
      <c r="C275" s="5">
        <v>50</v>
      </c>
    </row>
    <row r="276" spans="1:3">
      <c r="A276" s="13">
        <v>25873</v>
      </c>
      <c r="B276" s="5">
        <v>1</v>
      </c>
      <c r="C276" s="5">
        <v>50</v>
      </c>
    </row>
    <row r="277" spans="1:3">
      <c r="A277" s="6">
        <v>25903</v>
      </c>
      <c r="B277" s="5">
        <v>0</v>
      </c>
      <c r="C277" s="5">
        <v>50</v>
      </c>
    </row>
    <row r="278" spans="1:3">
      <c r="A278" s="13">
        <v>25934</v>
      </c>
      <c r="B278" s="5">
        <v>0</v>
      </c>
      <c r="C278" s="5">
        <v>50</v>
      </c>
    </row>
    <row r="279" spans="1:3">
      <c r="A279" s="6">
        <v>25965</v>
      </c>
      <c r="B279" s="5">
        <v>0</v>
      </c>
      <c r="C279" s="5">
        <v>50</v>
      </c>
    </row>
    <row r="280" spans="1:3">
      <c r="A280" s="13">
        <v>25993</v>
      </c>
      <c r="B280" s="5">
        <v>0</v>
      </c>
      <c r="C280" s="5">
        <v>50</v>
      </c>
    </row>
    <row r="281" spans="1:3">
      <c r="A281" s="6">
        <v>26024</v>
      </c>
      <c r="B281" s="5">
        <v>0</v>
      </c>
      <c r="C281" s="5">
        <v>50</v>
      </c>
    </row>
    <row r="282" spans="1:3">
      <c r="A282" s="13">
        <v>26054</v>
      </c>
      <c r="B282" s="5">
        <v>0</v>
      </c>
      <c r="C282" s="5">
        <v>50</v>
      </c>
    </row>
    <row r="283" spans="1:3">
      <c r="A283" s="6">
        <v>26085</v>
      </c>
      <c r="B283" s="5">
        <v>0</v>
      </c>
      <c r="C283" s="5">
        <v>50</v>
      </c>
    </row>
    <row r="284" spans="1:3">
      <c r="A284" s="13">
        <v>26115</v>
      </c>
      <c r="B284" s="5">
        <v>0</v>
      </c>
      <c r="C284" s="5">
        <v>50</v>
      </c>
    </row>
    <row r="285" spans="1:3">
      <c r="A285" s="6">
        <v>26146</v>
      </c>
      <c r="B285" s="5">
        <v>0</v>
      </c>
      <c r="C285" s="5">
        <v>50</v>
      </c>
    </row>
    <row r="286" spans="1:3">
      <c r="A286" s="13">
        <v>26177</v>
      </c>
      <c r="B286" s="5">
        <v>0</v>
      </c>
      <c r="C286" s="5">
        <v>50</v>
      </c>
    </row>
    <row r="287" spans="1:3">
      <c r="A287" s="6">
        <v>26207</v>
      </c>
      <c r="B287" s="5">
        <v>0</v>
      </c>
      <c r="C287" s="5">
        <v>50</v>
      </c>
    </row>
    <row r="288" spans="1:3">
      <c r="A288" s="13">
        <v>26238</v>
      </c>
      <c r="B288" s="5">
        <v>0</v>
      </c>
      <c r="C288" s="5">
        <v>50</v>
      </c>
    </row>
    <row r="289" spans="1:3">
      <c r="A289" s="6">
        <v>26268</v>
      </c>
      <c r="B289" s="5">
        <v>0</v>
      </c>
      <c r="C289" s="5">
        <v>50</v>
      </c>
    </row>
    <row r="290" spans="1:3">
      <c r="A290" s="13">
        <v>26299</v>
      </c>
      <c r="B290" s="5">
        <v>0</v>
      </c>
      <c r="C290" s="5">
        <v>50</v>
      </c>
    </row>
    <row r="291" spans="1:3">
      <c r="A291" s="6">
        <v>26330</v>
      </c>
      <c r="B291" s="5">
        <v>0</v>
      </c>
      <c r="C291" s="5">
        <v>50</v>
      </c>
    </row>
    <row r="292" spans="1:3">
      <c r="A292" s="13">
        <v>26359</v>
      </c>
      <c r="B292" s="5">
        <v>0</v>
      </c>
      <c r="C292" s="5">
        <v>50</v>
      </c>
    </row>
    <row r="293" spans="1:3">
      <c r="A293" s="6">
        <v>26390</v>
      </c>
      <c r="B293" s="5">
        <v>0</v>
      </c>
      <c r="C293" s="5">
        <v>50</v>
      </c>
    </row>
    <row r="294" spans="1:3">
      <c r="A294" s="13">
        <v>26420</v>
      </c>
      <c r="B294" s="5">
        <v>0</v>
      </c>
      <c r="C294" s="5">
        <v>50</v>
      </c>
    </row>
    <row r="295" spans="1:3">
      <c r="A295" s="6">
        <v>26451</v>
      </c>
      <c r="B295" s="5">
        <v>0</v>
      </c>
      <c r="C295" s="5">
        <v>50</v>
      </c>
    </row>
    <row r="296" spans="1:3">
      <c r="A296" s="13">
        <v>26481</v>
      </c>
      <c r="B296" s="5">
        <v>0</v>
      </c>
      <c r="C296" s="5">
        <v>50</v>
      </c>
    </row>
    <row r="297" spans="1:3">
      <c r="A297" s="6">
        <v>26512</v>
      </c>
      <c r="B297" s="5">
        <v>0</v>
      </c>
      <c r="C297" s="5">
        <v>50</v>
      </c>
    </row>
    <row r="298" spans="1:3">
      <c r="A298" s="13">
        <v>26543</v>
      </c>
      <c r="B298" s="5">
        <v>0</v>
      </c>
      <c r="C298" s="5">
        <v>50</v>
      </c>
    </row>
    <row r="299" spans="1:3">
      <c r="A299" s="6">
        <v>26573</v>
      </c>
      <c r="B299" s="5">
        <v>0</v>
      </c>
      <c r="C299" s="5">
        <v>50</v>
      </c>
    </row>
    <row r="300" spans="1:3">
      <c r="A300" s="13">
        <v>26604</v>
      </c>
      <c r="B300" s="5">
        <v>0</v>
      </c>
      <c r="C300" s="5">
        <v>50</v>
      </c>
    </row>
    <row r="301" spans="1:3">
      <c r="A301" s="6">
        <v>26634</v>
      </c>
      <c r="B301" s="5">
        <v>0</v>
      </c>
      <c r="C301" s="5">
        <v>50</v>
      </c>
    </row>
    <row r="302" spans="1:3">
      <c r="A302" s="13">
        <v>26665</v>
      </c>
      <c r="B302" s="5">
        <v>0</v>
      </c>
      <c r="C302" s="5">
        <v>50</v>
      </c>
    </row>
    <row r="303" spans="1:3">
      <c r="A303" s="6">
        <v>26696</v>
      </c>
      <c r="B303" s="5">
        <v>0</v>
      </c>
      <c r="C303" s="5">
        <v>50</v>
      </c>
    </row>
    <row r="304" spans="1:3">
      <c r="A304" s="13">
        <v>26724</v>
      </c>
      <c r="B304" s="5">
        <v>0</v>
      </c>
      <c r="C304" s="5">
        <v>50</v>
      </c>
    </row>
    <row r="305" spans="1:3">
      <c r="A305" s="6">
        <v>26755</v>
      </c>
      <c r="B305" s="5">
        <v>0</v>
      </c>
      <c r="C305" s="5">
        <v>50</v>
      </c>
    </row>
    <row r="306" spans="1:3">
      <c r="A306" s="13">
        <v>26785</v>
      </c>
      <c r="B306" s="5">
        <v>0</v>
      </c>
      <c r="C306" s="5">
        <v>50</v>
      </c>
    </row>
    <row r="307" spans="1:3">
      <c r="A307" s="6">
        <v>26816</v>
      </c>
      <c r="B307" s="5">
        <v>0</v>
      </c>
      <c r="C307" s="5">
        <v>50</v>
      </c>
    </row>
    <row r="308" spans="1:3">
      <c r="A308" s="13">
        <v>26846</v>
      </c>
      <c r="B308" s="5">
        <v>0</v>
      </c>
      <c r="C308" s="5">
        <v>50</v>
      </c>
    </row>
    <row r="309" spans="1:3">
      <c r="A309" s="6">
        <v>26877</v>
      </c>
      <c r="B309" s="5">
        <v>0</v>
      </c>
      <c r="C309" s="5">
        <v>50</v>
      </c>
    </row>
    <row r="310" spans="1:3">
      <c r="A310" s="13">
        <v>26908</v>
      </c>
      <c r="B310" s="5">
        <v>0</v>
      </c>
      <c r="C310" s="5">
        <v>50</v>
      </c>
    </row>
    <row r="311" spans="1:3">
      <c r="A311" s="6">
        <v>26938</v>
      </c>
      <c r="B311" s="5">
        <v>0</v>
      </c>
      <c r="C311" s="5">
        <v>50</v>
      </c>
    </row>
    <row r="312" spans="1:3">
      <c r="A312" s="13">
        <v>26969</v>
      </c>
      <c r="B312" s="5">
        <v>1</v>
      </c>
      <c r="C312" s="5">
        <v>50</v>
      </c>
    </row>
    <row r="313" spans="1:3">
      <c r="A313" s="6">
        <v>26999</v>
      </c>
      <c r="B313" s="5">
        <v>1</v>
      </c>
      <c r="C313" s="5">
        <v>50</v>
      </c>
    </row>
    <row r="314" spans="1:3">
      <c r="A314" s="13">
        <v>27030</v>
      </c>
      <c r="B314" s="5">
        <v>1</v>
      </c>
      <c r="C314" s="5">
        <v>50</v>
      </c>
    </row>
    <row r="315" spans="1:3">
      <c r="A315" s="6">
        <v>27061</v>
      </c>
      <c r="B315" s="5">
        <v>1</v>
      </c>
      <c r="C315" s="5">
        <v>50</v>
      </c>
    </row>
    <row r="316" spans="1:3">
      <c r="A316" s="13">
        <v>27089</v>
      </c>
      <c r="B316" s="5">
        <v>1</v>
      </c>
      <c r="C316" s="5">
        <v>50</v>
      </c>
    </row>
    <row r="317" spans="1:3">
      <c r="A317" s="6">
        <v>27120</v>
      </c>
      <c r="B317" s="5">
        <v>1</v>
      </c>
      <c r="C317" s="5">
        <v>50</v>
      </c>
    </row>
    <row r="318" spans="1:3">
      <c r="A318" s="13">
        <v>27150</v>
      </c>
      <c r="B318" s="5">
        <v>1</v>
      </c>
      <c r="C318" s="5">
        <v>50</v>
      </c>
    </row>
    <row r="319" spans="1:3">
      <c r="A319" s="6">
        <v>27181</v>
      </c>
      <c r="B319" s="5">
        <v>1</v>
      </c>
      <c r="C319" s="5">
        <v>50</v>
      </c>
    </row>
    <row r="320" spans="1:3">
      <c r="A320" s="13">
        <v>27211</v>
      </c>
      <c r="B320" s="5">
        <v>1</v>
      </c>
      <c r="C320" s="5">
        <v>50</v>
      </c>
    </row>
    <row r="321" spans="1:3">
      <c r="A321" s="6">
        <v>27242</v>
      </c>
      <c r="B321" s="5">
        <v>1</v>
      </c>
      <c r="C321" s="5">
        <v>50</v>
      </c>
    </row>
    <row r="322" spans="1:3">
      <c r="A322" s="13">
        <v>27273</v>
      </c>
      <c r="B322" s="5">
        <v>1</v>
      </c>
      <c r="C322" s="5">
        <v>50</v>
      </c>
    </row>
    <row r="323" spans="1:3">
      <c r="A323" s="6">
        <v>27303</v>
      </c>
      <c r="B323" s="5">
        <v>1</v>
      </c>
      <c r="C323" s="5">
        <v>50</v>
      </c>
    </row>
    <row r="324" spans="1:3">
      <c r="A324" s="13">
        <v>27334</v>
      </c>
      <c r="B324" s="5">
        <v>1</v>
      </c>
      <c r="C324" s="5">
        <v>50</v>
      </c>
    </row>
    <row r="325" spans="1:3">
      <c r="A325" s="6">
        <v>27364</v>
      </c>
      <c r="B325" s="5">
        <v>1</v>
      </c>
      <c r="C325" s="5">
        <v>50</v>
      </c>
    </row>
    <row r="326" spans="1:3">
      <c r="A326" s="13">
        <v>27395</v>
      </c>
      <c r="B326" s="5">
        <v>1</v>
      </c>
      <c r="C326" s="5">
        <v>50</v>
      </c>
    </row>
    <row r="327" spans="1:3">
      <c r="A327" s="6">
        <v>27426</v>
      </c>
      <c r="B327" s="5">
        <v>1</v>
      </c>
      <c r="C327" s="5">
        <v>50</v>
      </c>
    </row>
    <row r="328" spans="1:3">
      <c r="A328" s="13">
        <v>27454</v>
      </c>
      <c r="B328" s="5">
        <v>1</v>
      </c>
      <c r="C328" s="5">
        <v>50</v>
      </c>
    </row>
    <row r="329" spans="1:3">
      <c r="A329" s="6">
        <v>27485</v>
      </c>
      <c r="B329" s="5">
        <v>0</v>
      </c>
      <c r="C329" s="5">
        <v>50</v>
      </c>
    </row>
    <row r="330" spans="1:3">
      <c r="A330" s="13">
        <v>27515</v>
      </c>
      <c r="B330" s="5">
        <v>0</v>
      </c>
      <c r="C330" s="5">
        <v>50</v>
      </c>
    </row>
    <row r="331" spans="1:3">
      <c r="A331" s="6">
        <v>27546</v>
      </c>
      <c r="B331" s="5">
        <v>0</v>
      </c>
      <c r="C331" s="5">
        <v>50</v>
      </c>
    </row>
    <row r="332" spans="1:3">
      <c r="A332" s="13">
        <v>27576</v>
      </c>
      <c r="B332" s="5">
        <v>0</v>
      </c>
      <c r="C332" s="5">
        <v>50</v>
      </c>
    </row>
    <row r="333" spans="1:3">
      <c r="A333" s="6">
        <v>27607</v>
      </c>
      <c r="B333" s="5">
        <v>0</v>
      </c>
      <c r="C333" s="5">
        <v>50</v>
      </c>
    </row>
    <row r="334" spans="1:3">
      <c r="A334" s="13">
        <v>27638</v>
      </c>
      <c r="B334" s="5">
        <v>0</v>
      </c>
      <c r="C334" s="5">
        <v>50</v>
      </c>
    </row>
    <row r="335" spans="1:3">
      <c r="A335" s="6">
        <v>27668</v>
      </c>
      <c r="B335" s="5">
        <v>0</v>
      </c>
      <c r="C335" s="5">
        <v>50</v>
      </c>
    </row>
    <row r="336" spans="1:3">
      <c r="A336" s="13">
        <v>27699</v>
      </c>
      <c r="B336" s="5">
        <v>0</v>
      </c>
      <c r="C336" s="5">
        <v>50</v>
      </c>
    </row>
    <row r="337" spans="1:3">
      <c r="A337" s="6">
        <v>27729</v>
      </c>
      <c r="B337" s="5">
        <v>0</v>
      </c>
      <c r="C337" s="5">
        <v>50</v>
      </c>
    </row>
    <row r="338" spans="1:3">
      <c r="A338" s="13">
        <v>27760</v>
      </c>
      <c r="B338" s="5">
        <v>0</v>
      </c>
      <c r="C338" s="5">
        <v>50</v>
      </c>
    </row>
    <row r="339" spans="1:3">
      <c r="A339" s="6">
        <v>27791</v>
      </c>
      <c r="B339" s="5">
        <v>0</v>
      </c>
      <c r="C339" s="5">
        <v>50</v>
      </c>
    </row>
    <row r="340" spans="1:3">
      <c r="A340" s="13">
        <v>27820</v>
      </c>
      <c r="B340" s="5">
        <v>0</v>
      </c>
      <c r="C340" s="5">
        <v>50</v>
      </c>
    </row>
    <row r="341" spans="1:3">
      <c r="A341" s="6">
        <v>27851</v>
      </c>
      <c r="B341" s="5">
        <v>0</v>
      </c>
      <c r="C341" s="5">
        <v>50</v>
      </c>
    </row>
    <row r="342" spans="1:3">
      <c r="A342" s="13">
        <v>27881</v>
      </c>
      <c r="B342" s="5">
        <v>0</v>
      </c>
      <c r="C342" s="5">
        <v>50</v>
      </c>
    </row>
    <row r="343" spans="1:3">
      <c r="A343" s="6">
        <v>27912</v>
      </c>
      <c r="B343" s="5">
        <v>0</v>
      </c>
      <c r="C343" s="5">
        <v>50</v>
      </c>
    </row>
    <row r="344" spans="1:3">
      <c r="A344" s="13">
        <v>27942</v>
      </c>
      <c r="B344" s="5">
        <v>0</v>
      </c>
      <c r="C344" s="5">
        <v>50</v>
      </c>
    </row>
    <row r="345" spans="1:3">
      <c r="A345" s="6">
        <v>27973</v>
      </c>
      <c r="B345" s="5">
        <v>0</v>
      </c>
      <c r="C345" s="5">
        <v>50</v>
      </c>
    </row>
    <row r="346" spans="1:3">
      <c r="A346" s="13">
        <v>28004</v>
      </c>
      <c r="B346" s="5">
        <v>0</v>
      </c>
      <c r="C346" s="5">
        <v>50</v>
      </c>
    </row>
    <row r="347" spans="1:3">
      <c r="A347" s="6">
        <v>28034</v>
      </c>
      <c r="B347" s="5">
        <v>0</v>
      </c>
      <c r="C347" s="5">
        <v>50</v>
      </c>
    </row>
    <row r="348" spans="1:3">
      <c r="A348" s="13">
        <v>28065</v>
      </c>
      <c r="B348" s="5">
        <v>0</v>
      </c>
      <c r="C348" s="5">
        <v>50</v>
      </c>
    </row>
    <row r="349" spans="1:3">
      <c r="A349" s="6">
        <v>28095</v>
      </c>
      <c r="B349" s="5">
        <v>0</v>
      </c>
      <c r="C349" s="5">
        <v>50</v>
      </c>
    </row>
    <row r="350" spans="1:3">
      <c r="A350" s="13">
        <v>28126</v>
      </c>
      <c r="B350" s="5">
        <v>0</v>
      </c>
      <c r="C350" s="5">
        <v>50</v>
      </c>
    </row>
    <row r="351" spans="1:3">
      <c r="A351" s="6">
        <v>28157</v>
      </c>
      <c r="B351" s="5">
        <v>0</v>
      </c>
      <c r="C351" s="5">
        <v>50</v>
      </c>
    </row>
    <row r="352" spans="1:3">
      <c r="A352" s="13">
        <v>28185</v>
      </c>
      <c r="B352" s="5">
        <v>0</v>
      </c>
      <c r="C352" s="5">
        <v>50</v>
      </c>
    </row>
    <row r="353" spans="1:3">
      <c r="A353" s="6">
        <v>28216</v>
      </c>
      <c r="B353" s="5">
        <v>0</v>
      </c>
      <c r="C353" s="5">
        <v>50</v>
      </c>
    </row>
    <row r="354" spans="1:3">
      <c r="A354" s="13">
        <v>28246</v>
      </c>
      <c r="B354" s="5">
        <v>0</v>
      </c>
      <c r="C354" s="5">
        <v>50</v>
      </c>
    </row>
    <row r="355" spans="1:3">
      <c r="A355" s="6">
        <v>28277</v>
      </c>
      <c r="B355" s="5">
        <v>0</v>
      </c>
      <c r="C355" s="5">
        <v>50</v>
      </c>
    </row>
    <row r="356" spans="1:3">
      <c r="A356" s="13">
        <v>28307</v>
      </c>
      <c r="B356" s="5">
        <v>0</v>
      </c>
      <c r="C356" s="5">
        <v>50</v>
      </c>
    </row>
    <row r="357" spans="1:3">
      <c r="A357" s="6">
        <v>28338</v>
      </c>
      <c r="B357" s="5">
        <v>0</v>
      </c>
      <c r="C357" s="5">
        <v>50</v>
      </c>
    </row>
    <row r="358" spans="1:3">
      <c r="A358" s="13">
        <v>28369</v>
      </c>
      <c r="B358" s="5">
        <v>0</v>
      </c>
      <c r="C358" s="5">
        <v>50</v>
      </c>
    </row>
    <row r="359" spans="1:3">
      <c r="A359" s="6">
        <v>28399</v>
      </c>
      <c r="B359" s="5">
        <v>0</v>
      </c>
      <c r="C359" s="5">
        <v>50</v>
      </c>
    </row>
    <row r="360" spans="1:3">
      <c r="A360" s="13">
        <v>28430</v>
      </c>
      <c r="B360" s="5">
        <v>0</v>
      </c>
      <c r="C360" s="5">
        <v>50</v>
      </c>
    </row>
    <row r="361" spans="1:3">
      <c r="A361" s="6">
        <v>28460</v>
      </c>
      <c r="B361" s="5">
        <v>0</v>
      </c>
      <c r="C361" s="5">
        <v>50</v>
      </c>
    </row>
    <row r="362" spans="1:3">
      <c r="A362" s="13">
        <v>28491</v>
      </c>
      <c r="B362" s="5">
        <v>0</v>
      </c>
      <c r="C362" s="5">
        <v>50</v>
      </c>
    </row>
    <row r="363" spans="1:3">
      <c r="A363" s="6">
        <v>28522</v>
      </c>
      <c r="B363" s="5">
        <v>0</v>
      </c>
      <c r="C363" s="5">
        <v>50</v>
      </c>
    </row>
    <row r="364" spans="1:3">
      <c r="A364" s="13">
        <v>28550</v>
      </c>
      <c r="B364" s="5">
        <v>0</v>
      </c>
      <c r="C364" s="5">
        <v>50</v>
      </c>
    </row>
    <row r="365" spans="1:3">
      <c r="A365" s="6">
        <v>28581</v>
      </c>
      <c r="B365" s="5">
        <v>0</v>
      </c>
      <c r="C365" s="5">
        <v>50</v>
      </c>
    </row>
    <row r="366" spans="1:3">
      <c r="A366" s="13">
        <v>28611</v>
      </c>
      <c r="B366" s="5">
        <v>0</v>
      </c>
      <c r="C366" s="5">
        <v>50</v>
      </c>
    </row>
    <row r="367" spans="1:3">
      <c r="A367" s="6">
        <v>28642</v>
      </c>
      <c r="B367" s="5">
        <v>0</v>
      </c>
      <c r="C367" s="5">
        <v>50</v>
      </c>
    </row>
    <row r="368" spans="1:3">
      <c r="A368" s="13">
        <v>28672</v>
      </c>
      <c r="B368" s="5">
        <v>0</v>
      </c>
      <c r="C368" s="5">
        <v>50</v>
      </c>
    </row>
    <row r="369" spans="1:3">
      <c r="A369" s="6">
        <v>28703</v>
      </c>
      <c r="B369" s="5">
        <v>0</v>
      </c>
      <c r="C369" s="5">
        <v>50</v>
      </c>
    </row>
    <row r="370" spans="1:3">
      <c r="A370" s="13">
        <v>28734</v>
      </c>
      <c r="B370" s="5">
        <v>0</v>
      </c>
      <c r="C370" s="5">
        <v>50</v>
      </c>
    </row>
    <row r="371" spans="1:3">
      <c r="A371" s="6">
        <v>28764</v>
      </c>
      <c r="B371" s="5">
        <v>0</v>
      </c>
      <c r="C371" s="5">
        <v>50</v>
      </c>
    </row>
    <row r="372" spans="1:3">
      <c r="A372" s="13">
        <v>28795</v>
      </c>
      <c r="B372" s="5">
        <v>0</v>
      </c>
      <c r="C372" s="5">
        <v>50</v>
      </c>
    </row>
    <row r="373" spans="1:3">
      <c r="A373" s="6">
        <v>28825</v>
      </c>
      <c r="B373" s="5">
        <v>0</v>
      </c>
      <c r="C373" s="5">
        <v>50</v>
      </c>
    </row>
    <row r="374" spans="1:3">
      <c r="A374" s="13">
        <v>28856</v>
      </c>
      <c r="B374" s="5">
        <v>0</v>
      </c>
      <c r="C374" s="5">
        <v>50</v>
      </c>
    </row>
    <row r="375" spans="1:3">
      <c r="A375" s="6">
        <v>28887</v>
      </c>
      <c r="B375" s="5">
        <v>0</v>
      </c>
      <c r="C375" s="5">
        <v>50</v>
      </c>
    </row>
    <row r="376" spans="1:3">
      <c r="A376" s="13">
        <v>28915</v>
      </c>
      <c r="B376" s="5">
        <v>0</v>
      </c>
      <c r="C376" s="5">
        <v>50</v>
      </c>
    </row>
    <row r="377" spans="1:3">
      <c r="A377" s="6">
        <v>28946</v>
      </c>
      <c r="B377" s="5">
        <v>0</v>
      </c>
      <c r="C377" s="5">
        <v>50</v>
      </c>
    </row>
    <row r="378" spans="1:3">
      <c r="A378" s="13">
        <v>28976</v>
      </c>
      <c r="B378" s="5">
        <v>0</v>
      </c>
      <c r="C378" s="5">
        <v>50</v>
      </c>
    </row>
    <row r="379" spans="1:3">
      <c r="A379" s="6">
        <v>29007</v>
      </c>
      <c r="B379" s="5">
        <v>0</v>
      </c>
      <c r="C379" s="5">
        <v>50</v>
      </c>
    </row>
    <row r="380" spans="1:3">
      <c r="A380" s="13">
        <v>29037</v>
      </c>
      <c r="B380" s="5">
        <v>0</v>
      </c>
      <c r="C380" s="5">
        <v>50</v>
      </c>
    </row>
    <row r="381" spans="1:3">
      <c r="A381" s="6">
        <v>29068</v>
      </c>
      <c r="B381" s="5">
        <v>0</v>
      </c>
      <c r="C381" s="5">
        <v>50</v>
      </c>
    </row>
    <row r="382" spans="1:3">
      <c r="A382" s="13">
        <v>29099</v>
      </c>
      <c r="B382" s="5">
        <v>0</v>
      </c>
      <c r="C382" s="5">
        <v>50</v>
      </c>
    </row>
    <row r="383" spans="1:3">
      <c r="A383" s="6">
        <v>29129</v>
      </c>
      <c r="B383" s="5">
        <v>0</v>
      </c>
      <c r="C383" s="5">
        <v>50</v>
      </c>
    </row>
    <row r="384" spans="1:3">
      <c r="A384" s="13">
        <v>29160</v>
      </c>
      <c r="B384" s="5">
        <v>0</v>
      </c>
      <c r="C384" s="5">
        <v>50</v>
      </c>
    </row>
    <row r="385" spans="1:3">
      <c r="A385" s="6">
        <v>29190</v>
      </c>
      <c r="B385" s="5">
        <v>0</v>
      </c>
      <c r="C385" s="5">
        <v>50</v>
      </c>
    </row>
    <row r="386" spans="1:3">
      <c r="A386" s="13">
        <v>29221</v>
      </c>
      <c r="B386" s="5">
        <v>1</v>
      </c>
      <c r="C386" s="5">
        <v>50</v>
      </c>
    </row>
    <row r="387" spans="1:3">
      <c r="A387" s="6">
        <v>29252</v>
      </c>
      <c r="B387" s="5">
        <v>1</v>
      </c>
      <c r="C387" s="5">
        <v>50</v>
      </c>
    </row>
    <row r="388" spans="1:3">
      <c r="A388" s="13">
        <v>29281</v>
      </c>
      <c r="B388" s="5">
        <v>1</v>
      </c>
      <c r="C388" s="5">
        <v>50</v>
      </c>
    </row>
    <row r="389" spans="1:3">
      <c r="A389" s="6">
        <v>29312</v>
      </c>
      <c r="B389" s="5">
        <v>1</v>
      </c>
      <c r="C389" s="5">
        <v>50</v>
      </c>
    </row>
    <row r="390" spans="1:3">
      <c r="A390" s="13">
        <v>29342</v>
      </c>
      <c r="B390" s="5">
        <v>1</v>
      </c>
      <c r="C390" s="5">
        <v>50</v>
      </c>
    </row>
    <row r="391" spans="1:3">
      <c r="A391" s="6">
        <v>29373</v>
      </c>
      <c r="B391" s="5">
        <v>1</v>
      </c>
      <c r="C391" s="5">
        <v>50</v>
      </c>
    </row>
    <row r="392" spans="1:3">
      <c r="A392" s="13">
        <v>29403</v>
      </c>
      <c r="B392" s="5">
        <v>1</v>
      </c>
      <c r="C392" s="5">
        <v>50</v>
      </c>
    </row>
    <row r="393" spans="1:3">
      <c r="A393" s="6">
        <v>29434</v>
      </c>
      <c r="B393" s="5">
        <v>0</v>
      </c>
      <c r="C393" s="5">
        <v>50</v>
      </c>
    </row>
    <row r="394" spans="1:3">
      <c r="A394" s="13">
        <v>29465</v>
      </c>
      <c r="B394" s="5">
        <v>0</v>
      </c>
      <c r="C394" s="5">
        <v>50</v>
      </c>
    </row>
    <row r="395" spans="1:3">
      <c r="A395" s="6">
        <v>29495</v>
      </c>
      <c r="B395" s="5">
        <v>0</v>
      </c>
      <c r="C395" s="5">
        <v>50</v>
      </c>
    </row>
    <row r="396" spans="1:3">
      <c r="A396" s="13">
        <v>29526</v>
      </c>
      <c r="B396" s="5">
        <v>0</v>
      </c>
      <c r="C396" s="5">
        <v>50</v>
      </c>
    </row>
    <row r="397" spans="1:3">
      <c r="A397" s="6">
        <v>29556</v>
      </c>
      <c r="B397" s="5">
        <v>0</v>
      </c>
      <c r="C397" s="5">
        <v>50</v>
      </c>
    </row>
    <row r="398" spans="1:3">
      <c r="A398" s="13">
        <v>29587</v>
      </c>
      <c r="B398" s="5">
        <v>0</v>
      </c>
      <c r="C398" s="5">
        <v>50</v>
      </c>
    </row>
    <row r="399" spans="1:3">
      <c r="A399" s="6">
        <v>29618</v>
      </c>
      <c r="B399" s="5">
        <v>0</v>
      </c>
      <c r="C399" s="5">
        <v>50</v>
      </c>
    </row>
    <row r="400" spans="1:3">
      <c r="A400" s="13">
        <v>29646</v>
      </c>
      <c r="B400" s="5">
        <v>0</v>
      </c>
      <c r="C400" s="5">
        <v>50</v>
      </c>
    </row>
    <row r="401" spans="1:3">
      <c r="A401" s="6">
        <v>29677</v>
      </c>
      <c r="B401" s="5">
        <v>0</v>
      </c>
      <c r="C401" s="5">
        <v>50</v>
      </c>
    </row>
    <row r="402" spans="1:3">
      <c r="A402" s="13">
        <v>29707</v>
      </c>
      <c r="B402" s="5">
        <v>0</v>
      </c>
      <c r="C402" s="5">
        <v>50</v>
      </c>
    </row>
    <row r="403" spans="1:3">
      <c r="A403" s="6">
        <v>29738</v>
      </c>
      <c r="B403" s="5">
        <v>0</v>
      </c>
      <c r="C403" s="5">
        <v>50</v>
      </c>
    </row>
    <row r="404" spans="1:3">
      <c r="A404" s="13">
        <v>29768</v>
      </c>
      <c r="B404" s="5">
        <v>1</v>
      </c>
      <c r="C404" s="5">
        <v>50</v>
      </c>
    </row>
    <row r="405" spans="1:3">
      <c r="A405" s="6">
        <v>29799</v>
      </c>
      <c r="B405" s="5">
        <v>1</v>
      </c>
      <c r="C405" s="5">
        <v>50</v>
      </c>
    </row>
    <row r="406" spans="1:3">
      <c r="A406" s="13">
        <v>29830</v>
      </c>
      <c r="B406" s="5">
        <v>1</v>
      </c>
      <c r="C406" s="5">
        <v>50</v>
      </c>
    </row>
    <row r="407" spans="1:3">
      <c r="A407" s="6">
        <v>29860</v>
      </c>
      <c r="B407" s="5">
        <v>1</v>
      </c>
      <c r="C407" s="5">
        <v>50</v>
      </c>
    </row>
    <row r="408" spans="1:3">
      <c r="A408" s="13">
        <v>29891</v>
      </c>
      <c r="B408" s="5">
        <v>1</v>
      </c>
      <c r="C408" s="5">
        <v>50</v>
      </c>
    </row>
    <row r="409" spans="1:3">
      <c r="A409" s="6">
        <v>29921</v>
      </c>
      <c r="B409" s="5">
        <v>1</v>
      </c>
      <c r="C409" s="5">
        <v>50</v>
      </c>
    </row>
    <row r="410" spans="1:3">
      <c r="A410" s="13">
        <v>29952</v>
      </c>
      <c r="B410" s="5">
        <v>1</v>
      </c>
      <c r="C410" s="5">
        <v>50</v>
      </c>
    </row>
    <row r="411" spans="1:3">
      <c r="A411" s="6">
        <v>29983</v>
      </c>
      <c r="B411" s="5">
        <v>1</v>
      </c>
      <c r="C411" s="5">
        <v>50</v>
      </c>
    </row>
    <row r="412" spans="1:3">
      <c r="A412" s="13">
        <v>30011</v>
      </c>
      <c r="B412" s="5">
        <v>1</v>
      </c>
      <c r="C412" s="5">
        <v>50</v>
      </c>
    </row>
    <row r="413" spans="1:3">
      <c r="A413" s="6">
        <v>30042</v>
      </c>
      <c r="B413" s="5">
        <v>1</v>
      </c>
      <c r="C413" s="5">
        <v>50</v>
      </c>
    </row>
    <row r="414" spans="1:3">
      <c r="A414" s="13">
        <v>30072</v>
      </c>
      <c r="B414" s="5">
        <v>1</v>
      </c>
      <c r="C414" s="5">
        <v>50</v>
      </c>
    </row>
    <row r="415" spans="1:3">
      <c r="A415" s="6">
        <v>30103</v>
      </c>
      <c r="B415" s="5">
        <v>1</v>
      </c>
      <c r="C415" s="5">
        <v>50</v>
      </c>
    </row>
    <row r="416" spans="1:3">
      <c r="A416" s="13">
        <v>30133</v>
      </c>
      <c r="B416" s="5">
        <v>1</v>
      </c>
      <c r="C416" s="5">
        <v>50</v>
      </c>
    </row>
    <row r="417" spans="1:3">
      <c r="A417" s="6">
        <v>30164</v>
      </c>
      <c r="B417" s="5">
        <v>1</v>
      </c>
      <c r="C417" s="5">
        <v>50</v>
      </c>
    </row>
    <row r="418" spans="1:3">
      <c r="A418" s="13">
        <v>30195</v>
      </c>
      <c r="B418" s="5">
        <v>1</v>
      </c>
      <c r="C418" s="5">
        <v>50</v>
      </c>
    </row>
    <row r="419" spans="1:3">
      <c r="A419" s="6">
        <v>30225</v>
      </c>
      <c r="B419" s="5">
        <v>1</v>
      </c>
      <c r="C419" s="5">
        <v>50</v>
      </c>
    </row>
    <row r="420" spans="1:3">
      <c r="A420" s="13">
        <v>30256</v>
      </c>
      <c r="B420" s="5">
        <v>1</v>
      </c>
      <c r="C420" s="5">
        <v>50</v>
      </c>
    </row>
    <row r="421" spans="1:3">
      <c r="A421" s="6">
        <v>30286</v>
      </c>
      <c r="B421" s="5">
        <v>0</v>
      </c>
      <c r="C421" s="5">
        <v>50</v>
      </c>
    </row>
    <row r="422" spans="1:3">
      <c r="A422" s="13">
        <v>30317</v>
      </c>
      <c r="B422" s="5">
        <v>0</v>
      </c>
      <c r="C422" s="5">
        <v>50</v>
      </c>
    </row>
    <row r="423" spans="1:3">
      <c r="A423" s="6">
        <v>30348</v>
      </c>
      <c r="B423" s="5">
        <v>0</v>
      </c>
      <c r="C423" s="5">
        <v>50</v>
      </c>
    </row>
    <row r="424" spans="1:3">
      <c r="A424" s="13">
        <v>30376</v>
      </c>
      <c r="B424" s="5">
        <v>0</v>
      </c>
      <c r="C424" s="5">
        <v>50</v>
      </c>
    </row>
    <row r="425" spans="1:3">
      <c r="A425" s="6">
        <v>30407</v>
      </c>
      <c r="B425" s="5">
        <v>0</v>
      </c>
      <c r="C425" s="5">
        <v>50</v>
      </c>
    </row>
    <row r="426" spans="1:3">
      <c r="A426" s="13">
        <v>30437</v>
      </c>
      <c r="B426" s="5">
        <v>0</v>
      </c>
      <c r="C426" s="5">
        <v>50</v>
      </c>
    </row>
    <row r="427" spans="1:3">
      <c r="A427" s="6">
        <v>30468</v>
      </c>
      <c r="B427" s="5">
        <v>0</v>
      </c>
      <c r="C427" s="5">
        <v>50</v>
      </c>
    </row>
    <row r="428" spans="1:3">
      <c r="A428" s="13">
        <v>30498</v>
      </c>
      <c r="B428" s="5">
        <v>0</v>
      </c>
      <c r="C428" s="5">
        <v>50</v>
      </c>
    </row>
    <row r="429" spans="1:3">
      <c r="A429" s="6">
        <v>30529</v>
      </c>
      <c r="B429" s="5">
        <v>0</v>
      </c>
      <c r="C429" s="5">
        <v>50</v>
      </c>
    </row>
    <row r="430" spans="1:3">
      <c r="A430" s="13">
        <v>30560</v>
      </c>
      <c r="B430" s="5">
        <v>0</v>
      </c>
      <c r="C430" s="5">
        <v>50</v>
      </c>
    </row>
    <row r="431" spans="1:3">
      <c r="A431" s="6">
        <v>30590</v>
      </c>
      <c r="B431" s="5">
        <v>0</v>
      </c>
      <c r="C431" s="5">
        <v>50</v>
      </c>
    </row>
    <row r="432" spans="1:3">
      <c r="A432" s="13">
        <v>30621</v>
      </c>
      <c r="B432" s="5">
        <v>0</v>
      </c>
      <c r="C432" s="5">
        <v>50</v>
      </c>
    </row>
    <row r="433" spans="1:3">
      <c r="A433" s="6">
        <v>30651</v>
      </c>
      <c r="B433" s="5">
        <v>0</v>
      </c>
      <c r="C433" s="5">
        <v>50</v>
      </c>
    </row>
    <row r="434" spans="1:3">
      <c r="A434" s="13">
        <v>30682</v>
      </c>
      <c r="B434" s="5">
        <v>0</v>
      </c>
      <c r="C434" s="5">
        <v>50</v>
      </c>
    </row>
    <row r="435" spans="1:3">
      <c r="A435" s="6">
        <v>30713</v>
      </c>
      <c r="B435" s="5">
        <v>0</v>
      </c>
      <c r="C435" s="5">
        <v>50</v>
      </c>
    </row>
    <row r="436" spans="1:3">
      <c r="A436" s="13">
        <v>30742</v>
      </c>
      <c r="B436" s="5">
        <v>0</v>
      </c>
      <c r="C436" s="5">
        <v>50</v>
      </c>
    </row>
    <row r="437" spans="1:3">
      <c r="A437" s="6">
        <v>30773</v>
      </c>
      <c r="B437" s="5">
        <v>0</v>
      </c>
      <c r="C437" s="5">
        <v>50</v>
      </c>
    </row>
    <row r="438" spans="1:3">
      <c r="A438" s="13">
        <v>30803</v>
      </c>
      <c r="B438" s="5">
        <v>0</v>
      </c>
      <c r="C438" s="5">
        <v>50</v>
      </c>
    </row>
    <row r="439" spans="1:3">
      <c r="A439" s="6">
        <v>30834</v>
      </c>
      <c r="B439" s="5">
        <v>0</v>
      </c>
      <c r="C439" s="5">
        <v>50</v>
      </c>
    </row>
    <row r="440" spans="1:3">
      <c r="A440" s="13">
        <v>30864</v>
      </c>
      <c r="B440" s="5">
        <v>0</v>
      </c>
      <c r="C440" s="5">
        <v>50</v>
      </c>
    </row>
    <row r="441" spans="1:3">
      <c r="A441" s="6">
        <v>30895</v>
      </c>
      <c r="B441" s="5">
        <v>0</v>
      </c>
      <c r="C441" s="5">
        <v>50</v>
      </c>
    </row>
    <row r="442" spans="1:3">
      <c r="A442" s="13">
        <v>30926</v>
      </c>
      <c r="B442" s="5">
        <v>0</v>
      </c>
      <c r="C442" s="5">
        <v>50</v>
      </c>
    </row>
    <row r="443" spans="1:3">
      <c r="A443" s="6">
        <v>30956</v>
      </c>
      <c r="B443" s="5">
        <v>0</v>
      </c>
      <c r="C443" s="5">
        <v>50</v>
      </c>
    </row>
    <row r="444" spans="1:3">
      <c r="A444" s="13">
        <v>30987</v>
      </c>
      <c r="B444" s="5">
        <v>0</v>
      </c>
      <c r="C444" s="5">
        <v>50</v>
      </c>
    </row>
    <row r="445" spans="1:3">
      <c r="A445" s="6">
        <v>31017</v>
      </c>
      <c r="B445" s="5">
        <v>0</v>
      </c>
      <c r="C445" s="5">
        <v>50</v>
      </c>
    </row>
    <row r="446" spans="1:3">
      <c r="A446" s="13">
        <v>31048</v>
      </c>
      <c r="B446" s="5">
        <v>0</v>
      </c>
      <c r="C446" s="5">
        <v>50</v>
      </c>
    </row>
    <row r="447" spans="1:3">
      <c r="A447" s="6">
        <v>31079</v>
      </c>
      <c r="B447" s="5">
        <v>0</v>
      </c>
      <c r="C447" s="5">
        <v>50</v>
      </c>
    </row>
    <row r="448" spans="1:3">
      <c r="A448" s="13">
        <v>31107</v>
      </c>
      <c r="B448" s="5">
        <v>0</v>
      </c>
      <c r="C448" s="5">
        <v>50</v>
      </c>
    </row>
    <row r="449" spans="1:3">
      <c r="A449" s="6">
        <v>31138</v>
      </c>
      <c r="B449" s="5">
        <v>0</v>
      </c>
      <c r="C449" s="5">
        <v>50</v>
      </c>
    </row>
    <row r="450" spans="1:3">
      <c r="A450" s="13">
        <v>31168</v>
      </c>
      <c r="B450" s="5">
        <v>0</v>
      </c>
      <c r="C450" s="5">
        <v>50</v>
      </c>
    </row>
    <row r="451" spans="1:3">
      <c r="A451" s="6">
        <v>31199</v>
      </c>
      <c r="B451" s="5">
        <v>0</v>
      </c>
      <c r="C451" s="5">
        <v>50</v>
      </c>
    </row>
    <row r="452" spans="1:3">
      <c r="A452" s="13">
        <v>31229</v>
      </c>
      <c r="B452" s="5">
        <v>0</v>
      </c>
      <c r="C452" s="5">
        <v>50</v>
      </c>
    </row>
    <row r="453" spans="1:3">
      <c r="A453" s="6">
        <v>31260</v>
      </c>
      <c r="B453" s="5">
        <v>0</v>
      </c>
      <c r="C453" s="5">
        <v>50</v>
      </c>
    </row>
    <row r="454" spans="1:3">
      <c r="A454" s="13">
        <v>31291</v>
      </c>
      <c r="B454" s="5">
        <v>0</v>
      </c>
      <c r="C454" s="5">
        <v>50</v>
      </c>
    </row>
    <row r="455" spans="1:3">
      <c r="A455" s="6">
        <v>31321</v>
      </c>
      <c r="B455" s="5">
        <v>0</v>
      </c>
      <c r="C455" s="5">
        <v>50</v>
      </c>
    </row>
    <row r="456" spans="1:3">
      <c r="A456" s="13">
        <v>31352</v>
      </c>
      <c r="B456" s="5">
        <v>0</v>
      </c>
      <c r="C456" s="5">
        <v>50</v>
      </c>
    </row>
    <row r="457" spans="1:3">
      <c r="A457" s="6">
        <v>31382</v>
      </c>
      <c r="B457" s="5">
        <v>0</v>
      </c>
      <c r="C457" s="5">
        <v>50</v>
      </c>
    </row>
    <row r="458" spans="1:3">
      <c r="A458" s="13">
        <v>31413</v>
      </c>
      <c r="B458" s="5">
        <v>0</v>
      </c>
      <c r="C458" s="5">
        <v>50</v>
      </c>
    </row>
    <row r="459" spans="1:3">
      <c r="A459" s="6">
        <v>31444</v>
      </c>
      <c r="B459" s="5">
        <v>0</v>
      </c>
      <c r="C459" s="5">
        <v>50</v>
      </c>
    </row>
    <row r="460" spans="1:3">
      <c r="A460" s="13">
        <v>31472</v>
      </c>
      <c r="B460" s="5">
        <v>0</v>
      </c>
      <c r="C460" s="5">
        <v>50</v>
      </c>
    </row>
    <row r="461" spans="1:3">
      <c r="A461" s="6">
        <v>31503</v>
      </c>
      <c r="B461" s="5">
        <v>0</v>
      </c>
      <c r="C461" s="5">
        <v>50</v>
      </c>
    </row>
    <row r="462" spans="1:3">
      <c r="A462" s="13">
        <v>31533</v>
      </c>
      <c r="B462" s="5">
        <v>0</v>
      </c>
      <c r="C462" s="5">
        <v>50</v>
      </c>
    </row>
    <row r="463" spans="1:3">
      <c r="A463" s="6">
        <v>31564</v>
      </c>
      <c r="B463" s="5">
        <v>0</v>
      </c>
      <c r="C463" s="5">
        <v>50</v>
      </c>
    </row>
    <row r="464" spans="1:3">
      <c r="A464" s="13">
        <v>31594</v>
      </c>
      <c r="B464" s="5">
        <v>0</v>
      </c>
      <c r="C464" s="5">
        <v>50</v>
      </c>
    </row>
    <row r="465" spans="1:3">
      <c r="A465" s="6">
        <v>31625</v>
      </c>
      <c r="B465" s="5">
        <v>0</v>
      </c>
      <c r="C465" s="5">
        <v>50</v>
      </c>
    </row>
    <row r="466" spans="1:3">
      <c r="A466" s="13">
        <v>31656</v>
      </c>
      <c r="B466" s="5">
        <v>0</v>
      </c>
      <c r="C466" s="5">
        <v>50</v>
      </c>
    </row>
    <row r="467" spans="1:3">
      <c r="A467" s="6">
        <v>31686</v>
      </c>
      <c r="B467" s="5">
        <v>0</v>
      </c>
      <c r="C467" s="5">
        <v>50</v>
      </c>
    </row>
    <row r="468" spans="1:3">
      <c r="A468" s="13">
        <v>31717</v>
      </c>
      <c r="B468" s="5">
        <v>0</v>
      </c>
      <c r="C468" s="5">
        <v>50</v>
      </c>
    </row>
    <row r="469" spans="1:3">
      <c r="A469" s="6">
        <v>31747</v>
      </c>
      <c r="B469" s="5">
        <v>0</v>
      </c>
      <c r="C469" s="5">
        <v>50</v>
      </c>
    </row>
    <row r="470" spans="1:3">
      <c r="A470" s="13">
        <v>31778</v>
      </c>
      <c r="B470" s="5">
        <v>0</v>
      </c>
      <c r="C470" s="5">
        <v>50</v>
      </c>
    </row>
    <row r="471" spans="1:3">
      <c r="A471" s="6">
        <v>31809</v>
      </c>
      <c r="B471" s="5">
        <v>0</v>
      </c>
      <c r="C471" s="5">
        <v>50</v>
      </c>
    </row>
    <row r="472" spans="1:3">
      <c r="A472" s="13">
        <v>31837</v>
      </c>
      <c r="B472" s="5">
        <v>0</v>
      </c>
      <c r="C472" s="5">
        <v>50</v>
      </c>
    </row>
    <row r="473" spans="1:3">
      <c r="A473" s="6">
        <v>31868</v>
      </c>
      <c r="B473" s="5">
        <v>0</v>
      </c>
      <c r="C473" s="5">
        <v>50</v>
      </c>
    </row>
    <row r="474" spans="1:3">
      <c r="A474" s="13">
        <v>31898</v>
      </c>
      <c r="B474" s="5">
        <v>0</v>
      </c>
      <c r="C474" s="5">
        <v>50</v>
      </c>
    </row>
    <row r="475" spans="1:3">
      <c r="A475" s="6">
        <v>31929</v>
      </c>
      <c r="B475" s="5">
        <v>0</v>
      </c>
      <c r="C475" s="5">
        <v>50</v>
      </c>
    </row>
    <row r="476" spans="1:3">
      <c r="A476" s="13">
        <v>31959</v>
      </c>
      <c r="B476" s="5">
        <v>0</v>
      </c>
      <c r="C476" s="5">
        <v>50</v>
      </c>
    </row>
    <row r="477" spans="1:3">
      <c r="A477" s="6">
        <v>31990</v>
      </c>
      <c r="B477" s="5">
        <v>0</v>
      </c>
      <c r="C477" s="5">
        <v>50</v>
      </c>
    </row>
    <row r="478" spans="1:3">
      <c r="A478" s="13">
        <v>32021</v>
      </c>
      <c r="B478" s="5">
        <v>0</v>
      </c>
      <c r="C478" s="5">
        <v>50</v>
      </c>
    </row>
    <row r="479" spans="1:3">
      <c r="A479" s="6">
        <v>32051</v>
      </c>
      <c r="B479" s="5">
        <v>0</v>
      </c>
      <c r="C479" s="5">
        <v>50</v>
      </c>
    </row>
    <row r="480" spans="1:3">
      <c r="A480" s="13">
        <v>32082</v>
      </c>
      <c r="B480" s="5">
        <v>0</v>
      </c>
      <c r="C480" s="5">
        <v>50</v>
      </c>
    </row>
    <row r="481" spans="1:3">
      <c r="A481" s="6">
        <v>32112</v>
      </c>
      <c r="B481" s="5">
        <v>0</v>
      </c>
      <c r="C481" s="5">
        <v>50</v>
      </c>
    </row>
    <row r="482" spans="1:3">
      <c r="A482" s="13">
        <v>32143</v>
      </c>
      <c r="B482" s="5">
        <v>0</v>
      </c>
      <c r="C482" s="5">
        <v>50</v>
      </c>
    </row>
    <row r="483" spans="1:3">
      <c r="A483" s="6">
        <v>32174</v>
      </c>
      <c r="B483" s="5">
        <v>0</v>
      </c>
      <c r="C483" s="5">
        <v>50</v>
      </c>
    </row>
    <row r="484" spans="1:3">
      <c r="A484" s="13">
        <v>32203</v>
      </c>
      <c r="B484" s="5">
        <v>0</v>
      </c>
      <c r="C484" s="5">
        <v>50</v>
      </c>
    </row>
    <row r="485" spans="1:3">
      <c r="A485" s="6">
        <v>32234</v>
      </c>
      <c r="B485" s="5">
        <v>0</v>
      </c>
      <c r="C485" s="5">
        <v>50</v>
      </c>
    </row>
    <row r="486" spans="1:3">
      <c r="A486" s="13">
        <v>32264</v>
      </c>
      <c r="B486" s="5">
        <v>0</v>
      </c>
      <c r="C486" s="5">
        <v>50</v>
      </c>
    </row>
    <row r="487" spans="1:3">
      <c r="A487" s="6">
        <v>32295</v>
      </c>
      <c r="B487" s="5">
        <v>0</v>
      </c>
      <c r="C487" s="5">
        <v>50</v>
      </c>
    </row>
    <row r="488" spans="1:3">
      <c r="A488" s="13">
        <v>32325</v>
      </c>
      <c r="B488" s="5">
        <v>0</v>
      </c>
      <c r="C488" s="5">
        <v>50</v>
      </c>
    </row>
    <row r="489" spans="1:3">
      <c r="A489" s="6">
        <v>32356</v>
      </c>
      <c r="B489" s="5">
        <v>0</v>
      </c>
      <c r="C489" s="5">
        <v>50</v>
      </c>
    </row>
    <row r="490" spans="1:3">
      <c r="A490" s="13">
        <v>32387</v>
      </c>
      <c r="B490" s="5">
        <v>0</v>
      </c>
      <c r="C490" s="5">
        <v>50</v>
      </c>
    </row>
    <row r="491" spans="1:3">
      <c r="A491" s="6">
        <v>32417</v>
      </c>
      <c r="B491" s="5">
        <v>0</v>
      </c>
      <c r="C491" s="5">
        <v>50</v>
      </c>
    </row>
    <row r="492" spans="1:3">
      <c r="A492" s="13">
        <v>32448</v>
      </c>
      <c r="B492" s="5">
        <v>0</v>
      </c>
      <c r="C492" s="5">
        <v>50</v>
      </c>
    </row>
    <row r="493" spans="1:3">
      <c r="A493" s="6">
        <v>32478</v>
      </c>
      <c r="B493" s="5">
        <v>0</v>
      </c>
      <c r="C493" s="5">
        <v>50</v>
      </c>
    </row>
    <row r="494" spans="1:3">
      <c r="A494" s="13">
        <v>32509</v>
      </c>
      <c r="B494" s="5">
        <v>0</v>
      </c>
      <c r="C494" s="5">
        <v>50</v>
      </c>
    </row>
    <row r="495" spans="1:3">
      <c r="A495" s="6">
        <v>32540</v>
      </c>
      <c r="B495" s="5">
        <v>0</v>
      </c>
      <c r="C495" s="5">
        <v>50</v>
      </c>
    </row>
    <row r="496" spans="1:3">
      <c r="A496" s="13">
        <v>32568</v>
      </c>
      <c r="B496" s="5">
        <v>0</v>
      </c>
      <c r="C496" s="5">
        <v>50</v>
      </c>
    </row>
    <row r="497" spans="1:3">
      <c r="A497" s="6">
        <v>32599</v>
      </c>
      <c r="B497" s="5">
        <v>0</v>
      </c>
      <c r="C497" s="5">
        <v>50</v>
      </c>
    </row>
    <row r="498" spans="1:3">
      <c r="A498" s="13">
        <v>32629</v>
      </c>
      <c r="B498" s="5">
        <v>0</v>
      </c>
      <c r="C498" s="5">
        <v>50</v>
      </c>
    </row>
    <row r="499" spans="1:3">
      <c r="A499" s="6">
        <v>32660</v>
      </c>
      <c r="B499" s="5">
        <v>0</v>
      </c>
      <c r="C499" s="5">
        <v>50</v>
      </c>
    </row>
    <row r="500" spans="1:3">
      <c r="A500" s="13">
        <v>32690</v>
      </c>
      <c r="B500" s="5">
        <v>0</v>
      </c>
      <c r="C500" s="5">
        <v>50</v>
      </c>
    </row>
    <row r="501" spans="1:3">
      <c r="A501" s="6">
        <v>32721</v>
      </c>
      <c r="B501" s="5">
        <v>0</v>
      </c>
      <c r="C501" s="5">
        <v>50</v>
      </c>
    </row>
    <row r="502" spans="1:3">
      <c r="A502" s="13">
        <v>32752</v>
      </c>
      <c r="B502" s="5">
        <v>0</v>
      </c>
      <c r="C502" s="5">
        <v>50</v>
      </c>
    </row>
    <row r="503" spans="1:3">
      <c r="A503" s="6">
        <v>32782</v>
      </c>
      <c r="B503" s="5">
        <v>0</v>
      </c>
      <c r="C503" s="5">
        <v>50</v>
      </c>
    </row>
    <row r="504" spans="1:3">
      <c r="A504" s="13">
        <v>32813</v>
      </c>
      <c r="B504" s="5">
        <v>0</v>
      </c>
      <c r="C504" s="5">
        <v>50</v>
      </c>
    </row>
    <row r="505" spans="1:3">
      <c r="A505" s="6">
        <v>32843</v>
      </c>
      <c r="B505" s="5">
        <v>0</v>
      </c>
      <c r="C505" s="5">
        <v>50</v>
      </c>
    </row>
    <row r="506" spans="1:3">
      <c r="A506" s="13">
        <v>32874</v>
      </c>
      <c r="B506" s="5">
        <v>0</v>
      </c>
      <c r="C506" s="5">
        <v>50</v>
      </c>
    </row>
    <row r="507" spans="1:3">
      <c r="A507" s="6">
        <v>32905</v>
      </c>
      <c r="B507" s="5">
        <v>0</v>
      </c>
      <c r="C507" s="5">
        <v>50</v>
      </c>
    </row>
    <row r="508" spans="1:3">
      <c r="A508" s="13">
        <v>32933</v>
      </c>
      <c r="B508" s="5">
        <v>0</v>
      </c>
      <c r="C508" s="5">
        <v>50</v>
      </c>
    </row>
    <row r="509" spans="1:3">
      <c r="A509" s="6">
        <v>32964</v>
      </c>
      <c r="B509" s="5">
        <v>0</v>
      </c>
      <c r="C509" s="5">
        <v>50</v>
      </c>
    </row>
    <row r="510" spans="1:3">
      <c r="A510" s="13">
        <v>32994</v>
      </c>
      <c r="B510" s="5">
        <v>0</v>
      </c>
      <c r="C510" s="5">
        <v>50</v>
      </c>
    </row>
    <row r="511" spans="1:3">
      <c r="A511" s="6">
        <v>33025</v>
      </c>
      <c r="B511" s="5">
        <v>0</v>
      </c>
      <c r="C511" s="5">
        <v>50</v>
      </c>
    </row>
    <row r="512" spans="1:3">
      <c r="A512" s="13">
        <v>33055</v>
      </c>
      <c r="B512" s="5">
        <v>1</v>
      </c>
      <c r="C512" s="5">
        <v>50</v>
      </c>
    </row>
    <row r="513" spans="1:3">
      <c r="A513" s="6">
        <v>33086</v>
      </c>
      <c r="B513" s="5">
        <v>1</v>
      </c>
      <c r="C513" s="5">
        <v>50</v>
      </c>
    </row>
    <row r="514" spans="1:3">
      <c r="A514" s="13">
        <v>33117</v>
      </c>
      <c r="B514" s="5">
        <v>1</v>
      </c>
      <c r="C514" s="5">
        <v>50</v>
      </c>
    </row>
    <row r="515" spans="1:3">
      <c r="A515" s="6">
        <v>33147</v>
      </c>
      <c r="B515" s="5">
        <v>1</v>
      </c>
      <c r="C515" s="5">
        <v>50</v>
      </c>
    </row>
    <row r="516" spans="1:3">
      <c r="A516" s="13">
        <v>33178</v>
      </c>
      <c r="B516" s="5">
        <v>1</v>
      </c>
      <c r="C516" s="5">
        <v>50</v>
      </c>
    </row>
    <row r="517" spans="1:3">
      <c r="A517" s="6">
        <v>33208</v>
      </c>
      <c r="B517" s="5">
        <v>1</v>
      </c>
      <c r="C517" s="5">
        <v>50</v>
      </c>
    </row>
    <row r="518" spans="1:3">
      <c r="A518" s="13">
        <v>33239</v>
      </c>
      <c r="B518" s="5">
        <v>1</v>
      </c>
      <c r="C518" s="5">
        <v>50</v>
      </c>
    </row>
    <row r="519" spans="1:3">
      <c r="A519" s="6">
        <v>33270</v>
      </c>
      <c r="B519" s="5">
        <v>1</v>
      </c>
      <c r="C519" s="5">
        <v>50</v>
      </c>
    </row>
    <row r="520" spans="1:3">
      <c r="A520" s="13">
        <v>33298</v>
      </c>
      <c r="B520" s="5">
        <v>1</v>
      </c>
      <c r="C520" s="5">
        <v>50</v>
      </c>
    </row>
    <row r="521" spans="1:3">
      <c r="A521" s="6">
        <v>33329</v>
      </c>
      <c r="B521" s="5">
        <v>0</v>
      </c>
      <c r="C521" s="5">
        <v>50</v>
      </c>
    </row>
    <row r="522" spans="1:3">
      <c r="A522" s="13">
        <v>33359</v>
      </c>
      <c r="B522" s="5">
        <v>0</v>
      </c>
      <c r="C522" s="5">
        <v>50</v>
      </c>
    </row>
    <row r="523" spans="1:3">
      <c r="A523" s="6">
        <v>33390</v>
      </c>
      <c r="B523" s="5">
        <v>0</v>
      </c>
      <c r="C523" s="5">
        <v>50</v>
      </c>
    </row>
    <row r="524" spans="1:3">
      <c r="A524" s="13">
        <v>33420</v>
      </c>
      <c r="B524" s="5">
        <v>0</v>
      </c>
      <c r="C524" s="5">
        <v>50</v>
      </c>
    </row>
    <row r="525" spans="1:3">
      <c r="A525" s="6">
        <v>33451</v>
      </c>
      <c r="B525" s="5">
        <v>0</v>
      </c>
      <c r="C525" s="5">
        <v>50</v>
      </c>
    </row>
    <row r="526" spans="1:3">
      <c r="A526" s="13">
        <v>33482</v>
      </c>
      <c r="B526" s="5">
        <v>0</v>
      </c>
      <c r="C526" s="5">
        <v>50</v>
      </c>
    </row>
    <row r="527" spans="1:3">
      <c r="A527" s="6">
        <v>33512</v>
      </c>
      <c r="B527" s="5">
        <v>0</v>
      </c>
      <c r="C527" s="5">
        <v>50</v>
      </c>
    </row>
    <row r="528" spans="1:3">
      <c r="A528" s="13">
        <v>33543</v>
      </c>
      <c r="B528" s="5">
        <v>0</v>
      </c>
      <c r="C528" s="5">
        <v>50</v>
      </c>
    </row>
    <row r="529" spans="1:3">
      <c r="A529" s="6">
        <v>33573</v>
      </c>
      <c r="B529" s="5">
        <v>0</v>
      </c>
      <c r="C529" s="5">
        <v>50</v>
      </c>
    </row>
    <row r="530" spans="1:3">
      <c r="A530" s="13">
        <v>33604</v>
      </c>
      <c r="B530" s="5">
        <v>0</v>
      </c>
      <c r="C530" s="5">
        <v>50</v>
      </c>
    </row>
    <row r="531" spans="1:3">
      <c r="A531" s="6">
        <v>33635</v>
      </c>
      <c r="B531" s="5">
        <v>0</v>
      </c>
      <c r="C531" s="5">
        <v>50</v>
      </c>
    </row>
    <row r="532" spans="1:3">
      <c r="A532" s="13">
        <v>33664</v>
      </c>
      <c r="B532" s="5">
        <v>0</v>
      </c>
      <c r="C532" s="5">
        <v>50</v>
      </c>
    </row>
    <row r="533" spans="1:3">
      <c r="A533" s="6">
        <v>33695</v>
      </c>
      <c r="B533" s="5">
        <v>0</v>
      </c>
      <c r="C533" s="5">
        <v>50</v>
      </c>
    </row>
    <row r="534" spans="1:3">
      <c r="A534" s="13">
        <v>33725</v>
      </c>
      <c r="B534" s="5">
        <v>0</v>
      </c>
      <c r="C534" s="5">
        <v>50</v>
      </c>
    </row>
    <row r="535" spans="1:3">
      <c r="A535" s="6">
        <v>33756</v>
      </c>
      <c r="B535" s="5">
        <v>0</v>
      </c>
      <c r="C535" s="5">
        <v>50</v>
      </c>
    </row>
    <row r="536" spans="1:3">
      <c r="A536" s="13">
        <v>33786</v>
      </c>
      <c r="B536" s="5">
        <v>0</v>
      </c>
      <c r="C536" s="5">
        <v>50</v>
      </c>
    </row>
    <row r="537" spans="1:3">
      <c r="A537" s="6">
        <v>33817</v>
      </c>
      <c r="B537" s="5">
        <v>0</v>
      </c>
      <c r="C537" s="5">
        <v>50</v>
      </c>
    </row>
    <row r="538" spans="1:3">
      <c r="A538" s="13">
        <v>33848</v>
      </c>
      <c r="B538" s="5">
        <v>0</v>
      </c>
      <c r="C538" s="5">
        <v>50</v>
      </c>
    </row>
    <row r="539" spans="1:3">
      <c r="A539" s="6">
        <v>33878</v>
      </c>
      <c r="B539" s="5">
        <v>0</v>
      </c>
      <c r="C539" s="5">
        <v>50</v>
      </c>
    </row>
    <row r="540" spans="1:3">
      <c r="A540" s="13">
        <v>33909</v>
      </c>
      <c r="B540" s="5">
        <v>0</v>
      </c>
      <c r="C540" s="5">
        <v>50</v>
      </c>
    </row>
    <row r="541" spans="1:3">
      <c r="A541" s="6">
        <v>33939</v>
      </c>
      <c r="B541" s="5">
        <v>0</v>
      </c>
      <c r="C541" s="5">
        <v>50</v>
      </c>
    </row>
    <row r="542" spans="1:3">
      <c r="A542" s="13">
        <v>33970</v>
      </c>
      <c r="B542" s="5">
        <v>0</v>
      </c>
      <c r="C542" s="5">
        <v>50</v>
      </c>
    </row>
    <row r="543" spans="1:3">
      <c r="A543" s="6">
        <v>34001</v>
      </c>
      <c r="B543" s="5">
        <v>0</v>
      </c>
      <c r="C543" s="5">
        <v>50</v>
      </c>
    </row>
    <row r="544" spans="1:3">
      <c r="A544" s="13">
        <v>34029</v>
      </c>
      <c r="B544" s="5">
        <v>0</v>
      </c>
      <c r="C544" s="5">
        <v>50</v>
      </c>
    </row>
    <row r="545" spans="1:3">
      <c r="A545" s="6">
        <v>34060</v>
      </c>
      <c r="B545" s="5">
        <v>0</v>
      </c>
      <c r="C545" s="5">
        <v>50</v>
      </c>
    </row>
    <row r="546" spans="1:3">
      <c r="A546" s="13">
        <v>34090</v>
      </c>
      <c r="B546" s="5">
        <v>0</v>
      </c>
      <c r="C546" s="5">
        <v>50</v>
      </c>
    </row>
    <row r="547" spans="1:3">
      <c r="A547" s="6">
        <v>34121</v>
      </c>
      <c r="B547" s="5">
        <v>0</v>
      </c>
      <c r="C547" s="5">
        <v>50</v>
      </c>
    </row>
    <row r="548" spans="1:3">
      <c r="A548" s="13">
        <v>34151</v>
      </c>
      <c r="B548" s="5">
        <v>0</v>
      </c>
      <c r="C548" s="5">
        <v>50</v>
      </c>
    </row>
    <row r="549" spans="1:3">
      <c r="A549" s="6">
        <v>34182</v>
      </c>
      <c r="B549" s="5">
        <v>0</v>
      </c>
      <c r="C549" s="5">
        <v>50</v>
      </c>
    </row>
    <row r="550" spans="1:3">
      <c r="A550" s="13">
        <v>34213</v>
      </c>
      <c r="B550" s="5">
        <v>0</v>
      </c>
      <c r="C550" s="5">
        <v>50</v>
      </c>
    </row>
    <row r="551" spans="1:3">
      <c r="A551" s="6">
        <v>34243</v>
      </c>
      <c r="B551" s="5">
        <v>0</v>
      </c>
      <c r="C551" s="5">
        <v>50</v>
      </c>
    </row>
    <row r="552" spans="1:3">
      <c r="A552" s="13">
        <v>34274</v>
      </c>
      <c r="B552" s="5">
        <v>0</v>
      </c>
      <c r="C552" s="5">
        <v>50</v>
      </c>
    </row>
    <row r="553" spans="1:3">
      <c r="A553" s="6">
        <v>34304</v>
      </c>
      <c r="B553" s="5">
        <v>0</v>
      </c>
      <c r="C553" s="5">
        <v>50</v>
      </c>
    </row>
    <row r="554" spans="1:3">
      <c r="A554" s="13">
        <v>34335</v>
      </c>
      <c r="B554" s="5">
        <v>0</v>
      </c>
      <c r="C554" s="5">
        <v>50</v>
      </c>
    </row>
    <row r="555" spans="1:3">
      <c r="A555" s="6">
        <v>34366</v>
      </c>
      <c r="B555" s="5">
        <v>0</v>
      </c>
      <c r="C555" s="5">
        <v>50</v>
      </c>
    </row>
    <row r="556" spans="1:3">
      <c r="A556" s="13">
        <v>34394</v>
      </c>
      <c r="B556" s="5">
        <v>0</v>
      </c>
      <c r="C556" s="5">
        <v>50</v>
      </c>
    </row>
    <row r="557" spans="1:3">
      <c r="A557" s="6">
        <v>34425</v>
      </c>
      <c r="B557" s="5">
        <v>0</v>
      </c>
      <c r="C557" s="5">
        <v>50</v>
      </c>
    </row>
    <row r="558" spans="1:3">
      <c r="A558" s="13">
        <v>34455</v>
      </c>
      <c r="B558" s="5">
        <v>0</v>
      </c>
      <c r="C558" s="5">
        <v>50</v>
      </c>
    </row>
    <row r="559" spans="1:3">
      <c r="A559" s="6">
        <v>34486</v>
      </c>
      <c r="B559" s="5">
        <v>0</v>
      </c>
      <c r="C559" s="5">
        <v>50</v>
      </c>
    </row>
    <row r="560" spans="1:3">
      <c r="A560" s="13">
        <v>34516</v>
      </c>
      <c r="B560" s="5">
        <v>0</v>
      </c>
      <c r="C560" s="5">
        <v>50</v>
      </c>
    </row>
    <row r="561" spans="1:3">
      <c r="A561" s="6">
        <v>34547</v>
      </c>
      <c r="B561" s="5">
        <v>0</v>
      </c>
      <c r="C561" s="5">
        <v>50</v>
      </c>
    </row>
    <row r="562" spans="1:3">
      <c r="A562" s="13">
        <v>34578</v>
      </c>
      <c r="B562" s="5">
        <v>0</v>
      </c>
      <c r="C562" s="5">
        <v>50</v>
      </c>
    </row>
    <row r="563" spans="1:3">
      <c r="A563" s="6">
        <v>34608</v>
      </c>
      <c r="B563" s="5">
        <v>0</v>
      </c>
      <c r="C563" s="5">
        <v>50</v>
      </c>
    </row>
    <row r="564" spans="1:3">
      <c r="A564" s="13">
        <v>34639</v>
      </c>
      <c r="B564" s="5">
        <v>0</v>
      </c>
      <c r="C564" s="5">
        <v>50</v>
      </c>
    </row>
    <row r="565" spans="1:3">
      <c r="A565" s="6">
        <v>34669</v>
      </c>
      <c r="B565" s="5">
        <v>0</v>
      </c>
      <c r="C565" s="5">
        <v>50</v>
      </c>
    </row>
    <row r="566" spans="1:3">
      <c r="A566" s="13">
        <v>34700</v>
      </c>
      <c r="B566" s="5">
        <v>0</v>
      </c>
      <c r="C566" s="5">
        <v>50</v>
      </c>
    </row>
    <row r="567" spans="1:3">
      <c r="A567" s="6">
        <v>34731</v>
      </c>
      <c r="B567" s="5">
        <v>0</v>
      </c>
      <c r="C567" s="5">
        <v>50</v>
      </c>
    </row>
    <row r="568" spans="1:3">
      <c r="A568" s="13">
        <v>34759</v>
      </c>
      <c r="B568" s="5">
        <v>0</v>
      </c>
      <c r="C568" s="5">
        <v>50</v>
      </c>
    </row>
    <row r="569" spans="1:3">
      <c r="A569" s="6">
        <v>34790</v>
      </c>
      <c r="B569" s="5">
        <v>0</v>
      </c>
      <c r="C569" s="5">
        <v>50</v>
      </c>
    </row>
    <row r="570" spans="1:3">
      <c r="A570" s="13">
        <v>34820</v>
      </c>
      <c r="B570" s="5">
        <v>0</v>
      </c>
      <c r="C570" s="5">
        <v>50</v>
      </c>
    </row>
    <row r="571" spans="1:3">
      <c r="A571" s="6">
        <v>34851</v>
      </c>
      <c r="B571" s="5">
        <v>0</v>
      </c>
      <c r="C571" s="5">
        <v>50</v>
      </c>
    </row>
    <row r="572" spans="1:3">
      <c r="A572" s="13">
        <v>34881</v>
      </c>
      <c r="B572" s="5">
        <v>0</v>
      </c>
      <c r="C572" s="5">
        <v>50</v>
      </c>
    </row>
    <row r="573" spans="1:3">
      <c r="A573" s="6">
        <v>34912</v>
      </c>
      <c r="B573" s="5">
        <v>0</v>
      </c>
      <c r="C573" s="5">
        <v>50</v>
      </c>
    </row>
    <row r="574" spans="1:3">
      <c r="A574" s="13">
        <v>34943</v>
      </c>
      <c r="B574" s="5">
        <v>0</v>
      </c>
      <c r="C574" s="5">
        <v>50</v>
      </c>
    </row>
    <row r="575" spans="1:3">
      <c r="A575" s="6">
        <v>34973</v>
      </c>
      <c r="B575" s="5">
        <v>0</v>
      </c>
      <c r="C575" s="5">
        <v>50</v>
      </c>
    </row>
    <row r="576" spans="1:3">
      <c r="A576" s="13">
        <v>35004</v>
      </c>
      <c r="B576" s="5">
        <v>0</v>
      </c>
      <c r="C576" s="5">
        <v>50</v>
      </c>
    </row>
    <row r="577" spans="1:3">
      <c r="A577" s="6">
        <v>35034</v>
      </c>
      <c r="B577" s="5">
        <v>0</v>
      </c>
      <c r="C577" s="5">
        <v>50</v>
      </c>
    </row>
    <row r="578" spans="1:3">
      <c r="A578" s="13">
        <v>35065</v>
      </c>
      <c r="B578" s="5">
        <v>0</v>
      </c>
      <c r="C578" s="5">
        <v>50</v>
      </c>
    </row>
    <row r="579" spans="1:3">
      <c r="A579" s="6">
        <v>35096</v>
      </c>
      <c r="B579" s="5">
        <v>0</v>
      </c>
      <c r="C579" s="5">
        <v>50</v>
      </c>
    </row>
    <row r="580" spans="1:3">
      <c r="A580" s="13">
        <v>35125</v>
      </c>
      <c r="B580" s="5">
        <v>0</v>
      </c>
      <c r="C580" s="5">
        <v>50</v>
      </c>
    </row>
    <row r="581" spans="1:3">
      <c r="A581" s="6">
        <v>35156</v>
      </c>
      <c r="B581" s="5">
        <v>0</v>
      </c>
      <c r="C581" s="5">
        <v>50</v>
      </c>
    </row>
    <row r="582" spans="1:3">
      <c r="A582" s="13">
        <v>35186</v>
      </c>
      <c r="B582" s="5">
        <v>0</v>
      </c>
      <c r="C582" s="5">
        <v>50</v>
      </c>
    </row>
    <row r="583" spans="1:3">
      <c r="A583" s="6">
        <v>35217</v>
      </c>
      <c r="B583" s="5">
        <v>0</v>
      </c>
      <c r="C583" s="5">
        <v>50</v>
      </c>
    </row>
    <row r="584" spans="1:3">
      <c r="A584" s="13">
        <v>35247</v>
      </c>
      <c r="B584" s="5">
        <v>0</v>
      </c>
      <c r="C584" s="5">
        <v>50</v>
      </c>
    </row>
    <row r="585" spans="1:3">
      <c r="A585" s="6">
        <v>35278</v>
      </c>
      <c r="B585" s="5">
        <v>0</v>
      </c>
      <c r="C585" s="5">
        <v>50</v>
      </c>
    </row>
    <row r="586" spans="1:3">
      <c r="A586" s="13">
        <v>35309</v>
      </c>
      <c r="B586" s="5">
        <v>0</v>
      </c>
      <c r="C586" s="5">
        <v>50</v>
      </c>
    </row>
    <row r="587" spans="1:3">
      <c r="A587" s="6">
        <v>35339</v>
      </c>
      <c r="B587" s="5">
        <v>0</v>
      </c>
      <c r="C587" s="5">
        <v>50</v>
      </c>
    </row>
    <row r="588" spans="1:3">
      <c r="A588" s="13">
        <v>35370</v>
      </c>
      <c r="B588" s="5">
        <v>0</v>
      </c>
      <c r="C588" s="5">
        <v>50</v>
      </c>
    </row>
    <row r="589" spans="1:3">
      <c r="A589" s="6">
        <v>35400</v>
      </c>
      <c r="B589" s="5">
        <v>0</v>
      </c>
      <c r="C589" s="5">
        <v>50</v>
      </c>
    </row>
    <row r="590" spans="1:3">
      <c r="A590" s="13">
        <v>35431</v>
      </c>
      <c r="B590" s="5">
        <v>0</v>
      </c>
      <c r="C590" s="5">
        <v>50</v>
      </c>
    </row>
    <row r="591" spans="1:3">
      <c r="A591" s="6">
        <v>35462</v>
      </c>
      <c r="B591" s="5">
        <v>0</v>
      </c>
      <c r="C591" s="5">
        <v>50</v>
      </c>
    </row>
    <row r="592" spans="1:3">
      <c r="A592" s="13">
        <v>35490</v>
      </c>
      <c r="B592" s="5">
        <v>0</v>
      </c>
      <c r="C592" s="5">
        <v>50</v>
      </c>
    </row>
    <row r="593" spans="1:3">
      <c r="A593" s="6">
        <v>35521</v>
      </c>
      <c r="B593" s="5">
        <v>0</v>
      </c>
      <c r="C593" s="5">
        <v>50</v>
      </c>
    </row>
    <row r="594" spans="1:3">
      <c r="A594" s="13">
        <v>35551</v>
      </c>
      <c r="B594" s="5">
        <v>0</v>
      </c>
      <c r="C594" s="5">
        <v>50</v>
      </c>
    </row>
    <row r="595" spans="1:3">
      <c r="A595" s="6">
        <v>35582</v>
      </c>
      <c r="B595" s="5">
        <v>0</v>
      </c>
      <c r="C595" s="5">
        <v>50</v>
      </c>
    </row>
    <row r="596" spans="1:3">
      <c r="A596" s="13">
        <v>35612</v>
      </c>
      <c r="B596" s="5">
        <v>0</v>
      </c>
      <c r="C596" s="5">
        <v>50</v>
      </c>
    </row>
    <row r="597" spans="1:3">
      <c r="A597" s="6">
        <v>35643</v>
      </c>
      <c r="B597" s="5">
        <v>0</v>
      </c>
      <c r="C597" s="5">
        <v>50</v>
      </c>
    </row>
    <row r="598" spans="1:3">
      <c r="A598" s="13">
        <v>35674</v>
      </c>
      <c r="B598" s="5">
        <v>0</v>
      </c>
      <c r="C598" s="5">
        <v>50</v>
      </c>
    </row>
    <row r="599" spans="1:3">
      <c r="A599" s="6">
        <v>35704</v>
      </c>
      <c r="B599" s="5">
        <v>0</v>
      </c>
      <c r="C599" s="5">
        <v>50</v>
      </c>
    </row>
    <row r="600" spans="1:3">
      <c r="A600" s="13">
        <v>35735</v>
      </c>
      <c r="B600" s="5">
        <v>0</v>
      </c>
      <c r="C600" s="5">
        <v>50</v>
      </c>
    </row>
    <row r="601" spans="1:3">
      <c r="A601" s="6">
        <v>35765</v>
      </c>
      <c r="B601" s="5">
        <v>0</v>
      </c>
      <c r="C601" s="5">
        <v>50</v>
      </c>
    </row>
    <row r="602" spans="1:3">
      <c r="A602" s="13">
        <v>35796</v>
      </c>
      <c r="B602" s="5">
        <v>0</v>
      </c>
      <c r="C602" s="5">
        <v>50</v>
      </c>
    </row>
    <row r="603" spans="1:3">
      <c r="A603" s="6">
        <v>35827</v>
      </c>
      <c r="B603" s="5">
        <v>0</v>
      </c>
      <c r="C603" s="5">
        <v>50</v>
      </c>
    </row>
    <row r="604" spans="1:3">
      <c r="A604" s="13">
        <v>35855</v>
      </c>
      <c r="B604" s="5">
        <v>0</v>
      </c>
      <c r="C604" s="5">
        <v>50</v>
      </c>
    </row>
    <row r="605" spans="1:3">
      <c r="A605" s="6">
        <v>35886</v>
      </c>
      <c r="B605" s="5">
        <v>0</v>
      </c>
      <c r="C605" s="5">
        <v>50</v>
      </c>
    </row>
    <row r="606" spans="1:3">
      <c r="A606" s="13">
        <v>35916</v>
      </c>
      <c r="B606" s="5">
        <v>0</v>
      </c>
      <c r="C606" s="5">
        <v>50</v>
      </c>
    </row>
    <row r="607" spans="1:3">
      <c r="A607" s="6">
        <v>35947</v>
      </c>
      <c r="B607" s="5">
        <v>0</v>
      </c>
      <c r="C607" s="5">
        <v>50</v>
      </c>
    </row>
    <row r="608" spans="1:3">
      <c r="A608" s="13">
        <v>35977</v>
      </c>
      <c r="B608" s="5">
        <v>0</v>
      </c>
      <c r="C608" s="5">
        <v>50</v>
      </c>
    </row>
    <row r="609" spans="1:3">
      <c r="A609" s="6">
        <v>36008</v>
      </c>
      <c r="B609" s="5">
        <v>0</v>
      </c>
      <c r="C609" s="5">
        <v>50</v>
      </c>
    </row>
    <row r="610" spans="1:3">
      <c r="A610" s="13">
        <v>36039</v>
      </c>
      <c r="B610" s="5">
        <v>0</v>
      </c>
      <c r="C610" s="5">
        <v>50</v>
      </c>
    </row>
    <row r="611" spans="1:3">
      <c r="A611" s="6">
        <v>36069</v>
      </c>
      <c r="B611" s="5">
        <v>0</v>
      </c>
      <c r="C611" s="5">
        <v>50</v>
      </c>
    </row>
    <row r="612" spans="1:3">
      <c r="A612" s="13">
        <v>36100</v>
      </c>
      <c r="B612" s="5">
        <v>0</v>
      </c>
      <c r="C612" s="5">
        <v>50</v>
      </c>
    </row>
    <row r="613" spans="1:3">
      <c r="A613" s="6">
        <v>36130</v>
      </c>
      <c r="B613" s="5">
        <v>0</v>
      </c>
      <c r="C613" s="5">
        <v>50</v>
      </c>
    </row>
    <row r="614" spans="1:3">
      <c r="A614" s="13">
        <v>36161</v>
      </c>
      <c r="B614" s="5">
        <v>0</v>
      </c>
      <c r="C614" s="5">
        <v>50</v>
      </c>
    </row>
    <row r="615" spans="1:3">
      <c r="A615" s="6">
        <v>36192</v>
      </c>
      <c r="B615" s="5">
        <v>0</v>
      </c>
      <c r="C615" s="5">
        <v>50</v>
      </c>
    </row>
    <row r="616" spans="1:3">
      <c r="A616" s="13">
        <v>36220</v>
      </c>
      <c r="B616" s="5">
        <v>0</v>
      </c>
      <c r="C616" s="5">
        <v>50</v>
      </c>
    </row>
    <row r="617" spans="1:3">
      <c r="A617" s="6">
        <v>36251</v>
      </c>
      <c r="B617" s="5">
        <v>0</v>
      </c>
      <c r="C617" s="5">
        <v>50</v>
      </c>
    </row>
    <row r="618" spans="1:3">
      <c r="A618" s="13">
        <v>36281</v>
      </c>
      <c r="B618" s="5">
        <v>0</v>
      </c>
      <c r="C618" s="5">
        <v>50</v>
      </c>
    </row>
    <row r="619" spans="1:3">
      <c r="A619" s="6">
        <v>36312</v>
      </c>
      <c r="B619" s="5">
        <v>0</v>
      </c>
      <c r="C619" s="5">
        <v>50</v>
      </c>
    </row>
    <row r="620" spans="1:3">
      <c r="A620" s="13">
        <v>36342</v>
      </c>
      <c r="B620" s="5">
        <v>0</v>
      </c>
      <c r="C620" s="5">
        <v>50</v>
      </c>
    </row>
    <row r="621" spans="1:3">
      <c r="A621" s="6">
        <v>36373</v>
      </c>
      <c r="B621" s="5">
        <v>0</v>
      </c>
      <c r="C621" s="5">
        <v>50</v>
      </c>
    </row>
    <row r="622" spans="1:3">
      <c r="A622" s="13">
        <v>36404</v>
      </c>
      <c r="B622" s="5">
        <v>0</v>
      </c>
      <c r="C622" s="5">
        <v>50</v>
      </c>
    </row>
    <row r="623" spans="1:3">
      <c r="A623" s="6">
        <v>36434</v>
      </c>
      <c r="B623" s="5">
        <v>0</v>
      </c>
      <c r="C623" s="5">
        <v>50</v>
      </c>
    </row>
    <row r="624" spans="1:3">
      <c r="A624" s="13">
        <v>36465</v>
      </c>
      <c r="B624" s="5">
        <v>0</v>
      </c>
      <c r="C624" s="5">
        <v>50</v>
      </c>
    </row>
    <row r="625" spans="1:3">
      <c r="A625" s="6">
        <v>36495</v>
      </c>
      <c r="B625" s="5">
        <v>0</v>
      </c>
      <c r="C625" s="5">
        <v>50</v>
      </c>
    </row>
    <row r="626" spans="1:3">
      <c r="A626" s="13">
        <v>36526</v>
      </c>
      <c r="B626" s="5">
        <v>0</v>
      </c>
      <c r="C626" s="5">
        <v>50</v>
      </c>
    </row>
    <row r="627" spans="1:3">
      <c r="A627" s="6">
        <v>36557</v>
      </c>
      <c r="B627" s="5">
        <v>0</v>
      </c>
      <c r="C627" s="5">
        <v>50</v>
      </c>
    </row>
    <row r="628" spans="1:3">
      <c r="A628" s="13">
        <v>36586</v>
      </c>
      <c r="B628" s="5">
        <v>0</v>
      </c>
      <c r="C628" s="5">
        <v>50</v>
      </c>
    </row>
    <row r="629" spans="1:3">
      <c r="A629" s="6">
        <v>36617</v>
      </c>
      <c r="B629" s="5">
        <v>0</v>
      </c>
      <c r="C629" s="5">
        <v>50</v>
      </c>
    </row>
    <row r="630" spans="1:3">
      <c r="A630" s="13">
        <v>36647</v>
      </c>
      <c r="B630" s="5">
        <v>0</v>
      </c>
      <c r="C630" s="5">
        <v>50</v>
      </c>
    </row>
    <row r="631" spans="1:3">
      <c r="A631" s="6">
        <v>36678</v>
      </c>
      <c r="B631" s="5">
        <v>0</v>
      </c>
      <c r="C631" s="5">
        <v>50</v>
      </c>
    </row>
    <row r="632" spans="1:3">
      <c r="A632" s="13">
        <v>36708</v>
      </c>
      <c r="B632" s="5">
        <v>0</v>
      </c>
      <c r="C632" s="5">
        <v>50</v>
      </c>
    </row>
    <row r="633" spans="1:3">
      <c r="A633" s="6">
        <v>36739</v>
      </c>
      <c r="B633" s="5">
        <v>0</v>
      </c>
      <c r="C633" s="5">
        <v>50</v>
      </c>
    </row>
    <row r="634" spans="1:3">
      <c r="A634" s="13">
        <v>36770</v>
      </c>
      <c r="B634" s="5">
        <v>0</v>
      </c>
      <c r="C634" s="5">
        <v>50</v>
      </c>
    </row>
    <row r="635" spans="1:3">
      <c r="A635" s="6">
        <v>36800</v>
      </c>
      <c r="B635" s="5">
        <v>0</v>
      </c>
      <c r="C635" s="5">
        <v>50</v>
      </c>
    </row>
    <row r="636" spans="1:3">
      <c r="A636" s="13">
        <v>36831</v>
      </c>
      <c r="B636" s="5">
        <v>0</v>
      </c>
      <c r="C636" s="5">
        <v>50</v>
      </c>
    </row>
    <row r="637" spans="1:3">
      <c r="A637" s="6">
        <v>36861</v>
      </c>
      <c r="B637" s="5">
        <v>0</v>
      </c>
      <c r="C637" s="5">
        <v>50</v>
      </c>
    </row>
    <row r="638" spans="1:3">
      <c r="A638" s="13">
        <v>36892</v>
      </c>
      <c r="B638" s="5">
        <v>0</v>
      </c>
      <c r="C638" s="5">
        <v>50</v>
      </c>
    </row>
    <row r="639" spans="1:3">
      <c r="A639" s="6">
        <v>36923</v>
      </c>
      <c r="B639" s="5">
        <v>0</v>
      </c>
      <c r="C639" s="5">
        <v>50</v>
      </c>
    </row>
    <row r="640" spans="1:3">
      <c r="A640" s="13">
        <v>36951</v>
      </c>
      <c r="B640" s="5">
        <v>1</v>
      </c>
      <c r="C640" s="5">
        <v>50</v>
      </c>
    </row>
    <row r="641" spans="1:3">
      <c r="A641" s="6">
        <v>36982</v>
      </c>
      <c r="B641" s="5">
        <v>1</v>
      </c>
      <c r="C641" s="5">
        <v>50</v>
      </c>
    </row>
    <row r="642" spans="1:3">
      <c r="A642" s="13">
        <v>37012</v>
      </c>
      <c r="B642" s="5">
        <v>1</v>
      </c>
      <c r="C642" s="5">
        <v>50</v>
      </c>
    </row>
    <row r="643" spans="1:3">
      <c r="A643" s="6">
        <v>37043</v>
      </c>
      <c r="B643" s="5">
        <v>1</v>
      </c>
      <c r="C643" s="5">
        <v>50</v>
      </c>
    </row>
    <row r="644" spans="1:3">
      <c r="A644" s="13">
        <v>37073</v>
      </c>
      <c r="B644" s="5">
        <v>1</v>
      </c>
      <c r="C644" s="5">
        <v>50</v>
      </c>
    </row>
    <row r="645" spans="1:3">
      <c r="A645" s="6">
        <v>37104</v>
      </c>
      <c r="B645" s="5">
        <v>1</v>
      </c>
      <c r="C645" s="5">
        <v>50</v>
      </c>
    </row>
    <row r="646" spans="1:3">
      <c r="A646" s="13">
        <v>37135</v>
      </c>
      <c r="B646" s="5">
        <v>1</v>
      </c>
      <c r="C646" s="5">
        <v>50</v>
      </c>
    </row>
    <row r="647" spans="1:3">
      <c r="A647" s="6">
        <v>37165</v>
      </c>
      <c r="B647" s="5">
        <v>1</v>
      </c>
      <c r="C647" s="5">
        <v>50</v>
      </c>
    </row>
    <row r="648" spans="1:3">
      <c r="A648" s="13">
        <v>37196</v>
      </c>
      <c r="B648" s="5">
        <v>1</v>
      </c>
      <c r="C648" s="5">
        <v>50</v>
      </c>
    </row>
    <row r="649" spans="1:3">
      <c r="A649" s="6">
        <v>37226</v>
      </c>
      <c r="B649" s="5">
        <v>0</v>
      </c>
      <c r="C649" s="5">
        <v>50</v>
      </c>
    </row>
    <row r="650" spans="1:3">
      <c r="A650" s="13">
        <v>37257</v>
      </c>
      <c r="B650" s="5">
        <v>0</v>
      </c>
      <c r="C650" s="5">
        <v>50</v>
      </c>
    </row>
    <row r="651" spans="1:3">
      <c r="A651" s="6">
        <v>37288</v>
      </c>
      <c r="B651" s="5">
        <v>0</v>
      </c>
      <c r="C651" s="5">
        <v>50</v>
      </c>
    </row>
    <row r="652" spans="1:3">
      <c r="A652" s="13">
        <v>37316</v>
      </c>
      <c r="B652" s="5">
        <v>0</v>
      </c>
      <c r="C652" s="5">
        <v>50</v>
      </c>
    </row>
    <row r="653" spans="1:3">
      <c r="A653" s="6">
        <v>37347</v>
      </c>
      <c r="B653" s="5">
        <v>0</v>
      </c>
      <c r="C653" s="5">
        <v>50</v>
      </c>
    </row>
    <row r="654" spans="1:3">
      <c r="A654" s="13">
        <v>37377</v>
      </c>
      <c r="B654" s="5">
        <v>0</v>
      </c>
      <c r="C654" s="5">
        <v>50</v>
      </c>
    </row>
    <row r="655" spans="1:3">
      <c r="A655" s="6">
        <v>37408</v>
      </c>
      <c r="B655" s="5">
        <v>0</v>
      </c>
      <c r="C655" s="5">
        <v>50</v>
      </c>
    </row>
    <row r="656" spans="1:3">
      <c r="A656" s="13">
        <v>37438</v>
      </c>
      <c r="B656" s="5">
        <v>0</v>
      </c>
      <c r="C656" s="5">
        <v>50</v>
      </c>
    </row>
    <row r="657" spans="1:3">
      <c r="A657" s="6">
        <v>37469</v>
      </c>
      <c r="B657" s="5">
        <v>0</v>
      </c>
      <c r="C657" s="5">
        <v>50</v>
      </c>
    </row>
    <row r="658" spans="1:3">
      <c r="A658" s="13">
        <v>37500</v>
      </c>
      <c r="B658" s="5">
        <v>0</v>
      </c>
      <c r="C658" s="5">
        <v>50</v>
      </c>
    </row>
    <row r="659" spans="1:3">
      <c r="A659" s="6">
        <v>37530</v>
      </c>
      <c r="B659" s="5">
        <v>0</v>
      </c>
      <c r="C659" s="5">
        <v>50</v>
      </c>
    </row>
    <row r="660" spans="1:3">
      <c r="A660" s="13">
        <v>37561</v>
      </c>
      <c r="B660" s="5">
        <v>0</v>
      </c>
      <c r="C660" s="5">
        <v>50</v>
      </c>
    </row>
    <row r="661" spans="1:3">
      <c r="A661" s="6">
        <v>37591</v>
      </c>
      <c r="B661" s="5">
        <v>0</v>
      </c>
      <c r="C661" s="5">
        <v>50</v>
      </c>
    </row>
    <row r="662" spans="1:3">
      <c r="A662" s="13">
        <v>37622</v>
      </c>
      <c r="B662" s="5">
        <v>0</v>
      </c>
      <c r="C662" s="5">
        <v>50</v>
      </c>
    </row>
    <row r="663" spans="1:3">
      <c r="A663" s="6">
        <v>37653</v>
      </c>
      <c r="B663" s="5">
        <v>0</v>
      </c>
      <c r="C663" s="5">
        <v>50</v>
      </c>
    </row>
    <row r="664" spans="1:3">
      <c r="A664" s="13">
        <v>37681</v>
      </c>
      <c r="B664" s="5">
        <v>0</v>
      </c>
      <c r="C664" s="5">
        <v>50</v>
      </c>
    </row>
    <row r="665" spans="1:3">
      <c r="A665" s="6">
        <v>37712</v>
      </c>
      <c r="B665" s="5">
        <v>0</v>
      </c>
      <c r="C665" s="5">
        <v>50</v>
      </c>
    </row>
    <row r="666" spans="1:3">
      <c r="A666" s="13">
        <v>37742</v>
      </c>
      <c r="B666" s="5">
        <v>0</v>
      </c>
      <c r="C666" s="5">
        <v>50</v>
      </c>
    </row>
    <row r="667" spans="1:3">
      <c r="A667" s="6">
        <v>37773</v>
      </c>
      <c r="B667" s="5">
        <v>0</v>
      </c>
      <c r="C667" s="5">
        <v>50</v>
      </c>
    </row>
    <row r="668" spans="1:3">
      <c r="A668" s="13">
        <v>37803</v>
      </c>
      <c r="B668" s="5">
        <v>0</v>
      </c>
      <c r="C668" s="5">
        <v>50</v>
      </c>
    </row>
    <row r="669" spans="1:3">
      <c r="A669" s="6">
        <v>37834</v>
      </c>
      <c r="B669" s="5">
        <v>0</v>
      </c>
      <c r="C669" s="5">
        <v>50</v>
      </c>
    </row>
    <row r="670" spans="1:3">
      <c r="A670" s="13">
        <v>37865</v>
      </c>
      <c r="B670" s="5">
        <v>0</v>
      </c>
      <c r="C670" s="5">
        <v>50</v>
      </c>
    </row>
    <row r="671" spans="1:3">
      <c r="A671" s="6">
        <v>37895</v>
      </c>
      <c r="B671" s="5">
        <v>0</v>
      </c>
      <c r="C671" s="5">
        <v>50</v>
      </c>
    </row>
    <row r="672" spans="1:3">
      <c r="A672" s="13">
        <v>37926</v>
      </c>
      <c r="B672" s="5">
        <v>0</v>
      </c>
      <c r="C672" s="5">
        <v>50</v>
      </c>
    </row>
    <row r="673" spans="1:3">
      <c r="A673" s="6">
        <v>37956</v>
      </c>
      <c r="B673" s="5">
        <v>0</v>
      </c>
      <c r="C673" s="5">
        <v>50</v>
      </c>
    </row>
    <row r="674" spans="1:3">
      <c r="A674" s="13">
        <v>37987</v>
      </c>
      <c r="B674" s="5">
        <v>0</v>
      </c>
      <c r="C674" s="5">
        <v>50</v>
      </c>
    </row>
    <row r="675" spans="1:3">
      <c r="A675" s="6">
        <v>38018</v>
      </c>
      <c r="B675" s="5">
        <v>0</v>
      </c>
      <c r="C675" s="5">
        <v>50</v>
      </c>
    </row>
    <row r="676" spans="1:3">
      <c r="A676" s="13">
        <v>38047</v>
      </c>
      <c r="B676" s="5">
        <v>0</v>
      </c>
      <c r="C676" s="5">
        <v>50</v>
      </c>
    </row>
    <row r="677" spans="1:3">
      <c r="A677" s="6">
        <v>38078</v>
      </c>
      <c r="B677" s="5">
        <v>0</v>
      </c>
      <c r="C677" s="5">
        <v>50</v>
      </c>
    </row>
    <row r="678" spans="1:3">
      <c r="A678" s="13">
        <v>38108</v>
      </c>
      <c r="B678" s="5">
        <v>0</v>
      </c>
      <c r="C678" s="5">
        <v>50</v>
      </c>
    </row>
    <row r="679" spans="1:3">
      <c r="A679" s="6">
        <v>38139</v>
      </c>
      <c r="B679" s="5">
        <v>0</v>
      </c>
      <c r="C679" s="5">
        <v>50</v>
      </c>
    </row>
    <row r="680" spans="1:3">
      <c r="A680" s="13">
        <v>38169</v>
      </c>
      <c r="B680" s="5">
        <v>0</v>
      </c>
      <c r="C680" s="5">
        <v>50</v>
      </c>
    </row>
    <row r="681" spans="1:3">
      <c r="A681" s="6">
        <v>38200</v>
      </c>
      <c r="B681" s="5">
        <v>0</v>
      </c>
      <c r="C681" s="5">
        <v>50</v>
      </c>
    </row>
    <row r="682" spans="1:3">
      <c r="A682" s="13">
        <v>38231</v>
      </c>
      <c r="B682" s="5">
        <v>0</v>
      </c>
      <c r="C682" s="5">
        <v>50</v>
      </c>
    </row>
    <row r="683" spans="1:3">
      <c r="A683" s="6">
        <v>38261</v>
      </c>
      <c r="B683" s="5">
        <v>0</v>
      </c>
      <c r="C683" s="5">
        <v>50</v>
      </c>
    </row>
    <row r="684" spans="1:3">
      <c r="A684" s="13">
        <v>38292</v>
      </c>
      <c r="B684" s="5">
        <v>0</v>
      </c>
      <c r="C684" s="5">
        <v>50</v>
      </c>
    </row>
    <row r="685" spans="1:3">
      <c r="A685" s="6">
        <v>38322</v>
      </c>
      <c r="B685" s="5">
        <v>0</v>
      </c>
      <c r="C685" s="5">
        <v>50</v>
      </c>
    </row>
    <row r="686" spans="1:3">
      <c r="A686" s="13">
        <v>38353</v>
      </c>
      <c r="B686" s="5">
        <v>0</v>
      </c>
      <c r="C686" s="5">
        <v>50</v>
      </c>
    </row>
    <row r="687" spans="1:3">
      <c r="A687" s="6">
        <v>38384</v>
      </c>
      <c r="B687" s="5">
        <v>0</v>
      </c>
      <c r="C687" s="5">
        <v>50</v>
      </c>
    </row>
    <row r="688" spans="1:3">
      <c r="A688" s="13">
        <v>38412</v>
      </c>
      <c r="B688" s="5">
        <v>0</v>
      </c>
      <c r="C688" s="5">
        <v>50</v>
      </c>
    </row>
    <row r="689" spans="1:3">
      <c r="A689" s="6">
        <v>38443</v>
      </c>
      <c r="B689" s="5">
        <v>0</v>
      </c>
      <c r="C689" s="5">
        <v>50</v>
      </c>
    </row>
    <row r="690" spans="1:3">
      <c r="A690" s="13">
        <v>38473</v>
      </c>
      <c r="B690" s="5">
        <v>0</v>
      </c>
      <c r="C690" s="5">
        <v>50</v>
      </c>
    </row>
    <row r="691" spans="1:3">
      <c r="A691" s="6">
        <v>38504</v>
      </c>
      <c r="B691" s="5">
        <v>0</v>
      </c>
      <c r="C691" s="5">
        <v>50</v>
      </c>
    </row>
    <row r="692" spans="1:3">
      <c r="A692" s="13">
        <v>38534</v>
      </c>
      <c r="B692" s="5">
        <v>0</v>
      </c>
      <c r="C692" s="5">
        <v>50</v>
      </c>
    </row>
    <row r="693" spans="1:3">
      <c r="A693" s="6">
        <v>38565</v>
      </c>
      <c r="B693" s="5">
        <v>0</v>
      </c>
      <c r="C693" s="5">
        <v>50</v>
      </c>
    </row>
    <row r="694" spans="1:3">
      <c r="A694" s="13">
        <v>38596</v>
      </c>
      <c r="B694" s="5">
        <v>0</v>
      </c>
      <c r="C694" s="5">
        <v>50</v>
      </c>
    </row>
    <row r="695" spans="1:3">
      <c r="A695" s="6">
        <v>38626</v>
      </c>
      <c r="B695" s="5">
        <v>0</v>
      </c>
      <c r="C695" s="5">
        <v>50</v>
      </c>
    </row>
    <row r="696" spans="1:3">
      <c r="A696" s="13">
        <v>38657</v>
      </c>
      <c r="B696" s="5">
        <v>0</v>
      </c>
      <c r="C696" s="5">
        <v>50</v>
      </c>
    </row>
    <row r="697" spans="1:3">
      <c r="A697" s="6">
        <v>38687</v>
      </c>
      <c r="B697" s="5">
        <v>0</v>
      </c>
      <c r="C697" s="5">
        <v>50</v>
      </c>
    </row>
    <row r="698" spans="1:3">
      <c r="A698" s="13">
        <v>38718</v>
      </c>
      <c r="B698" s="5">
        <v>0</v>
      </c>
      <c r="C698" s="5">
        <v>50</v>
      </c>
    </row>
    <row r="699" spans="1:3">
      <c r="A699" s="6">
        <v>38749</v>
      </c>
      <c r="B699" s="5">
        <v>0</v>
      </c>
      <c r="C699" s="5">
        <v>50</v>
      </c>
    </row>
    <row r="700" spans="1:3">
      <c r="A700" s="13">
        <v>38777</v>
      </c>
      <c r="B700" s="5">
        <v>0</v>
      </c>
      <c r="C700" s="5">
        <v>50</v>
      </c>
    </row>
    <row r="701" spans="1:3">
      <c r="A701" s="6">
        <v>38808</v>
      </c>
      <c r="B701" s="5">
        <v>0</v>
      </c>
      <c r="C701" s="5">
        <v>50</v>
      </c>
    </row>
    <row r="702" spans="1:3">
      <c r="A702" s="13">
        <v>38838</v>
      </c>
      <c r="B702" s="5">
        <v>0</v>
      </c>
      <c r="C702" s="5">
        <v>50</v>
      </c>
    </row>
    <row r="703" spans="1:3">
      <c r="A703" s="6">
        <v>38869</v>
      </c>
      <c r="B703" s="5">
        <v>0</v>
      </c>
      <c r="C703" s="5">
        <v>50</v>
      </c>
    </row>
    <row r="704" spans="1:3">
      <c r="A704" s="13">
        <v>38899</v>
      </c>
      <c r="B704" s="5">
        <v>0</v>
      </c>
      <c r="C704" s="5">
        <v>50</v>
      </c>
    </row>
    <row r="705" spans="1:3">
      <c r="A705" s="6">
        <v>38930</v>
      </c>
      <c r="B705" s="5">
        <v>0</v>
      </c>
      <c r="C705" s="5">
        <v>50</v>
      </c>
    </row>
    <row r="706" spans="1:3">
      <c r="A706" s="13">
        <v>38961</v>
      </c>
      <c r="B706" s="5">
        <v>0</v>
      </c>
      <c r="C706" s="5">
        <v>50</v>
      </c>
    </row>
    <row r="707" spans="1:3">
      <c r="A707" s="6">
        <v>38991</v>
      </c>
      <c r="B707" s="5">
        <v>0</v>
      </c>
      <c r="C707" s="5">
        <v>50</v>
      </c>
    </row>
    <row r="708" spans="1:3">
      <c r="A708" s="13">
        <v>39022</v>
      </c>
      <c r="B708" s="5">
        <v>0</v>
      </c>
      <c r="C708" s="5">
        <v>50</v>
      </c>
    </row>
    <row r="709" spans="1:3">
      <c r="A709" s="6">
        <v>39052</v>
      </c>
      <c r="B709" s="5">
        <v>0</v>
      </c>
      <c r="C709" s="5">
        <v>50</v>
      </c>
    </row>
    <row r="710" spans="1:3">
      <c r="A710" s="13">
        <v>39083</v>
      </c>
      <c r="B710" s="5">
        <v>0</v>
      </c>
      <c r="C710" s="5">
        <v>50</v>
      </c>
    </row>
    <row r="711" spans="1:3">
      <c r="A711" s="6">
        <v>39114</v>
      </c>
      <c r="B711" s="5">
        <v>0</v>
      </c>
      <c r="C711" s="5">
        <v>50</v>
      </c>
    </row>
    <row r="712" spans="1:3">
      <c r="A712" s="13">
        <v>39142</v>
      </c>
      <c r="B712" s="5">
        <v>0</v>
      </c>
      <c r="C712" s="5">
        <v>50</v>
      </c>
    </row>
    <row r="713" spans="1:3">
      <c r="A713" s="6">
        <v>39173</v>
      </c>
      <c r="B713" s="5">
        <v>0</v>
      </c>
      <c r="C713" s="5">
        <v>50</v>
      </c>
    </row>
    <row r="714" spans="1:3">
      <c r="A714" s="13">
        <v>39203</v>
      </c>
      <c r="B714" s="5">
        <v>0</v>
      </c>
      <c r="C714" s="5">
        <v>50</v>
      </c>
    </row>
    <row r="715" spans="1:3">
      <c r="A715" s="6">
        <v>39234</v>
      </c>
      <c r="B715" s="5">
        <v>0</v>
      </c>
      <c r="C715" s="5">
        <v>50</v>
      </c>
    </row>
    <row r="716" spans="1:3">
      <c r="A716" s="13">
        <v>39264</v>
      </c>
      <c r="B716" s="5">
        <v>0</v>
      </c>
      <c r="C716" s="5">
        <v>50</v>
      </c>
    </row>
    <row r="717" spans="1:3">
      <c r="A717" s="6">
        <v>39295</v>
      </c>
      <c r="B717" s="5">
        <v>0</v>
      </c>
      <c r="C717" s="5">
        <v>50</v>
      </c>
    </row>
    <row r="718" spans="1:3">
      <c r="A718" s="13">
        <v>39326</v>
      </c>
      <c r="B718" s="5">
        <v>0</v>
      </c>
      <c r="C718" s="5">
        <v>50</v>
      </c>
    </row>
    <row r="719" spans="1:3">
      <c r="A719" s="6">
        <v>39356</v>
      </c>
      <c r="B719" s="5">
        <v>0</v>
      </c>
      <c r="C719" s="5">
        <v>50</v>
      </c>
    </row>
    <row r="720" spans="1:3">
      <c r="A720" s="13">
        <v>39387</v>
      </c>
      <c r="B720" s="5">
        <v>0</v>
      </c>
      <c r="C720" s="5">
        <v>50</v>
      </c>
    </row>
    <row r="721" spans="1:3">
      <c r="A721" s="6">
        <v>39417</v>
      </c>
      <c r="B721" s="5">
        <v>1</v>
      </c>
      <c r="C721" s="5">
        <v>50</v>
      </c>
    </row>
    <row r="722" spans="1:3">
      <c r="A722" s="13">
        <v>39448</v>
      </c>
      <c r="B722" s="5">
        <v>1</v>
      </c>
      <c r="C722" s="5">
        <v>50</v>
      </c>
    </row>
    <row r="723" spans="1:3">
      <c r="A723" s="6">
        <v>39479</v>
      </c>
      <c r="B723" s="5">
        <v>1</v>
      </c>
      <c r="C723" s="5">
        <v>50</v>
      </c>
    </row>
    <row r="724" spans="1:3">
      <c r="A724" s="13">
        <v>39508</v>
      </c>
      <c r="B724" s="5">
        <v>1</v>
      </c>
      <c r="C724" s="5">
        <v>50</v>
      </c>
    </row>
    <row r="725" spans="1:3">
      <c r="A725" s="6">
        <v>39539</v>
      </c>
      <c r="B725" s="5">
        <v>1</v>
      </c>
      <c r="C725" s="5">
        <v>50</v>
      </c>
    </row>
    <row r="726" spans="1:3">
      <c r="A726" s="13">
        <v>39569</v>
      </c>
      <c r="B726" s="5">
        <v>1</v>
      </c>
      <c r="C726" s="5">
        <v>50</v>
      </c>
    </row>
    <row r="727" spans="1:3">
      <c r="A727" s="6">
        <v>39600</v>
      </c>
      <c r="B727" s="5">
        <v>1</v>
      </c>
      <c r="C727" s="5">
        <v>50</v>
      </c>
    </row>
    <row r="728" spans="1:3">
      <c r="A728" s="13">
        <v>39630</v>
      </c>
      <c r="B728" s="5">
        <v>1</v>
      </c>
      <c r="C728" s="5">
        <v>50</v>
      </c>
    </row>
    <row r="729" spans="1:3">
      <c r="A729" s="6">
        <v>39661</v>
      </c>
      <c r="B729" s="5">
        <v>1</v>
      </c>
      <c r="C729" s="5">
        <v>50</v>
      </c>
    </row>
    <row r="730" spans="1:3">
      <c r="A730" s="13">
        <v>39692</v>
      </c>
      <c r="B730" s="5">
        <v>1</v>
      </c>
      <c r="C730" s="5">
        <v>50</v>
      </c>
    </row>
    <row r="731" spans="1:3">
      <c r="A731" s="6">
        <v>39722</v>
      </c>
      <c r="B731" s="5">
        <v>1</v>
      </c>
      <c r="C731" s="5">
        <v>50</v>
      </c>
    </row>
    <row r="732" spans="1:3">
      <c r="A732" s="13">
        <v>39753</v>
      </c>
      <c r="B732" s="5">
        <v>1</v>
      </c>
      <c r="C732" s="5">
        <v>50</v>
      </c>
    </row>
    <row r="733" spans="1:3">
      <c r="A733" s="6">
        <v>39783</v>
      </c>
      <c r="B733" s="5">
        <v>1</v>
      </c>
      <c r="C733" s="5">
        <v>50</v>
      </c>
    </row>
    <row r="734" spans="1:3">
      <c r="A734" s="13">
        <v>39814</v>
      </c>
      <c r="B734" s="5">
        <v>1</v>
      </c>
      <c r="C734" s="5">
        <v>50</v>
      </c>
    </row>
    <row r="735" spans="1:3">
      <c r="A735" s="6">
        <v>39845</v>
      </c>
      <c r="B735" s="5">
        <v>1</v>
      </c>
      <c r="C735" s="5">
        <v>50</v>
      </c>
    </row>
    <row r="736" spans="1:3">
      <c r="A736" s="13">
        <v>39873</v>
      </c>
      <c r="B736" s="5">
        <v>1</v>
      </c>
      <c r="C736" s="5">
        <v>50</v>
      </c>
    </row>
    <row r="737" spans="1:3">
      <c r="A737" s="6">
        <v>39904</v>
      </c>
      <c r="B737" s="5">
        <v>1</v>
      </c>
      <c r="C737" s="5">
        <v>50</v>
      </c>
    </row>
    <row r="738" spans="1:3">
      <c r="A738" s="13">
        <v>39934</v>
      </c>
      <c r="B738" s="5">
        <v>1</v>
      </c>
      <c r="C738" s="5">
        <v>50</v>
      </c>
    </row>
    <row r="739" spans="1:3">
      <c r="A739" s="6">
        <v>39965</v>
      </c>
      <c r="B739" s="5">
        <v>1</v>
      </c>
      <c r="C739" s="5">
        <v>50</v>
      </c>
    </row>
    <row r="740" spans="1:3">
      <c r="A740" s="13">
        <v>39995</v>
      </c>
      <c r="B740" s="5">
        <v>0</v>
      </c>
      <c r="C740" s="5">
        <v>50</v>
      </c>
    </row>
    <row r="741" spans="1:3">
      <c r="A741" s="6">
        <v>40026</v>
      </c>
      <c r="B741" s="5">
        <v>0</v>
      </c>
      <c r="C741" s="5">
        <v>50</v>
      </c>
    </row>
    <row r="742" spans="1:3">
      <c r="A742" s="13">
        <v>40057</v>
      </c>
      <c r="B742" s="5">
        <v>0</v>
      </c>
      <c r="C742" s="5">
        <v>50</v>
      </c>
    </row>
    <row r="743" spans="1:3">
      <c r="A743" s="6">
        <v>40087</v>
      </c>
      <c r="B743" s="5">
        <v>0</v>
      </c>
      <c r="C743" s="5">
        <v>50</v>
      </c>
    </row>
    <row r="744" spans="1:3">
      <c r="A744" s="13">
        <v>40118</v>
      </c>
      <c r="B744" s="5">
        <v>0</v>
      </c>
      <c r="C744" s="5">
        <v>50</v>
      </c>
    </row>
    <row r="745" spans="1:3">
      <c r="A745" s="6">
        <v>40148</v>
      </c>
      <c r="B745" s="5">
        <v>0</v>
      </c>
      <c r="C745" s="5">
        <v>50</v>
      </c>
    </row>
    <row r="746" spans="1:3">
      <c r="A746" s="13">
        <v>40179</v>
      </c>
      <c r="B746" s="5">
        <v>0</v>
      </c>
      <c r="C746" s="5">
        <v>50</v>
      </c>
    </row>
    <row r="747" spans="1:3">
      <c r="A747" s="6">
        <v>40210</v>
      </c>
      <c r="B747" s="5">
        <v>0</v>
      </c>
      <c r="C747" s="5">
        <v>50</v>
      </c>
    </row>
    <row r="748" spans="1:3">
      <c r="A748" s="13">
        <v>40238</v>
      </c>
      <c r="B748" s="5">
        <v>0</v>
      </c>
      <c r="C748" s="5">
        <v>50</v>
      </c>
    </row>
    <row r="749" spans="1:3">
      <c r="A749" s="6">
        <v>40269</v>
      </c>
      <c r="B749" s="5">
        <v>0</v>
      </c>
      <c r="C749" s="5">
        <v>50</v>
      </c>
    </row>
    <row r="750" spans="1:3">
      <c r="A750" s="13">
        <v>40299</v>
      </c>
      <c r="B750" s="5">
        <v>0</v>
      </c>
      <c r="C750" s="5">
        <v>50</v>
      </c>
    </row>
    <row r="751" spans="1:3">
      <c r="A751" s="6">
        <v>40330</v>
      </c>
      <c r="B751" s="5">
        <v>0</v>
      </c>
      <c r="C751" s="5">
        <v>50</v>
      </c>
    </row>
    <row r="752" spans="1:3">
      <c r="A752" s="13">
        <v>40360</v>
      </c>
      <c r="B752" s="5">
        <v>0</v>
      </c>
      <c r="C752" s="5">
        <v>50</v>
      </c>
    </row>
    <row r="753" spans="1:3">
      <c r="A753" s="6">
        <v>40391</v>
      </c>
      <c r="B753" s="5">
        <v>0</v>
      </c>
      <c r="C753" s="5">
        <v>50</v>
      </c>
    </row>
    <row r="754" spans="1:3">
      <c r="A754" s="13">
        <v>40422</v>
      </c>
      <c r="B754" s="5">
        <v>0</v>
      </c>
      <c r="C754" s="5">
        <v>50</v>
      </c>
    </row>
    <row r="755" spans="1:3">
      <c r="A755" s="6">
        <v>40452</v>
      </c>
      <c r="B755" s="5">
        <v>0</v>
      </c>
      <c r="C755" s="5">
        <v>50</v>
      </c>
    </row>
    <row r="756" spans="1:3">
      <c r="A756" s="13">
        <v>40483</v>
      </c>
      <c r="B756" s="5">
        <v>0</v>
      </c>
      <c r="C756" s="5">
        <v>50</v>
      </c>
    </row>
    <row r="757" spans="1:3">
      <c r="A757" s="6">
        <v>40513</v>
      </c>
      <c r="B757" s="5">
        <v>0</v>
      </c>
      <c r="C757" s="5">
        <v>50</v>
      </c>
    </row>
    <row r="758" spans="1:3">
      <c r="A758" s="13">
        <v>40544</v>
      </c>
      <c r="B758" s="5">
        <v>0</v>
      </c>
      <c r="C758" s="5">
        <v>50</v>
      </c>
    </row>
    <row r="759" spans="1:3">
      <c r="A759" s="6">
        <v>40575</v>
      </c>
      <c r="B759" s="5">
        <v>0</v>
      </c>
      <c r="C759" s="5">
        <v>50</v>
      </c>
    </row>
    <row r="760" spans="1:3">
      <c r="A760" s="13">
        <v>40603</v>
      </c>
      <c r="B760" s="5">
        <v>0</v>
      </c>
      <c r="C760" s="5">
        <v>50</v>
      </c>
    </row>
    <row r="761" spans="1:3">
      <c r="A761" s="6">
        <v>40634</v>
      </c>
      <c r="B761" s="5">
        <v>0</v>
      </c>
      <c r="C761" s="5">
        <v>50</v>
      </c>
    </row>
    <row r="762" spans="1:3">
      <c r="A762" s="13">
        <v>40664</v>
      </c>
      <c r="B762" s="5">
        <v>0</v>
      </c>
      <c r="C762" s="5">
        <v>50</v>
      </c>
    </row>
    <row r="763" spans="1:3">
      <c r="A763" s="6">
        <v>40695</v>
      </c>
      <c r="B763" s="5">
        <v>0</v>
      </c>
      <c r="C763" s="5">
        <v>50</v>
      </c>
    </row>
    <row r="764" spans="1:3">
      <c r="A764" s="13">
        <v>40725</v>
      </c>
      <c r="B764" s="5">
        <v>0</v>
      </c>
      <c r="C764" s="5">
        <v>50</v>
      </c>
    </row>
    <row r="765" spans="1:3">
      <c r="A765" s="6">
        <v>40756</v>
      </c>
      <c r="B765" s="5">
        <v>0</v>
      </c>
      <c r="C765" s="5">
        <v>50</v>
      </c>
    </row>
    <row r="766" spans="1:3">
      <c r="A766" s="13">
        <v>40787</v>
      </c>
      <c r="B766" s="5">
        <v>0</v>
      </c>
      <c r="C766" s="5">
        <v>50</v>
      </c>
    </row>
    <row r="767" spans="1:3">
      <c r="A767" s="6">
        <v>40817</v>
      </c>
      <c r="B767" s="5">
        <v>0</v>
      </c>
      <c r="C767" s="5">
        <v>50</v>
      </c>
    </row>
    <row r="768" spans="1:3">
      <c r="A768" s="13">
        <v>40848</v>
      </c>
      <c r="B768" s="5">
        <v>0</v>
      </c>
      <c r="C768" s="5">
        <v>50</v>
      </c>
    </row>
    <row r="769" spans="1:3">
      <c r="A769" s="6">
        <v>40878</v>
      </c>
      <c r="B769" s="5">
        <v>0</v>
      </c>
      <c r="C769" s="5">
        <v>50</v>
      </c>
    </row>
    <row r="770" spans="1:3">
      <c r="A770" s="13">
        <v>40909</v>
      </c>
      <c r="B770" s="5">
        <v>0</v>
      </c>
      <c r="C770" s="5">
        <v>50</v>
      </c>
    </row>
    <row r="771" spans="1:3">
      <c r="A771" s="6">
        <v>40940</v>
      </c>
      <c r="B771" s="5">
        <v>0</v>
      </c>
      <c r="C771" s="5">
        <v>50</v>
      </c>
    </row>
    <row r="772" spans="1:3">
      <c r="A772" s="13">
        <v>40969</v>
      </c>
      <c r="B772" s="5">
        <v>0</v>
      </c>
      <c r="C772" s="5">
        <v>50</v>
      </c>
    </row>
    <row r="773" spans="1:3">
      <c r="A773" s="6">
        <v>41000</v>
      </c>
      <c r="B773" s="5">
        <v>0</v>
      </c>
      <c r="C773" s="5">
        <v>50</v>
      </c>
    </row>
    <row r="774" spans="1:3">
      <c r="A774" s="13">
        <v>41030</v>
      </c>
      <c r="B774" s="5">
        <v>0</v>
      </c>
      <c r="C774" s="5">
        <v>50</v>
      </c>
    </row>
    <row r="775" spans="1:3">
      <c r="A775" s="6">
        <v>41061</v>
      </c>
      <c r="B775" s="5">
        <v>0</v>
      </c>
      <c r="C775" s="5">
        <v>50</v>
      </c>
    </row>
    <row r="776" spans="1:3">
      <c r="A776" s="13">
        <v>41091</v>
      </c>
      <c r="B776" s="5">
        <v>0</v>
      </c>
      <c r="C776" s="5">
        <v>50</v>
      </c>
    </row>
    <row r="777" spans="1:3">
      <c r="A777" s="6">
        <v>41122</v>
      </c>
      <c r="B777" s="5">
        <v>0</v>
      </c>
      <c r="C777" s="5">
        <v>50</v>
      </c>
    </row>
    <row r="778" spans="1:3">
      <c r="A778" s="13">
        <v>41153</v>
      </c>
      <c r="B778" s="5">
        <v>0</v>
      </c>
      <c r="C778" s="5">
        <v>50</v>
      </c>
    </row>
    <row r="779" spans="1:3">
      <c r="A779" s="6">
        <v>41183</v>
      </c>
      <c r="B779" s="5">
        <v>0</v>
      </c>
      <c r="C779" s="5">
        <v>50</v>
      </c>
    </row>
    <row r="780" spans="1:3">
      <c r="A780" s="13">
        <v>41214</v>
      </c>
      <c r="B780" s="5">
        <v>0</v>
      </c>
      <c r="C780" s="5">
        <v>50</v>
      </c>
    </row>
    <row r="781" spans="1:3">
      <c r="A781" s="6">
        <v>41244</v>
      </c>
      <c r="B781" s="5">
        <v>0</v>
      </c>
      <c r="C781" s="5">
        <v>50</v>
      </c>
    </row>
    <row r="782" spans="1:3">
      <c r="A782" s="13">
        <v>41275</v>
      </c>
      <c r="B782" s="5">
        <v>0</v>
      </c>
      <c r="C782" s="5">
        <v>50</v>
      </c>
    </row>
    <row r="783" spans="1:3">
      <c r="A783" s="6">
        <v>41306</v>
      </c>
      <c r="B783" s="5">
        <v>0</v>
      </c>
      <c r="C783" s="5">
        <v>50</v>
      </c>
    </row>
    <row r="784" spans="1:3">
      <c r="A784" s="13">
        <v>41334</v>
      </c>
      <c r="B784" s="5">
        <v>0</v>
      </c>
      <c r="C784" s="5">
        <v>50</v>
      </c>
    </row>
    <row r="785" spans="1:3">
      <c r="A785" s="6">
        <v>41365</v>
      </c>
      <c r="B785" s="5">
        <v>0</v>
      </c>
      <c r="C785" s="5">
        <v>50</v>
      </c>
    </row>
    <row r="786" spans="1:3">
      <c r="A786" s="13">
        <v>41395</v>
      </c>
      <c r="B786" s="5">
        <v>0</v>
      </c>
      <c r="C786" s="5">
        <v>50</v>
      </c>
    </row>
    <row r="787" spans="1:3">
      <c r="A787" s="6">
        <v>41426</v>
      </c>
      <c r="B787" s="5">
        <v>0</v>
      </c>
      <c r="C787" s="5">
        <v>50</v>
      </c>
    </row>
    <row r="788" spans="1:3">
      <c r="A788" s="13">
        <v>41456</v>
      </c>
      <c r="B788" s="5">
        <v>0</v>
      </c>
      <c r="C788" s="5">
        <v>50</v>
      </c>
    </row>
    <row r="789" spans="1:3">
      <c r="A789" s="6">
        <v>41487</v>
      </c>
      <c r="B789" s="5">
        <v>0</v>
      </c>
      <c r="C789" s="5">
        <v>50</v>
      </c>
    </row>
    <row r="790" spans="1:3">
      <c r="A790" s="13">
        <v>41518</v>
      </c>
      <c r="B790" s="5">
        <v>0</v>
      </c>
      <c r="C790" s="5">
        <v>50</v>
      </c>
    </row>
    <row r="791" spans="1:3">
      <c r="A791" s="6">
        <v>41548</v>
      </c>
      <c r="B791" s="5">
        <v>0</v>
      </c>
      <c r="C791" s="5">
        <v>50</v>
      </c>
    </row>
    <row r="792" spans="1:3">
      <c r="A792" s="13">
        <v>41579</v>
      </c>
      <c r="B792" s="5">
        <v>0</v>
      </c>
      <c r="C792" s="5">
        <v>50</v>
      </c>
    </row>
    <row r="793" spans="1:3">
      <c r="A793" s="6">
        <v>41609</v>
      </c>
      <c r="B793" s="5">
        <v>0</v>
      </c>
      <c r="C793" s="5">
        <v>50</v>
      </c>
    </row>
    <row r="794" spans="1:3">
      <c r="A794" s="13">
        <v>41640</v>
      </c>
      <c r="B794" s="5">
        <v>0</v>
      </c>
      <c r="C794" s="5">
        <v>50</v>
      </c>
    </row>
    <row r="795" spans="1:3">
      <c r="A795" s="6">
        <v>41671</v>
      </c>
      <c r="B795" s="5">
        <v>0</v>
      </c>
      <c r="C795" s="5">
        <v>50</v>
      </c>
    </row>
    <row r="796" spans="1:3">
      <c r="A796" s="13">
        <v>41699</v>
      </c>
      <c r="B796" s="5">
        <v>0</v>
      </c>
      <c r="C796" s="5">
        <v>50</v>
      </c>
    </row>
    <row r="797" spans="1:3">
      <c r="A797" s="6">
        <v>41730</v>
      </c>
      <c r="B797" s="5">
        <v>0</v>
      </c>
      <c r="C797" s="5">
        <v>50</v>
      </c>
    </row>
    <row r="798" spans="1:3">
      <c r="A798" s="13">
        <v>41760</v>
      </c>
      <c r="B798" s="5">
        <v>0</v>
      </c>
      <c r="C798" s="5">
        <v>50</v>
      </c>
    </row>
    <row r="799" spans="1:3">
      <c r="A799" s="6">
        <v>41791</v>
      </c>
      <c r="B799" s="5">
        <v>0</v>
      </c>
      <c r="C799" s="5">
        <v>50</v>
      </c>
    </row>
    <row r="800" spans="1:3">
      <c r="A800" s="13">
        <v>41821</v>
      </c>
      <c r="B800" s="5">
        <v>0</v>
      </c>
      <c r="C800" s="5">
        <v>50</v>
      </c>
    </row>
    <row r="801" spans="1:3">
      <c r="A801" s="6">
        <v>41852</v>
      </c>
      <c r="B801" s="5">
        <v>0</v>
      </c>
      <c r="C801" s="5">
        <v>50</v>
      </c>
    </row>
    <row r="802" spans="1:3">
      <c r="A802" s="13">
        <v>41883</v>
      </c>
      <c r="B802" s="5">
        <v>0</v>
      </c>
      <c r="C802" s="5">
        <v>50</v>
      </c>
    </row>
    <row r="803" spans="1:3">
      <c r="A803" s="6">
        <v>41913</v>
      </c>
      <c r="B803" s="5">
        <v>0</v>
      </c>
      <c r="C803" s="5">
        <v>50</v>
      </c>
    </row>
    <row r="804" spans="1:3">
      <c r="A804" s="13">
        <v>41944</v>
      </c>
      <c r="B804" s="5">
        <v>0</v>
      </c>
      <c r="C804" s="5">
        <v>50</v>
      </c>
    </row>
    <row r="805" spans="1:3">
      <c r="A805" s="6">
        <v>41974</v>
      </c>
      <c r="B805" s="5">
        <v>0</v>
      </c>
      <c r="C805" s="5">
        <v>50</v>
      </c>
    </row>
    <row r="806" spans="1:3">
      <c r="A806" s="13">
        <v>42005</v>
      </c>
      <c r="B806" s="5">
        <v>0</v>
      </c>
      <c r="C806" s="5">
        <v>50</v>
      </c>
    </row>
    <row r="807" spans="1:3">
      <c r="A807" s="6">
        <v>42036</v>
      </c>
      <c r="B807" s="5">
        <v>0</v>
      </c>
      <c r="C807" s="5">
        <v>50</v>
      </c>
    </row>
    <row r="808" spans="1:3">
      <c r="A808" s="13">
        <v>42064</v>
      </c>
      <c r="B808" s="5">
        <v>0</v>
      </c>
      <c r="C808" s="5">
        <v>50</v>
      </c>
    </row>
    <row r="809" spans="1:3">
      <c r="A809" s="6">
        <v>42095</v>
      </c>
      <c r="B809" s="5">
        <v>0</v>
      </c>
      <c r="C809" s="5">
        <v>50</v>
      </c>
    </row>
    <row r="810" spans="1:3">
      <c r="A810" s="13">
        <v>42125</v>
      </c>
      <c r="B810" s="5">
        <v>0</v>
      </c>
      <c r="C810" s="5">
        <v>50</v>
      </c>
    </row>
    <row r="811" spans="1:3">
      <c r="A811" s="6">
        <v>42156</v>
      </c>
      <c r="B811" s="5">
        <v>0</v>
      </c>
      <c r="C811" s="5">
        <v>50</v>
      </c>
    </row>
    <row r="812" spans="1:3">
      <c r="A812" s="13">
        <v>42186</v>
      </c>
      <c r="B812" s="5">
        <v>0</v>
      </c>
      <c r="C812" s="5">
        <v>50</v>
      </c>
    </row>
    <row r="813" spans="1:3">
      <c r="A813" s="6">
        <v>42217</v>
      </c>
      <c r="B813" s="5">
        <v>0</v>
      </c>
      <c r="C813" s="5">
        <v>50</v>
      </c>
    </row>
    <row r="814" spans="1:3">
      <c r="A814" s="13">
        <v>42248</v>
      </c>
      <c r="B814" s="5">
        <v>0</v>
      </c>
      <c r="C814" s="5">
        <v>50</v>
      </c>
    </row>
    <row r="815" spans="1:3">
      <c r="A815" s="6">
        <v>42278</v>
      </c>
      <c r="B815" s="5">
        <v>0</v>
      </c>
      <c r="C815" s="5">
        <v>50</v>
      </c>
    </row>
    <row r="816" spans="1:3">
      <c r="A816" s="13">
        <v>42309</v>
      </c>
      <c r="B816" s="5">
        <v>0</v>
      </c>
      <c r="C816" s="5">
        <v>50</v>
      </c>
    </row>
    <row r="817" spans="1:3">
      <c r="A817" s="6">
        <v>42339</v>
      </c>
      <c r="B817" s="5">
        <v>0</v>
      </c>
      <c r="C817" s="5">
        <v>50</v>
      </c>
    </row>
    <row r="818" spans="1:3">
      <c r="A818" s="13">
        <v>42370</v>
      </c>
      <c r="B818" s="5">
        <v>0</v>
      </c>
      <c r="C818" s="5">
        <v>50</v>
      </c>
    </row>
    <row r="819" spans="1:3">
      <c r="A819" s="6">
        <v>42401</v>
      </c>
      <c r="B819" s="5">
        <v>0</v>
      </c>
      <c r="C819" s="5">
        <v>50</v>
      </c>
    </row>
    <row r="820" spans="1:3">
      <c r="A820" s="13">
        <v>42430</v>
      </c>
      <c r="B820" s="5">
        <v>0</v>
      </c>
      <c r="C820" s="5">
        <v>50</v>
      </c>
    </row>
    <row r="821" spans="1:3">
      <c r="A821" s="6">
        <v>42461</v>
      </c>
      <c r="B821" s="5">
        <v>0</v>
      </c>
      <c r="C821" s="5">
        <v>50</v>
      </c>
    </row>
    <row r="822" spans="1:3">
      <c r="A822" s="13">
        <v>42491</v>
      </c>
      <c r="B822" s="5">
        <v>0</v>
      </c>
      <c r="C822" s="5">
        <v>50</v>
      </c>
    </row>
    <row r="823" spans="1:3">
      <c r="A823" s="6">
        <v>42522</v>
      </c>
      <c r="B823" s="5">
        <v>0</v>
      </c>
      <c r="C823" s="5">
        <v>50</v>
      </c>
    </row>
    <row r="824" spans="1:3">
      <c r="A824" s="13">
        <v>42552</v>
      </c>
      <c r="B824" s="5">
        <v>0</v>
      </c>
      <c r="C824" s="5">
        <v>50</v>
      </c>
    </row>
    <row r="825" spans="1:3">
      <c r="A825" s="6">
        <v>42583</v>
      </c>
      <c r="B825" s="5">
        <v>0</v>
      </c>
      <c r="C825" s="5">
        <v>50</v>
      </c>
    </row>
    <row r="826" spans="1:3">
      <c r="A826" s="13">
        <v>42614</v>
      </c>
      <c r="B826" s="5">
        <v>0</v>
      </c>
      <c r="C826" s="5">
        <v>50</v>
      </c>
    </row>
    <row r="827" spans="1:3">
      <c r="A827" s="6">
        <v>42644</v>
      </c>
      <c r="B827" s="5">
        <v>0</v>
      </c>
      <c r="C827" s="5">
        <v>50</v>
      </c>
    </row>
    <row r="828" spans="1:3">
      <c r="A828" s="13">
        <v>42675</v>
      </c>
      <c r="B828" s="5">
        <v>0</v>
      </c>
      <c r="C828" s="5">
        <v>50</v>
      </c>
    </row>
    <row r="829" spans="1:3">
      <c r="A829" s="6">
        <v>42705</v>
      </c>
      <c r="B829" s="5">
        <v>0</v>
      </c>
      <c r="C829" s="5">
        <v>50</v>
      </c>
    </row>
    <row r="830" spans="1:3">
      <c r="A830" s="13">
        <v>42736</v>
      </c>
      <c r="B830" s="5">
        <v>0</v>
      </c>
      <c r="C830" s="5">
        <v>50</v>
      </c>
    </row>
    <row r="831" spans="1:3">
      <c r="A831" s="6">
        <v>42767</v>
      </c>
      <c r="B831" s="5">
        <v>0</v>
      </c>
      <c r="C831" s="5">
        <v>50</v>
      </c>
    </row>
    <row r="832" spans="1:3">
      <c r="A832" s="13">
        <v>42795</v>
      </c>
      <c r="B832" s="5">
        <v>0</v>
      </c>
      <c r="C832" s="5">
        <v>50</v>
      </c>
    </row>
    <row r="833" spans="1:3">
      <c r="A833" s="6">
        <v>42826</v>
      </c>
      <c r="B833" s="5">
        <v>0</v>
      </c>
      <c r="C833" s="5">
        <v>50</v>
      </c>
    </row>
    <row r="834" spans="1:3">
      <c r="A834" s="13">
        <v>42856</v>
      </c>
      <c r="B834" s="5">
        <v>0</v>
      </c>
      <c r="C834" s="5">
        <v>50</v>
      </c>
    </row>
    <row r="835" spans="1:3">
      <c r="A835" s="6">
        <v>42887</v>
      </c>
      <c r="B835" s="5">
        <v>0</v>
      </c>
      <c r="C835" s="5">
        <v>50</v>
      </c>
    </row>
    <row r="836" spans="1:3">
      <c r="A836" s="13">
        <v>42917</v>
      </c>
      <c r="B836" s="5">
        <v>0</v>
      </c>
      <c r="C836" s="5">
        <v>50</v>
      </c>
    </row>
    <row r="837" spans="1:3">
      <c r="A837" s="6">
        <v>42948</v>
      </c>
      <c r="B837" s="5">
        <v>0</v>
      </c>
      <c r="C837" s="5">
        <v>50</v>
      </c>
    </row>
    <row r="838" spans="1:3">
      <c r="A838" s="13">
        <v>42979</v>
      </c>
      <c r="B838" s="5">
        <v>0</v>
      </c>
      <c r="C838" s="5">
        <v>50</v>
      </c>
    </row>
    <row r="839" spans="1:3">
      <c r="A839" s="6">
        <v>43009</v>
      </c>
      <c r="B839" s="5">
        <v>0</v>
      </c>
      <c r="C839" s="5">
        <v>50</v>
      </c>
    </row>
    <row r="840" spans="1:3">
      <c r="A840" s="13">
        <v>43040</v>
      </c>
      <c r="B840" s="5">
        <v>0</v>
      </c>
      <c r="C840" s="5">
        <v>50</v>
      </c>
    </row>
    <row r="841" spans="1:3">
      <c r="A841" s="6">
        <v>43070</v>
      </c>
      <c r="B841" s="5">
        <v>0</v>
      </c>
      <c r="C841" s="5">
        <v>50</v>
      </c>
    </row>
    <row r="842" spans="1:3">
      <c r="A842" s="13">
        <v>43101</v>
      </c>
      <c r="B842" s="5">
        <v>0</v>
      </c>
      <c r="C842" s="5">
        <v>50</v>
      </c>
    </row>
    <row r="843" spans="1:3">
      <c r="A843" s="6">
        <v>43132</v>
      </c>
      <c r="B843" s="5">
        <v>0</v>
      </c>
      <c r="C843" s="5">
        <v>50</v>
      </c>
    </row>
    <row r="844" spans="1:3">
      <c r="A844" s="13">
        <v>43160</v>
      </c>
      <c r="B844" s="5">
        <v>0</v>
      </c>
      <c r="C844" s="5">
        <v>50</v>
      </c>
    </row>
    <row r="845" spans="1:3">
      <c r="A845" s="6">
        <v>43191</v>
      </c>
      <c r="B845" s="5">
        <v>0</v>
      </c>
      <c r="C845" s="5">
        <v>50</v>
      </c>
    </row>
    <row r="846" spans="1:3">
      <c r="A846" s="13">
        <v>43221</v>
      </c>
      <c r="B846" s="5">
        <v>0</v>
      </c>
      <c r="C846" s="5">
        <v>50</v>
      </c>
    </row>
    <row r="847" spans="1:3">
      <c r="A847" s="6">
        <v>43252</v>
      </c>
      <c r="B847" s="5">
        <v>0</v>
      </c>
      <c r="C847" s="5">
        <v>50</v>
      </c>
    </row>
    <row r="848" spans="1:3">
      <c r="A848" s="13">
        <v>43282</v>
      </c>
      <c r="B848" s="5">
        <v>0</v>
      </c>
      <c r="C848" s="5">
        <v>50</v>
      </c>
    </row>
    <row r="849" spans="1:3">
      <c r="A849" s="6">
        <v>43313</v>
      </c>
      <c r="B849" s="5">
        <v>0</v>
      </c>
      <c r="C849" s="5">
        <v>50</v>
      </c>
    </row>
    <row r="850" spans="1:3">
      <c r="A850" s="13">
        <v>43344</v>
      </c>
      <c r="B850" s="5">
        <v>0</v>
      </c>
      <c r="C850" s="5">
        <v>50</v>
      </c>
    </row>
    <row r="851" spans="1:3">
      <c r="A851" s="6">
        <v>43374</v>
      </c>
      <c r="B851" s="5">
        <v>0</v>
      </c>
      <c r="C851" s="5">
        <v>50</v>
      </c>
    </row>
    <row r="852" spans="1:3">
      <c r="A852" s="13">
        <v>43405</v>
      </c>
      <c r="B852" s="5">
        <v>0</v>
      </c>
      <c r="C852" s="5">
        <v>50</v>
      </c>
    </row>
    <row r="853" spans="1:3">
      <c r="A853" s="6">
        <v>43435</v>
      </c>
      <c r="B853" s="5">
        <v>0</v>
      </c>
      <c r="C853" s="5">
        <v>50</v>
      </c>
    </row>
    <row r="854" spans="1:3">
      <c r="A854" s="13">
        <v>43466</v>
      </c>
      <c r="B854" s="5">
        <v>0</v>
      </c>
      <c r="C854" s="5">
        <v>50</v>
      </c>
    </row>
    <row r="855" spans="1:3">
      <c r="A855" s="6">
        <v>43497</v>
      </c>
      <c r="B855" s="5">
        <v>0</v>
      </c>
      <c r="C855" s="5">
        <v>50</v>
      </c>
    </row>
    <row r="856" spans="1:3">
      <c r="A856" s="13">
        <v>43525</v>
      </c>
      <c r="B856" s="5">
        <v>0</v>
      </c>
      <c r="C856" s="5">
        <v>50</v>
      </c>
    </row>
    <row r="857" spans="1:3">
      <c r="A857" s="6">
        <v>43556</v>
      </c>
      <c r="B857" s="5">
        <v>0</v>
      </c>
      <c r="C857" s="5">
        <v>50</v>
      </c>
    </row>
    <row r="858" spans="1:3">
      <c r="A858" s="13">
        <v>43586</v>
      </c>
      <c r="B858" s="5">
        <v>0</v>
      </c>
      <c r="C858" s="5">
        <v>50</v>
      </c>
    </row>
    <row r="859" spans="1:3">
      <c r="A859" s="6">
        <v>43617</v>
      </c>
      <c r="B859" s="5">
        <v>0</v>
      </c>
      <c r="C859" s="5">
        <v>50</v>
      </c>
    </row>
    <row r="860" spans="1:3">
      <c r="A860" s="13">
        <v>43647</v>
      </c>
      <c r="B860" s="5">
        <v>0</v>
      </c>
      <c r="C860" s="5">
        <v>50</v>
      </c>
    </row>
    <row r="861" spans="1:3">
      <c r="A861" s="6">
        <v>43678</v>
      </c>
      <c r="B861" s="5">
        <v>0</v>
      </c>
      <c r="C861" s="5">
        <v>50</v>
      </c>
    </row>
    <row r="862" spans="1:3">
      <c r="A862" s="13">
        <v>43709</v>
      </c>
      <c r="B862" s="5">
        <v>0</v>
      </c>
      <c r="C862" s="5">
        <v>50</v>
      </c>
    </row>
    <row r="863" spans="1:3">
      <c r="A863" s="6">
        <v>43739</v>
      </c>
      <c r="B863" s="5">
        <v>0</v>
      </c>
      <c r="C863" s="5">
        <v>50</v>
      </c>
    </row>
    <row r="864" spans="1:3">
      <c r="A864" s="13">
        <v>43770</v>
      </c>
      <c r="B864" s="5">
        <v>0</v>
      </c>
      <c r="C864" s="5">
        <v>50</v>
      </c>
    </row>
    <row r="865" spans="1:3">
      <c r="A865" s="6">
        <v>43800</v>
      </c>
      <c r="B865" s="5">
        <v>0</v>
      </c>
      <c r="C865" s="5">
        <v>50</v>
      </c>
    </row>
    <row r="866" spans="1:3">
      <c r="A866" s="13">
        <v>43831</v>
      </c>
      <c r="B866" s="5">
        <v>0</v>
      </c>
      <c r="C866" s="5">
        <v>50</v>
      </c>
    </row>
    <row r="867" spans="1:3">
      <c r="A867" s="6">
        <v>43862</v>
      </c>
      <c r="B867" s="5">
        <v>1</v>
      </c>
      <c r="C867" s="5">
        <v>50</v>
      </c>
    </row>
    <row r="868" spans="1:3">
      <c r="A868" s="13">
        <v>43891</v>
      </c>
      <c r="B868" s="5">
        <v>1</v>
      </c>
      <c r="C868" s="5">
        <v>50</v>
      </c>
    </row>
    <row r="869" spans="1:3">
      <c r="A869" s="6">
        <v>43922</v>
      </c>
      <c r="B869" s="5">
        <v>1</v>
      </c>
      <c r="C869" s="5">
        <v>50</v>
      </c>
    </row>
    <row r="870" spans="1:3">
      <c r="A870" s="13">
        <v>43952</v>
      </c>
      <c r="B870" s="5">
        <v>0</v>
      </c>
      <c r="C870" s="5">
        <v>50</v>
      </c>
    </row>
    <row r="871" spans="1:3">
      <c r="A871" s="6">
        <v>43983</v>
      </c>
      <c r="B871" s="5">
        <v>0</v>
      </c>
      <c r="C871" s="5">
        <v>50</v>
      </c>
    </row>
    <row r="872" spans="1:3">
      <c r="A872" s="13">
        <v>44013</v>
      </c>
      <c r="B872" s="5">
        <v>0</v>
      </c>
      <c r="C872" s="5">
        <v>50</v>
      </c>
    </row>
    <row r="873" spans="1:3">
      <c r="A873" s="6">
        <v>44044</v>
      </c>
      <c r="B873" s="5">
        <v>0</v>
      </c>
      <c r="C873" s="5">
        <v>50</v>
      </c>
    </row>
    <row r="874" spans="1:3">
      <c r="A874" s="13">
        <v>44075</v>
      </c>
      <c r="B874" s="5">
        <v>0</v>
      </c>
      <c r="C874" s="5">
        <v>50</v>
      </c>
    </row>
    <row r="875" spans="1:3">
      <c r="A875" s="6">
        <v>44105</v>
      </c>
      <c r="B875" s="5">
        <v>0</v>
      </c>
      <c r="C875" s="5">
        <v>50</v>
      </c>
    </row>
    <row r="876" spans="1:3">
      <c r="A876" s="13">
        <v>44136</v>
      </c>
      <c r="B876" s="5">
        <v>0</v>
      </c>
      <c r="C876" s="5">
        <v>50</v>
      </c>
    </row>
    <row r="877" spans="1:3">
      <c r="A877" s="6">
        <v>44166</v>
      </c>
      <c r="B877" s="5">
        <v>0</v>
      </c>
      <c r="C877" s="5">
        <v>50</v>
      </c>
    </row>
    <row r="878" spans="1:3">
      <c r="A878" s="13">
        <v>44197</v>
      </c>
      <c r="B878" s="5">
        <v>0</v>
      </c>
      <c r="C878" s="5">
        <v>50</v>
      </c>
    </row>
    <row r="879" spans="1:3">
      <c r="A879" s="6">
        <v>44228</v>
      </c>
      <c r="B879" s="5">
        <v>0</v>
      </c>
      <c r="C879" s="5">
        <v>50</v>
      </c>
    </row>
    <row r="880" spans="1:3">
      <c r="A880" s="13">
        <v>44256</v>
      </c>
      <c r="B880" s="5">
        <v>0</v>
      </c>
      <c r="C880" s="5">
        <v>50</v>
      </c>
    </row>
    <row r="881" spans="1:3">
      <c r="A881" s="6">
        <v>44287</v>
      </c>
      <c r="B881" s="5">
        <v>0</v>
      </c>
      <c r="C881" s="5">
        <v>50</v>
      </c>
    </row>
    <row r="882" spans="1:3">
      <c r="A882" s="13">
        <v>44317</v>
      </c>
      <c r="B882" s="5">
        <v>0</v>
      </c>
      <c r="C882" s="5">
        <v>50</v>
      </c>
    </row>
    <row r="883" spans="1:3">
      <c r="A883" s="6">
        <v>44348</v>
      </c>
      <c r="B883" s="5">
        <v>0</v>
      </c>
      <c r="C883" s="5">
        <v>50</v>
      </c>
    </row>
    <row r="884" spans="1:3">
      <c r="A884" s="13">
        <v>44378</v>
      </c>
      <c r="B884" s="5">
        <v>0</v>
      </c>
      <c r="C884" s="5">
        <v>50</v>
      </c>
    </row>
    <row r="885" spans="1:3">
      <c r="A885" s="6">
        <v>44409</v>
      </c>
      <c r="B885" s="5">
        <v>0</v>
      </c>
      <c r="C885" s="5">
        <v>50</v>
      </c>
    </row>
    <row r="886" spans="1:3">
      <c r="A886" s="13">
        <v>44440</v>
      </c>
      <c r="B886" s="5">
        <v>0</v>
      </c>
      <c r="C886" s="5">
        <v>50</v>
      </c>
    </row>
    <row r="887" spans="1:3">
      <c r="A887" s="6">
        <v>44470</v>
      </c>
      <c r="B887" s="5">
        <v>0</v>
      </c>
      <c r="C887" s="5">
        <v>50</v>
      </c>
    </row>
    <row r="888" spans="1:3">
      <c r="A888" s="13">
        <v>44501</v>
      </c>
      <c r="B888" s="5">
        <v>0</v>
      </c>
      <c r="C888" s="5">
        <v>50</v>
      </c>
    </row>
    <row r="889" spans="1:3">
      <c r="A889" s="6">
        <v>44531</v>
      </c>
      <c r="B889" s="5">
        <v>0</v>
      </c>
      <c r="C889" s="5">
        <v>50</v>
      </c>
    </row>
    <row r="890" spans="1:3">
      <c r="A890" s="13">
        <v>44562</v>
      </c>
      <c r="B890" s="5">
        <v>0</v>
      </c>
      <c r="C890" s="5">
        <v>50</v>
      </c>
    </row>
    <row r="891" spans="1:3">
      <c r="A891" s="6">
        <v>44593</v>
      </c>
      <c r="B891" s="5">
        <v>0</v>
      </c>
      <c r="C891" s="5">
        <v>50</v>
      </c>
    </row>
    <row r="892" spans="1:3">
      <c r="A892" s="13">
        <v>44621</v>
      </c>
      <c r="B892" s="5">
        <v>0</v>
      </c>
      <c r="C892" s="5">
        <v>50</v>
      </c>
    </row>
    <row r="893" spans="1:3">
      <c r="A893" s="6">
        <v>44652</v>
      </c>
      <c r="B893" s="5">
        <v>0</v>
      </c>
      <c r="C893" s="5">
        <v>50</v>
      </c>
    </row>
    <row r="894" spans="1:3">
      <c r="A894" s="13">
        <v>44682</v>
      </c>
      <c r="B894" s="5">
        <v>0</v>
      </c>
      <c r="C894" s="5">
        <v>50</v>
      </c>
    </row>
    <row r="895" spans="1:3">
      <c r="A895" s="6">
        <v>44713</v>
      </c>
      <c r="B895" s="5">
        <v>0</v>
      </c>
      <c r="C895" s="5">
        <v>50</v>
      </c>
    </row>
    <row r="896" spans="1:3">
      <c r="A896" s="13">
        <v>44743</v>
      </c>
      <c r="B896" s="5">
        <v>0</v>
      </c>
      <c r="C896" s="5">
        <v>50</v>
      </c>
    </row>
    <row r="897" spans="1:3">
      <c r="A897" s="6">
        <v>44774</v>
      </c>
      <c r="B897" s="5">
        <v>0</v>
      </c>
      <c r="C897" s="5">
        <v>50</v>
      </c>
    </row>
    <row r="898" spans="1:3">
      <c r="A898" s="13">
        <v>44805</v>
      </c>
      <c r="B898" s="5">
        <v>0</v>
      </c>
      <c r="C898" s="5">
        <v>50</v>
      </c>
    </row>
    <row r="899" spans="1:3">
      <c r="A899" s="6">
        <v>44835</v>
      </c>
      <c r="B899" s="5">
        <v>0</v>
      </c>
      <c r="C899" s="5">
        <v>50</v>
      </c>
    </row>
    <row r="900" spans="1:3">
      <c r="A900" s="13">
        <v>44866</v>
      </c>
      <c r="B900" s="5">
        <v>0</v>
      </c>
      <c r="C900" s="5">
        <v>50</v>
      </c>
    </row>
    <row r="901" spans="1:3">
      <c r="A901" s="6">
        <v>44896</v>
      </c>
      <c r="B901" s="5">
        <v>0</v>
      </c>
      <c r="C901" s="5">
        <v>50</v>
      </c>
    </row>
    <row r="902" spans="1:3">
      <c r="A902" s="13">
        <v>44927</v>
      </c>
      <c r="B902" s="5">
        <v>0</v>
      </c>
      <c r="C902" s="5">
        <v>50</v>
      </c>
    </row>
    <row r="903" spans="1:3">
      <c r="A903" s="6">
        <v>44958</v>
      </c>
      <c r="B903" s="5">
        <v>0</v>
      </c>
      <c r="C903" s="5">
        <v>50</v>
      </c>
    </row>
    <row r="904" spans="1:3">
      <c r="A904" s="13">
        <v>44986</v>
      </c>
      <c r="B904" s="5">
        <v>0</v>
      </c>
      <c r="C904" s="5">
        <v>50</v>
      </c>
    </row>
    <row r="905" spans="1:3">
      <c r="A905" s="6">
        <v>45017</v>
      </c>
      <c r="B905" s="5">
        <v>0</v>
      </c>
      <c r="C905" s="5">
        <v>50</v>
      </c>
    </row>
    <row r="906" spans="1:3">
      <c r="A906" s="13">
        <v>45047</v>
      </c>
      <c r="B906" s="5">
        <v>0</v>
      </c>
      <c r="C906" s="5">
        <v>50</v>
      </c>
    </row>
    <row r="907" spans="1:3">
      <c r="A907" s="6">
        <v>45078</v>
      </c>
      <c r="B907" s="5">
        <v>0</v>
      </c>
      <c r="C907" s="5">
        <v>50</v>
      </c>
    </row>
    <row r="908" spans="1:3">
      <c r="A908" s="13">
        <v>45108</v>
      </c>
      <c r="B908" s="5">
        <v>0</v>
      </c>
      <c r="C908" s="5">
        <v>50</v>
      </c>
    </row>
    <row r="909" spans="1:3">
      <c r="A909" s="6">
        <v>45139</v>
      </c>
      <c r="B909" s="5">
        <v>0</v>
      </c>
      <c r="C909" s="5">
        <v>50</v>
      </c>
    </row>
    <row r="910" spans="1:3">
      <c r="A910" s="13">
        <v>45170</v>
      </c>
      <c r="B910" s="5">
        <v>0</v>
      </c>
      <c r="C910" s="5">
        <v>50</v>
      </c>
    </row>
    <row r="911" spans="1:3">
      <c r="A911" s="6">
        <v>45200</v>
      </c>
      <c r="B911" s="5">
        <v>0</v>
      </c>
      <c r="C911" s="5">
        <v>50</v>
      </c>
    </row>
    <row r="912" spans="1:3">
      <c r="A912" s="13">
        <v>45231</v>
      </c>
      <c r="B912" s="5">
        <v>0</v>
      </c>
      <c r="C912" s="5">
        <v>50</v>
      </c>
    </row>
    <row r="913" spans="1:3">
      <c r="A913" s="6">
        <v>45261</v>
      </c>
      <c r="B913" s="5">
        <v>0</v>
      </c>
      <c r="C913" s="5">
        <v>50</v>
      </c>
    </row>
    <row r="914" spans="1:3">
      <c r="A914" s="13">
        <v>45292</v>
      </c>
      <c r="C914" s="5"/>
    </row>
    <row r="915" spans="1:3">
      <c r="A915" s="6">
        <v>45323</v>
      </c>
      <c r="C915" s="5"/>
    </row>
    <row r="916" spans="1:3">
      <c r="A916" s="13">
        <v>45352</v>
      </c>
      <c r="C916" s="5"/>
    </row>
    <row r="917" spans="1:3">
      <c r="A917" s="6">
        <v>45383</v>
      </c>
      <c r="C917" s="5"/>
    </row>
    <row r="918" spans="1:3">
      <c r="A918" s="13">
        <v>45413</v>
      </c>
      <c r="C918" s="5"/>
    </row>
    <row r="919" spans="1:3">
      <c r="A919" s="6">
        <v>45444</v>
      </c>
      <c r="C919" s="5"/>
    </row>
    <row r="920" spans="1:3">
      <c r="A920" s="13">
        <v>45474</v>
      </c>
      <c r="C920" s="5"/>
    </row>
    <row r="921" spans="1:3">
      <c r="A921" s="6">
        <v>45505</v>
      </c>
      <c r="C921" s="5"/>
    </row>
    <row r="922" spans="1:3">
      <c r="A922" s="13">
        <v>45536</v>
      </c>
      <c r="C922" s="5"/>
    </row>
    <row r="923" spans="1:3">
      <c r="A923" s="6">
        <v>45566</v>
      </c>
      <c r="C923" s="5"/>
    </row>
    <row r="924" spans="1:3">
      <c r="A924" s="13">
        <v>45597</v>
      </c>
      <c r="C924" s="5"/>
    </row>
    <row r="925" spans="1:3">
      <c r="A925" s="6">
        <v>45627</v>
      </c>
      <c r="C925" s="5"/>
    </row>
  </sheetData>
  <pageMargins left="0.511811024" right="0.511811024" top="0.78740157499999996" bottom="0.78740157499999996" header="0.31496062000000002" footer="0.31496062000000002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F0F93-03F1-448A-A1AE-3238FFD3BC98}">
  <sheetPr codeName="Planilha3">
    <tabColor rgb="FFC00000"/>
  </sheetPr>
  <dimension ref="A1:X773"/>
  <sheetViews>
    <sheetView showGridLines="0" workbookViewId="0">
      <pane xSplit="1" ySplit="2" topLeftCell="B740" activePane="bottomRight" state="frozen"/>
      <selection activeCell="I37" sqref="I37"/>
      <selection pane="topRight" activeCell="I37" sqref="I37"/>
      <selection pane="bottomLeft" activeCell="I37" sqref="I37"/>
      <selection pane="bottomRight" activeCell="E745" sqref="E745"/>
    </sheetView>
  </sheetViews>
  <sheetFormatPr defaultRowHeight="15"/>
  <cols>
    <col min="1" max="1" width="9.85546875" style="9" customWidth="1"/>
    <col min="2" max="2" width="12.85546875" style="9" customWidth="1"/>
    <col min="3" max="3" width="10.140625" style="9" bestFit="1" customWidth="1"/>
    <col min="4" max="4" width="11.7109375" style="9" bestFit="1" customWidth="1"/>
    <col min="5" max="5" width="11.7109375" style="9" customWidth="1"/>
    <col min="6" max="6" width="14.42578125" style="9" customWidth="1"/>
    <col min="7" max="7" width="14.5703125" style="9" customWidth="1"/>
    <col min="8" max="8" width="11.7109375" style="9" customWidth="1"/>
    <col min="9" max="9" width="14.140625" style="9" customWidth="1"/>
    <col min="10" max="10" width="11.28515625" style="9" customWidth="1"/>
    <col min="11" max="11" width="17.5703125" customWidth="1"/>
    <col min="12" max="12" width="17.42578125" customWidth="1"/>
    <col min="13" max="13" width="12.140625" style="9" customWidth="1"/>
    <col min="14" max="14" width="13" style="9" customWidth="1"/>
    <col min="15" max="15" width="10.7109375" style="9" customWidth="1"/>
    <col min="16" max="16" width="12.140625" style="9" customWidth="1"/>
    <col min="17" max="17" width="11.85546875" style="9" customWidth="1"/>
    <col min="18" max="18" width="12.140625" bestFit="1" customWidth="1"/>
    <col min="19" max="19" width="17.140625" style="9" customWidth="1"/>
    <col min="20" max="20" width="12.42578125" style="9" customWidth="1"/>
    <col min="21" max="21" width="11.5703125" style="9" customWidth="1"/>
    <col min="22" max="22" width="13.7109375" style="9" customWidth="1"/>
    <col min="23" max="24" width="19" bestFit="1" customWidth="1"/>
    <col min="25" max="25" width="13.28515625" style="9" bestFit="1" customWidth="1"/>
    <col min="26" max="26" width="9.140625" style="9"/>
    <col min="27" max="27" width="12" style="9" customWidth="1"/>
    <col min="28" max="28" width="8" style="9" customWidth="1"/>
    <col min="29" max="29" width="10.140625" style="9" customWidth="1"/>
    <col min="30" max="30" width="9.140625" style="9" customWidth="1"/>
    <col min="31" max="31" width="13" style="9" customWidth="1"/>
    <col min="32" max="16384" width="9.140625" style="9"/>
  </cols>
  <sheetData>
    <row r="1" spans="1:24" s="5" customFormat="1" ht="12.75">
      <c r="B1" s="20" t="s">
        <v>2</v>
      </c>
      <c r="C1" s="20" t="s">
        <v>2</v>
      </c>
      <c r="D1" s="20" t="s">
        <v>2</v>
      </c>
      <c r="F1" s="20" t="s">
        <v>2</v>
      </c>
      <c r="H1" s="20" t="s">
        <v>2</v>
      </c>
      <c r="I1" s="20"/>
      <c r="K1" s="20" t="s">
        <v>2</v>
      </c>
      <c r="M1" s="20" t="s">
        <v>2</v>
      </c>
      <c r="N1" s="20"/>
      <c r="O1" s="20" t="s">
        <v>2</v>
      </c>
      <c r="P1" s="20"/>
      <c r="Q1" s="20"/>
      <c r="R1" s="20" t="s">
        <v>2</v>
      </c>
      <c r="S1" s="20" t="s">
        <v>2</v>
      </c>
      <c r="T1" s="20"/>
      <c r="V1" s="20" t="s">
        <v>2</v>
      </c>
    </row>
    <row r="2" spans="1:24" ht="30" customHeight="1">
      <c r="A2" s="18" t="s">
        <v>23</v>
      </c>
      <c r="B2" s="57" t="s">
        <v>11</v>
      </c>
      <c r="C2" s="18" t="s">
        <v>15</v>
      </c>
      <c r="D2" s="18" t="s">
        <v>21</v>
      </c>
      <c r="E2" s="18" t="s">
        <v>73</v>
      </c>
      <c r="F2" s="18" t="s">
        <v>39</v>
      </c>
      <c r="G2" s="18" t="s">
        <v>72</v>
      </c>
      <c r="H2" s="18" t="s">
        <v>16</v>
      </c>
      <c r="I2" s="18" t="s">
        <v>57</v>
      </c>
      <c r="J2" s="18" t="s">
        <v>71</v>
      </c>
      <c r="K2" s="18" t="s">
        <v>40</v>
      </c>
      <c r="L2" s="18" t="s">
        <v>70</v>
      </c>
      <c r="M2" s="18" t="s">
        <v>22</v>
      </c>
      <c r="N2" s="18" t="s">
        <v>69</v>
      </c>
      <c r="O2" s="18" t="s">
        <v>58</v>
      </c>
      <c r="P2" s="18" t="s">
        <v>68</v>
      </c>
      <c r="Q2" s="18" t="s">
        <v>67</v>
      </c>
      <c r="R2" s="18" t="s">
        <v>13</v>
      </c>
      <c r="S2" s="18" t="s">
        <v>53</v>
      </c>
      <c r="T2" s="18" t="s">
        <v>65</v>
      </c>
      <c r="U2" s="19" t="s">
        <v>66</v>
      </c>
      <c r="V2" s="19" t="s">
        <v>55</v>
      </c>
      <c r="W2" s="9"/>
      <c r="X2" s="9"/>
    </row>
    <row r="3" spans="1:24" ht="12.75">
      <c r="A3" s="12">
        <v>22282</v>
      </c>
      <c r="B3" s="26"/>
      <c r="C3" s="27"/>
      <c r="D3" s="33">
        <v>969</v>
      </c>
      <c r="E3" s="41">
        <v>-0.1126374</v>
      </c>
      <c r="F3" s="33"/>
      <c r="G3" s="41"/>
      <c r="H3" s="33">
        <v>1183</v>
      </c>
      <c r="I3" s="33"/>
      <c r="J3" s="41"/>
      <c r="K3" s="26"/>
      <c r="L3" s="41"/>
      <c r="M3" s="27"/>
      <c r="N3" s="41"/>
      <c r="O3" s="33"/>
      <c r="P3" s="33"/>
      <c r="Q3" s="41"/>
      <c r="R3" s="27"/>
      <c r="S3" s="86"/>
      <c r="T3" s="28"/>
      <c r="V3" s="38"/>
      <c r="W3" s="9"/>
      <c r="X3" s="9"/>
    </row>
    <row r="4" spans="1:24" ht="12.75">
      <c r="A4" s="12">
        <v>22313</v>
      </c>
      <c r="B4" s="26"/>
      <c r="C4" s="27"/>
      <c r="D4" s="33">
        <v>961</v>
      </c>
      <c r="E4" s="41">
        <v>-0.11672790000000001</v>
      </c>
      <c r="F4" s="33"/>
      <c r="G4" s="41"/>
      <c r="H4" s="33">
        <v>1226</v>
      </c>
      <c r="I4" s="33">
        <f>IF(Tabela1716[[#This Row],[Housing Starts]]="",#N/A,Tabela1716[[#This Row],[Housing Starts]]-H3)</f>
        <v>43</v>
      </c>
      <c r="J4" s="41"/>
      <c r="K4" s="26"/>
      <c r="L4" s="41"/>
      <c r="M4" s="27"/>
      <c r="N4" s="41"/>
      <c r="O4" s="33"/>
      <c r="P4" s="33"/>
      <c r="Q4" s="41"/>
      <c r="R4" s="27"/>
      <c r="S4" s="86"/>
      <c r="T4" s="28"/>
      <c r="W4" s="9"/>
      <c r="X4" s="9"/>
    </row>
    <row r="5" spans="1:24" ht="12.75">
      <c r="A5" s="12">
        <v>22341</v>
      </c>
      <c r="B5" s="26"/>
      <c r="C5" s="27"/>
      <c r="D5" s="33">
        <v>1000</v>
      </c>
      <c r="E5" s="41">
        <v>4.71204E-2</v>
      </c>
      <c r="F5" s="33"/>
      <c r="G5" s="41"/>
      <c r="H5" s="33">
        <v>1312</v>
      </c>
      <c r="I5" s="33">
        <f>IF(Tabela1716[[#This Row],[Housing Starts]]="",#N/A,Tabela1716[[#This Row],[Housing Starts]]-H4)</f>
        <v>86</v>
      </c>
      <c r="J5" s="41"/>
      <c r="K5" s="26"/>
      <c r="L5" s="41"/>
      <c r="M5" s="27"/>
      <c r="N5" s="41"/>
      <c r="O5" s="33"/>
      <c r="P5" s="33"/>
      <c r="Q5" s="41"/>
      <c r="R5" s="27"/>
      <c r="S5" s="86"/>
      <c r="T5" s="28"/>
      <c r="V5" s="38"/>
      <c r="W5" s="9"/>
      <c r="X5" s="9"/>
    </row>
    <row r="6" spans="1:24" ht="12.75">
      <c r="A6" s="12">
        <v>22372</v>
      </c>
      <c r="B6" s="26"/>
      <c r="C6" s="27"/>
      <c r="D6" s="33">
        <v>1002</v>
      </c>
      <c r="E6" s="41">
        <v>-1.37795E-2</v>
      </c>
      <c r="F6" s="33"/>
      <c r="G6" s="41"/>
      <c r="H6" s="33">
        <v>1166</v>
      </c>
      <c r="I6" s="33">
        <f>IF(Tabela1716[[#This Row],[Housing Starts]]="",#N/A,Tabela1716[[#This Row],[Housing Starts]]-H5)</f>
        <v>-146</v>
      </c>
      <c r="J6" s="41"/>
      <c r="K6" s="26"/>
      <c r="L6" s="41"/>
      <c r="M6" s="27"/>
      <c r="N6" s="41"/>
      <c r="O6" s="33"/>
      <c r="P6" s="33"/>
      <c r="Q6" s="41"/>
      <c r="R6" s="27"/>
      <c r="S6" s="86"/>
      <c r="T6" s="28"/>
      <c r="W6" s="9"/>
      <c r="X6" s="9"/>
    </row>
    <row r="7" spans="1:24" ht="12.75">
      <c r="A7" s="12">
        <v>22402</v>
      </c>
      <c r="B7" s="26"/>
      <c r="C7" s="27"/>
      <c r="D7" s="33">
        <v>1027</v>
      </c>
      <c r="E7" s="41">
        <v>-2.3764300000000002E-2</v>
      </c>
      <c r="F7" s="33"/>
      <c r="G7" s="41"/>
      <c r="H7" s="33">
        <v>1228</v>
      </c>
      <c r="I7" s="33">
        <f>IF(Tabela1716[[#This Row],[Housing Starts]]="",#N/A,Tabela1716[[#This Row],[Housing Starts]]-H6)</f>
        <v>62</v>
      </c>
      <c r="J7" s="41"/>
      <c r="K7" s="26"/>
      <c r="L7" s="41"/>
      <c r="M7" s="27"/>
      <c r="N7" s="41"/>
      <c r="O7" s="33"/>
      <c r="P7" s="33"/>
      <c r="Q7" s="41"/>
      <c r="R7" s="27"/>
      <c r="S7" s="86"/>
      <c r="T7" s="28"/>
      <c r="V7" s="38"/>
      <c r="W7" s="9"/>
      <c r="X7" s="9"/>
    </row>
    <row r="8" spans="1:24" ht="12.75">
      <c r="A8" s="12">
        <v>22433</v>
      </c>
      <c r="B8" s="26"/>
      <c r="C8" s="27"/>
      <c r="D8" s="33">
        <v>1070</v>
      </c>
      <c r="E8" s="41">
        <v>0.11691020000000001</v>
      </c>
      <c r="F8" s="33"/>
      <c r="G8" s="41"/>
      <c r="H8" s="33">
        <v>1382</v>
      </c>
      <c r="I8" s="33">
        <f>IF(Tabela1716[[#This Row],[Housing Starts]]="",#N/A,Tabela1716[[#This Row],[Housing Starts]]-H7)</f>
        <v>154</v>
      </c>
      <c r="J8" s="41"/>
      <c r="K8" s="26"/>
      <c r="L8" s="41"/>
      <c r="M8" s="27"/>
      <c r="N8" s="41"/>
      <c r="O8" s="33"/>
      <c r="P8" s="33"/>
      <c r="Q8" s="41"/>
      <c r="R8" s="27"/>
      <c r="S8" s="86"/>
      <c r="T8" s="28"/>
      <c r="W8" s="9"/>
      <c r="X8" s="9"/>
    </row>
    <row r="9" spans="1:24" ht="12.75">
      <c r="A9" s="12">
        <v>22463</v>
      </c>
      <c r="B9" s="26"/>
      <c r="C9" s="27"/>
      <c r="D9" s="33">
        <v>1083</v>
      </c>
      <c r="E9" s="41">
        <v>8.4084099999999995E-2</v>
      </c>
      <c r="F9" s="33"/>
      <c r="G9" s="41"/>
      <c r="H9" s="33">
        <v>1335</v>
      </c>
      <c r="I9" s="33">
        <f>IF(Tabela1716[[#This Row],[Housing Starts]]="",#N/A,Tabela1716[[#This Row],[Housing Starts]]-H8)</f>
        <v>-47</v>
      </c>
      <c r="J9" s="41"/>
      <c r="K9" s="26"/>
      <c r="L9" s="41"/>
      <c r="M9" s="27"/>
      <c r="N9" s="41"/>
      <c r="O9" s="33"/>
      <c r="P9" s="33"/>
      <c r="Q9" s="41"/>
      <c r="R9" s="27"/>
      <c r="S9" s="86"/>
      <c r="T9" s="28"/>
      <c r="V9" s="38"/>
      <c r="W9" s="9"/>
      <c r="X9" s="9"/>
    </row>
    <row r="10" spans="1:24" ht="12.75">
      <c r="A10" s="12">
        <v>22494</v>
      </c>
      <c r="B10" s="26"/>
      <c r="C10" s="27"/>
      <c r="D10" s="33">
        <v>1159</v>
      </c>
      <c r="E10" s="41">
        <v>0.16599599999999998</v>
      </c>
      <c r="F10" s="33"/>
      <c r="G10" s="41"/>
      <c r="H10" s="33">
        <v>1312</v>
      </c>
      <c r="I10" s="33">
        <f>IF(Tabela1716[[#This Row],[Housing Starts]]="",#N/A,Tabela1716[[#This Row],[Housing Starts]]-H9)</f>
        <v>-23</v>
      </c>
      <c r="J10" s="41"/>
      <c r="K10" s="26"/>
      <c r="L10" s="41"/>
      <c r="M10" s="27"/>
      <c r="N10" s="41"/>
      <c r="O10" s="33"/>
      <c r="P10" s="33"/>
      <c r="Q10" s="41"/>
      <c r="R10" s="27"/>
      <c r="S10" s="86"/>
      <c r="T10" s="28"/>
      <c r="W10" s="9"/>
      <c r="X10" s="9"/>
    </row>
    <row r="11" spans="1:24" ht="12.75">
      <c r="A11" s="12">
        <v>22525</v>
      </c>
      <c r="B11" s="26"/>
      <c r="C11" s="27"/>
      <c r="D11" s="33">
        <v>1098</v>
      </c>
      <c r="E11" s="41">
        <v>0.11585369999999999</v>
      </c>
      <c r="F11" s="33"/>
      <c r="G11" s="41"/>
      <c r="H11" s="33">
        <v>1429</v>
      </c>
      <c r="I11" s="33">
        <f>IF(Tabela1716[[#This Row],[Housing Starts]]="",#N/A,Tabela1716[[#This Row],[Housing Starts]]-H10)</f>
        <v>117</v>
      </c>
      <c r="J11" s="41"/>
      <c r="K11" s="26"/>
      <c r="L11" s="41"/>
      <c r="M11" s="27"/>
      <c r="N11" s="41"/>
      <c r="O11" s="33"/>
      <c r="P11" s="33"/>
      <c r="Q11" s="41"/>
      <c r="R11" s="27"/>
      <c r="S11" s="86"/>
      <c r="T11" s="28"/>
      <c r="V11" s="38"/>
      <c r="W11" s="9"/>
      <c r="X11" s="9"/>
    </row>
    <row r="12" spans="1:24" ht="12.75">
      <c r="A12" s="12">
        <v>22555</v>
      </c>
      <c r="B12" s="26"/>
      <c r="C12" s="27"/>
      <c r="D12" s="33">
        <v>1123</v>
      </c>
      <c r="E12" s="41">
        <v>0.15534979999999998</v>
      </c>
      <c r="F12" s="33"/>
      <c r="G12" s="41"/>
      <c r="H12" s="33">
        <v>1415</v>
      </c>
      <c r="I12" s="33">
        <f>IF(Tabela1716[[#This Row],[Housing Starts]]="",#N/A,Tabela1716[[#This Row],[Housing Starts]]-H11)</f>
        <v>-14</v>
      </c>
      <c r="J12" s="41"/>
      <c r="K12" s="26"/>
      <c r="L12" s="41"/>
      <c r="M12" s="27"/>
      <c r="N12" s="41"/>
      <c r="O12" s="33"/>
      <c r="P12" s="33"/>
      <c r="Q12" s="41"/>
      <c r="R12" s="27"/>
      <c r="S12" s="86"/>
      <c r="T12" s="28"/>
      <c r="W12" s="9"/>
      <c r="X12" s="9"/>
    </row>
    <row r="13" spans="1:24" ht="12.75">
      <c r="A13" s="12">
        <v>22586</v>
      </c>
      <c r="B13" s="26"/>
      <c r="C13" s="27"/>
      <c r="D13" s="33">
        <v>1152</v>
      </c>
      <c r="E13" s="41">
        <v>0.1767109</v>
      </c>
      <c r="F13" s="33"/>
      <c r="G13" s="41"/>
      <c r="H13" s="33">
        <v>1385</v>
      </c>
      <c r="I13" s="33">
        <f>IF(Tabela1716[[#This Row],[Housing Starts]]="",#N/A,Tabela1716[[#This Row],[Housing Starts]]-H12)</f>
        <v>-30</v>
      </c>
      <c r="J13" s="41"/>
      <c r="K13" s="26"/>
      <c r="L13" s="41"/>
      <c r="M13" s="27"/>
      <c r="N13" s="41"/>
      <c r="O13" s="33"/>
      <c r="P13" s="33"/>
      <c r="Q13" s="41"/>
      <c r="R13" s="27"/>
      <c r="S13" s="86"/>
      <c r="T13" s="28"/>
      <c r="V13" s="38"/>
      <c r="W13" s="9"/>
      <c r="X13" s="9"/>
    </row>
    <row r="14" spans="1:24" ht="12.75">
      <c r="A14" s="12">
        <v>22616</v>
      </c>
      <c r="B14" s="26"/>
      <c r="C14" s="27"/>
      <c r="D14" s="33">
        <v>1161</v>
      </c>
      <c r="E14" s="41">
        <v>0.22082019999999999</v>
      </c>
      <c r="F14" s="33"/>
      <c r="G14" s="41"/>
      <c r="H14" s="33">
        <v>1365</v>
      </c>
      <c r="I14" s="33">
        <f>IF(Tabela1716[[#This Row],[Housing Starts]]="",#N/A,Tabela1716[[#This Row],[Housing Starts]]-H13)</f>
        <v>-20</v>
      </c>
      <c r="J14" s="41"/>
      <c r="K14" s="26"/>
      <c r="L14" s="41"/>
      <c r="M14" s="27"/>
      <c r="N14" s="41"/>
      <c r="O14" s="33"/>
      <c r="P14" s="33"/>
      <c r="Q14" s="41"/>
      <c r="R14" s="27"/>
      <c r="S14" s="86"/>
      <c r="T14" s="28"/>
      <c r="W14" s="9"/>
      <c r="X14" s="9"/>
    </row>
    <row r="15" spans="1:24" ht="12.75">
      <c r="A15" s="12">
        <v>22647</v>
      </c>
      <c r="B15" s="26"/>
      <c r="C15" s="27"/>
      <c r="D15" s="33">
        <v>1122</v>
      </c>
      <c r="E15" s="41">
        <f>IF(Tabela1716[[#This Row],[Building Permits]]="",#N/A,((Tabela1716[[#This Row],[Building Permits]]*1)/D3)-1)</f>
        <v>0.15789473684210531</v>
      </c>
      <c r="F15" s="33"/>
      <c r="G15" s="41"/>
      <c r="H15" s="33">
        <v>1361</v>
      </c>
      <c r="I15" s="33">
        <f>IF(Tabela1716[[#This Row],[Housing Starts]]="",#N/A,Tabela1716[[#This Row],[Housing Starts]]-H14)</f>
        <v>-4</v>
      </c>
      <c r="J15" s="41">
        <f>IF(Tabela1716[[#This Row],[Housing Starts]]="",#N/A,((Tabela1716[[#This Row],[Housing Starts]]*1)/H3)-1)</f>
        <v>0.15046491969568887</v>
      </c>
      <c r="K15" s="26"/>
      <c r="L15" s="41"/>
      <c r="M15" s="27"/>
      <c r="N15" s="41"/>
      <c r="O15" s="33"/>
      <c r="P15" s="33"/>
      <c r="Q15" s="41"/>
      <c r="R15" s="27"/>
      <c r="S15" s="86"/>
      <c r="T15" s="28"/>
      <c r="V15" s="38"/>
      <c r="W15" s="9"/>
      <c r="X15" s="9"/>
    </row>
    <row r="16" spans="1:24" ht="12.75">
      <c r="A16" s="12">
        <v>22678</v>
      </c>
      <c r="B16" s="26"/>
      <c r="C16" s="27"/>
      <c r="D16" s="33">
        <v>1194</v>
      </c>
      <c r="E16" s="41">
        <f>IF(Tabela1716[[#This Row],[Building Permits]]="",#N/A,((Tabela1716[[#This Row],[Building Permits]]*1)/D4)-1)</f>
        <v>0.2424557752341312</v>
      </c>
      <c r="F16" s="33"/>
      <c r="G16" s="41"/>
      <c r="H16" s="33">
        <v>1278</v>
      </c>
      <c r="I16" s="33">
        <f>IF(Tabela1716[[#This Row],[Housing Starts]]="",#N/A,Tabela1716[[#This Row],[Housing Starts]]-H15)</f>
        <v>-83</v>
      </c>
      <c r="J16" s="41">
        <f>IF(Tabela1716[[#This Row],[Housing Starts]]="",#N/A,((Tabela1716[[#This Row],[Housing Starts]]*1)/H4)-1)</f>
        <v>4.2414355628058731E-2</v>
      </c>
      <c r="K16" s="26"/>
      <c r="L16" s="41"/>
      <c r="M16" s="27"/>
      <c r="N16" s="41"/>
      <c r="O16" s="33"/>
      <c r="P16" s="33"/>
      <c r="Q16" s="41"/>
      <c r="R16" s="27"/>
      <c r="S16" s="86"/>
      <c r="T16" s="28"/>
      <c r="W16" s="9"/>
      <c r="X16" s="9"/>
    </row>
    <row r="17" spans="1:24" ht="12.75">
      <c r="A17" s="12">
        <v>22706</v>
      </c>
      <c r="B17" s="26"/>
      <c r="C17" s="27"/>
      <c r="D17" s="33">
        <v>1134</v>
      </c>
      <c r="E17" s="41">
        <f>IF(Tabela1716[[#This Row],[Building Permits]]="",#N/A,((Tabela1716[[#This Row],[Building Permits]]*1)/D5)-1)</f>
        <v>0.1339999999999999</v>
      </c>
      <c r="F17" s="33"/>
      <c r="G17" s="41"/>
      <c r="H17" s="33">
        <v>1443</v>
      </c>
      <c r="I17" s="33">
        <f>IF(Tabela1716[[#This Row],[Housing Starts]]="",#N/A,Tabela1716[[#This Row],[Housing Starts]]-H16)</f>
        <v>165</v>
      </c>
      <c r="J17" s="41">
        <f>IF(Tabela1716[[#This Row],[Housing Starts]]="",#N/A,((Tabela1716[[#This Row],[Housing Starts]]*1)/H5)-1)</f>
        <v>9.9847560975609762E-2</v>
      </c>
      <c r="K17" s="26"/>
      <c r="L17" s="41"/>
      <c r="M17" s="27"/>
      <c r="N17" s="41"/>
      <c r="O17" s="33"/>
      <c r="P17" s="33"/>
      <c r="Q17" s="41"/>
      <c r="R17" s="27"/>
      <c r="S17" s="86"/>
      <c r="T17" s="28"/>
      <c r="V17" s="38"/>
      <c r="W17" s="9"/>
      <c r="X17" s="9"/>
    </row>
    <row r="18" spans="1:24" ht="12.75">
      <c r="A18" s="12">
        <v>22737</v>
      </c>
      <c r="B18" s="26"/>
      <c r="C18" s="27"/>
      <c r="D18" s="33">
        <v>1235</v>
      </c>
      <c r="E18" s="41">
        <f>IF(Tabela1716[[#This Row],[Building Permits]]="",#N/A,((Tabela1716[[#This Row],[Building Permits]]*1)/D6)-1)</f>
        <v>0.2325349301397206</v>
      </c>
      <c r="F18" s="33"/>
      <c r="G18" s="41"/>
      <c r="H18" s="33">
        <v>1524</v>
      </c>
      <c r="I18" s="33">
        <f>IF(Tabela1716[[#This Row],[Housing Starts]]="",#N/A,Tabela1716[[#This Row],[Housing Starts]]-H17)</f>
        <v>81</v>
      </c>
      <c r="J18" s="41">
        <f>IF(Tabela1716[[#This Row],[Housing Starts]]="",#N/A,((Tabela1716[[#This Row],[Housing Starts]]*1)/H6)-1)</f>
        <v>0.30703259005145789</v>
      </c>
      <c r="K18" s="26"/>
      <c r="L18" s="41"/>
      <c r="M18" s="27"/>
      <c r="N18" s="41"/>
      <c r="O18" s="33"/>
      <c r="P18" s="33"/>
      <c r="Q18" s="41"/>
      <c r="R18" s="27"/>
      <c r="S18" s="86"/>
      <c r="T18" s="28"/>
      <c r="W18" s="9"/>
      <c r="X18" s="9"/>
    </row>
    <row r="19" spans="1:24" ht="12.75">
      <c r="A19" s="12">
        <v>22767</v>
      </c>
      <c r="B19" s="26"/>
      <c r="C19" s="27"/>
      <c r="D19" s="33">
        <v>1142</v>
      </c>
      <c r="E19" s="41">
        <f>IF(Tabela1716[[#This Row],[Building Permits]]="",#N/A,((Tabela1716[[#This Row],[Building Permits]]*1)/D7)-1)</f>
        <v>0.1119766309639727</v>
      </c>
      <c r="F19" s="33"/>
      <c r="G19" s="41"/>
      <c r="H19" s="33">
        <v>1483</v>
      </c>
      <c r="I19" s="33">
        <f>IF(Tabela1716[[#This Row],[Housing Starts]]="",#N/A,Tabela1716[[#This Row],[Housing Starts]]-H18)</f>
        <v>-41</v>
      </c>
      <c r="J19" s="41">
        <f>IF(Tabela1716[[#This Row],[Housing Starts]]="",#N/A,((Tabela1716[[#This Row],[Housing Starts]]*1)/H7)-1)</f>
        <v>0.20765472312703581</v>
      </c>
      <c r="K19" s="26"/>
      <c r="L19" s="41"/>
      <c r="M19" s="27"/>
      <c r="N19" s="41"/>
      <c r="O19" s="33"/>
      <c r="P19" s="33"/>
      <c r="Q19" s="41"/>
      <c r="R19" s="27"/>
      <c r="S19" s="86"/>
      <c r="T19" s="28"/>
      <c r="V19" s="38"/>
      <c r="W19" s="9"/>
      <c r="X19" s="9"/>
    </row>
    <row r="20" spans="1:24" ht="12.75">
      <c r="A20" s="12">
        <v>22798</v>
      </c>
      <c r="B20" s="26"/>
      <c r="C20" s="27"/>
      <c r="D20" s="33">
        <v>1154</v>
      </c>
      <c r="E20" s="41">
        <f>IF(Tabela1716[[#This Row],[Building Permits]]="",#N/A,((Tabela1716[[#This Row],[Building Permits]]*1)/D8)-1)</f>
        <v>7.8504672897196315E-2</v>
      </c>
      <c r="F20" s="33"/>
      <c r="G20" s="41"/>
      <c r="H20" s="33">
        <v>1404</v>
      </c>
      <c r="I20" s="33">
        <f>IF(Tabela1716[[#This Row],[Housing Starts]]="",#N/A,Tabela1716[[#This Row],[Housing Starts]]-H19)</f>
        <v>-79</v>
      </c>
      <c r="J20" s="41">
        <f>IF(Tabela1716[[#This Row],[Housing Starts]]="",#N/A,((Tabela1716[[#This Row],[Housing Starts]]*1)/H8)-1)</f>
        <v>1.591895803183796E-2</v>
      </c>
      <c r="K20" s="26"/>
      <c r="L20" s="41"/>
      <c r="M20" s="27"/>
      <c r="N20" s="41"/>
      <c r="O20" s="33"/>
      <c r="P20" s="33"/>
      <c r="Q20" s="41"/>
      <c r="R20" s="27"/>
      <c r="S20" s="86"/>
      <c r="T20" s="28"/>
      <c r="W20" s="9"/>
      <c r="X20" s="9"/>
    </row>
    <row r="21" spans="1:24" ht="12.75">
      <c r="A21" s="12">
        <v>22828</v>
      </c>
      <c r="B21" s="26"/>
      <c r="C21" s="27"/>
      <c r="D21" s="33">
        <v>1189</v>
      </c>
      <c r="E21" s="41">
        <f>IF(Tabela1716[[#This Row],[Building Permits]]="",#N/A,((Tabela1716[[#This Row],[Building Permits]]*1)/D9)-1)</f>
        <v>9.787626962142193E-2</v>
      </c>
      <c r="F21" s="33"/>
      <c r="G21" s="41"/>
      <c r="H21" s="33">
        <v>1450</v>
      </c>
      <c r="I21" s="33">
        <f>IF(Tabela1716[[#This Row],[Housing Starts]]="",#N/A,Tabela1716[[#This Row],[Housing Starts]]-H20)</f>
        <v>46</v>
      </c>
      <c r="J21" s="41">
        <f>IF(Tabela1716[[#This Row],[Housing Starts]]="",#N/A,((Tabela1716[[#This Row],[Housing Starts]]*1)/H9)-1)</f>
        <v>8.6142322097378266E-2</v>
      </c>
      <c r="K21" s="26"/>
      <c r="L21" s="41"/>
      <c r="M21" s="27"/>
      <c r="N21" s="41"/>
      <c r="O21" s="33"/>
      <c r="P21" s="33"/>
      <c r="Q21" s="41"/>
      <c r="R21" s="27"/>
      <c r="S21" s="86"/>
      <c r="T21" s="28"/>
      <c r="V21" s="38"/>
      <c r="W21" s="9"/>
      <c r="X21" s="9"/>
    </row>
    <row r="22" spans="1:24" ht="12.75">
      <c r="A22" s="12">
        <v>22859</v>
      </c>
      <c r="B22" s="26"/>
      <c r="C22" s="27"/>
      <c r="D22" s="33">
        <v>1200</v>
      </c>
      <c r="E22" s="41">
        <f>IF(Tabela1716[[#This Row],[Building Permits]]="",#N/A,((Tabela1716[[#This Row],[Building Permits]]*1)/D10)-1)</f>
        <v>3.5375323554788674E-2</v>
      </c>
      <c r="F22" s="33"/>
      <c r="G22" s="41"/>
      <c r="H22" s="33">
        <v>1517</v>
      </c>
      <c r="I22" s="33">
        <f>IF(Tabela1716[[#This Row],[Housing Starts]]="",#N/A,Tabela1716[[#This Row],[Housing Starts]]-H21)</f>
        <v>67</v>
      </c>
      <c r="J22" s="41">
        <f>IF(Tabela1716[[#This Row],[Housing Starts]]="",#N/A,((Tabela1716[[#This Row],[Housing Starts]]*1)/H10)-1)</f>
        <v>0.15625</v>
      </c>
      <c r="K22" s="26"/>
      <c r="L22" s="41"/>
      <c r="M22" s="27"/>
      <c r="N22" s="41"/>
      <c r="O22" s="33"/>
      <c r="P22" s="33"/>
      <c r="Q22" s="41"/>
      <c r="R22" s="27"/>
      <c r="S22" s="86"/>
      <c r="T22" s="28"/>
      <c r="W22" s="9"/>
      <c r="X22" s="9"/>
    </row>
    <row r="23" spans="1:24" ht="12.75">
      <c r="A23" s="12">
        <v>22890</v>
      </c>
      <c r="B23" s="26"/>
      <c r="C23" s="27"/>
      <c r="D23" s="33">
        <v>1223</v>
      </c>
      <c r="E23" s="41">
        <f>IF(Tabela1716[[#This Row],[Building Permits]]="",#N/A,((Tabela1716[[#This Row],[Building Permits]]*1)/D11)-1)</f>
        <v>0.11384335154826952</v>
      </c>
      <c r="F23" s="33"/>
      <c r="G23" s="41"/>
      <c r="H23" s="33">
        <v>1324</v>
      </c>
      <c r="I23" s="33">
        <f>IF(Tabela1716[[#This Row],[Housing Starts]]="",#N/A,Tabela1716[[#This Row],[Housing Starts]]-H22)</f>
        <v>-193</v>
      </c>
      <c r="J23" s="41">
        <f>IF(Tabela1716[[#This Row],[Housing Starts]]="",#N/A,((Tabela1716[[#This Row],[Housing Starts]]*1)/H11)-1)</f>
        <v>-7.3477956613016149E-2</v>
      </c>
      <c r="K23" s="26"/>
      <c r="L23" s="41"/>
      <c r="M23" s="27"/>
      <c r="N23" s="41"/>
      <c r="O23" s="33"/>
      <c r="P23" s="33"/>
      <c r="Q23" s="41"/>
      <c r="R23" s="27"/>
      <c r="S23" s="86"/>
      <c r="T23" s="28"/>
      <c r="V23" s="38"/>
      <c r="W23" s="9"/>
      <c r="X23" s="9"/>
    </row>
    <row r="24" spans="1:24" ht="12.75">
      <c r="A24" s="12">
        <v>22920</v>
      </c>
      <c r="B24" s="26"/>
      <c r="C24" s="27"/>
      <c r="D24" s="33">
        <v>1181</v>
      </c>
      <c r="E24" s="41">
        <f>IF(Tabela1716[[#This Row],[Building Permits]]="",#N/A,((Tabela1716[[#This Row],[Building Permits]]*1)/D12)-1)</f>
        <v>5.1647373107747141E-2</v>
      </c>
      <c r="F24" s="33"/>
      <c r="G24" s="41"/>
      <c r="H24" s="33">
        <v>1533</v>
      </c>
      <c r="I24" s="33">
        <f>IF(Tabela1716[[#This Row],[Housing Starts]]="",#N/A,Tabela1716[[#This Row],[Housing Starts]]-H23)</f>
        <v>209</v>
      </c>
      <c r="J24" s="41">
        <f>IF(Tabela1716[[#This Row],[Housing Starts]]="",#N/A,((Tabela1716[[#This Row],[Housing Starts]]*1)/H12)-1)</f>
        <v>8.3392226148409909E-2</v>
      </c>
      <c r="K24" s="26"/>
      <c r="L24" s="41"/>
      <c r="M24" s="27"/>
      <c r="N24" s="41"/>
      <c r="O24" s="33"/>
      <c r="P24" s="33"/>
      <c r="Q24" s="41"/>
      <c r="R24" s="27"/>
      <c r="S24" s="86"/>
      <c r="T24" s="28"/>
      <c r="W24" s="9"/>
      <c r="X24" s="9"/>
    </row>
    <row r="25" spans="1:24" ht="12.75">
      <c r="A25" s="12">
        <v>22951</v>
      </c>
      <c r="B25" s="26"/>
      <c r="C25" s="27"/>
      <c r="D25" s="33">
        <v>1236</v>
      </c>
      <c r="E25" s="41">
        <f>IF(Tabela1716[[#This Row],[Building Permits]]="",#N/A,((Tabela1716[[#This Row],[Building Permits]]*1)/D13)-1)</f>
        <v>7.2916666666666741E-2</v>
      </c>
      <c r="F25" s="33"/>
      <c r="G25" s="41"/>
      <c r="H25" s="33">
        <v>1622</v>
      </c>
      <c r="I25" s="33">
        <f>IF(Tabela1716[[#This Row],[Housing Starts]]="",#N/A,Tabela1716[[#This Row],[Housing Starts]]-H24)</f>
        <v>89</v>
      </c>
      <c r="J25" s="41">
        <f>IF(Tabela1716[[#This Row],[Housing Starts]]="",#N/A,((Tabela1716[[#This Row],[Housing Starts]]*1)/H13)-1)</f>
        <v>0.17111913357400721</v>
      </c>
      <c r="K25" s="26"/>
      <c r="L25" s="41"/>
      <c r="M25" s="27"/>
      <c r="N25" s="41"/>
      <c r="O25" s="33"/>
      <c r="P25" s="33"/>
      <c r="Q25" s="41"/>
      <c r="R25" s="27"/>
      <c r="S25" s="86"/>
      <c r="T25" s="28"/>
      <c r="V25" s="38"/>
      <c r="W25" s="9"/>
      <c r="X25" s="9"/>
    </row>
    <row r="26" spans="1:24" ht="12.75">
      <c r="A26" s="12">
        <v>22981</v>
      </c>
      <c r="B26" s="26"/>
      <c r="C26" s="27"/>
      <c r="D26" s="33">
        <v>1236</v>
      </c>
      <c r="E26" s="41">
        <f>IF(Tabela1716[[#This Row],[Building Permits]]="",#N/A,((Tabela1716[[#This Row],[Building Permits]]*1)/D14)-1)</f>
        <v>6.4599483204134334E-2</v>
      </c>
      <c r="F26" s="33"/>
      <c r="G26" s="41"/>
      <c r="H26" s="33">
        <v>1564</v>
      </c>
      <c r="I26" s="33">
        <f>IF(Tabela1716[[#This Row],[Housing Starts]]="",#N/A,Tabela1716[[#This Row],[Housing Starts]]-H25)</f>
        <v>-58</v>
      </c>
      <c r="J26" s="41">
        <f>IF(Tabela1716[[#This Row],[Housing Starts]]="",#N/A,((Tabela1716[[#This Row],[Housing Starts]]*1)/H14)-1)</f>
        <v>0.14578754578754571</v>
      </c>
      <c r="K26" s="26"/>
      <c r="L26" s="41"/>
      <c r="M26" s="27"/>
      <c r="N26" s="41"/>
      <c r="O26" s="33"/>
      <c r="P26" s="33"/>
      <c r="Q26" s="41"/>
      <c r="R26" s="27"/>
      <c r="S26" s="86"/>
      <c r="T26" s="28"/>
      <c r="W26" s="9"/>
      <c r="X26" s="9"/>
    </row>
    <row r="27" spans="1:24" ht="12.75">
      <c r="A27" s="12">
        <v>23012</v>
      </c>
      <c r="B27" s="26"/>
      <c r="C27" s="27"/>
      <c r="D27" s="33">
        <v>1248</v>
      </c>
      <c r="E27" s="41">
        <f>IF(Tabela1716[[#This Row],[Building Permits]]="",#N/A,((Tabela1716[[#This Row],[Building Permits]]*1)/D15)-1)</f>
        <v>0.11229946524064172</v>
      </c>
      <c r="F27" s="33"/>
      <c r="G27" s="41"/>
      <c r="H27" s="33">
        <v>1244</v>
      </c>
      <c r="I27" s="33">
        <f>IF(Tabela1716[[#This Row],[Housing Starts]]="",#N/A,Tabela1716[[#This Row],[Housing Starts]]-H26)</f>
        <v>-320</v>
      </c>
      <c r="J27" s="41">
        <f>IF(Tabela1716[[#This Row],[Housing Starts]]="",#N/A,((Tabela1716[[#This Row],[Housing Starts]]*1)/H15)-1)</f>
        <v>-8.5966201322556945E-2</v>
      </c>
      <c r="K27" s="26"/>
      <c r="L27" s="41"/>
      <c r="M27" s="27"/>
      <c r="N27" s="41"/>
      <c r="O27" s="33">
        <v>591</v>
      </c>
      <c r="P27" s="41"/>
      <c r="Q27" s="41"/>
      <c r="R27" s="27">
        <v>4.7</v>
      </c>
      <c r="S27" s="86"/>
      <c r="T27" s="28"/>
      <c r="V27" s="38"/>
      <c r="W27" s="9"/>
      <c r="X27" s="9"/>
    </row>
    <row r="28" spans="1:24" ht="12.75">
      <c r="A28" s="12">
        <v>23043</v>
      </c>
      <c r="B28" s="26"/>
      <c r="C28" s="27"/>
      <c r="D28" s="33">
        <v>1212</v>
      </c>
      <c r="E28" s="41">
        <f>IF(Tabela1716[[#This Row],[Building Permits]]="",#N/A,((Tabela1716[[#This Row],[Building Permits]]*1)/D16)-1)</f>
        <v>1.5075376884422065E-2</v>
      </c>
      <c r="F28" s="33"/>
      <c r="G28" s="41"/>
      <c r="H28" s="33">
        <v>1456</v>
      </c>
      <c r="I28" s="33">
        <f>IF(Tabela1716[[#This Row],[Housing Starts]]="",#N/A,Tabela1716[[#This Row],[Housing Starts]]-H27)</f>
        <v>212</v>
      </c>
      <c r="J28" s="41">
        <f>IF(Tabela1716[[#This Row],[Housing Starts]]="",#N/A,((Tabela1716[[#This Row],[Housing Starts]]*1)/H16)-1)</f>
        <v>0.13928012519561817</v>
      </c>
      <c r="K28" s="26"/>
      <c r="L28" s="41"/>
      <c r="M28" s="27"/>
      <c r="N28" s="41"/>
      <c r="O28" s="33">
        <v>464</v>
      </c>
      <c r="P28" s="41">
        <f>IF(Tabela1716[[#This Row],[New House Sales]]="",#N/A,((Tabela1716[[#This Row],[New House Sales]]*1)/O27)-1)</f>
        <v>-0.21489001692047383</v>
      </c>
      <c r="Q28" s="41"/>
      <c r="R28" s="27">
        <v>6.6</v>
      </c>
      <c r="S28" s="86"/>
      <c r="T28" s="28"/>
      <c r="W28" s="9"/>
      <c r="X28" s="9"/>
    </row>
    <row r="29" spans="1:24" ht="12.75">
      <c r="A29" s="12">
        <v>23071</v>
      </c>
      <c r="B29" s="26"/>
      <c r="C29" s="27"/>
      <c r="D29" s="33">
        <v>1258</v>
      </c>
      <c r="E29" s="41">
        <f>IF(Tabela1716[[#This Row],[Building Permits]]="",#N/A,((Tabela1716[[#This Row],[Building Permits]]*1)/D17)-1)</f>
        <v>0.10934744268077612</v>
      </c>
      <c r="F29" s="33"/>
      <c r="G29" s="41"/>
      <c r="H29" s="33">
        <v>1534</v>
      </c>
      <c r="I29" s="33">
        <f>IF(Tabela1716[[#This Row],[Housing Starts]]="",#N/A,Tabela1716[[#This Row],[Housing Starts]]-H28)</f>
        <v>78</v>
      </c>
      <c r="J29" s="41">
        <f>IF(Tabela1716[[#This Row],[Housing Starts]]="",#N/A,((Tabela1716[[#This Row],[Housing Starts]]*1)/H17)-1)</f>
        <v>6.3063063063063085E-2</v>
      </c>
      <c r="K29" s="26"/>
      <c r="L29" s="41"/>
      <c r="M29" s="27"/>
      <c r="N29" s="41"/>
      <c r="O29" s="33">
        <v>461</v>
      </c>
      <c r="P29" s="41">
        <f>IF(Tabela1716[[#This Row],[New House Sales]]="",#N/A,((Tabela1716[[#This Row],[New House Sales]]*1)/O28)-1)</f>
        <v>-6.4655172413793371E-3</v>
      </c>
      <c r="Q29" s="41"/>
      <c r="R29" s="27">
        <v>6.4</v>
      </c>
      <c r="S29" s="86"/>
      <c r="T29" s="28"/>
      <c r="V29" s="38"/>
      <c r="W29" s="9"/>
      <c r="X29" s="9"/>
    </row>
    <row r="30" spans="1:24" ht="12.75">
      <c r="A30" s="12">
        <v>23102</v>
      </c>
      <c r="B30" s="26"/>
      <c r="C30" s="27"/>
      <c r="D30" s="33">
        <v>1288</v>
      </c>
      <c r="E30" s="41">
        <f>IF(Tabela1716[[#This Row],[Building Permits]]="",#N/A,((Tabela1716[[#This Row],[Building Permits]]*1)/D18)-1)</f>
        <v>4.2914979757084915E-2</v>
      </c>
      <c r="F30" s="33"/>
      <c r="G30" s="41"/>
      <c r="H30" s="33">
        <v>1689</v>
      </c>
      <c r="I30" s="33">
        <f>IF(Tabela1716[[#This Row],[Housing Starts]]="",#N/A,Tabela1716[[#This Row],[Housing Starts]]-H29)</f>
        <v>155</v>
      </c>
      <c r="J30" s="41">
        <f>IF(Tabela1716[[#This Row],[Housing Starts]]="",#N/A,((Tabela1716[[#This Row],[Housing Starts]]*1)/H18)-1)</f>
        <v>0.1082677165354331</v>
      </c>
      <c r="K30" s="26"/>
      <c r="L30" s="41"/>
      <c r="M30" s="27"/>
      <c r="N30" s="41"/>
      <c r="O30" s="33">
        <v>605</v>
      </c>
      <c r="P30" s="41">
        <f>IF(Tabela1716[[#This Row],[New House Sales]]="",#N/A,((Tabela1716[[#This Row],[New House Sales]]*1)/O29)-1)</f>
        <v>0.31236442516268981</v>
      </c>
      <c r="Q30" s="41"/>
      <c r="R30" s="27">
        <v>5.3</v>
      </c>
      <c r="S30" s="86"/>
      <c r="T30" s="28"/>
      <c r="W30" s="9"/>
      <c r="X30" s="9"/>
    </row>
    <row r="31" spans="1:24" ht="12.75">
      <c r="A31" s="12">
        <v>23132</v>
      </c>
      <c r="B31" s="26"/>
      <c r="C31" s="27"/>
      <c r="D31" s="33">
        <v>1350</v>
      </c>
      <c r="E31" s="41">
        <f>IF(Tabela1716[[#This Row],[Building Permits]]="",#N/A,((Tabela1716[[#This Row],[Building Permits]]*1)/D19)-1)</f>
        <v>0.18213660245183894</v>
      </c>
      <c r="F31" s="33"/>
      <c r="G31" s="41"/>
      <c r="H31" s="33">
        <v>1641</v>
      </c>
      <c r="I31" s="33">
        <f>IF(Tabela1716[[#This Row],[Housing Starts]]="",#N/A,Tabela1716[[#This Row],[Housing Starts]]-H30)</f>
        <v>-48</v>
      </c>
      <c r="J31" s="41">
        <f>IF(Tabela1716[[#This Row],[Housing Starts]]="",#N/A,((Tabela1716[[#This Row],[Housing Starts]]*1)/H19)-1)</f>
        <v>0.10654079568442354</v>
      </c>
      <c r="K31" s="26"/>
      <c r="L31" s="41"/>
      <c r="M31" s="27"/>
      <c r="N31" s="41"/>
      <c r="O31" s="33">
        <v>586</v>
      </c>
      <c r="P31" s="41">
        <f>IF(Tabela1716[[#This Row],[New House Sales]]="",#N/A,((Tabela1716[[#This Row],[New House Sales]]*1)/O30)-1)</f>
        <v>-3.1404958677686001E-2</v>
      </c>
      <c r="Q31" s="41"/>
      <c r="R31" s="27">
        <v>5.0999999999999996</v>
      </c>
      <c r="S31" s="86"/>
      <c r="T31" s="28"/>
      <c r="V31" s="38"/>
      <c r="W31" s="9"/>
      <c r="X31" s="9"/>
    </row>
    <row r="32" spans="1:24" ht="12.75">
      <c r="A32" s="12">
        <v>23163</v>
      </c>
      <c r="B32" s="26"/>
      <c r="C32" s="27"/>
      <c r="D32" s="33">
        <v>1345</v>
      </c>
      <c r="E32" s="41">
        <f>IF(Tabela1716[[#This Row],[Building Permits]]="",#N/A,((Tabela1716[[#This Row],[Building Permits]]*1)/D20)-1)</f>
        <v>0.16551126516464465</v>
      </c>
      <c r="F32" s="33"/>
      <c r="G32" s="41"/>
      <c r="H32" s="33">
        <v>1588</v>
      </c>
      <c r="I32" s="33">
        <f>IF(Tabela1716[[#This Row],[Housing Starts]]="",#N/A,Tabela1716[[#This Row],[Housing Starts]]-H31)</f>
        <v>-53</v>
      </c>
      <c r="J32" s="41">
        <f>IF(Tabela1716[[#This Row],[Housing Starts]]="",#N/A,((Tabela1716[[#This Row],[Housing Starts]]*1)/H20)-1)</f>
        <v>0.13105413105413111</v>
      </c>
      <c r="K32" s="26"/>
      <c r="L32" s="41"/>
      <c r="M32" s="27"/>
      <c r="N32" s="41"/>
      <c r="O32" s="33">
        <v>526</v>
      </c>
      <c r="P32" s="41">
        <f>IF(Tabela1716[[#This Row],[New House Sales]]="",#N/A,((Tabela1716[[#This Row],[New House Sales]]*1)/O31)-1)</f>
        <v>-0.10238907849829348</v>
      </c>
      <c r="Q32" s="41"/>
      <c r="R32" s="27">
        <v>6</v>
      </c>
      <c r="S32" s="86"/>
      <c r="T32" s="28"/>
      <c r="W32" s="9"/>
      <c r="X32" s="9"/>
    </row>
    <row r="33" spans="1:24" ht="12.75">
      <c r="A33" s="12">
        <v>23193</v>
      </c>
      <c r="B33" s="26"/>
      <c r="C33" s="27"/>
      <c r="D33" s="33">
        <v>1321</v>
      </c>
      <c r="E33" s="41">
        <f>IF(Tabela1716[[#This Row],[Building Permits]]="",#N/A,((Tabela1716[[#This Row],[Building Permits]]*1)/D21)-1)</f>
        <v>0.11101766190075701</v>
      </c>
      <c r="F33" s="33"/>
      <c r="G33" s="41"/>
      <c r="H33" s="33">
        <v>1614</v>
      </c>
      <c r="I33" s="33">
        <f>IF(Tabela1716[[#This Row],[Housing Starts]]="",#N/A,Tabela1716[[#This Row],[Housing Starts]]-H32)</f>
        <v>26</v>
      </c>
      <c r="J33" s="41">
        <f>IF(Tabela1716[[#This Row],[Housing Starts]]="",#N/A,((Tabela1716[[#This Row],[Housing Starts]]*1)/H21)-1)</f>
        <v>0.11310344827586216</v>
      </c>
      <c r="K33" s="26"/>
      <c r="L33" s="41"/>
      <c r="M33" s="27"/>
      <c r="N33" s="41"/>
      <c r="O33" s="33">
        <v>665</v>
      </c>
      <c r="P33" s="41">
        <f>IF(Tabela1716[[#This Row],[New House Sales]]="",#N/A,((Tabela1716[[#This Row],[New House Sales]]*1)/O32)-1)</f>
        <v>0.26425855513307983</v>
      </c>
      <c r="Q33" s="41"/>
      <c r="R33" s="27">
        <v>4.5999999999999996</v>
      </c>
      <c r="S33" s="86"/>
      <c r="T33" s="28"/>
      <c r="V33" s="38"/>
      <c r="W33" s="9"/>
      <c r="X33" s="9"/>
    </row>
    <row r="34" spans="1:24" ht="12.75">
      <c r="A34" s="12">
        <v>23224</v>
      </c>
      <c r="B34" s="26"/>
      <c r="C34" s="27"/>
      <c r="D34" s="33">
        <v>1310</v>
      </c>
      <c r="E34" s="41">
        <f>IF(Tabela1716[[#This Row],[Building Permits]]="",#N/A,((Tabela1716[[#This Row],[Building Permits]]*1)/D22)-1)</f>
        <v>9.1666666666666563E-2</v>
      </c>
      <c r="F34" s="33"/>
      <c r="G34" s="41"/>
      <c r="H34" s="33">
        <v>1639</v>
      </c>
      <c r="I34" s="33">
        <f>IF(Tabela1716[[#This Row],[Housing Starts]]="",#N/A,Tabela1716[[#This Row],[Housing Starts]]-H33)</f>
        <v>25</v>
      </c>
      <c r="J34" s="41">
        <f>IF(Tabela1716[[#This Row],[Housing Starts]]="",#N/A,((Tabela1716[[#This Row],[Housing Starts]]*1)/H22)-1)</f>
        <v>8.0421885299934104E-2</v>
      </c>
      <c r="K34" s="26"/>
      <c r="L34" s="41"/>
      <c r="M34" s="27"/>
      <c r="N34" s="41"/>
      <c r="O34" s="33">
        <v>570</v>
      </c>
      <c r="P34" s="41">
        <f>IF(Tabela1716[[#This Row],[New House Sales]]="",#N/A,((Tabela1716[[#This Row],[New House Sales]]*1)/O33)-1)</f>
        <v>-0.1428571428571429</v>
      </c>
      <c r="Q34" s="41"/>
      <c r="R34" s="27">
        <v>5.6</v>
      </c>
      <c r="S34" s="86"/>
      <c r="T34" s="28"/>
      <c r="W34" s="9"/>
      <c r="X34" s="9"/>
    </row>
    <row r="35" spans="1:24" ht="12.75">
      <c r="A35" s="12">
        <v>23255</v>
      </c>
      <c r="B35" s="26"/>
      <c r="C35" s="27"/>
      <c r="D35" s="33">
        <v>1413</v>
      </c>
      <c r="E35" s="41">
        <f>IF(Tabela1716[[#This Row],[Building Permits]]="",#N/A,((Tabela1716[[#This Row],[Building Permits]]*1)/D23)-1)</f>
        <v>0.15535568274734257</v>
      </c>
      <c r="F35" s="33"/>
      <c r="G35" s="41"/>
      <c r="H35" s="33">
        <v>1763</v>
      </c>
      <c r="I35" s="33">
        <f>IF(Tabela1716[[#This Row],[Housing Starts]]="",#N/A,Tabela1716[[#This Row],[Housing Starts]]-H34)</f>
        <v>124</v>
      </c>
      <c r="J35" s="41">
        <f>IF(Tabela1716[[#This Row],[Housing Starts]]="",#N/A,((Tabela1716[[#This Row],[Housing Starts]]*1)/H23)-1)</f>
        <v>0.33157099697885206</v>
      </c>
      <c r="K35" s="26"/>
      <c r="L35" s="41"/>
      <c r="M35" s="27"/>
      <c r="N35" s="41"/>
      <c r="O35" s="33">
        <v>590</v>
      </c>
      <c r="P35" s="41">
        <f>IF(Tabela1716[[#This Row],[New House Sales]]="",#N/A,((Tabela1716[[#This Row],[New House Sales]]*1)/O34)-1)</f>
        <v>3.5087719298245723E-2</v>
      </c>
      <c r="Q35" s="41"/>
      <c r="R35" s="27">
        <v>5.4</v>
      </c>
      <c r="S35" s="86"/>
      <c r="T35" s="28"/>
      <c r="V35" s="38"/>
      <c r="W35" s="9"/>
      <c r="X35" s="9"/>
    </row>
    <row r="36" spans="1:24" ht="12.75">
      <c r="A36" s="12">
        <v>23285</v>
      </c>
      <c r="B36" s="26"/>
      <c r="C36" s="27"/>
      <c r="D36" s="33">
        <v>1414</v>
      </c>
      <c r="E36" s="41">
        <f>IF(Tabela1716[[#This Row],[Building Permits]]="",#N/A,((Tabela1716[[#This Row],[Building Permits]]*1)/D24)-1)</f>
        <v>0.19729043183742601</v>
      </c>
      <c r="F36" s="33"/>
      <c r="G36" s="41"/>
      <c r="H36" s="33">
        <v>1779</v>
      </c>
      <c r="I36" s="33">
        <f>IF(Tabela1716[[#This Row],[Housing Starts]]="",#N/A,Tabela1716[[#This Row],[Housing Starts]]-H35)</f>
        <v>16</v>
      </c>
      <c r="J36" s="41">
        <f>IF(Tabela1716[[#This Row],[Housing Starts]]="",#N/A,((Tabela1716[[#This Row],[Housing Starts]]*1)/H24)-1)</f>
        <v>0.16046966731898249</v>
      </c>
      <c r="K36" s="26"/>
      <c r="L36" s="41"/>
      <c r="M36" s="27"/>
      <c r="N36" s="41"/>
      <c r="O36" s="33">
        <v>567</v>
      </c>
      <c r="P36" s="41">
        <f>IF(Tabela1716[[#This Row],[New House Sales]]="",#N/A,((Tabela1716[[#This Row],[New House Sales]]*1)/O35)-1)</f>
        <v>-3.8983050847457679E-2</v>
      </c>
      <c r="Q36" s="41"/>
      <c r="R36" s="27">
        <v>5.9</v>
      </c>
      <c r="S36" s="86"/>
      <c r="T36" s="28"/>
      <c r="W36" s="9"/>
      <c r="X36" s="9"/>
    </row>
    <row r="37" spans="1:24" ht="12.75">
      <c r="A37" s="12">
        <v>23316</v>
      </c>
      <c r="B37" s="26"/>
      <c r="C37" s="27"/>
      <c r="D37" s="33">
        <v>1357</v>
      </c>
      <c r="E37" s="41">
        <f>IF(Tabela1716[[#This Row],[Building Permits]]="",#N/A,((Tabela1716[[#This Row],[Building Permits]]*1)/D25)-1)</f>
        <v>9.7896440129449758E-2</v>
      </c>
      <c r="F37" s="33"/>
      <c r="G37" s="41"/>
      <c r="H37" s="33">
        <v>1622</v>
      </c>
      <c r="I37" s="33">
        <f>IF(Tabela1716[[#This Row],[Housing Starts]]="",#N/A,Tabela1716[[#This Row],[Housing Starts]]-H36)</f>
        <v>-157</v>
      </c>
      <c r="J37" s="41">
        <f>IF(Tabela1716[[#This Row],[Housing Starts]]="",#N/A,((Tabela1716[[#This Row],[Housing Starts]]*1)/H25)-1)</f>
        <v>0</v>
      </c>
      <c r="K37" s="26"/>
      <c r="L37" s="41"/>
      <c r="M37" s="27"/>
      <c r="N37" s="41"/>
      <c r="O37" s="33">
        <v>579</v>
      </c>
      <c r="P37" s="41">
        <f>IF(Tabela1716[[#This Row],[New House Sales]]="",#N/A,((Tabela1716[[#This Row],[New House Sales]]*1)/O36)-1)</f>
        <v>2.1164021164021163E-2</v>
      </c>
      <c r="Q37" s="41"/>
      <c r="R37" s="27">
        <v>5.5</v>
      </c>
      <c r="S37" s="86"/>
      <c r="T37" s="28"/>
      <c r="V37" s="38"/>
      <c r="W37" s="9"/>
      <c r="X37" s="9"/>
    </row>
    <row r="38" spans="1:24" ht="12.75">
      <c r="A38" s="12">
        <v>23346</v>
      </c>
      <c r="B38" s="26"/>
      <c r="C38" s="27"/>
      <c r="D38" s="33">
        <v>1423</v>
      </c>
      <c r="E38" s="41">
        <f>IF(Tabela1716[[#This Row],[Building Permits]]="",#N/A,((Tabela1716[[#This Row],[Building Permits]]*1)/D26)-1)</f>
        <v>0.15129449838187692</v>
      </c>
      <c r="F38" s="33"/>
      <c r="G38" s="41"/>
      <c r="H38" s="33">
        <v>1491</v>
      </c>
      <c r="I38" s="33">
        <f>IF(Tabela1716[[#This Row],[Housing Starts]]="",#N/A,Tabela1716[[#This Row],[Housing Starts]]-H37)</f>
        <v>-131</v>
      </c>
      <c r="J38" s="41">
        <f>IF(Tabela1716[[#This Row],[Housing Starts]]="",#N/A,((Tabela1716[[#This Row],[Housing Starts]]*1)/H26)-1)</f>
        <v>-4.6675191815856776E-2</v>
      </c>
      <c r="K38" s="26"/>
      <c r="L38" s="41"/>
      <c r="M38" s="27"/>
      <c r="N38" s="41"/>
      <c r="O38" s="33">
        <v>514</v>
      </c>
      <c r="P38" s="41">
        <f>IF(Tabela1716[[#This Row],[New House Sales]]="",#N/A,((Tabela1716[[#This Row],[New House Sales]]*1)/O37)-1)</f>
        <v>-0.11226252158894645</v>
      </c>
      <c r="Q38" s="41"/>
      <c r="R38" s="27">
        <v>6.1</v>
      </c>
      <c r="S38" s="86"/>
      <c r="T38" s="28"/>
      <c r="W38" s="9"/>
      <c r="X38" s="9"/>
    </row>
    <row r="39" spans="1:24" ht="12.75">
      <c r="A39" s="12">
        <v>23377</v>
      </c>
      <c r="B39" s="26"/>
      <c r="C39" s="27"/>
      <c r="D39" s="33">
        <v>1296</v>
      </c>
      <c r="E39" s="41">
        <f>IF(Tabela1716[[#This Row],[Building Permits]]="",#N/A,((Tabela1716[[#This Row],[Building Permits]]*1)/D27)-1)</f>
        <v>3.8461538461538547E-2</v>
      </c>
      <c r="F39" s="33"/>
      <c r="G39" s="41"/>
      <c r="H39" s="33">
        <v>1603</v>
      </c>
      <c r="I39" s="33">
        <f>IF(Tabela1716[[#This Row],[Housing Starts]]="",#N/A,Tabela1716[[#This Row],[Housing Starts]]-H38)</f>
        <v>112</v>
      </c>
      <c r="J39" s="41">
        <f>IF(Tabela1716[[#This Row],[Housing Starts]]="",#N/A,((Tabela1716[[#This Row],[Housing Starts]]*1)/H27)-1)</f>
        <v>0.28858520900321549</v>
      </c>
      <c r="K39" s="26"/>
      <c r="L39" s="41"/>
      <c r="M39" s="27"/>
      <c r="N39" s="41"/>
      <c r="O39" s="33">
        <v>549</v>
      </c>
      <c r="P39" s="41">
        <f>IF(Tabela1716[[#This Row],[New House Sales]]="",#N/A,((Tabela1716[[#This Row],[New House Sales]]*1)/O38)-1)</f>
        <v>6.8093385214007762E-2</v>
      </c>
      <c r="Q39" s="41">
        <f>IF(Tabela1716[[#This Row],[New House Sales]]="",#N/A,((Tabela1716[[#This Row],[New House Sales]]*1)/O27)-1)</f>
        <v>-7.1065989847715727E-2</v>
      </c>
      <c r="R39" s="27">
        <v>5.8</v>
      </c>
      <c r="S39" s="86"/>
      <c r="T39" s="28"/>
      <c r="V39" s="38"/>
      <c r="W39" s="9"/>
      <c r="X39" s="9"/>
    </row>
    <row r="40" spans="1:24" ht="12.75">
      <c r="A40" s="12">
        <v>23408</v>
      </c>
      <c r="B40" s="26"/>
      <c r="C40" s="27"/>
      <c r="D40" s="33">
        <v>1442</v>
      </c>
      <c r="E40" s="41">
        <f>IF(Tabela1716[[#This Row],[Building Permits]]="",#N/A,((Tabela1716[[#This Row],[Building Permits]]*1)/D28)-1)</f>
        <v>0.18976897689768979</v>
      </c>
      <c r="F40" s="33"/>
      <c r="G40" s="41"/>
      <c r="H40" s="33">
        <v>1820</v>
      </c>
      <c r="I40" s="33">
        <f>IF(Tabela1716[[#This Row],[Housing Starts]]="",#N/A,Tabela1716[[#This Row],[Housing Starts]]-H39)</f>
        <v>217</v>
      </c>
      <c r="J40" s="41">
        <f>IF(Tabela1716[[#This Row],[Housing Starts]]="",#N/A,((Tabela1716[[#This Row],[Housing Starts]]*1)/H28)-1)</f>
        <v>0.25</v>
      </c>
      <c r="K40" s="26"/>
      <c r="L40" s="41"/>
      <c r="M40" s="27"/>
      <c r="N40" s="41"/>
      <c r="O40" s="33">
        <v>609</v>
      </c>
      <c r="P40" s="41">
        <f>IF(Tabela1716[[#This Row],[New House Sales]]="",#N/A,((Tabela1716[[#This Row],[New House Sales]]*1)/O39)-1)</f>
        <v>0.1092896174863387</v>
      </c>
      <c r="Q40" s="41">
        <f>IF(Tabela1716[[#This Row],[New House Sales]]="",#N/A,((Tabela1716[[#This Row],[New House Sales]]*1)/O28)-1)</f>
        <v>0.3125</v>
      </c>
      <c r="R40" s="27">
        <v>5.5</v>
      </c>
      <c r="S40" s="86"/>
      <c r="T40" s="28"/>
      <c r="W40" s="9"/>
      <c r="X40" s="9"/>
    </row>
    <row r="41" spans="1:24" ht="12.75">
      <c r="A41" s="12">
        <v>23437</v>
      </c>
      <c r="B41" s="26"/>
      <c r="C41" s="27"/>
      <c r="D41" s="33">
        <v>1313</v>
      </c>
      <c r="E41" s="41">
        <f>IF(Tabela1716[[#This Row],[Building Permits]]="",#N/A,((Tabela1716[[#This Row],[Building Permits]]*1)/D29)-1)</f>
        <v>4.3720190779014345E-2</v>
      </c>
      <c r="F41" s="33"/>
      <c r="G41" s="41"/>
      <c r="H41" s="33">
        <v>1517</v>
      </c>
      <c r="I41" s="33">
        <f>IF(Tabela1716[[#This Row],[Housing Starts]]="",#N/A,Tabela1716[[#This Row],[Housing Starts]]-H40)</f>
        <v>-303</v>
      </c>
      <c r="J41" s="41">
        <f>IF(Tabela1716[[#This Row],[Housing Starts]]="",#N/A,((Tabela1716[[#This Row],[Housing Starts]]*1)/H29)-1)</f>
        <v>-1.1082138200782299E-2</v>
      </c>
      <c r="K41" s="26"/>
      <c r="L41" s="41"/>
      <c r="M41" s="27"/>
      <c r="N41" s="41"/>
      <c r="O41" s="33">
        <v>562</v>
      </c>
      <c r="P41" s="41">
        <f>IF(Tabela1716[[#This Row],[New House Sales]]="",#N/A,((Tabela1716[[#This Row],[New House Sales]]*1)/O40)-1)</f>
        <v>-7.7175697865353055E-2</v>
      </c>
      <c r="Q41" s="41">
        <f>IF(Tabela1716[[#This Row],[New House Sales]]="",#N/A,((Tabela1716[[#This Row],[New House Sales]]*1)/O29)-1)</f>
        <v>0.21908893709327559</v>
      </c>
      <c r="R41" s="27">
        <v>5.8</v>
      </c>
      <c r="S41" s="86"/>
      <c r="T41" s="28"/>
      <c r="V41" s="38"/>
      <c r="W41" s="9"/>
      <c r="X41" s="9"/>
    </row>
    <row r="42" spans="1:24" ht="12.75">
      <c r="A42" s="12">
        <v>23468</v>
      </c>
      <c r="B42" s="26"/>
      <c r="C42" s="27"/>
      <c r="D42" s="33">
        <v>1264</v>
      </c>
      <c r="E42" s="41">
        <f>IF(Tabela1716[[#This Row],[Building Permits]]="",#N/A,((Tabela1716[[#This Row],[Building Permits]]*1)/D30)-1)</f>
        <v>-1.8633540372670843E-2</v>
      </c>
      <c r="F42" s="33"/>
      <c r="G42" s="41"/>
      <c r="H42" s="33">
        <v>1448</v>
      </c>
      <c r="I42" s="33">
        <f>IF(Tabela1716[[#This Row],[Housing Starts]]="",#N/A,Tabela1716[[#This Row],[Housing Starts]]-H41)</f>
        <v>-69</v>
      </c>
      <c r="J42" s="41">
        <f>IF(Tabela1716[[#This Row],[Housing Starts]]="",#N/A,((Tabela1716[[#This Row],[Housing Starts]]*1)/H30)-1)</f>
        <v>-0.14268798105387803</v>
      </c>
      <c r="K42" s="26"/>
      <c r="L42" s="41"/>
      <c r="M42" s="27"/>
      <c r="N42" s="41"/>
      <c r="O42" s="33">
        <v>559</v>
      </c>
      <c r="P42" s="41">
        <f>IF(Tabela1716[[#This Row],[New House Sales]]="",#N/A,((Tabela1716[[#This Row],[New House Sales]]*1)/O41)-1)</f>
        <v>-5.3380782918149849E-3</v>
      </c>
      <c r="Q42" s="41">
        <f>IF(Tabela1716[[#This Row],[New House Sales]]="",#N/A,((Tabela1716[[#This Row],[New House Sales]]*1)/O30)-1)</f>
        <v>-7.6033057851239705E-2</v>
      </c>
      <c r="R42" s="27">
        <v>6</v>
      </c>
      <c r="S42" s="86"/>
      <c r="T42" s="28"/>
      <c r="W42" s="9"/>
      <c r="X42" s="9"/>
    </row>
    <row r="43" spans="1:24" ht="12.75">
      <c r="A43" s="12">
        <v>23498</v>
      </c>
      <c r="B43" s="26"/>
      <c r="C43" s="27"/>
      <c r="D43" s="33">
        <v>1299</v>
      </c>
      <c r="E43" s="41">
        <f>IF(Tabela1716[[#This Row],[Building Permits]]="",#N/A,((Tabela1716[[#This Row],[Building Permits]]*1)/D31)-1)</f>
        <v>-3.7777777777777799E-2</v>
      </c>
      <c r="F43" s="33"/>
      <c r="G43" s="41"/>
      <c r="H43" s="33">
        <v>1467</v>
      </c>
      <c r="I43" s="33">
        <f>IF(Tabela1716[[#This Row],[Housing Starts]]="",#N/A,Tabela1716[[#This Row],[Housing Starts]]-H42)</f>
        <v>19</v>
      </c>
      <c r="J43" s="41">
        <f>IF(Tabela1716[[#This Row],[Housing Starts]]="",#N/A,((Tabela1716[[#This Row],[Housing Starts]]*1)/H31)-1)</f>
        <v>-0.10603290676416821</v>
      </c>
      <c r="K43" s="26"/>
      <c r="L43" s="41"/>
      <c r="M43" s="27"/>
      <c r="N43" s="41"/>
      <c r="O43" s="33">
        <v>523</v>
      </c>
      <c r="P43" s="41">
        <f>IF(Tabela1716[[#This Row],[New House Sales]]="",#N/A,((Tabela1716[[#This Row],[New House Sales]]*1)/O42)-1)</f>
        <v>-6.4400715563506239E-2</v>
      </c>
      <c r="Q43" s="41">
        <f>IF(Tabela1716[[#This Row],[New House Sales]]="",#N/A,((Tabela1716[[#This Row],[New House Sales]]*1)/O31)-1)</f>
        <v>-0.10750853242320824</v>
      </c>
      <c r="R43" s="27">
        <v>6.2</v>
      </c>
      <c r="S43" s="86"/>
      <c r="T43" s="28"/>
      <c r="V43" s="38"/>
      <c r="W43" s="9"/>
      <c r="X43" s="9"/>
    </row>
    <row r="44" spans="1:24" ht="12.75">
      <c r="A44" s="12">
        <v>23529</v>
      </c>
      <c r="B44" s="26"/>
      <c r="C44" s="27"/>
      <c r="D44" s="33">
        <v>1280</v>
      </c>
      <c r="E44" s="41">
        <f>IF(Tabela1716[[#This Row],[Building Permits]]="",#N/A,((Tabela1716[[#This Row],[Building Permits]]*1)/D32)-1)</f>
        <v>-4.8327137546468446E-2</v>
      </c>
      <c r="F44" s="33"/>
      <c r="G44" s="41"/>
      <c r="H44" s="33">
        <v>1550</v>
      </c>
      <c r="I44" s="33">
        <f>IF(Tabela1716[[#This Row],[Housing Starts]]="",#N/A,Tabela1716[[#This Row],[Housing Starts]]-H43)</f>
        <v>83</v>
      </c>
      <c r="J44" s="41">
        <f>IF(Tabela1716[[#This Row],[Housing Starts]]="",#N/A,((Tabela1716[[#This Row],[Housing Starts]]*1)/H32)-1)</f>
        <v>-2.3929471032745564E-2</v>
      </c>
      <c r="K44" s="26"/>
      <c r="L44" s="41"/>
      <c r="M44" s="27"/>
      <c r="N44" s="41"/>
      <c r="O44" s="33">
        <v>580</v>
      </c>
      <c r="P44" s="41">
        <f>IF(Tabela1716[[#This Row],[New House Sales]]="",#N/A,((Tabela1716[[#This Row],[New House Sales]]*1)/O43)-1)</f>
        <v>0.10898661567877621</v>
      </c>
      <c r="Q44" s="41">
        <f>IF(Tabela1716[[#This Row],[New House Sales]]="",#N/A,((Tabela1716[[#This Row],[New House Sales]]*1)/O32)-1)</f>
        <v>0.10266159695817501</v>
      </c>
      <c r="R44" s="27">
        <v>5.7</v>
      </c>
      <c r="S44" s="86"/>
      <c r="T44" s="28"/>
      <c r="W44" s="9"/>
      <c r="X44" s="9"/>
    </row>
    <row r="45" spans="1:24" ht="12.75">
      <c r="A45" s="12">
        <v>23559</v>
      </c>
      <c r="B45" s="26"/>
      <c r="C45" s="27"/>
      <c r="D45" s="33">
        <v>1304</v>
      </c>
      <c r="E45" s="41">
        <f>IF(Tabela1716[[#This Row],[Building Permits]]="",#N/A,((Tabela1716[[#This Row],[Building Permits]]*1)/D33)-1)</f>
        <v>-1.2869038607115857E-2</v>
      </c>
      <c r="F45" s="33"/>
      <c r="G45" s="41"/>
      <c r="H45" s="33">
        <v>1562</v>
      </c>
      <c r="I45" s="33">
        <f>IF(Tabela1716[[#This Row],[Housing Starts]]="",#N/A,Tabela1716[[#This Row],[Housing Starts]]-H44)</f>
        <v>12</v>
      </c>
      <c r="J45" s="41">
        <f>IF(Tabela1716[[#This Row],[Housing Starts]]="",#N/A,((Tabela1716[[#This Row],[Housing Starts]]*1)/H33)-1)</f>
        <v>-3.2218091697645557E-2</v>
      </c>
      <c r="K45" s="26"/>
      <c r="L45" s="41"/>
      <c r="M45" s="27"/>
      <c r="N45" s="41"/>
      <c r="O45" s="33">
        <v>575</v>
      </c>
      <c r="P45" s="41">
        <f>IF(Tabela1716[[#This Row],[New House Sales]]="",#N/A,((Tabela1716[[#This Row],[New House Sales]]*1)/O44)-1)</f>
        <v>-8.6206896551723755E-3</v>
      </c>
      <c r="Q45" s="41">
        <f>IF(Tabela1716[[#This Row],[New House Sales]]="",#N/A,((Tabela1716[[#This Row],[New House Sales]]*1)/O33)-1)</f>
        <v>-0.13533834586466165</v>
      </c>
      <c r="R45" s="27">
        <v>5.5</v>
      </c>
      <c r="S45" s="86"/>
      <c r="T45" s="28"/>
      <c r="V45" s="38"/>
      <c r="W45" s="9"/>
      <c r="X45" s="9"/>
    </row>
    <row r="46" spans="1:24" ht="12.75">
      <c r="A46" s="12">
        <v>23590</v>
      </c>
      <c r="B46" s="26"/>
      <c r="C46" s="27"/>
      <c r="D46" s="33">
        <v>1306</v>
      </c>
      <c r="E46" s="41">
        <f>IF(Tabela1716[[#This Row],[Building Permits]]="",#N/A,((Tabela1716[[#This Row],[Building Permits]]*1)/D34)-1)</f>
        <v>-3.0534351145038441E-3</v>
      </c>
      <c r="F46" s="33"/>
      <c r="G46" s="41"/>
      <c r="H46" s="33">
        <v>1569</v>
      </c>
      <c r="I46" s="33">
        <f>IF(Tabela1716[[#This Row],[Housing Starts]]="",#N/A,Tabela1716[[#This Row],[Housing Starts]]-H45)</f>
        <v>7</v>
      </c>
      <c r="J46" s="41">
        <f>IF(Tabela1716[[#This Row],[Housing Starts]]="",#N/A,((Tabela1716[[#This Row],[Housing Starts]]*1)/H34)-1)</f>
        <v>-4.2708968883465537E-2</v>
      </c>
      <c r="K46" s="26"/>
      <c r="L46" s="41"/>
      <c r="M46" s="27"/>
      <c r="N46" s="41"/>
      <c r="O46" s="33">
        <v>582</v>
      </c>
      <c r="P46" s="41">
        <f>IF(Tabela1716[[#This Row],[New House Sales]]="",#N/A,((Tabela1716[[#This Row],[New House Sales]]*1)/O45)-1)</f>
        <v>1.2173913043478368E-2</v>
      </c>
      <c r="Q46" s="41">
        <f>IF(Tabela1716[[#This Row],[New House Sales]]="",#N/A,((Tabela1716[[#This Row],[New House Sales]]*1)/O34)-1)</f>
        <v>2.1052631578947434E-2</v>
      </c>
      <c r="R46" s="27">
        <v>5.4</v>
      </c>
      <c r="S46" s="86"/>
      <c r="T46" s="28"/>
      <c r="W46" s="9"/>
      <c r="X46" s="9"/>
    </row>
    <row r="47" spans="1:24" ht="12.75">
      <c r="A47" s="12">
        <v>23621</v>
      </c>
      <c r="B47" s="26"/>
      <c r="C47" s="27"/>
      <c r="D47" s="33">
        <v>1265</v>
      </c>
      <c r="E47" s="41">
        <f>IF(Tabela1716[[#This Row],[Building Permits]]="",#N/A,((Tabela1716[[#This Row],[Building Permits]]*1)/D35)-1)</f>
        <v>-0.10474168435951881</v>
      </c>
      <c r="F47" s="33"/>
      <c r="G47" s="41"/>
      <c r="H47" s="33">
        <v>1455</v>
      </c>
      <c r="I47" s="33">
        <f>IF(Tabela1716[[#This Row],[Housing Starts]]="",#N/A,Tabela1716[[#This Row],[Housing Starts]]-H46)</f>
        <v>-114</v>
      </c>
      <c r="J47" s="41">
        <f>IF(Tabela1716[[#This Row],[Housing Starts]]="",#N/A,((Tabela1716[[#This Row],[Housing Starts]]*1)/H35)-1)</f>
        <v>-0.17470221213840043</v>
      </c>
      <c r="K47" s="26"/>
      <c r="L47" s="41"/>
      <c r="M47" s="27"/>
      <c r="N47" s="41"/>
      <c r="O47" s="33">
        <v>590</v>
      </c>
      <c r="P47" s="41">
        <f>IF(Tabela1716[[#This Row],[New House Sales]]="",#N/A,((Tabela1716[[#This Row],[New House Sales]]*1)/O46)-1)</f>
        <v>1.3745704467353903E-2</v>
      </c>
      <c r="Q47" s="41">
        <f>IF(Tabela1716[[#This Row],[New House Sales]]="",#N/A,((Tabela1716[[#This Row],[New House Sales]]*1)/O35)-1)</f>
        <v>0</v>
      </c>
      <c r="R47" s="27">
        <v>5.4</v>
      </c>
      <c r="S47" s="86"/>
      <c r="T47" s="28"/>
      <c r="V47" s="38"/>
      <c r="W47" s="9"/>
      <c r="X47" s="9"/>
    </row>
    <row r="48" spans="1:24" ht="12.75">
      <c r="A48" s="12">
        <v>23651</v>
      </c>
      <c r="B48" s="26"/>
      <c r="C48" s="27"/>
      <c r="D48" s="33">
        <v>1230</v>
      </c>
      <c r="E48" s="41">
        <f>IF(Tabela1716[[#This Row],[Building Permits]]="",#N/A,((Tabela1716[[#This Row],[Building Permits]]*1)/D36)-1)</f>
        <v>-0.13012729844413018</v>
      </c>
      <c r="F48" s="33"/>
      <c r="G48" s="41"/>
      <c r="H48" s="33">
        <v>1524</v>
      </c>
      <c r="I48" s="33">
        <f>IF(Tabela1716[[#This Row],[Housing Starts]]="",#N/A,Tabela1716[[#This Row],[Housing Starts]]-H47)</f>
        <v>69</v>
      </c>
      <c r="J48" s="41">
        <f>IF(Tabela1716[[#This Row],[Housing Starts]]="",#N/A,((Tabela1716[[#This Row],[Housing Starts]]*1)/H36)-1)</f>
        <v>-0.14333895446880274</v>
      </c>
      <c r="K48" s="26"/>
      <c r="L48" s="41"/>
      <c r="M48" s="27"/>
      <c r="N48" s="41"/>
      <c r="O48" s="33">
        <v>583</v>
      </c>
      <c r="P48" s="41">
        <f>IF(Tabela1716[[#This Row],[New House Sales]]="",#N/A,((Tabela1716[[#This Row],[New House Sales]]*1)/O47)-1)</f>
        <v>-1.1864406779661052E-2</v>
      </c>
      <c r="Q48" s="41">
        <f>IF(Tabela1716[[#This Row],[New House Sales]]="",#N/A,((Tabela1716[[#This Row],[New House Sales]]*1)/O36)-1)</f>
        <v>2.821869488536155E-2</v>
      </c>
      <c r="R48" s="27">
        <v>5.3</v>
      </c>
      <c r="S48" s="86"/>
      <c r="T48" s="28"/>
      <c r="W48" s="9"/>
      <c r="X48" s="9"/>
    </row>
    <row r="49" spans="1:24" ht="12.75">
      <c r="A49" s="12">
        <v>23682</v>
      </c>
      <c r="B49" s="26"/>
      <c r="C49" s="27"/>
      <c r="D49" s="33">
        <v>1254</v>
      </c>
      <c r="E49" s="41">
        <f>IF(Tabela1716[[#This Row],[Building Permits]]="",#N/A,((Tabela1716[[#This Row],[Building Permits]]*1)/D37)-1)</f>
        <v>-7.5902726602800286E-2</v>
      </c>
      <c r="F49" s="33"/>
      <c r="G49" s="41"/>
      <c r="H49" s="33">
        <v>1486</v>
      </c>
      <c r="I49" s="33">
        <f>IF(Tabela1716[[#This Row],[Housing Starts]]="",#N/A,Tabela1716[[#This Row],[Housing Starts]]-H48)</f>
        <v>-38</v>
      </c>
      <c r="J49" s="41">
        <f>IF(Tabela1716[[#This Row],[Housing Starts]]="",#N/A,((Tabela1716[[#This Row],[Housing Starts]]*1)/H37)-1)</f>
        <v>-8.3847102342786695E-2</v>
      </c>
      <c r="K49" s="26"/>
      <c r="L49" s="41"/>
      <c r="M49" s="27"/>
      <c r="N49" s="41"/>
      <c r="O49" s="33">
        <v>548</v>
      </c>
      <c r="P49" s="41">
        <f>IF(Tabela1716[[#This Row],[New House Sales]]="",#N/A,((Tabela1716[[#This Row],[New House Sales]]*1)/O48)-1)</f>
        <v>-6.0034305317324232E-2</v>
      </c>
      <c r="Q49" s="41">
        <f>IF(Tabela1716[[#This Row],[New House Sales]]="",#N/A,((Tabela1716[[#This Row],[New House Sales]]*1)/O37)-1)</f>
        <v>-5.3540587219343738E-2</v>
      </c>
      <c r="R49" s="27">
        <v>5.6</v>
      </c>
      <c r="S49" s="86"/>
      <c r="T49" s="28"/>
      <c r="V49" s="38"/>
      <c r="W49" s="9"/>
      <c r="X49" s="9"/>
    </row>
    <row r="50" spans="1:24" ht="12.75">
      <c r="A50" s="12">
        <v>23712</v>
      </c>
      <c r="B50" s="26"/>
      <c r="C50" s="27"/>
      <c r="D50" s="33">
        <v>1164</v>
      </c>
      <c r="E50" s="41">
        <f>IF(Tabela1716[[#This Row],[Building Permits]]="",#N/A,((Tabela1716[[#This Row],[Building Permits]]*1)/D38)-1)</f>
        <v>-0.18200983836964157</v>
      </c>
      <c r="F50" s="33"/>
      <c r="G50" s="41"/>
      <c r="H50" s="33">
        <v>1484</v>
      </c>
      <c r="I50" s="33">
        <f>IF(Tabela1716[[#This Row],[Housing Starts]]="",#N/A,Tabela1716[[#This Row],[Housing Starts]]-H49)</f>
        <v>-2</v>
      </c>
      <c r="J50" s="41">
        <f>IF(Tabela1716[[#This Row],[Housing Starts]]="",#N/A,((Tabela1716[[#This Row],[Housing Starts]]*1)/H38)-1)</f>
        <v>-4.6948356807511304E-3</v>
      </c>
      <c r="K50" s="26"/>
      <c r="L50" s="41"/>
      <c r="M50" s="27"/>
      <c r="N50" s="41"/>
      <c r="O50" s="33">
        <v>540</v>
      </c>
      <c r="P50" s="41">
        <f>IF(Tabela1716[[#This Row],[New House Sales]]="",#N/A,((Tabela1716[[#This Row],[New House Sales]]*1)/O49)-1)</f>
        <v>-1.4598540145985384E-2</v>
      </c>
      <c r="Q50" s="41">
        <f>IF(Tabela1716[[#This Row],[New House Sales]]="",#N/A,((Tabela1716[[#This Row],[New House Sales]]*1)/O38)-1)</f>
        <v>5.058365758754868E-2</v>
      </c>
      <c r="R50" s="27">
        <v>5.5</v>
      </c>
      <c r="S50" s="86"/>
      <c r="T50" s="28"/>
      <c r="W50" s="9"/>
      <c r="X50" s="9"/>
    </row>
    <row r="51" spans="1:24" ht="12.75">
      <c r="A51" s="12">
        <v>23743</v>
      </c>
      <c r="B51" s="26"/>
      <c r="C51" s="27"/>
      <c r="D51" s="33">
        <v>1264</v>
      </c>
      <c r="E51" s="41">
        <f>IF(Tabela1716[[#This Row],[Building Permits]]="",#N/A,((Tabela1716[[#This Row],[Building Permits]]*1)/D39)-1)</f>
        <v>-2.4691358024691357E-2</v>
      </c>
      <c r="F51" s="33"/>
      <c r="G51" s="41"/>
      <c r="H51" s="33">
        <v>1361</v>
      </c>
      <c r="I51" s="33">
        <f>IF(Tabela1716[[#This Row],[Housing Starts]]="",#N/A,Tabela1716[[#This Row],[Housing Starts]]-H50)</f>
        <v>-123</v>
      </c>
      <c r="J51" s="41">
        <f>IF(Tabela1716[[#This Row],[Housing Starts]]="",#N/A,((Tabela1716[[#This Row],[Housing Starts]]*1)/H39)-1)</f>
        <v>-0.1509669369931379</v>
      </c>
      <c r="K51" s="26"/>
      <c r="L51" s="41"/>
      <c r="M51" s="27"/>
      <c r="N51" s="41"/>
      <c r="O51" s="33">
        <v>533</v>
      </c>
      <c r="P51" s="41">
        <f>IF(Tabela1716[[#This Row],[New House Sales]]="",#N/A,((Tabela1716[[#This Row],[New House Sales]]*1)/O50)-1)</f>
        <v>-1.2962962962962954E-2</v>
      </c>
      <c r="Q51" s="41">
        <f>IF(Tabela1716[[#This Row],[New House Sales]]="",#N/A,((Tabela1716[[#This Row],[New House Sales]]*1)/O39)-1)</f>
        <v>-2.9143897996356971E-2</v>
      </c>
      <c r="R51" s="27">
        <v>5.6</v>
      </c>
      <c r="S51" s="86"/>
      <c r="T51" s="28"/>
      <c r="V51" s="38"/>
      <c r="W51" s="9"/>
      <c r="X51" s="9"/>
    </row>
    <row r="52" spans="1:24" ht="12.75">
      <c r="A52" s="12">
        <v>23774</v>
      </c>
      <c r="B52" s="26"/>
      <c r="C52" s="27"/>
      <c r="D52" s="33">
        <v>1185</v>
      </c>
      <c r="E52" s="41">
        <f>IF(Tabela1716[[#This Row],[Building Permits]]="",#N/A,((Tabela1716[[#This Row],[Building Permits]]*1)/D40)-1)</f>
        <v>-0.17822468793342583</v>
      </c>
      <c r="F52" s="33"/>
      <c r="G52" s="41"/>
      <c r="H52" s="33">
        <v>1433</v>
      </c>
      <c r="I52" s="33">
        <f>IF(Tabela1716[[#This Row],[Housing Starts]]="",#N/A,Tabela1716[[#This Row],[Housing Starts]]-H51)</f>
        <v>72</v>
      </c>
      <c r="J52" s="41">
        <f>IF(Tabela1716[[#This Row],[Housing Starts]]="",#N/A,((Tabela1716[[#This Row],[Housing Starts]]*1)/H40)-1)</f>
        <v>-0.21263736263736266</v>
      </c>
      <c r="K52" s="26"/>
      <c r="L52" s="41"/>
      <c r="M52" s="27"/>
      <c r="N52" s="41"/>
      <c r="O52" s="33">
        <v>559</v>
      </c>
      <c r="P52" s="41">
        <f>IF(Tabela1716[[#This Row],[New House Sales]]="",#N/A,((Tabela1716[[#This Row],[New House Sales]]*1)/O51)-1)</f>
        <v>4.8780487804878092E-2</v>
      </c>
      <c r="Q52" s="41">
        <f>IF(Tabela1716[[#This Row],[New House Sales]]="",#N/A,((Tabela1716[[#This Row],[New House Sales]]*1)/O40)-1)</f>
        <v>-8.2101806239737285E-2</v>
      </c>
      <c r="R52" s="27">
        <v>5.5</v>
      </c>
      <c r="S52" s="86"/>
      <c r="T52" s="28"/>
      <c r="W52" s="9"/>
      <c r="X52" s="9"/>
    </row>
    <row r="53" spans="1:24" ht="12.75">
      <c r="A53" s="12">
        <v>23802</v>
      </c>
      <c r="B53" s="26"/>
      <c r="C53" s="27"/>
      <c r="D53" s="33">
        <v>1211</v>
      </c>
      <c r="E53" s="41">
        <f>IF(Tabela1716[[#This Row],[Building Permits]]="",#N/A,((Tabela1716[[#This Row],[Building Permits]]*1)/D41)-1)</f>
        <v>-7.7684691546077711E-2</v>
      </c>
      <c r="F53" s="33"/>
      <c r="G53" s="41"/>
      <c r="H53" s="33">
        <v>1423</v>
      </c>
      <c r="I53" s="33">
        <f>IF(Tabela1716[[#This Row],[Housing Starts]]="",#N/A,Tabela1716[[#This Row],[Housing Starts]]-H52)</f>
        <v>-10</v>
      </c>
      <c r="J53" s="41">
        <f>IF(Tabela1716[[#This Row],[Housing Starts]]="",#N/A,((Tabela1716[[#This Row],[Housing Starts]]*1)/H41)-1)</f>
        <v>-6.196440342781806E-2</v>
      </c>
      <c r="K53" s="26"/>
      <c r="L53" s="41"/>
      <c r="M53" s="27"/>
      <c r="N53" s="41"/>
      <c r="O53" s="33">
        <v>556</v>
      </c>
      <c r="P53" s="41">
        <f>IF(Tabela1716[[#This Row],[New House Sales]]="",#N/A,((Tabela1716[[#This Row],[New House Sales]]*1)/O52)-1)</f>
        <v>-5.3667262969588903E-3</v>
      </c>
      <c r="Q53" s="41">
        <f>IF(Tabela1716[[#This Row],[New House Sales]]="",#N/A,((Tabela1716[[#This Row],[New House Sales]]*1)/O41)-1)</f>
        <v>-1.0676156583629859E-2</v>
      </c>
      <c r="R53" s="27">
        <v>5.4</v>
      </c>
      <c r="S53" s="86"/>
      <c r="T53" s="28"/>
      <c r="V53" s="38"/>
      <c r="W53" s="9"/>
      <c r="X53" s="9"/>
    </row>
    <row r="54" spans="1:24" ht="12.75">
      <c r="A54" s="12">
        <v>23833</v>
      </c>
      <c r="B54" s="26"/>
      <c r="C54" s="27"/>
      <c r="D54" s="33">
        <v>1162</v>
      </c>
      <c r="E54" s="41">
        <f>IF(Tabela1716[[#This Row],[Building Permits]]="",#N/A,((Tabela1716[[#This Row],[Building Permits]]*1)/D42)-1)</f>
        <v>-8.0696202531645556E-2</v>
      </c>
      <c r="F54" s="33"/>
      <c r="G54" s="41"/>
      <c r="H54" s="33">
        <v>1438</v>
      </c>
      <c r="I54" s="33">
        <f>IF(Tabela1716[[#This Row],[Housing Starts]]="",#N/A,Tabela1716[[#This Row],[Housing Starts]]-H53)</f>
        <v>15</v>
      </c>
      <c r="J54" s="41">
        <f>IF(Tabela1716[[#This Row],[Housing Starts]]="",#N/A,((Tabela1716[[#This Row],[Housing Starts]]*1)/H42)-1)</f>
        <v>-6.906077348066253E-3</v>
      </c>
      <c r="K54" s="26"/>
      <c r="L54" s="41"/>
      <c r="M54" s="27"/>
      <c r="N54" s="41"/>
      <c r="O54" s="33">
        <v>555</v>
      </c>
      <c r="P54" s="41">
        <f>IF(Tabela1716[[#This Row],[New House Sales]]="",#N/A,((Tabela1716[[#This Row],[New House Sales]]*1)/O53)-1)</f>
        <v>-1.7985611510791255E-3</v>
      </c>
      <c r="Q54" s="41">
        <f>IF(Tabela1716[[#This Row],[New House Sales]]="",#N/A,((Tabela1716[[#This Row],[New House Sales]]*1)/O42)-1)</f>
        <v>-7.1556350626118537E-3</v>
      </c>
      <c r="R54" s="27">
        <v>5.6</v>
      </c>
      <c r="S54" s="86"/>
      <c r="T54" s="28"/>
      <c r="W54" s="9"/>
      <c r="X54" s="9"/>
    </row>
    <row r="55" spans="1:24" ht="12.75">
      <c r="A55" s="12">
        <v>23863</v>
      </c>
      <c r="B55" s="26"/>
      <c r="C55" s="27"/>
      <c r="D55" s="33">
        <v>1207</v>
      </c>
      <c r="E55" s="41">
        <f>IF(Tabela1716[[#This Row],[Building Permits]]="",#N/A,((Tabela1716[[#This Row],[Building Permits]]*1)/D43)-1)</f>
        <v>-7.0823710546574326E-2</v>
      </c>
      <c r="F55" s="33"/>
      <c r="G55" s="41"/>
      <c r="H55" s="33">
        <v>1478</v>
      </c>
      <c r="I55" s="33">
        <f>IF(Tabela1716[[#This Row],[Housing Starts]]="",#N/A,Tabela1716[[#This Row],[Housing Starts]]-H54)</f>
        <v>40</v>
      </c>
      <c r="J55" s="41">
        <f>IF(Tabela1716[[#This Row],[Housing Starts]]="",#N/A,((Tabela1716[[#This Row],[Housing Starts]]*1)/H43)-1)</f>
        <v>7.4982958418541301E-3</v>
      </c>
      <c r="K55" s="26"/>
      <c r="L55" s="41"/>
      <c r="M55" s="27"/>
      <c r="N55" s="41"/>
      <c r="O55" s="33">
        <v>544</v>
      </c>
      <c r="P55" s="41">
        <f>IF(Tabela1716[[#This Row],[New House Sales]]="",#N/A,((Tabela1716[[#This Row],[New House Sales]]*1)/O54)-1)</f>
        <v>-1.9819819819819839E-2</v>
      </c>
      <c r="Q55" s="41">
        <f>IF(Tabela1716[[#This Row],[New House Sales]]="",#N/A,((Tabela1716[[#This Row],[New House Sales]]*1)/O43)-1)</f>
        <v>4.0152963671128195E-2</v>
      </c>
      <c r="R55" s="27">
        <v>5.3</v>
      </c>
      <c r="S55" s="86"/>
      <c r="T55" s="28"/>
      <c r="V55" s="38"/>
      <c r="W55" s="9"/>
      <c r="X55" s="9"/>
    </row>
    <row r="56" spans="1:24" ht="12.75">
      <c r="A56" s="12">
        <v>23894</v>
      </c>
      <c r="B56" s="26"/>
      <c r="C56" s="27"/>
      <c r="D56" s="33">
        <v>1241</v>
      </c>
      <c r="E56" s="41">
        <f>IF(Tabela1716[[#This Row],[Building Permits]]="",#N/A,((Tabela1716[[#This Row],[Building Permits]]*1)/D44)-1)</f>
        <v>-3.0468750000000044E-2</v>
      </c>
      <c r="F56" s="33"/>
      <c r="G56" s="41"/>
      <c r="H56" s="33">
        <v>1488</v>
      </c>
      <c r="I56" s="33">
        <f>IF(Tabela1716[[#This Row],[Housing Starts]]="",#N/A,Tabela1716[[#This Row],[Housing Starts]]-H55)</f>
        <v>10</v>
      </c>
      <c r="J56" s="41">
        <f>IF(Tabela1716[[#This Row],[Housing Starts]]="",#N/A,((Tabela1716[[#This Row],[Housing Starts]]*1)/H44)-1)</f>
        <v>-4.0000000000000036E-2</v>
      </c>
      <c r="K56" s="26"/>
      <c r="L56" s="41"/>
      <c r="M56" s="27"/>
      <c r="N56" s="41"/>
      <c r="O56" s="33">
        <v>614</v>
      </c>
      <c r="P56" s="41">
        <f>IF(Tabela1716[[#This Row],[New House Sales]]="",#N/A,((Tabela1716[[#This Row],[New House Sales]]*1)/O55)-1)</f>
        <v>0.12867647058823528</v>
      </c>
      <c r="Q56" s="41">
        <f>IF(Tabela1716[[#This Row],[New House Sales]]="",#N/A,((Tabela1716[[#This Row],[New House Sales]]*1)/O44)-1)</f>
        <v>5.862068965517242E-2</v>
      </c>
      <c r="R56" s="27">
        <v>4.7</v>
      </c>
      <c r="S56" s="86"/>
      <c r="T56" s="28"/>
      <c r="W56" s="9"/>
      <c r="X56" s="9"/>
    </row>
    <row r="57" spans="1:24" ht="12.75">
      <c r="A57" s="12">
        <v>23924</v>
      </c>
      <c r="B57" s="26"/>
      <c r="C57" s="27"/>
      <c r="D57" s="33">
        <v>1237</v>
      </c>
      <c r="E57" s="41">
        <f>IF(Tabela1716[[#This Row],[Building Permits]]="",#N/A,((Tabela1716[[#This Row],[Building Permits]]*1)/D45)-1)</f>
        <v>-5.138036809815949E-2</v>
      </c>
      <c r="F57" s="33"/>
      <c r="G57" s="41"/>
      <c r="H57" s="33">
        <v>1529</v>
      </c>
      <c r="I57" s="33">
        <f>IF(Tabela1716[[#This Row],[Housing Starts]]="",#N/A,Tabela1716[[#This Row],[Housing Starts]]-H56)</f>
        <v>41</v>
      </c>
      <c r="J57" s="41">
        <f>IF(Tabela1716[[#This Row],[Housing Starts]]="",#N/A,((Tabela1716[[#This Row],[Housing Starts]]*1)/H45)-1)</f>
        <v>-2.1126760563380254E-2</v>
      </c>
      <c r="K57" s="26"/>
      <c r="L57" s="41"/>
      <c r="M57" s="27"/>
      <c r="N57" s="41"/>
      <c r="O57" s="33">
        <v>554</v>
      </c>
      <c r="P57" s="41">
        <f>IF(Tabela1716[[#This Row],[New House Sales]]="",#N/A,((Tabela1716[[#This Row],[New House Sales]]*1)/O56)-1)</f>
        <v>-9.7719869706840434E-2</v>
      </c>
      <c r="Q57" s="41">
        <f>IF(Tabela1716[[#This Row],[New House Sales]]="",#N/A,((Tabela1716[[#This Row],[New House Sales]]*1)/O45)-1)</f>
        <v>-3.6521739130434772E-2</v>
      </c>
      <c r="R57" s="27">
        <v>5.2</v>
      </c>
      <c r="S57" s="86"/>
      <c r="T57" s="28"/>
      <c r="V57" s="38"/>
      <c r="W57" s="9"/>
      <c r="X57" s="9"/>
    </row>
    <row r="58" spans="1:24" ht="12.75">
      <c r="A58" s="12">
        <v>23955</v>
      </c>
      <c r="B58" s="26"/>
      <c r="C58" s="27"/>
      <c r="D58" s="33">
        <v>1249</v>
      </c>
      <c r="E58" s="41">
        <f>IF(Tabela1716[[#This Row],[Building Permits]]="",#N/A,((Tabela1716[[#This Row],[Building Permits]]*1)/D46)-1)</f>
        <v>-4.3644716692189944E-2</v>
      </c>
      <c r="F58" s="33"/>
      <c r="G58" s="41"/>
      <c r="H58" s="33">
        <v>1432</v>
      </c>
      <c r="I58" s="33">
        <f>IF(Tabela1716[[#This Row],[Housing Starts]]="",#N/A,Tabela1716[[#This Row],[Housing Starts]]-H57)</f>
        <v>-97</v>
      </c>
      <c r="J58" s="41">
        <f>IF(Tabela1716[[#This Row],[Housing Starts]]="",#N/A,((Tabela1716[[#This Row],[Housing Starts]]*1)/H46)-1)</f>
        <v>-8.7316762268961123E-2</v>
      </c>
      <c r="K58" s="26"/>
      <c r="L58" s="41"/>
      <c r="M58" s="27"/>
      <c r="N58" s="41"/>
      <c r="O58" s="33">
        <v>615</v>
      </c>
      <c r="P58" s="41">
        <f>IF(Tabela1716[[#This Row],[New House Sales]]="",#N/A,((Tabela1716[[#This Row],[New House Sales]]*1)/O57)-1)</f>
        <v>0.11010830324909748</v>
      </c>
      <c r="Q58" s="41">
        <f>IF(Tabela1716[[#This Row],[New House Sales]]="",#N/A,((Tabela1716[[#This Row],[New House Sales]]*1)/O46)-1)</f>
        <v>5.6701030927835072E-2</v>
      </c>
      <c r="R58" s="27">
        <v>4.5999999999999996</v>
      </c>
      <c r="S58" s="86"/>
      <c r="T58" s="28"/>
      <c r="W58" s="9"/>
      <c r="X58" s="9"/>
    </row>
    <row r="59" spans="1:24" ht="12.75">
      <c r="A59" s="12">
        <v>23986</v>
      </c>
      <c r="B59" s="26"/>
      <c r="C59" s="27"/>
      <c r="D59" s="33">
        <v>1227</v>
      </c>
      <c r="E59" s="41">
        <f>IF(Tabela1716[[#This Row],[Building Permits]]="",#N/A,((Tabela1716[[#This Row],[Building Permits]]*1)/D47)-1)</f>
        <v>-3.0039525691699653E-2</v>
      </c>
      <c r="F59" s="33"/>
      <c r="G59" s="41"/>
      <c r="H59" s="33">
        <v>1482</v>
      </c>
      <c r="I59" s="33">
        <f>IF(Tabela1716[[#This Row],[Housing Starts]]="",#N/A,Tabela1716[[#This Row],[Housing Starts]]-H58)</f>
        <v>50</v>
      </c>
      <c r="J59" s="41">
        <f>IF(Tabela1716[[#This Row],[Housing Starts]]="",#N/A,((Tabela1716[[#This Row],[Housing Starts]]*1)/H47)-1)</f>
        <v>1.8556701030927769E-2</v>
      </c>
      <c r="K59" s="26"/>
      <c r="L59" s="41"/>
      <c r="M59" s="27"/>
      <c r="N59" s="41"/>
      <c r="O59" s="33">
        <v>587</v>
      </c>
      <c r="P59" s="41">
        <f>IF(Tabela1716[[#This Row],[New House Sales]]="",#N/A,((Tabela1716[[#This Row],[New House Sales]]*1)/O58)-1)</f>
        <v>-4.5528455284552849E-2</v>
      </c>
      <c r="Q59" s="41">
        <f>IF(Tabela1716[[#This Row],[New House Sales]]="",#N/A,((Tabela1716[[#This Row],[New House Sales]]*1)/O47)-1)</f>
        <v>-5.0847457627118953E-3</v>
      </c>
      <c r="R59" s="27">
        <v>4.9000000000000004</v>
      </c>
      <c r="S59" s="86"/>
      <c r="T59" s="28"/>
      <c r="V59" s="38"/>
      <c r="W59" s="9"/>
      <c r="X59" s="9"/>
    </row>
    <row r="60" spans="1:24" ht="12.75">
      <c r="A60" s="12">
        <v>24016</v>
      </c>
      <c r="B60" s="26"/>
      <c r="C60" s="27"/>
      <c r="D60" s="33">
        <v>1279</v>
      </c>
      <c r="E60" s="41">
        <f>IF(Tabela1716[[#This Row],[Building Permits]]="",#N/A,((Tabela1716[[#This Row],[Building Permits]]*1)/D48)-1)</f>
        <v>3.9837398373983701E-2</v>
      </c>
      <c r="F60" s="33"/>
      <c r="G60" s="41"/>
      <c r="H60" s="33">
        <v>1452</v>
      </c>
      <c r="I60" s="33">
        <f>IF(Tabela1716[[#This Row],[Housing Starts]]="",#N/A,Tabela1716[[#This Row],[Housing Starts]]-H59)</f>
        <v>-30</v>
      </c>
      <c r="J60" s="41">
        <f>IF(Tabela1716[[#This Row],[Housing Starts]]="",#N/A,((Tabela1716[[#This Row],[Housing Starts]]*1)/H48)-1)</f>
        <v>-4.7244094488189003E-2</v>
      </c>
      <c r="K60" s="26"/>
      <c r="L60" s="41"/>
      <c r="M60" s="27"/>
      <c r="N60" s="41"/>
      <c r="O60" s="33">
        <v>555</v>
      </c>
      <c r="P60" s="41">
        <f>IF(Tabela1716[[#This Row],[New House Sales]]="",#N/A,((Tabela1716[[#This Row],[New House Sales]]*1)/O59)-1)</f>
        <v>-5.4514480408858645E-2</v>
      </c>
      <c r="Q60" s="41">
        <f>IF(Tabela1716[[#This Row],[New House Sales]]="",#N/A,((Tabela1716[[#This Row],[New House Sales]]*1)/O48)-1)</f>
        <v>-4.8027444253859297E-2</v>
      </c>
      <c r="R60" s="27">
        <v>5</v>
      </c>
      <c r="S60" s="86"/>
      <c r="T60" s="28"/>
      <c r="W60" s="9"/>
      <c r="X60" s="9"/>
    </row>
    <row r="61" spans="1:24" ht="12.75">
      <c r="A61" s="12">
        <v>24047</v>
      </c>
      <c r="B61" s="26"/>
      <c r="C61" s="27"/>
      <c r="D61" s="33">
        <v>1306</v>
      </c>
      <c r="E61" s="41">
        <f>IF(Tabela1716[[#This Row],[Building Permits]]="",#N/A,((Tabela1716[[#This Row],[Building Permits]]*1)/D49)-1)</f>
        <v>4.146730462519943E-2</v>
      </c>
      <c r="F61" s="33"/>
      <c r="G61" s="41"/>
      <c r="H61" s="33">
        <v>1460</v>
      </c>
      <c r="I61" s="33">
        <f>IF(Tabela1716[[#This Row],[Housing Starts]]="",#N/A,Tabela1716[[#This Row],[Housing Starts]]-H60)</f>
        <v>8</v>
      </c>
      <c r="J61" s="41">
        <f>IF(Tabela1716[[#This Row],[Housing Starts]]="",#N/A,((Tabela1716[[#This Row],[Housing Starts]]*1)/H49)-1)</f>
        <v>-1.7496635262449489E-2</v>
      </c>
      <c r="K61" s="26"/>
      <c r="L61" s="41"/>
      <c r="M61" s="27"/>
      <c r="N61" s="41"/>
      <c r="O61" s="33">
        <v>616</v>
      </c>
      <c r="P61" s="41">
        <f>IF(Tabela1716[[#This Row],[New House Sales]]="",#N/A,((Tabela1716[[#This Row],[New House Sales]]*1)/O60)-1)</f>
        <v>0.1099099099099099</v>
      </c>
      <c r="Q61" s="41">
        <f>IF(Tabela1716[[#This Row],[New House Sales]]="",#N/A,((Tabela1716[[#This Row],[New House Sales]]*1)/O49)-1)</f>
        <v>0.12408759124087587</v>
      </c>
      <c r="R61" s="27">
        <v>4.5999999999999996</v>
      </c>
      <c r="S61" s="86"/>
      <c r="T61" s="28"/>
      <c r="V61" s="38"/>
      <c r="W61" s="9"/>
      <c r="X61" s="9"/>
    </row>
    <row r="62" spans="1:24" ht="12.75">
      <c r="A62" s="12">
        <v>24077</v>
      </c>
      <c r="B62" s="26"/>
      <c r="C62" s="27"/>
      <c r="D62" s="33">
        <v>1315</v>
      </c>
      <c r="E62" s="41">
        <f>IF(Tabela1716[[#This Row],[Building Permits]]="",#N/A,((Tabela1716[[#This Row],[Building Permits]]*1)/D50)-1)</f>
        <v>0.1297250859106529</v>
      </c>
      <c r="F62" s="33"/>
      <c r="G62" s="41"/>
      <c r="H62" s="33">
        <v>1656</v>
      </c>
      <c r="I62" s="33">
        <f>IF(Tabela1716[[#This Row],[Housing Starts]]="",#N/A,Tabela1716[[#This Row],[Housing Starts]]-H61)</f>
        <v>196</v>
      </c>
      <c r="J62" s="41">
        <f>IF(Tabela1716[[#This Row],[Housing Starts]]="",#N/A,((Tabela1716[[#This Row],[Housing Starts]]*1)/H50)-1)</f>
        <v>0.11590296495956864</v>
      </c>
      <c r="K62" s="26"/>
      <c r="L62" s="41"/>
      <c r="M62" s="27"/>
      <c r="N62" s="41"/>
      <c r="O62" s="33">
        <v>609</v>
      </c>
      <c r="P62" s="41">
        <f>IF(Tabela1716[[#This Row],[New House Sales]]="",#N/A,((Tabela1716[[#This Row],[New House Sales]]*1)/O61)-1)</f>
        <v>-1.1363636363636354E-2</v>
      </c>
      <c r="Q62" s="41">
        <f>IF(Tabela1716[[#This Row],[New House Sales]]="",#N/A,((Tabela1716[[#This Row],[New House Sales]]*1)/O50)-1)</f>
        <v>0.12777777777777777</v>
      </c>
      <c r="R62" s="27">
        <v>4.4000000000000004</v>
      </c>
      <c r="S62" s="86"/>
      <c r="T62" s="28"/>
      <c r="W62" s="9"/>
      <c r="X62" s="9"/>
    </row>
    <row r="63" spans="1:24" ht="12.75">
      <c r="A63" s="12">
        <v>24108</v>
      </c>
      <c r="B63" s="26"/>
      <c r="C63" s="27"/>
      <c r="D63" s="33">
        <v>1325</v>
      </c>
      <c r="E63" s="41">
        <f>IF(Tabela1716[[#This Row],[Building Permits]]="",#N/A,((Tabela1716[[#This Row],[Building Permits]]*1)/D51)-1)</f>
        <v>4.8259493670886E-2</v>
      </c>
      <c r="F63" s="33"/>
      <c r="G63" s="41"/>
      <c r="H63" s="33">
        <v>1370</v>
      </c>
      <c r="I63" s="33">
        <f>IF(Tabela1716[[#This Row],[Housing Starts]]="",#N/A,Tabela1716[[#This Row],[Housing Starts]]-H62)</f>
        <v>-286</v>
      </c>
      <c r="J63" s="41">
        <f>IF(Tabela1716[[#This Row],[Housing Starts]]="",#N/A,((Tabela1716[[#This Row],[Housing Starts]]*1)/H51)-1)</f>
        <v>6.6127847171197907E-3</v>
      </c>
      <c r="K63" s="26"/>
      <c r="L63" s="41"/>
      <c r="M63" s="27"/>
      <c r="N63" s="41"/>
      <c r="O63" s="33">
        <v>599</v>
      </c>
      <c r="P63" s="41">
        <f>IF(Tabela1716[[#This Row],[New House Sales]]="",#N/A,((Tabela1716[[#This Row],[New House Sales]]*1)/O62)-1)</f>
        <v>-1.6420361247947435E-2</v>
      </c>
      <c r="Q63" s="41">
        <f>IF(Tabela1716[[#This Row],[New House Sales]]="",#N/A,((Tabela1716[[#This Row],[New House Sales]]*1)/O51)-1)</f>
        <v>0.12382739212007499</v>
      </c>
      <c r="R63" s="27">
        <v>4.7</v>
      </c>
      <c r="S63" s="86"/>
      <c r="T63" s="28"/>
      <c r="V63" s="38"/>
      <c r="W63" s="9"/>
      <c r="X63" s="9"/>
    </row>
    <row r="64" spans="1:24" ht="12.75">
      <c r="A64" s="12">
        <v>24139</v>
      </c>
      <c r="B64" s="26"/>
      <c r="C64" s="27"/>
      <c r="D64" s="33">
        <v>1159</v>
      </c>
      <c r="E64" s="41">
        <f>IF(Tabela1716[[#This Row],[Building Permits]]="",#N/A,((Tabela1716[[#This Row],[Building Permits]]*1)/D52)-1)</f>
        <v>-2.1940928270042237E-2</v>
      </c>
      <c r="F64" s="33"/>
      <c r="G64" s="41"/>
      <c r="H64" s="33">
        <v>1378</v>
      </c>
      <c r="I64" s="33">
        <f>IF(Tabela1716[[#This Row],[Housing Starts]]="",#N/A,Tabela1716[[#This Row],[Housing Starts]]-H63)</f>
        <v>8</v>
      </c>
      <c r="J64" s="41">
        <f>IF(Tabela1716[[#This Row],[Housing Starts]]="",#N/A,((Tabela1716[[#This Row],[Housing Starts]]*1)/H52)-1)</f>
        <v>-3.8381018841591064E-2</v>
      </c>
      <c r="K64" s="26"/>
      <c r="L64" s="41"/>
      <c r="M64" s="27"/>
      <c r="N64" s="41"/>
      <c r="O64" s="33">
        <v>541</v>
      </c>
      <c r="P64" s="41">
        <f>IF(Tabela1716[[#This Row],[New House Sales]]="",#N/A,((Tabela1716[[#This Row],[New House Sales]]*1)/O63)-1)</f>
        <v>-9.6828046744574237E-2</v>
      </c>
      <c r="Q64" s="41">
        <f>IF(Tabela1716[[#This Row],[New House Sales]]="",#N/A,((Tabela1716[[#This Row],[New House Sales]]*1)/O52)-1)</f>
        <v>-3.2200357781753119E-2</v>
      </c>
      <c r="R64" s="27">
        <v>4.9000000000000004</v>
      </c>
      <c r="S64" s="86"/>
      <c r="T64" s="28"/>
      <c r="W64" s="9"/>
      <c r="X64" s="9"/>
    </row>
    <row r="65" spans="1:24" ht="12.75">
      <c r="A65" s="12">
        <v>24167</v>
      </c>
      <c r="B65" s="26"/>
      <c r="C65" s="27"/>
      <c r="D65" s="33">
        <v>1234</v>
      </c>
      <c r="E65" s="41">
        <f>IF(Tabela1716[[#This Row],[Building Permits]]="",#N/A,((Tabela1716[[#This Row],[Building Permits]]*1)/D53)-1)</f>
        <v>1.8992568125516085E-2</v>
      </c>
      <c r="F65" s="33"/>
      <c r="G65" s="41"/>
      <c r="H65" s="33">
        <v>1394</v>
      </c>
      <c r="I65" s="33">
        <f>IF(Tabela1716[[#This Row],[Housing Starts]]="",#N/A,Tabela1716[[#This Row],[Housing Starts]]-H64)</f>
        <v>16</v>
      </c>
      <c r="J65" s="41">
        <f>IF(Tabela1716[[#This Row],[Housing Starts]]="",#N/A,((Tabela1716[[#This Row],[Housing Starts]]*1)/H53)-1)</f>
        <v>-2.037947997189038E-2</v>
      </c>
      <c r="K65" s="26"/>
      <c r="L65" s="41"/>
      <c r="M65" s="27"/>
      <c r="N65" s="41"/>
      <c r="O65" s="33">
        <v>557</v>
      </c>
      <c r="P65" s="41">
        <f>IF(Tabela1716[[#This Row],[New House Sales]]="",#N/A,((Tabela1716[[#This Row],[New House Sales]]*1)/O64)-1)</f>
        <v>2.9574861367837268E-2</v>
      </c>
      <c r="Q65" s="41">
        <f>IF(Tabela1716[[#This Row],[New House Sales]]="",#N/A,((Tabela1716[[#This Row],[New House Sales]]*1)/O53)-1)</f>
        <v>1.7985611510791255E-3</v>
      </c>
      <c r="R65" s="27">
        <v>5</v>
      </c>
      <c r="S65" s="86"/>
      <c r="T65" s="28"/>
      <c r="V65" s="38"/>
      <c r="W65" s="9"/>
      <c r="X65" s="9"/>
    </row>
    <row r="66" spans="1:24" ht="12.75">
      <c r="A66" s="12">
        <v>24198</v>
      </c>
      <c r="B66" s="26"/>
      <c r="C66" s="27"/>
      <c r="D66" s="33">
        <v>1145</v>
      </c>
      <c r="E66" s="41">
        <f>IF(Tabela1716[[#This Row],[Building Permits]]="",#N/A,((Tabela1716[[#This Row],[Building Permits]]*1)/D54)-1)</f>
        <v>-1.4629948364888179E-2</v>
      </c>
      <c r="F66" s="33"/>
      <c r="G66" s="41"/>
      <c r="H66" s="33">
        <v>1352</v>
      </c>
      <c r="I66" s="33">
        <f>IF(Tabela1716[[#This Row],[Housing Starts]]="",#N/A,Tabela1716[[#This Row],[Housing Starts]]-H65)</f>
        <v>-42</v>
      </c>
      <c r="J66" s="41">
        <f>IF(Tabela1716[[#This Row],[Housing Starts]]="",#N/A,((Tabela1716[[#This Row],[Housing Starts]]*1)/H54)-1)</f>
        <v>-5.9805285118219698E-2</v>
      </c>
      <c r="K66" s="26"/>
      <c r="L66" s="41"/>
      <c r="M66" s="27"/>
      <c r="N66" s="41"/>
      <c r="O66" s="33">
        <v>545</v>
      </c>
      <c r="P66" s="41">
        <f>IF(Tabela1716[[#This Row],[New House Sales]]="",#N/A,((Tabela1716[[#This Row],[New House Sales]]*1)/O65)-1)</f>
        <v>-2.1543985637342944E-2</v>
      </c>
      <c r="Q66" s="41">
        <f>IF(Tabela1716[[#This Row],[New House Sales]]="",#N/A,((Tabela1716[[#This Row],[New House Sales]]*1)/O54)-1)</f>
        <v>-1.8018018018018056E-2</v>
      </c>
      <c r="R66" s="27">
        <v>5.0999999999999996</v>
      </c>
      <c r="S66" s="86"/>
      <c r="T66" s="28"/>
      <c r="W66" s="9"/>
      <c r="X66" s="9"/>
    </row>
    <row r="67" spans="1:24" ht="12.75">
      <c r="A67" s="12">
        <v>24228</v>
      </c>
      <c r="B67" s="26"/>
      <c r="C67" s="27"/>
      <c r="D67" s="33">
        <v>1078</v>
      </c>
      <c r="E67" s="41">
        <f>IF(Tabela1716[[#This Row],[Building Permits]]="",#N/A,((Tabela1716[[#This Row],[Building Permits]]*1)/D55)-1)</f>
        <v>-0.10687655343827673</v>
      </c>
      <c r="F67" s="33"/>
      <c r="G67" s="41"/>
      <c r="H67" s="33">
        <v>1265</v>
      </c>
      <c r="I67" s="33">
        <f>IF(Tabela1716[[#This Row],[Housing Starts]]="",#N/A,Tabela1716[[#This Row],[Housing Starts]]-H66)</f>
        <v>-87</v>
      </c>
      <c r="J67" s="41">
        <f>IF(Tabela1716[[#This Row],[Housing Starts]]="",#N/A,((Tabela1716[[#This Row],[Housing Starts]]*1)/H55)-1)</f>
        <v>-0.14411366711772666</v>
      </c>
      <c r="K67" s="26"/>
      <c r="L67" s="41"/>
      <c r="M67" s="27"/>
      <c r="N67" s="41"/>
      <c r="O67" s="33">
        <v>499</v>
      </c>
      <c r="P67" s="41">
        <f>IF(Tabela1716[[#This Row],[New House Sales]]="",#N/A,((Tabela1716[[#This Row],[New House Sales]]*1)/O66)-1)</f>
        <v>-8.4403669724770647E-2</v>
      </c>
      <c r="Q67" s="41">
        <f>IF(Tabela1716[[#This Row],[New House Sales]]="",#N/A,((Tabela1716[[#This Row],[New House Sales]]*1)/O55)-1)</f>
        <v>-8.2720588235294157E-2</v>
      </c>
      <c r="R67" s="27">
        <v>5.3</v>
      </c>
      <c r="S67" s="86"/>
      <c r="T67" s="28"/>
      <c r="V67" s="38"/>
      <c r="W67" s="9"/>
      <c r="X67" s="9"/>
    </row>
    <row r="68" spans="1:24" ht="12.75">
      <c r="A68" s="12">
        <v>24259</v>
      </c>
      <c r="B68" s="26"/>
      <c r="C68" s="27"/>
      <c r="D68" s="33">
        <v>956</v>
      </c>
      <c r="E68" s="41">
        <f>IF(Tabela1716[[#This Row],[Building Permits]]="",#N/A,((Tabela1716[[#This Row],[Building Permits]]*1)/D56)-1)</f>
        <v>-0.22965350523771155</v>
      </c>
      <c r="F68" s="33"/>
      <c r="G68" s="41"/>
      <c r="H68" s="33">
        <v>1194</v>
      </c>
      <c r="I68" s="33">
        <f>IF(Tabela1716[[#This Row],[Housing Starts]]="",#N/A,Tabela1716[[#This Row],[Housing Starts]]-H67)</f>
        <v>-71</v>
      </c>
      <c r="J68" s="41">
        <f>IF(Tabela1716[[#This Row],[Housing Starts]]="",#N/A,((Tabela1716[[#This Row],[Housing Starts]]*1)/H56)-1)</f>
        <v>-0.19758064516129037</v>
      </c>
      <c r="K68" s="26"/>
      <c r="L68" s="41"/>
      <c r="M68" s="27"/>
      <c r="N68" s="41"/>
      <c r="O68" s="33">
        <v>434</v>
      </c>
      <c r="P68" s="41">
        <f>IF(Tabela1716[[#This Row],[New House Sales]]="",#N/A,((Tabela1716[[#This Row],[New House Sales]]*1)/O67)-1)</f>
        <v>-0.13026052104208419</v>
      </c>
      <c r="Q68" s="41">
        <f>IF(Tabela1716[[#This Row],[New House Sales]]="",#N/A,((Tabela1716[[#This Row],[New House Sales]]*1)/O56)-1)</f>
        <v>-0.29315960912052119</v>
      </c>
      <c r="R68" s="27">
        <v>6</v>
      </c>
      <c r="S68" s="86"/>
      <c r="T68" s="28"/>
      <c r="W68" s="9"/>
      <c r="X68" s="9"/>
    </row>
    <row r="69" spans="1:24" ht="12.75">
      <c r="A69" s="12">
        <v>24289</v>
      </c>
      <c r="B69" s="26"/>
      <c r="C69" s="27"/>
      <c r="D69" s="33">
        <v>932</v>
      </c>
      <c r="E69" s="41">
        <f>IF(Tabela1716[[#This Row],[Building Permits]]="",#N/A,((Tabela1716[[#This Row],[Building Permits]]*1)/D57)-1)</f>
        <v>-0.24656426839126921</v>
      </c>
      <c r="F69" s="33"/>
      <c r="G69" s="41"/>
      <c r="H69" s="33">
        <v>1086</v>
      </c>
      <c r="I69" s="33">
        <f>IF(Tabela1716[[#This Row],[Housing Starts]]="",#N/A,Tabela1716[[#This Row],[Housing Starts]]-H68)</f>
        <v>-108</v>
      </c>
      <c r="J69" s="41">
        <f>IF(Tabela1716[[#This Row],[Housing Starts]]="",#N/A,((Tabela1716[[#This Row],[Housing Starts]]*1)/H57)-1)</f>
        <v>-0.28973185088292996</v>
      </c>
      <c r="K69" s="26"/>
      <c r="L69" s="41"/>
      <c r="M69" s="27"/>
      <c r="N69" s="41"/>
      <c r="O69" s="33">
        <v>435</v>
      </c>
      <c r="P69" s="41">
        <f>IF(Tabela1716[[#This Row],[New House Sales]]="",#N/A,((Tabela1716[[#This Row],[New House Sales]]*1)/O68)-1)</f>
        <v>2.3041474654377225E-3</v>
      </c>
      <c r="Q69" s="41">
        <f>IF(Tabela1716[[#This Row],[New House Sales]]="",#N/A,((Tabela1716[[#This Row],[New House Sales]]*1)/O57)-1)</f>
        <v>-0.21480144404332135</v>
      </c>
      <c r="R69" s="27">
        <v>5.9</v>
      </c>
      <c r="S69" s="86"/>
      <c r="T69" s="28"/>
      <c r="V69" s="38"/>
      <c r="W69" s="9"/>
      <c r="X69" s="9"/>
    </row>
    <row r="70" spans="1:24" ht="12.75">
      <c r="A70" s="12">
        <v>24320</v>
      </c>
      <c r="B70" s="26"/>
      <c r="C70" s="27"/>
      <c r="D70" s="33">
        <v>877</v>
      </c>
      <c r="E70" s="41">
        <f>IF(Tabela1716[[#This Row],[Building Permits]]="",#N/A,((Tabela1716[[#This Row],[Building Permits]]*1)/D58)-1)</f>
        <v>-0.29783827061649315</v>
      </c>
      <c r="F70" s="33"/>
      <c r="G70" s="41"/>
      <c r="H70" s="33">
        <v>1119</v>
      </c>
      <c r="I70" s="33">
        <f>IF(Tabela1716[[#This Row],[Housing Starts]]="",#N/A,Tabela1716[[#This Row],[Housing Starts]]-H69)</f>
        <v>33</v>
      </c>
      <c r="J70" s="41">
        <f>IF(Tabela1716[[#This Row],[Housing Starts]]="",#N/A,((Tabela1716[[#This Row],[Housing Starts]]*1)/H58)-1)</f>
        <v>-0.21857541899441346</v>
      </c>
      <c r="K70" s="26"/>
      <c r="L70" s="41"/>
      <c r="M70" s="27"/>
      <c r="N70" s="41"/>
      <c r="O70" s="33">
        <v>377</v>
      </c>
      <c r="P70" s="41">
        <f>IF(Tabela1716[[#This Row],[New House Sales]]="",#N/A,((Tabela1716[[#This Row],[New House Sales]]*1)/O69)-1)</f>
        <v>-0.1333333333333333</v>
      </c>
      <c r="Q70" s="41">
        <f>IF(Tabela1716[[#This Row],[New House Sales]]="",#N/A,((Tabela1716[[#This Row],[New House Sales]]*1)/O58)-1)</f>
        <v>-0.38699186991869916</v>
      </c>
      <c r="R70" s="27">
        <v>6.8</v>
      </c>
      <c r="S70" s="86"/>
      <c r="T70" s="28"/>
      <c r="W70" s="9"/>
      <c r="X70" s="9"/>
    </row>
    <row r="71" spans="1:24" ht="12.75">
      <c r="A71" s="12">
        <v>24351</v>
      </c>
      <c r="B71" s="26"/>
      <c r="C71" s="27"/>
      <c r="D71" s="33">
        <v>774</v>
      </c>
      <c r="E71" s="41">
        <f>IF(Tabela1716[[#This Row],[Building Permits]]="",#N/A,((Tabela1716[[#This Row],[Building Permits]]*1)/D59)-1)</f>
        <v>-0.36919315403422981</v>
      </c>
      <c r="F71" s="33"/>
      <c r="G71" s="41"/>
      <c r="H71" s="33">
        <v>1046</v>
      </c>
      <c r="I71" s="33">
        <f>IF(Tabela1716[[#This Row],[Housing Starts]]="",#N/A,Tabela1716[[#This Row],[Housing Starts]]-H70)</f>
        <v>-73</v>
      </c>
      <c r="J71" s="41">
        <f>IF(Tabela1716[[#This Row],[Housing Starts]]="",#N/A,((Tabela1716[[#This Row],[Housing Starts]]*1)/H59)-1)</f>
        <v>-0.2941970310391363</v>
      </c>
      <c r="K71" s="26"/>
      <c r="L71" s="41"/>
      <c r="M71" s="27"/>
      <c r="N71" s="41"/>
      <c r="O71" s="33">
        <v>358</v>
      </c>
      <c r="P71" s="41">
        <f>IF(Tabela1716[[#This Row],[New House Sales]]="",#N/A,((Tabela1716[[#This Row],[New House Sales]]*1)/O70)-1)</f>
        <v>-5.0397877984084904E-2</v>
      </c>
      <c r="Q71" s="41">
        <f>IF(Tabela1716[[#This Row],[New House Sales]]="",#N/A,((Tabela1716[[#This Row],[New House Sales]]*1)/O59)-1)</f>
        <v>-0.39011925042589435</v>
      </c>
      <c r="R71" s="27">
        <v>7.2</v>
      </c>
      <c r="S71" s="86"/>
      <c r="T71" s="28"/>
      <c r="V71" s="38"/>
      <c r="W71" s="9"/>
      <c r="X71" s="9"/>
    </row>
    <row r="72" spans="1:24" ht="12.75">
      <c r="A72" s="12">
        <v>24381</v>
      </c>
      <c r="B72" s="26"/>
      <c r="C72" s="27"/>
      <c r="D72" s="33">
        <v>739</v>
      </c>
      <c r="E72" s="41">
        <f>IF(Tabela1716[[#This Row],[Building Permits]]="",#N/A,((Tabela1716[[#This Row],[Building Permits]]*1)/D60)-1)</f>
        <v>-0.42220484753713838</v>
      </c>
      <c r="F72" s="33"/>
      <c r="G72" s="41"/>
      <c r="H72" s="33">
        <v>843</v>
      </c>
      <c r="I72" s="33">
        <f>IF(Tabela1716[[#This Row],[Housing Starts]]="",#N/A,Tabela1716[[#This Row],[Housing Starts]]-H71)</f>
        <v>-203</v>
      </c>
      <c r="J72" s="41">
        <f>IF(Tabela1716[[#This Row],[Housing Starts]]="",#N/A,((Tabela1716[[#This Row],[Housing Starts]]*1)/H60)-1)</f>
        <v>-0.41942148760330578</v>
      </c>
      <c r="K72" s="26"/>
      <c r="L72" s="41"/>
      <c r="M72" s="27"/>
      <c r="N72" s="41"/>
      <c r="O72" s="33">
        <v>387</v>
      </c>
      <c r="P72" s="41">
        <f>IF(Tabela1716[[#This Row],[New House Sales]]="",#N/A,((Tabela1716[[#This Row],[New House Sales]]*1)/O71)-1)</f>
        <v>8.1005586592178824E-2</v>
      </c>
      <c r="Q72" s="41">
        <f>IF(Tabela1716[[#This Row],[New House Sales]]="",#N/A,((Tabela1716[[#This Row],[New House Sales]]*1)/O60)-1)</f>
        <v>-0.30270270270270272</v>
      </c>
      <c r="R72" s="27">
        <v>6.3</v>
      </c>
      <c r="S72" s="86"/>
      <c r="T72" s="28"/>
      <c r="W72" s="9"/>
      <c r="X72" s="9"/>
    </row>
    <row r="73" spans="1:24" ht="12.75">
      <c r="A73" s="12">
        <v>24412</v>
      </c>
      <c r="B73" s="26"/>
      <c r="C73" s="27"/>
      <c r="D73" s="33">
        <v>736</v>
      </c>
      <c r="E73" s="41">
        <f>IF(Tabela1716[[#This Row],[Building Permits]]="",#N/A,((Tabela1716[[#This Row],[Building Permits]]*1)/D61)-1)</f>
        <v>-0.43644716692189889</v>
      </c>
      <c r="F73" s="33"/>
      <c r="G73" s="41"/>
      <c r="H73" s="33">
        <v>961</v>
      </c>
      <c r="I73" s="33">
        <f>IF(Tabela1716[[#This Row],[Housing Starts]]="",#N/A,Tabela1716[[#This Row],[Housing Starts]]-H72)</f>
        <v>118</v>
      </c>
      <c r="J73" s="41">
        <f>IF(Tabela1716[[#This Row],[Housing Starts]]="",#N/A,((Tabela1716[[#This Row],[Housing Starts]]*1)/H61)-1)</f>
        <v>-0.34178082191780823</v>
      </c>
      <c r="K73" s="26"/>
      <c r="L73" s="41"/>
      <c r="M73" s="27"/>
      <c r="N73" s="41"/>
      <c r="O73" s="33">
        <v>382</v>
      </c>
      <c r="P73" s="41">
        <f>IF(Tabela1716[[#This Row],[New House Sales]]="",#N/A,((Tabela1716[[#This Row],[New House Sales]]*1)/O72)-1)</f>
        <v>-1.2919896640826822E-2</v>
      </c>
      <c r="Q73" s="41">
        <f>IF(Tabela1716[[#This Row],[New House Sales]]="",#N/A,((Tabela1716[[#This Row],[New House Sales]]*1)/O61)-1)</f>
        <v>-0.37987012987012991</v>
      </c>
      <c r="R73" s="27">
        <v>6.2</v>
      </c>
      <c r="S73" s="86"/>
      <c r="T73" s="28"/>
      <c r="V73" s="38"/>
      <c r="W73" s="9"/>
      <c r="X73" s="9"/>
    </row>
    <row r="74" spans="1:24" ht="12.75">
      <c r="A74" s="12">
        <v>24442</v>
      </c>
      <c r="B74" s="26"/>
      <c r="C74" s="27"/>
      <c r="D74" s="33">
        <v>743</v>
      </c>
      <c r="E74" s="41">
        <f>IF(Tabela1716[[#This Row],[Building Permits]]="",#N/A,((Tabela1716[[#This Row],[Building Permits]]*1)/D62)-1)</f>
        <v>-0.43498098859315593</v>
      </c>
      <c r="F74" s="33"/>
      <c r="G74" s="41"/>
      <c r="H74" s="33">
        <v>990</v>
      </c>
      <c r="I74" s="33">
        <f>IF(Tabela1716[[#This Row],[Housing Starts]]="",#N/A,Tabela1716[[#This Row],[Housing Starts]]-H73)</f>
        <v>29</v>
      </c>
      <c r="J74" s="41">
        <f>IF(Tabela1716[[#This Row],[Housing Starts]]="",#N/A,((Tabela1716[[#This Row],[Housing Starts]]*1)/H62)-1)</f>
        <v>-0.40217391304347827</v>
      </c>
      <c r="K74" s="26"/>
      <c r="L74" s="41"/>
      <c r="M74" s="27"/>
      <c r="N74" s="41"/>
      <c r="O74" s="33">
        <v>369</v>
      </c>
      <c r="P74" s="41">
        <f>IF(Tabela1716[[#This Row],[New House Sales]]="",#N/A,((Tabela1716[[#This Row],[New House Sales]]*1)/O73)-1)</f>
        <v>-3.4031413612565453E-2</v>
      </c>
      <c r="Q74" s="41">
        <f>IF(Tabela1716[[#This Row],[New House Sales]]="",#N/A,((Tabela1716[[#This Row],[New House Sales]]*1)/O62)-1)</f>
        <v>-0.39408866995073888</v>
      </c>
      <c r="R74" s="27">
        <v>6.3</v>
      </c>
      <c r="S74" s="86"/>
      <c r="T74" s="28"/>
      <c r="W74" s="9"/>
      <c r="X74" s="9"/>
    </row>
    <row r="75" spans="1:24" ht="12.75">
      <c r="A75" s="12">
        <v>24473</v>
      </c>
      <c r="B75" s="26"/>
      <c r="C75" s="27"/>
      <c r="D75" s="33">
        <v>995</v>
      </c>
      <c r="E75" s="41">
        <f>IF(Tabela1716[[#This Row],[Building Permits]]="",#N/A,((Tabela1716[[#This Row],[Building Permits]]*1)/D63)-1)</f>
        <v>-0.24905660377358485</v>
      </c>
      <c r="F75" s="33"/>
      <c r="G75" s="41"/>
      <c r="H75" s="33">
        <v>1067</v>
      </c>
      <c r="I75" s="33">
        <f>IF(Tabela1716[[#This Row],[Housing Starts]]="",#N/A,Tabela1716[[#This Row],[Housing Starts]]-H74)</f>
        <v>77</v>
      </c>
      <c r="J75" s="41">
        <f>IF(Tabela1716[[#This Row],[Housing Starts]]="",#N/A,((Tabela1716[[#This Row],[Housing Starts]]*1)/H63)-1)</f>
        <v>-0.2211678832116788</v>
      </c>
      <c r="K75" s="26"/>
      <c r="L75" s="41"/>
      <c r="M75" s="27"/>
      <c r="N75" s="41"/>
      <c r="O75" s="33">
        <v>416</v>
      </c>
      <c r="P75" s="41">
        <f>IF(Tabela1716[[#This Row],[New House Sales]]="",#N/A,((Tabela1716[[#This Row],[New House Sales]]*1)/O74)-1)</f>
        <v>0.12737127371273704</v>
      </c>
      <c r="Q75" s="41">
        <f>IF(Tabela1716[[#This Row],[New House Sales]]="",#N/A,((Tabela1716[[#This Row],[New House Sales]]*1)/O63)-1)</f>
        <v>-0.30550918196994992</v>
      </c>
      <c r="R75" s="27">
        <v>5.7</v>
      </c>
      <c r="S75" s="86"/>
      <c r="T75" s="28"/>
      <c r="V75" s="38"/>
      <c r="W75" s="9"/>
      <c r="X75" s="9"/>
    </row>
    <row r="76" spans="1:24" ht="12.75">
      <c r="A76" s="12">
        <v>24504</v>
      </c>
      <c r="B76" s="26"/>
      <c r="C76" s="27"/>
      <c r="D76" s="33">
        <v>907</v>
      </c>
      <c r="E76" s="41">
        <f>IF(Tabela1716[[#This Row],[Building Permits]]="",#N/A,((Tabela1716[[#This Row],[Building Permits]]*1)/D64)-1)</f>
        <v>-0.21742881794650559</v>
      </c>
      <c r="F76" s="33"/>
      <c r="G76" s="41"/>
      <c r="H76" s="33">
        <v>1123</v>
      </c>
      <c r="I76" s="33">
        <f>IF(Tabela1716[[#This Row],[Housing Starts]]="",#N/A,Tabela1716[[#This Row],[Housing Starts]]-H75)</f>
        <v>56</v>
      </c>
      <c r="J76" s="41">
        <f>IF(Tabela1716[[#This Row],[Housing Starts]]="",#N/A,((Tabela1716[[#This Row],[Housing Starts]]*1)/H64)-1)</f>
        <v>-0.18505079825834547</v>
      </c>
      <c r="K76" s="26"/>
      <c r="L76" s="41"/>
      <c r="M76" s="27"/>
      <c r="N76" s="41"/>
      <c r="O76" s="33">
        <v>408</v>
      </c>
      <c r="P76" s="41">
        <f>IF(Tabela1716[[#This Row],[New House Sales]]="",#N/A,((Tabela1716[[#This Row],[New House Sales]]*1)/O75)-1)</f>
        <v>-1.9230769230769273E-2</v>
      </c>
      <c r="Q76" s="41">
        <f>IF(Tabela1716[[#This Row],[New House Sales]]="",#N/A,((Tabela1716[[#This Row],[New House Sales]]*1)/O64)-1)</f>
        <v>-0.24584103512014788</v>
      </c>
      <c r="R76" s="27">
        <v>5.7</v>
      </c>
      <c r="S76" s="86"/>
      <c r="T76" s="28"/>
      <c r="W76" s="9"/>
      <c r="X76" s="9"/>
    </row>
    <row r="77" spans="1:24" ht="12.75">
      <c r="A77" s="12">
        <v>24532</v>
      </c>
      <c r="B77" s="26"/>
      <c r="C77" s="27"/>
      <c r="D77" s="33">
        <v>955</v>
      </c>
      <c r="E77" s="41">
        <f>IF(Tabela1716[[#This Row],[Building Permits]]="",#N/A,((Tabela1716[[#This Row],[Building Permits]]*1)/D65)-1)</f>
        <v>-0.22609400324149109</v>
      </c>
      <c r="F77" s="33"/>
      <c r="G77" s="41"/>
      <c r="H77" s="33">
        <v>1056</v>
      </c>
      <c r="I77" s="33">
        <f>IF(Tabela1716[[#This Row],[Housing Starts]]="",#N/A,Tabela1716[[#This Row],[Housing Starts]]-H76)</f>
        <v>-67</v>
      </c>
      <c r="J77" s="41">
        <f>IF(Tabela1716[[#This Row],[Housing Starts]]="",#N/A,((Tabela1716[[#This Row],[Housing Starts]]*1)/H65)-1)</f>
        <v>-0.24246771879483497</v>
      </c>
      <c r="K77" s="26"/>
      <c r="L77" s="41"/>
      <c r="M77" s="27"/>
      <c r="N77" s="41"/>
      <c r="O77" s="33">
        <v>439</v>
      </c>
      <c r="P77" s="41">
        <f>IF(Tabela1716[[#This Row],[New House Sales]]="",#N/A,((Tabela1716[[#This Row],[New House Sales]]*1)/O76)-1)</f>
        <v>7.5980392156862697E-2</v>
      </c>
      <c r="Q77" s="41">
        <f>IF(Tabela1716[[#This Row],[New House Sales]]="",#N/A,((Tabela1716[[#This Row],[New House Sales]]*1)/O65)-1)</f>
        <v>-0.21184919210053865</v>
      </c>
      <c r="R77" s="27">
        <v>5.4</v>
      </c>
      <c r="S77" s="86"/>
      <c r="T77" s="28"/>
      <c r="V77" s="38"/>
      <c r="W77" s="9"/>
      <c r="X77" s="9"/>
    </row>
    <row r="78" spans="1:24" ht="12.75">
      <c r="A78" s="12">
        <v>24563</v>
      </c>
      <c r="B78" s="26"/>
      <c r="C78" s="27"/>
      <c r="D78" s="33">
        <v>1035</v>
      </c>
      <c r="E78" s="41">
        <f>IF(Tabela1716[[#This Row],[Building Permits]]="",#N/A,((Tabela1716[[#This Row],[Building Permits]]*1)/D66)-1)</f>
        <v>-9.606986899563319E-2</v>
      </c>
      <c r="F78" s="33"/>
      <c r="G78" s="41"/>
      <c r="H78" s="33">
        <v>1091</v>
      </c>
      <c r="I78" s="33">
        <f>IF(Tabela1716[[#This Row],[Housing Starts]]="",#N/A,Tabela1716[[#This Row],[Housing Starts]]-H77)</f>
        <v>35</v>
      </c>
      <c r="J78" s="41">
        <f>IF(Tabela1716[[#This Row],[Housing Starts]]="",#N/A,((Tabela1716[[#This Row],[Housing Starts]]*1)/H66)-1)</f>
        <v>-0.19304733727810652</v>
      </c>
      <c r="K78" s="26"/>
      <c r="L78" s="41"/>
      <c r="M78" s="27"/>
      <c r="N78" s="41"/>
      <c r="O78" s="33">
        <v>479</v>
      </c>
      <c r="P78" s="41">
        <f>IF(Tabela1716[[#This Row],[New House Sales]]="",#N/A,((Tabela1716[[#This Row],[New House Sales]]*1)/O77)-1)</f>
        <v>9.1116173120728838E-2</v>
      </c>
      <c r="Q78" s="41">
        <f>IF(Tabela1716[[#This Row],[New House Sales]]="",#N/A,((Tabela1716[[#This Row],[New House Sales]]*1)/O66)-1)</f>
        <v>-0.12110091743119267</v>
      </c>
      <c r="R78" s="27">
        <v>4.9000000000000004</v>
      </c>
      <c r="S78" s="86"/>
      <c r="T78" s="28"/>
      <c r="W78" s="9"/>
      <c r="X78" s="9"/>
    </row>
    <row r="79" spans="1:24" ht="12.75">
      <c r="A79" s="12">
        <v>24593</v>
      </c>
      <c r="B79" s="26"/>
      <c r="C79" s="27"/>
      <c r="D79" s="33">
        <v>1076</v>
      </c>
      <c r="E79" s="41">
        <f>IF(Tabela1716[[#This Row],[Building Permits]]="",#N/A,((Tabela1716[[#This Row],[Building Permits]]*1)/D67)-1)</f>
        <v>-1.8552875695733162E-3</v>
      </c>
      <c r="F79" s="33"/>
      <c r="G79" s="41"/>
      <c r="H79" s="33">
        <v>1304</v>
      </c>
      <c r="I79" s="33">
        <f>IF(Tabela1716[[#This Row],[Housing Starts]]="",#N/A,Tabela1716[[#This Row],[Housing Starts]]-H78)</f>
        <v>213</v>
      </c>
      <c r="J79" s="41">
        <f>IF(Tabela1716[[#This Row],[Housing Starts]]="",#N/A,((Tabela1716[[#This Row],[Housing Starts]]*1)/H67)-1)</f>
        <v>3.0830039525691744E-2</v>
      </c>
      <c r="K79" s="26"/>
      <c r="L79" s="41"/>
      <c r="M79" s="27"/>
      <c r="N79" s="41"/>
      <c r="O79" s="33">
        <v>503</v>
      </c>
      <c r="P79" s="41">
        <f>IF(Tabela1716[[#This Row],[New House Sales]]="",#N/A,((Tabela1716[[#This Row],[New House Sales]]*1)/O78)-1)</f>
        <v>5.0104384133611735E-2</v>
      </c>
      <c r="Q79" s="41">
        <f>IF(Tabela1716[[#This Row],[New House Sales]]="",#N/A,((Tabela1716[[#This Row],[New House Sales]]*1)/O67)-1)</f>
        <v>8.0160320641282645E-3</v>
      </c>
      <c r="R79" s="27">
        <v>4.5</v>
      </c>
      <c r="S79" s="86"/>
      <c r="T79" s="28"/>
      <c r="V79" s="38"/>
      <c r="W79" s="9"/>
      <c r="X79" s="9"/>
    </row>
    <row r="80" spans="1:24" ht="12.75">
      <c r="A80" s="12">
        <v>24624</v>
      </c>
      <c r="B80" s="26"/>
      <c r="C80" s="27"/>
      <c r="D80" s="33">
        <v>1169</v>
      </c>
      <c r="E80" s="41">
        <f>IF(Tabela1716[[#This Row],[Building Permits]]="",#N/A,((Tabela1716[[#This Row],[Building Permits]]*1)/D68)-1)</f>
        <v>0.2228033472803348</v>
      </c>
      <c r="F80" s="33"/>
      <c r="G80" s="41"/>
      <c r="H80" s="33">
        <v>1248</v>
      </c>
      <c r="I80" s="33">
        <f>IF(Tabela1716[[#This Row],[Housing Starts]]="",#N/A,Tabela1716[[#This Row],[Housing Starts]]-H79)</f>
        <v>-56</v>
      </c>
      <c r="J80" s="41">
        <f>IF(Tabela1716[[#This Row],[Housing Starts]]="",#N/A,((Tabela1716[[#This Row],[Housing Starts]]*1)/H68)-1)</f>
        <v>4.5226130653266416E-2</v>
      </c>
      <c r="K80" s="26"/>
      <c r="L80" s="41"/>
      <c r="M80" s="27"/>
      <c r="N80" s="41"/>
      <c r="O80" s="33">
        <v>499</v>
      </c>
      <c r="P80" s="41">
        <f>IF(Tabela1716[[#This Row],[New House Sales]]="",#N/A,((Tabela1716[[#This Row],[New House Sales]]*1)/O79)-1)</f>
        <v>-7.9522862823061535E-3</v>
      </c>
      <c r="Q80" s="41">
        <f>IF(Tabela1716[[#This Row],[New House Sales]]="",#N/A,((Tabela1716[[#This Row],[New House Sales]]*1)/O68)-1)</f>
        <v>0.14976958525345618</v>
      </c>
      <c r="R80" s="27">
        <v>4.5999999999999996</v>
      </c>
      <c r="S80" s="86"/>
      <c r="T80" s="28"/>
      <c r="W80" s="9"/>
      <c r="X80" s="9"/>
    </row>
    <row r="81" spans="1:24" ht="12.75">
      <c r="A81" s="12">
        <v>24654</v>
      </c>
      <c r="B81" s="26"/>
      <c r="C81" s="27"/>
      <c r="D81" s="33">
        <v>1177</v>
      </c>
      <c r="E81" s="41">
        <f>IF(Tabela1716[[#This Row],[Building Permits]]="",#N/A,((Tabela1716[[#This Row],[Building Permits]]*1)/D69)-1)</f>
        <v>0.26287553648068673</v>
      </c>
      <c r="F81" s="33"/>
      <c r="G81" s="41"/>
      <c r="H81" s="33">
        <v>1364</v>
      </c>
      <c r="I81" s="33">
        <f>IF(Tabela1716[[#This Row],[Housing Starts]]="",#N/A,Tabela1716[[#This Row],[Housing Starts]]-H80)</f>
        <v>116</v>
      </c>
      <c r="J81" s="41">
        <f>IF(Tabela1716[[#This Row],[Housing Starts]]="",#N/A,((Tabela1716[[#This Row],[Housing Starts]]*1)/H69)-1)</f>
        <v>0.25598526703499069</v>
      </c>
      <c r="K81" s="26"/>
      <c r="L81" s="41"/>
      <c r="M81" s="27"/>
      <c r="N81" s="41"/>
      <c r="O81" s="33">
        <v>515</v>
      </c>
      <c r="P81" s="41">
        <f>IF(Tabela1716[[#This Row],[New House Sales]]="",#N/A,((Tabela1716[[#This Row],[New House Sales]]*1)/O80)-1)</f>
        <v>3.2064128256513058E-2</v>
      </c>
      <c r="Q81" s="41">
        <f>IF(Tabela1716[[#This Row],[New House Sales]]="",#N/A,((Tabela1716[[#This Row],[New House Sales]]*1)/O69)-1)</f>
        <v>0.18390804597701149</v>
      </c>
      <c r="R81" s="27">
        <v>4.4000000000000004</v>
      </c>
      <c r="S81" s="86"/>
      <c r="T81" s="28"/>
      <c r="V81" s="38"/>
      <c r="W81" s="9"/>
      <c r="X81" s="9"/>
    </row>
    <row r="82" spans="1:24" ht="12.75">
      <c r="A82" s="12">
        <v>24685</v>
      </c>
      <c r="B82" s="26"/>
      <c r="C82" s="27"/>
      <c r="D82" s="33">
        <v>1229</v>
      </c>
      <c r="E82" s="41">
        <f>IF(Tabela1716[[#This Row],[Building Permits]]="",#N/A,((Tabela1716[[#This Row],[Building Permits]]*1)/D70)-1)</f>
        <v>0.40136830102622567</v>
      </c>
      <c r="F82" s="33"/>
      <c r="G82" s="41"/>
      <c r="H82" s="33">
        <v>1407</v>
      </c>
      <c r="I82" s="33">
        <f>IF(Tabela1716[[#This Row],[Housing Starts]]="",#N/A,Tabela1716[[#This Row],[Housing Starts]]-H81)</f>
        <v>43</v>
      </c>
      <c r="J82" s="41">
        <f>IF(Tabela1716[[#This Row],[Housing Starts]]="",#N/A,((Tabela1716[[#This Row],[Housing Starts]]*1)/H70)-1)</f>
        <v>0.25737265415549593</v>
      </c>
      <c r="K82" s="26"/>
      <c r="L82" s="41"/>
      <c r="M82" s="27"/>
      <c r="N82" s="41"/>
      <c r="O82" s="33">
        <v>504</v>
      </c>
      <c r="P82" s="41">
        <f>IF(Tabela1716[[#This Row],[New House Sales]]="",#N/A,((Tabela1716[[#This Row],[New House Sales]]*1)/O81)-1)</f>
        <v>-2.1359223300970842E-2</v>
      </c>
      <c r="Q82" s="41">
        <f>IF(Tabela1716[[#This Row],[New House Sales]]="",#N/A,((Tabela1716[[#This Row],[New House Sales]]*1)/O70)-1)</f>
        <v>0.33687002652519893</v>
      </c>
      <c r="R82" s="27">
        <v>4.4000000000000004</v>
      </c>
      <c r="S82" s="86"/>
      <c r="T82" s="28"/>
      <c r="W82" s="9"/>
      <c r="X82" s="9"/>
    </row>
    <row r="83" spans="1:24" ht="12.75">
      <c r="A83" s="12">
        <v>24716</v>
      </c>
      <c r="B83" s="26"/>
      <c r="C83" s="27"/>
      <c r="D83" s="33">
        <v>1279</v>
      </c>
      <c r="E83" s="41">
        <f>IF(Tabela1716[[#This Row],[Building Permits]]="",#N/A,((Tabela1716[[#This Row],[Building Permits]]*1)/D71)-1)</f>
        <v>0.65245478036175708</v>
      </c>
      <c r="F83" s="33"/>
      <c r="G83" s="41"/>
      <c r="H83" s="33">
        <v>1421</v>
      </c>
      <c r="I83" s="33">
        <f>IF(Tabela1716[[#This Row],[Housing Starts]]="",#N/A,Tabela1716[[#This Row],[Housing Starts]]-H82)</f>
        <v>14</v>
      </c>
      <c r="J83" s="41">
        <f>IF(Tabela1716[[#This Row],[Housing Starts]]="",#N/A,((Tabela1716[[#This Row],[Housing Starts]]*1)/H71)-1)</f>
        <v>0.35850860420650088</v>
      </c>
      <c r="K83" s="26"/>
      <c r="L83" s="41"/>
      <c r="M83" s="27"/>
      <c r="N83" s="41"/>
      <c r="O83" s="33">
        <v>531</v>
      </c>
      <c r="P83" s="41">
        <f>IF(Tabela1716[[#This Row],[New House Sales]]="",#N/A,((Tabela1716[[#This Row],[New House Sales]]*1)/O82)-1)</f>
        <v>5.3571428571428603E-2</v>
      </c>
      <c r="Q83" s="41">
        <f>IF(Tabela1716[[#This Row],[New House Sales]]="",#N/A,((Tabela1716[[#This Row],[New House Sales]]*1)/O71)-1)</f>
        <v>0.48324022346368722</v>
      </c>
      <c r="R83" s="27">
        <v>4.3</v>
      </c>
      <c r="S83" s="86"/>
      <c r="T83" s="28"/>
      <c r="V83" s="38"/>
      <c r="W83" s="9"/>
      <c r="X83" s="9"/>
    </row>
    <row r="84" spans="1:24" ht="12.75">
      <c r="A84" s="12">
        <v>24746</v>
      </c>
      <c r="B84" s="26"/>
      <c r="C84" s="27"/>
      <c r="D84" s="33">
        <v>1280</v>
      </c>
      <c r="E84" s="41">
        <f>IF(Tabela1716[[#This Row],[Building Permits]]="",#N/A,((Tabela1716[[#This Row],[Building Permits]]*1)/D72)-1)</f>
        <v>0.73207036535859271</v>
      </c>
      <c r="F84" s="33"/>
      <c r="G84" s="41"/>
      <c r="H84" s="33">
        <v>1491</v>
      </c>
      <c r="I84" s="33">
        <f>IF(Tabela1716[[#This Row],[Housing Starts]]="",#N/A,Tabela1716[[#This Row],[Housing Starts]]-H83)</f>
        <v>70</v>
      </c>
      <c r="J84" s="41">
        <f>IF(Tabela1716[[#This Row],[Housing Starts]]="",#N/A,((Tabela1716[[#This Row],[Housing Starts]]*1)/H72)-1)</f>
        <v>0.76868327402135228</v>
      </c>
      <c r="K84" s="26"/>
      <c r="L84" s="41"/>
      <c r="M84" s="27"/>
      <c r="N84" s="41"/>
      <c r="O84" s="33">
        <v>566</v>
      </c>
      <c r="P84" s="41">
        <f>IF(Tabela1716[[#This Row],[New House Sales]]="",#N/A,((Tabela1716[[#This Row],[New House Sales]]*1)/O83)-1)</f>
        <v>6.5913370998116783E-2</v>
      </c>
      <c r="Q84" s="41">
        <f>IF(Tabela1716[[#This Row],[New House Sales]]="",#N/A,((Tabela1716[[#This Row],[New House Sales]]*1)/O72)-1)</f>
        <v>0.46253229974160215</v>
      </c>
      <c r="R84" s="27">
        <v>4.0999999999999996</v>
      </c>
      <c r="S84" s="86"/>
      <c r="T84" s="28"/>
      <c r="W84" s="9"/>
      <c r="X84" s="9"/>
    </row>
    <row r="85" spans="1:24" ht="12.75">
      <c r="A85" s="12">
        <v>24777</v>
      </c>
      <c r="B85" s="26"/>
      <c r="C85" s="27"/>
      <c r="D85" s="33">
        <v>1297</v>
      </c>
      <c r="E85" s="41">
        <f>IF(Tabela1716[[#This Row],[Building Permits]]="",#N/A,((Tabela1716[[#This Row],[Building Permits]]*1)/D73)-1)</f>
        <v>0.76222826086956519</v>
      </c>
      <c r="F85" s="33"/>
      <c r="G85" s="41"/>
      <c r="H85" s="33">
        <v>1538</v>
      </c>
      <c r="I85" s="33">
        <f>IF(Tabela1716[[#This Row],[Housing Starts]]="",#N/A,Tabela1716[[#This Row],[Housing Starts]]-H84)</f>
        <v>47</v>
      </c>
      <c r="J85" s="41">
        <f>IF(Tabela1716[[#This Row],[Housing Starts]]="",#N/A,((Tabela1716[[#This Row],[Housing Starts]]*1)/H73)-1)</f>
        <v>0.60041623309053072</v>
      </c>
      <c r="K85" s="26"/>
      <c r="L85" s="41"/>
      <c r="M85" s="27"/>
      <c r="N85" s="41"/>
      <c r="O85" s="33">
        <v>500</v>
      </c>
      <c r="P85" s="41">
        <f>IF(Tabela1716[[#This Row],[New House Sales]]="",#N/A,((Tabela1716[[#This Row],[New House Sales]]*1)/O84)-1)</f>
        <v>-0.11660777385159016</v>
      </c>
      <c r="Q85" s="41">
        <f>IF(Tabela1716[[#This Row],[New House Sales]]="",#N/A,((Tabela1716[[#This Row],[New House Sales]]*1)/O73)-1)</f>
        <v>0.30890052356020936</v>
      </c>
      <c r="R85" s="27">
        <v>4.5999999999999996</v>
      </c>
      <c r="S85" s="86"/>
      <c r="T85" s="28"/>
      <c r="V85" s="38"/>
      <c r="W85" s="9"/>
      <c r="X85" s="9"/>
    </row>
    <row r="86" spans="1:24" ht="12.75">
      <c r="A86" s="12">
        <v>24807</v>
      </c>
      <c r="B86" s="26"/>
      <c r="C86" s="27"/>
      <c r="D86" s="33">
        <v>1315</v>
      </c>
      <c r="E86" s="41">
        <f>IF(Tabela1716[[#This Row],[Building Permits]]="",#N/A,((Tabela1716[[#This Row],[Building Permits]]*1)/D74)-1)</f>
        <v>0.7698519515477793</v>
      </c>
      <c r="F86" s="33"/>
      <c r="G86" s="41"/>
      <c r="H86" s="33">
        <v>1308</v>
      </c>
      <c r="I86" s="33">
        <f>IF(Tabela1716[[#This Row],[Housing Starts]]="",#N/A,Tabela1716[[#This Row],[Housing Starts]]-H85)</f>
        <v>-230</v>
      </c>
      <c r="J86" s="41">
        <f>IF(Tabela1716[[#This Row],[Housing Starts]]="",#N/A,((Tabela1716[[#This Row],[Housing Starts]]*1)/H74)-1)</f>
        <v>0.32121212121212128</v>
      </c>
      <c r="K86" s="26"/>
      <c r="L86" s="41"/>
      <c r="M86" s="27"/>
      <c r="N86" s="41"/>
      <c r="O86" s="33">
        <v>502</v>
      </c>
      <c r="P86" s="41">
        <f>IF(Tabela1716[[#This Row],[New House Sales]]="",#N/A,((Tabela1716[[#This Row],[New House Sales]]*1)/O85)-1)</f>
        <v>4.0000000000000036E-3</v>
      </c>
      <c r="Q86" s="41">
        <f>IF(Tabela1716[[#This Row],[New House Sales]]="",#N/A,((Tabela1716[[#This Row],[New House Sales]]*1)/O74)-1)</f>
        <v>0.36043360433604343</v>
      </c>
      <c r="R86" s="27">
        <v>4.7</v>
      </c>
      <c r="S86" s="86"/>
      <c r="T86" s="28"/>
      <c r="W86" s="9"/>
      <c r="X86" s="9"/>
    </row>
    <row r="87" spans="1:24" ht="12.75">
      <c r="A87" s="12">
        <v>24838</v>
      </c>
      <c r="B87" s="26"/>
      <c r="C87" s="27"/>
      <c r="D87" s="33">
        <v>1179</v>
      </c>
      <c r="E87" s="41">
        <f>IF(Tabela1716[[#This Row],[Building Permits]]="",#N/A,((Tabela1716[[#This Row],[Building Permits]]*1)/D75)-1)</f>
        <v>0.18492462311557789</v>
      </c>
      <c r="F87" s="33"/>
      <c r="G87" s="41"/>
      <c r="H87" s="33">
        <v>1380</v>
      </c>
      <c r="I87" s="33">
        <f>IF(Tabela1716[[#This Row],[Housing Starts]]="",#N/A,Tabela1716[[#This Row],[Housing Starts]]-H86)</f>
        <v>72</v>
      </c>
      <c r="J87" s="41">
        <f>IF(Tabela1716[[#This Row],[Housing Starts]]="",#N/A,((Tabela1716[[#This Row],[Housing Starts]]*1)/H75)-1)</f>
        <v>0.29334582942830356</v>
      </c>
      <c r="K87" s="26"/>
      <c r="L87" s="41"/>
      <c r="M87" s="27"/>
      <c r="N87" s="41"/>
      <c r="O87" s="33">
        <v>494</v>
      </c>
      <c r="P87" s="41">
        <f>IF(Tabela1716[[#This Row],[New House Sales]]="",#N/A,((Tabela1716[[#This Row],[New House Sales]]*1)/O86)-1)</f>
        <v>-1.5936254980079667E-2</v>
      </c>
      <c r="Q87" s="41">
        <f>IF(Tabela1716[[#This Row],[New House Sales]]="",#N/A,((Tabela1716[[#This Row],[New House Sales]]*1)/O75)-1)</f>
        <v>0.1875</v>
      </c>
      <c r="R87" s="27">
        <v>4.7</v>
      </c>
      <c r="S87" s="86"/>
      <c r="T87" s="28"/>
      <c r="V87" s="38"/>
      <c r="W87" s="9"/>
      <c r="X87" s="9"/>
    </row>
    <row r="88" spans="1:24" ht="12.75">
      <c r="A88" s="12">
        <v>24869</v>
      </c>
      <c r="B88" s="26"/>
      <c r="C88" s="27"/>
      <c r="D88" s="33">
        <v>1342</v>
      </c>
      <c r="E88" s="41">
        <f>IF(Tabela1716[[#This Row],[Building Permits]]="",#N/A,((Tabela1716[[#This Row],[Building Permits]]*1)/D76)-1)</f>
        <v>0.47960308710033073</v>
      </c>
      <c r="F88" s="33"/>
      <c r="G88" s="41"/>
      <c r="H88" s="33">
        <v>1520</v>
      </c>
      <c r="I88" s="33">
        <f>IF(Tabela1716[[#This Row],[Housing Starts]]="",#N/A,Tabela1716[[#This Row],[Housing Starts]]-H87)</f>
        <v>140</v>
      </c>
      <c r="J88" s="41">
        <f>IF(Tabela1716[[#This Row],[Housing Starts]]="",#N/A,((Tabela1716[[#This Row],[Housing Starts]]*1)/H76)-1)</f>
        <v>0.3535173642030276</v>
      </c>
      <c r="K88" s="26"/>
      <c r="L88" s="41"/>
      <c r="M88" s="27"/>
      <c r="N88" s="41"/>
      <c r="O88" s="33">
        <v>543</v>
      </c>
      <c r="P88" s="41">
        <f>IF(Tabela1716[[#This Row],[New House Sales]]="",#N/A,((Tabela1716[[#This Row],[New House Sales]]*1)/O87)-1)</f>
        <v>9.919028340080982E-2</v>
      </c>
      <c r="Q88" s="41">
        <f>IF(Tabela1716[[#This Row],[New House Sales]]="",#N/A,((Tabela1716[[#This Row],[New House Sales]]*1)/O76)-1)</f>
        <v>0.33088235294117641</v>
      </c>
      <c r="R88" s="27">
        <v>4.0999999999999996</v>
      </c>
      <c r="S88" s="86"/>
      <c r="T88" s="28"/>
      <c r="W88" s="9"/>
      <c r="X88" s="9"/>
    </row>
    <row r="89" spans="1:24" ht="12.75">
      <c r="A89" s="12">
        <v>24898</v>
      </c>
      <c r="B89" s="26"/>
      <c r="C89" s="27"/>
      <c r="D89" s="33">
        <v>1370</v>
      </c>
      <c r="E89" s="41">
        <f>IF(Tabela1716[[#This Row],[Building Permits]]="",#N/A,((Tabela1716[[#This Row],[Building Permits]]*1)/D77)-1)</f>
        <v>0.4345549738219896</v>
      </c>
      <c r="F89" s="33"/>
      <c r="G89" s="41"/>
      <c r="H89" s="33">
        <v>1466</v>
      </c>
      <c r="I89" s="33">
        <f>IF(Tabela1716[[#This Row],[Housing Starts]]="",#N/A,Tabela1716[[#This Row],[Housing Starts]]-H88)</f>
        <v>-54</v>
      </c>
      <c r="J89" s="41">
        <f>IF(Tabela1716[[#This Row],[Housing Starts]]="",#N/A,((Tabela1716[[#This Row],[Housing Starts]]*1)/H77)-1)</f>
        <v>0.38825757575757569</v>
      </c>
      <c r="K89" s="26"/>
      <c r="L89" s="41"/>
      <c r="M89" s="27"/>
      <c r="N89" s="41"/>
      <c r="O89" s="33">
        <v>490</v>
      </c>
      <c r="P89" s="41">
        <f>IF(Tabela1716[[#This Row],[New House Sales]]="",#N/A,((Tabela1716[[#This Row],[New House Sales]]*1)/O88)-1)</f>
        <v>-9.7605893186003656E-2</v>
      </c>
      <c r="Q89" s="41">
        <f>IF(Tabela1716[[#This Row],[New House Sales]]="",#N/A,((Tabela1716[[#This Row],[New House Sales]]*1)/O77)-1)</f>
        <v>0.11617312072892938</v>
      </c>
      <c r="R89" s="27">
        <v>4.8</v>
      </c>
      <c r="S89" s="86"/>
      <c r="T89" s="28"/>
      <c r="V89" s="38"/>
      <c r="W89" s="9"/>
      <c r="X89" s="9"/>
    </row>
    <row r="90" spans="1:24" ht="12.75">
      <c r="A90" s="12">
        <v>24929</v>
      </c>
      <c r="B90" s="26"/>
      <c r="C90" s="27"/>
      <c r="D90" s="33">
        <v>1286</v>
      </c>
      <c r="E90" s="41">
        <f>IF(Tabela1716[[#This Row],[Building Permits]]="",#N/A,((Tabela1716[[#This Row],[Building Permits]]*1)/D78)-1)</f>
        <v>0.24251207729468605</v>
      </c>
      <c r="F90" s="33"/>
      <c r="G90" s="41"/>
      <c r="H90" s="33">
        <v>1554</v>
      </c>
      <c r="I90" s="33">
        <f>IF(Tabela1716[[#This Row],[Housing Starts]]="",#N/A,Tabela1716[[#This Row],[Housing Starts]]-H89)</f>
        <v>88</v>
      </c>
      <c r="J90" s="41">
        <f>IF(Tabela1716[[#This Row],[Housing Starts]]="",#N/A,((Tabela1716[[#This Row],[Housing Starts]]*1)/H78)-1)</f>
        <v>0.42438130155820342</v>
      </c>
      <c r="K90" s="26"/>
      <c r="L90" s="41"/>
      <c r="M90" s="27"/>
      <c r="N90" s="41"/>
      <c r="O90" s="33">
        <v>501</v>
      </c>
      <c r="P90" s="41">
        <f>IF(Tabela1716[[#This Row],[New House Sales]]="",#N/A,((Tabela1716[[#This Row],[New House Sales]]*1)/O89)-1)</f>
        <v>2.2448979591836782E-2</v>
      </c>
      <c r="Q90" s="41">
        <f>IF(Tabela1716[[#This Row],[New House Sales]]="",#N/A,((Tabela1716[[#This Row],[New House Sales]]*1)/O78)-1)</f>
        <v>4.5929018789144127E-2</v>
      </c>
      <c r="R90" s="27">
        <v>4.9000000000000004</v>
      </c>
      <c r="S90" s="86"/>
      <c r="T90" s="28"/>
      <c r="W90" s="9"/>
      <c r="X90" s="9"/>
    </row>
    <row r="91" spans="1:24" ht="12.75">
      <c r="A91" s="12">
        <v>24959</v>
      </c>
      <c r="B91" s="26"/>
      <c r="C91" s="27"/>
      <c r="D91" s="33">
        <v>1297</v>
      </c>
      <c r="E91" s="41">
        <f>IF(Tabela1716[[#This Row],[Building Permits]]="",#N/A,((Tabela1716[[#This Row],[Building Permits]]*1)/D79)-1)</f>
        <v>0.20539033457249078</v>
      </c>
      <c r="F91" s="33"/>
      <c r="G91" s="41"/>
      <c r="H91" s="33">
        <v>1408</v>
      </c>
      <c r="I91" s="33">
        <f>IF(Tabela1716[[#This Row],[Housing Starts]]="",#N/A,Tabela1716[[#This Row],[Housing Starts]]-H90)</f>
        <v>-146</v>
      </c>
      <c r="J91" s="41">
        <f>IF(Tabela1716[[#This Row],[Housing Starts]]="",#N/A,((Tabela1716[[#This Row],[Housing Starts]]*1)/H79)-1)</f>
        <v>7.9754601226993849E-2</v>
      </c>
      <c r="K91" s="26"/>
      <c r="L91" s="41"/>
      <c r="M91" s="27"/>
      <c r="N91" s="41"/>
      <c r="O91" s="33">
        <v>441</v>
      </c>
      <c r="P91" s="41">
        <f>IF(Tabela1716[[#This Row],[New House Sales]]="",#N/A,((Tabela1716[[#This Row],[New House Sales]]*1)/O90)-1)</f>
        <v>-0.11976047904191611</v>
      </c>
      <c r="Q91" s="41">
        <f>IF(Tabela1716[[#This Row],[New House Sales]]="",#N/A,((Tabela1716[[#This Row],[New House Sales]]*1)/O79)-1)</f>
        <v>-0.12326043737574555</v>
      </c>
      <c r="R91" s="27">
        <v>5.5</v>
      </c>
      <c r="S91" s="86"/>
      <c r="T91" s="28"/>
      <c r="V91" s="38"/>
      <c r="W91" s="9"/>
      <c r="X91" s="9"/>
    </row>
    <row r="92" spans="1:24" ht="12.75">
      <c r="A92" s="12">
        <v>24990</v>
      </c>
      <c r="B92" s="26"/>
      <c r="C92" s="27"/>
      <c r="D92" s="33">
        <v>1300</v>
      </c>
      <c r="E92" s="41">
        <f>IF(Tabela1716[[#This Row],[Building Permits]]="",#N/A,((Tabela1716[[#This Row],[Building Permits]]*1)/D80)-1)</f>
        <v>0.11206159110350722</v>
      </c>
      <c r="F92" s="33"/>
      <c r="G92" s="41"/>
      <c r="H92" s="33">
        <v>1405</v>
      </c>
      <c r="I92" s="33">
        <f>IF(Tabela1716[[#This Row],[Housing Starts]]="",#N/A,Tabela1716[[#This Row],[Housing Starts]]-H91)</f>
        <v>-3</v>
      </c>
      <c r="J92" s="41">
        <f>IF(Tabela1716[[#This Row],[Housing Starts]]="",#N/A,((Tabela1716[[#This Row],[Housing Starts]]*1)/H80)-1)</f>
        <v>0.12580128205128216</v>
      </c>
      <c r="K92" s="26"/>
      <c r="L92" s="41"/>
      <c r="M92" s="27"/>
      <c r="N92" s="41"/>
      <c r="O92" s="33">
        <v>441</v>
      </c>
      <c r="P92" s="41">
        <f>IF(Tabela1716[[#This Row],[New House Sales]]="",#N/A,((Tabela1716[[#This Row],[New House Sales]]*1)/O91)-1)</f>
        <v>0</v>
      </c>
      <c r="Q92" s="41">
        <f>IF(Tabela1716[[#This Row],[New House Sales]]="",#N/A,((Tabela1716[[#This Row],[New House Sales]]*1)/O80)-1)</f>
        <v>-0.11623246492985972</v>
      </c>
      <c r="R92" s="27">
        <v>5.5</v>
      </c>
      <c r="S92" s="86"/>
      <c r="T92" s="28"/>
      <c r="W92" s="9"/>
      <c r="X92" s="9"/>
    </row>
    <row r="93" spans="1:24" ht="12.75">
      <c r="A93" s="12">
        <v>25020</v>
      </c>
      <c r="B93" s="26"/>
      <c r="C93" s="27"/>
      <c r="D93" s="33">
        <v>1344</v>
      </c>
      <c r="E93" s="41">
        <f>IF(Tabela1716[[#This Row],[Building Permits]]="",#N/A,((Tabela1716[[#This Row],[Building Permits]]*1)/D81)-1)</f>
        <v>0.14188615123194559</v>
      </c>
      <c r="F93" s="33"/>
      <c r="G93" s="41"/>
      <c r="H93" s="33">
        <v>1512</v>
      </c>
      <c r="I93" s="33">
        <f>IF(Tabela1716[[#This Row],[Housing Starts]]="",#N/A,Tabela1716[[#This Row],[Housing Starts]]-H92)</f>
        <v>107</v>
      </c>
      <c r="J93" s="41">
        <f>IF(Tabela1716[[#This Row],[Housing Starts]]="",#N/A,((Tabela1716[[#This Row],[Housing Starts]]*1)/H81)-1)</f>
        <v>0.10850439882697938</v>
      </c>
      <c r="K93" s="26"/>
      <c r="L93" s="41"/>
      <c r="M93" s="27"/>
      <c r="N93" s="41"/>
      <c r="O93" s="33">
        <v>493</v>
      </c>
      <c r="P93" s="41">
        <f>IF(Tabela1716[[#This Row],[New House Sales]]="",#N/A,((Tabela1716[[#This Row],[New House Sales]]*1)/O92)-1)</f>
        <v>0.11791383219954654</v>
      </c>
      <c r="Q93" s="41">
        <f>IF(Tabela1716[[#This Row],[New House Sales]]="",#N/A,((Tabela1716[[#This Row],[New House Sales]]*1)/O81)-1)</f>
        <v>-4.2718446601941795E-2</v>
      </c>
      <c r="R93" s="27">
        <v>5.0999999999999996</v>
      </c>
      <c r="S93" s="86"/>
      <c r="T93" s="28"/>
      <c r="V93" s="38"/>
      <c r="W93" s="9"/>
      <c r="X93" s="9"/>
    </row>
    <row r="94" spans="1:24" ht="12.75">
      <c r="A94" s="12">
        <v>25051</v>
      </c>
      <c r="B94" s="26"/>
      <c r="C94" s="27"/>
      <c r="D94" s="33">
        <v>1357</v>
      </c>
      <c r="E94" s="41">
        <f>IF(Tabela1716[[#This Row],[Building Permits]]="",#N/A,((Tabela1716[[#This Row],[Building Permits]]*1)/D82)-1)</f>
        <v>0.10414971521562255</v>
      </c>
      <c r="F94" s="33"/>
      <c r="G94" s="41"/>
      <c r="H94" s="33">
        <v>1495</v>
      </c>
      <c r="I94" s="33">
        <f>IF(Tabela1716[[#This Row],[Housing Starts]]="",#N/A,Tabela1716[[#This Row],[Housing Starts]]-H93)</f>
        <v>-17</v>
      </c>
      <c r="J94" s="41">
        <f>IF(Tabela1716[[#This Row],[Housing Starts]]="",#N/A,((Tabela1716[[#This Row],[Housing Starts]]*1)/H82)-1)</f>
        <v>6.2544420753376073E-2</v>
      </c>
      <c r="K94" s="26"/>
      <c r="L94" s="41"/>
      <c r="M94" s="27"/>
      <c r="N94" s="41"/>
      <c r="O94" s="33">
        <v>507</v>
      </c>
      <c r="P94" s="41">
        <f>IF(Tabela1716[[#This Row],[New House Sales]]="",#N/A,((Tabela1716[[#This Row],[New House Sales]]*1)/O93)-1)</f>
        <v>2.8397565922920975E-2</v>
      </c>
      <c r="Q94" s="41">
        <f>IF(Tabela1716[[#This Row],[New House Sales]]="",#N/A,((Tabela1716[[#This Row],[New House Sales]]*1)/O82)-1)</f>
        <v>5.9523809523809312E-3</v>
      </c>
      <c r="R94" s="27">
        <v>5</v>
      </c>
      <c r="S94" s="86"/>
      <c r="T94" s="28"/>
      <c r="W94" s="9"/>
      <c r="X94" s="9"/>
    </row>
    <row r="95" spans="1:24" ht="12.75">
      <c r="A95" s="12">
        <v>25082</v>
      </c>
      <c r="B95" s="26"/>
      <c r="C95" s="27"/>
      <c r="D95" s="33">
        <v>1464</v>
      </c>
      <c r="E95" s="41">
        <f>IF(Tabela1716[[#This Row],[Building Permits]]="",#N/A,((Tabela1716[[#This Row],[Building Permits]]*1)/D83)-1)</f>
        <v>0.14464425332290842</v>
      </c>
      <c r="F95" s="33"/>
      <c r="G95" s="41"/>
      <c r="H95" s="33">
        <v>1556</v>
      </c>
      <c r="I95" s="33">
        <f>IF(Tabela1716[[#This Row],[Housing Starts]]="",#N/A,Tabela1716[[#This Row],[Housing Starts]]-H94)</f>
        <v>61</v>
      </c>
      <c r="J95" s="41">
        <f>IF(Tabela1716[[#This Row],[Housing Starts]]="",#N/A,((Tabela1716[[#This Row],[Housing Starts]]*1)/H83)-1)</f>
        <v>9.5003518648838936E-2</v>
      </c>
      <c r="K95" s="26"/>
      <c r="L95" s="41"/>
      <c r="M95" s="27"/>
      <c r="N95" s="41"/>
      <c r="O95" s="33">
        <v>501</v>
      </c>
      <c r="P95" s="41">
        <f>IF(Tabela1716[[#This Row],[New House Sales]]="",#N/A,((Tabela1716[[#This Row],[New House Sales]]*1)/O94)-1)</f>
        <v>-1.1834319526627168E-2</v>
      </c>
      <c r="Q95" s="41">
        <f>IF(Tabela1716[[#This Row],[New House Sales]]="",#N/A,((Tabela1716[[#This Row],[New House Sales]]*1)/O83)-1)</f>
        <v>-5.6497175141242972E-2</v>
      </c>
      <c r="R95" s="27">
        <v>5.0999999999999996</v>
      </c>
      <c r="S95" s="86"/>
      <c r="T95" s="28"/>
      <c r="V95" s="38"/>
      <c r="W95" s="9"/>
      <c r="X95" s="9"/>
    </row>
    <row r="96" spans="1:24" ht="12.75">
      <c r="A96" s="12">
        <v>25112</v>
      </c>
      <c r="B96" s="26"/>
      <c r="C96" s="27"/>
      <c r="D96" s="33">
        <v>1421</v>
      </c>
      <c r="E96" s="41">
        <f>IF(Tabela1716[[#This Row],[Building Permits]]="",#N/A,((Tabela1716[[#This Row],[Building Permits]]*1)/D84)-1)</f>
        <v>0.11015624999999996</v>
      </c>
      <c r="F96" s="33"/>
      <c r="G96" s="41"/>
      <c r="H96" s="33">
        <v>1569</v>
      </c>
      <c r="I96" s="33">
        <f>IF(Tabela1716[[#This Row],[Housing Starts]]="",#N/A,Tabela1716[[#This Row],[Housing Starts]]-H95)</f>
        <v>13</v>
      </c>
      <c r="J96" s="41">
        <f>IF(Tabela1716[[#This Row],[Housing Starts]]="",#N/A,((Tabela1716[[#This Row],[Housing Starts]]*1)/H84)-1)</f>
        <v>5.2313883299798691E-2</v>
      </c>
      <c r="K96" s="26"/>
      <c r="L96" s="41"/>
      <c r="M96" s="27"/>
      <c r="N96" s="41"/>
      <c r="O96" s="33">
        <v>502</v>
      </c>
      <c r="P96" s="41">
        <f>IF(Tabela1716[[#This Row],[New House Sales]]="",#N/A,((Tabela1716[[#This Row],[New House Sales]]*1)/O95)-1)</f>
        <v>1.9960079840319889E-3</v>
      </c>
      <c r="Q96" s="41">
        <f>IF(Tabela1716[[#This Row],[New House Sales]]="",#N/A,((Tabela1716[[#This Row],[New House Sales]]*1)/O84)-1)</f>
        <v>-0.11307420494699649</v>
      </c>
      <c r="R96" s="27">
        <v>5.2</v>
      </c>
      <c r="S96" s="86"/>
      <c r="T96" s="28"/>
      <c r="W96" s="9"/>
      <c r="X96" s="9"/>
    </row>
    <row r="97" spans="1:24" ht="12.75">
      <c r="A97" s="12">
        <v>25143</v>
      </c>
      <c r="B97" s="26"/>
      <c r="C97" s="27"/>
      <c r="D97" s="33">
        <v>1436</v>
      </c>
      <c r="E97" s="41">
        <f>IF(Tabela1716[[#This Row],[Building Permits]]="",#N/A,((Tabela1716[[#This Row],[Building Permits]]*1)/D85)-1)</f>
        <v>0.10717039321511179</v>
      </c>
      <c r="F97" s="33"/>
      <c r="G97" s="41"/>
      <c r="H97" s="33">
        <v>1630</v>
      </c>
      <c r="I97" s="33">
        <f>IF(Tabela1716[[#This Row],[Housing Starts]]="",#N/A,Tabela1716[[#This Row],[Housing Starts]]-H96)</f>
        <v>61</v>
      </c>
      <c r="J97" s="41">
        <f>IF(Tabela1716[[#This Row],[Housing Starts]]="",#N/A,((Tabela1716[[#This Row],[Housing Starts]]*1)/H85)-1)</f>
        <v>5.9817945383615179E-2</v>
      </c>
      <c r="K97" s="26"/>
      <c r="L97" s="41"/>
      <c r="M97" s="27"/>
      <c r="N97" s="41"/>
      <c r="O97" s="33">
        <v>469</v>
      </c>
      <c r="P97" s="41">
        <f>IF(Tabela1716[[#This Row],[New House Sales]]="",#N/A,((Tabela1716[[#This Row],[New House Sales]]*1)/O96)-1)</f>
        <v>-6.5737051792828738E-2</v>
      </c>
      <c r="Q97" s="41">
        <f>IF(Tabela1716[[#This Row],[New House Sales]]="",#N/A,((Tabela1716[[#This Row],[New House Sales]]*1)/O85)-1)</f>
        <v>-6.2000000000000055E-2</v>
      </c>
      <c r="R97" s="27">
        <v>5.6</v>
      </c>
      <c r="S97" s="86"/>
      <c r="T97" s="28"/>
      <c r="V97" s="38"/>
      <c r="W97" s="9"/>
      <c r="X97" s="9"/>
    </row>
    <row r="98" spans="1:24" ht="12.75">
      <c r="A98" s="12">
        <v>25173</v>
      </c>
      <c r="B98" s="26"/>
      <c r="C98" s="27"/>
      <c r="D98" s="33">
        <v>1389</v>
      </c>
      <c r="E98" s="41">
        <f>IF(Tabela1716[[#This Row],[Building Permits]]="",#N/A,((Tabela1716[[#This Row],[Building Permits]]*1)/D86)-1)</f>
        <v>5.6273764258555126E-2</v>
      </c>
      <c r="F98" s="33"/>
      <c r="G98" s="41"/>
      <c r="H98" s="33">
        <v>1548</v>
      </c>
      <c r="I98" s="33">
        <f>IF(Tabela1716[[#This Row],[Housing Starts]]="",#N/A,Tabela1716[[#This Row],[Housing Starts]]-H97)</f>
        <v>-82</v>
      </c>
      <c r="J98" s="41">
        <f>IF(Tabela1716[[#This Row],[Housing Starts]]="",#N/A,((Tabela1716[[#This Row],[Housing Starts]]*1)/H86)-1)</f>
        <v>0.1834862385321101</v>
      </c>
      <c r="K98" s="26"/>
      <c r="L98" s="41"/>
      <c r="M98" s="27"/>
      <c r="N98" s="41"/>
      <c r="O98" s="33">
        <v>511</v>
      </c>
      <c r="P98" s="41">
        <f>IF(Tabela1716[[#This Row],[New House Sales]]="",#N/A,((Tabela1716[[#This Row],[New House Sales]]*1)/O97)-1)</f>
        <v>8.9552238805970186E-2</v>
      </c>
      <c r="Q98" s="41">
        <f>IF(Tabela1716[[#This Row],[New House Sales]]="",#N/A,((Tabela1716[[#This Row],[New House Sales]]*1)/O86)-1)</f>
        <v>1.7928286852589626E-2</v>
      </c>
      <c r="R98" s="27">
        <v>5.2</v>
      </c>
      <c r="S98" s="86"/>
      <c r="T98" s="28"/>
      <c r="W98" s="9"/>
      <c r="X98" s="9"/>
    </row>
    <row r="99" spans="1:24" ht="12.75">
      <c r="A99" s="12">
        <v>25204</v>
      </c>
      <c r="B99" s="26"/>
      <c r="C99" s="27"/>
      <c r="D99" s="33">
        <v>1459</v>
      </c>
      <c r="E99" s="41">
        <f>IF(Tabela1716[[#This Row],[Building Permits]]="",#N/A,((Tabela1716[[#This Row],[Building Permits]]*1)/D87)-1)</f>
        <v>0.23748939779474121</v>
      </c>
      <c r="F99" s="33"/>
      <c r="G99" s="41"/>
      <c r="H99" s="33">
        <v>1769</v>
      </c>
      <c r="I99" s="33">
        <f>IF(Tabela1716[[#This Row],[Housing Starts]]="",#N/A,Tabela1716[[#This Row],[Housing Starts]]-H98)</f>
        <v>221</v>
      </c>
      <c r="J99" s="41">
        <f>IF(Tabela1716[[#This Row],[Housing Starts]]="",#N/A,((Tabela1716[[#This Row],[Housing Starts]]*1)/H87)-1)</f>
        <v>0.28188405797101446</v>
      </c>
      <c r="K99" s="26"/>
      <c r="L99" s="41"/>
      <c r="M99" s="27"/>
      <c r="N99" s="41"/>
      <c r="O99" s="33">
        <v>480</v>
      </c>
      <c r="P99" s="41">
        <f>IF(Tabela1716[[#This Row],[New House Sales]]="",#N/A,((Tabela1716[[#This Row],[New House Sales]]*1)/O98)-1)</f>
        <v>-6.0665362035225101E-2</v>
      </c>
      <c r="Q99" s="41">
        <f>IF(Tabela1716[[#This Row],[New House Sales]]="",#N/A,((Tabela1716[[#This Row],[New House Sales]]*1)/O87)-1)</f>
        <v>-2.8340080971659964E-2</v>
      </c>
      <c r="R99" s="27">
        <v>5.5</v>
      </c>
      <c r="S99" s="86"/>
      <c r="T99" s="28"/>
      <c r="V99" s="38"/>
      <c r="W99" s="9"/>
      <c r="X99" s="9"/>
    </row>
    <row r="100" spans="1:24" ht="12.75">
      <c r="A100" s="12">
        <v>25235</v>
      </c>
      <c r="B100" s="26"/>
      <c r="C100" s="27"/>
      <c r="D100" s="33">
        <v>1495</v>
      </c>
      <c r="E100" s="41">
        <f>IF(Tabela1716[[#This Row],[Building Permits]]="",#N/A,((Tabela1716[[#This Row],[Building Permits]]*1)/D88)-1)</f>
        <v>0.11400894187779431</v>
      </c>
      <c r="F100" s="33"/>
      <c r="G100" s="41"/>
      <c r="H100" s="33">
        <v>1705</v>
      </c>
      <c r="I100" s="33">
        <f>IF(Tabela1716[[#This Row],[Housing Starts]]="",#N/A,Tabela1716[[#This Row],[Housing Starts]]-H99)</f>
        <v>-64</v>
      </c>
      <c r="J100" s="41">
        <f>IF(Tabela1716[[#This Row],[Housing Starts]]="",#N/A,((Tabela1716[[#This Row],[Housing Starts]]*1)/H88)-1)</f>
        <v>0.12171052631578938</v>
      </c>
      <c r="K100" s="26"/>
      <c r="L100" s="41"/>
      <c r="M100" s="27"/>
      <c r="N100" s="41"/>
      <c r="O100" s="33">
        <v>524</v>
      </c>
      <c r="P100" s="41">
        <f>IF(Tabela1716[[#This Row],[New House Sales]]="",#N/A,((Tabela1716[[#This Row],[New House Sales]]*1)/O99)-1)</f>
        <v>9.1666666666666563E-2</v>
      </c>
      <c r="Q100" s="41">
        <f>IF(Tabela1716[[#This Row],[New House Sales]]="",#N/A,((Tabela1716[[#This Row],[New House Sales]]*1)/O88)-1)</f>
        <v>-3.4990791896869267E-2</v>
      </c>
      <c r="R100" s="27">
        <v>4.9000000000000004</v>
      </c>
      <c r="S100" s="86"/>
      <c r="T100" s="28"/>
      <c r="W100" s="9"/>
      <c r="X100" s="9"/>
    </row>
    <row r="101" spans="1:24" ht="12.75">
      <c r="A101" s="12">
        <v>25263</v>
      </c>
      <c r="B101" s="26"/>
      <c r="C101" s="27"/>
      <c r="D101" s="33">
        <v>1438</v>
      </c>
      <c r="E101" s="41">
        <f>IF(Tabela1716[[#This Row],[Building Permits]]="",#N/A,((Tabela1716[[#This Row],[Building Permits]]*1)/D89)-1)</f>
        <v>4.963503649635026E-2</v>
      </c>
      <c r="F101" s="33"/>
      <c r="G101" s="41"/>
      <c r="H101" s="33">
        <v>1561</v>
      </c>
      <c r="I101" s="33">
        <f>IF(Tabela1716[[#This Row],[Housing Starts]]="",#N/A,Tabela1716[[#This Row],[Housing Starts]]-H100)</f>
        <v>-144</v>
      </c>
      <c r="J101" s="41">
        <f>IF(Tabela1716[[#This Row],[Housing Starts]]="",#N/A,((Tabela1716[[#This Row],[Housing Starts]]*1)/H89)-1)</f>
        <v>6.4802182810368425E-2</v>
      </c>
      <c r="K101" s="26"/>
      <c r="L101" s="41"/>
      <c r="M101" s="27"/>
      <c r="N101" s="41"/>
      <c r="O101" s="33">
        <v>474</v>
      </c>
      <c r="P101" s="41">
        <f>IF(Tabela1716[[#This Row],[New House Sales]]="",#N/A,((Tabela1716[[#This Row],[New House Sales]]*1)/O100)-1)</f>
        <v>-9.5419847328244267E-2</v>
      </c>
      <c r="Q101" s="41">
        <f>IF(Tabela1716[[#This Row],[New House Sales]]="",#N/A,((Tabela1716[[#This Row],[New House Sales]]*1)/O89)-1)</f>
        <v>-3.2653061224489743E-2</v>
      </c>
      <c r="R101" s="27">
        <v>5.7</v>
      </c>
      <c r="S101" s="86"/>
      <c r="T101" s="28"/>
      <c r="V101" s="38"/>
      <c r="W101" s="9"/>
      <c r="X101" s="9"/>
    </row>
    <row r="102" spans="1:24" ht="12.75">
      <c r="A102" s="12">
        <v>25294</v>
      </c>
      <c r="B102" s="26"/>
      <c r="C102" s="27"/>
      <c r="D102" s="33">
        <v>1441</v>
      </c>
      <c r="E102" s="41">
        <f>IF(Tabela1716[[#This Row],[Building Permits]]="",#N/A,((Tabela1716[[#This Row],[Building Permits]]*1)/D90)-1)</f>
        <v>0.12052877138413676</v>
      </c>
      <c r="F102" s="33"/>
      <c r="G102" s="41"/>
      <c r="H102" s="33">
        <v>1524</v>
      </c>
      <c r="I102" s="33">
        <f>IF(Tabela1716[[#This Row],[Housing Starts]]="",#N/A,Tabela1716[[#This Row],[Housing Starts]]-H101)</f>
        <v>-37</v>
      </c>
      <c r="J102" s="41">
        <f>IF(Tabela1716[[#This Row],[Housing Starts]]="",#N/A,((Tabela1716[[#This Row],[Housing Starts]]*1)/H90)-1)</f>
        <v>-1.9305019305019266E-2</v>
      </c>
      <c r="K102" s="26"/>
      <c r="L102" s="41"/>
      <c r="M102" s="27"/>
      <c r="N102" s="41"/>
      <c r="O102" s="33">
        <v>450</v>
      </c>
      <c r="P102" s="41">
        <f>IF(Tabela1716[[#This Row],[New House Sales]]="",#N/A,((Tabela1716[[#This Row],[New House Sales]]*1)/O101)-1)</f>
        <v>-5.0632911392405111E-2</v>
      </c>
      <c r="Q102" s="41">
        <f>IF(Tabela1716[[#This Row],[New House Sales]]="",#N/A,((Tabela1716[[#This Row],[New House Sales]]*1)/O90)-1)</f>
        <v>-0.10179640718562877</v>
      </c>
      <c r="R102" s="27">
        <v>6</v>
      </c>
      <c r="S102" s="86"/>
      <c r="T102" s="28"/>
      <c r="W102" s="9"/>
      <c r="X102" s="9"/>
    </row>
    <row r="103" spans="1:24" ht="12.75">
      <c r="A103" s="12">
        <v>25324</v>
      </c>
      <c r="B103" s="26"/>
      <c r="C103" s="27"/>
      <c r="D103" s="33">
        <v>1328</v>
      </c>
      <c r="E103" s="41">
        <f>IF(Tabela1716[[#This Row],[Building Permits]]="",#N/A,((Tabela1716[[#This Row],[Building Permits]]*1)/D91)-1)</f>
        <v>2.3901310717039381E-2</v>
      </c>
      <c r="F103" s="33"/>
      <c r="G103" s="41"/>
      <c r="H103" s="33">
        <v>1583</v>
      </c>
      <c r="I103" s="33">
        <f>IF(Tabela1716[[#This Row],[Housing Starts]]="",#N/A,Tabela1716[[#This Row],[Housing Starts]]-H102)</f>
        <v>59</v>
      </c>
      <c r="J103" s="41">
        <f>IF(Tabela1716[[#This Row],[Housing Starts]]="",#N/A,((Tabela1716[[#This Row],[Housing Starts]]*1)/H91)-1)</f>
        <v>0.12428977272727271</v>
      </c>
      <c r="K103" s="26"/>
      <c r="L103" s="41"/>
      <c r="M103" s="27"/>
      <c r="N103" s="41"/>
      <c r="O103" s="33">
        <v>447</v>
      </c>
      <c r="P103" s="41">
        <f>IF(Tabela1716[[#This Row],[New House Sales]]="",#N/A,((Tabela1716[[#This Row],[New House Sales]]*1)/O102)-1)</f>
        <v>-6.6666666666667096E-3</v>
      </c>
      <c r="Q103" s="41">
        <f>IF(Tabela1716[[#This Row],[New House Sales]]="",#N/A,((Tabela1716[[#This Row],[New House Sales]]*1)/O91)-1)</f>
        <v>1.3605442176870763E-2</v>
      </c>
      <c r="R103" s="27">
        <v>6.1</v>
      </c>
      <c r="S103" s="86"/>
      <c r="T103" s="28"/>
      <c r="V103" s="38"/>
      <c r="W103" s="9"/>
      <c r="X103" s="9"/>
    </row>
    <row r="104" spans="1:24" ht="12.75">
      <c r="A104" s="12">
        <v>25355</v>
      </c>
      <c r="B104" s="26"/>
      <c r="C104" s="27"/>
      <c r="D104" s="33">
        <v>1349</v>
      </c>
      <c r="E104" s="41">
        <f>IF(Tabela1716[[#This Row],[Building Permits]]="",#N/A,((Tabela1716[[#This Row],[Building Permits]]*1)/D92)-1)</f>
        <v>3.7692307692307692E-2</v>
      </c>
      <c r="F104" s="33"/>
      <c r="G104" s="41"/>
      <c r="H104" s="33">
        <v>1528</v>
      </c>
      <c r="I104" s="33">
        <f>IF(Tabela1716[[#This Row],[Housing Starts]]="",#N/A,Tabela1716[[#This Row],[Housing Starts]]-H103)</f>
        <v>-55</v>
      </c>
      <c r="J104" s="41">
        <f>IF(Tabela1716[[#This Row],[Housing Starts]]="",#N/A,((Tabela1716[[#This Row],[Housing Starts]]*1)/H92)-1)</f>
        <v>8.7544483985765087E-2</v>
      </c>
      <c r="K104" s="26"/>
      <c r="L104" s="41"/>
      <c r="M104" s="27"/>
      <c r="N104" s="41"/>
      <c r="O104" s="33">
        <v>461</v>
      </c>
      <c r="P104" s="41">
        <f>IF(Tabela1716[[#This Row],[New House Sales]]="",#N/A,((Tabela1716[[#This Row],[New House Sales]]*1)/O103)-1)</f>
        <v>3.1319910514541416E-2</v>
      </c>
      <c r="Q104" s="41">
        <f>IF(Tabela1716[[#This Row],[New House Sales]]="",#N/A,((Tabela1716[[#This Row],[New House Sales]]*1)/O92)-1)</f>
        <v>4.5351473922902397E-2</v>
      </c>
      <c r="R104" s="27">
        <v>5.8</v>
      </c>
      <c r="S104" s="86"/>
      <c r="T104" s="28"/>
      <c r="W104" s="9"/>
      <c r="X104" s="9"/>
    </row>
    <row r="105" spans="1:24" ht="12.75">
      <c r="A105" s="12">
        <v>25385</v>
      </c>
      <c r="B105" s="26"/>
      <c r="C105" s="27"/>
      <c r="D105" s="33">
        <v>1278</v>
      </c>
      <c r="E105" s="41">
        <f>IF(Tabela1716[[#This Row],[Building Permits]]="",#N/A,((Tabela1716[[#This Row],[Building Permits]]*1)/D93)-1)</f>
        <v>-4.9107142857142905E-2</v>
      </c>
      <c r="F105" s="33"/>
      <c r="G105" s="41"/>
      <c r="H105" s="33">
        <v>1368</v>
      </c>
      <c r="I105" s="33">
        <f>IF(Tabela1716[[#This Row],[Housing Starts]]="",#N/A,Tabela1716[[#This Row],[Housing Starts]]-H104)</f>
        <v>-160</v>
      </c>
      <c r="J105" s="41">
        <f>IF(Tabela1716[[#This Row],[Housing Starts]]="",#N/A,((Tabela1716[[#This Row],[Housing Starts]]*1)/H93)-1)</f>
        <v>-9.5238095238095233E-2</v>
      </c>
      <c r="K105" s="26"/>
      <c r="L105" s="41"/>
      <c r="M105" s="27"/>
      <c r="N105" s="41"/>
      <c r="O105" s="33">
        <v>436</v>
      </c>
      <c r="P105" s="41">
        <f>IF(Tabela1716[[#This Row],[New House Sales]]="",#N/A,((Tabela1716[[#This Row],[New House Sales]]*1)/O104)-1)</f>
        <v>-5.4229934924078127E-2</v>
      </c>
      <c r="Q105" s="41">
        <f>IF(Tabela1716[[#This Row],[New House Sales]]="",#N/A,((Tabela1716[[#This Row],[New House Sales]]*1)/O93)-1)</f>
        <v>-0.11561866125760645</v>
      </c>
      <c r="R105" s="27">
        <v>6.3</v>
      </c>
      <c r="S105" s="86"/>
      <c r="T105" s="28"/>
      <c r="V105" s="38"/>
      <c r="W105" s="9"/>
      <c r="X105" s="9"/>
    </row>
    <row r="106" spans="1:24" ht="12.75">
      <c r="A106" s="12">
        <v>25416</v>
      </c>
      <c r="B106" s="26"/>
      <c r="C106" s="27"/>
      <c r="D106" s="33">
        <v>1317</v>
      </c>
      <c r="E106" s="41">
        <f>IF(Tabela1716[[#This Row],[Building Permits]]="",#N/A,((Tabela1716[[#This Row],[Building Permits]]*1)/D94)-1)</f>
        <v>-2.9476787030213725E-2</v>
      </c>
      <c r="F106" s="33"/>
      <c r="G106" s="41"/>
      <c r="H106" s="33">
        <v>1358</v>
      </c>
      <c r="I106" s="33">
        <f>IF(Tabela1716[[#This Row],[Housing Starts]]="",#N/A,Tabela1716[[#This Row],[Housing Starts]]-H105)</f>
        <v>-10</v>
      </c>
      <c r="J106" s="41">
        <f>IF(Tabela1716[[#This Row],[Housing Starts]]="",#N/A,((Tabela1716[[#This Row],[Housing Starts]]*1)/H94)-1)</f>
        <v>-9.1638795986622057E-2</v>
      </c>
      <c r="K106" s="26"/>
      <c r="L106" s="41"/>
      <c r="M106" s="27"/>
      <c r="N106" s="41"/>
      <c r="O106" s="33">
        <v>422</v>
      </c>
      <c r="P106" s="41">
        <f>IF(Tabela1716[[#This Row],[New House Sales]]="",#N/A,((Tabela1716[[#This Row],[New House Sales]]*1)/O105)-1)</f>
        <v>-3.2110091743119296E-2</v>
      </c>
      <c r="Q106" s="41">
        <f>IF(Tabela1716[[#This Row],[New House Sales]]="",#N/A,((Tabela1716[[#This Row],[New House Sales]]*1)/O94)-1)</f>
        <v>-0.16765285996055224</v>
      </c>
      <c r="R106" s="27">
        <v>6.5</v>
      </c>
      <c r="S106" s="86"/>
      <c r="T106" s="28"/>
      <c r="W106" s="9"/>
      <c r="X106" s="9"/>
    </row>
    <row r="107" spans="1:24" ht="12.75">
      <c r="A107" s="12">
        <v>25447</v>
      </c>
      <c r="B107" s="26"/>
      <c r="C107" s="27"/>
      <c r="D107" s="33">
        <v>1263</v>
      </c>
      <c r="E107" s="41">
        <f>IF(Tabela1716[[#This Row],[Building Permits]]="",#N/A,((Tabela1716[[#This Row],[Building Permits]]*1)/D95)-1)</f>
        <v>-0.13729508196721307</v>
      </c>
      <c r="F107" s="33"/>
      <c r="G107" s="41"/>
      <c r="H107" s="33">
        <v>1507</v>
      </c>
      <c r="I107" s="33">
        <f>IF(Tabela1716[[#This Row],[Housing Starts]]="",#N/A,Tabela1716[[#This Row],[Housing Starts]]-H106)</f>
        <v>149</v>
      </c>
      <c r="J107" s="41">
        <f>IF(Tabela1716[[#This Row],[Housing Starts]]="",#N/A,((Tabela1716[[#This Row],[Housing Starts]]*1)/H95)-1)</f>
        <v>-3.1491002570694038E-2</v>
      </c>
      <c r="K107" s="26"/>
      <c r="L107" s="41"/>
      <c r="M107" s="27"/>
      <c r="N107" s="41"/>
      <c r="O107" s="33">
        <v>396</v>
      </c>
      <c r="P107" s="41">
        <f>IF(Tabela1716[[#This Row],[New House Sales]]="",#N/A,((Tabela1716[[#This Row],[New House Sales]]*1)/O106)-1)</f>
        <v>-6.1611374407582908E-2</v>
      </c>
      <c r="Q107" s="41">
        <f>IF(Tabela1716[[#This Row],[New House Sales]]="",#N/A,((Tabela1716[[#This Row],[New House Sales]]*1)/O95)-1)</f>
        <v>-0.20958083832335328</v>
      </c>
      <c r="R107" s="27">
        <v>6.9</v>
      </c>
      <c r="S107" s="86"/>
      <c r="T107" s="28"/>
      <c r="V107" s="38"/>
      <c r="W107" s="9"/>
      <c r="X107" s="9"/>
    </row>
    <row r="108" spans="1:24" ht="12.75">
      <c r="A108" s="12">
        <v>25477</v>
      </c>
      <c r="B108" s="26"/>
      <c r="C108" s="27"/>
      <c r="D108" s="33">
        <v>1216</v>
      </c>
      <c r="E108" s="41">
        <f>IF(Tabela1716[[#This Row],[Building Permits]]="",#N/A,((Tabela1716[[#This Row],[Building Permits]]*1)/D96)-1)</f>
        <v>-0.14426460239268124</v>
      </c>
      <c r="F108" s="33"/>
      <c r="G108" s="41"/>
      <c r="H108" s="33">
        <v>1381</v>
      </c>
      <c r="I108" s="33">
        <f>IF(Tabela1716[[#This Row],[Housing Starts]]="",#N/A,Tabela1716[[#This Row],[Housing Starts]]-H107)</f>
        <v>-126</v>
      </c>
      <c r="J108" s="41">
        <f>IF(Tabela1716[[#This Row],[Housing Starts]]="",#N/A,((Tabela1716[[#This Row],[Housing Starts]]*1)/H96)-1)</f>
        <v>-0.11982154238368392</v>
      </c>
      <c r="K108" s="26"/>
      <c r="L108" s="41"/>
      <c r="M108" s="27"/>
      <c r="N108" s="41"/>
      <c r="O108" s="33">
        <v>401</v>
      </c>
      <c r="P108" s="41">
        <f>IF(Tabela1716[[#This Row],[New House Sales]]="",#N/A,((Tabela1716[[#This Row],[New House Sales]]*1)/O107)-1)</f>
        <v>1.2626262626262541E-2</v>
      </c>
      <c r="Q108" s="41">
        <f>IF(Tabela1716[[#This Row],[New House Sales]]="",#N/A,((Tabela1716[[#This Row],[New House Sales]]*1)/O96)-1)</f>
        <v>-0.20119521912350602</v>
      </c>
      <c r="R108" s="27">
        <v>7</v>
      </c>
      <c r="S108" s="86"/>
      <c r="T108" s="28"/>
      <c r="W108" s="9"/>
      <c r="X108" s="9"/>
    </row>
    <row r="109" spans="1:24" ht="12.75">
      <c r="A109" s="12">
        <v>25508</v>
      </c>
      <c r="B109" s="26"/>
      <c r="C109" s="27"/>
      <c r="D109" s="33">
        <v>1191</v>
      </c>
      <c r="E109" s="41">
        <f>IF(Tabela1716[[#This Row],[Building Permits]]="",#N/A,((Tabela1716[[#This Row],[Building Permits]]*1)/D97)-1)</f>
        <v>-0.17061281337047352</v>
      </c>
      <c r="F109" s="33"/>
      <c r="G109" s="41"/>
      <c r="H109" s="33">
        <v>1229</v>
      </c>
      <c r="I109" s="33">
        <f>IF(Tabela1716[[#This Row],[Housing Starts]]="",#N/A,Tabela1716[[#This Row],[Housing Starts]]-H108)</f>
        <v>-152</v>
      </c>
      <c r="J109" s="41">
        <f>IF(Tabela1716[[#This Row],[Housing Starts]]="",#N/A,((Tabela1716[[#This Row],[Housing Starts]]*1)/H97)-1)</f>
        <v>-0.24601226993865033</v>
      </c>
      <c r="K109" s="26"/>
      <c r="L109" s="41"/>
      <c r="M109" s="27"/>
      <c r="N109" s="41"/>
      <c r="O109" s="33">
        <v>441</v>
      </c>
      <c r="P109" s="41">
        <f>IF(Tabela1716[[#This Row],[New House Sales]]="",#N/A,((Tabela1716[[#This Row],[New House Sales]]*1)/O108)-1)</f>
        <v>9.9750623441396513E-2</v>
      </c>
      <c r="Q109" s="41">
        <f>IF(Tabela1716[[#This Row],[New House Sales]]="",#N/A,((Tabela1716[[#This Row],[New House Sales]]*1)/O97)-1)</f>
        <v>-5.9701492537313383E-2</v>
      </c>
      <c r="R109" s="27">
        <v>6.2</v>
      </c>
      <c r="S109" s="86"/>
      <c r="T109" s="28"/>
      <c r="V109" s="38"/>
      <c r="W109" s="9"/>
      <c r="X109" s="9"/>
    </row>
    <row r="110" spans="1:24" ht="12.75">
      <c r="A110" s="12">
        <v>25538</v>
      </c>
      <c r="B110" s="26"/>
      <c r="C110" s="27"/>
      <c r="D110" s="33">
        <v>1155</v>
      </c>
      <c r="E110" s="41">
        <f>IF(Tabela1716[[#This Row],[Building Permits]]="",#N/A,((Tabela1716[[#This Row],[Building Permits]]*1)/D98)-1)</f>
        <v>-0.16846652267818574</v>
      </c>
      <c r="F110" s="33"/>
      <c r="G110" s="41"/>
      <c r="H110" s="33">
        <v>1327</v>
      </c>
      <c r="I110" s="33">
        <f>IF(Tabela1716[[#This Row],[Housing Starts]]="",#N/A,Tabela1716[[#This Row],[Housing Starts]]-H109)</f>
        <v>98</v>
      </c>
      <c r="J110" s="41">
        <f>IF(Tabela1716[[#This Row],[Housing Starts]]="",#N/A,((Tabela1716[[#This Row],[Housing Starts]]*1)/H98)-1)</f>
        <v>-0.14276485788113691</v>
      </c>
      <c r="K110" s="26"/>
      <c r="L110" s="41"/>
      <c r="M110" s="27"/>
      <c r="N110" s="41"/>
      <c r="O110" s="33">
        <v>452</v>
      </c>
      <c r="P110" s="41">
        <f>IF(Tabela1716[[#This Row],[New House Sales]]="",#N/A,((Tabela1716[[#This Row],[New House Sales]]*1)/O109)-1)</f>
        <v>2.4943310657596474E-2</v>
      </c>
      <c r="Q110" s="41">
        <f>IF(Tabela1716[[#This Row],[New House Sales]]="",#N/A,((Tabela1716[[#This Row],[New House Sales]]*1)/O98)-1)</f>
        <v>-0.1154598825831703</v>
      </c>
      <c r="R110" s="27">
        <v>6.1</v>
      </c>
      <c r="S110" s="86"/>
      <c r="T110" s="28"/>
      <c r="W110" s="9"/>
      <c r="X110" s="9"/>
    </row>
    <row r="111" spans="1:24" ht="12.75">
      <c r="A111" s="12">
        <v>25569</v>
      </c>
      <c r="B111" s="26"/>
      <c r="C111" s="27"/>
      <c r="D111" s="33">
        <v>1062</v>
      </c>
      <c r="E111" s="41">
        <f>IF(Tabela1716[[#This Row],[Building Permits]]="",#N/A,((Tabela1716[[#This Row],[Building Permits]]*1)/D99)-1)</f>
        <v>-0.27210418094585331</v>
      </c>
      <c r="F111" s="33">
        <v>889</v>
      </c>
      <c r="G111" s="41"/>
      <c r="H111" s="33">
        <v>1085</v>
      </c>
      <c r="I111" s="33">
        <f>IF(Tabela1716[[#This Row],[Housing Starts]]="",#N/A,Tabela1716[[#This Row],[Housing Starts]]-H110)</f>
        <v>-242</v>
      </c>
      <c r="J111" s="41">
        <f>IF(Tabela1716[[#This Row],[Housing Starts]]="",#N/A,((Tabela1716[[#This Row],[Housing Starts]]*1)/H99)-1)</f>
        <v>-0.38665912945166758</v>
      </c>
      <c r="K111" s="26"/>
      <c r="L111" s="41"/>
      <c r="M111" s="27"/>
      <c r="N111" s="41"/>
      <c r="O111" s="33">
        <v>461</v>
      </c>
      <c r="P111" s="41">
        <f>IF(Tabela1716[[#This Row],[New House Sales]]="",#N/A,((Tabela1716[[#This Row],[New House Sales]]*1)/O110)-1)</f>
        <v>1.9911504424778848E-2</v>
      </c>
      <c r="Q111" s="41">
        <f>IF(Tabela1716[[#This Row],[New House Sales]]="",#N/A,((Tabela1716[[#This Row],[New House Sales]]*1)/O99)-1)</f>
        <v>-3.9583333333333304E-2</v>
      </c>
      <c r="R111" s="27">
        <v>5.5</v>
      </c>
      <c r="S111" s="86"/>
      <c r="T111" s="28"/>
      <c r="V111" s="38"/>
      <c r="W111" s="9"/>
      <c r="X111" s="9"/>
    </row>
    <row r="112" spans="1:24" ht="12.75">
      <c r="A112" s="12">
        <v>25600</v>
      </c>
      <c r="B112" s="26"/>
      <c r="C112" s="27"/>
      <c r="D112" s="33">
        <v>1118</v>
      </c>
      <c r="E112" s="41">
        <f>IF(Tabela1716[[#This Row],[Building Permits]]="",#N/A,((Tabela1716[[#This Row],[Building Permits]]*1)/D100)-1)</f>
        <v>-0.25217391304347825</v>
      </c>
      <c r="F112" s="33">
        <v>888</v>
      </c>
      <c r="G112" s="41"/>
      <c r="H112" s="33">
        <v>1305</v>
      </c>
      <c r="I112" s="33">
        <f>IF(Tabela1716[[#This Row],[Housing Starts]]="",#N/A,Tabela1716[[#This Row],[Housing Starts]]-H111)</f>
        <v>220</v>
      </c>
      <c r="J112" s="41">
        <f>IF(Tabela1716[[#This Row],[Housing Starts]]="",#N/A,((Tabela1716[[#This Row],[Housing Starts]]*1)/H100)-1)</f>
        <v>-0.23460410557184752</v>
      </c>
      <c r="K112" s="26"/>
      <c r="L112" s="41"/>
      <c r="M112" s="27"/>
      <c r="N112" s="41"/>
      <c r="O112" s="33">
        <v>373</v>
      </c>
      <c r="P112" s="41">
        <f>IF(Tabela1716[[#This Row],[New House Sales]]="",#N/A,((Tabela1716[[#This Row],[New House Sales]]*1)/O111)-1)</f>
        <v>-0.19088937093275493</v>
      </c>
      <c r="Q112" s="41">
        <f>IF(Tabela1716[[#This Row],[New House Sales]]="",#N/A,((Tabela1716[[#This Row],[New House Sales]]*1)/O100)-1)</f>
        <v>-0.28816793893129766</v>
      </c>
      <c r="R112" s="27">
        <v>7.2</v>
      </c>
      <c r="S112" s="86"/>
      <c r="T112" s="28"/>
      <c r="W112" s="9"/>
      <c r="X112" s="9"/>
    </row>
    <row r="113" spans="1:24" ht="12.75">
      <c r="A113" s="12">
        <v>25628</v>
      </c>
      <c r="B113" s="26"/>
      <c r="C113" s="27"/>
      <c r="D113" s="33">
        <v>1132</v>
      </c>
      <c r="E113" s="41">
        <f>IF(Tabela1716[[#This Row],[Building Permits]]="",#N/A,((Tabela1716[[#This Row],[Building Permits]]*1)/D101)-1)</f>
        <v>-0.2127955493741307</v>
      </c>
      <c r="F113" s="33">
        <v>890</v>
      </c>
      <c r="G113" s="41"/>
      <c r="H113" s="33">
        <v>1319</v>
      </c>
      <c r="I113" s="33">
        <f>IF(Tabela1716[[#This Row],[Housing Starts]]="",#N/A,Tabela1716[[#This Row],[Housing Starts]]-H112)</f>
        <v>14</v>
      </c>
      <c r="J113" s="41">
        <f>IF(Tabela1716[[#This Row],[Housing Starts]]="",#N/A,((Tabela1716[[#This Row],[Housing Starts]]*1)/H101)-1)</f>
        <v>-0.1550288276745676</v>
      </c>
      <c r="K113" s="26"/>
      <c r="L113" s="41"/>
      <c r="M113" s="27"/>
      <c r="N113" s="41"/>
      <c r="O113" s="33">
        <v>389</v>
      </c>
      <c r="P113" s="41">
        <f>IF(Tabela1716[[#This Row],[New House Sales]]="",#N/A,((Tabela1716[[#This Row],[New House Sales]]*1)/O112)-1)</f>
        <v>4.2895442359249358E-2</v>
      </c>
      <c r="Q113" s="41">
        <f>IF(Tabela1716[[#This Row],[New House Sales]]="",#N/A,((Tabela1716[[#This Row],[New House Sales]]*1)/O101)-1)</f>
        <v>-0.17932489451476796</v>
      </c>
      <c r="R113" s="27">
        <v>6.8</v>
      </c>
      <c r="S113" s="86"/>
      <c r="T113" s="28"/>
      <c r="V113" s="38"/>
      <c r="W113" s="9"/>
      <c r="X113" s="9"/>
    </row>
    <row r="114" spans="1:24" ht="12.75">
      <c r="A114" s="12">
        <v>25659</v>
      </c>
      <c r="B114" s="26"/>
      <c r="C114" s="27"/>
      <c r="D114" s="33">
        <v>1224</v>
      </c>
      <c r="E114" s="41">
        <f>IF(Tabela1716[[#This Row],[Building Permits]]="",#N/A,((Tabela1716[[#This Row],[Building Permits]]*1)/D102)-1)</f>
        <v>-0.15058986814712005</v>
      </c>
      <c r="F114" s="33">
        <v>891</v>
      </c>
      <c r="G114" s="41"/>
      <c r="H114" s="33">
        <v>1264</v>
      </c>
      <c r="I114" s="33">
        <f>IF(Tabela1716[[#This Row],[Housing Starts]]="",#N/A,Tabela1716[[#This Row],[Housing Starts]]-H113)</f>
        <v>-55</v>
      </c>
      <c r="J114" s="41">
        <f>IF(Tabela1716[[#This Row],[Housing Starts]]="",#N/A,((Tabela1716[[#This Row],[Housing Starts]]*1)/H102)-1)</f>
        <v>-0.17060367454068237</v>
      </c>
      <c r="K114" s="26"/>
      <c r="L114" s="41"/>
      <c r="M114" s="27"/>
      <c r="N114" s="41"/>
      <c r="O114" s="33">
        <v>445</v>
      </c>
      <c r="P114" s="41">
        <f>IF(Tabela1716[[#This Row],[New House Sales]]="",#N/A,((Tabela1716[[#This Row],[New House Sales]]*1)/O113)-1)</f>
        <v>0.14395886889460163</v>
      </c>
      <c r="Q114" s="41">
        <f>IF(Tabela1716[[#This Row],[New House Sales]]="",#N/A,((Tabela1716[[#This Row],[New House Sales]]*1)/O102)-1)</f>
        <v>-1.1111111111111072E-2</v>
      </c>
      <c r="R114" s="27">
        <v>6</v>
      </c>
      <c r="S114" s="86"/>
      <c r="T114" s="28"/>
      <c r="W114" s="9"/>
      <c r="X114" s="9"/>
    </row>
    <row r="115" spans="1:24" ht="12.75">
      <c r="A115" s="12">
        <v>25689</v>
      </c>
      <c r="B115" s="26"/>
      <c r="C115" s="27"/>
      <c r="D115" s="33">
        <v>1328</v>
      </c>
      <c r="E115" s="41">
        <f>IF(Tabela1716[[#This Row],[Building Permits]]="",#N/A,((Tabela1716[[#This Row],[Building Permits]]*1)/D103)-1)</f>
        <v>0</v>
      </c>
      <c r="F115" s="33">
        <v>883</v>
      </c>
      <c r="G115" s="41"/>
      <c r="H115" s="33">
        <v>1290</v>
      </c>
      <c r="I115" s="33">
        <f>IF(Tabela1716[[#This Row],[Housing Starts]]="",#N/A,Tabela1716[[#This Row],[Housing Starts]]-H114)</f>
        <v>26</v>
      </c>
      <c r="J115" s="41">
        <f>IF(Tabela1716[[#This Row],[Housing Starts]]="",#N/A,((Tabela1716[[#This Row],[Housing Starts]]*1)/H103)-1)</f>
        <v>-0.18509159823120658</v>
      </c>
      <c r="K115" s="26"/>
      <c r="L115" s="41"/>
      <c r="M115" s="27"/>
      <c r="N115" s="41"/>
      <c r="O115" s="33">
        <v>466</v>
      </c>
      <c r="P115" s="41">
        <f>IF(Tabela1716[[#This Row],[New House Sales]]="",#N/A,((Tabela1716[[#This Row],[New House Sales]]*1)/O114)-1)</f>
        <v>4.7191011235955038E-2</v>
      </c>
      <c r="Q115" s="41">
        <f>IF(Tabela1716[[#This Row],[New House Sales]]="",#N/A,((Tabela1716[[#This Row],[New House Sales]]*1)/O103)-1)</f>
        <v>4.2505592841163287E-2</v>
      </c>
      <c r="R115" s="27">
        <v>5.7</v>
      </c>
      <c r="S115" s="86"/>
      <c r="T115" s="28"/>
      <c r="V115" s="38"/>
      <c r="W115" s="9"/>
      <c r="X115" s="9"/>
    </row>
    <row r="116" spans="1:24" ht="12.75">
      <c r="A116" s="12">
        <v>25720</v>
      </c>
      <c r="B116" s="26"/>
      <c r="C116" s="27"/>
      <c r="D116" s="33">
        <v>1322</v>
      </c>
      <c r="E116" s="41">
        <f>IF(Tabela1716[[#This Row],[Building Permits]]="",#N/A,((Tabela1716[[#This Row],[Building Permits]]*1)/D104)-1)</f>
        <v>-2.0014825796886626E-2</v>
      </c>
      <c r="F116" s="33">
        <v>882</v>
      </c>
      <c r="G116" s="41"/>
      <c r="H116" s="33">
        <v>1385</v>
      </c>
      <c r="I116" s="33">
        <f>IF(Tabela1716[[#This Row],[Housing Starts]]="",#N/A,Tabela1716[[#This Row],[Housing Starts]]-H115)</f>
        <v>95</v>
      </c>
      <c r="J116" s="41">
        <f>IF(Tabela1716[[#This Row],[Housing Starts]]="",#N/A,((Tabela1716[[#This Row],[Housing Starts]]*1)/H104)-1)</f>
        <v>-9.3586387434554941E-2</v>
      </c>
      <c r="K116" s="26"/>
      <c r="L116" s="41"/>
      <c r="M116" s="27"/>
      <c r="N116" s="41"/>
      <c r="O116" s="33">
        <v>485</v>
      </c>
      <c r="P116" s="41">
        <f>IF(Tabela1716[[#This Row],[New House Sales]]="",#N/A,((Tabela1716[[#This Row],[New House Sales]]*1)/O115)-1)</f>
        <v>4.0772532188841248E-2</v>
      </c>
      <c r="Q116" s="41">
        <f>IF(Tabela1716[[#This Row],[New House Sales]]="",#N/A,((Tabela1716[[#This Row],[New House Sales]]*1)/O104)-1)</f>
        <v>5.2060737527114931E-2</v>
      </c>
      <c r="R116" s="27">
        <v>5.5</v>
      </c>
      <c r="S116" s="86"/>
      <c r="T116" s="28"/>
      <c r="W116" s="9"/>
      <c r="X116" s="9"/>
    </row>
    <row r="117" spans="1:24" ht="12.75">
      <c r="A117" s="12">
        <v>25750</v>
      </c>
      <c r="B117" s="26"/>
      <c r="C117" s="27"/>
      <c r="D117" s="33">
        <v>1324</v>
      </c>
      <c r="E117" s="41">
        <f>IF(Tabela1716[[#This Row],[Building Permits]]="",#N/A,((Tabela1716[[#This Row],[Building Permits]]*1)/D105)-1)</f>
        <v>3.5993740219092407E-2</v>
      </c>
      <c r="F117" s="33">
        <v>891</v>
      </c>
      <c r="G117" s="41"/>
      <c r="H117" s="33">
        <v>1517</v>
      </c>
      <c r="I117" s="33">
        <f>IF(Tabela1716[[#This Row],[Housing Starts]]="",#N/A,Tabela1716[[#This Row],[Housing Starts]]-H116)</f>
        <v>132</v>
      </c>
      <c r="J117" s="41">
        <f>IF(Tabela1716[[#This Row],[Housing Starts]]="",#N/A,((Tabela1716[[#This Row],[Housing Starts]]*1)/H105)-1)</f>
        <v>0.10891812865497075</v>
      </c>
      <c r="K117" s="26"/>
      <c r="L117" s="41"/>
      <c r="M117" s="27"/>
      <c r="N117" s="41"/>
      <c r="O117" s="33">
        <v>481</v>
      </c>
      <c r="P117" s="41">
        <f>IF(Tabela1716[[#This Row],[New House Sales]]="",#N/A,((Tabela1716[[#This Row],[New House Sales]]*1)/O116)-1)</f>
        <v>-8.2474226804123418E-3</v>
      </c>
      <c r="Q117" s="41">
        <f>IF(Tabela1716[[#This Row],[New House Sales]]="",#N/A,((Tabela1716[[#This Row],[New House Sales]]*1)/O105)-1)</f>
        <v>0.10321100917431192</v>
      </c>
      <c r="R117" s="27">
        <v>5.4</v>
      </c>
      <c r="S117" s="86"/>
      <c r="T117" s="28"/>
      <c r="V117" s="38"/>
      <c r="W117" s="9"/>
      <c r="X117" s="9"/>
    </row>
    <row r="118" spans="1:24" ht="12.75">
      <c r="A118" s="12">
        <v>25781</v>
      </c>
      <c r="B118" s="26"/>
      <c r="C118" s="27"/>
      <c r="D118" s="33">
        <v>1394</v>
      </c>
      <c r="E118" s="41">
        <f>IF(Tabela1716[[#This Row],[Building Permits]]="",#N/A,((Tabela1716[[#This Row],[Building Permits]]*1)/D106)-1)</f>
        <v>5.8466211085800968E-2</v>
      </c>
      <c r="F118" s="33">
        <v>874</v>
      </c>
      <c r="G118" s="41"/>
      <c r="H118" s="33">
        <v>1399</v>
      </c>
      <c r="I118" s="33">
        <f>IF(Tabela1716[[#This Row],[Housing Starts]]="",#N/A,Tabela1716[[#This Row],[Housing Starts]]-H117)</f>
        <v>-118</v>
      </c>
      <c r="J118" s="41">
        <f>IF(Tabela1716[[#This Row],[Housing Starts]]="",#N/A,((Tabela1716[[#This Row],[Housing Starts]]*1)/H106)-1)</f>
        <v>3.0191458026509466E-2</v>
      </c>
      <c r="K118" s="26"/>
      <c r="L118" s="41"/>
      <c r="M118" s="27"/>
      <c r="N118" s="41"/>
      <c r="O118" s="33">
        <v>515</v>
      </c>
      <c r="P118" s="41">
        <f>IF(Tabela1716[[#This Row],[New House Sales]]="",#N/A,((Tabela1716[[#This Row],[New House Sales]]*1)/O117)-1)</f>
        <v>7.0686070686070579E-2</v>
      </c>
      <c r="Q118" s="41">
        <f>IF(Tabela1716[[#This Row],[New House Sales]]="",#N/A,((Tabela1716[[#This Row],[New House Sales]]*1)/O106)-1)</f>
        <v>0.22037914691943139</v>
      </c>
      <c r="R118" s="27">
        <v>5.0999999999999996</v>
      </c>
      <c r="S118" s="86"/>
      <c r="T118" s="28"/>
      <c r="W118" s="9"/>
      <c r="X118" s="9"/>
    </row>
    <row r="119" spans="1:24" ht="12.75">
      <c r="A119" s="12">
        <v>25812</v>
      </c>
      <c r="B119" s="26"/>
      <c r="C119" s="27"/>
      <c r="D119" s="33">
        <v>1426</v>
      </c>
      <c r="E119" s="41">
        <f>IF(Tabela1716[[#This Row],[Building Permits]]="",#N/A,((Tabela1716[[#This Row],[Building Permits]]*1)/D107)-1)</f>
        <v>0.12905779889152802</v>
      </c>
      <c r="F119" s="33">
        <v>890</v>
      </c>
      <c r="G119" s="41"/>
      <c r="H119" s="33">
        <v>1534</v>
      </c>
      <c r="I119" s="33">
        <f>IF(Tabela1716[[#This Row],[Housing Starts]]="",#N/A,Tabela1716[[#This Row],[Housing Starts]]-H118)</f>
        <v>135</v>
      </c>
      <c r="J119" s="41">
        <f>IF(Tabela1716[[#This Row],[Housing Starts]]="",#N/A,((Tabela1716[[#This Row],[Housing Starts]]*1)/H107)-1)</f>
        <v>1.791639017916391E-2</v>
      </c>
      <c r="K119" s="26"/>
      <c r="L119" s="41"/>
      <c r="M119" s="27"/>
      <c r="N119" s="41"/>
      <c r="O119" s="33">
        <v>564</v>
      </c>
      <c r="P119" s="41">
        <f>IF(Tabela1716[[#This Row],[New House Sales]]="",#N/A,((Tabela1716[[#This Row],[New House Sales]]*1)/O118)-1)</f>
        <v>9.5145631067961256E-2</v>
      </c>
      <c r="Q119" s="41">
        <f>IF(Tabela1716[[#This Row],[New House Sales]]="",#N/A,((Tabela1716[[#This Row],[New House Sales]]*1)/O107)-1)</f>
        <v>0.42424242424242431</v>
      </c>
      <c r="R119" s="27">
        <v>4.7</v>
      </c>
      <c r="S119" s="86"/>
      <c r="T119" s="28"/>
      <c r="V119" s="38"/>
      <c r="W119" s="9"/>
      <c r="X119" s="9"/>
    </row>
    <row r="120" spans="1:24" ht="12.75">
      <c r="A120" s="12">
        <v>25842</v>
      </c>
      <c r="B120" s="26"/>
      <c r="C120" s="27"/>
      <c r="D120" s="33">
        <v>1564</v>
      </c>
      <c r="E120" s="41">
        <f>IF(Tabela1716[[#This Row],[Building Permits]]="",#N/A,((Tabela1716[[#This Row],[Building Permits]]*1)/D108)-1)</f>
        <v>0.28618421052631571</v>
      </c>
      <c r="F120" s="33">
        <v>900</v>
      </c>
      <c r="G120" s="41"/>
      <c r="H120" s="33">
        <v>1580</v>
      </c>
      <c r="I120" s="33">
        <f>IF(Tabela1716[[#This Row],[Housing Starts]]="",#N/A,Tabela1716[[#This Row],[Housing Starts]]-H119)</f>
        <v>46</v>
      </c>
      <c r="J120" s="41">
        <f>IF(Tabela1716[[#This Row],[Housing Starts]]="",#N/A,((Tabela1716[[#This Row],[Housing Starts]]*1)/H108)-1)</f>
        <v>0.14409847936278064</v>
      </c>
      <c r="K120" s="26"/>
      <c r="L120" s="41"/>
      <c r="M120" s="27"/>
      <c r="N120" s="41"/>
      <c r="O120" s="33">
        <v>545</v>
      </c>
      <c r="P120" s="41">
        <f>IF(Tabela1716[[#This Row],[New House Sales]]="",#N/A,((Tabela1716[[#This Row],[New House Sales]]*1)/O119)-1)</f>
        <v>-3.3687943262411313E-2</v>
      </c>
      <c r="Q120" s="41">
        <f>IF(Tabela1716[[#This Row],[New House Sales]]="",#N/A,((Tabela1716[[#This Row],[New House Sales]]*1)/O108)-1)</f>
        <v>0.35910224438902749</v>
      </c>
      <c r="R120" s="27">
        <v>4.8</v>
      </c>
      <c r="S120" s="86"/>
      <c r="T120" s="28"/>
      <c r="W120" s="9"/>
      <c r="X120" s="9"/>
    </row>
    <row r="121" spans="1:24" ht="12.75">
      <c r="A121" s="12">
        <v>25873</v>
      </c>
      <c r="B121" s="26"/>
      <c r="C121" s="27"/>
      <c r="D121" s="33">
        <v>1502</v>
      </c>
      <c r="E121" s="41">
        <f>IF(Tabela1716[[#This Row],[Building Permits]]="",#N/A,((Tabela1716[[#This Row],[Building Permits]]*1)/D109)-1)</f>
        <v>0.26112510495382035</v>
      </c>
      <c r="F121" s="33">
        <v>914</v>
      </c>
      <c r="G121" s="41"/>
      <c r="H121" s="33">
        <v>1647</v>
      </c>
      <c r="I121" s="33">
        <f>IF(Tabela1716[[#This Row],[Housing Starts]]="",#N/A,Tabela1716[[#This Row],[Housing Starts]]-H120)</f>
        <v>67</v>
      </c>
      <c r="J121" s="41">
        <f>IF(Tabela1716[[#This Row],[Housing Starts]]="",#N/A,((Tabela1716[[#This Row],[Housing Starts]]*1)/H109)-1)</f>
        <v>0.34011391375101718</v>
      </c>
      <c r="K121" s="26"/>
      <c r="L121" s="41"/>
      <c r="M121" s="27"/>
      <c r="N121" s="41"/>
      <c r="O121" s="33">
        <v>570</v>
      </c>
      <c r="P121" s="41">
        <f>IF(Tabela1716[[#This Row],[New House Sales]]="",#N/A,((Tabela1716[[#This Row],[New House Sales]]*1)/O120)-1)</f>
        <v>4.587155963302747E-2</v>
      </c>
      <c r="Q121" s="41">
        <f>IF(Tabela1716[[#This Row],[New House Sales]]="",#N/A,((Tabela1716[[#This Row],[New House Sales]]*1)/O109)-1)</f>
        <v>0.29251700680272119</v>
      </c>
      <c r="R121" s="27">
        <v>4.5999999999999996</v>
      </c>
      <c r="S121" s="86"/>
      <c r="T121" s="28"/>
      <c r="V121" s="38"/>
      <c r="W121" s="9"/>
      <c r="X121" s="9"/>
    </row>
    <row r="122" spans="1:24" ht="12.75">
      <c r="A122" s="12">
        <v>25903</v>
      </c>
      <c r="B122" s="26"/>
      <c r="C122" s="27"/>
      <c r="D122" s="33">
        <v>1767</v>
      </c>
      <c r="E122" s="41">
        <f>IF(Tabela1716[[#This Row],[Building Permits]]="",#N/A,((Tabela1716[[#This Row],[Building Permits]]*1)/D110)-1)</f>
        <v>0.52987012987012982</v>
      </c>
      <c r="F122" s="33">
        <v>943</v>
      </c>
      <c r="G122" s="41"/>
      <c r="H122" s="33">
        <v>1893</v>
      </c>
      <c r="I122" s="33">
        <f>IF(Tabela1716[[#This Row],[Housing Starts]]="",#N/A,Tabela1716[[#This Row],[Housing Starts]]-H121)</f>
        <v>246</v>
      </c>
      <c r="J122" s="41">
        <f>IF(Tabela1716[[#This Row],[Housing Starts]]="",#N/A,((Tabela1716[[#This Row],[Housing Starts]]*1)/H110)-1)</f>
        <v>0.4265259984928409</v>
      </c>
      <c r="K122" s="26"/>
      <c r="L122" s="41"/>
      <c r="M122" s="27"/>
      <c r="N122" s="41"/>
      <c r="O122" s="33">
        <v>582</v>
      </c>
      <c r="P122" s="41">
        <f>IF(Tabela1716[[#This Row],[New House Sales]]="",#N/A,((Tabela1716[[#This Row],[New House Sales]]*1)/O121)-1)</f>
        <v>2.1052631578947434E-2</v>
      </c>
      <c r="Q122" s="41">
        <f>IF(Tabela1716[[#This Row],[New House Sales]]="",#N/A,((Tabela1716[[#This Row],[New House Sales]]*1)/O110)-1)</f>
        <v>0.28761061946902644</v>
      </c>
      <c r="R122" s="27">
        <v>4.7</v>
      </c>
      <c r="S122" s="86"/>
      <c r="T122" s="28"/>
      <c r="W122" s="9"/>
      <c r="X122" s="9"/>
    </row>
    <row r="123" spans="1:24" ht="12.75">
      <c r="A123" s="12">
        <v>25934</v>
      </c>
      <c r="B123" s="26"/>
      <c r="C123" s="27"/>
      <c r="D123" s="33">
        <v>1643</v>
      </c>
      <c r="E123" s="41">
        <f>IF(Tabela1716[[#This Row],[Building Permits]]="",#N/A,((Tabela1716[[#This Row],[Building Permits]]*1)/D111)-1)</f>
        <v>0.54708097928436916</v>
      </c>
      <c r="F123" s="33">
        <v>971</v>
      </c>
      <c r="G123" s="41">
        <f>IF(Tabela1716[[#This Row],[Houses Under Construction]]="",#N/A,((Tabela1716[[#This Row],[Houses Under Construction]]*1)/F111)-1)</f>
        <v>9.2238470191225996E-2</v>
      </c>
      <c r="H123" s="33">
        <v>1828</v>
      </c>
      <c r="I123" s="33">
        <f>IF(Tabela1716[[#This Row],[Housing Starts]]="",#N/A,Tabela1716[[#This Row],[Housing Starts]]-H122)</f>
        <v>-65</v>
      </c>
      <c r="J123" s="41">
        <f>IF(Tabela1716[[#This Row],[Housing Starts]]="",#N/A,((Tabela1716[[#This Row],[Housing Starts]]*1)/H111)-1)</f>
        <v>0.68479262672811059</v>
      </c>
      <c r="K123" s="26"/>
      <c r="L123" s="41"/>
      <c r="M123" s="27"/>
      <c r="N123" s="41"/>
      <c r="O123" s="33">
        <v>618</v>
      </c>
      <c r="P123" s="41">
        <f>IF(Tabela1716[[#This Row],[New House Sales]]="",#N/A,((Tabela1716[[#This Row],[New House Sales]]*1)/O122)-1)</f>
        <v>6.1855670103092786E-2</v>
      </c>
      <c r="Q123" s="41">
        <f>IF(Tabela1716[[#This Row],[New House Sales]]="",#N/A,((Tabela1716[[#This Row],[New House Sales]]*1)/O111)-1)</f>
        <v>0.34056399132321036</v>
      </c>
      <c r="R123" s="27">
        <v>4.3</v>
      </c>
      <c r="S123" s="86"/>
      <c r="T123" s="28"/>
      <c r="V123" s="38"/>
      <c r="W123" s="9"/>
      <c r="X123" s="9"/>
    </row>
    <row r="124" spans="1:24" ht="12.75">
      <c r="A124" s="12">
        <v>25965</v>
      </c>
      <c r="B124" s="26"/>
      <c r="C124" s="27"/>
      <c r="D124" s="33">
        <v>1588</v>
      </c>
      <c r="E124" s="41">
        <f>IF(Tabela1716[[#This Row],[Building Permits]]="",#N/A,((Tabela1716[[#This Row],[Building Permits]]*1)/D112)-1)</f>
        <v>0.42039355992844363</v>
      </c>
      <c r="F124" s="33">
        <v>994</v>
      </c>
      <c r="G124" s="41">
        <f>IF(Tabela1716[[#This Row],[Houses Under Construction]]="",#N/A,((Tabela1716[[#This Row],[Houses Under Construction]]*1)/F112)-1)</f>
        <v>0.11936936936936937</v>
      </c>
      <c r="H124" s="33">
        <v>1741</v>
      </c>
      <c r="I124" s="33">
        <f>IF(Tabela1716[[#This Row],[Housing Starts]]="",#N/A,Tabela1716[[#This Row],[Housing Starts]]-H123)</f>
        <v>-87</v>
      </c>
      <c r="J124" s="41">
        <f>IF(Tabela1716[[#This Row],[Housing Starts]]="",#N/A,((Tabela1716[[#This Row],[Housing Starts]]*1)/H112)-1)</f>
        <v>0.33409961685823752</v>
      </c>
      <c r="K124" s="26"/>
      <c r="L124" s="41"/>
      <c r="M124" s="27"/>
      <c r="N124" s="41"/>
      <c r="O124" s="33">
        <v>618</v>
      </c>
      <c r="P124" s="41">
        <f>IF(Tabela1716[[#This Row],[New House Sales]]="",#N/A,((Tabela1716[[#This Row],[New House Sales]]*1)/O123)-1)</f>
        <v>0</v>
      </c>
      <c r="Q124" s="41">
        <f>IF(Tabela1716[[#This Row],[New House Sales]]="",#N/A,((Tabela1716[[#This Row],[New House Sales]]*1)/O112)-1)</f>
        <v>0.65683646112600536</v>
      </c>
      <c r="R124" s="27">
        <v>4.4000000000000004</v>
      </c>
      <c r="S124" s="86"/>
      <c r="T124" s="28"/>
      <c r="W124" s="9"/>
      <c r="X124" s="9"/>
    </row>
    <row r="125" spans="1:24" ht="12.75">
      <c r="A125" s="12">
        <v>25993</v>
      </c>
      <c r="B125" s="26"/>
      <c r="C125" s="27"/>
      <c r="D125" s="33">
        <v>1759</v>
      </c>
      <c r="E125" s="41">
        <f>IF(Tabela1716[[#This Row],[Building Permits]]="",#N/A,((Tabela1716[[#This Row],[Building Permits]]*1)/D113)-1)</f>
        <v>0.55388692579505294</v>
      </c>
      <c r="F125" s="33">
        <v>1025</v>
      </c>
      <c r="G125" s="41">
        <f>IF(Tabela1716[[#This Row],[Houses Under Construction]]="",#N/A,((Tabela1716[[#This Row],[Houses Under Construction]]*1)/F113)-1)</f>
        <v>0.151685393258427</v>
      </c>
      <c r="H125" s="33">
        <v>1910</v>
      </c>
      <c r="I125" s="33">
        <f>IF(Tabela1716[[#This Row],[Housing Starts]]="",#N/A,Tabela1716[[#This Row],[Housing Starts]]-H124)</f>
        <v>169</v>
      </c>
      <c r="J125" s="41">
        <f>IF(Tabela1716[[#This Row],[Housing Starts]]="",#N/A,((Tabela1716[[#This Row],[Housing Starts]]*1)/H113)-1)</f>
        <v>0.44806671721000768</v>
      </c>
      <c r="K125" s="26"/>
      <c r="L125" s="41"/>
      <c r="M125" s="27"/>
      <c r="N125" s="41"/>
      <c r="O125" s="33">
        <v>681</v>
      </c>
      <c r="P125" s="41">
        <f>IF(Tabela1716[[#This Row],[New House Sales]]="",#N/A,((Tabela1716[[#This Row],[New House Sales]]*1)/O124)-1)</f>
        <v>0.10194174757281549</v>
      </c>
      <c r="Q125" s="41">
        <f>IF(Tabela1716[[#This Row],[New House Sales]]="",#N/A,((Tabela1716[[#This Row],[New House Sales]]*1)/O113)-1)</f>
        <v>0.75064267352185099</v>
      </c>
      <c r="R125" s="27">
        <v>4</v>
      </c>
      <c r="S125" s="86"/>
      <c r="T125" s="28"/>
      <c r="V125" s="38"/>
      <c r="W125" s="9"/>
      <c r="X125" s="9"/>
    </row>
    <row r="126" spans="1:24" ht="12.75">
      <c r="A126" s="12">
        <v>26024</v>
      </c>
      <c r="B126" s="26">
        <v>7.29</v>
      </c>
      <c r="C126" s="27"/>
      <c r="D126" s="33">
        <v>1745</v>
      </c>
      <c r="E126" s="41">
        <f>IF(Tabela1716[[#This Row],[Building Permits]]="",#N/A,((Tabela1716[[#This Row],[Building Permits]]*1)/D114)-1)</f>
        <v>0.42565359477124187</v>
      </c>
      <c r="F126" s="33">
        <v>1062</v>
      </c>
      <c r="G126" s="41">
        <f>IF(Tabela1716[[#This Row],[Houses Under Construction]]="",#N/A,((Tabela1716[[#This Row],[Houses Under Construction]]*1)/F114)-1)</f>
        <v>0.19191919191919182</v>
      </c>
      <c r="H126" s="33">
        <v>1986</v>
      </c>
      <c r="I126" s="33">
        <f>IF(Tabela1716[[#This Row],[Housing Starts]]="",#N/A,Tabela1716[[#This Row],[Housing Starts]]-H125)</f>
        <v>76</v>
      </c>
      <c r="J126" s="41">
        <f>IF(Tabela1716[[#This Row],[Housing Starts]]="",#N/A,((Tabela1716[[#This Row],[Housing Starts]]*1)/H114)-1)</f>
        <v>0.57120253164556956</v>
      </c>
      <c r="K126" s="26"/>
      <c r="L126" s="41"/>
      <c r="M126" s="27"/>
      <c r="N126" s="41"/>
      <c r="O126" s="33">
        <v>662</v>
      </c>
      <c r="P126" s="41">
        <f>IF(Tabela1716[[#This Row],[New House Sales]]="",#N/A,((Tabela1716[[#This Row],[New House Sales]]*1)/O125)-1)</f>
        <v>-2.7900146842878115E-2</v>
      </c>
      <c r="Q126" s="41">
        <f>IF(Tabela1716[[#This Row],[New House Sales]]="",#N/A,((Tabela1716[[#This Row],[New House Sales]]*1)/O114)-1)</f>
        <v>0.48764044943820228</v>
      </c>
      <c r="R126" s="27">
        <v>4.2</v>
      </c>
      <c r="S126" s="86"/>
      <c r="T126" s="28"/>
      <c r="W126" s="9"/>
      <c r="X126" s="9"/>
    </row>
    <row r="127" spans="1:24" ht="12.75">
      <c r="A127" s="12">
        <v>26054</v>
      </c>
      <c r="B127" s="26">
        <v>7.46</v>
      </c>
      <c r="C127" s="27"/>
      <c r="D127" s="33">
        <v>1972</v>
      </c>
      <c r="E127" s="41">
        <f>IF(Tabela1716[[#This Row],[Building Permits]]="",#N/A,((Tabela1716[[#This Row],[Building Permits]]*1)/D115)-1)</f>
        <v>0.48493975903614461</v>
      </c>
      <c r="F127" s="33">
        <v>1093</v>
      </c>
      <c r="G127" s="41">
        <f>IF(Tabela1716[[#This Row],[Houses Under Construction]]="",#N/A,((Tabela1716[[#This Row],[Houses Under Construction]]*1)/F115)-1)</f>
        <v>0.23782559456398644</v>
      </c>
      <c r="H127" s="33">
        <v>2049</v>
      </c>
      <c r="I127" s="33">
        <f>IF(Tabela1716[[#This Row],[Housing Starts]]="",#N/A,Tabela1716[[#This Row],[Housing Starts]]-H126)</f>
        <v>63</v>
      </c>
      <c r="J127" s="41">
        <f>IF(Tabela1716[[#This Row],[Housing Starts]]="",#N/A,((Tabela1716[[#This Row],[Housing Starts]]*1)/H115)-1)</f>
        <v>0.58837209302325588</v>
      </c>
      <c r="K127" s="26"/>
      <c r="L127" s="41"/>
      <c r="M127" s="27"/>
      <c r="N127" s="41"/>
      <c r="O127" s="33">
        <v>618</v>
      </c>
      <c r="P127" s="41">
        <f>IF(Tabela1716[[#This Row],[New House Sales]]="",#N/A,((Tabela1716[[#This Row],[New House Sales]]*1)/O126)-1)</f>
        <v>-6.6465256797583083E-2</v>
      </c>
      <c r="Q127" s="41">
        <f>IF(Tabela1716[[#This Row],[New House Sales]]="",#N/A,((Tabela1716[[#This Row],[New House Sales]]*1)/O115)-1)</f>
        <v>0.32618025751072954</v>
      </c>
      <c r="R127" s="27">
        <v>4.5999999999999996</v>
      </c>
      <c r="S127" s="86"/>
      <c r="T127" s="28"/>
      <c r="V127" s="38"/>
      <c r="W127" s="9"/>
      <c r="X127" s="9"/>
    </row>
    <row r="128" spans="1:24" ht="12.75">
      <c r="A128" s="12">
        <v>26085</v>
      </c>
      <c r="B128" s="26">
        <v>7.54</v>
      </c>
      <c r="C128" s="27"/>
      <c r="D128" s="33">
        <v>1903</v>
      </c>
      <c r="E128" s="41">
        <f>IF(Tabela1716[[#This Row],[Building Permits]]="",#N/A,((Tabela1716[[#This Row],[Building Permits]]*1)/D116)-1)</f>
        <v>0.43948562783661127</v>
      </c>
      <c r="F128" s="33">
        <v>1127</v>
      </c>
      <c r="G128" s="41">
        <f>IF(Tabela1716[[#This Row],[Houses Under Construction]]="",#N/A,((Tabela1716[[#This Row],[Houses Under Construction]]*1)/F116)-1)</f>
        <v>0.27777777777777768</v>
      </c>
      <c r="H128" s="33">
        <v>2026</v>
      </c>
      <c r="I128" s="33">
        <f>IF(Tabela1716[[#This Row],[Housing Starts]]="",#N/A,Tabela1716[[#This Row],[Housing Starts]]-H127)</f>
        <v>-23</v>
      </c>
      <c r="J128" s="41">
        <f>IF(Tabela1716[[#This Row],[Housing Starts]]="",#N/A,((Tabela1716[[#This Row],[Housing Starts]]*1)/H116)-1)</f>
        <v>0.46281588447653421</v>
      </c>
      <c r="K128" s="26"/>
      <c r="L128" s="41"/>
      <c r="M128" s="27"/>
      <c r="N128" s="41"/>
      <c r="O128" s="33">
        <v>646</v>
      </c>
      <c r="P128" s="41">
        <f>IF(Tabela1716[[#This Row],[New House Sales]]="",#N/A,((Tabela1716[[#This Row],[New House Sales]]*1)/O127)-1)</f>
        <v>4.5307443365695699E-2</v>
      </c>
      <c r="Q128" s="41">
        <f>IF(Tabela1716[[#This Row],[New House Sales]]="",#N/A,((Tabela1716[[#This Row],[New House Sales]]*1)/O116)-1)</f>
        <v>0.33195876288659787</v>
      </c>
      <c r="R128" s="27">
        <v>4.7</v>
      </c>
      <c r="S128" s="86"/>
      <c r="T128" s="28"/>
      <c r="W128" s="9"/>
      <c r="X128" s="9"/>
    </row>
    <row r="129" spans="1:24" ht="12.75">
      <c r="A129" s="12">
        <v>26115</v>
      </c>
      <c r="B129" s="26">
        <v>7.69</v>
      </c>
      <c r="C129" s="27"/>
      <c r="D129" s="33">
        <v>2069</v>
      </c>
      <c r="E129" s="41">
        <f>IF(Tabela1716[[#This Row],[Building Permits]]="",#N/A,((Tabela1716[[#This Row],[Building Permits]]*1)/D117)-1)</f>
        <v>0.56268882175226587</v>
      </c>
      <c r="F129" s="33">
        <v>1160</v>
      </c>
      <c r="G129" s="41">
        <f>IF(Tabela1716[[#This Row],[Houses Under Construction]]="",#N/A,((Tabela1716[[#This Row],[Houses Under Construction]]*1)/F117)-1)</f>
        <v>0.30190796857463531</v>
      </c>
      <c r="H129" s="33">
        <v>2083</v>
      </c>
      <c r="I129" s="33">
        <f>IF(Tabela1716[[#This Row],[Housing Starts]]="",#N/A,Tabela1716[[#This Row],[Housing Starts]]-H128)</f>
        <v>57</v>
      </c>
      <c r="J129" s="41">
        <f>IF(Tabela1716[[#This Row],[Housing Starts]]="",#N/A,((Tabela1716[[#This Row],[Housing Starts]]*1)/H117)-1)</f>
        <v>0.37310481212920243</v>
      </c>
      <c r="K129" s="26"/>
      <c r="L129" s="41"/>
      <c r="M129" s="27"/>
      <c r="N129" s="41"/>
      <c r="O129" s="33">
        <v>706</v>
      </c>
      <c r="P129" s="41">
        <f>IF(Tabela1716[[#This Row],[New House Sales]]="",#N/A,((Tabela1716[[#This Row],[New House Sales]]*1)/O128)-1)</f>
        <v>9.2879256965944235E-2</v>
      </c>
      <c r="Q129" s="41">
        <f>IF(Tabela1716[[#This Row],[New House Sales]]="",#N/A,((Tabela1716[[#This Row],[New House Sales]]*1)/O117)-1)</f>
        <v>0.46777546777546775</v>
      </c>
      <c r="R129" s="27">
        <v>4.0999999999999996</v>
      </c>
      <c r="S129" s="86"/>
      <c r="T129" s="28"/>
      <c r="V129" s="38"/>
      <c r="W129" s="9"/>
      <c r="X129" s="9"/>
    </row>
    <row r="130" spans="1:24" ht="12.75">
      <c r="A130" s="12">
        <v>26146</v>
      </c>
      <c r="B130" s="26">
        <v>7.69</v>
      </c>
      <c r="C130" s="27"/>
      <c r="D130" s="33">
        <v>2004</v>
      </c>
      <c r="E130" s="41">
        <f>IF(Tabela1716[[#This Row],[Building Permits]]="",#N/A,((Tabela1716[[#This Row],[Building Permits]]*1)/D118)-1)</f>
        <v>0.43758967001434712</v>
      </c>
      <c r="F130" s="33">
        <v>1185</v>
      </c>
      <c r="G130" s="41">
        <f>IF(Tabela1716[[#This Row],[Houses Under Construction]]="",#N/A,((Tabela1716[[#This Row],[Houses Under Construction]]*1)/F118)-1)</f>
        <v>0.35583524027459945</v>
      </c>
      <c r="H130" s="33">
        <v>2158</v>
      </c>
      <c r="I130" s="33">
        <f>IF(Tabela1716[[#This Row],[Housing Starts]]="",#N/A,Tabela1716[[#This Row],[Housing Starts]]-H129)</f>
        <v>75</v>
      </c>
      <c r="J130" s="41">
        <f>IF(Tabela1716[[#This Row],[Housing Starts]]="",#N/A,((Tabela1716[[#This Row],[Housing Starts]]*1)/H118)-1)</f>
        <v>0.54253037884202993</v>
      </c>
      <c r="K130" s="26"/>
      <c r="L130" s="41"/>
      <c r="M130" s="27"/>
      <c r="N130" s="41"/>
      <c r="O130" s="33">
        <v>659</v>
      </c>
      <c r="P130" s="41">
        <f>IF(Tabela1716[[#This Row],[New House Sales]]="",#N/A,((Tabela1716[[#This Row],[New House Sales]]*1)/O129)-1)</f>
        <v>-6.6572237960339953E-2</v>
      </c>
      <c r="Q130" s="41">
        <f>IF(Tabela1716[[#This Row],[New House Sales]]="",#N/A,((Tabela1716[[#This Row],[New House Sales]]*1)/O118)-1)</f>
        <v>0.2796116504854369</v>
      </c>
      <c r="R130" s="27">
        <v>4.7</v>
      </c>
      <c r="S130" s="86"/>
      <c r="T130" s="28"/>
      <c r="W130" s="9"/>
      <c r="X130" s="9"/>
    </row>
    <row r="131" spans="1:24" ht="12.75">
      <c r="A131" s="12">
        <v>26177</v>
      </c>
      <c r="B131" s="26">
        <v>7.67</v>
      </c>
      <c r="C131" s="27"/>
      <c r="D131" s="33">
        <v>1996</v>
      </c>
      <c r="E131" s="41">
        <f>IF(Tabela1716[[#This Row],[Building Permits]]="",#N/A,((Tabela1716[[#This Row],[Building Permits]]*1)/D119)-1)</f>
        <v>0.399719495091164</v>
      </c>
      <c r="F131" s="33">
        <v>1205</v>
      </c>
      <c r="G131" s="41">
        <f>IF(Tabela1716[[#This Row],[Houses Under Construction]]="",#N/A,((Tabela1716[[#This Row],[Houses Under Construction]]*1)/F119)-1)</f>
        <v>0.35393258426966301</v>
      </c>
      <c r="H131" s="33">
        <v>2041</v>
      </c>
      <c r="I131" s="33">
        <f>IF(Tabela1716[[#This Row],[Housing Starts]]="",#N/A,Tabela1716[[#This Row],[Housing Starts]]-H130)</f>
        <v>-117</v>
      </c>
      <c r="J131" s="41">
        <f>IF(Tabela1716[[#This Row],[Housing Starts]]="",#N/A,((Tabela1716[[#This Row],[Housing Starts]]*1)/H119)-1)</f>
        <v>0.33050847457627119</v>
      </c>
      <c r="K131" s="26"/>
      <c r="L131" s="41"/>
      <c r="M131" s="27"/>
      <c r="N131" s="41"/>
      <c r="O131" s="33">
        <v>625</v>
      </c>
      <c r="P131" s="41">
        <f>IF(Tabela1716[[#This Row],[New House Sales]]="",#N/A,((Tabela1716[[#This Row],[New House Sales]]*1)/O130)-1)</f>
        <v>-5.1593323216995501E-2</v>
      </c>
      <c r="Q131" s="41">
        <f>IF(Tabela1716[[#This Row],[New House Sales]]="",#N/A,((Tabela1716[[#This Row],[New House Sales]]*1)/O119)-1)</f>
        <v>0.10815602836879434</v>
      </c>
      <c r="R131" s="27">
        <v>5.2</v>
      </c>
      <c r="S131" s="86"/>
      <c r="T131" s="28"/>
      <c r="V131" s="38"/>
      <c r="W131" s="9"/>
      <c r="X131" s="9"/>
    </row>
    <row r="132" spans="1:24" ht="12.75">
      <c r="A132" s="12">
        <v>26207</v>
      </c>
      <c r="B132" s="26">
        <v>7.63</v>
      </c>
      <c r="C132" s="27"/>
      <c r="D132" s="33">
        <v>2026</v>
      </c>
      <c r="E132" s="41">
        <f>IF(Tabela1716[[#This Row],[Building Permits]]="",#N/A,((Tabela1716[[#This Row],[Building Permits]]*1)/D120)-1)</f>
        <v>0.29539641943734019</v>
      </c>
      <c r="F132" s="33">
        <v>1224</v>
      </c>
      <c r="G132" s="41">
        <f>IF(Tabela1716[[#This Row],[Houses Under Construction]]="",#N/A,((Tabela1716[[#This Row],[Houses Under Construction]]*1)/F120)-1)</f>
        <v>0.3600000000000001</v>
      </c>
      <c r="H132" s="33">
        <v>2128</v>
      </c>
      <c r="I132" s="33">
        <f>IF(Tabela1716[[#This Row],[Housing Starts]]="",#N/A,Tabela1716[[#This Row],[Housing Starts]]-H131)</f>
        <v>87</v>
      </c>
      <c r="J132" s="41">
        <f>IF(Tabela1716[[#This Row],[Housing Starts]]="",#N/A,((Tabela1716[[#This Row],[Housing Starts]]*1)/H120)-1)</f>
        <v>0.34683544303797476</v>
      </c>
      <c r="K132" s="26"/>
      <c r="L132" s="41"/>
      <c r="M132" s="27"/>
      <c r="N132" s="41"/>
      <c r="O132" s="33">
        <v>647</v>
      </c>
      <c r="P132" s="41">
        <f>IF(Tabela1716[[#This Row],[New House Sales]]="",#N/A,((Tabela1716[[#This Row],[New House Sales]]*1)/O131)-1)</f>
        <v>3.5199999999999898E-2</v>
      </c>
      <c r="Q132" s="41">
        <f>IF(Tabela1716[[#This Row],[New House Sales]]="",#N/A,((Tabela1716[[#This Row],[New House Sales]]*1)/O120)-1)</f>
        <v>0.18715596330275219</v>
      </c>
      <c r="R132" s="27">
        <v>5</v>
      </c>
      <c r="S132" s="86"/>
      <c r="T132" s="28"/>
      <c r="W132" s="9"/>
      <c r="X132" s="9"/>
    </row>
    <row r="133" spans="1:24" ht="12.75">
      <c r="A133" s="12">
        <v>26238</v>
      </c>
      <c r="B133" s="26">
        <v>7.51</v>
      </c>
      <c r="C133" s="27"/>
      <c r="D133" s="33">
        <v>2079</v>
      </c>
      <c r="E133" s="41">
        <f>IF(Tabela1716[[#This Row],[Building Permits]]="",#N/A,((Tabela1716[[#This Row],[Building Permits]]*1)/D121)-1)</f>
        <v>0.38415446071904125</v>
      </c>
      <c r="F133" s="33">
        <v>1262</v>
      </c>
      <c r="G133" s="41">
        <f>IF(Tabela1716[[#This Row],[Houses Under Construction]]="",#N/A,((Tabela1716[[#This Row],[Houses Under Construction]]*1)/F121)-1)</f>
        <v>0.38074398249452956</v>
      </c>
      <c r="H133" s="33">
        <v>2182</v>
      </c>
      <c r="I133" s="33">
        <f>IF(Tabela1716[[#This Row],[Housing Starts]]="",#N/A,Tabela1716[[#This Row],[Housing Starts]]-H132)</f>
        <v>54</v>
      </c>
      <c r="J133" s="41">
        <f>IF(Tabela1716[[#This Row],[Housing Starts]]="",#N/A,((Tabela1716[[#This Row],[Housing Starts]]*1)/H121)-1)</f>
        <v>0.32483302975106243</v>
      </c>
      <c r="K133" s="26"/>
      <c r="L133" s="41"/>
      <c r="M133" s="27"/>
      <c r="N133" s="41"/>
      <c r="O133" s="33">
        <v>710</v>
      </c>
      <c r="P133" s="41">
        <f>IF(Tabela1716[[#This Row],[New House Sales]]="",#N/A,((Tabela1716[[#This Row],[New House Sales]]*1)/O132)-1)</f>
        <v>9.7372488408037139E-2</v>
      </c>
      <c r="Q133" s="41">
        <f>IF(Tabela1716[[#This Row],[New House Sales]]="",#N/A,((Tabela1716[[#This Row],[New House Sales]]*1)/O121)-1)</f>
        <v>0.2456140350877194</v>
      </c>
      <c r="R133" s="27">
        <v>4.9000000000000004</v>
      </c>
      <c r="S133" s="86"/>
      <c r="T133" s="28"/>
      <c r="V133" s="38"/>
      <c r="W133" s="9"/>
      <c r="X133" s="9"/>
    </row>
    <row r="134" spans="1:24" ht="12.75">
      <c r="A134" s="12">
        <v>26268</v>
      </c>
      <c r="B134" s="26">
        <v>7.48</v>
      </c>
      <c r="C134" s="27"/>
      <c r="D134" s="33">
        <v>2133</v>
      </c>
      <c r="E134" s="41">
        <f>IF(Tabela1716[[#This Row],[Building Permits]]="",#N/A,((Tabela1716[[#This Row],[Building Permits]]*1)/D122)-1)</f>
        <v>0.20713073005093374</v>
      </c>
      <c r="F134" s="33">
        <v>1285</v>
      </c>
      <c r="G134" s="41">
        <f>IF(Tabela1716[[#This Row],[Houses Under Construction]]="",#N/A,((Tabela1716[[#This Row],[Houses Under Construction]]*1)/F122)-1)</f>
        <v>0.36267232237539759</v>
      </c>
      <c r="H134" s="33">
        <v>2295</v>
      </c>
      <c r="I134" s="33">
        <f>IF(Tabela1716[[#This Row],[Housing Starts]]="",#N/A,Tabela1716[[#This Row],[Housing Starts]]-H133)</f>
        <v>113</v>
      </c>
      <c r="J134" s="41">
        <f>IF(Tabela1716[[#This Row],[Housing Starts]]="",#N/A,((Tabela1716[[#This Row],[Housing Starts]]*1)/H122)-1)</f>
        <v>0.21236133122028522</v>
      </c>
      <c r="K134" s="26"/>
      <c r="L134" s="41"/>
      <c r="M134" s="27"/>
      <c r="N134" s="41"/>
      <c r="O134" s="33">
        <v>689</v>
      </c>
      <c r="P134" s="41">
        <f>IF(Tabela1716[[#This Row],[New House Sales]]="",#N/A,((Tabela1716[[#This Row],[New House Sales]]*1)/O133)-1)</f>
        <v>-2.9577464788732355E-2</v>
      </c>
      <c r="Q134" s="41">
        <f>IF(Tabela1716[[#This Row],[New House Sales]]="",#N/A,((Tabela1716[[#This Row],[New House Sales]]*1)/O122)-1)</f>
        <v>0.18384879725085912</v>
      </c>
      <c r="R134" s="27">
        <v>5.0999999999999996</v>
      </c>
      <c r="S134" s="86"/>
      <c r="T134" s="28"/>
      <c r="W134" s="9"/>
      <c r="X134" s="9"/>
    </row>
    <row r="135" spans="1:24" ht="12.75">
      <c r="A135" s="12">
        <v>26299</v>
      </c>
      <c r="B135" s="26">
        <v>7.4</v>
      </c>
      <c r="C135" s="27"/>
      <c r="D135" s="33">
        <v>2238</v>
      </c>
      <c r="E135" s="41">
        <f>IF(Tabela1716[[#This Row],[Building Permits]]="",#N/A,((Tabela1716[[#This Row],[Building Permits]]*1)/D123)-1)</f>
        <v>0.36214242239805228</v>
      </c>
      <c r="F135" s="33">
        <v>1316</v>
      </c>
      <c r="G135" s="41">
        <f>IF(Tabela1716[[#This Row],[Houses Under Construction]]="",#N/A,((Tabela1716[[#This Row],[Houses Under Construction]]*1)/F123)-1)</f>
        <v>0.35530381050463444</v>
      </c>
      <c r="H135" s="33">
        <v>2494</v>
      </c>
      <c r="I135" s="33">
        <f>IF(Tabela1716[[#This Row],[Housing Starts]]="",#N/A,Tabela1716[[#This Row],[Housing Starts]]-H134)</f>
        <v>199</v>
      </c>
      <c r="J135" s="41">
        <f>IF(Tabela1716[[#This Row],[Housing Starts]]="",#N/A,((Tabela1716[[#This Row],[Housing Starts]]*1)/H123)-1)</f>
        <v>0.3643326039387309</v>
      </c>
      <c r="K135" s="26"/>
      <c r="L135" s="41"/>
      <c r="M135" s="27"/>
      <c r="N135" s="41"/>
      <c r="O135" s="33">
        <v>698</v>
      </c>
      <c r="P135" s="41">
        <f>IF(Tabela1716[[#This Row],[New House Sales]]="",#N/A,((Tabela1716[[#This Row],[New House Sales]]*1)/O134)-1)</f>
        <v>1.3062409288824295E-2</v>
      </c>
      <c r="Q135" s="41">
        <f>IF(Tabela1716[[#This Row],[New House Sales]]="",#N/A,((Tabela1716[[#This Row],[New House Sales]]*1)/O123)-1)</f>
        <v>0.12944983818770228</v>
      </c>
      <c r="R135" s="27">
        <v>5.2</v>
      </c>
      <c r="S135" s="86"/>
      <c r="T135" s="28"/>
      <c r="V135" s="38"/>
      <c r="W135" s="9"/>
      <c r="X135" s="9"/>
    </row>
    <row r="136" spans="1:24" ht="12.75">
      <c r="A136" s="12">
        <v>26330</v>
      </c>
      <c r="B136" s="26">
        <v>7.31</v>
      </c>
      <c r="C136" s="27"/>
      <c r="D136" s="33">
        <v>2169</v>
      </c>
      <c r="E136" s="41">
        <f>IF(Tabela1716[[#This Row],[Building Permits]]="",#N/A,((Tabela1716[[#This Row],[Building Permits]]*1)/D124)-1)</f>
        <v>0.36586901763224189</v>
      </c>
      <c r="F136" s="33">
        <v>1294</v>
      </c>
      <c r="G136" s="41">
        <f>IF(Tabela1716[[#This Row],[Houses Under Construction]]="",#N/A,((Tabela1716[[#This Row],[Houses Under Construction]]*1)/F124)-1)</f>
        <v>0.30181086519114686</v>
      </c>
      <c r="H136" s="33">
        <v>2390</v>
      </c>
      <c r="I136" s="33">
        <f>IF(Tabela1716[[#This Row],[Housing Starts]]="",#N/A,Tabela1716[[#This Row],[Housing Starts]]-H135)</f>
        <v>-104</v>
      </c>
      <c r="J136" s="41">
        <f>IF(Tabela1716[[#This Row],[Housing Starts]]="",#N/A,((Tabela1716[[#This Row],[Housing Starts]]*1)/H124)-1)</f>
        <v>0.37277426766226296</v>
      </c>
      <c r="K136" s="26"/>
      <c r="L136" s="41"/>
      <c r="M136" s="27"/>
      <c r="N136" s="41"/>
      <c r="O136" s="33">
        <v>711</v>
      </c>
      <c r="P136" s="41">
        <f>IF(Tabela1716[[#This Row],[New House Sales]]="",#N/A,((Tabela1716[[#This Row],[New House Sales]]*1)/O135)-1)</f>
        <v>1.8624641833810962E-2</v>
      </c>
      <c r="Q136" s="41">
        <f>IF(Tabela1716[[#This Row],[New House Sales]]="",#N/A,((Tabela1716[[#This Row],[New House Sales]]*1)/O124)-1)</f>
        <v>0.15048543689320382</v>
      </c>
      <c r="R136" s="27">
        <v>5.4</v>
      </c>
      <c r="S136" s="86"/>
      <c r="T136" s="28"/>
      <c r="W136" s="9"/>
      <c r="X136" s="9"/>
    </row>
    <row r="137" spans="1:24" ht="12.75">
      <c r="A137" s="12">
        <v>26359</v>
      </c>
      <c r="B137" s="26">
        <v>7.23</v>
      </c>
      <c r="C137" s="27"/>
      <c r="D137" s="33">
        <v>2105</v>
      </c>
      <c r="E137" s="41">
        <f>IF(Tabela1716[[#This Row],[Building Permits]]="",#N/A,((Tabela1716[[#This Row],[Building Permits]]*1)/D125)-1)</f>
        <v>0.19670267197271185</v>
      </c>
      <c r="F137" s="33">
        <v>1359</v>
      </c>
      <c r="G137" s="41">
        <f>IF(Tabela1716[[#This Row],[Houses Under Construction]]="",#N/A,((Tabela1716[[#This Row],[Houses Under Construction]]*1)/F125)-1)</f>
        <v>0.32585365853658543</v>
      </c>
      <c r="H137" s="33">
        <v>2334</v>
      </c>
      <c r="I137" s="33">
        <f>IF(Tabela1716[[#This Row],[Housing Starts]]="",#N/A,Tabela1716[[#This Row],[Housing Starts]]-H136)</f>
        <v>-56</v>
      </c>
      <c r="J137" s="41">
        <f>IF(Tabela1716[[#This Row],[Housing Starts]]="",#N/A,((Tabela1716[[#This Row],[Housing Starts]]*1)/H125)-1)</f>
        <v>0.22198952879581157</v>
      </c>
      <c r="K137" s="26"/>
      <c r="L137" s="41"/>
      <c r="M137" s="27"/>
      <c r="N137" s="41"/>
      <c r="O137" s="33">
        <v>640</v>
      </c>
      <c r="P137" s="41">
        <f>IF(Tabela1716[[#This Row],[New House Sales]]="",#N/A,((Tabela1716[[#This Row],[New House Sales]]*1)/O136)-1)</f>
        <v>-9.9859353023910025E-2</v>
      </c>
      <c r="Q137" s="41">
        <f>IF(Tabela1716[[#This Row],[New House Sales]]="",#N/A,((Tabela1716[[#This Row],[New House Sales]]*1)/O125)-1)</f>
        <v>-6.0205580029368599E-2</v>
      </c>
      <c r="R137" s="27">
        <v>6.1</v>
      </c>
      <c r="S137" s="86"/>
      <c r="T137" s="28"/>
      <c r="V137" s="38"/>
      <c r="W137" s="9"/>
      <c r="X137" s="9"/>
    </row>
    <row r="138" spans="1:24" ht="12.75">
      <c r="A138" s="12">
        <v>26390</v>
      </c>
      <c r="B138" s="26">
        <v>7.33</v>
      </c>
      <c r="C138" s="27"/>
      <c r="D138" s="33">
        <v>2139</v>
      </c>
      <c r="E138" s="41">
        <f>IF(Tabela1716[[#This Row],[Building Permits]]="",#N/A,((Tabela1716[[#This Row],[Building Permits]]*1)/D126)-1)</f>
        <v>0.22578796561604575</v>
      </c>
      <c r="F138" s="33">
        <v>1384</v>
      </c>
      <c r="G138" s="41">
        <f>IF(Tabela1716[[#This Row],[Houses Under Construction]]="",#N/A,((Tabela1716[[#This Row],[Houses Under Construction]]*1)/F126)-1)</f>
        <v>0.30320150659133716</v>
      </c>
      <c r="H138" s="33">
        <v>2249</v>
      </c>
      <c r="I138" s="33">
        <f>IF(Tabela1716[[#This Row],[Housing Starts]]="",#N/A,Tabela1716[[#This Row],[Housing Starts]]-H137)</f>
        <v>-85</v>
      </c>
      <c r="J138" s="41">
        <f>IF(Tabela1716[[#This Row],[Housing Starts]]="",#N/A,((Tabela1716[[#This Row],[Housing Starts]]*1)/H126)-1)</f>
        <v>0.13242698892245719</v>
      </c>
      <c r="K138" s="26"/>
      <c r="L138" s="41"/>
      <c r="M138" s="27"/>
      <c r="N138" s="41"/>
      <c r="O138" s="33">
        <v>684</v>
      </c>
      <c r="P138" s="41">
        <f>IF(Tabela1716[[#This Row],[New House Sales]]="",#N/A,((Tabela1716[[#This Row],[New House Sales]]*1)/O137)-1)</f>
        <v>6.8750000000000089E-2</v>
      </c>
      <c r="Q138" s="41">
        <f>IF(Tabela1716[[#This Row],[New House Sales]]="",#N/A,((Tabela1716[[#This Row],[New House Sales]]*1)/O126)-1)</f>
        <v>3.3232628398791597E-2</v>
      </c>
      <c r="R138" s="27">
        <v>5.8</v>
      </c>
      <c r="S138" s="86"/>
      <c r="T138" s="28"/>
      <c r="W138" s="9"/>
      <c r="X138" s="9"/>
    </row>
    <row r="139" spans="1:24" ht="12.75">
      <c r="A139" s="12">
        <v>26420</v>
      </c>
      <c r="B139" s="26">
        <v>7.4</v>
      </c>
      <c r="C139" s="27"/>
      <c r="D139" s="33">
        <v>2067</v>
      </c>
      <c r="E139" s="41">
        <f>IF(Tabela1716[[#This Row],[Building Permits]]="",#N/A,((Tabela1716[[#This Row],[Building Permits]]*1)/D127)-1)</f>
        <v>4.8174442190669353E-2</v>
      </c>
      <c r="F139" s="33">
        <v>1403</v>
      </c>
      <c r="G139" s="41">
        <f>IF(Tabela1716[[#This Row],[Houses Under Construction]]="",#N/A,((Tabela1716[[#This Row],[Houses Under Construction]]*1)/F127)-1)</f>
        <v>0.28362305580969815</v>
      </c>
      <c r="H139" s="33">
        <v>2221</v>
      </c>
      <c r="I139" s="33">
        <f>IF(Tabela1716[[#This Row],[Housing Starts]]="",#N/A,Tabela1716[[#This Row],[Housing Starts]]-H138)</f>
        <v>-28</v>
      </c>
      <c r="J139" s="41">
        <f>IF(Tabela1716[[#This Row],[Housing Starts]]="",#N/A,((Tabela1716[[#This Row],[Housing Starts]]*1)/H127)-1)</f>
        <v>8.394338701805748E-2</v>
      </c>
      <c r="K139" s="26"/>
      <c r="L139" s="41"/>
      <c r="M139" s="27"/>
      <c r="N139" s="41"/>
      <c r="O139" s="33">
        <v>677</v>
      </c>
      <c r="P139" s="41">
        <f>IF(Tabela1716[[#This Row],[New House Sales]]="",#N/A,((Tabela1716[[#This Row],[New House Sales]]*1)/O138)-1)</f>
        <v>-1.0233918128654929E-2</v>
      </c>
      <c r="Q139" s="41">
        <f>IF(Tabela1716[[#This Row],[New House Sales]]="",#N/A,((Tabela1716[[#This Row],[New House Sales]]*1)/O127)-1)</f>
        <v>9.5469255663430452E-2</v>
      </c>
      <c r="R139" s="27">
        <v>6.1</v>
      </c>
      <c r="S139" s="86"/>
      <c r="T139" s="28"/>
      <c r="V139" s="38"/>
      <c r="W139" s="9"/>
      <c r="X139" s="9"/>
    </row>
    <row r="140" spans="1:24" ht="12.75">
      <c r="A140" s="12">
        <v>26451</v>
      </c>
      <c r="B140" s="26">
        <v>7.38</v>
      </c>
      <c r="C140" s="27"/>
      <c r="D140" s="33">
        <v>2183</v>
      </c>
      <c r="E140" s="41">
        <f>IF(Tabela1716[[#This Row],[Building Permits]]="",#N/A,((Tabela1716[[#This Row],[Building Permits]]*1)/D128)-1)</f>
        <v>0.14713610089332629</v>
      </c>
      <c r="F140" s="33">
        <v>1429</v>
      </c>
      <c r="G140" s="41">
        <f>IF(Tabela1716[[#This Row],[Houses Under Construction]]="",#N/A,((Tabela1716[[#This Row],[Houses Under Construction]]*1)/F128)-1)</f>
        <v>0.26796805678793256</v>
      </c>
      <c r="H140" s="33">
        <v>2254</v>
      </c>
      <c r="I140" s="33">
        <f>IF(Tabela1716[[#This Row],[Housing Starts]]="",#N/A,Tabela1716[[#This Row],[Housing Starts]]-H139)</f>
        <v>33</v>
      </c>
      <c r="J140" s="41">
        <f>IF(Tabela1716[[#This Row],[Housing Starts]]="",#N/A,((Tabela1716[[#This Row],[Housing Starts]]*1)/H128)-1)</f>
        <v>0.11253701875616984</v>
      </c>
      <c r="K140" s="26"/>
      <c r="L140" s="41"/>
      <c r="M140" s="27"/>
      <c r="N140" s="41"/>
      <c r="O140" s="33">
        <v>687</v>
      </c>
      <c r="P140" s="41">
        <f>IF(Tabela1716[[#This Row],[New House Sales]]="",#N/A,((Tabela1716[[#This Row],[New House Sales]]*1)/O139)-1)</f>
        <v>1.477104874446078E-2</v>
      </c>
      <c r="Q140" s="41">
        <f>IF(Tabela1716[[#This Row],[New House Sales]]="",#N/A,((Tabela1716[[#This Row],[New House Sales]]*1)/O128)-1)</f>
        <v>6.3467492260061986E-2</v>
      </c>
      <c r="R140" s="27">
        <v>6.3</v>
      </c>
      <c r="S140" s="86"/>
      <c r="T140" s="28"/>
      <c r="W140" s="9"/>
      <c r="X140" s="9"/>
    </row>
    <row r="141" spans="1:24" ht="12.75">
      <c r="A141" s="12">
        <v>26481</v>
      </c>
      <c r="B141" s="26">
        <v>7.4</v>
      </c>
      <c r="C141" s="27"/>
      <c r="D141" s="33">
        <v>2195</v>
      </c>
      <c r="E141" s="41">
        <f>IF(Tabela1716[[#This Row],[Building Permits]]="",#N/A,((Tabela1716[[#This Row],[Building Permits]]*1)/D129)-1)</f>
        <v>6.0898985016916374E-2</v>
      </c>
      <c r="F141" s="33">
        <v>1449</v>
      </c>
      <c r="G141" s="41">
        <f>IF(Tabela1716[[#This Row],[Houses Under Construction]]="",#N/A,((Tabela1716[[#This Row],[Houses Under Construction]]*1)/F129)-1)</f>
        <v>0.24913793103448278</v>
      </c>
      <c r="H141" s="33">
        <v>2252</v>
      </c>
      <c r="I141" s="33">
        <f>IF(Tabela1716[[#This Row],[Housing Starts]]="",#N/A,Tabela1716[[#This Row],[Housing Starts]]-H140)</f>
        <v>-2</v>
      </c>
      <c r="J141" s="41">
        <f>IF(Tabela1716[[#This Row],[Housing Starts]]="",#N/A,((Tabela1716[[#This Row],[Housing Starts]]*1)/H129)-1)</f>
        <v>8.1132981277004301E-2</v>
      </c>
      <c r="K141" s="26"/>
      <c r="L141" s="41"/>
      <c r="M141" s="27"/>
      <c r="N141" s="41"/>
      <c r="O141" s="33">
        <v>681</v>
      </c>
      <c r="P141" s="41">
        <f>IF(Tabela1716[[#This Row],[New House Sales]]="",#N/A,((Tabela1716[[#This Row],[New House Sales]]*1)/O140)-1)</f>
        <v>-8.733624454148492E-3</v>
      </c>
      <c r="Q141" s="41">
        <f>IF(Tabela1716[[#This Row],[New House Sales]]="",#N/A,((Tabela1716[[#This Row],[New House Sales]]*1)/O129)-1)</f>
        <v>-3.5410764872521261E-2</v>
      </c>
      <c r="R141" s="27">
        <v>6.3</v>
      </c>
      <c r="S141" s="86"/>
      <c r="T141" s="28"/>
      <c r="V141" s="38"/>
      <c r="W141" s="9"/>
      <c r="X141" s="9"/>
    </row>
    <row r="142" spans="1:24" ht="12.75">
      <c r="A142" s="12">
        <v>26512</v>
      </c>
      <c r="B142" s="26">
        <v>7.42</v>
      </c>
      <c r="C142" s="27"/>
      <c r="D142" s="33">
        <v>2263</v>
      </c>
      <c r="E142" s="41">
        <f>IF(Tabela1716[[#This Row],[Building Permits]]="",#N/A,((Tabela1716[[#This Row],[Building Permits]]*1)/D130)-1)</f>
        <v>0.12924151696606789</v>
      </c>
      <c r="F142" s="33">
        <v>1476</v>
      </c>
      <c r="G142" s="41">
        <f>IF(Tabela1716[[#This Row],[Houses Under Construction]]="",#N/A,((Tabela1716[[#This Row],[Houses Under Construction]]*1)/F130)-1)</f>
        <v>0.24556962025316453</v>
      </c>
      <c r="H142" s="33">
        <v>2382</v>
      </c>
      <c r="I142" s="33">
        <f>IF(Tabela1716[[#This Row],[Housing Starts]]="",#N/A,Tabela1716[[#This Row],[Housing Starts]]-H141)</f>
        <v>130</v>
      </c>
      <c r="J142" s="41">
        <f>IF(Tabela1716[[#This Row],[Housing Starts]]="",#N/A,((Tabela1716[[#This Row],[Housing Starts]]*1)/H130)-1)</f>
        <v>0.10379981464318822</v>
      </c>
      <c r="K142" s="26"/>
      <c r="L142" s="41"/>
      <c r="M142" s="27"/>
      <c r="N142" s="41"/>
      <c r="O142" s="33">
        <v>773</v>
      </c>
      <c r="P142" s="41">
        <f>IF(Tabela1716[[#This Row],[New House Sales]]="",#N/A,((Tabela1716[[#This Row],[New House Sales]]*1)/O141)-1)</f>
        <v>0.13509544787077821</v>
      </c>
      <c r="Q142" s="41">
        <f>IF(Tabela1716[[#This Row],[New House Sales]]="",#N/A,((Tabela1716[[#This Row],[New House Sales]]*1)/O130)-1)</f>
        <v>0.17298937784522006</v>
      </c>
      <c r="R142" s="27">
        <v>6</v>
      </c>
      <c r="S142" s="86"/>
      <c r="T142" s="28"/>
      <c r="W142" s="9"/>
      <c r="X142" s="9"/>
    </row>
    <row r="143" spans="1:24" ht="12.75">
      <c r="A143" s="12">
        <v>26543</v>
      </c>
      <c r="B143" s="26">
        <v>7.43</v>
      </c>
      <c r="C143" s="27"/>
      <c r="D143" s="33">
        <v>2393</v>
      </c>
      <c r="E143" s="41">
        <f>IF(Tabela1716[[#This Row],[Building Permits]]="",#N/A,((Tabela1716[[#This Row],[Building Permits]]*1)/D131)-1)</f>
        <v>0.19889779559118237</v>
      </c>
      <c r="F143" s="33">
        <v>1499</v>
      </c>
      <c r="G143" s="41">
        <f>IF(Tabela1716[[#This Row],[Houses Under Construction]]="",#N/A,((Tabela1716[[#This Row],[Houses Under Construction]]*1)/F131)-1)</f>
        <v>0.24398340248962658</v>
      </c>
      <c r="H143" s="33">
        <v>2481</v>
      </c>
      <c r="I143" s="33">
        <f>IF(Tabela1716[[#This Row],[Housing Starts]]="",#N/A,Tabela1716[[#This Row],[Housing Starts]]-H142)</f>
        <v>99</v>
      </c>
      <c r="J143" s="41">
        <f>IF(Tabela1716[[#This Row],[Housing Starts]]="",#N/A,((Tabela1716[[#This Row],[Housing Starts]]*1)/H131)-1)</f>
        <v>0.21558059774620286</v>
      </c>
      <c r="K143" s="26"/>
      <c r="L143" s="41"/>
      <c r="M143" s="27"/>
      <c r="N143" s="41"/>
      <c r="O143" s="33">
        <v>767</v>
      </c>
      <c r="P143" s="41">
        <f>IF(Tabela1716[[#This Row],[New House Sales]]="",#N/A,((Tabela1716[[#This Row],[New House Sales]]*1)/O142)-1)</f>
        <v>-7.7619663648124115E-3</v>
      </c>
      <c r="Q143" s="41">
        <f>IF(Tabela1716[[#This Row],[New House Sales]]="",#N/A,((Tabela1716[[#This Row],[New House Sales]]*1)/O131)-1)</f>
        <v>0.22720000000000007</v>
      </c>
      <c r="R143" s="27">
        <v>6.2</v>
      </c>
      <c r="S143" s="86"/>
      <c r="T143" s="28"/>
      <c r="V143" s="38"/>
      <c r="W143" s="9"/>
      <c r="X143" s="9"/>
    </row>
    <row r="144" spans="1:24" ht="12.75">
      <c r="A144" s="12">
        <v>26573</v>
      </c>
      <c r="B144" s="26">
        <v>7.42</v>
      </c>
      <c r="C144" s="27"/>
      <c r="D144" s="33">
        <v>2354</v>
      </c>
      <c r="E144" s="41">
        <f>IF(Tabela1716[[#This Row],[Building Permits]]="",#N/A,((Tabela1716[[#This Row],[Building Permits]]*1)/D132)-1)</f>
        <v>0.16189536031589347</v>
      </c>
      <c r="F144" s="33">
        <v>1542</v>
      </c>
      <c r="G144" s="41">
        <f>IF(Tabela1716[[#This Row],[Houses Under Construction]]="",#N/A,((Tabela1716[[#This Row],[Houses Under Construction]]*1)/F132)-1)</f>
        <v>0.25980392156862742</v>
      </c>
      <c r="H144" s="33">
        <v>2485</v>
      </c>
      <c r="I144" s="33">
        <f>IF(Tabela1716[[#This Row],[Housing Starts]]="",#N/A,Tabela1716[[#This Row],[Housing Starts]]-H143)</f>
        <v>4</v>
      </c>
      <c r="J144" s="41">
        <f>IF(Tabela1716[[#This Row],[Housing Starts]]="",#N/A,((Tabela1716[[#This Row],[Housing Starts]]*1)/H132)-1)</f>
        <v>0.16776315789473695</v>
      </c>
      <c r="K144" s="26"/>
      <c r="L144" s="41"/>
      <c r="M144" s="27"/>
      <c r="N144" s="41"/>
      <c r="O144" s="33">
        <v>843</v>
      </c>
      <c r="P144" s="41">
        <f>IF(Tabela1716[[#This Row],[New House Sales]]="",#N/A,((Tabela1716[[#This Row],[New House Sales]]*1)/O143)-1)</f>
        <v>9.9087353324641469E-2</v>
      </c>
      <c r="Q144" s="41">
        <f>IF(Tabela1716[[#This Row],[New House Sales]]="",#N/A,((Tabela1716[[#This Row],[New House Sales]]*1)/O132)-1)</f>
        <v>0.30293663060278209</v>
      </c>
      <c r="R144" s="27">
        <v>5.7</v>
      </c>
      <c r="S144" s="86"/>
      <c r="T144" s="28"/>
      <c r="W144" s="9"/>
      <c r="X144" s="9"/>
    </row>
    <row r="145" spans="1:24" ht="12.75">
      <c r="A145" s="12">
        <v>26604</v>
      </c>
      <c r="B145" s="26">
        <v>7.44</v>
      </c>
      <c r="C145" s="27"/>
      <c r="D145" s="33">
        <v>2234</v>
      </c>
      <c r="E145" s="41">
        <f>IF(Tabela1716[[#This Row],[Building Permits]]="",#N/A,((Tabela1716[[#This Row],[Building Permits]]*1)/D133)-1)</f>
        <v>7.4555074555074485E-2</v>
      </c>
      <c r="F145" s="33">
        <v>1573</v>
      </c>
      <c r="G145" s="41">
        <f>IF(Tabela1716[[#This Row],[Houses Under Construction]]="",#N/A,((Tabela1716[[#This Row],[Houses Under Construction]]*1)/F133)-1)</f>
        <v>0.24643423137876397</v>
      </c>
      <c r="H145" s="33">
        <v>2421</v>
      </c>
      <c r="I145" s="33">
        <f>IF(Tabela1716[[#This Row],[Housing Starts]]="",#N/A,Tabela1716[[#This Row],[Housing Starts]]-H144)</f>
        <v>-64</v>
      </c>
      <c r="J145" s="41">
        <f>IF(Tabela1716[[#This Row],[Housing Starts]]="",#N/A,((Tabela1716[[#This Row],[Housing Starts]]*1)/H133)-1)</f>
        <v>0.10953253895508697</v>
      </c>
      <c r="K145" s="26"/>
      <c r="L145" s="41"/>
      <c r="M145" s="27"/>
      <c r="N145" s="41"/>
      <c r="O145" s="33">
        <v>735</v>
      </c>
      <c r="P145" s="41">
        <f>IF(Tabela1716[[#This Row],[New House Sales]]="",#N/A,((Tabela1716[[#This Row],[New House Sales]]*1)/O144)-1)</f>
        <v>-0.12811387900355875</v>
      </c>
      <c r="Q145" s="41">
        <f>IF(Tabela1716[[#This Row],[New House Sales]]="",#N/A,((Tabela1716[[#This Row],[New House Sales]]*1)/O133)-1)</f>
        <v>3.5211267605633756E-2</v>
      </c>
      <c r="R145" s="27">
        <v>6.8</v>
      </c>
      <c r="S145" s="86"/>
      <c r="T145" s="28"/>
      <c r="V145" s="38"/>
      <c r="W145" s="9"/>
      <c r="X145" s="9"/>
    </row>
    <row r="146" spans="1:24" ht="12.75">
      <c r="A146" s="12">
        <v>26634</v>
      </c>
      <c r="B146" s="26">
        <v>7.45</v>
      </c>
      <c r="C146" s="27"/>
      <c r="D146" s="33">
        <v>2419</v>
      </c>
      <c r="E146" s="41">
        <f>IF(Tabela1716[[#This Row],[Building Permits]]="",#N/A,((Tabela1716[[#This Row],[Building Permits]]*1)/D134)-1)</f>
        <v>0.13408345053914683</v>
      </c>
      <c r="F146" s="33">
        <v>1588</v>
      </c>
      <c r="G146" s="41">
        <f>IF(Tabela1716[[#This Row],[Houses Under Construction]]="",#N/A,((Tabela1716[[#This Row],[Houses Under Construction]]*1)/F134)-1)</f>
        <v>0.23579766536964986</v>
      </c>
      <c r="H146" s="33">
        <v>2366</v>
      </c>
      <c r="I146" s="33">
        <f>IF(Tabela1716[[#This Row],[Housing Starts]]="",#N/A,Tabela1716[[#This Row],[Housing Starts]]-H145)</f>
        <v>-55</v>
      </c>
      <c r="J146" s="41">
        <f>IF(Tabela1716[[#This Row],[Housing Starts]]="",#N/A,((Tabela1716[[#This Row],[Housing Starts]]*1)/H134)-1)</f>
        <v>3.0936819172113328E-2</v>
      </c>
      <c r="K146" s="26"/>
      <c r="L146" s="41"/>
      <c r="M146" s="27"/>
      <c r="N146" s="41"/>
      <c r="O146" s="33">
        <v>772</v>
      </c>
      <c r="P146" s="41">
        <f>IF(Tabela1716[[#This Row],[New House Sales]]="",#N/A,((Tabela1716[[#This Row],[New House Sales]]*1)/O145)-1)</f>
        <v>5.034013605442178E-2</v>
      </c>
      <c r="Q146" s="41">
        <f>IF(Tabela1716[[#This Row],[New House Sales]]="",#N/A,((Tabela1716[[#This Row],[New House Sales]]*1)/O134)-1)</f>
        <v>0.12046444121915822</v>
      </c>
      <c r="R146" s="27">
        <v>6.5</v>
      </c>
      <c r="S146" s="86"/>
      <c r="T146" s="28"/>
      <c r="W146" s="9"/>
      <c r="X146" s="9"/>
    </row>
    <row r="147" spans="1:24" ht="12.75">
      <c r="A147" s="12">
        <v>26665</v>
      </c>
      <c r="B147" s="26">
        <v>7.43</v>
      </c>
      <c r="C147" s="27"/>
      <c r="D147" s="33">
        <v>2271</v>
      </c>
      <c r="E147" s="41">
        <f>IF(Tabela1716[[#This Row],[Building Permits]]="",#N/A,((Tabela1716[[#This Row],[Building Permits]]*1)/D135)-1)</f>
        <v>1.4745308310991856E-2</v>
      </c>
      <c r="F147" s="33">
        <v>1607</v>
      </c>
      <c r="G147" s="41">
        <f>IF(Tabela1716[[#This Row],[Houses Under Construction]]="",#N/A,((Tabela1716[[#This Row],[Houses Under Construction]]*1)/F135)-1)</f>
        <v>0.22112462006079037</v>
      </c>
      <c r="H147" s="33">
        <v>2481</v>
      </c>
      <c r="I147" s="33">
        <f>IF(Tabela1716[[#This Row],[Housing Starts]]="",#N/A,Tabela1716[[#This Row],[Housing Starts]]-H146)</f>
        <v>115</v>
      </c>
      <c r="J147" s="41">
        <f>IF(Tabela1716[[#This Row],[Housing Starts]]="",#N/A,((Tabela1716[[#This Row],[Housing Starts]]*1)/H135)-1)</f>
        <v>-5.2125100240577593E-3</v>
      </c>
      <c r="K147" s="26"/>
      <c r="L147" s="41"/>
      <c r="M147" s="27"/>
      <c r="N147" s="41"/>
      <c r="O147" s="33">
        <v>781</v>
      </c>
      <c r="P147" s="41">
        <f>IF(Tabela1716[[#This Row],[New House Sales]]="",#N/A,((Tabela1716[[#This Row],[New House Sales]]*1)/O146)-1)</f>
        <v>1.1658031088082943E-2</v>
      </c>
      <c r="Q147" s="41">
        <f>IF(Tabela1716[[#This Row],[New House Sales]]="",#N/A,((Tabela1716[[#This Row],[New House Sales]]*1)/O135)-1)</f>
        <v>0.11891117478510038</v>
      </c>
      <c r="R147" s="27">
        <v>6.5</v>
      </c>
      <c r="S147" s="86"/>
      <c r="T147" s="28"/>
      <c r="V147" s="38"/>
      <c r="W147" s="9"/>
      <c r="X147" s="9"/>
    </row>
    <row r="148" spans="1:24" ht="12.75">
      <c r="A148" s="12">
        <v>26696</v>
      </c>
      <c r="B148" s="26">
        <v>7.45</v>
      </c>
      <c r="C148" s="27"/>
      <c r="D148" s="33">
        <v>2226</v>
      </c>
      <c r="E148" s="41">
        <f>IF(Tabela1716[[#This Row],[Building Permits]]="",#N/A,((Tabela1716[[#This Row],[Building Permits]]*1)/D136)-1)</f>
        <v>2.6279391424619547E-2</v>
      </c>
      <c r="F148" s="33">
        <v>1628</v>
      </c>
      <c r="G148" s="41">
        <f>IF(Tabela1716[[#This Row],[Houses Under Construction]]="",#N/A,((Tabela1716[[#This Row],[Houses Under Construction]]*1)/F136)-1)</f>
        <v>0.25811437403400306</v>
      </c>
      <c r="H148" s="33">
        <v>2289</v>
      </c>
      <c r="I148" s="33">
        <f>IF(Tabela1716[[#This Row],[Housing Starts]]="",#N/A,Tabela1716[[#This Row],[Housing Starts]]-H147)</f>
        <v>-192</v>
      </c>
      <c r="J148" s="41">
        <f>IF(Tabela1716[[#This Row],[Housing Starts]]="",#N/A,((Tabela1716[[#This Row],[Housing Starts]]*1)/H136)-1)</f>
        <v>-4.2259414225941372E-2</v>
      </c>
      <c r="K148" s="26"/>
      <c r="L148" s="41"/>
      <c r="M148" s="27"/>
      <c r="N148" s="41"/>
      <c r="O148" s="33">
        <v>737</v>
      </c>
      <c r="P148" s="41">
        <f>IF(Tabela1716[[#This Row],[New House Sales]]="",#N/A,((Tabela1716[[#This Row],[New House Sales]]*1)/O147)-1)</f>
        <v>-5.633802816901412E-2</v>
      </c>
      <c r="Q148" s="41">
        <f>IF(Tabela1716[[#This Row],[New House Sales]]="",#N/A,((Tabela1716[[#This Row],[New House Sales]]*1)/O136)-1)</f>
        <v>3.656821378340358E-2</v>
      </c>
      <c r="R148" s="27">
        <v>6.8</v>
      </c>
      <c r="S148" s="86"/>
      <c r="T148" s="28"/>
      <c r="W148" s="9"/>
      <c r="X148" s="9"/>
    </row>
    <row r="149" spans="1:24" ht="12.75">
      <c r="A149" s="12">
        <v>26724</v>
      </c>
      <c r="B149" s="26">
        <v>7.49</v>
      </c>
      <c r="C149" s="27"/>
      <c r="D149" s="33">
        <v>2062</v>
      </c>
      <c r="E149" s="41">
        <f>IF(Tabela1716[[#This Row],[Building Permits]]="",#N/A,((Tabela1716[[#This Row],[Building Permits]]*1)/D137)-1)</f>
        <v>-2.0427553444180568E-2</v>
      </c>
      <c r="F149" s="33">
        <v>1626</v>
      </c>
      <c r="G149" s="41">
        <f>IF(Tabela1716[[#This Row],[Houses Under Construction]]="",#N/A,((Tabela1716[[#This Row],[Houses Under Construction]]*1)/F137)-1)</f>
        <v>0.19646799116997782</v>
      </c>
      <c r="H149" s="33">
        <v>2365</v>
      </c>
      <c r="I149" s="33">
        <f>IF(Tabela1716[[#This Row],[Housing Starts]]="",#N/A,Tabela1716[[#This Row],[Housing Starts]]-H148)</f>
        <v>76</v>
      </c>
      <c r="J149" s="41">
        <f>IF(Tabela1716[[#This Row],[Housing Starts]]="",#N/A,((Tabela1716[[#This Row],[Housing Starts]]*1)/H137)-1)</f>
        <v>1.3281919451585189E-2</v>
      </c>
      <c r="K149" s="26"/>
      <c r="L149" s="41"/>
      <c r="M149" s="27"/>
      <c r="N149" s="41"/>
      <c r="O149" s="33">
        <v>725</v>
      </c>
      <c r="P149" s="41">
        <f>IF(Tabela1716[[#This Row],[New House Sales]]="",#N/A,((Tabela1716[[#This Row],[New House Sales]]*1)/O148)-1)</f>
        <v>-1.6282225237449155E-2</v>
      </c>
      <c r="Q149" s="41">
        <f>IF(Tabela1716[[#This Row],[New House Sales]]="",#N/A,((Tabela1716[[#This Row],[New House Sales]]*1)/O137)-1)</f>
        <v>0.1328125</v>
      </c>
      <c r="R149" s="27">
        <v>7</v>
      </c>
      <c r="S149" s="86"/>
      <c r="T149" s="28"/>
      <c r="V149" s="38"/>
      <c r="W149" s="9"/>
      <c r="X149" s="9"/>
    </row>
    <row r="150" spans="1:24" ht="12.75">
      <c r="A150" s="12">
        <v>26755</v>
      </c>
      <c r="B150" s="26">
        <v>7.56</v>
      </c>
      <c r="C150" s="27"/>
      <c r="D150" s="33">
        <v>1908</v>
      </c>
      <c r="E150" s="41">
        <f>IF(Tabela1716[[#This Row],[Building Permits]]="",#N/A,((Tabela1716[[#This Row],[Building Permits]]*1)/D138)-1)</f>
        <v>-0.10799438990182331</v>
      </c>
      <c r="F150" s="33">
        <v>1619</v>
      </c>
      <c r="G150" s="41">
        <f>IF(Tabela1716[[#This Row],[Houses Under Construction]]="",#N/A,((Tabela1716[[#This Row],[Houses Under Construction]]*1)/F138)-1)</f>
        <v>0.1697976878612717</v>
      </c>
      <c r="H150" s="33">
        <v>2084</v>
      </c>
      <c r="I150" s="33">
        <f>IF(Tabela1716[[#This Row],[Housing Starts]]="",#N/A,Tabela1716[[#This Row],[Housing Starts]]-H149)</f>
        <v>-281</v>
      </c>
      <c r="J150" s="41">
        <f>IF(Tabela1716[[#This Row],[Housing Starts]]="",#N/A,((Tabela1716[[#This Row],[Housing Starts]]*1)/H138)-1)</f>
        <v>-7.3365940417963516E-2</v>
      </c>
      <c r="K150" s="26"/>
      <c r="L150" s="41"/>
      <c r="M150" s="27"/>
      <c r="N150" s="41"/>
      <c r="O150" s="33">
        <v>661</v>
      </c>
      <c r="P150" s="41">
        <f>IF(Tabela1716[[#This Row],[New House Sales]]="",#N/A,((Tabela1716[[#This Row],[New House Sales]]*1)/O149)-1)</f>
        <v>-8.8275862068965538E-2</v>
      </c>
      <c r="Q150" s="41">
        <f>IF(Tabela1716[[#This Row],[New House Sales]]="",#N/A,((Tabela1716[[#This Row],[New House Sales]]*1)/O138)-1)</f>
        <v>-3.3625730994152003E-2</v>
      </c>
      <c r="R150" s="27">
        <v>7.7</v>
      </c>
      <c r="S150" s="86"/>
      <c r="T150" s="28"/>
      <c r="W150" s="9"/>
      <c r="X150" s="9"/>
    </row>
    <row r="151" spans="1:24" ht="12.75">
      <c r="A151" s="12">
        <v>26785</v>
      </c>
      <c r="B151" s="26">
        <v>7.7</v>
      </c>
      <c r="C151" s="27"/>
      <c r="D151" s="33">
        <v>1931</v>
      </c>
      <c r="E151" s="41">
        <f>IF(Tabela1716[[#This Row],[Building Permits]]="",#N/A,((Tabela1716[[#This Row],[Building Permits]]*1)/D139)-1)</f>
        <v>-6.5795839380745069E-2</v>
      </c>
      <c r="F151" s="33">
        <v>1624</v>
      </c>
      <c r="G151" s="41">
        <f>IF(Tabela1716[[#This Row],[Houses Under Construction]]="",#N/A,((Tabela1716[[#This Row],[Houses Under Construction]]*1)/F139)-1)</f>
        <v>0.15751960085531014</v>
      </c>
      <c r="H151" s="33">
        <v>2266</v>
      </c>
      <c r="I151" s="33">
        <f>IF(Tabela1716[[#This Row],[Housing Starts]]="",#N/A,Tabela1716[[#This Row],[Housing Starts]]-H150)</f>
        <v>182</v>
      </c>
      <c r="J151" s="41">
        <f>IF(Tabela1716[[#This Row],[Housing Starts]]="",#N/A,((Tabela1716[[#This Row],[Housing Starts]]*1)/H139)-1)</f>
        <v>2.0261143628995892E-2</v>
      </c>
      <c r="K151" s="26"/>
      <c r="L151" s="41"/>
      <c r="M151" s="27"/>
      <c r="N151" s="41"/>
      <c r="O151" s="33">
        <v>660</v>
      </c>
      <c r="P151" s="41">
        <f>IF(Tabela1716[[#This Row],[New House Sales]]="",#N/A,((Tabela1716[[#This Row],[New House Sales]]*1)/O150)-1)</f>
        <v>-1.5128593040847349E-3</v>
      </c>
      <c r="Q151" s="41">
        <f>IF(Tabela1716[[#This Row],[New House Sales]]="",#N/A,((Tabela1716[[#This Row],[New House Sales]]*1)/O139)-1)</f>
        <v>-2.5110782865583436E-2</v>
      </c>
      <c r="R151" s="27">
        <v>7.5</v>
      </c>
      <c r="S151" s="86"/>
      <c r="T151" s="28"/>
      <c r="V151" s="38"/>
      <c r="W151" s="9"/>
      <c r="X151" s="9"/>
    </row>
    <row r="152" spans="1:24" ht="12.75">
      <c r="A152" s="12">
        <v>26816</v>
      </c>
      <c r="B152" s="26">
        <v>7.76</v>
      </c>
      <c r="C152" s="27"/>
      <c r="D152" s="33">
        <v>2051</v>
      </c>
      <c r="E152" s="41">
        <f>IF(Tabela1716[[#This Row],[Building Permits]]="",#N/A,((Tabela1716[[#This Row],[Building Permits]]*1)/D140)-1)</f>
        <v>-6.0467246907924821E-2</v>
      </c>
      <c r="F152" s="33">
        <v>1599</v>
      </c>
      <c r="G152" s="41">
        <f>IF(Tabela1716[[#This Row],[Houses Under Construction]]="",#N/A,((Tabela1716[[#This Row],[Houses Under Construction]]*1)/F140)-1)</f>
        <v>0.11896431070678792</v>
      </c>
      <c r="H152" s="33">
        <v>2067</v>
      </c>
      <c r="I152" s="33">
        <f>IF(Tabela1716[[#This Row],[Housing Starts]]="",#N/A,Tabela1716[[#This Row],[Housing Starts]]-H151)</f>
        <v>-199</v>
      </c>
      <c r="J152" s="41">
        <f>IF(Tabela1716[[#This Row],[Housing Starts]]="",#N/A,((Tabela1716[[#This Row],[Housing Starts]]*1)/H140)-1)</f>
        <v>-8.296362023070103E-2</v>
      </c>
      <c r="K152" s="26"/>
      <c r="L152" s="41"/>
      <c r="M152" s="27"/>
      <c r="N152" s="41"/>
      <c r="O152" s="33">
        <v>650</v>
      </c>
      <c r="P152" s="41">
        <f>IF(Tabela1716[[#This Row],[New House Sales]]="",#N/A,((Tabela1716[[#This Row],[New House Sales]]*1)/O151)-1)</f>
        <v>-1.5151515151515138E-2</v>
      </c>
      <c r="Q152" s="41">
        <f>IF(Tabela1716[[#This Row],[New House Sales]]="",#N/A,((Tabela1716[[#This Row],[New House Sales]]*1)/O140)-1)</f>
        <v>-5.3857350800582293E-2</v>
      </c>
      <c r="R152" s="27">
        <v>7.8</v>
      </c>
      <c r="S152" s="86"/>
      <c r="T152" s="28"/>
      <c r="W152" s="9"/>
      <c r="X152" s="9"/>
    </row>
    <row r="153" spans="1:24" ht="12.75">
      <c r="A153" s="12">
        <v>26846</v>
      </c>
      <c r="B153" s="26">
        <v>8.18</v>
      </c>
      <c r="C153" s="27"/>
      <c r="D153" s="33">
        <v>1819</v>
      </c>
      <c r="E153" s="41">
        <f>IF(Tabela1716[[#This Row],[Building Permits]]="",#N/A,((Tabela1716[[#This Row],[Building Permits]]*1)/D141)-1)</f>
        <v>-0.17129840546697039</v>
      </c>
      <c r="F153" s="33">
        <v>1606</v>
      </c>
      <c r="G153" s="41">
        <f>IF(Tabela1716[[#This Row],[Houses Under Construction]]="",#N/A,((Tabela1716[[#This Row],[Houses Under Construction]]*1)/F141)-1)</f>
        <v>0.10835058661145625</v>
      </c>
      <c r="H153" s="33">
        <v>2123</v>
      </c>
      <c r="I153" s="33">
        <f>IF(Tabela1716[[#This Row],[Housing Starts]]="",#N/A,Tabela1716[[#This Row],[Housing Starts]]-H152)</f>
        <v>56</v>
      </c>
      <c r="J153" s="41">
        <f>IF(Tabela1716[[#This Row],[Housing Starts]]="",#N/A,((Tabela1716[[#This Row],[Housing Starts]]*1)/H141)-1)</f>
        <v>-5.7282415630550587E-2</v>
      </c>
      <c r="K153" s="26"/>
      <c r="L153" s="41"/>
      <c r="M153" s="27"/>
      <c r="N153" s="41"/>
      <c r="O153" s="33">
        <v>601</v>
      </c>
      <c r="P153" s="41">
        <f>IF(Tabela1716[[#This Row],[New House Sales]]="",#N/A,((Tabela1716[[#This Row],[New House Sales]]*1)/O152)-1)</f>
        <v>-7.5384615384615383E-2</v>
      </c>
      <c r="Q153" s="41">
        <f>IF(Tabela1716[[#This Row],[New House Sales]]="",#N/A,((Tabela1716[[#This Row],[New House Sales]]*1)/O141)-1)</f>
        <v>-0.11747430249632895</v>
      </c>
      <c r="R153" s="27">
        <v>8.6999999999999993</v>
      </c>
      <c r="S153" s="86"/>
      <c r="T153" s="28"/>
      <c r="V153" s="38"/>
      <c r="W153" s="9"/>
      <c r="X153" s="9"/>
    </row>
    <row r="154" spans="1:24" ht="12.75">
      <c r="A154" s="12">
        <v>26877</v>
      </c>
      <c r="B154" s="26">
        <v>8.66</v>
      </c>
      <c r="C154" s="27"/>
      <c r="D154" s="33">
        <v>1809</v>
      </c>
      <c r="E154" s="41">
        <f>IF(Tabela1716[[#This Row],[Building Permits]]="",#N/A,((Tabela1716[[#This Row],[Building Permits]]*1)/D142)-1)</f>
        <v>-0.20061864781263805</v>
      </c>
      <c r="F154" s="33">
        <v>1594</v>
      </c>
      <c r="G154" s="41">
        <f>IF(Tabela1716[[#This Row],[Houses Under Construction]]="",#N/A,((Tabela1716[[#This Row],[Houses Under Construction]]*1)/F142)-1)</f>
        <v>7.9945799457994626E-2</v>
      </c>
      <c r="H154" s="33">
        <v>2051</v>
      </c>
      <c r="I154" s="33">
        <f>IF(Tabela1716[[#This Row],[Housing Starts]]="",#N/A,Tabela1716[[#This Row],[Housing Starts]]-H153)</f>
        <v>-72</v>
      </c>
      <c r="J154" s="41">
        <f>IF(Tabela1716[[#This Row],[Housing Starts]]="",#N/A,((Tabela1716[[#This Row],[Housing Starts]]*1)/H142)-1)</f>
        <v>-0.13895885810243491</v>
      </c>
      <c r="K154" s="26"/>
      <c r="L154" s="41"/>
      <c r="M154" s="27"/>
      <c r="N154" s="41"/>
      <c r="O154" s="33">
        <v>566</v>
      </c>
      <c r="P154" s="41">
        <f>IF(Tabela1716[[#This Row],[New House Sales]]="",#N/A,((Tabela1716[[#This Row],[New House Sales]]*1)/O153)-1)</f>
        <v>-5.8236272878535722E-2</v>
      </c>
      <c r="Q154" s="41">
        <f>IF(Tabela1716[[#This Row],[New House Sales]]="",#N/A,((Tabela1716[[#This Row],[New House Sales]]*1)/O142)-1)</f>
        <v>-0.26778783958602848</v>
      </c>
      <c r="R154" s="27">
        <v>9.4</v>
      </c>
      <c r="S154" s="86"/>
      <c r="T154" s="28"/>
      <c r="W154" s="9"/>
      <c r="X154" s="9"/>
    </row>
    <row r="155" spans="1:24" ht="12.75">
      <c r="A155" s="12">
        <v>26908</v>
      </c>
      <c r="B155" s="26">
        <v>8.85</v>
      </c>
      <c r="C155" s="27"/>
      <c r="D155" s="33">
        <v>1704</v>
      </c>
      <c r="E155" s="41">
        <f>IF(Tabela1716[[#This Row],[Building Permits]]="",#N/A,((Tabela1716[[#This Row],[Building Permits]]*1)/D143)-1)</f>
        <v>-0.28792310906811536</v>
      </c>
      <c r="F155" s="33">
        <v>1578</v>
      </c>
      <c r="G155" s="41">
        <f>IF(Tabela1716[[#This Row],[Houses Under Construction]]="",#N/A,((Tabela1716[[#This Row],[Houses Under Construction]]*1)/F143)-1)</f>
        <v>5.270180120080048E-2</v>
      </c>
      <c r="H155" s="33">
        <v>1874</v>
      </c>
      <c r="I155" s="33">
        <f>IF(Tabela1716[[#This Row],[Housing Starts]]="",#N/A,Tabela1716[[#This Row],[Housing Starts]]-H154)</f>
        <v>-177</v>
      </c>
      <c r="J155" s="41">
        <f>IF(Tabela1716[[#This Row],[Housing Starts]]="",#N/A,((Tabela1716[[#This Row],[Housing Starts]]*1)/H143)-1)</f>
        <v>-0.24465941152760984</v>
      </c>
      <c r="K155" s="26"/>
      <c r="L155" s="41"/>
      <c r="M155" s="27"/>
      <c r="N155" s="41"/>
      <c r="O155" s="33">
        <v>561</v>
      </c>
      <c r="P155" s="41">
        <f>IF(Tabela1716[[#This Row],[New House Sales]]="",#N/A,((Tabela1716[[#This Row],[New House Sales]]*1)/O154)-1)</f>
        <v>-8.8339222614840507E-3</v>
      </c>
      <c r="Q155" s="41">
        <f>IF(Tabela1716[[#This Row],[New House Sales]]="",#N/A,((Tabela1716[[#This Row],[New House Sales]]*1)/O143)-1)</f>
        <v>-0.26857887874837028</v>
      </c>
      <c r="R155" s="27">
        <v>9.5</v>
      </c>
      <c r="S155" s="86"/>
      <c r="T155" s="28"/>
      <c r="V155" s="38"/>
      <c r="W155" s="9"/>
      <c r="X155" s="9"/>
    </row>
    <row r="156" spans="1:24" ht="12.75">
      <c r="A156" s="12">
        <v>26938</v>
      </c>
      <c r="B156" s="26">
        <v>8.68</v>
      </c>
      <c r="C156" s="27"/>
      <c r="D156" s="33">
        <v>1411</v>
      </c>
      <c r="E156" s="41">
        <f>IF(Tabela1716[[#This Row],[Building Permits]]="",#N/A,((Tabela1716[[#This Row],[Building Permits]]*1)/D144)-1)</f>
        <v>-0.4005947323704333</v>
      </c>
      <c r="F156" s="33">
        <v>1540</v>
      </c>
      <c r="G156" s="41">
        <f>IF(Tabela1716[[#This Row],[Houses Under Construction]]="",#N/A,((Tabela1716[[#This Row],[Houses Under Construction]]*1)/F144)-1)</f>
        <v>-1.2970168612191912E-3</v>
      </c>
      <c r="H156" s="33">
        <v>1677</v>
      </c>
      <c r="I156" s="33">
        <f>IF(Tabela1716[[#This Row],[Housing Starts]]="",#N/A,Tabela1716[[#This Row],[Housing Starts]]-H155)</f>
        <v>-197</v>
      </c>
      <c r="J156" s="41">
        <f>IF(Tabela1716[[#This Row],[Housing Starts]]="",#N/A,((Tabela1716[[#This Row],[Housing Starts]]*1)/H144)-1)</f>
        <v>-0.32515090543259562</v>
      </c>
      <c r="K156" s="26"/>
      <c r="L156" s="41"/>
      <c r="M156" s="27"/>
      <c r="N156" s="41"/>
      <c r="O156" s="33">
        <v>565</v>
      </c>
      <c r="P156" s="41">
        <f>IF(Tabela1716[[#This Row],[New House Sales]]="",#N/A,((Tabela1716[[#This Row],[New House Sales]]*1)/O155)-1)</f>
        <v>7.1301247771835552E-3</v>
      </c>
      <c r="Q156" s="41">
        <f>IF(Tabela1716[[#This Row],[New House Sales]]="",#N/A,((Tabela1716[[#This Row],[New House Sales]]*1)/O144)-1)</f>
        <v>-0.32977461447212342</v>
      </c>
      <c r="R156" s="27">
        <v>9.4</v>
      </c>
      <c r="S156" s="86"/>
      <c r="T156" s="28"/>
      <c r="W156" s="9"/>
      <c r="X156" s="9"/>
    </row>
    <row r="157" spans="1:24" ht="12.75">
      <c r="A157" s="12">
        <v>26969</v>
      </c>
      <c r="B157" s="26">
        <v>8.5500000000000007</v>
      </c>
      <c r="C157" s="27"/>
      <c r="D157" s="33">
        <v>1402</v>
      </c>
      <c r="E157" s="41">
        <f>IF(Tabela1716[[#This Row],[Building Permits]]="",#N/A,((Tabela1716[[#This Row],[Building Permits]]*1)/D145)-1)</f>
        <v>-0.37242614145031339</v>
      </c>
      <c r="F157" s="33">
        <v>1522</v>
      </c>
      <c r="G157" s="41">
        <f>IF(Tabela1716[[#This Row],[Houses Under Construction]]="",#N/A,((Tabela1716[[#This Row],[Houses Under Construction]]*1)/F145)-1)</f>
        <v>-3.2422123331214192E-2</v>
      </c>
      <c r="H157" s="33">
        <v>1724</v>
      </c>
      <c r="I157" s="33">
        <f>IF(Tabela1716[[#This Row],[Housing Starts]]="",#N/A,Tabela1716[[#This Row],[Housing Starts]]-H156)</f>
        <v>47</v>
      </c>
      <c r="J157" s="41">
        <f>IF(Tabela1716[[#This Row],[Housing Starts]]="",#N/A,((Tabela1716[[#This Row],[Housing Starts]]*1)/H145)-1)</f>
        <v>-0.28789756299049984</v>
      </c>
      <c r="K157" s="26"/>
      <c r="L157" s="41"/>
      <c r="M157" s="27"/>
      <c r="N157" s="41"/>
      <c r="O157" s="33">
        <v>547</v>
      </c>
      <c r="P157" s="41">
        <f>IF(Tabela1716[[#This Row],[New House Sales]]="",#N/A,((Tabela1716[[#This Row],[New House Sales]]*1)/O156)-1)</f>
        <v>-3.1858407079646045E-2</v>
      </c>
      <c r="Q157" s="41">
        <f>IF(Tabela1716[[#This Row],[New House Sales]]="",#N/A,((Tabela1716[[#This Row],[New House Sales]]*1)/O145)-1)</f>
        <v>-0.25578231292517006</v>
      </c>
      <c r="R157" s="27">
        <v>9.6</v>
      </c>
      <c r="S157" s="86"/>
      <c r="T157" s="28"/>
      <c r="V157" s="38"/>
      <c r="W157" s="9"/>
      <c r="X157" s="9"/>
    </row>
    <row r="158" spans="1:24" ht="12.75">
      <c r="A158" s="12">
        <v>26999</v>
      </c>
      <c r="B158" s="26">
        <v>8.56</v>
      </c>
      <c r="C158" s="27"/>
      <c r="D158" s="33">
        <v>1288</v>
      </c>
      <c r="E158" s="41">
        <f>IF(Tabela1716[[#This Row],[Building Permits]]="",#N/A,((Tabela1716[[#This Row],[Building Permits]]*1)/D146)-1)</f>
        <v>-0.46754857379082271</v>
      </c>
      <c r="F158" s="33">
        <v>1495</v>
      </c>
      <c r="G158" s="41">
        <f>IF(Tabela1716[[#This Row],[Houses Under Construction]]="",#N/A,((Tabela1716[[#This Row],[Houses Under Construction]]*1)/F146)-1)</f>
        <v>-5.8564231738035266E-2</v>
      </c>
      <c r="H158" s="33">
        <v>1526</v>
      </c>
      <c r="I158" s="33">
        <f>IF(Tabela1716[[#This Row],[Housing Starts]]="",#N/A,Tabela1716[[#This Row],[Housing Starts]]-H157)</f>
        <v>-198</v>
      </c>
      <c r="J158" s="41">
        <f>IF(Tabela1716[[#This Row],[Housing Starts]]="",#N/A,((Tabela1716[[#This Row],[Housing Starts]]*1)/H146)-1)</f>
        <v>-0.3550295857988166</v>
      </c>
      <c r="K158" s="26"/>
      <c r="L158" s="41"/>
      <c r="M158" s="27"/>
      <c r="N158" s="41"/>
      <c r="O158" s="33">
        <v>519</v>
      </c>
      <c r="P158" s="41">
        <f>IF(Tabela1716[[#This Row],[New House Sales]]="",#N/A,((Tabela1716[[#This Row],[New House Sales]]*1)/O157)-1)</f>
        <v>-5.1188299817184646E-2</v>
      </c>
      <c r="Q158" s="41">
        <f>IF(Tabela1716[[#This Row],[New House Sales]]="",#N/A,((Tabela1716[[#This Row],[New House Sales]]*1)/O146)-1)</f>
        <v>-0.32772020725388606</v>
      </c>
      <c r="R158" s="27">
        <v>10.1</v>
      </c>
      <c r="S158" s="86"/>
      <c r="T158" s="28"/>
      <c r="W158" s="9"/>
      <c r="X158" s="9"/>
    </row>
    <row r="159" spans="1:24" ht="12.75">
      <c r="A159" s="12">
        <v>27030</v>
      </c>
      <c r="B159" s="26">
        <v>8.52</v>
      </c>
      <c r="C159" s="27"/>
      <c r="D159" s="33">
        <v>1331</v>
      </c>
      <c r="E159" s="41">
        <f>IF(Tabela1716[[#This Row],[Building Permits]]="",#N/A,((Tabela1716[[#This Row],[Building Permits]]*1)/D147)-1)</f>
        <v>-0.41391457507705853</v>
      </c>
      <c r="F159" s="33">
        <v>1465</v>
      </c>
      <c r="G159" s="41">
        <f>IF(Tabela1716[[#This Row],[Houses Under Construction]]="",#N/A,((Tabela1716[[#This Row],[Houses Under Construction]]*1)/F147)-1)</f>
        <v>-8.8363410080896099E-2</v>
      </c>
      <c r="H159" s="33">
        <v>1451</v>
      </c>
      <c r="I159" s="33">
        <f>IF(Tabela1716[[#This Row],[Housing Starts]]="",#N/A,Tabela1716[[#This Row],[Housing Starts]]-H158)</f>
        <v>-75</v>
      </c>
      <c r="J159" s="41">
        <f>IF(Tabela1716[[#This Row],[Housing Starts]]="",#N/A,((Tabela1716[[#This Row],[Housing Starts]]*1)/H147)-1)</f>
        <v>-0.41515517936316004</v>
      </c>
      <c r="K159" s="26"/>
      <c r="L159" s="41"/>
      <c r="M159" s="27"/>
      <c r="N159" s="41"/>
      <c r="O159" s="33">
        <v>523</v>
      </c>
      <c r="P159" s="41">
        <f>IF(Tabela1716[[#This Row],[New House Sales]]="",#N/A,((Tabela1716[[#This Row],[New House Sales]]*1)/O158)-1)</f>
        <v>7.7071290944124016E-3</v>
      </c>
      <c r="Q159" s="41">
        <f>IF(Tabela1716[[#This Row],[New House Sales]]="",#N/A,((Tabela1716[[#This Row],[New House Sales]]*1)/O147)-1)</f>
        <v>-0.33034571062740081</v>
      </c>
      <c r="R159" s="27">
        <v>9.6999999999999993</v>
      </c>
      <c r="S159" s="86"/>
      <c r="T159" s="28"/>
      <c r="V159" s="38"/>
      <c r="W159" s="9"/>
      <c r="X159" s="9"/>
    </row>
    <row r="160" spans="1:24" ht="12.75">
      <c r="A160" s="12">
        <v>27061</v>
      </c>
      <c r="B160" s="26">
        <v>8.42</v>
      </c>
      <c r="C160" s="27"/>
      <c r="D160" s="33">
        <v>1360</v>
      </c>
      <c r="E160" s="41">
        <f>IF(Tabela1716[[#This Row],[Building Permits]]="",#N/A,((Tabela1716[[#This Row],[Building Permits]]*1)/D148)-1)</f>
        <v>-0.3890386343216532</v>
      </c>
      <c r="F160" s="33">
        <v>1459</v>
      </c>
      <c r="G160" s="41">
        <f>IF(Tabela1716[[#This Row],[Houses Under Construction]]="",#N/A,((Tabela1716[[#This Row],[Houses Under Construction]]*1)/F148)-1)</f>
        <v>-0.10380835380835385</v>
      </c>
      <c r="H160" s="33">
        <v>1752</v>
      </c>
      <c r="I160" s="33">
        <f>IF(Tabela1716[[#This Row],[Housing Starts]]="",#N/A,Tabela1716[[#This Row],[Housing Starts]]-H159)</f>
        <v>301</v>
      </c>
      <c r="J160" s="41">
        <f>IF(Tabela1716[[#This Row],[Housing Starts]]="",#N/A,((Tabela1716[[#This Row],[Housing Starts]]*1)/H148)-1)</f>
        <v>-0.23460026212319796</v>
      </c>
      <c r="K160" s="26"/>
      <c r="L160" s="41"/>
      <c r="M160" s="27"/>
      <c r="N160" s="41"/>
      <c r="O160" s="33">
        <v>539</v>
      </c>
      <c r="P160" s="41">
        <f>IF(Tabela1716[[#This Row],[New House Sales]]="",#N/A,((Tabela1716[[#This Row],[New House Sales]]*1)/O159)-1)</f>
        <v>3.0592734225621365E-2</v>
      </c>
      <c r="Q160" s="41">
        <f>IF(Tabela1716[[#This Row],[New House Sales]]="",#N/A,((Tabela1716[[#This Row],[New House Sales]]*1)/O148)-1)</f>
        <v>-0.26865671641791045</v>
      </c>
      <c r="R160" s="27">
        <v>9.6</v>
      </c>
      <c r="S160" s="86"/>
      <c r="T160" s="28"/>
      <c r="W160" s="9"/>
      <c r="X160" s="9"/>
    </row>
    <row r="161" spans="1:24" ht="12.75">
      <c r="A161" s="12">
        <v>27089</v>
      </c>
      <c r="B161" s="26">
        <v>8.41</v>
      </c>
      <c r="C161" s="27"/>
      <c r="D161" s="33">
        <v>1440</v>
      </c>
      <c r="E161" s="41">
        <f>IF(Tabela1716[[#This Row],[Building Permits]]="",#N/A,((Tabela1716[[#This Row],[Building Permits]]*1)/D149)-1)</f>
        <v>-0.30164888457807948</v>
      </c>
      <c r="F161" s="33">
        <v>1416</v>
      </c>
      <c r="G161" s="41">
        <f>IF(Tabela1716[[#This Row],[Houses Under Construction]]="",#N/A,((Tabela1716[[#This Row],[Houses Under Construction]]*1)/F149)-1)</f>
        <v>-0.12915129151291516</v>
      </c>
      <c r="H161" s="33">
        <v>1555</v>
      </c>
      <c r="I161" s="33">
        <f>IF(Tabela1716[[#This Row],[Housing Starts]]="",#N/A,Tabela1716[[#This Row],[Housing Starts]]-H160)</f>
        <v>-197</v>
      </c>
      <c r="J161" s="41">
        <f>IF(Tabela1716[[#This Row],[Housing Starts]]="",#N/A,((Tabela1716[[#This Row],[Housing Starts]]*1)/H149)-1)</f>
        <v>-0.34249471458773784</v>
      </c>
      <c r="K161" s="26"/>
      <c r="L161" s="41"/>
      <c r="M161" s="27"/>
      <c r="N161" s="41"/>
      <c r="O161" s="33">
        <v>572</v>
      </c>
      <c r="P161" s="41">
        <f>IF(Tabela1716[[#This Row],[New House Sales]]="",#N/A,((Tabela1716[[#This Row],[New House Sales]]*1)/O160)-1)</f>
        <v>6.1224489795918435E-2</v>
      </c>
      <c r="Q161" s="41">
        <f>IF(Tabela1716[[#This Row],[New House Sales]]="",#N/A,((Tabela1716[[#This Row],[New House Sales]]*1)/O149)-1)</f>
        <v>-0.21103448275862069</v>
      </c>
      <c r="R161" s="27">
        <v>8.8000000000000007</v>
      </c>
      <c r="S161" s="86"/>
      <c r="T161" s="28"/>
      <c r="V161" s="38"/>
      <c r="W161" s="9"/>
      <c r="X161" s="9"/>
    </row>
    <row r="162" spans="1:24" ht="12.75">
      <c r="A162" s="12">
        <v>27120</v>
      </c>
      <c r="B162" s="26">
        <v>8.73</v>
      </c>
      <c r="C162" s="27"/>
      <c r="D162" s="33">
        <v>1254</v>
      </c>
      <c r="E162" s="41">
        <f>IF(Tabela1716[[#This Row],[Building Permits]]="",#N/A,((Tabela1716[[#This Row],[Building Permits]]*1)/D150)-1)</f>
        <v>-0.34276729559748431</v>
      </c>
      <c r="F162" s="33">
        <v>1390</v>
      </c>
      <c r="G162" s="41">
        <f>IF(Tabela1716[[#This Row],[Houses Under Construction]]="",#N/A,((Tabela1716[[#This Row],[Houses Under Construction]]*1)/F150)-1)</f>
        <v>-0.14144533662754788</v>
      </c>
      <c r="H162" s="33">
        <v>1607</v>
      </c>
      <c r="I162" s="33">
        <f>IF(Tabela1716[[#This Row],[Housing Starts]]="",#N/A,Tabela1716[[#This Row],[Housing Starts]]-H161)</f>
        <v>52</v>
      </c>
      <c r="J162" s="41">
        <f>IF(Tabela1716[[#This Row],[Housing Starts]]="",#N/A,((Tabela1716[[#This Row],[Housing Starts]]*1)/H150)-1)</f>
        <v>-0.22888675623800381</v>
      </c>
      <c r="K162" s="26"/>
      <c r="L162" s="41"/>
      <c r="M162" s="27"/>
      <c r="N162" s="41"/>
      <c r="O162" s="33">
        <v>544</v>
      </c>
      <c r="P162" s="41">
        <f>IF(Tabela1716[[#This Row],[New House Sales]]="",#N/A,((Tabela1716[[#This Row],[New House Sales]]*1)/O161)-1)</f>
        <v>-4.8951048951048959E-2</v>
      </c>
      <c r="Q162" s="41">
        <f>IF(Tabela1716[[#This Row],[New House Sales]]="",#N/A,((Tabela1716[[#This Row],[New House Sales]]*1)/O150)-1)</f>
        <v>-0.17700453857791221</v>
      </c>
      <c r="R162" s="27">
        <v>9.1</v>
      </c>
      <c r="S162" s="86"/>
      <c r="T162" s="28"/>
      <c r="W162" s="9"/>
      <c r="X162" s="9"/>
    </row>
    <row r="163" spans="1:24" ht="12.75">
      <c r="A163" s="12">
        <v>27150</v>
      </c>
      <c r="B163" s="26">
        <v>9.0299999999999994</v>
      </c>
      <c r="C163" s="27"/>
      <c r="D163" s="33">
        <v>1138</v>
      </c>
      <c r="E163" s="41">
        <f>IF(Tabela1716[[#This Row],[Building Permits]]="",#N/A,((Tabela1716[[#This Row],[Building Permits]]*1)/D151)-1)</f>
        <v>-0.4106680476437079</v>
      </c>
      <c r="F163" s="33">
        <v>1353</v>
      </c>
      <c r="G163" s="41">
        <f>IF(Tabela1716[[#This Row],[Houses Under Construction]]="",#N/A,((Tabela1716[[#This Row],[Houses Under Construction]]*1)/F151)-1)</f>
        <v>-0.16687192118226601</v>
      </c>
      <c r="H163" s="33">
        <v>1426</v>
      </c>
      <c r="I163" s="33">
        <f>IF(Tabela1716[[#This Row],[Housing Starts]]="",#N/A,Tabela1716[[#This Row],[Housing Starts]]-H162)</f>
        <v>-181</v>
      </c>
      <c r="J163" s="41">
        <f>IF(Tabela1716[[#This Row],[Housing Starts]]="",#N/A,((Tabela1716[[#This Row],[Housing Starts]]*1)/H151)-1)</f>
        <v>-0.37069726390114743</v>
      </c>
      <c r="K163" s="26"/>
      <c r="L163" s="41"/>
      <c r="M163" s="27"/>
      <c r="N163" s="41"/>
      <c r="O163" s="33">
        <v>590</v>
      </c>
      <c r="P163" s="41">
        <f>IF(Tabela1716[[#This Row],[New House Sales]]="",#N/A,((Tabela1716[[#This Row],[New House Sales]]*1)/O162)-1)</f>
        <v>8.4558823529411686E-2</v>
      </c>
      <c r="Q163" s="41">
        <f>IF(Tabela1716[[#This Row],[New House Sales]]="",#N/A,((Tabela1716[[#This Row],[New House Sales]]*1)/O151)-1)</f>
        <v>-0.10606060606060608</v>
      </c>
      <c r="R163" s="27">
        <v>8</v>
      </c>
      <c r="S163" s="86"/>
      <c r="T163" s="28"/>
      <c r="V163" s="38"/>
      <c r="W163" s="9"/>
      <c r="X163" s="9"/>
    </row>
    <row r="164" spans="1:24" ht="12.75">
      <c r="A164" s="12">
        <v>27181</v>
      </c>
      <c r="B164" s="26">
        <v>9.1</v>
      </c>
      <c r="C164" s="27"/>
      <c r="D164" s="33">
        <v>1086</v>
      </c>
      <c r="E164" s="41">
        <f>IF(Tabela1716[[#This Row],[Building Permits]]="",#N/A,((Tabela1716[[#This Row],[Building Permits]]*1)/D152)-1)</f>
        <v>-0.47050219405168214</v>
      </c>
      <c r="F164" s="33">
        <v>1321</v>
      </c>
      <c r="G164" s="41">
        <f>IF(Tabela1716[[#This Row],[Houses Under Construction]]="",#N/A,((Tabela1716[[#This Row],[Houses Under Construction]]*1)/F152)-1)</f>
        <v>-0.17385866166353969</v>
      </c>
      <c r="H164" s="33">
        <v>1513</v>
      </c>
      <c r="I164" s="33">
        <f>IF(Tabela1716[[#This Row],[Housing Starts]]="",#N/A,Tabela1716[[#This Row],[Housing Starts]]-H163)</f>
        <v>87</v>
      </c>
      <c r="J164" s="41">
        <f>IF(Tabela1716[[#This Row],[Housing Starts]]="",#N/A,((Tabela1716[[#This Row],[Housing Starts]]*1)/H152)-1)</f>
        <v>-0.26802128688921145</v>
      </c>
      <c r="K164" s="26"/>
      <c r="L164" s="41"/>
      <c r="M164" s="27"/>
      <c r="N164" s="41"/>
      <c r="O164" s="33">
        <v>534</v>
      </c>
      <c r="P164" s="41">
        <f>IF(Tabela1716[[#This Row],[New House Sales]]="",#N/A,((Tabela1716[[#This Row],[New House Sales]]*1)/O163)-1)</f>
        <v>-9.4915254237288083E-2</v>
      </c>
      <c r="Q164" s="41">
        <f>IF(Tabela1716[[#This Row],[New House Sales]]="",#N/A,((Tabela1716[[#This Row],[New House Sales]]*1)/O152)-1)</f>
        <v>-0.17846153846153845</v>
      </c>
      <c r="R164" s="27">
        <v>8.9</v>
      </c>
      <c r="S164" s="86"/>
      <c r="T164" s="28"/>
      <c r="W164" s="9"/>
      <c r="X164" s="9"/>
    </row>
    <row r="165" spans="1:24" ht="12.75">
      <c r="A165" s="12">
        <v>27211</v>
      </c>
      <c r="B165" s="26">
        <v>9.42</v>
      </c>
      <c r="C165" s="27"/>
      <c r="D165" s="33">
        <v>1002</v>
      </c>
      <c r="E165" s="41">
        <f>IF(Tabela1716[[#This Row],[Building Permits]]="",#N/A,((Tabela1716[[#This Row],[Building Permits]]*1)/D153)-1)</f>
        <v>-0.44914788345244638</v>
      </c>
      <c r="F165" s="33">
        <v>1276</v>
      </c>
      <c r="G165" s="41">
        <f>IF(Tabela1716[[#This Row],[Houses Under Construction]]="",#N/A,((Tabela1716[[#This Row],[Houses Under Construction]]*1)/F153)-1)</f>
        <v>-0.20547945205479456</v>
      </c>
      <c r="H165" s="33">
        <v>1316</v>
      </c>
      <c r="I165" s="33">
        <f>IF(Tabela1716[[#This Row],[Housing Starts]]="",#N/A,Tabela1716[[#This Row],[Housing Starts]]-H164)</f>
        <v>-197</v>
      </c>
      <c r="J165" s="41">
        <f>IF(Tabela1716[[#This Row],[Housing Starts]]="",#N/A,((Tabela1716[[#This Row],[Housing Starts]]*1)/H153)-1)</f>
        <v>-0.38012246820536977</v>
      </c>
      <c r="K165" s="26"/>
      <c r="L165" s="41"/>
      <c r="M165" s="27"/>
      <c r="N165" s="41"/>
      <c r="O165" s="33">
        <v>534</v>
      </c>
      <c r="P165" s="41">
        <f>IF(Tabela1716[[#This Row],[New House Sales]]="",#N/A,((Tabela1716[[#This Row],[New House Sales]]*1)/O164)-1)</f>
        <v>0</v>
      </c>
      <c r="Q165" s="41">
        <f>IF(Tabela1716[[#This Row],[New House Sales]]="",#N/A,((Tabela1716[[#This Row],[New House Sales]]*1)/O153)-1)</f>
        <v>-0.11148086522462564</v>
      </c>
      <c r="R165" s="27">
        <v>8.8000000000000007</v>
      </c>
      <c r="S165" s="86"/>
      <c r="T165" s="28"/>
      <c r="V165" s="38"/>
      <c r="W165" s="9"/>
      <c r="X165" s="9"/>
    </row>
    <row r="166" spans="1:24" ht="12.75">
      <c r="A166" s="12">
        <v>27242</v>
      </c>
      <c r="B166" s="26">
        <v>9.74</v>
      </c>
      <c r="C166" s="27"/>
      <c r="D166" s="33">
        <v>917</v>
      </c>
      <c r="E166" s="41">
        <f>IF(Tabela1716[[#This Row],[Building Permits]]="",#N/A,((Tabela1716[[#This Row],[Building Permits]]*1)/D154)-1)</f>
        <v>-0.49309010503040351</v>
      </c>
      <c r="F166" s="33">
        <v>1230</v>
      </c>
      <c r="G166" s="41">
        <f>IF(Tabela1716[[#This Row],[Houses Under Construction]]="",#N/A,((Tabela1716[[#This Row],[Houses Under Construction]]*1)/F154)-1)</f>
        <v>-0.22835633626097862</v>
      </c>
      <c r="H166" s="33">
        <v>1142</v>
      </c>
      <c r="I166" s="33">
        <f>IF(Tabela1716[[#This Row],[Housing Starts]]="",#N/A,Tabela1716[[#This Row],[Housing Starts]]-H165)</f>
        <v>-174</v>
      </c>
      <c r="J166" s="41">
        <f>IF(Tabela1716[[#This Row],[Housing Starts]]="",#N/A,((Tabela1716[[#This Row],[Housing Starts]]*1)/H154)-1)</f>
        <v>-0.44319843978547047</v>
      </c>
      <c r="K166" s="26"/>
      <c r="L166" s="41"/>
      <c r="M166" s="27"/>
      <c r="N166" s="41"/>
      <c r="O166" s="33">
        <v>492</v>
      </c>
      <c r="P166" s="41">
        <f>IF(Tabela1716[[#This Row],[New House Sales]]="",#N/A,((Tabela1716[[#This Row],[New House Sales]]*1)/O165)-1)</f>
        <v>-7.8651685393258397E-2</v>
      </c>
      <c r="Q166" s="41">
        <f>IF(Tabela1716[[#This Row],[New House Sales]]="",#N/A,((Tabela1716[[#This Row],[New House Sales]]*1)/O154)-1)</f>
        <v>-0.13074204946996471</v>
      </c>
      <c r="R166" s="27">
        <v>9.3000000000000007</v>
      </c>
      <c r="S166" s="86"/>
      <c r="T166" s="28"/>
      <c r="W166" s="9"/>
      <c r="X166" s="9"/>
    </row>
    <row r="167" spans="1:24" ht="12.75">
      <c r="A167" s="12">
        <v>27273</v>
      </c>
      <c r="B167" s="26">
        <v>10.029999999999999</v>
      </c>
      <c r="C167" s="27"/>
      <c r="D167" s="33">
        <v>840</v>
      </c>
      <c r="E167" s="41">
        <f>IF(Tabela1716[[#This Row],[Building Permits]]="",#N/A,((Tabela1716[[#This Row],[Building Permits]]*1)/D155)-1)</f>
        <v>-0.50704225352112675</v>
      </c>
      <c r="F167" s="33">
        <v>1179</v>
      </c>
      <c r="G167" s="41">
        <f>IF(Tabela1716[[#This Row],[Houses Under Construction]]="",#N/A,((Tabela1716[[#This Row],[Houses Under Construction]]*1)/F155)-1)</f>
        <v>-0.25285171102661597</v>
      </c>
      <c r="H167" s="33">
        <v>1150</v>
      </c>
      <c r="I167" s="33">
        <f>IF(Tabela1716[[#This Row],[Housing Starts]]="",#N/A,Tabela1716[[#This Row],[Housing Starts]]-H166)</f>
        <v>8</v>
      </c>
      <c r="J167" s="41">
        <f>IF(Tabela1716[[#This Row],[Housing Starts]]="",#N/A,((Tabela1716[[#This Row],[Housing Starts]]*1)/H155)-1)</f>
        <v>-0.38633938100320175</v>
      </c>
      <c r="K167" s="26"/>
      <c r="L167" s="41"/>
      <c r="M167" s="27"/>
      <c r="N167" s="41"/>
      <c r="O167" s="33">
        <v>511</v>
      </c>
      <c r="P167" s="41">
        <f>IF(Tabela1716[[#This Row],[New House Sales]]="",#N/A,((Tabela1716[[#This Row],[New House Sales]]*1)/O166)-1)</f>
        <v>3.8617886178861749E-2</v>
      </c>
      <c r="Q167" s="41">
        <f>IF(Tabela1716[[#This Row],[New House Sales]]="",#N/A,((Tabela1716[[#This Row],[New House Sales]]*1)/O155)-1)</f>
        <v>-8.9126559714794995E-2</v>
      </c>
      <c r="R167" s="27">
        <v>9.1</v>
      </c>
      <c r="S167" s="86"/>
      <c r="T167" s="28"/>
      <c r="V167" s="38"/>
      <c r="W167" s="9"/>
      <c r="X167" s="9"/>
    </row>
    <row r="168" spans="1:24" ht="12.75">
      <c r="A168" s="12">
        <v>27303</v>
      </c>
      <c r="B168" s="26">
        <v>9.94</v>
      </c>
      <c r="C168" s="27"/>
      <c r="D168" s="33">
        <v>824</v>
      </c>
      <c r="E168" s="41">
        <f>IF(Tabela1716[[#This Row],[Building Permits]]="",#N/A,((Tabela1716[[#This Row],[Building Permits]]*1)/D156)-1)</f>
        <v>-0.41601700921332385</v>
      </c>
      <c r="F168" s="33">
        <v>1129</v>
      </c>
      <c r="G168" s="41">
        <f>IF(Tabela1716[[#This Row],[Houses Under Construction]]="",#N/A,((Tabela1716[[#This Row],[Houses Under Construction]]*1)/F156)-1)</f>
        <v>-0.26688311688311683</v>
      </c>
      <c r="H168" s="33">
        <v>1070</v>
      </c>
      <c r="I168" s="33">
        <f>IF(Tabela1716[[#This Row],[Housing Starts]]="",#N/A,Tabela1716[[#This Row],[Housing Starts]]-H167)</f>
        <v>-80</v>
      </c>
      <c r="J168" s="41">
        <f>IF(Tabela1716[[#This Row],[Housing Starts]]="",#N/A,((Tabela1716[[#This Row],[Housing Starts]]*1)/H156)-1)</f>
        <v>-0.36195587358378056</v>
      </c>
      <c r="K168" s="26"/>
      <c r="L168" s="41"/>
      <c r="M168" s="27"/>
      <c r="N168" s="41"/>
      <c r="O168" s="33">
        <v>448</v>
      </c>
      <c r="P168" s="41">
        <f>IF(Tabela1716[[#This Row],[New House Sales]]="",#N/A,((Tabela1716[[#This Row],[New House Sales]]*1)/O167)-1)</f>
        <v>-0.12328767123287676</v>
      </c>
      <c r="Q168" s="41">
        <f>IF(Tabela1716[[#This Row],[New House Sales]]="",#N/A,((Tabela1716[[#This Row],[New House Sales]]*1)/O156)-1)</f>
        <v>-0.20707964601769913</v>
      </c>
      <c r="R168" s="27">
        <v>9.8000000000000007</v>
      </c>
      <c r="S168" s="86"/>
      <c r="T168" s="28"/>
      <c r="W168" s="9"/>
      <c r="X168" s="9"/>
    </row>
    <row r="169" spans="1:24" ht="12.75">
      <c r="A169" s="12">
        <v>27334</v>
      </c>
      <c r="B169" s="26">
        <v>9.7200000000000006</v>
      </c>
      <c r="C169" s="27"/>
      <c r="D169" s="33">
        <v>783</v>
      </c>
      <c r="E169" s="41">
        <f>IF(Tabela1716[[#This Row],[Building Permits]]="",#N/A,((Tabela1716[[#This Row],[Building Permits]]*1)/D157)-1)</f>
        <v>-0.44151212553495012</v>
      </c>
      <c r="F169" s="33">
        <v>1075</v>
      </c>
      <c r="G169" s="41">
        <f>IF(Tabela1716[[#This Row],[Houses Under Construction]]="",#N/A,((Tabela1716[[#This Row],[Houses Under Construction]]*1)/F157)-1)</f>
        <v>-0.29369250985545337</v>
      </c>
      <c r="H169" s="33">
        <v>1026</v>
      </c>
      <c r="I169" s="33">
        <f>IF(Tabela1716[[#This Row],[Housing Starts]]="",#N/A,Tabela1716[[#This Row],[Housing Starts]]-H168)</f>
        <v>-44</v>
      </c>
      <c r="J169" s="41">
        <f>IF(Tabela1716[[#This Row],[Housing Starts]]="",#N/A,((Tabela1716[[#This Row],[Housing Starts]]*1)/H157)-1)</f>
        <v>-0.40487238979118334</v>
      </c>
      <c r="K169" s="26"/>
      <c r="L169" s="41"/>
      <c r="M169" s="27"/>
      <c r="N169" s="41"/>
      <c r="O169" s="33">
        <v>450</v>
      </c>
      <c r="P169" s="41">
        <f>IF(Tabela1716[[#This Row],[New House Sales]]="",#N/A,((Tabela1716[[#This Row],[New House Sales]]*1)/O168)-1)</f>
        <v>4.4642857142858094E-3</v>
      </c>
      <c r="Q169" s="41">
        <f>IF(Tabela1716[[#This Row],[New House Sales]]="",#N/A,((Tabela1716[[#This Row],[New House Sales]]*1)/O157)-1)</f>
        <v>-0.17733089579524675</v>
      </c>
      <c r="R169" s="27">
        <v>9.6999999999999993</v>
      </c>
      <c r="S169" s="86"/>
      <c r="T169" s="28"/>
      <c r="V169" s="38"/>
      <c r="W169" s="9"/>
      <c r="X169" s="9"/>
    </row>
    <row r="170" spans="1:24" ht="12.75">
      <c r="A170" s="12">
        <v>27364</v>
      </c>
      <c r="B170" s="26">
        <v>9.56</v>
      </c>
      <c r="C170" s="27"/>
      <c r="D170" s="33">
        <v>869</v>
      </c>
      <c r="E170" s="41">
        <f>IF(Tabela1716[[#This Row],[Building Permits]]="",#N/A,((Tabela1716[[#This Row],[Building Permits]]*1)/D158)-1)</f>
        <v>-0.3253105590062112</v>
      </c>
      <c r="F170" s="33">
        <v>1030</v>
      </c>
      <c r="G170" s="41">
        <f>IF(Tabela1716[[#This Row],[Houses Under Construction]]="",#N/A,((Tabela1716[[#This Row],[Houses Under Construction]]*1)/F158)-1)</f>
        <v>-0.31103678929765888</v>
      </c>
      <c r="H170" s="33">
        <v>975</v>
      </c>
      <c r="I170" s="33">
        <f>IF(Tabela1716[[#This Row],[Housing Starts]]="",#N/A,Tabela1716[[#This Row],[Housing Starts]]-H169)</f>
        <v>-51</v>
      </c>
      <c r="J170" s="41">
        <f>IF(Tabela1716[[#This Row],[Housing Starts]]="",#N/A,((Tabela1716[[#This Row],[Housing Starts]]*1)/H158)-1)</f>
        <v>-0.36107470511140238</v>
      </c>
      <c r="K170" s="26"/>
      <c r="L170" s="41"/>
      <c r="M170" s="27"/>
      <c r="N170" s="41"/>
      <c r="O170" s="33">
        <v>417</v>
      </c>
      <c r="P170" s="41">
        <f>IF(Tabela1716[[#This Row],[New House Sales]]="",#N/A,((Tabela1716[[#This Row],[New House Sales]]*1)/O169)-1)</f>
        <v>-7.3333333333333361E-2</v>
      </c>
      <c r="Q170" s="41">
        <f>IF(Tabela1716[[#This Row],[New House Sales]]="",#N/A,((Tabela1716[[#This Row],[New House Sales]]*1)/O158)-1)</f>
        <v>-0.19653179190751446</v>
      </c>
      <c r="R170" s="27">
        <v>10.3</v>
      </c>
      <c r="S170" s="86"/>
      <c r="T170" s="28"/>
      <c r="W170" s="9"/>
      <c r="X170" s="9"/>
    </row>
    <row r="171" spans="1:24" ht="12.75">
      <c r="A171" s="12">
        <v>27395</v>
      </c>
      <c r="B171" s="26">
        <v>9.2899999999999991</v>
      </c>
      <c r="C171" s="27"/>
      <c r="D171" s="33">
        <v>726</v>
      </c>
      <c r="E171" s="41">
        <f>IF(Tabela1716[[#This Row],[Building Permits]]="",#N/A,((Tabela1716[[#This Row],[Building Permits]]*1)/D159)-1)</f>
        <v>-0.45454545454545459</v>
      </c>
      <c r="F171" s="33">
        <v>990</v>
      </c>
      <c r="G171" s="41">
        <f>IF(Tabela1716[[#This Row],[Houses Under Construction]]="",#N/A,((Tabela1716[[#This Row],[Houses Under Construction]]*1)/F159)-1)</f>
        <v>-0.32423208191126285</v>
      </c>
      <c r="H171" s="33">
        <v>1032</v>
      </c>
      <c r="I171" s="33">
        <f>IF(Tabela1716[[#This Row],[Housing Starts]]="",#N/A,Tabela1716[[#This Row],[Housing Starts]]-H170)</f>
        <v>57</v>
      </c>
      <c r="J171" s="41">
        <f>IF(Tabela1716[[#This Row],[Housing Starts]]="",#N/A,((Tabela1716[[#This Row],[Housing Starts]]*1)/H159)-1)</f>
        <v>-0.2887663680220538</v>
      </c>
      <c r="K171" s="26"/>
      <c r="L171" s="41"/>
      <c r="M171" s="27"/>
      <c r="N171" s="41"/>
      <c r="O171" s="33">
        <v>416</v>
      </c>
      <c r="P171" s="41">
        <f>IF(Tabela1716[[#This Row],[New House Sales]]="",#N/A,((Tabela1716[[#This Row],[New House Sales]]*1)/O170)-1)</f>
        <v>-2.3980815347721673E-3</v>
      </c>
      <c r="Q171" s="41">
        <f>IF(Tabela1716[[#This Row],[New House Sales]]="",#N/A,((Tabela1716[[#This Row],[New House Sales]]*1)/O159)-1)</f>
        <v>-0.20458891013384317</v>
      </c>
      <c r="R171" s="27">
        <v>9.9</v>
      </c>
      <c r="S171" s="86"/>
      <c r="T171" s="28"/>
      <c r="V171" s="38"/>
      <c r="W171" s="9"/>
      <c r="X171" s="9"/>
    </row>
    <row r="172" spans="1:24" ht="12.75">
      <c r="A172" s="12">
        <v>27426</v>
      </c>
      <c r="B172" s="26">
        <v>9.02</v>
      </c>
      <c r="C172" s="27"/>
      <c r="D172" s="33">
        <v>729</v>
      </c>
      <c r="E172" s="41">
        <f>IF(Tabela1716[[#This Row],[Building Permits]]="",#N/A,((Tabela1716[[#This Row],[Building Permits]]*1)/D160)-1)</f>
        <v>-0.46397058823529413</v>
      </c>
      <c r="F172" s="33">
        <v>962</v>
      </c>
      <c r="G172" s="41">
        <f>IF(Tabela1716[[#This Row],[Houses Under Construction]]="",#N/A,((Tabela1716[[#This Row],[Houses Under Construction]]*1)/F160)-1)</f>
        <v>-0.34064427690198762</v>
      </c>
      <c r="H172" s="33">
        <v>904</v>
      </c>
      <c r="I172" s="33">
        <f>IF(Tabela1716[[#This Row],[Housing Starts]]="",#N/A,Tabela1716[[#This Row],[Housing Starts]]-H171)</f>
        <v>-128</v>
      </c>
      <c r="J172" s="41">
        <f>IF(Tabela1716[[#This Row],[Housing Starts]]="",#N/A,((Tabela1716[[#This Row],[Housing Starts]]*1)/H160)-1)</f>
        <v>-0.48401826484018262</v>
      </c>
      <c r="K172" s="26"/>
      <c r="L172" s="41"/>
      <c r="M172" s="27"/>
      <c r="N172" s="41"/>
      <c r="O172" s="33">
        <v>422</v>
      </c>
      <c r="P172" s="41">
        <f>IF(Tabela1716[[#This Row],[New House Sales]]="",#N/A,((Tabela1716[[#This Row],[New House Sales]]*1)/O171)-1)</f>
        <v>1.4423076923076872E-2</v>
      </c>
      <c r="Q172" s="41">
        <f>IF(Tabela1716[[#This Row],[New House Sales]]="",#N/A,((Tabela1716[[#This Row],[New House Sales]]*1)/O160)-1)</f>
        <v>-0.21706864564007422</v>
      </c>
      <c r="R172" s="27">
        <v>10.4</v>
      </c>
      <c r="S172" s="86"/>
      <c r="T172" s="28"/>
      <c r="W172" s="9"/>
      <c r="X172" s="9"/>
    </row>
    <row r="173" spans="1:24" ht="12.75">
      <c r="A173" s="12">
        <v>27454</v>
      </c>
      <c r="B173" s="26">
        <v>8.86</v>
      </c>
      <c r="C173" s="27"/>
      <c r="D173" s="33">
        <v>709</v>
      </c>
      <c r="E173" s="41">
        <f>IF(Tabela1716[[#This Row],[Building Permits]]="",#N/A,((Tabela1716[[#This Row],[Building Permits]]*1)/D161)-1)</f>
        <v>-0.50763888888888886</v>
      </c>
      <c r="F173" s="33">
        <v>924</v>
      </c>
      <c r="G173" s="41">
        <f>IF(Tabela1716[[#This Row],[Houses Under Construction]]="",#N/A,((Tabela1716[[#This Row],[Houses Under Construction]]*1)/F161)-1)</f>
        <v>-0.34745762711864403</v>
      </c>
      <c r="H173" s="33">
        <v>993</v>
      </c>
      <c r="I173" s="33">
        <f>IF(Tabela1716[[#This Row],[Housing Starts]]="",#N/A,Tabela1716[[#This Row],[Housing Starts]]-H172)</f>
        <v>89</v>
      </c>
      <c r="J173" s="41">
        <f>IF(Tabela1716[[#This Row],[Housing Starts]]="",#N/A,((Tabela1716[[#This Row],[Housing Starts]]*1)/H161)-1)</f>
        <v>-0.36141479099678453</v>
      </c>
      <c r="K173" s="26"/>
      <c r="L173" s="41"/>
      <c r="M173" s="27"/>
      <c r="N173" s="41"/>
      <c r="O173" s="33">
        <v>477</v>
      </c>
      <c r="P173" s="41">
        <f>IF(Tabela1716[[#This Row],[New House Sales]]="",#N/A,((Tabela1716[[#This Row],[New House Sales]]*1)/O172)-1)</f>
        <v>0.13033175355450233</v>
      </c>
      <c r="Q173" s="41">
        <f>IF(Tabela1716[[#This Row],[New House Sales]]="",#N/A,((Tabela1716[[#This Row],[New House Sales]]*1)/O161)-1)</f>
        <v>-0.16608391608391604</v>
      </c>
      <c r="R173" s="27">
        <v>8.9</v>
      </c>
      <c r="S173" s="86"/>
      <c r="T173" s="28"/>
      <c r="V173" s="38"/>
      <c r="W173" s="9"/>
      <c r="X173" s="9"/>
    </row>
    <row r="174" spans="1:24" ht="12.75">
      <c r="A174" s="12">
        <v>27485</v>
      </c>
      <c r="B174" s="26">
        <v>8.84</v>
      </c>
      <c r="C174" s="27"/>
      <c r="D174" s="33">
        <v>866</v>
      </c>
      <c r="E174" s="41">
        <f>IF(Tabela1716[[#This Row],[Building Permits]]="",#N/A,((Tabela1716[[#This Row],[Building Permits]]*1)/D162)-1)</f>
        <v>-0.3094098883572568</v>
      </c>
      <c r="F174" s="33">
        <v>895</v>
      </c>
      <c r="G174" s="41">
        <f>IF(Tabela1716[[#This Row],[Houses Under Construction]]="",#N/A,((Tabela1716[[#This Row],[Houses Under Construction]]*1)/F162)-1)</f>
        <v>-0.35611510791366907</v>
      </c>
      <c r="H174" s="33">
        <v>1005</v>
      </c>
      <c r="I174" s="33">
        <f>IF(Tabela1716[[#This Row],[Housing Starts]]="",#N/A,Tabela1716[[#This Row],[Housing Starts]]-H173)</f>
        <v>12</v>
      </c>
      <c r="J174" s="41">
        <f>IF(Tabela1716[[#This Row],[Housing Starts]]="",#N/A,((Tabela1716[[#This Row],[Housing Starts]]*1)/H162)-1)</f>
        <v>-0.37461107654013692</v>
      </c>
      <c r="K174" s="26"/>
      <c r="L174" s="41"/>
      <c r="M174" s="27"/>
      <c r="N174" s="41"/>
      <c r="O174" s="33">
        <v>543</v>
      </c>
      <c r="P174" s="41">
        <f>IF(Tabela1716[[#This Row],[New House Sales]]="",#N/A,((Tabela1716[[#This Row],[New House Sales]]*1)/O173)-1)</f>
        <v>0.13836477987421381</v>
      </c>
      <c r="Q174" s="41">
        <f>IF(Tabela1716[[#This Row],[New House Sales]]="",#N/A,((Tabela1716[[#This Row],[New House Sales]]*1)/O162)-1)</f>
        <v>-1.8382352941176405E-3</v>
      </c>
      <c r="R174" s="27">
        <v>7.2</v>
      </c>
      <c r="S174" s="86"/>
      <c r="T174" s="28"/>
      <c r="W174" s="9"/>
      <c r="X174" s="9"/>
    </row>
    <row r="175" spans="1:24" ht="12.75">
      <c r="A175" s="12">
        <v>27515</v>
      </c>
      <c r="B175" s="26">
        <v>8.89</v>
      </c>
      <c r="C175" s="27"/>
      <c r="D175" s="33">
        <v>914</v>
      </c>
      <c r="E175" s="41">
        <f>IF(Tabela1716[[#This Row],[Building Permits]]="",#N/A,((Tabela1716[[#This Row],[Building Permits]]*1)/D163)-1)</f>
        <v>-0.19683655536028122</v>
      </c>
      <c r="F175" s="33">
        <v>873</v>
      </c>
      <c r="G175" s="41">
        <f>IF(Tabela1716[[#This Row],[Houses Under Construction]]="",#N/A,((Tabela1716[[#This Row],[Houses Under Construction]]*1)/F163)-1)</f>
        <v>-0.35476718403547669</v>
      </c>
      <c r="H175" s="33">
        <v>1121</v>
      </c>
      <c r="I175" s="33">
        <f>IF(Tabela1716[[#This Row],[Housing Starts]]="",#N/A,Tabela1716[[#This Row],[Housing Starts]]-H174)</f>
        <v>116</v>
      </c>
      <c r="J175" s="41">
        <f>IF(Tabela1716[[#This Row],[Housing Starts]]="",#N/A,((Tabela1716[[#This Row],[Housing Starts]]*1)/H163)-1)</f>
        <v>-0.21388499298737729</v>
      </c>
      <c r="K175" s="26"/>
      <c r="L175" s="41"/>
      <c r="M175" s="27"/>
      <c r="N175" s="41"/>
      <c r="O175" s="33">
        <v>579</v>
      </c>
      <c r="P175" s="41">
        <f>IF(Tabela1716[[#This Row],[New House Sales]]="",#N/A,((Tabela1716[[#This Row],[New House Sales]]*1)/O174)-1)</f>
        <v>6.6298342541436517E-2</v>
      </c>
      <c r="Q175" s="41">
        <f>IF(Tabela1716[[#This Row],[New House Sales]]="",#N/A,((Tabela1716[[#This Row],[New House Sales]]*1)/O163)-1)</f>
        <v>-1.8644067796610209E-2</v>
      </c>
      <c r="R175" s="27">
        <v>6.8</v>
      </c>
      <c r="S175" s="86"/>
      <c r="T175" s="28"/>
      <c r="V175" s="38"/>
      <c r="W175" s="9"/>
      <c r="X175" s="9"/>
    </row>
    <row r="176" spans="1:24" ht="12.75">
      <c r="A176" s="12">
        <v>27546</v>
      </c>
      <c r="B176" s="26">
        <v>8.9</v>
      </c>
      <c r="C176" s="27"/>
      <c r="D176" s="33">
        <v>946</v>
      </c>
      <c r="E176" s="41">
        <f>IF(Tabela1716[[#This Row],[Building Permits]]="",#N/A,((Tabela1716[[#This Row],[Building Permits]]*1)/D164)-1)</f>
        <v>-0.12891344383057091</v>
      </c>
      <c r="F176" s="33">
        <v>854</v>
      </c>
      <c r="G176" s="41">
        <f>IF(Tabela1716[[#This Row],[Houses Under Construction]]="",#N/A,((Tabela1716[[#This Row],[Houses Under Construction]]*1)/F164)-1)</f>
        <v>-0.3535200605601817</v>
      </c>
      <c r="H176" s="33">
        <v>1087</v>
      </c>
      <c r="I176" s="33">
        <f>IF(Tabela1716[[#This Row],[Housing Starts]]="",#N/A,Tabela1716[[#This Row],[Housing Starts]]-H175)</f>
        <v>-34</v>
      </c>
      <c r="J176" s="41">
        <f>IF(Tabela1716[[#This Row],[Housing Starts]]="",#N/A,((Tabela1716[[#This Row],[Housing Starts]]*1)/H164)-1)</f>
        <v>-0.28155981493721083</v>
      </c>
      <c r="K176" s="26"/>
      <c r="L176" s="41"/>
      <c r="M176" s="27"/>
      <c r="N176" s="41"/>
      <c r="O176" s="33">
        <v>557</v>
      </c>
      <c r="P176" s="41">
        <f>IF(Tabela1716[[#This Row],[New House Sales]]="",#N/A,((Tabela1716[[#This Row],[New House Sales]]*1)/O175)-1)</f>
        <v>-3.7996545768566481E-2</v>
      </c>
      <c r="Q176" s="41">
        <f>IF(Tabela1716[[#This Row],[New House Sales]]="",#N/A,((Tabela1716[[#This Row],[New House Sales]]*1)/O164)-1)</f>
        <v>4.3071161048689133E-2</v>
      </c>
      <c r="R176" s="27">
        <v>7.2</v>
      </c>
      <c r="S176" s="86"/>
      <c r="T176" s="28"/>
      <c r="W176" s="9"/>
      <c r="X176" s="9"/>
    </row>
    <row r="177" spans="1:24" ht="12.75">
      <c r="A177" s="12">
        <v>27576</v>
      </c>
      <c r="B177" s="26">
        <v>8.89</v>
      </c>
      <c r="C177" s="27"/>
      <c r="D177" s="33">
        <v>1020</v>
      </c>
      <c r="E177" s="41">
        <f>IF(Tabela1716[[#This Row],[Building Permits]]="",#N/A,((Tabela1716[[#This Row],[Building Permits]]*1)/D165)-1)</f>
        <v>1.7964071856287456E-2</v>
      </c>
      <c r="F177" s="33">
        <v>850</v>
      </c>
      <c r="G177" s="41">
        <f>IF(Tabela1716[[#This Row],[Houses Under Construction]]="",#N/A,((Tabela1716[[#This Row],[Houses Under Construction]]*1)/F165)-1)</f>
        <v>-0.33385579937304077</v>
      </c>
      <c r="H177" s="33">
        <v>1226</v>
      </c>
      <c r="I177" s="33">
        <f>IF(Tabela1716[[#This Row],[Housing Starts]]="",#N/A,Tabela1716[[#This Row],[Housing Starts]]-H176)</f>
        <v>139</v>
      </c>
      <c r="J177" s="41">
        <f>IF(Tabela1716[[#This Row],[Housing Starts]]="",#N/A,((Tabela1716[[#This Row],[Housing Starts]]*1)/H165)-1)</f>
        <v>-6.8389057750759874E-2</v>
      </c>
      <c r="K177" s="26"/>
      <c r="L177" s="41"/>
      <c r="M177" s="27"/>
      <c r="N177" s="41"/>
      <c r="O177" s="33">
        <v>569</v>
      </c>
      <c r="P177" s="41">
        <f>IF(Tabela1716[[#This Row],[New House Sales]]="",#N/A,((Tabela1716[[#This Row],[New House Sales]]*1)/O176)-1)</f>
        <v>2.1543985637342944E-2</v>
      </c>
      <c r="Q177" s="41">
        <f>IF(Tabela1716[[#This Row],[New House Sales]]="",#N/A,((Tabela1716[[#This Row],[New House Sales]]*1)/O165)-1)</f>
        <v>6.5543071161048738E-2</v>
      </c>
      <c r="R177" s="27">
        <v>7</v>
      </c>
      <c r="S177" s="86"/>
      <c r="T177" s="28"/>
      <c r="V177" s="38"/>
      <c r="W177" s="9"/>
      <c r="X177" s="9"/>
    </row>
    <row r="178" spans="1:24" ht="12.75">
      <c r="A178" s="12">
        <v>27607</v>
      </c>
      <c r="B178" s="26">
        <v>9.02</v>
      </c>
      <c r="C178" s="27"/>
      <c r="D178" s="33">
        <v>994</v>
      </c>
      <c r="E178" s="41">
        <f>IF(Tabela1716[[#This Row],[Building Permits]]="",#N/A,((Tabela1716[[#This Row],[Building Permits]]*1)/D166)-1)</f>
        <v>8.3969465648854991E-2</v>
      </c>
      <c r="F178" s="33">
        <v>843</v>
      </c>
      <c r="G178" s="41">
        <f>IF(Tabela1716[[#This Row],[Houses Under Construction]]="",#N/A,((Tabela1716[[#This Row],[Houses Under Construction]]*1)/F166)-1)</f>
        <v>-0.31463414634146336</v>
      </c>
      <c r="H178" s="33">
        <v>1260</v>
      </c>
      <c r="I178" s="33">
        <f>IF(Tabela1716[[#This Row],[Housing Starts]]="",#N/A,Tabela1716[[#This Row],[Housing Starts]]-H177)</f>
        <v>34</v>
      </c>
      <c r="J178" s="41">
        <f>IF(Tabela1716[[#This Row],[Housing Starts]]="",#N/A,((Tabela1716[[#This Row],[Housing Starts]]*1)/H166)-1)</f>
        <v>0.10332749562171628</v>
      </c>
      <c r="K178" s="26"/>
      <c r="L178" s="41"/>
      <c r="M178" s="27"/>
      <c r="N178" s="41"/>
      <c r="O178" s="33">
        <v>566</v>
      </c>
      <c r="P178" s="41">
        <f>IF(Tabela1716[[#This Row],[New House Sales]]="",#N/A,((Tabela1716[[#This Row],[New House Sales]]*1)/O177)-1)</f>
        <v>-5.2724077328646368E-3</v>
      </c>
      <c r="Q178" s="41">
        <f>IF(Tabela1716[[#This Row],[New House Sales]]="",#N/A,((Tabela1716[[#This Row],[New House Sales]]*1)/O166)-1)</f>
        <v>0.15040650406504064</v>
      </c>
      <c r="R178" s="27">
        <v>6.8</v>
      </c>
      <c r="S178" s="86"/>
      <c r="T178" s="28"/>
      <c r="W178" s="9"/>
      <c r="X178" s="9"/>
    </row>
    <row r="179" spans="1:24" ht="12.75">
      <c r="A179" s="12">
        <v>27638</v>
      </c>
      <c r="B179" s="26">
        <v>9.14</v>
      </c>
      <c r="C179" s="27"/>
      <c r="D179" s="33">
        <v>1064</v>
      </c>
      <c r="E179" s="41">
        <f>IF(Tabela1716[[#This Row],[Building Permits]]="",#N/A,((Tabela1716[[#This Row],[Building Permits]]*1)/D167)-1)</f>
        <v>0.26666666666666661</v>
      </c>
      <c r="F179" s="33">
        <v>835</v>
      </c>
      <c r="G179" s="41">
        <f>IF(Tabela1716[[#This Row],[Houses Under Construction]]="",#N/A,((Tabela1716[[#This Row],[Houses Under Construction]]*1)/F167)-1)</f>
        <v>-0.29177268871925366</v>
      </c>
      <c r="H179" s="33">
        <v>1264</v>
      </c>
      <c r="I179" s="33">
        <f>IF(Tabela1716[[#This Row],[Housing Starts]]="",#N/A,Tabela1716[[#This Row],[Housing Starts]]-H178)</f>
        <v>4</v>
      </c>
      <c r="J179" s="41">
        <f>IF(Tabela1716[[#This Row],[Housing Starts]]="",#N/A,((Tabela1716[[#This Row],[Housing Starts]]*1)/H167)-1)</f>
        <v>9.9130434782608745E-2</v>
      </c>
      <c r="K179" s="26"/>
      <c r="L179" s="41"/>
      <c r="M179" s="27"/>
      <c r="N179" s="41"/>
      <c r="O179" s="33">
        <v>556</v>
      </c>
      <c r="P179" s="41">
        <f>IF(Tabela1716[[#This Row],[New House Sales]]="",#N/A,((Tabela1716[[#This Row],[New House Sales]]*1)/O178)-1)</f>
        <v>-1.7667844522968212E-2</v>
      </c>
      <c r="Q179" s="41">
        <f>IF(Tabela1716[[#This Row],[New House Sales]]="",#N/A,((Tabela1716[[#This Row],[New House Sales]]*1)/O167)-1)</f>
        <v>8.8062622309197591E-2</v>
      </c>
      <c r="R179" s="27">
        <v>7.3</v>
      </c>
      <c r="S179" s="86"/>
      <c r="T179" s="28"/>
      <c r="V179" s="38"/>
      <c r="W179" s="9"/>
      <c r="X179" s="9"/>
    </row>
    <row r="180" spans="1:24" ht="12.75">
      <c r="A180" s="12">
        <v>27668</v>
      </c>
      <c r="B180" s="26">
        <v>9.24</v>
      </c>
      <c r="C180" s="27"/>
      <c r="D180" s="33">
        <v>1096</v>
      </c>
      <c r="E180" s="41">
        <f>IF(Tabela1716[[#This Row],[Building Permits]]="",#N/A,((Tabela1716[[#This Row],[Building Permits]]*1)/D168)-1)</f>
        <v>0.33009708737864085</v>
      </c>
      <c r="F180" s="33">
        <v>843</v>
      </c>
      <c r="G180" s="41">
        <f>IF(Tabela1716[[#This Row],[Houses Under Construction]]="",#N/A,((Tabela1716[[#This Row],[Houses Under Construction]]*1)/F168)-1)</f>
        <v>-0.25332152347209924</v>
      </c>
      <c r="H180" s="33">
        <v>1344</v>
      </c>
      <c r="I180" s="33">
        <f>IF(Tabela1716[[#This Row],[Housing Starts]]="",#N/A,Tabela1716[[#This Row],[Housing Starts]]-H179)</f>
        <v>80</v>
      </c>
      <c r="J180" s="41">
        <f>IF(Tabela1716[[#This Row],[Housing Starts]]="",#N/A,((Tabela1716[[#This Row],[Housing Starts]]*1)/H168)-1)</f>
        <v>0.25607476635514015</v>
      </c>
      <c r="K180" s="26"/>
      <c r="L180" s="41"/>
      <c r="M180" s="27"/>
      <c r="N180" s="41"/>
      <c r="O180" s="33">
        <v>609</v>
      </c>
      <c r="P180" s="41">
        <f>IF(Tabela1716[[#This Row],[New House Sales]]="",#N/A,((Tabela1716[[#This Row],[New House Sales]]*1)/O179)-1)</f>
        <v>9.5323741007194318E-2</v>
      </c>
      <c r="Q180" s="41">
        <f>IF(Tabela1716[[#This Row],[New House Sales]]="",#N/A,((Tabela1716[[#This Row],[New House Sales]]*1)/O168)-1)</f>
        <v>0.359375</v>
      </c>
      <c r="R180" s="27">
        <v>6.6</v>
      </c>
      <c r="S180" s="86"/>
      <c r="T180" s="28"/>
      <c r="W180" s="9"/>
      <c r="X180" s="9"/>
    </row>
    <row r="181" spans="1:24" ht="12.75">
      <c r="A181" s="12">
        <v>27699</v>
      </c>
      <c r="B181" s="26">
        <v>9.11</v>
      </c>
      <c r="C181" s="27"/>
      <c r="D181" s="33">
        <v>1110</v>
      </c>
      <c r="E181" s="41">
        <f>IF(Tabela1716[[#This Row],[Building Permits]]="",#N/A,((Tabela1716[[#This Row],[Building Permits]]*1)/D169)-1)</f>
        <v>0.41762452107279691</v>
      </c>
      <c r="F181" s="33">
        <v>828</v>
      </c>
      <c r="G181" s="41">
        <f>IF(Tabela1716[[#This Row],[Houses Under Construction]]="",#N/A,((Tabela1716[[#This Row],[Houses Under Construction]]*1)/F169)-1)</f>
        <v>-0.22976744186046516</v>
      </c>
      <c r="H181" s="33">
        <v>1360</v>
      </c>
      <c r="I181" s="33">
        <f>IF(Tabela1716[[#This Row],[Housing Starts]]="",#N/A,Tabela1716[[#This Row],[Housing Starts]]-H180)</f>
        <v>16</v>
      </c>
      <c r="J181" s="41">
        <f>IF(Tabela1716[[#This Row],[Housing Starts]]="",#N/A,((Tabela1716[[#This Row],[Housing Starts]]*1)/H169)-1)</f>
        <v>0.32553606237816757</v>
      </c>
      <c r="K181" s="26"/>
      <c r="L181" s="41"/>
      <c r="M181" s="27"/>
      <c r="N181" s="41"/>
      <c r="O181" s="33">
        <v>680</v>
      </c>
      <c r="P181" s="41">
        <f>IF(Tabela1716[[#This Row],[New House Sales]]="",#N/A,((Tabela1716[[#This Row],[New House Sales]]*1)/O180)-1)</f>
        <v>0.1165845648604269</v>
      </c>
      <c r="Q181" s="41">
        <f>IF(Tabela1716[[#This Row],[New House Sales]]="",#N/A,((Tabela1716[[#This Row],[New House Sales]]*1)/O169)-1)</f>
        <v>0.51111111111111107</v>
      </c>
      <c r="R181" s="27">
        <v>5.8</v>
      </c>
      <c r="S181" s="86"/>
      <c r="T181" s="28"/>
      <c r="V181" s="38"/>
      <c r="W181" s="9"/>
      <c r="X181" s="9"/>
    </row>
    <row r="182" spans="1:24" ht="12.75">
      <c r="A182" s="12">
        <v>27729</v>
      </c>
      <c r="B182" s="26">
        <v>9.09</v>
      </c>
      <c r="C182" s="27"/>
      <c r="D182" s="33">
        <v>1091</v>
      </c>
      <c r="E182" s="41">
        <f>IF(Tabela1716[[#This Row],[Building Permits]]="",#N/A,((Tabela1716[[#This Row],[Building Permits]]*1)/D170)-1)</f>
        <v>0.25546605293440727</v>
      </c>
      <c r="F182" s="33">
        <v>820</v>
      </c>
      <c r="G182" s="41">
        <f>IF(Tabela1716[[#This Row],[Houses Under Construction]]="",#N/A,((Tabela1716[[#This Row],[Houses Under Construction]]*1)/F170)-1)</f>
        <v>-0.20388349514563109</v>
      </c>
      <c r="H182" s="33">
        <v>1321</v>
      </c>
      <c r="I182" s="33">
        <f>IF(Tabela1716[[#This Row],[Housing Starts]]="",#N/A,Tabela1716[[#This Row],[Housing Starts]]-H181)</f>
        <v>-39</v>
      </c>
      <c r="J182" s="41">
        <f>IF(Tabela1716[[#This Row],[Housing Starts]]="",#N/A,((Tabela1716[[#This Row],[Housing Starts]]*1)/H170)-1)</f>
        <v>0.35487179487179477</v>
      </c>
      <c r="K182" s="26"/>
      <c r="L182" s="41"/>
      <c r="M182" s="27"/>
      <c r="N182" s="41"/>
      <c r="O182" s="33">
        <v>669</v>
      </c>
      <c r="P182" s="41">
        <f>IF(Tabela1716[[#This Row],[New House Sales]]="",#N/A,((Tabela1716[[#This Row],[New House Sales]]*1)/O181)-1)</f>
        <v>-1.6176470588235348E-2</v>
      </c>
      <c r="Q182" s="41">
        <f>IF(Tabela1716[[#This Row],[New House Sales]]="",#N/A,((Tabela1716[[#This Row],[New House Sales]]*1)/O170)-1)</f>
        <v>0.60431654676258995</v>
      </c>
      <c r="R182" s="27">
        <v>5.8</v>
      </c>
      <c r="S182" s="86"/>
      <c r="T182" s="28"/>
      <c r="W182" s="9"/>
      <c r="X182" s="9"/>
    </row>
    <row r="183" spans="1:24" ht="12.75">
      <c r="A183" s="12">
        <v>27760</v>
      </c>
      <c r="B183" s="26">
        <v>8.9</v>
      </c>
      <c r="C183" s="27"/>
      <c r="D183" s="33">
        <v>1195</v>
      </c>
      <c r="E183" s="41">
        <f>IF(Tabela1716[[#This Row],[Building Permits]]="",#N/A,((Tabela1716[[#This Row],[Building Permits]]*1)/D171)-1)</f>
        <v>0.64600550964187331</v>
      </c>
      <c r="F183" s="33">
        <v>827</v>
      </c>
      <c r="G183" s="41">
        <f>IF(Tabela1716[[#This Row],[Houses Under Construction]]="",#N/A,((Tabela1716[[#This Row],[Houses Under Construction]]*1)/F171)-1)</f>
        <v>-0.1646464646464646</v>
      </c>
      <c r="H183" s="33">
        <v>1367</v>
      </c>
      <c r="I183" s="33">
        <f>IF(Tabela1716[[#This Row],[Housing Starts]]="",#N/A,Tabela1716[[#This Row],[Housing Starts]]-H182)</f>
        <v>46</v>
      </c>
      <c r="J183" s="41">
        <f>IF(Tabela1716[[#This Row],[Housing Starts]]="",#N/A,((Tabela1716[[#This Row],[Housing Starts]]*1)/H171)-1)</f>
        <v>0.3246124031007751</v>
      </c>
      <c r="K183" s="26"/>
      <c r="L183" s="41"/>
      <c r="M183" s="27"/>
      <c r="N183" s="41"/>
      <c r="O183" s="33">
        <v>603</v>
      </c>
      <c r="P183" s="41">
        <f>IF(Tabela1716[[#This Row],[New House Sales]]="",#N/A,((Tabela1716[[#This Row],[New House Sales]]*1)/O182)-1)</f>
        <v>-9.8654708520179324E-2</v>
      </c>
      <c r="Q183" s="41">
        <f>IF(Tabela1716[[#This Row],[New House Sales]]="",#N/A,((Tabela1716[[#This Row],[New House Sales]]*1)/O171)-1)</f>
        <v>0.44951923076923084</v>
      </c>
      <c r="R183" s="27">
        <v>6.4</v>
      </c>
      <c r="S183" s="86"/>
      <c r="T183" s="28"/>
      <c r="V183" s="38"/>
      <c r="W183" s="9"/>
      <c r="X183" s="9"/>
    </row>
    <row r="184" spans="1:24" ht="12.75">
      <c r="A184" s="12">
        <v>27791</v>
      </c>
      <c r="B184" s="26">
        <v>8.75</v>
      </c>
      <c r="C184" s="27"/>
      <c r="D184" s="33">
        <v>1190</v>
      </c>
      <c r="E184" s="41">
        <f>IF(Tabela1716[[#This Row],[Building Permits]]="",#N/A,((Tabela1716[[#This Row],[Building Permits]]*1)/D172)-1)</f>
        <v>0.63237311385459538</v>
      </c>
      <c r="F184" s="33">
        <v>812</v>
      </c>
      <c r="G184" s="41">
        <f>IF(Tabela1716[[#This Row],[Houses Under Construction]]="",#N/A,((Tabela1716[[#This Row],[Houses Under Construction]]*1)/F172)-1)</f>
        <v>-0.15592515592515588</v>
      </c>
      <c r="H184" s="33">
        <v>1538</v>
      </c>
      <c r="I184" s="33">
        <f>IF(Tabela1716[[#This Row],[Housing Starts]]="",#N/A,Tabela1716[[#This Row],[Housing Starts]]-H183)</f>
        <v>171</v>
      </c>
      <c r="J184" s="41">
        <f>IF(Tabela1716[[#This Row],[Housing Starts]]="",#N/A,((Tabela1716[[#This Row],[Housing Starts]]*1)/H172)-1)</f>
        <v>0.70132743362831862</v>
      </c>
      <c r="K184" s="26"/>
      <c r="L184" s="41"/>
      <c r="M184" s="27"/>
      <c r="N184" s="41"/>
      <c r="O184" s="33">
        <v>644</v>
      </c>
      <c r="P184" s="41">
        <f>IF(Tabela1716[[#This Row],[New House Sales]]="",#N/A,((Tabela1716[[#This Row],[New House Sales]]*1)/O183)-1)</f>
        <v>6.7993366500829211E-2</v>
      </c>
      <c r="Q184" s="41">
        <f>IF(Tabela1716[[#This Row],[New House Sales]]="",#N/A,((Tabela1716[[#This Row],[New House Sales]]*1)/O172)-1)</f>
        <v>0.52606635071090047</v>
      </c>
      <c r="R184" s="27">
        <v>5.9</v>
      </c>
      <c r="S184" s="86"/>
      <c r="T184" s="28"/>
      <c r="W184" s="9"/>
      <c r="X184" s="9"/>
    </row>
    <row r="185" spans="1:24" ht="12.75">
      <c r="A185" s="12">
        <v>27820</v>
      </c>
      <c r="B185" s="26">
        <v>8.75</v>
      </c>
      <c r="C185" s="27"/>
      <c r="D185" s="33">
        <v>1164</v>
      </c>
      <c r="E185" s="41">
        <f>IF(Tabela1716[[#This Row],[Building Permits]]="",#N/A,((Tabela1716[[#This Row],[Building Permits]]*1)/D173)-1)</f>
        <v>0.64174894217207323</v>
      </c>
      <c r="F185" s="33">
        <v>840</v>
      </c>
      <c r="G185" s="41">
        <f>IF(Tabela1716[[#This Row],[Houses Under Construction]]="",#N/A,((Tabela1716[[#This Row],[Houses Under Construction]]*1)/F173)-1)</f>
        <v>-9.0909090909090939E-2</v>
      </c>
      <c r="H185" s="33">
        <v>1421</v>
      </c>
      <c r="I185" s="33">
        <f>IF(Tabela1716[[#This Row],[Housing Starts]]="",#N/A,Tabela1716[[#This Row],[Housing Starts]]-H184)</f>
        <v>-117</v>
      </c>
      <c r="J185" s="41">
        <f>IF(Tabela1716[[#This Row],[Housing Starts]]="",#N/A,((Tabela1716[[#This Row],[Housing Starts]]*1)/H173)-1)</f>
        <v>0.43101711983887214</v>
      </c>
      <c r="K185" s="26"/>
      <c r="L185" s="41"/>
      <c r="M185" s="27"/>
      <c r="N185" s="41"/>
      <c r="O185" s="33">
        <v>591</v>
      </c>
      <c r="P185" s="41">
        <f>IF(Tabela1716[[#This Row],[New House Sales]]="",#N/A,((Tabela1716[[#This Row],[New House Sales]]*1)/O184)-1)</f>
        <v>-8.2298136645962749E-2</v>
      </c>
      <c r="Q185" s="41">
        <f>IF(Tabela1716[[#This Row],[New House Sales]]="",#N/A,((Tabela1716[[#This Row],[New House Sales]]*1)/O173)-1)</f>
        <v>0.23899371069182385</v>
      </c>
      <c r="R185" s="27">
        <v>6.8</v>
      </c>
      <c r="S185" s="86"/>
      <c r="T185" s="28"/>
      <c r="V185" s="38"/>
      <c r="W185" s="9"/>
      <c r="X185" s="9"/>
    </row>
    <row r="186" spans="1:24" ht="12.75">
      <c r="A186" s="12">
        <v>27851</v>
      </c>
      <c r="B186" s="26">
        <v>8.75</v>
      </c>
      <c r="C186" s="27"/>
      <c r="D186" s="33">
        <v>1132</v>
      </c>
      <c r="E186" s="41">
        <f>IF(Tabela1716[[#This Row],[Building Permits]]="",#N/A,((Tabela1716[[#This Row],[Building Permits]]*1)/D174)-1)</f>
        <v>0.30715935334872979</v>
      </c>
      <c r="F186" s="33">
        <v>843</v>
      </c>
      <c r="G186" s="41">
        <f>IF(Tabela1716[[#This Row],[Houses Under Construction]]="",#N/A,((Tabela1716[[#This Row],[Houses Under Construction]]*1)/F174)-1)</f>
        <v>-5.8100558659217927E-2</v>
      </c>
      <c r="H186" s="33">
        <v>1395</v>
      </c>
      <c r="I186" s="33">
        <f>IF(Tabela1716[[#This Row],[Housing Starts]]="",#N/A,Tabela1716[[#This Row],[Housing Starts]]-H185)</f>
        <v>-26</v>
      </c>
      <c r="J186" s="41">
        <f>IF(Tabela1716[[#This Row],[Housing Starts]]="",#N/A,((Tabela1716[[#This Row],[Housing Starts]]*1)/H174)-1)</f>
        <v>0.38805970149253732</v>
      </c>
      <c r="K186" s="26"/>
      <c r="L186" s="41"/>
      <c r="M186" s="27"/>
      <c r="N186" s="41"/>
      <c r="O186" s="33">
        <v>611</v>
      </c>
      <c r="P186" s="41">
        <f>IF(Tabela1716[[#This Row],[New House Sales]]="",#N/A,((Tabela1716[[#This Row],[New House Sales]]*1)/O185)-1)</f>
        <v>3.384094754653133E-2</v>
      </c>
      <c r="Q186" s="41">
        <f>IF(Tabela1716[[#This Row],[New House Sales]]="",#N/A,((Tabela1716[[#This Row],[New House Sales]]*1)/O174)-1)</f>
        <v>0.12523020257826878</v>
      </c>
      <c r="R186" s="27">
        <v>6.4</v>
      </c>
      <c r="S186" s="86"/>
      <c r="T186" s="28"/>
      <c r="W186" s="9"/>
      <c r="X186" s="9"/>
    </row>
    <row r="187" spans="1:24" ht="12.75">
      <c r="A187" s="12">
        <v>27881</v>
      </c>
      <c r="B187" s="26">
        <v>8.7799999999999994</v>
      </c>
      <c r="C187" s="27"/>
      <c r="D187" s="33">
        <v>1194</v>
      </c>
      <c r="E187" s="41">
        <f>IF(Tabela1716[[#This Row],[Building Permits]]="",#N/A,((Tabela1716[[#This Row],[Building Permits]]*1)/D175)-1)</f>
        <v>0.30634573304157553</v>
      </c>
      <c r="F187" s="33">
        <v>844</v>
      </c>
      <c r="G187" s="41">
        <f>IF(Tabela1716[[#This Row],[Houses Under Construction]]="",#N/A,((Tabela1716[[#This Row],[Houses Under Construction]]*1)/F175)-1)</f>
        <v>-3.3218785796105377E-2</v>
      </c>
      <c r="H187" s="33">
        <v>1459</v>
      </c>
      <c r="I187" s="33">
        <f>IF(Tabela1716[[#This Row],[Housing Starts]]="",#N/A,Tabela1716[[#This Row],[Housing Starts]]-H186)</f>
        <v>64</v>
      </c>
      <c r="J187" s="41">
        <f>IF(Tabela1716[[#This Row],[Housing Starts]]="",#N/A,((Tabela1716[[#This Row],[Housing Starts]]*1)/H175)-1)</f>
        <v>0.30151650312221223</v>
      </c>
      <c r="K187" s="26"/>
      <c r="L187" s="41"/>
      <c r="M187" s="27"/>
      <c r="N187" s="41"/>
      <c r="O187" s="33">
        <v>570</v>
      </c>
      <c r="P187" s="41">
        <f>IF(Tabela1716[[#This Row],[New House Sales]]="",#N/A,((Tabela1716[[#This Row],[New House Sales]]*1)/O186)-1)</f>
        <v>-6.7103109656301174E-2</v>
      </c>
      <c r="Q187" s="41">
        <f>IF(Tabela1716[[#This Row],[New House Sales]]="",#N/A,((Tabela1716[[#This Row],[New House Sales]]*1)/O175)-1)</f>
        <v>-1.5544041450777257E-2</v>
      </c>
      <c r="R187" s="27">
        <v>7</v>
      </c>
      <c r="S187" s="86"/>
      <c r="T187" s="28"/>
      <c r="V187" s="38"/>
      <c r="W187" s="9"/>
      <c r="X187" s="9"/>
    </row>
    <row r="188" spans="1:24" ht="12.75">
      <c r="A188" s="12">
        <v>27912</v>
      </c>
      <c r="B188" s="26">
        <v>8.9</v>
      </c>
      <c r="C188" s="27"/>
      <c r="D188" s="33">
        <v>1188</v>
      </c>
      <c r="E188" s="41">
        <f>IF(Tabela1716[[#This Row],[Building Permits]]="",#N/A,((Tabela1716[[#This Row],[Building Permits]]*1)/D176)-1)</f>
        <v>0.2558139534883721</v>
      </c>
      <c r="F188" s="33">
        <v>856</v>
      </c>
      <c r="G188" s="41">
        <f>IF(Tabela1716[[#This Row],[Houses Under Construction]]="",#N/A,((Tabela1716[[#This Row],[Houses Under Construction]]*1)/F176)-1)</f>
        <v>2.3419203747072626E-3</v>
      </c>
      <c r="H188" s="33">
        <v>1495</v>
      </c>
      <c r="I188" s="33">
        <f>IF(Tabela1716[[#This Row],[Housing Starts]]="",#N/A,Tabela1716[[#This Row],[Housing Starts]]-H187)</f>
        <v>36</v>
      </c>
      <c r="J188" s="41">
        <f>IF(Tabela1716[[#This Row],[Housing Starts]]="",#N/A,((Tabela1716[[#This Row],[Housing Starts]]*1)/H176)-1)</f>
        <v>0.37534498620055201</v>
      </c>
      <c r="K188" s="26"/>
      <c r="L188" s="41"/>
      <c r="M188" s="27"/>
      <c r="N188" s="41"/>
      <c r="O188" s="33">
        <v>591</v>
      </c>
      <c r="P188" s="41">
        <f>IF(Tabela1716[[#This Row],[New House Sales]]="",#N/A,((Tabela1716[[#This Row],[New House Sales]]*1)/O187)-1)</f>
        <v>3.6842105263157787E-2</v>
      </c>
      <c r="Q188" s="41">
        <f>IF(Tabela1716[[#This Row],[New House Sales]]="",#N/A,((Tabela1716[[#This Row],[New House Sales]]*1)/O176)-1)</f>
        <v>6.1041292639138156E-2</v>
      </c>
      <c r="R188" s="27">
        <v>6.9</v>
      </c>
      <c r="S188" s="86"/>
      <c r="T188" s="28"/>
      <c r="W188" s="9"/>
      <c r="X188" s="9"/>
    </row>
    <row r="189" spans="1:24" ht="12.75">
      <c r="A189" s="12">
        <v>27942</v>
      </c>
      <c r="B189" s="26">
        <v>8.98</v>
      </c>
      <c r="C189" s="27"/>
      <c r="D189" s="33">
        <v>1245</v>
      </c>
      <c r="E189" s="41">
        <f>IF(Tabela1716[[#This Row],[Building Permits]]="",#N/A,((Tabela1716[[#This Row],[Building Permits]]*1)/D177)-1)</f>
        <v>0.22058823529411775</v>
      </c>
      <c r="F189" s="33">
        <v>858</v>
      </c>
      <c r="G189" s="41">
        <f>IF(Tabela1716[[#This Row],[Houses Under Construction]]="",#N/A,((Tabela1716[[#This Row],[Houses Under Construction]]*1)/F177)-1)</f>
        <v>9.4117647058824527E-3</v>
      </c>
      <c r="H189" s="33">
        <v>1401</v>
      </c>
      <c r="I189" s="33">
        <f>IF(Tabela1716[[#This Row],[Housing Starts]]="",#N/A,Tabela1716[[#This Row],[Housing Starts]]-H188)</f>
        <v>-94</v>
      </c>
      <c r="J189" s="41">
        <f>IF(Tabela1716[[#This Row],[Housing Starts]]="",#N/A,((Tabela1716[[#This Row],[Housing Starts]]*1)/H177)-1)</f>
        <v>0.14274061990212061</v>
      </c>
      <c r="K189" s="26"/>
      <c r="L189" s="41"/>
      <c r="M189" s="27"/>
      <c r="N189" s="41"/>
      <c r="O189" s="33">
        <v>664</v>
      </c>
      <c r="P189" s="41">
        <f>IF(Tabela1716[[#This Row],[New House Sales]]="",#N/A,((Tabela1716[[#This Row],[New House Sales]]*1)/O188)-1)</f>
        <v>0.12351945854483914</v>
      </c>
      <c r="Q189" s="41">
        <f>IF(Tabela1716[[#This Row],[New House Sales]]="",#N/A,((Tabela1716[[#This Row],[New House Sales]]*1)/O177)-1)</f>
        <v>0.16695957820738139</v>
      </c>
      <c r="R189" s="27">
        <v>6.4</v>
      </c>
      <c r="S189" s="86"/>
      <c r="T189" s="28"/>
      <c r="V189" s="38"/>
      <c r="W189" s="9"/>
      <c r="X189" s="9"/>
    </row>
    <row r="190" spans="1:24" ht="12.75">
      <c r="A190" s="12">
        <v>27973</v>
      </c>
      <c r="B190" s="26">
        <v>9</v>
      </c>
      <c r="C190" s="27"/>
      <c r="D190" s="33">
        <v>1309</v>
      </c>
      <c r="E190" s="41">
        <f>IF(Tabela1716[[#This Row],[Building Permits]]="",#N/A,((Tabela1716[[#This Row],[Building Permits]]*1)/D178)-1)</f>
        <v>0.31690140845070425</v>
      </c>
      <c r="F190" s="33">
        <v>869</v>
      </c>
      <c r="G190" s="41">
        <f>IF(Tabela1716[[#This Row],[Houses Under Construction]]="",#N/A,((Tabela1716[[#This Row],[Houses Under Construction]]*1)/F178)-1)</f>
        <v>3.0842230130486259E-2</v>
      </c>
      <c r="H190" s="33">
        <v>1550</v>
      </c>
      <c r="I190" s="33">
        <f>IF(Tabela1716[[#This Row],[Housing Starts]]="",#N/A,Tabela1716[[#This Row],[Housing Starts]]-H189)</f>
        <v>149</v>
      </c>
      <c r="J190" s="41">
        <f>IF(Tabela1716[[#This Row],[Housing Starts]]="",#N/A,((Tabela1716[[#This Row],[Housing Starts]]*1)/H178)-1)</f>
        <v>0.23015873015873023</v>
      </c>
      <c r="K190" s="26"/>
      <c r="L190" s="41"/>
      <c r="M190" s="27"/>
      <c r="N190" s="41"/>
      <c r="O190" s="33">
        <v>648</v>
      </c>
      <c r="P190" s="41">
        <f>IF(Tabela1716[[#This Row],[New House Sales]]="",#N/A,((Tabela1716[[#This Row],[New House Sales]]*1)/O189)-1)</f>
        <v>-2.4096385542168641E-2</v>
      </c>
      <c r="Q190" s="41">
        <f>IF(Tabela1716[[#This Row],[New House Sales]]="",#N/A,((Tabela1716[[#This Row],[New House Sales]]*1)/O178)-1)</f>
        <v>0.14487632508833914</v>
      </c>
      <c r="R190" s="27">
        <v>6.2</v>
      </c>
      <c r="S190" s="86"/>
      <c r="T190" s="28"/>
      <c r="W190" s="9"/>
      <c r="X190" s="9"/>
    </row>
    <row r="191" spans="1:24" ht="12.75">
      <c r="A191" s="12">
        <v>28004</v>
      </c>
      <c r="B191" s="26">
        <v>8.9700000000000006</v>
      </c>
      <c r="C191" s="27"/>
      <c r="D191" s="33">
        <v>1481</v>
      </c>
      <c r="E191" s="41">
        <f>IF(Tabela1716[[#This Row],[Building Permits]]="",#N/A,((Tabela1716[[#This Row],[Building Permits]]*1)/D179)-1)</f>
        <v>0.39191729323308278</v>
      </c>
      <c r="F191" s="33">
        <v>895</v>
      </c>
      <c r="G191" s="41">
        <f>IF(Tabela1716[[#This Row],[Houses Under Construction]]="",#N/A,((Tabela1716[[#This Row],[Houses Under Construction]]*1)/F179)-1)</f>
        <v>7.1856287425149601E-2</v>
      </c>
      <c r="H191" s="33">
        <v>1720</v>
      </c>
      <c r="I191" s="33">
        <f>IF(Tabela1716[[#This Row],[Housing Starts]]="",#N/A,Tabela1716[[#This Row],[Housing Starts]]-H190)</f>
        <v>170</v>
      </c>
      <c r="J191" s="41">
        <f>IF(Tabela1716[[#This Row],[Housing Starts]]="",#N/A,((Tabela1716[[#This Row],[Housing Starts]]*1)/H179)-1)</f>
        <v>0.360759493670886</v>
      </c>
      <c r="K191" s="26"/>
      <c r="L191" s="41"/>
      <c r="M191" s="27"/>
      <c r="N191" s="41"/>
      <c r="O191" s="33">
        <v>696</v>
      </c>
      <c r="P191" s="41">
        <f>IF(Tabela1716[[#This Row],[New House Sales]]="",#N/A,((Tabela1716[[#This Row],[New House Sales]]*1)/O190)-1)</f>
        <v>7.4074074074074181E-2</v>
      </c>
      <c r="Q191" s="41">
        <f>IF(Tabela1716[[#This Row],[New House Sales]]="",#N/A,((Tabela1716[[#This Row],[New House Sales]]*1)/O179)-1)</f>
        <v>0.25179856115107913</v>
      </c>
      <c r="R191" s="27">
        <v>6.2</v>
      </c>
      <c r="S191" s="86"/>
      <c r="T191" s="28"/>
      <c r="V191" s="38"/>
      <c r="W191" s="9"/>
      <c r="X191" s="9"/>
    </row>
    <row r="192" spans="1:24" ht="12.75">
      <c r="A192" s="12">
        <v>28034</v>
      </c>
      <c r="B192" s="26">
        <v>8.9</v>
      </c>
      <c r="C192" s="27"/>
      <c r="D192" s="33">
        <v>1425</v>
      </c>
      <c r="E192" s="41">
        <f>IF(Tabela1716[[#This Row],[Building Permits]]="",#N/A,((Tabela1716[[#This Row],[Building Permits]]*1)/D180)-1)</f>
        <v>0.30018248175182483</v>
      </c>
      <c r="F192" s="33">
        <v>914</v>
      </c>
      <c r="G192" s="41">
        <f>IF(Tabela1716[[#This Row],[Houses Under Construction]]="",#N/A,((Tabela1716[[#This Row],[Houses Under Construction]]*1)/F180)-1)</f>
        <v>8.4223013048635886E-2</v>
      </c>
      <c r="H192" s="33">
        <v>1629</v>
      </c>
      <c r="I192" s="33">
        <f>IF(Tabela1716[[#This Row],[Housing Starts]]="",#N/A,Tabela1716[[#This Row],[Housing Starts]]-H191)</f>
        <v>-91</v>
      </c>
      <c r="J192" s="41">
        <f>IF(Tabela1716[[#This Row],[Housing Starts]]="",#N/A,((Tabela1716[[#This Row],[Housing Starts]]*1)/H180)-1)</f>
        <v>0.2120535714285714</v>
      </c>
      <c r="K192" s="26"/>
      <c r="L192" s="41"/>
      <c r="M192" s="27"/>
      <c r="N192" s="41"/>
      <c r="O192" s="33">
        <v>708</v>
      </c>
      <c r="P192" s="41">
        <f>IF(Tabela1716[[#This Row],[New House Sales]]="",#N/A,((Tabela1716[[#This Row],[New House Sales]]*1)/O191)-1)</f>
        <v>1.7241379310344751E-2</v>
      </c>
      <c r="Q192" s="41">
        <f>IF(Tabela1716[[#This Row],[New House Sales]]="",#N/A,((Tabela1716[[#This Row],[New House Sales]]*1)/O180)-1)</f>
        <v>0.16256157635467972</v>
      </c>
      <c r="R192" s="27">
        <v>5.8</v>
      </c>
      <c r="S192" s="86"/>
      <c r="T192" s="28"/>
      <c r="W192" s="9"/>
      <c r="X192" s="9"/>
    </row>
    <row r="193" spans="1:24" ht="12.75">
      <c r="A193" s="12">
        <v>28065</v>
      </c>
      <c r="B193" s="26">
        <v>8.8000000000000007</v>
      </c>
      <c r="C193" s="27"/>
      <c r="D193" s="33">
        <v>1531</v>
      </c>
      <c r="E193" s="41">
        <f>IF(Tabela1716[[#This Row],[Building Permits]]="",#N/A,((Tabela1716[[#This Row],[Building Permits]]*1)/D181)-1)</f>
        <v>0.37927927927927918</v>
      </c>
      <c r="F193" s="33">
        <v>930</v>
      </c>
      <c r="G193" s="41">
        <f>IF(Tabela1716[[#This Row],[Houses Under Construction]]="",#N/A,((Tabela1716[[#This Row],[Houses Under Construction]]*1)/F181)-1)</f>
        <v>0.12318840579710155</v>
      </c>
      <c r="H193" s="33">
        <v>1641</v>
      </c>
      <c r="I193" s="33">
        <f>IF(Tabela1716[[#This Row],[Housing Starts]]="",#N/A,Tabela1716[[#This Row],[Housing Starts]]-H192)</f>
        <v>12</v>
      </c>
      <c r="J193" s="41">
        <f>IF(Tabela1716[[#This Row],[Housing Starts]]="",#N/A,((Tabela1716[[#This Row],[Housing Starts]]*1)/H181)-1)</f>
        <v>0.20661764705882346</v>
      </c>
      <c r="K193" s="26"/>
      <c r="L193" s="41"/>
      <c r="M193" s="27"/>
      <c r="N193" s="41"/>
      <c r="O193" s="33">
        <v>735</v>
      </c>
      <c r="P193" s="41">
        <f>IF(Tabela1716[[#This Row],[New House Sales]]="",#N/A,((Tabela1716[[#This Row],[New House Sales]]*1)/O192)-1)</f>
        <v>3.8135593220338881E-2</v>
      </c>
      <c r="Q193" s="41">
        <f>IF(Tabela1716[[#This Row],[New House Sales]]="",#N/A,((Tabela1716[[#This Row],[New House Sales]]*1)/O181)-1)</f>
        <v>8.0882352941176405E-2</v>
      </c>
      <c r="R193" s="27">
        <v>6</v>
      </c>
      <c r="S193" s="86"/>
      <c r="T193" s="28"/>
      <c r="V193" s="38"/>
      <c r="W193" s="9"/>
      <c r="X193" s="9"/>
    </row>
    <row r="194" spans="1:24" ht="12.75">
      <c r="A194" s="12">
        <v>28095</v>
      </c>
      <c r="B194" s="26">
        <v>8.7799999999999994</v>
      </c>
      <c r="C194" s="27"/>
      <c r="D194" s="33">
        <v>1511</v>
      </c>
      <c r="E194" s="41">
        <f>IF(Tabela1716[[#This Row],[Building Permits]]="",#N/A,((Tabela1716[[#This Row],[Building Permits]]*1)/D182)-1)</f>
        <v>0.38496791934005503</v>
      </c>
      <c r="F194" s="33">
        <v>947</v>
      </c>
      <c r="G194" s="41">
        <f>IF(Tabela1716[[#This Row],[Houses Under Construction]]="",#N/A,((Tabela1716[[#This Row],[Houses Under Construction]]*1)/F182)-1)</f>
        <v>0.15487804878048772</v>
      </c>
      <c r="H194" s="33">
        <v>1804</v>
      </c>
      <c r="I194" s="33">
        <f>IF(Tabela1716[[#This Row],[Housing Starts]]="",#N/A,Tabela1716[[#This Row],[Housing Starts]]-H193)</f>
        <v>163</v>
      </c>
      <c r="J194" s="41">
        <f>IF(Tabela1716[[#This Row],[Housing Starts]]="",#N/A,((Tabela1716[[#This Row],[Housing Starts]]*1)/H182)-1)</f>
        <v>0.36563209689629073</v>
      </c>
      <c r="K194" s="26"/>
      <c r="L194" s="41"/>
      <c r="M194" s="27"/>
      <c r="N194" s="41"/>
      <c r="O194" s="33">
        <v>767</v>
      </c>
      <c r="P194" s="41">
        <f>IF(Tabela1716[[#This Row],[New House Sales]]="",#N/A,((Tabela1716[[#This Row],[New House Sales]]*1)/O193)-1)</f>
        <v>4.3537414965986398E-2</v>
      </c>
      <c r="Q194" s="41">
        <f>IF(Tabela1716[[#This Row],[New House Sales]]="",#N/A,((Tabela1716[[#This Row],[New House Sales]]*1)/O182)-1)</f>
        <v>0.14648729446935715</v>
      </c>
      <c r="R194" s="27">
        <v>5.6</v>
      </c>
      <c r="S194" s="86"/>
      <c r="T194" s="28"/>
      <c r="W194" s="9"/>
      <c r="X194" s="9"/>
    </row>
    <row r="195" spans="1:24" ht="12.75">
      <c r="A195" s="12">
        <v>28126</v>
      </c>
      <c r="B195" s="26">
        <v>8.73</v>
      </c>
      <c r="C195" s="27"/>
      <c r="D195" s="33">
        <v>1466</v>
      </c>
      <c r="E195" s="41">
        <f>IF(Tabela1716[[#This Row],[Building Permits]]="",#N/A,((Tabela1716[[#This Row],[Building Permits]]*1)/D183)-1)</f>
        <v>0.2267782426778242</v>
      </c>
      <c r="F195" s="33">
        <v>963</v>
      </c>
      <c r="G195" s="41">
        <f>IF(Tabela1716[[#This Row],[Houses Under Construction]]="",#N/A,((Tabela1716[[#This Row],[Houses Under Construction]]*1)/F183)-1)</f>
        <v>0.16444981862152352</v>
      </c>
      <c r="H195" s="33">
        <v>1527</v>
      </c>
      <c r="I195" s="33">
        <f>IF(Tabela1716[[#This Row],[Housing Starts]]="",#N/A,Tabela1716[[#This Row],[Housing Starts]]-H194)</f>
        <v>-277</v>
      </c>
      <c r="J195" s="41">
        <f>IF(Tabela1716[[#This Row],[Housing Starts]]="",#N/A,((Tabela1716[[#This Row],[Housing Starts]]*1)/H183)-1)</f>
        <v>0.11704462326261877</v>
      </c>
      <c r="K195" s="26"/>
      <c r="L195" s="41"/>
      <c r="M195" s="27"/>
      <c r="N195" s="41"/>
      <c r="O195" s="33">
        <v>825</v>
      </c>
      <c r="P195" s="41">
        <f>IF(Tabela1716[[#This Row],[New House Sales]]="",#N/A,((Tabela1716[[#This Row],[New House Sales]]*1)/O194)-1)</f>
        <v>7.5619295958279098E-2</v>
      </c>
      <c r="Q195" s="41">
        <f>IF(Tabela1716[[#This Row],[New House Sales]]="",#N/A,((Tabela1716[[#This Row],[New House Sales]]*1)/O183)-1)</f>
        <v>0.3681592039800996</v>
      </c>
      <c r="R195" s="27">
        <v>5.3</v>
      </c>
      <c r="S195" s="86"/>
      <c r="T195" s="28"/>
      <c r="V195" s="38"/>
      <c r="W195" s="9"/>
      <c r="X195" s="9"/>
    </row>
    <row r="196" spans="1:24" ht="12.75">
      <c r="A196" s="12">
        <v>28157</v>
      </c>
      <c r="B196" s="26">
        <v>8.65</v>
      </c>
      <c r="C196" s="27"/>
      <c r="D196" s="33">
        <v>1560</v>
      </c>
      <c r="E196" s="41">
        <f>IF(Tabela1716[[#This Row],[Building Permits]]="",#N/A,((Tabela1716[[#This Row],[Building Permits]]*1)/D184)-1)</f>
        <v>0.31092436974789917</v>
      </c>
      <c r="F196" s="33">
        <v>982</v>
      </c>
      <c r="G196" s="41">
        <f>IF(Tabela1716[[#This Row],[Houses Under Construction]]="",#N/A,((Tabela1716[[#This Row],[Houses Under Construction]]*1)/F184)-1)</f>
        <v>0.20935960591133007</v>
      </c>
      <c r="H196" s="33">
        <v>1943</v>
      </c>
      <c r="I196" s="33">
        <f>IF(Tabela1716[[#This Row],[Housing Starts]]="",#N/A,Tabela1716[[#This Row],[Housing Starts]]-H195)</f>
        <v>416</v>
      </c>
      <c r="J196" s="41">
        <f>IF(Tabela1716[[#This Row],[Housing Starts]]="",#N/A,((Tabela1716[[#This Row],[Housing Starts]]*1)/H184)-1)</f>
        <v>0.26332899869960991</v>
      </c>
      <c r="K196" s="26"/>
      <c r="L196" s="41"/>
      <c r="M196" s="27"/>
      <c r="N196" s="41"/>
      <c r="O196" s="33">
        <v>839</v>
      </c>
      <c r="P196" s="41">
        <f>IF(Tabela1716[[#This Row],[New House Sales]]="",#N/A,((Tabela1716[[#This Row],[New House Sales]]*1)/O195)-1)</f>
        <v>1.6969696969697079E-2</v>
      </c>
      <c r="Q196" s="41">
        <f>IF(Tabela1716[[#This Row],[New House Sales]]="",#N/A,((Tabela1716[[#This Row],[New House Sales]]*1)/O184)-1)</f>
        <v>0.30279503105590067</v>
      </c>
      <c r="R196" s="27">
        <v>5.0999999999999996</v>
      </c>
      <c r="S196" s="86"/>
      <c r="T196" s="28"/>
      <c r="W196" s="9"/>
      <c r="X196" s="9"/>
    </row>
    <row r="197" spans="1:24" ht="12.75">
      <c r="A197" s="12">
        <v>28185</v>
      </c>
      <c r="B197" s="26">
        <v>8.6999999999999993</v>
      </c>
      <c r="C197" s="27"/>
      <c r="D197" s="33">
        <v>1660</v>
      </c>
      <c r="E197" s="41">
        <f>IF(Tabela1716[[#This Row],[Building Permits]]="",#N/A,((Tabela1716[[#This Row],[Building Permits]]*1)/D185)-1)</f>
        <v>0.42611683848797255</v>
      </c>
      <c r="F197" s="33">
        <v>1009</v>
      </c>
      <c r="G197" s="41">
        <f>IF(Tabela1716[[#This Row],[Houses Under Construction]]="",#N/A,((Tabela1716[[#This Row],[Houses Under Construction]]*1)/F185)-1)</f>
        <v>0.20119047619047614</v>
      </c>
      <c r="H197" s="33">
        <v>2063</v>
      </c>
      <c r="I197" s="33">
        <f>IF(Tabela1716[[#This Row],[Housing Starts]]="",#N/A,Tabela1716[[#This Row],[Housing Starts]]-H196)</f>
        <v>120</v>
      </c>
      <c r="J197" s="41">
        <f>IF(Tabela1716[[#This Row],[Housing Starts]]="",#N/A,((Tabela1716[[#This Row],[Housing Starts]]*1)/H185)-1)</f>
        <v>0.45179451090781142</v>
      </c>
      <c r="K197" s="26"/>
      <c r="L197" s="41"/>
      <c r="M197" s="27"/>
      <c r="N197" s="41"/>
      <c r="O197" s="33">
        <v>872</v>
      </c>
      <c r="P197" s="41">
        <f>IF(Tabela1716[[#This Row],[New House Sales]]="",#N/A,((Tabela1716[[#This Row],[New House Sales]]*1)/O196)-1)</f>
        <v>3.933253873659126E-2</v>
      </c>
      <c r="Q197" s="41">
        <f>IF(Tabela1716[[#This Row],[New House Sales]]="",#N/A,((Tabela1716[[#This Row],[New House Sales]]*1)/O185)-1)</f>
        <v>0.47546531302876471</v>
      </c>
      <c r="R197" s="27">
        <v>5</v>
      </c>
      <c r="S197" s="86"/>
      <c r="T197" s="28"/>
      <c r="V197" s="38"/>
      <c r="W197" s="9"/>
      <c r="X197" s="9"/>
    </row>
    <row r="198" spans="1:24" ht="12.75">
      <c r="A198" s="12">
        <v>28216</v>
      </c>
      <c r="B198" s="26">
        <v>8.7799999999999994</v>
      </c>
      <c r="C198" s="27"/>
      <c r="D198" s="33">
        <v>1660</v>
      </c>
      <c r="E198" s="41">
        <f>IF(Tabela1716[[#This Row],[Building Permits]]="",#N/A,((Tabela1716[[#This Row],[Building Permits]]*1)/D186)-1)</f>
        <v>0.46643109540636041</v>
      </c>
      <c r="F198" s="33">
        <v>1041</v>
      </c>
      <c r="G198" s="41">
        <f>IF(Tabela1716[[#This Row],[Houses Under Construction]]="",#N/A,((Tabela1716[[#This Row],[Houses Under Construction]]*1)/F186)-1)</f>
        <v>0.23487544483985756</v>
      </c>
      <c r="H198" s="33">
        <v>1892</v>
      </c>
      <c r="I198" s="33">
        <f>IF(Tabela1716[[#This Row],[Housing Starts]]="",#N/A,Tabela1716[[#This Row],[Housing Starts]]-H197)</f>
        <v>-171</v>
      </c>
      <c r="J198" s="41">
        <f>IF(Tabela1716[[#This Row],[Housing Starts]]="",#N/A,((Tabela1716[[#This Row],[Housing Starts]]*1)/H186)-1)</f>
        <v>0.35627240143369177</v>
      </c>
      <c r="K198" s="26"/>
      <c r="L198" s="41"/>
      <c r="M198" s="27"/>
      <c r="N198" s="41"/>
      <c r="O198" s="33">
        <v>799</v>
      </c>
      <c r="P198" s="41">
        <f>IF(Tabela1716[[#This Row],[New House Sales]]="",#N/A,((Tabela1716[[#This Row],[New House Sales]]*1)/O197)-1)</f>
        <v>-8.3715596330275255E-2</v>
      </c>
      <c r="Q198" s="41">
        <f>IF(Tabela1716[[#This Row],[New House Sales]]="",#N/A,((Tabela1716[[#This Row],[New House Sales]]*1)/O186)-1)</f>
        <v>0.30769230769230771</v>
      </c>
      <c r="R198" s="27">
        <v>5.5</v>
      </c>
      <c r="S198" s="86"/>
      <c r="T198" s="28"/>
      <c r="W198" s="9"/>
      <c r="X198" s="9"/>
    </row>
    <row r="199" spans="1:24" ht="12.75">
      <c r="A199" s="12">
        <v>28246</v>
      </c>
      <c r="B199" s="26">
        <v>8.85</v>
      </c>
      <c r="C199" s="27"/>
      <c r="D199" s="33">
        <v>1668</v>
      </c>
      <c r="E199" s="41">
        <f>IF(Tabela1716[[#This Row],[Building Permits]]="",#N/A,((Tabela1716[[#This Row],[Building Permits]]*1)/D187)-1)</f>
        <v>0.39698492462311563</v>
      </c>
      <c r="F199" s="33">
        <v>1078</v>
      </c>
      <c r="G199" s="41">
        <f>IF(Tabela1716[[#This Row],[Houses Under Construction]]="",#N/A,((Tabela1716[[#This Row],[Houses Under Construction]]*1)/F187)-1)</f>
        <v>0.27725118483412325</v>
      </c>
      <c r="H199" s="33">
        <v>1971</v>
      </c>
      <c r="I199" s="33">
        <f>IF(Tabela1716[[#This Row],[Housing Starts]]="",#N/A,Tabela1716[[#This Row],[Housing Starts]]-H198)</f>
        <v>79</v>
      </c>
      <c r="J199" s="41">
        <f>IF(Tabela1716[[#This Row],[Housing Starts]]="",#N/A,((Tabela1716[[#This Row],[Housing Starts]]*1)/H187)-1)</f>
        <v>0.35092529129540773</v>
      </c>
      <c r="K199" s="26"/>
      <c r="L199" s="41"/>
      <c r="M199" s="27"/>
      <c r="N199" s="41"/>
      <c r="O199" s="33">
        <v>807</v>
      </c>
      <c r="P199" s="41">
        <f>IF(Tabela1716[[#This Row],[New House Sales]]="",#N/A,((Tabela1716[[#This Row],[New House Sales]]*1)/O198)-1)</f>
        <v>1.0012515644555631E-2</v>
      </c>
      <c r="Q199" s="41">
        <f>IF(Tabela1716[[#This Row],[New House Sales]]="",#N/A,((Tabela1716[[#This Row],[New House Sales]]*1)/O187)-1)</f>
        <v>0.41578947368421049</v>
      </c>
      <c r="R199" s="27">
        <v>5.4</v>
      </c>
      <c r="S199" s="86"/>
      <c r="T199" s="28"/>
      <c r="V199" s="38"/>
      <c r="W199" s="9"/>
      <c r="X199" s="9"/>
    </row>
    <row r="200" spans="1:24" ht="12.75">
      <c r="A200" s="12">
        <v>28277</v>
      </c>
      <c r="B200" s="26">
        <v>8.8800000000000008</v>
      </c>
      <c r="C200" s="27"/>
      <c r="D200" s="33">
        <v>1752</v>
      </c>
      <c r="E200" s="41">
        <f>IF(Tabela1716[[#This Row],[Building Permits]]="",#N/A,((Tabela1716[[#This Row],[Building Permits]]*1)/D188)-1)</f>
        <v>0.4747474747474747</v>
      </c>
      <c r="F200" s="33">
        <v>1100</v>
      </c>
      <c r="G200" s="41">
        <f>IF(Tabela1716[[#This Row],[Houses Under Construction]]="",#N/A,((Tabela1716[[#This Row],[Houses Under Construction]]*1)/F188)-1)</f>
        <v>0.2850467289719627</v>
      </c>
      <c r="H200" s="33">
        <v>1893</v>
      </c>
      <c r="I200" s="33">
        <f>IF(Tabela1716[[#This Row],[Housing Starts]]="",#N/A,Tabela1716[[#This Row],[Housing Starts]]-H199)</f>
        <v>-78</v>
      </c>
      <c r="J200" s="41">
        <f>IF(Tabela1716[[#This Row],[Housing Starts]]="",#N/A,((Tabela1716[[#This Row],[Housing Starts]]*1)/H188)-1)</f>
        <v>0.26622073578595318</v>
      </c>
      <c r="K200" s="26"/>
      <c r="L200" s="41"/>
      <c r="M200" s="27"/>
      <c r="N200" s="41"/>
      <c r="O200" s="33">
        <v>805</v>
      </c>
      <c r="P200" s="41">
        <f>IF(Tabela1716[[#This Row],[New House Sales]]="",#N/A,((Tabela1716[[#This Row],[New House Sales]]*1)/O199)-1)</f>
        <v>-2.4783147459727095E-3</v>
      </c>
      <c r="Q200" s="41">
        <f>IF(Tabela1716[[#This Row],[New House Sales]]="",#N/A,((Tabela1716[[#This Row],[New House Sales]]*1)/O188)-1)</f>
        <v>0.36209813874788499</v>
      </c>
      <c r="R200" s="27">
        <v>5.5</v>
      </c>
      <c r="S200" s="86"/>
      <c r="T200" s="28"/>
      <c r="W200" s="9"/>
      <c r="X200" s="9"/>
    </row>
    <row r="201" spans="1:24" ht="12.75">
      <c r="A201" s="12">
        <v>28307</v>
      </c>
      <c r="B201" s="26">
        <v>8.93</v>
      </c>
      <c r="C201" s="27"/>
      <c r="D201" s="33">
        <v>1687</v>
      </c>
      <c r="E201" s="41">
        <f>IF(Tabela1716[[#This Row],[Building Permits]]="",#N/A,((Tabela1716[[#This Row],[Building Permits]]*1)/D189)-1)</f>
        <v>0.35502008032128507</v>
      </c>
      <c r="F201" s="33">
        <v>1127</v>
      </c>
      <c r="G201" s="41">
        <f>IF(Tabela1716[[#This Row],[Houses Under Construction]]="",#N/A,((Tabela1716[[#This Row],[Houses Under Construction]]*1)/F189)-1)</f>
        <v>0.31351981351981362</v>
      </c>
      <c r="H201" s="33">
        <v>2058</v>
      </c>
      <c r="I201" s="33">
        <f>IF(Tabela1716[[#This Row],[Housing Starts]]="",#N/A,Tabela1716[[#This Row],[Housing Starts]]-H200)</f>
        <v>165</v>
      </c>
      <c r="J201" s="41">
        <f>IF(Tabela1716[[#This Row],[Housing Starts]]="",#N/A,((Tabela1716[[#This Row],[Housing Starts]]*1)/H189)-1)</f>
        <v>0.46895074946466808</v>
      </c>
      <c r="K201" s="26"/>
      <c r="L201" s="41"/>
      <c r="M201" s="27"/>
      <c r="N201" s="41"/>
      <c r="O201" s="33">
        <v>755</v>
      </c>
      <c r="P201" s="41">
        <f>IF(Tabela1716[[#This Row],[New House Sales]]="",#N/A,((Tabela1716[[#This Row],[New House Sales]]*1)/O200)-1)</f>
        <v>-6.2111801242236031E-2</v>
      </c>
      <c r="Q201" s="41">
        <f>IF(Tabela1716[[#This Row],[New House Sales]]="",#N/A,((Tabela1716[[#This Row],[New House Sales]]*1)/O189)-1)</f>
        <v>0.13704819277108427</v>
      </c>
      <c r="R201" s="27">
        <v>6.1</v>
      </c>
      <c r="S201" s="86"/>
      <c r="T201" s="28"/>
      <c r="V201" s="38"/>
      <c r="W201" s="9"/>
      <c r="X201" s="9"/>
    </row>
    <row r="202" spans="1:24" ht="12.75">
      <c r="A202" s="12">
        <v>28338</v>
      </c>
      <c r="B202" s="26">
        <v>8.93</v>
      </c>
      <c r="C202" s="27"/>
      <c r="D202" s="33">
        <v>1780</v>
      </c>
      <c r="E202" s="41">
        <f>IF(Tabela1716[[#This Row],[Building Permits]]="",#N/A,((Tabela1716[[#This Row],[Building Permits]]*1)/D190)-1)</f>
        <v>0.35981665393430107</v>
      </c>
      <c r="F202" s="33">
        <v>1146</v>
      </c>
      <c r="G202" s="41">
        <f>IF(Tabela1716[[#This Row],[Houses Under Construction]]="",#N/A,((Tabela1716[[#This Row],[Houses Under Construction]]*1)/F190)-1)</f>
        <v>0.31875719217491372</v>
      </c>
      <c r="H202" s="33">
        <v>2020</v>
      </c>
      <c r="I202" s="33">
        <f>IF(Tabela1716[[#This Row],[Housing Starts]]="",#N/A,Tabela1716[[#This Row],[Housing Starts]]-H201)</f>
        <v>-38</v>
      </c>
      <c r="J202" s="41">
        <f>IF(Tabela1716[[#This Row],[Housing Starts]]="",#N/A,((Tabela1716[[#This Row],[Housing Starts]]*1)/H190)-1)</f>
        <v>0.3032258064516129</v>
      </c>
      <c r="K202" s="26"/>
      <c r="L202" s="41"/>
      <c r="M202" s="27"/>
      <c r="N202" s="41"/>
      <c r="O202" s="33">
        <v>808</v>
      </c>
      <c r="P202" s="41">
        <f>IF(Tabela1716[[#This Row],[New House Sales]]="",#N/A,((Tabela1716[[#This Row],[New House Sales]]*1)/O201)-1)</f>
        <v>7.0198675496688789E-2</v>
      </c>
      <c r="Q202" s="41">
        <f>IF(Tabela1716[[#This Row],[New House Sales]]="",#N/A,((Tabela1716[[#This Row],[New House Sales]]*1)/O190)-1)</f>
        <v>0.24691358024691357</v>
      </c>
      <c r="R202" s="27">
        <v>5.8</v>
      </c>
      <c r="S202" s="86"/>
      <c r="T202" s="28"/>
      <c r="W202" s="9"/>
      <c r="X202" s="9"/>
    </row>
    <row r="203" spans="1:24" ht="12.75">
      <c r="A203" s="12">
        <v>28369</v>
      </c>
      <c r="B203" s="26">
        <v>8.9</v>
      </c>
      <c r="C203" s="27"/>
      <c r="D203" s="33">
        <v>1674</v>
      </c>
      <c r="E203" s="41">
        <f>IF(Tabela1716[[#This Row],[Building Permits]]="",#N/A,((Tabela1716[[#This Row],[Building Permits]]*1)/D191)-1)</f>
        <v>0.13031735313977033</v>
      </c>
      <c r="F203" s="33">
        <v>1154</v>
      </c>
      <c r="G203" s="41">
        <f>IF(Tabela1716[[#This Row],[Houses Under Construction]]="",#N/A,((Tabela1716[[#This Row],[Houses Under Construction]]*1)/F191)-1)</f>
        <v>0.28938547486033528</v>
      </c>
      <c r="H203" s="33">
        <v>1949</v>
      </c>
      <c r="I203" s="33">
        <f>IF(Tabela1716[[#This Row],[Housing Starts]]="",#N/A,Tabela1716[[#This Row],[Housing Starts]]-H202)</f>
        <v>-71</v>
      </c>
      <c r="J203" s="41">
        <f>IF(Tabela1716[[#This Row],[Housing Starts]]="",#N/A,((Tabela1716[[#This Row],[Housing Starts]]*1)/H191)-1)</f>
        <v>0.13313953488372099</v>
      </c>
      <c r="K203" s="26"/>
      <c r="L203" s="41"/>
      <c r="M203" s="27"/>
      <c r="N203" s="41"/>
      <c r="O203" s="33">
        <v>842</v>
      </c>
      <c r="P203" s="41">
        <f>IF(Tabela1716[[#This Row],[New House Sales]]="",#N/A,((Tabela1716[[#This Row],[New House Sales]]*1)/O202)-1)</f>
        <v>4.2079207920792117E-2</v>
      </c>
      <c r="Q203" s="41">
        <f>IF(Tabela1716[[#This Row],[New House Sales]]="",#N/A,((Tabela1716[[#This Row],[New House Sales]]*1)/O191)-1)</f>
        <v>0.20977011494252884</v>
      </c>
      <c r="R203" s="27">
        <v>5.9</v>
      </c>
      <c r="S203" s="86"/>
      <c r="T203" s="28"/>
      <c r="V203" s="38"/>
      <c r="W203" s="9"/>
      <c r="X203" s="9"/>
    </row>
    <row r="204" spans="1:24" ht="12.75">
      <c r="A204" s="12">
        <v>28399</v>
      </c>
      <c r="B204" s="26">
        <v>8.9</v>
      </c>
      <c r="C204" s="27"/>
      <c r="D204" s="33">
        <v>1758</v>
      </c>
      <c r="E204" s="41">
        <f>IF(Tabela1716[[#This Row],[Building Permits]]="",#N/A,((Tabela1716[[#This Row],[Building Permits]]*1)/D192)-1)</f>
        <v>0.23368421052631572</v>
      </c>
      <c r="F204" s="33">
        <v>1185</v>
      </c>
      <c r="G204" s="41">
        <f>IF(Tabela1716[[#This Row],[Houses Under Construction]]="",#N/A,((Tabela1716[[#This Row],[Houses Under Construction]]*1)/F192)-1)</f>
        <v>0.29649890590809624</v>
      </c>
      <c r="H204" s="33">
        <v>2042</v>
      </c>
      <c r="I204" s="33">
        <f>IF(Tabela1716[[#This Row],[Housing Starts]]="",#N/A,Tabela1716[[#This Row],[Housing Starts]]-H203)</f>
        <v>93</v>
      </c>
      <c r="J204" s="41">
        <f>IF(Tabela1716[[#This Row],[Housing Starts]]="",#N/A,((Tabela1716[[#This Row],[Housing Starts]]*1)/H192)-1)</f>
        <v>0.25352977286678935</v>
      </c>
      <c r="K204" s="26"/>
      <c r="L204" s="41"/>
      <c r="M204" s="27"/>
      <c r="N204" s="41"/>
      <c r="O204" s="33">
        <v>819</v>
      </c>
      <c r="P204" s="41">
        <f>IF(Tabela1716[[#This Row],[New House Sales]]="",#N/A,((Tabela1716[[#This Row],[New House Sales]]*1)/O203)-1)</f>
        <v>-2.7315914489311144E-2</v>
      </c>
      <c r="Q204" s="41">
        <f>IF(Tabela1716[[#This Row],[New House Sales]]="",#N/A,((Tabela1716[[#This Row],[New House Sales]]*1)/O192)-1)</f>
        <v>0.15677966101694918</v>
      </c>
      <c r="R204" s="27">
        <v>6.1</v>
      </c>
      <c r="S204" s="86"/>
      <c r="T204" s="28"/>
      <c r="W204" s="9"/>
      <c r="X204" s="9"/>
    </row>
    <row r="205" spans="1:24" ht="12.75">
      <c r="A205" s="12">
        <v>28430</v>
      </c>
      <c r="B205" s="26">
        <v>8.93</v>
      </c>
      <c r="C205" s="27"/>
      <c r="D205" s="33">
        <v>1771</v>
      </c>
      <c r="E205" s="41">
        <f>IF(Tabela1716[[#This Row],[Building Permits]]="",#N/A,((Tabela1716[[#This Row],[Building Permits]]*1)/D193)-1)</f>
        <v>0.15676028739386028</v>
      </c>
      <c r="F205" s="33">
        <v>1201</v>
      </c>
      <c r="G205" s="41">
        <f>IF(Tabela1716[[#This Row],[Houses Under Construction]]="",#N/A,((Tabela1716[[#This Row],[Houses Under Construction]]*1)/F193)-1)</f>
        <v>0.29139784946236569</v>
      </c>
      <c r="H205" s="33">
        <v>2042</v>
      </c>
      <c r="I205" s="33">
        <f>IF(Tabela1716[[#This Row],[Housing Starts]]="",#N/A,Tabela1716[[#This Row],[Housing Starts]]-H204)</f>
        <v>0</v>
      </c>
      <c r="J205" s="41">
        <f>IF(Tabela1716[[#This Row],[Housing Starts]]="",#N/A,((Tabela1716[[#This Row],[Housing Starts]]*1)/H193)-1)</f>
        <v>0.2443631931748933</v>
      </c>
      <c r="K205" s="26"/>
      <c r="L205" s="41"/>
      <c r="M205" s="27"/>
      <c r="N205" s="41"/>
      <c r="O205" s="33">
        <v>829</v>
      </c>
      <c r="P205" s="41">
        <f>IF(Tabela1716[[#This Row],[New House Sales]]="",#N/A,((Tabela1716[[#This Row],[New House Sales]]*1)/O204)-1)</f>
        <v>1.2210012210012167E-2</v>
      </c>
      <c r="Q205" s="41">
        <f>IF(Tabela1716[[#This Row],[New House Sales]]="",#N/A,((Tabela1716[[#This Row],[New House Sales]]*1)/O193)-1)</f>
        <v>0.12789115646258509</v>
      </c>
      <c r="R205" s="27">
        <v>6</v>
      </c>
      <c r="S205" s="86"/>
      <c r="T205" s="28"/>
      <c r="V205" s="38"/>
      <c r="W205" s="9"/>
      <c r="X205" s="9"/>
    </row>
    <row r="206" spans="1:24" ht="12.75">
      <c r="A206" s="12">
        <v>28460</v>
      </c>
      <c r="B206" s="26">
        <v>9</v>
      </c>
      <c r="C206" s="27"/>
      <c r="D206" s="33">
        <v>1754</v>
      </c>
      <c r="E206" s="41">
        <f>IF(Tabela1716[[#This Row],[Building Permits]]="",#N/A,((Tabela1716[[#This Row],[Building Permits]]*1)/D194)-1)</f>
        <v>0.16082064857710132</v>
      </c>
      <c r="F206" s="33">
        <v>1234</v>
      </c>
      <c r="G206" s="41">
        <f>IF(Tabela1716[[#This Row],[Houses Under Construction]]="",#N/A,((Tabela1716[[#This Row],[Houses Under Construction]]*1)/F194)-1)</f>
        <v>0.30306230200633588</v>
      </c>
      <c r="H206" s="33">
        <v>2142</v>
      </c>
      <c r="I206" s="33">
        <f>IF(Tabela1716[[#This Row],[Housing Starts]]="",#N/A,Tabela1716[[#This Row],[Housing Starts]]-H205)</f>
        <v>100</v>
      </c>
      <c r="J206" s="41">
        <f>IF(Tabela1716[[#This Row],[Housing Starts]]="",#N/A,((Tabela1716[[#This Row],[Housing Starts]]*1)/H194)-1)</f>
        <v>0.18736141906873605</v>
      </c>
      <c r="K206" s="26"/>
      <c r="L206" s="41"/>
      <c r="M206" s="27"/>
      <c r="N206" s="41"/>
      <c r="O206" s="33">
        <v>835</v>
      </c>
      <c r="P206" s="41">
        <f>IF(Tabela1716[[#This Row],[New House Sales]]="",#N/A,((Tabela1716[[#This Row],[New House Sales]]*1)/O205)-1)</f>
        <v>7.2376357056693763E-3</v>
      </c>
      <c r="Q206" s="41">
        <f>IF(Tabela1716[[#This Row],[New House Sales]]="",#N/A,((Tabela1716[[#This Row],[New House Sales]]*1)/O194)-1)</f>
        <v>8.8657105606258169E-2</v>
      </c>
      <c r="R206" s="27">
        <v>6</v>
      </c>
      <c r="S206" s="86"/>
      <c r="T206" s="28"/>
      <c r="W206" s="9"/>
      <c r="X206" s="9"/>
    </row>
    <row r="207" spans="1:24" ht="12.75">
      <c r="A207" s="12">
        <v>28491</v>
      </c>
      <c r="B207" s="26">
        <v>9.0500000000000007</v>
      </c>
      <c r="C207" s="27"/>
      <c r="D207" s="33">
        <v>1740</v>
      </c>
      <c r="E207" s="41">
        <f>IF(Tabela1716[[#This Row],[Building Permits]]="",#N/A,((Tabela1716[[#This Row],[Building Permits]]*1)/D195)-1)</f>
        <v>0.18690313778990442</v>
      </c>
      <c r="F207" s="33">
        <v>1238</v>
      </c>
      <c r="G207" s="41">
        <f>IF(Tabela1716[[#This Row],[Houses Under Construction]]="",#N/A,((Tabela1716[[#This Row],[Houses Under Construction]]*1)/F195)-1)</f>
        <v>0.28556593977154732</v>
      </c>
      <c r="H207" s="33">
        <v>1718</v>
      </c>
      <c r="I207" s="33">
        <f>IF(Tabela1716[[#This Row],[Housing Starts]]="",#N/A,Tabela1716[[#This Row],[Housing Starts]]-H206)</f>
        <v>-424</v>
      </c>
      <c r="J207" s="41">
        <f>IF(Tabela1716[[#This Row],[Housing Starts]]="",#N/A,((Tabela1716[[#This Row],[Housing Starts]]*1)/H195)-1)</f>
        <v>0.12508185985592668</v>
      </c>
      <c r="K207" s="26"/>
      <c r="L207" s="41"/>
      <c r="M207" s="27"/>
      <c r="N207" s="41"/>
      <c r="O207" s="33">
        <v>795</v>
      </c>
      <c r="P207" s="41">
        <f>IF(Tabela1716[[#This Row],[New House Sales]]="",#N/A,((Tabela1716[[#This Row],[New House Sales]]*1)/O206)-1)</f>
        <v>-4.7904191616766512E-2</v>
      </c>
      <c r="Q207" s="41">
        <f>IF(Tabela1716[[#This Row],[New House Sales]]="",#N/A,((Tabela1716[[#This Row],[New House Sales]]*1)/O195)-1)</f>
        <v>-3.6363636363636376E-2</v>
      </c>
      <c r="R207" s="27">
        <v>5.9</v>
      </c>
      <c r="S207" s="86"/>
      <c r="T207" s="28"/>
      <c r="V207" s="38"/>
      <c r="W207" s="9"/>
      <c r="X207" s="9"/>
    </row>
    <row r="208" spans="1:24" ht="12.75">
      <c r="A208" s="12">
        <v>28522</v>
      </c>
      <c r="B208" s="26">
        <v>9.15</v>
      </c>
      <c r="C208" s="27"/>
      <c r="D208" s="33">
        <v>1736</v>
      </c>
      <c r="E208" s="41">
        <f>IF(Tabela1716[[#This Row],[Building Permits]]="",#N/A,((Tabela1716[[#This Row],[Building Permits]]*1)/D196)-1)</f>
        <v>0.11282051282051286</v>
      </c>
      <c r="F208" s="33">
        <v>1247</v>
      </c>
      <c r="G208" s="41">
        <f>IF(Tabela1716[[#This Row],[Houses Under Construction]]="",#N/A,((Tabela1716[[#This Row],[Houses Under Construction]]*1)/F196)-1)</f>
        <v>0.26985743380855398</v>
      </c>
      <c r="H208" s="33">
        <v>1738</v>
      </c>
      <c r="I208" s="33">
        <f>IF(Tabela1716[[#This Row],[Housing Starts]]="",#N/A,Tabela1716[[#This Row],[Housing Starts]]-H207)</f>
        <v>20</v>
      </c>
      <c r="J208" s="41">
        <f>IF(Tabela1716[[#This Row],[Housing Starts]]="",#N/A,((Tabela1716[[#This Row],[Housing Starts]]*1)/H196)-1)</f>
        <v>-0.105506948018528</v>
      </c>
      <c r="K208" s="26"/>
      <c r="L208" s="41"/>
      <c r="M208" s="27"/>
      <c r="N208" s="41"/>
      <c r="O208" s="33">
        <v>791</v>
      </c>
      <c r="P208" s="41">
        <f>IF(Tabela1716[[#This Row],[New House Sales]]="",#N/A,((Tabela1716[[#This Row],[New House Sales]]*1)/O207)-1)</f>
        <v>-5.031446540880502E-3</v>
      </c>
      <c r="Q208" s="41">
        <f>IF(Tabela1716[[#This Row],[New House Sales]]="",#N/A,((Tabela1716[[#This Row],[New House Sales]]*1)/O196)-1)</f>
        <v>-5.7210965435041672E-2</v>
      </c>
      <c r="R208" s="27">
        <v>6.3</v>
      </c>
      <c r="S208" s="86"/>
      <c r="T208" s="28"/>
      <c r="W208" s="9"/>
      <c r="X208" s="9"/>
    </row>
    <row r="209" spans="1:24" ht="12.75">
      <c r="A209" s="12">
        <v>28550</v>
      </c>
      <c r="B209" s="26">
        <v>9.25</v>
      </c>
      <c r="C209" s="27"/>
      <c r="D209" s="33">
        <v>1799</v>
      </c>
      <c r="E209" s="41">
        <f>IF(Tabela1716[[#This Row],[Building Permits]]="",#N/A,((Tabela1716[[#This Row],[Building Permits]]*1)/D197)-1)</f>
        <v>8.373493975903612E-2</v>
      </c>
      <c r="F209" s="33">
        <v>1259</v>
      </c>
      <c r="G209" s="41">
        <f>IF(Tabela1716[[#This Row],[Houses Under Construction]]="",#N/A,((Tabela1716[[#This Row],[Houses Under Construction]]*1)/F197)-1)</f>
        <v>0.24777006937561952</v>
      </c>
      <c r="H209" s="33">
        <v>2032</v>
      </c>
      <c r="I209" s="33">
        <f>IF(Tabela1716[[#This Row],[Housing Starts]]="",#N/A,Tabela1716[[#This Row],[Housing Starts]]-H208)</f>
        <v>294</v>
      </c>
      <c r="J209" s="41">
        <f>IF(Tabela1716[[#This Row],[Housing Starts]]="",#N/A,((Tabela1716[[#This Row],[Housing Starts]]*1)/H197)-1)</f>
        <v>-1.5026660203587006E-2</v>
      </c>
      <c r="K209" s="26"/>
      <c r="L209" s="41"/>
      <c r="M209" s="27"/>
      <c r="N209" s="41"/>
      <c r="O209" s="33">
        <v>814</v>
      </c>
      <c r="P209" s="41">
        <f>IF(Tabela1716[[#This Row],[New House Sales]]="",#N/A,((Tabela1716[[#This Row],[New House Sales]]*1)/O208)-1)</f>
        <v>2.9077117572692712E-2</v>
      </c>
      <c r="Q209" s="41">
        <f>IF(Tabela1716[[#This Row],[New House Sales]]="",#N/A,((Tabela1716[[#This Row],[New House Sales]]*1)/O197)-1)</f>
        <v>-6.6513761467889898E-2</v>
      </c>
      <c r="R209" s="27">
        <v>6.1</v>
      </c>
      <c r="S209" s="86"/>
      <c r="T209" s="28"/>
      <c r="V209" s="38"/>
      <c r="W209" s="9"/>
      <c r="X209" s="9"/>
    </row>
    <row r="210" spans="1:24" ht="12.75">
      <c r="A210" s="12">
        <v>28581</v>
      </c>
      <c r="B210" s="26">
        <v>9.43</v>
      </c>
      <c r="C210" s="27"/>
      <c r="D210" s="33">
        <v>1948</v>
      </c>
      <c r="E210" s="41">
        <f>IF(Tabela1716[[#This Row],[Building Permits]]="",#N/A,((Tabela1716[[#This Row],[Building Permits]]*1)/D198)-1)</f>
        <v>0.17349397590361448</v>
      </c>
      <c r="F210" s="33">
        <v>1284</v>
      </c>
      <c r="G210" s="41">
        <f>IF(Tabela1716[[#This Row],[Houses Under Construction]]="",#N/A,((Tabela1716[[#This Row],[Houses Under Construction]]*1)/F198)-1)</f>
        <v>0.23342939481268021</v>
      </c>
      <c r="H210" s="33">
        <v>2197</v>
      </c>
      <c r="I210" s="33">
        <f>IF(Tabela1716[[#This Row],[Housing Starts]]="",#N/A,Tabela1716[[#This Row],[Housing Starts]]-H209)</f>
        <v>165</v>
      </c>
      <c r="J210" s="41">
        <f>IF(Tabela1716[[#This Row],[Housing Starts]]="",#N/A,((Tabela1716[[#This Row],[Housing Starts]]*1)/H198)-1)</f>
        <v>0.16120507399577177</v>
      </c>
      <c r="K210" s="26"/>
      <c r="L210" s="41"/>
      <c r="M210" s="27"/>
      <c r="N210" s="41"/>
      <c r="O210" s="33">
        <v>864</v>
      </c>
      <c r="P210" s="41">
        <f>IF(Tabela1716[[#This Row],[New House Sales]]="",#N/A,((Tabela1716[[#This Row],[New House Sales]]*1)/O209)-1)</f>
        <v>6.1425061425061322E-2</v>
      </c>
      <c r="Q210" s="41">
        <f>IF(Tabela1716[[#This Row],[New House Sales]]="",#N/A,((Tabela1716[[#This Row],[New House Sales]]*1)/O198)-1)</f>
        <v>8.1351689612014999E-2</v>
      </c>
      <c r="R210" s="27">
        <v>5.8</v>
      </c>
      <c r="S210" s="86"/>
      <c r="T210" s="28"/>
      <c r="W210" s="9"/>
      <c r="X210" s="9"/>
    </row>
    <row r="211" spans="1:24" ht="12.75">
      <c r="A211" s="12">
        <v>28611</v>
      </c>
      <c r="B211" s="26">
        <v>9.68</v>
      </c>
      <c r="C211" s="27"/>
      <c r="D211" s="33">
        <v>1766</v>
      </c>
      <c r="E211" s="41">
        <f>IF(Tabela1716[[#This Row],[Building Permits]]="",#N/A,((Tabela1716[[#This Row],[Building Permits]]*1)/D199)-1)</f>
        <v>5.8752997601918544E-2</v>
      </c>
      <c r="F211" s="33">
        <v>1295</v>
      </c>
      <c r="G211" s="41">
        <f>IF(Tabela1716[[#This Row],[Houses Under Construction]]="",#N/A,((Tabela1716[[#This Row],[Houses Under Construction]]*1)/F199)-1)</f>
        <v>0.20129870129870131</v>
      </c>
      <c r="H211" s="33">
        <v>2075</v>
      </c>
      <c r="I211" s="33">
        <f>IF(Tabela1716[[#This Row],[Housing Starts]]="",#N/A,Tabela1716[[#This Row],[Housing Starts]]-H210)</f>
        <v>-122</v>
      </c>
      <c r="J211" s="41">
        <f>IF(Tabela1716[[#This Row],[Housing Starts]]="",#N/A,((Tabela1716[[#This Row],[Housing Starts]]*1)/H199)-1)</f>
        <v>5.2765093860984269E-2</v>
      </c>
      <c r="K211" s="26"/>
      <c r="L211" s="41"/>
      <c r="M211" s="27"/>
      <c r="N211" s="41"/>
      <c r="O211" s="33">
        <v>857</v>
      </c>
      <c r="P211" s="41">
        <f>IF(Tabela1716[[#This Row],[New House Sales]]="",#N/A,((Tabela1716[[#This Row],[New House Sales]]*1)/O210)-1)</f>
        <v>-8.1018518518518601E-3</v>
      </c>
      <c r="Q211" s="41">
        <f>IF(Tabela1716[[#This Row],[New House Sales]]="",#N/A,((Tabela1716[[#This Row],[New House Sales]]*1)/O199)-1)</f>
        <v>6.1957868649318515E-2</v>
      </c>
      <c r="R211" s="27">
        <v>5.9</v>
      </c>
      <c r="S211" s="86"/>
      <c r="T211" s="28"/>
      <c r="V211" s="38"/>
      <c r="W211" s="9"/>
      <c r="X211" s="9"/>
    </row>
    <row r="212" spans="1:24" ht="12.75">
      <c r="A212" s="12">
        <v>28642</v>
      </c>
      <c r="B212" s="26">
        <v>9.73</v>
      </c>
      <c r="C212" s="27"/>
      <c r="D212" s="33">
        <v>1983</v>
      </c>
      <c r="E212" s="41">
        <f>IF(Tabela1716[[#This Row],[Building Permits]]="",#N/A,((Tabela1716[[#This Row],[Building Permits]]*1)/D200)-1)</f>
        <v>0.13184931506849318</v>
      </c>
      <c r="F212" s="33">
        <v>1308</v>
      </c>
      <c r="G212" s="41">
        <f>IF(Tabela1716[[#This Row],[Houses Under Construction]]="",#N/A,((Tabela1716[[#This Row],[Houses Under Construction]]*1)/F200)-1)</f>
        <v>0.1890909090909092</v>
      </c>
      <c r="H212" s="33">
        <v>2070</v>
      </c>
      <c r="I212" s="33">
        <f>IF(Tabela1716[[#This Row],[Housing Starts]]="",#N/A,Tabela1716[[#This Row],[Housing Starts]]-H211)</f>
        <v>-5</v>
      </c>
      <c r="J212" s="41">
        <f>IF(Tabela1716[[#This Row],[Housing Starts]]="",#N/A,((Tabela1716[[#This Row],[Housing Starts]]*1)/H200)-1)</f>
        <v>9.3502377179080831E-2</v>
      </c>
      <c r="K212" s="26"/>
      <c r="L212" s="41"/>
      <c r="M212" s="27"/>
      <c r="N212" s="41"/>
      <c r="O212" s="33">
        <v>834</v>
      </c>
      <c r="P212" s="41">
        <f>IF(Tabela1716[[#This Row],[New House Sales]]="",#N/A,((Tabela1716[[#This Row],[New House Sales]]*1)/O211)-1)</f>
        <v>-2.6837806301050149E-2</v>
      </c>
      <c r="Q212" s="41">
        <f>IF(Tabela1716[[#This Row],[New House Sales]]="",#N/A,((Tabela1716[[#This Row],[New House Sales]]*1)/O200)-1)</f>
        <v>3.602484472049694E-2</v>
      </c>
      <c r="R212" s="27">
        <v>6.2</v>
      </c>
      <c r="S212" s="86"/>
      <c r="T212" s="28"/>
      <c r="W212" s="9"/>
      <c r="X212" s="9"/>
    </row>
    <row r="213" spans="1:24" ht="12.75">
      <c r="A213" s="12">
        <v>28672</v>
      </c>
      <c r="B213" s="26">
        <v>9.75</v>
      </c>
      <c r="C213" s="27"/>
      <c r="D213" s="33">
        <v>1786</v>
      </c>
      <c r="E213" s="41">
        <f>IF(Tabela1716[[#This Row],[Building Permits]]="",#N/A,((Tabela1716[[#This Row],[Building Permits]]*1)/D201)-1)</f>
        <v>5.8684054534676955E-2</v>
      </c>
      <c r="F213" s="33">
        <v>1308</v>
      </c>
      <c r="G213" s="41">
        <f>IF(Tabela1716[[#This Row],[Houses Under Construction]]="",#N/A,((Tabela1716[[#This Row],[Houses Under Construction]]*1)/F201)-1)</f>
        <v>0.16060337178349604</v>
      </c>
      <c r="H213" s="33">
        <v>2092</v>
      </c>
      <c r="I213" s="33">
        <f>IF(Tabela1716[[#This Row],[Housing Starts]]="",#N/A,Tabela1716[[#This Row],[Housing Starts]]-H212)</f>
        <v>22</v>
      </c>
      <c r="J213" s="41">
        <f>IF(Tabela1716[[#This Row],[Housing Starts]]="",#N/A,((Tabela1716[[#This Row],[Housing Starts]]*1)/H201)-1)</f>
        <v>1.6520894071914372E-2</v>
      </c>
      <c r="K213" s="26"/>
      <c r="L213" s="41"/>
      <c r="M213" s="27"/>
      <c r="N213" s="41"/>
      <c r="O213" s="33">
        <v>789</v>
      </c>
      <c r="P213" s="41">
        <f>IF(Tabela1716[[#This Row],[New House Sales]]="",#N/A,((Tabela1716[[#This Row],[New House Sales]]*1)/O212)-1)</f>
        <v>-5.3956834532374098E-2</v>
      </c>
      <c r="Q213" s="41">
        <f>IF(Tabela1716[[#This Row],[New House Sales]]="",#N/A,((Tabela1716[[#This Row],[New House Sales]]*1)/O201)-1)</f>
        <v>4.503311258278142E-2</v>
      </c>
      <c r="R213" s="27">
        <v>6.6</v>
      </c>
      <c r="S213" s="86"/>
      <c r="T213" s="28"/>
      <c r="V213" s="38"/>
      <c r="W213" s="9"/>
      <c r="X213" s="9"/>
    </row>
    <row r="214" spans="1:24" ht="12.75">
      <c r="A214" s="12">
        <v>28703</v>
      </c>
      <c r="B214" s="26">
        <v>9.8000000000000007</v>
      </c>
      <c r="C214" s="27"/>
      <c r="D214" s="33">
        <v>1691</v>
      </c>
      <c r="E214" s="41">
        <f>IF(Tabela1716[[#This Row],[Building Permits]]="",#N/A,((Tabela1716[[#This Row],[Building Permits]]*1)/D202)-1)</f>
        <v>-5.0000000000000044E-2</v>
      </c>
      <c r="F214" s="33">
        <v>1306</v>
      </c>
      <c r="G214" s="41">
        <f>IF(Tabela1716[[#This Row],[Houses Under Construction]]="",#N/A,((Tabela1716[[#This Row],[Houses Under Construction]]*1)/F202)-1)</f>
        <v>0.13961605584642234</v>
      </c>
      <c r="H214" s="33">
        <v>1996</v>
      </c>
      <c r="I214" s="33">
        <f>IF(Tabela1716[[#This Row],[Housing Starts]]="",#N/A,Tabela1716[[#This Row],[Housing Starts]]-H213)</f>
        <v>-96</v>
      </c>
      <c r="J214" s="41">
        <f>IF(Tabela1716[[#This Row],[Housing Starts]]="",#N/A,((Tabela1716[[#This Row],[Housing Starts]]*1)/H202)-1)</f>
        <v>-1.1881188118811892E-2</v>
      </c>
      <c r="K214" s="26"/>
      <c r="L214" s="41"/>
      <c r="M214" s="27"/>
      <c r="N214" s="41"/>
      <c r="O214" s="33">
        <v>756</v>
      </c>
      <c r="P214" s="41">
        <f>IF(Tabela1716[[#This Row],[New House Sales]]="",#N/A,((Tabela1716[[#This Row],[New House Sales]]*1)/O213)-1)</f>
        <v>-4.1825095057034245E-2</v>
      </c>
      <c r="Q214" s="41">
        <f>IF(Tabela1716[[#This Row],[New House Sales]]="",#N/A,((Tabela1716[[#This Row],[New House Sales]]*1)/O202)-1)</f>
        <v>-6.4356435643564303E-2</v>
      </c>
      <c r="R214" s="27">
        <v>6.6</v>
      </c>
      <c r="S214" s="86"/>
      <c r="T214" s="28"/>
      <c r="W214" s="9"/>
      <c r="X214" s="9"/>
    </row>
    <row r="215" spans="1:24" ht="12.75">
      <c r="A215" s="12">
        <v>28734</v>
      </c>
      <c r="B215" s="26">
        <v>9.7799999999999994</v>
      </c>
      <c r="C215" s="27"/>
      <c r="D215" s="33">
        <v>1751</v>
      </c>
      <c r="E215" s="41">
        <f>IF(Tabela1716[[#This Row],[Building Permits]]="",#N/A,((Tabela1716[[#This Row],[Building Permits]]*1)/D203)-1)</f>
        <v>4.5997610513739629E-2</v>
      </c>
      <c r="F215" s="33">
        <v>1310</v>
      </c>
      <c r="G215" s="41">
        <f>IF(Tabela1716[[#This Row],[Houses Under Construction]]="",#N/A,((Tabela1716[[#This Row],[Houses Under Construction]]*1)/F203)-1)</f>
        <v>0.13518197573656843</v>
      </c>
      <c r="H215" s="33">
        <v>1970</v>
      </c>
      <c r="I215" s="33">
        <f>IF(Tabela1716[[#This Row],[Housing Starts]]="",#N/A,Tabela1716[[#This Row],[Housing Starts]]-H214)</f>
        <v>-26</v>
      </c>
      <c r="J215" s="41">
        <f>IF(Tabela1716[[#This Row],[Housing Starts]]="",#N/A,((Tabela1716[[#This Row],[Housing Starts]]*1)/H203)-1)</f>
        <v>1.0774756285274467E-2</v>
      </c>
      <c r="K215" s="26"/>
      <c r="L215" s="41"/>
      <c r="M215" s="27"/>
      <c r="N215" s="41"/>
      <c r="O215" s="33">
        <v>812</v>
      </c>
      <c r="P215" s="41">
        <f>IF(Tabela1716[[#This Row],[New House Sales]]="",#N/A,((Tabela1716[[#This Row],[New House Sales]]*1)/O214)-1)</f>
        <v>7.4074074074074181E-2</v>
      </c>
      <c r="Q215" s="41">
        <f>IF(Tabela1716[[#This Row],[New House Sales]]="",#N/A,((Tabela1716[[#This Row],[New House Sales]]*1)/O203)-1)</f>
        <v>-3.5629453681710221E-2</v>
      </c>
      <c r="R215" s="27">
        <v>5.9</v>
      </c>
      <c r="S215" s="86"/>
      <c r="T215" s="28"/>
      <c r="V215" s="38"/>
      <c r="W215" s="9"/>
      <c r="X215" s="9"/>
    </row>
    <row r="216" spans="1:24" ht="12.75">
      <c r="A216" s="12">
        <v>28764</v>
      </c>
      <c r="B216" s="26">
        <v>9.8800000000000008</v>
      </c>
      <c r="C216" s="27"/>
      <c r="D216" s="33">
        <v>1781</v>
      </c>
      <c r="E216" s="41">
        <f>IF(Tabela1716[[#This Row],[Building Permits]]="",#N/A,((Tabela1716[[#This Row],[Building Permits]]*1)/D204)-1)</f>
        <v>1.3083048919226403E-2</v>
      </c>
      <c r="F216" s="33">
        <v>1317</v>
      </c>
      <c r="G216" s="41">
        <f>IF(Tabela1716[[#This Row],[Houses Under Construction]]="",#N/A,((Tabela1716[[#This Row],[Houses Under Construction]]*1)/F204)-1)</f>
        <v>0.11139240506329107</v>
      </c>
      <c r="H216" s="33">
        <v>1981</v>
      </c>
      <c r="I216" s="33">
        <f>IF(Tabela1716[[#This Row],[Housing Starts]]="",#N/A,Tabela1716[[#This Row],[Housing Starts]]-H215)</f>
        <v>11</v>
      </c>
      <c r="J216" s="41">
        <f>IF(Tabela1716[[#This Row],[Housing Starts]]="",#N/A,((Tabela1716[[#This Row],[Housing Starts]]*1)/H204)-1)</f>
        <v>-2.9872673849167475E-2</v>
      </c>
      <c r="K216" s="26"/>
      <c r="L216" s="41"/>
      <c r="M216" s="27"/>
      <c r="N216" s="41"/>
      <c r="O216" s="33">
        <v>872</v>
      </c>
      <c r="P216" s="41">
        <f>IF(Tabela1716[[#This Row],[New House Sales]]="",#N/A,((Tabela1716[[#This Row],[New House Sales]]*1)/O215)-1)</f>
        <v>7.3891625615763568E-2</v>
      </c>
      <c r="Q216" s="41">
        <f>IF(Tabela1716[[#This Row],[New House Sales]]="",#N/A,((Tabela1716[[#This Row],[New House Sales]]*1)/O204)-1)</f>
        <v>6.4713064713064705E-2</v>
      </c>
      <c r="R216" s="27">
        <v>5.7</v>
      </c>
      <c r="S216" s="86"/>
      <c r="T216" s="28"/>
      <c r="W216" s="9"/>
      <c r="X216" s="9"/>
    </row>
    <row r="217" spans="1:24" ht="12.75">
      <c r="A217" s="12">
        <v>28795</v>
      </c>
      <c r="B217" s="26">
        <v>10.28</v>
      </c>
      <c r="C217" s="27"/>
      <c r="D217" s="33">
        <v>1795</v>
      </c>
      <c r="E217" s="41">
        <f>IF(Tabela1716[[#This Row],[Building Permits]]="",#N/A,((Tabela1716[[#This Row],[Building Permits]]*1)/D205)-1)</f>
        <v>1.3551665725578754E-2</v>
      </c>
      <c r="F217" s="33">
        <v>1330</v>
      </c>
      <c r="G217" s="41">
        <f>IF(Tabela1716[[#This Row],[Houses Under Construction]]="",#N/A,((Tabela1716[[#This Row],[Houses Under Construction]]*1)/F205)-1)</f>
        <v>0.10741049125728552</v>
      </c>
      <c r="H217" s="33">
        <v>2094</v>
      </c>
      <c r="I217" s="33">
        <f>IF(Tabela1716[[#This Row],[Housing Starts]]="",#N/A,Tabela1716[[#This Row],[Housing Starts]]-H216)</f>
        <v>113</v>
      </c>
      <c r="J217" s="41">
        <f>IF(Tabela1716[[#This Row],[Housing Starts]]="",#N/A,((Tabela1716[[#This Row],[Housing Starts]]*1)/H205)-1)</f>
        <v>2.5465230166503483E-2</v>
      </c>
      <c r="K217" s="26"/>
      <c r="L217" s="41"/>
      <c r="M217" s="27"/>
      <c r="N217" s="41"/>
      <c r="O217" s="33">
        <v>798</v>
      </c>
      <c r="P217" s="41">
        <f>IF(Tabela1716[[#This Row],[New House Sales]]="",#N/A,((Tabela1716[[#This Row],[New House Sales]]*1)/O216)-1)</f>
        <v>-8.4862385321100908E-2</v>
      </c>
      <c r="Q217" s="41">
        <f>IF(Tabela1716[[#This Row],[New House Sales]]="",#N/A,((Tabela1716[[#This Row],[New House Sales]]*1)/O205)-1)</f>
        <v>-3.7394451145958962E-2</v>
      </c>
      <c r="R217" s="27">
        <v>6.5</v>
      </c>
      <c r="S217" s="86"/>
      <c r="T217" s="28"/>
      <c r="V217" s="38"/>
      <c r="W217" s="9"/>
      <c r="X217" s="9"/>
    </row>
    <row r="218" spans="1:24" ht="12.75">
      <c r="A218" s="12">
        <v>28825</v>
      </c>
      <c r="B218" s="26">
        <v>10.38</v>
      </c>
      <c r="C218" s="27"/>
      <c r="D218" s="33">
        <v>1818</v>
      </c>
      <c r="E218" s="41">
        <f>IF(Tabela1716[[#This Row],[Building Permits]]="",#N/A,((Tabela1716[[#This Row],[Building Permits]]*1)/D206)-1)</f>
        <v>3.6488027366020415E-2</v>
      </c>
      <c r="F218" s="33">
        <v>1344</v>
      </c>
      <c r="G218" s="41">
        <f>IF(Tabela1716[[#This Row],[Houses Under Construction]]="",#N/A,((Tabela1716[[#This Row],[Houses Under Construction]]*1)/F206)-1)</f>
        <v>8.9141004862236528E-2</v>
      </c>
      <c r="H218" s="33">
        <v>2044</v>
      </c>
      <c r="I218" s="33">
        <f>IF(Tabela1716[[#This Row],[Housing Starts]]="",#N/A,Tabela1716[[#This Row],[Housing Starts]]-H217)</f>
        <v>-50</v>
      </c>
      <c r="J218" s="41">
        <f>IF(Tabela1716[[#This Row],[Housing Starts]]="",#N/A,((Tabela1716[[#This Row],[Housing Starts]]*1)/H206)-1)</f>
        <v>-4.5751633986928053E-2</v>
      </c>
      <c r="K218" s="26"/>
      <c r="L218" s="41"/>
      <c r="M218" s="27"/>
      <c r="N218" s="41"/>
      <c r="O218" s="33">
        <v>805</v>
      </c>
      <c r="P218" s="41">
        <f>IF(Tabela1716[[#This Row],[New House Sales]]="",#N/A,((Tabela1716[[#This Row],[New House Sales]]*1)/O217)-1)</f>
        <v>8.7719298245614308E-3</v>
      </c>
      <c r="Q218" s="41">
        <f>IF(Tabela1716[[#This Row],[New House Sales]]="",#N/A,((Tabela1716[[#This Row],[New House Sales]]*1)/O206)-1)</f>
        <v>-3.59281437125748E-2</v>
      </c>
      <c r="R218" s="27">
        <v>6.1</v>
      </c>
      <c r="S218" s="86"/>
      <c r="T218" s="28"/>
      <c r="W218" s="9"/>
      <c r="X218" s="9"/>
    </row>
    <row r="219" spans="1:24" ht="12.75">
      <c r="A219" s="12">
        <v>28856</v>
      </c>
      <c r="B219" s="26">
        <v>10.4</v>
      </c>
      <c r="C219" s="27"/>
      <c r="D219" s="33">
        <v>1461</v>
      </c>
      <c r="E219" s="41">
        <f>IF(Tabela1716[[#This Row],[Building Permits]]="",#N/A,((Tabela1716[[#This Row],[Building Permits]]*1)/D207)-1)</f>
        <v>-0.16034482758620694</v>
      </c>
      <c r="F219" s="33">
        <v>1327</v>
      </c>
      <c r="G219" s="41">
        <f>IF(Tabela1716[[#This Row],[Houses Under Construction]]="",#N/A,((Tabela1716[[#This Row],[Houses Under Construction]]*1)/F207)-1)</f>
        <v>7.1890145395799632E-2</v>
      </c>
      <c r="H219" s="33">
        <v>1630</v>
      </c>
      <c r="I219" s="33">
        <f>IF(Tabela1716[[#This Row],[Housing Starts]]="",#N/A,Tabela1716[[#This Row],[Housing Starts]]-H218)</f>
        <v>-414</v>
      </c>
      <c r="J219" s="41">
        <f>IF(Tabela1716[[#This Row],[Housing Starts]]="",#N/A,((Tabela1716[[#This Row],[Housing Starts]]*1)/H207)-1)</f>
        <v>-5.1222351571594826E-2</v>
      </c>
      <c r="K219" s="26"/>
      <c r="L219" s="41"/>
      <c r="M219" s="27"/>
      <c r="N219" s="41"/>
      <c r="O219" s="33">
        <v>754</v>
      </c>
      <c r="P219" s="41">
        <f>IF(Tabela1716[[#This Row],[New House Sales]]="",#N/A,((Tabela1716[[#This Row],[New House Sales]]*1)/O218)-1)</f>
        <v>-6.3354037267080776E-2</v>
      </c>
      <c r="Q219" s="41">
        <f>IF(Tabela1716[[#This Row],[New House Sales]]="",#N/A,((Tabela1716[[#This Row],[New House Sales]]*1)/O207)-1)</f>
        <v>-5.1572327044025146E-2</v>
      </c>
      <c r="R219" s="27">
        <v>6.6</v>
      </c>
      <c r="S219" s="86"/>
      <c r="T219" s="28"/>
      <c r="V219" s="38"/>
      <c r="W219" s="9"/>
      <c r="X219" s="9"/>
    </row>
    <row r="220" spans="1:24" ht="12.75">
      <c r="A220" s="12">
        <v>28887</v>
      </c>
      <c r="B220" s="26">
        <v>10.4</v>
      </c>
      <c r="C220" s="27"/>
      <c r="D220" s="33">
        <v>1492</v>
      </c>
      <c r="E220" s="41">
        <f>IF(Tabela1716[[#This Row],[Building Permits]]="",#N/A,((Tabela1716[[#This Row],[Building Permits]]*1)/D208)-1)</f>
        <v>-0.14055299539170507</v>
      </c>
      <c r="F220" s="33">
        <v>1315</v>
      </c>
      <c r="G220" s="41">
        <f>IF(Tabela1716[[#This Row],[Houses Under Construction]]="",#N/A,((Tabela1716[[#This Row],[Houses Under Construction]]*1)/F208)-1)</f>
        <v>5.4530874097834747E-2</v>
      </c>
      <c r="H220" s="33">
        <v>1520</v>
      </c>
      <c r="I220" s="33">
        <f>IF(Tabela1716[[#This Row],[Housing Starts]]="",#N/A,Tabela1716[[#This Row],[Housing Starts]]-H219)</f>
        <v>-110</v>
      </c>
      <c r="J220" s="41">
        <f>IF(Tabela1716[[#This Row],[Housing Starts]]="",#N/A,((Tabela1716[[#This Row],[Housing Starts]]*1)/H208)-1)</f>
        <v>-0.12543153049482159</v>
      </c>
      <c r="K220" s="26"/>
      <c r="L220" s="41"/>
      <c r="M220" s="27"/>
      <c r="N220" s="41"/>
      <c r="O220" s="33">
        <v>723</v>
      </c>
      <c r="P220" s="41">
        <f>IF(Tabela1716[[#This Row],[New House Sales]]="",#N/A,((Tabela1716[[#This Row],[New House Sales]]*1)/O219)-1)</f>
        <v>-4.1114058355437688E-2</v>
      </c>
      <c r="Q220" s="41">
        <f>IF(Tabela1716[[#This Row],[New House Sales]]="",#N/A,((Tabela1716[[#This Row],[New House Sales]]*1)/O208)-1)</f>
        <v>-8.5967130214917864E-2</v>
      </c>
      <c r="R220" s="27">
        <v>6.8</v>
      </c>
      <c r="S220" s="86"/>
      <c r="T220" s="28"/>
      <c r="W220" s="9"/>
      <c r="X220" s="9"/>
    </row>
    <row r="221" spans="1:24" ht="12.75">
      <c r="A221" s="12">
        <v>28915</v>
      </c>
      <c r="B221" s="26">
        <v>10.45</v>
      </c>
      <c r="C221" s="27"/>
      <c r="D221" s="33">
        <v>1720</v>
      </c>
      <c r="E221" s="41">
        <f>IF(Tabela1716[[#This Row],[Building Permits]]="",#N/A,((Tabela1716[[#This Row],[Building Permits]]*1)/D209)-1)</f>
        <v>-4.39132851584213E-2</v>
      </c>
      <c r="F221" s="33">
        <v>1288</v>
      </c>
      <c r="G221" s="41">
        <f>IF(Tabela1716[[#This Row],[Houses Under Construction]]="",#N/A,((Tabela1716[[#This Row],[Houses Under Construction]]*1)/F209)-1)</f>
        <v>2.3034154090548098E-2</v>
      </c>
      <c r="H221" s="33">
        <v>1847</v>
      </c>
      <c r="I221" s="33">
        <f>IF(Tabela1716[[#This Row],[Housing Starts]]="",#N/A,Tabela1716[[#This Row],[Housing Starts]]-H220)</f>
        <v>327</v>
      </c>
      <c r="J221" s="41">
        <f>IF(Tabela1716[[#This Row],[Housing Starts]]="",#N/A,((Tabela1716[[#This Row],[Housing Starts]]*1)/H209)-1)</f>
        <v>-9.1043307086614123E-2</v>
      </c>
      <c r="K221" s="26"/>
      <c r="L221" s="41"/>
      <c r="M221" s="27"/>
      <c r="N221" s="41"/>
      <c r="O221" s="33">
        <v>793</v>
      </c>
      <c r="P221" s="41">
        <f>IF(Tabela1716[[#This Row],[New House Sales]]="",#N/A,((Tabela1716[[#This Row],[New House Sales]]*1)/O220)-1)</f>
        <v>9.681881051175667E-2</v>
      </c>
      <c r="Q221" s="41">
        <f>IF(Tabela1716[[#This Row],[New House Sales]]="",#N/A,((Tabela1716[[#This Row],[New House Sales]]*1)/O209)-1)</f>
        <v>-2.5798525798525818E-2</v>
      </c>
      <c r="R221" s="27">
        <v>6.6</v>
      </c>
      <c r="S221" s="86"/>
      <c r="T221" s="28"/>
      <c r="V221" s="38"/>
      <c r="W221" s="9"/>
      <c r="X221" s="9"/>
    </row>
    <row r="222" spans="1:24" ht="12.75">
      <c r="A222" s="12">
        <v>28946</v>
      </c>
      <c r="B222" s="26">
        <v>10.53</v>
      </c>
      <c r="C222" s="27"/>
      <c r="D222" s="33">
        <v>1597</v>
      </c>
      <c r="E222" s="41">
        <f>IF(Tabela1716[[#This Row],[Building Permits]]="",#N/A,((Tabela1716[[#This Row],[Building Permits]]*1)/D210)-1)</f>
        <v>-0.18018480492813138</v>
      </c>
      <c r="F222" s="33">
        <v>1260</v>
      </c>
      <c r="G222" s="41">
        <f>IF(Tabela1716[[#This Row],[Houses Under Construction]]="",#N/A,((Tabela1716[[#This Row],[Houses Under Construction]]*1)/F210)-1)</f>
        <v>-1.8691588785046731E-2</v>
      </c>
      <c r="H222" s="33">
        <v>1748</v>
      </c>
      <c r="I222" s="33">
        <f>IF(Tabela1716[[#This Row],[Housing Starts]]="",#N/A,Tabela1716[[#This Row],[Housing Starts]]-H221)</f>
        <v>-99</v>
      </c>
      <c r="J222" s="41">
        <f>IF(Tabela1716[[#This Row],[Housing Starts]]="",#N/A,((Tabela1716[[#This Row],[Housing Starts]]*1)/H210)-1)</f>
        <v>-0.20436959490213924</v>
      </c>
      <c r="K222" s="26"/>
      <c r="L222" s="41"/>
      <c r="M222" s="27"/>
      <c r="N222" s="41"/>
      <c r="O222" s="33">
        <v>748</v>
      </c>
      <c r="P222" s="41">
        <f>IF(Tabela1716[[#This Row],[New House Sales]]="",#N/A,((Tabela1716[[#This Row],[New House Sales]]*1)/O221)-1)</f>
        <v>-5.6746532156368268E-2</v>
      </c>
      <c r="Q222" s="41">
        <f>IF(Tabela1716[[#This Row],[New House Sales]]="",#N/A,((Tabela1716[[#This Row],[New House Sales]]*1)/O210)-1)</f>
        <v>-0.1342592592592593</v>
      </c>
      <c r="R222" s="27">
        <v>6.8</v>
      </c>
      <c r="S222" s="86"/>
      <c r="T222" s="28"/>
      <c r="W222" s="9"/>
      <c r="X222" s="9"/>
    </row>
    <row r="223" spans="1:24" ht="12.75">
      <c r="A223" s="12">
        <v>28976</v>
      </c>
      <c r="B223" s="26">
        <v>10.75</v>
      </c>
      <c r="C223" s="27"/>
      <c r="D223" s="33">
        <v>1684</v>
      </c>
      <c r="E223" s="41">
        <f>IF(Tabela1716[[#This Row],[Building Permits]]="",#N/A,((Tabela1716[[#This Row],[Building Permits]]*1)/D211)-1)</f>
        <v>-4.6432616081540257E-2</v>
      </c>
      <c r="F223" s="33">
        <v>1253</v>
      </c>
      <c r="G223" s="41">
        <f>IF(Tabela1716[[#This Row],[Houses Under Construction]]="",#N/A,((Tabela1716[[#This Row],[Houses Under Construction]]*1)/F211)-1)</f>
        <v>-3.2432432432432434E-2</v>
      </c>
      <c r="H223" s="33">
        <v>1876</v>
      </c>
      <c r="I223" s="33">
        <f>IF(Tabela1716[[#This Row],[Housing Starts]]="",#N/A,Tabela1716[[#This Row],[Housing Starts]]-H222)</f>
        <v>128</v>
      </c>
      <c r="J223" s="41">
        <f>IF(Tabela1716[[#This Row],[Housing Starts]]="",#N/A,((Tabela1716[[#This Row],[Housing Starts]]*1)/H211)-1)</f>
        <v>-9.5903614457831354E-2</v>
      </c>
      <c r="K223" s="26"/>
      <c r="L223" s="41"/>
      <c r="M223" s="27"/>
      <c r="N223" s="41"/>
      <c r="O223" s="33">
        <v>727</v>
      </c>
      <c r="P223" s="41">
        <f>IF(Tabela1716[[#This Row],[New House Sales]]="",#N/A,((Tabela1716[[#This Row],[New House Sales]]*1)/O222)-1)</f>
        <v>-2.8074866310160429E-2</v>
      </c>
      <c r="Q223" s="41">
        <f>IF(Tabela1716[[#This Row],[New House Sales]]="",#N/A,((Tabela1716[[#This Row],[New House Sales]]*1)/O211)-1)</f>
        <v>-0.15169194865810964</v>
      </c>
      <c r="R223" s="27">
        <v>7.1</v>
      </c>
      <c r="S223" s="86"/>
      <c r="T223" s="28"/>
      <c r="V223" s="38"/>
      <c r="W223" s="9"/>
      <c r="X223" s="9"/>
    </row>
    <row r="224" spans="1:24" ht="12.75">
      <c r="A224" s="12">
        <v>29007</v>
      </c>
      <c r="B224" s="26">
        <v>11.1</v>
      </c>
      <c r="C224" s="27"/>
      <c r="D224" s="33">
        <v>1640</v>
      </c>
      <c r="E224" s="41">
        <f>IF(Tabela1716[[#This Row],[Building Permits]]="",#N/A,((Tabela1716[[#This Row],[Building Permits]]*1)/D212)-1)</f>
        <v>-0.17297024710035303</v>
      </c>
      <c r="F224" s="33">
        <v>1265</v>
      </c>
      <c r="G224" s="41">
        <f>IF(Tabela1716[[#This Row],[Houses Under Construction]]="",#N/A,((Tabela1716[[#This Row],[Houses Under Construction]]*1)/F212)-1)</f>
        <v>-3.2874617737003065E-2</v>
      </c>
      <c r="H224" s="33">
        <v>1913</v>
      </c>
      <c r="I224" s="33">
        <f>IF(Tabela1716[[#This Row],[Housing Starts]]="",#N/A,Tabela1716[[#This Row],[Housing Starts]]-H223)</f>
        <v>37</v>
      </c>
      <c r="J224" s="41">
        <f>IF(Tabela1716[[#This Row],[Housing Starts]]="",#N/A,((Tabela1716[[#This Row],[Housing Starts]]*1)/H212)-1)</f>
        <v>-7.5845410628019305E-2</v>
      </c>
      <c r="K224" s="26"/>
      <c r="L224" s="41"/>
      <c r="M224" s="27"/>
      <c r="N224" s="41"/>
      <c r="O224" s="33">
        <v>700</v>
      </c>
      <c r="P224" s="41">
        <f>IF(Tabela1716[[#This Row],[New House Sales]]="",#N/A,((Tabela1716[[#This Row],[New House Sales]]*1)/O223)-1)</f>
        <v>-3.7138927097661645E-2</v>
      </c>
      <c r="Q224" s="41">
        <f>IF(Tabela1716[[#This Row],[New House Sales]]="",#N/A,((Tabela1716[[#This Row],[New House Sales]]*1)/O212)-1)</f>
        <v>-0.16067146282973621</v>
      </c>
      <c r="R224" s="27">
        <v>7.4</v>
      </c>
      <c r="S224" s="86"/>
      <c r="T224" s="28"/>
      <c r="W224" s="9"/>
      <c r="X224" s="9"/>
    </row>
    <row r="225" spans="1:24" ht="12.75">
      <c r="A225" s="12">
        <v>29037</v>
      </c>
      <c r="B225" s="26">
        <v>11.08</v>
      </c>
      <c r="C225" s="27"/>
      <c r="D225" s="33">
        <v>1534</v>
      </c>
      <c r="E225" s="41">
        <f>IF(Tabela1716[[#This Row],[Building Permits]]="",#N/A,((Tabela1716[[#This Row],[Building Permits]]*1)/D213)-1)</f>
        <v>-0.14109742441209405</v>
      </c>
      <c r="F225" s="33">
        <v>1258</v>
      </c>
      <c r="G225" s="41">
        <f>IF(Tabela1716[[#This Row],[Houses Under Construction]]="",#N/A,((Tabela1716[[#This Row],[Houses Under Construction]]*1)/F213)-1)</f>
        <v>-3.8226299694189558E-2</v>
      </c>
      <c r="H225" s="33">
        <v>1760</v>
      </c>
      <c r="I225" s="33">
        <f>IF(Tabela1716[[#This Row],[Housing Starts]]="",#N/A,Tabela1716[[#This Row],[Housing Starts]]-H224)</f>
        <v>-153</v>
      </c>
      <c r="J225" s="41">
        <f>IF(Tabela1716[[#This Row],[Housing Starts]]="",#N/A,((Tabela1716[[#This Row],[Housing Starts]]*1)/H213)-1)</f>
        <v>-0.15869980879541112</v>
      </c>
      <c r="K225" s="26"/>
      <c r="L225" s="41"/>
      <c r="M225" s="27"/>
      <c r="N225" s="41"/>
      <c r="O225" s="33">
        <v>715</v>
      </c>
      <c r="P225" s="41">
        <f>IF(Tabela1716[[#This Row],[New House Sales]]="",#N/A,((Tabela1716[[#This Row],[New House Sales]]*1)/O224)-1)</f>
        <v>2.1428571428571352E-2</v>
      </c>
      <c r="Q225" s="41">
        <f>IF(Tabela1716[[#This Row],[New House Sales]]="",#N/A,((Tabela1716[[#This Row],[New House Sales]]*1)/O213)-1)</f>
        <v>-9.3789607097591876E-2</v>
      </c>
      <c r="R225" s="27">
        <v>7.1</v>
      </c>
      <c r="S225" s="86"/>
      <c r="T225" s="28"/>
      <c r="V225" s="38"/>
      <c r="W225" s="9"/>
      <c r="X225" s="9"/>
    </row>
    <row r="226" spans="1:24" ht="12.75">
      <c r="A226" s="12">
        <v>29068</v>
      </c>
      <c r="B226" s="26">
        <v>11.13</v>
      </c>
      <c r="C226" s="27"/>
      <c r="D226" s="33">
        <v>1591</v>
      </c>
      <c r="E226" s="41">
        <f>IF(Tabela1716[[#This Row],[Building Permits]]="",#N/A,((Tabela1716[[#This Row],[Building Permits]]*1)/D214)-1)</f>
        <v>-5.9136605558840927E-2</v>
      </c>
      <c r="F226" s="33">
        <v>1251</v>
      </c>
      <c r="G226" s="41">
        <f>IF(Tabela1716[[#This Row],[Houses Under Construction]]="",#N/A,((Tabela1716[[#This Row],[Houses Under Construction]]*1)/F214)-1)</f>
        <v>-4.2113323124042923E-2</v>
      </c>
      <c r="H226" s="33">
        <v>1778</v>
      </c>
      <c r="I226" s="33">
        <f>IF(Tabela1716[[#This Row],[Housing Starts]]="",#N/A,Tabela1716[[#This Row],[Housing Starts]]-H225)</f>
        <v>18</v>
      </c>
      <c r="J226" s="41">
        <f>IF(Tabela1716[[#This Row],[Housing Starts]]="",#N/A,((Tabela1716[[#This Row],[Housing Starts]]*1)/H214)-1)</f>
        <v>-0.10921843687374755</v>
      </c>
      <c r="K226" s="26"/>
      <c r="L226" s="41"/>
      <c r="M226" s="27"/>
      <c r="N226" s="41"/>
      <c r="O226" s="33">
        <v>729</v>
      </c>
      <c r="P226" s="41">
        <f>IF(Tabela1716[[#This Row],[New House Sales]]="",#N/A,((Tabela1716[[#This Row],[New House Sales]]*1)/O225)-1)</f>
        <v>1.9580419580419672E-2</v>
      </c>
      <c r="Q226" s="41">
        <f>IF(Tabela1716[[#This Row],[New House Sales]]="",#N/A,((Tabela1716[[#This Row],[New House Sales]]*1)/O214)-1)</f>
        <v>-3.5714285714285698E-2</v>
      </c>
      <c r="R226" s="27">
        <v>6.9</v>
      </c>
      <c r="S226" s="86"/>
      <c r="T226" s="28"/>
      <c r="W226" s="9"/>
      <c r="X226" s="9"/>
    </row>
    <row r="227" spans="1:24" ht="12.75">
      <c r="A227" s="12">
        <v>29099</v>
      </c>
      <c r="B227" s="26">
        <v>11.35</v>
      </c>
      <c r="C227" s="27"/>
      <c r="D227" s="33">
        <v>1638</v>
      </c>
      <c r="E227" s="41">
        <f>IF(Tabela1716[[#This Row],[Building Permits]]="",#N/A,((Tabela1716[[#This Row],[Building Permits]]*1)/D215)-1)</f>
        <v>-6.4534551684751529E-2</v>
      </c>
      <c r="F227" s="33">
        <v>1233</v>
      </c>
      <c r="G227" s="41">
        <f>IF(Tabela1716[[#This Row],[Houses Under Construction]]="",#N/A,((Tabela1716[[#This Row],[Houses Under Construction]]*1)/F215)-1)</f>
        <v>-5.8778625954198471E-2</v>
      </c>
      <c r="H227" s="33">
        <v>1832</v>
      </c>
      <c r="I227" s="33">
        <f>IF(Tabela1716[[#This Row],[Housing Starts]]="",#N/A,Tabela1716[[#This Row],[Housing Starts]]-H226)</f>
        <v>54</v>
      </c>
      <c r="J227" s="41">
        <f>IF(Tabela1716[[#This Row],[Housing Starts]]="",#N/A,((Tabela1716[[#This Row],[Housing Starts]]*1)/H215)-1)</f>
        <v>-7.0050761421319829E-2</v>
      </c>
      <c r="K227" s="26"/>
      <c r="L227" s="41"/>
      <c r="M227" s="27"/>
      <c r="N227" s="41"/>
      <c r="O227" s="33">
        <v>727</v>
      </c>
      <c r="P227" s="41">
        <f>IF(Tabela1716[[#This Row],[New House Sales]]="",#N/A,((Tabela1716[[#This Row],[New House Sales]]*1)/O226)-1)</f>
        <v>-2.743484224965731E-3</v>
      </c>
      <c r="Q227" s="41">
        <f>IF(Tabela1716[[#This Row],[New House Sales]]="",#N/A,((Tabela1716[[#This Row],[New House Sales]]*1)/O215)-1)</f>
        <v>-0.10467980295566504</v>
      </c>
      <c r="R227" s="27">
        <v>7.4</v>
      </c>
      <c r="S227" s="86"/>
      <c r="T227" s="28"/>
      <c r="V227" s="38"/>
      <c r="W227" s="9"/>
      <c r="X227" s="9"/>
    </row>
    <row r="228" spans="1:24" ht="12.75">
      <c r="A228" s="12">
        <v>29129</v>
      </c>
      <c r="B228" s="26">
        <v>12</v>
      </c>
      <c r="C228" s="27"/>
      <c r="D228" s="33">
        <v>1481</v>
      </c>
      <c r="E228" s="41">
        <f>IF(Tabela1716[[#This Row],[Building Permits]]="",#N/A,((Tabela1716[[#This Row],[Building Permits]]*1)/D216)-1)</f>
        <v>-0.16844469399213924</v>
      </c>
      <c r="F228" s="33">
        <v>1220</v>
      </c>
      <c r="G228" s="41">
        <f>IF(Tabela1716[[#This Row],[Houses Under Construction]]="",#N/A,((Tabela1716[[#This Row],[Houses Under Construction]]*1)/F216)-1)</f>
        <v>-7.3652239939255848E-2</v>
      </c>
      <c r="H228" s="33">
        <v>1681</v>
      </c>
      <c r="I228" s="33">
        <f>IF(Tabela1716[[#This Row],[Housing Starts]]="",#N/A,Tabela1716[[#This Row],[Housing Starts]]-H227)</f>
        <v>-151</v>
      </c>
      <c r="J228" s="41">
        <f>IF(Tabela1716[[#This Row],[Housing Starts]]="",#N/A,((Tabela1716[[#This Row],[Housing Starts]]*1)/H216)-1)</f>
        <v>-0.15143866733972744</v>
      </c>
      <c r="K228" s="26"/>
      <c r="L228" s="41"/>
      <c r="M228" s="27"/>
      <c r="N228" s="41"/>
      <c r="O228" s="33">
        <v>670</v>
      </c>
      <c r="P228" s="41">
        <f>IF(Tabela1716[[#This Row],[New House Sales]]="",#N/A,((Tabela1716[[#This Row],[New House Sales]]*1)/O227)-1)</f>
        <v>-7.8404401650619016E-2</v>
      </c>
      <c r="Q228" s="41">
        <f>IF(Tabela1716[[#This Row],[New House Sales]]="",#N/A,((Tabela1716[[#This Row],[New House Sales]]*1)/O216)-1)</f>
        <v>-0.23165137614678899</v>
      </c>
      <c r="R228" s="27">
        <v>7.4</v>
      </c>
      <c r="S228" s="86"/>
      <c r="T228" s="28"/>
      <c r="W228" s="9"/>
      <c r="X228" s="9"/>
    </row>
    <row r="229" spans="1:24" ht="12.75">
      <c r="A229" s="12">
        <v>29160</v>
      </c>
      <c r="B229" s="26">
        <v>12.9</v>
      </c>
      <c r="C229" s="27"/>
      <c r="D229" s="33">
        <v>1276</v>
      </c>
      <c r="E229" s="41">
        <f>IF(Tabela1716[[#This Row],[Building Permits]]="",#N/A,((Tabela1716[[#This Row],[Building Permits]]*1)/D217)-1)</f>
        <v>-0.28913649025069643</v>
      </c>
      <c r="F229" s="33">
        <v>1187</v>
      </c>
      <c r="G229" s="41">
        <f>IF(Tabela1716[[#This Row],[Houses Under Construction]]="",#N/A,((Tabela1716[[#This Row],[Houses Under Construction]]*1)/F217)-1)</f>
        <v>-0.10751879699248124</v>
      </c>
      <c r="H229" s="33">
        <v>1524</v>
      </c>
      <c r="I229" s="33">
        <f>IF(Tabela1716[[#This Row],[Housing Starts]]="",#N/A,Tabela1716[[#This Row],[Housing Starts]]-H228)</f>
        <v>-157</v>
      </c>
      <c r="J229" s="41">
        <f>IF(Tabela1716[[#This Row],[Housing Starts]]="",#N/A,((Tabela1716[[#This Row],[Housing Starts]]*1)/H217)-1)</f>
        <v>-0.27220630372492838</v>
      </c>
      <c r="K229" s="26"/>
      <c r="L229" s="41"/>
      <c r="M229" s="27"/>
      <c r="N229" s="41"/>
      <c r="O229" s="33">
        <v>597</v>
      </c>
      <c r="P229" s="41">
        <f>IF(Tabela1716[[#This Row],[New House Sales]]="",#N/A,((Tabela1716[[#This Row],[New House Sales]]*1)/O228)-1)</f>
        <v>-0.10895522388059697</v>
      </c>
      <c r="Q229" s="41">
        <f>IF(Tabela1716[[#This Row],[New House Sales]]="",#N/A,((Tabela1716[[#This Row],[New House Sales]]*1)/O217)-1)</f>
        <v>-0.25187969924812026</v>
      </c>
      <c r="R229" s="27">
        <v>8.3000000000000007</v>
      </c>
      <c r="S229" s="86"/>
      <c r="T229" s="28"/>
      <c r="V229" s="38"/>
      <c r="W229" s="9"/>
      <c r="X229" s="9"/>
    </row>
    <row r="230" spans="1:24" ht="12.75">
      <c r="A230" s="12">
        <v>29190</v>
      </c>
      <c r="B230" s="26">
        <v>12.9</v>
      </c>
      <c r="C230" s="27"/>
      <c r="D230" s="33">
        <v>1254</v>
      </c>
      <c r="E230" s="41">
        <f>IF(Tabela1716[[#This Row],[Building Permits]]="",#N/A,((Tabela1716[[#This Row],[Building Permits]]*1)/D218)-1)</f>
        <v>-0.31023102310231021</v>
      </c>
      <c r="F230" s="33">
        <v>1157</v>
      </c>
      <c r="G230" s="41">
        <f>IF(Tabela1716[[#This Row],[Houses Under Construction]]="",#N/A,((Tabela1716[[#This Row],[Houses Under Construction]]*1)/F218)-1)</f>
        <v>-0.13913690476190477</v>
      </c>
      <c r="H230" s="33">
        <v>1498</v>
      </c>
      <c r="I230" s="33">
        <f>IF(Tabela1716[[#This Row],[Housing Starts]]="",#N/A,Tabela1716[[#This Row],[Housing Starts]]-H229)</f>
        <v>-26</v>
      </c>
      <c r="J230" s="41">
        <f>IF(Tabela1716[[#This Row],[Housing Starts]]="",#N/A,((Tabela1716[[#This Row],[Housing Starts]]*1)/H218)-1)</f>
        <v>-0.26712328767123283</v>
      </c>
      <c r="K230" s="26"/>
      <c r="L230" s="41"/>
      <c r="M230" s="27"/>
      <c r="N230" s="41"/>
      <c r="O230" s="33">
        <v>559</v>
      </c>
      <c r="P230" s="41">
        <f>IF(Tabela1716[[#This Row],[New House Sales]]="",#N/A,((Tabela1716[[#This Row],[New House Sales]]*1)/O229)-1)</f>
        <v>-6.3651591289782261E-2</v>
      </c>
      <c r="Q230" s="41">
        <f>IF(Tabela1716[[#This Row],[New House Sales]]="",#N/A,((Tabela1716[[#This Row],[New House Sales]]*1)/O218)-1)</f>
        <v>-0.30559006211180129</v>
      </c>
      <c r="R230" s="27">
        <v>8.6</v>
      </c>
      <c r="S230" s="86"/>
      <c r="T230" s="28"/>
      <c r="W230" s="9"/>
      <c r="X230" s="9"/>
    </row>
    <row r="231" spans="1:24" ht="12.75">
      <c r="A231" s="12">
        <v>29221</v>
      </c>
      <c r="B231" s="26">
        <v>12.89</v>
      </c>
      <c r="C231" s="27"/>
      <c r="D231" s="33">
        <v>1280</v>
      </c>
      <c r="E231" s="41">
        <f>IF(Tabela1716[[#This Row],[Building Permits]]="",#N/A,((Tabela1716[[#This Row],[Building Permits]]*1)/D219)-1)</f>
        <v>-0.12388774811772763</v>
      </c>
      <c r="F231" s="33">
        <v>1134</v>
      </c>
      <c r="G231" s="41">
        <f>IF(Tabela1716[[#This Row],[Houses Under Construction]]="",#N/A,((Tabela1716[[#This Row],[Houses Under Construction]]*1)/F219)-1)</f>
        <v>-0.145440844009043</v>
      </c>
      <c r="H231" s="33">
        <v>1341</v>
      </c>
      <c r="I231" s="33">
        <f>IF(Tabela1716[[#This Row],[Housing Starts]]="",#N/A,Tabela1716[[#This Row],[Housing Starts]]-H230)</f>
        <v>-157</v>
      </c>
      <c r="J231" s="41">
        <f>IF(Tabela1716[[#This Row],[Housing Starts]]="",#N/A,((Tabela1716[[#This Row],[Housing Starts]]*1)/H219)-1)</f>
        <v>-0.17730061349693249</v>
      </c>
      <c r="K231" s="26"/>
      <c r="L231" s="41"/>
      <c r="M231" s="27"/>
      <c r="N231" s="41"/>
      <c r="O231" s="33">
        <v>592</v>
      </c>
      <c r="P231" s="41">
        <f>IF(Tabela1716[[#This Row],[New House Sales]]="",#N/A,((Tabela1716[[#This Row],[New House Sales]]*1)/O230)-1)</f>
        <v>5.903398926654746E-2</v>
      </c>
      <c r="Q231" s="41">
        <f>IF(Tabela1716[[#This Row],[New House Sales]]="",#N/A,((Tabela1716[[#This Row],[New House Sales]]*1)/O219)-1)</f>
        <v>-0.21485411140583555</v>
      </c>
      <c r="R231" s="27">
        <v>7.9</v>
      </c>
      <c r="S231" s="86"/>
      <c r="T231" s="28"/>
      <c r="V231" s="38"/>
      <c r="W231" s="9"/>
      <c r="X231" s="9"/>
    </row>
    <row r="232" spans="1:24" ht="12.75">
      <c r="A232" s="12">
        <v>29252</v>
      </c>
      <c r="B232" s="26">
        <v>13.59</v>
      </c>
      <c r="C232" s="27"/>
      <c r="D232" s="33">
        <v>1199</v>
      </c>
      <c r="E232" s="41">
        <f>IF(Tabela1716[[#This Row],[Building Permits]]="",#N/A,((Tabela1716[[#This Row],[Building Permits]]*1)/D220)-1)</f>
        <v>-0.1963806970509383</v>
      </c>
      <c r="F232" s="33">
        <v>1074</v>
      </c>
      <c r="G232" s="41">
        <f>IF(Tabela1716[[#This Row],[Houses Under Construction]]="",#N/A,((Tabela1716[[#This Row],[Houses Under Construction]]*1)/F220)-1)</f>
        <v>-0.18326996197718626</v>
      </c>
      <c r="H232" s="33">
        <v>1350</v>
      </c>
      <c r="I232" s="33">
        <f>IF(Tabela1716[[#This Row],[Housing Starts]]="",#N/A,Tabela1716[[#This Row],[Housing Starts]]-H231)</f>
        <v>9</v>
      </c>
      <c r="J232" s="41">
        <f>IF(Tabela1716[[#This Row],[Housing Starts]]="",#N/A,((Tabela1716[[#This Row],[Housing Starts]]*1)/H220)-1)</f>
        <v>-0.11184210526315785</v>
      </c>
      <c r="K232" s="26"/>
      <c r="L232" s="41"/>
      <c r="M232" s="27"/>
      <c r="N232" s="41"/>
      <c r="O232" s="33">
        <v>541</v>
      </c>
      <c r="P232" s="41">
        <f>IF(Tabela1716[[#This Row],[New House Sales]]="",#N/A,((Tabela1716[[#This Row],[New House Sales]]*1)/O231)-1)</f>
        <v>-8.6148648648648685E-2</v>
      </c>
      <c r="Q232" s="41">
        <f>IF(Tabela1716[[#This Row],[New House Sales]]="",#N/A,((Tabela1716[[#This Row],[New House Sales]]*1)/O220)-1)</f>
        <v>-0.25172890733056708</v>
      </c>
      <c r="R232" s="27">
        <v>8.6</v>
      </c>
      <c r="S232" s="86"/>
      <c r="T232" s="28"/>
      <c r="W232" s="9"/>
      <c r="X232" s="9"/>
    </row>
    <row r="233" spans="1:24" ht="12.75">
      <c r="A233" s="12">
        <v>29281</v>
      </c>
      <c r="B233" s="26">
        <v>16.03</v>
      </c>
      <c r="C233" s="27"/>
      <c r="D233" s="33">
        <v>988</v>
      </c>
      <c r="E233" s="41">
        <f>IF(Tabela1716[[#This Row],[Building Permits]]="",#N/A,((Tabela1716[[#This Row],[Building Permits]]*1)/D221)-1)</f>
        <v>-0.42558139534883721</v>
      </c>
      <c r="F233" s="33">
        <v>1044</v>
      </c>
      <c r="G233" s="41">
        <f>IF(Tabela1716[[#This Row],[Houses Under Construction]]="",#N/A,((Tabela1716[[#This Row],[Houses Under Construction]]*1)/F221)-1)</f>
        <v>-0.18944099378881984</v>
      </c>
      <c r="H233" s="33">
        <v>1047</v>
      </c>
      <c r="I233" s="33">
        <f>IF(Tabela1716[[#This Row],[Housing Starts]]="",#N/A,Tabela1716[[#This Row],[Housing Starts]]-H232)</f>
        <v>-303</v>
      </c>
      <c r="J233" s="41">
        <f>IF(Tabela1716[[#This Row],[Housing Starts]]="",#N/A,((Tabela1716[[#This Row],[Housing Starts]]*1)/H221)-1)</f>
        <v>-0.43313481321061176</v>
      </c>
      <c r="K233" s="26"/>
      <c r="L233" s="41"/>
      <c r="M233" s="27"/>
      <c r="N233" s="41"/>
      <c r="O233" s="33">
        <v>474</v>
      </c>
      <c r="P233" s="41">
        <f>IF(Tabela1716[[#This Row],[New House Sales]]="",#N/A,((Tabela1716[[#This Row],[New House Sales]]*1)/O232)-1)</f>
        <v>-0.12384473197781887</v>
      </c>
      <c r="Q233" s="41">
        <f>IF(Tabela1716[[#This Row],[New House Sales]]="",#N/A,((Tabela1716[[#This Row],[New House Sales]]*1)/O221)-1)</f>
        <v>-0.40226986128625475</v>
      </c>
      <c r="R233" s="27">
        <v>9.8000000000000007</v>
      </c>
      <c r="S233" s="86"/>
      <c r="T233" s="28"/>
      <c r="V233" s="38"/>
      <c r="W233" s="9"/>
      <c r="X233" s="9"/>
    </row>
    <row r="234" spans="1:24" ht="12.75">
      <c r="A234" s="12">
        <v>29312</v>
      </c>
      <c r="B234" s="26">
        <v>16.25</v>
      </c>
      <c r="C234" s="27"/>
      <c r="D234" s="33">
        <v>808</v>
      </c>
      <c r="E234" s="41">
        <f>IF(Tabela1716[[#This Row],[Building Permits]]="",#N/A,((Tabela1716[[#This Row],[Building Permits]]*1)/D222)-1)</f>
        <v>-0.49405134627426428</v>
      </c>
      <c r="F234" s="33">
        <v>976</v>
      </c>
      <c r="G234" s="41">
        <f>IF(Tabela1716[[#This Row],[Houses Under Construction]]="",#N/A,((Tabela1716[[#This Row],[Houses Under Construction]]*1)/F222)-1)</f>
        <v>-0.22539682539682537</v>
      </c>
      <c r="H234" s="33">
        <v>1051</v>
      </c>
      <c r="I234" s="33">
        <f>IF(Tabela1716[[#This Row],[Housing Starts]]="",#N/A,Tabela1716[[#This Row],[Housing Starts]]-H233)</f>
        <v>4</v>
      </c>
      <c r="J234" s="41">
        <f>IF(Tabela1716[[#This Row],[Housing Starts]]="",#N/A,((Tabela1716[[#This Row],[Housing Starts]]*1)/H222)-1)</f>
        <v>-0.39874141876430202</v>
      </c>
      <c r="K234" s="26"/>
      <c r="L234" s="41"/>
      <c r="M234" s="27"/>
      <c r="N234" s="41"/>
      <c r="O234" s="33">
        <v>370</v>
      </c>
      <c r="P234" s="41">
        <f>IF(Tabela1716[[#This Row],[New House Sales]]="",#N/A,((Tabela1716[[#This Row],[New House Sales]]*1)/O233)-1)</f>
        <v>-0.21940928270042193</v>
      </c>
      <c r="Q234" s="41">
        <f>IF(Tabela1716[[#This Row],[New House Sales]]="",#N/A,((Tabela1716[[#This Row],[New House Sales]]*1)/O222)-1)</f>
        <v>-0.50534759358288772</v>
      </c>
      <c r="R234" s="27">
        <v>11.6</v>
      </c>
      <c r="S234" s="86"/>
      <c r="T234" s="28"/>
      <c r="W234" s="9"/>
      <c r="X234" s="9"/>
    </row>
    <row r="235" spans="1:24" ht="12.75">
      <c r="A235" s="12">
        <v>29342</v>
      </c>
      <c r="B235" s="26">
        <v>13.2</v>
      </c>
      <c r="C235" s="27"/>
      <c r="D235" s="33">
        <v>861</v>
      </c>
      <c r="E235" s="41">
        <f>IF(Tabela1716[[#This Row],[Building Permits]]="",#N/A,((Tabela1716[[#This Row],[Building Permits]]*1)/D223)-1)</f>
        <v>-0.48871733966745845</v>
      </c>
      <c r="F235" s="33">
        <v>912</v>
      </c>
      <c r="G235" s="41">
        <f>IF(Tabela1716[[#This Row],[Houses Under Construction]]="",#N/A,((Tabela1716[[#This Row],[Houses Under Construction]]*1)/F223)-1)</f>
        <v>-0.27214684756584195</v>
      </c>
      <c r="H235" s="33">
        <v>927</v>
      </c>
      <c r="I235" s="33">
        <f>IF(Tabela1716[[#This Row],[Housing Starts]]="",#N/A,Tabela1716[[#This Row],[Housing Starts]]-H234)</f>
        <v>-124</v>
      </c>
      <c r="J235" s="41">
        <f>IF(Tabela1716[[#This Row],[Housing Starts]]="",#N/A,((Tabela1716[[#This Row],[Housing Starts]]*1)/H223)-1)</f>
        <v>-0.50586353944562901</v>
      </c>
      <c r="K235" s="26"/>
      <c r="L235" s="41"/>
      <c r="M235" s="27"/>
      <c r="N235" s="41"/>
      <c r="O235" s="33">
        <v>469</v>
      </c>
      <c r="P235" s="41">
        <f>IF(Tabela1716[[#This Row],[New House Sales]]="",#N/A,((Tabela1716[[#This Row],[New House Sales]]*1)/O234)-1)</f>
        <v>0.2675675675675675</v>
      </c>
      <c r="Q235" s="41">
        <f>IF(Tabela1716[[#This Row],[New House Sales]]="",#N/A,((Tabela1716[[#This Row],[New House Sales]]*1)/O223)-1)</f>
        <v>-0.35488308115543332</v>
      </c>
      <c r="R235" s="27">
        <v>9.1999999999999993</v>
      </c>
      <c r="S235" s="86"/>
      <c r="T235" s="28"/>
      <c r="V235" s="38"/>
      <c r="W235" s="9"/>
      <c r="X235" s="9"/>
    </row>
    <row r="236" spans="1:24" ht="12.75">
      <c r="A236" s="12">
        <v>29373</v>
      </c>
      <c r="B236" s="26">
        <v>12.35</v>
      </c>
      <c r="C236" s="27"/>
      <c r="D236" s="33">
        <v>1118</v>
      </c>
      <c r="E236" s="41">
        <f>IF(Tabela1716[[#This Row],[Building Permits]]="",#N/A,((Tabela1716[[#This Row],[Building Permits]]*1)/D224)-1)</f>
        <v>-0.31829268292682922</v>
      </c>
      <c r="F236" s="33">
        <v>881</v>
      </c>
      <c r="G236" s="41">
        <f>IF(Tabela1716[[#This Row],[Houses Under Construction]]="",#N/A,((Tabela1716[[#This Row],[Houses Under Construction]]*1)/F224)-1)</f>
        <v>-0.30355731225296445</v>
      </c>
      <c r="H236" s="33">
        <v>1196</v>
      </c>
      <c r="I236" s="33">
        <f>IF(Tabela1716[[#This Row],[Housing Starts]]="",#N/A,Tabela1716[[#This Row],[Housing Starts]]-H235)</f>
        <v>269</v>
      </c>
      <c r="J236" s="41">
        <f>IF(Tabela1716[[#This Row],[Housing Starts]]="",#N/A,((Tabela1716[[#This Row],[Housing Starts]]*1)/H224)-1)</f>
        <v>-0.37480397281756406</v>
      </c>
      <c r="K236" s="26"/>
      <c r="L236" s="41"/>
      <c r="M236" s="27"/>
      <c r="N236" s="41"/>
      <c r="O236" s="33">
        <v>552</v>
      </c>
      <c r="P236" s="41">
        <f>IF(Tabela1716[[#This Row],[New House Sales]]="",#N/A,((Tabela1716[[#This Row],[New House Sales]]*1)/O235)-1)</f>
        <v>0.1769722814498933</v>
      </c>
      <c r="Q236" s="41">
        <f>IF(Tabela1716[[#This Row],[New House Sales]]="",#N/A,((Tabela1716[[#This Row],[New House Sales]]*1)/O224)-1)</f>
        <v>-0.21142857142857141</v>
      </c>
      <c r="R236" s="27">
        <v>7.6</v>
      </c>
      <c r="S236" s="86"/>
      <c r="T236" s="28"/>
      <c r="W236" s="9"/>
      <c r="X236" s="9"/>
    </row>
    <row r="237" spans="1:24" ht="12.75">
      <c r="A237" s="12">
        <v>29403</v>
      </c>
      <c r="B237" s="26">
        <v>12.18</v>
      </c>
      <c r="C237" s="27"/>
      <c r="D237" s="33">
        <v>1259</v>
      </c>
      <c r="E237" s="41">
        <f>IF(Tabela1716[[#This Row],[Building Permits]]="",#N/A,((Tabela1716[[#This Row],[Building Permits]]*1)/D225)-1)</f>
        <v>-0.17926988265971322</v>
      </c>
      <c r="F237" s="33">
        <v>860</v>
      </c>
      <c r="G237" s="41">
        <f>IF(Tabela1716[[#This Row],[Houses Under Construction]]="",#N/A,((Tabela1716[[#This Row],[Houses Under Construction]]*1)/F225)-1)</f>
        <v>-0.31637519872813991</v>
      </c>
      <c r="H237" s="33">
        <v>1269</v>
      </c>
      <c r="I237" s="33">
        <f>IF(Tabela1716[[#This Row],[Housing Starts]]="",#N/A,Tabela1716[[#This Row],[Housing Starts]]-H236)</f>
        <v>73</v>
      </c>
      <c r="J237" s="41">
        <f>IF(Tabela1716[[#This Row],[Housing Starts]]="",#N/A,((Tabela1716[[#This Row],[Housing Starts]]*1)/H225)-1)</f>
        <v>-0.27897727272727268</v>
      </c>
      <c r="K237" s="26"/>
      <c r="L237" s="41"/>
      <c r="M237" s="27"/>
      <c r="N237" s="41"/>
      <c r="O237" s="33">
        <v>636</v>
      </c>
      <c r="P237" s="41">
        <f>IF(Tabela1716[[#This Row],[New House Sales]]="",#N/A,((Tabela1716[[#This Row],[New House Sales]]*1)/O236)-1)</f>
        <v>0.15217391304347827</v>
      </c>
      <c r="Q237" s="41">
        <f>IF(Tabela1716[[#This Row],[New House Sales]]="",#N/A,((Tabela1716[[#This Row],[New House Sales]]*1)/O225)-1)</f>
        <v>-0.1104895104895105</v>
      </c>
      <c r="R237" s="27">
        <v>6.5</v>
      </c>
      <c r="S237" s="86"/>
      <c r="T237" s="28"/>
      <c r="V237" s="38"/>
      <c r="W237" s="9"/>
      <c r="X237" s="9"/>
    </row>
    <row r="238" spans="1:24" ht="12.75">
      <c r="A238" s="12">
        <v>29434</v>
      </c>
      <c r="B238" s="26">
        <v>12.95</v>
      </c>
      <c r="C238" s="27"/>
      <c r="D238" s="33">
        <v>1367</v>
      </c>
      <c r="E238" s="41">
        <f>IF(Tabela1716[[#This Row],[Building Permits]]="",#N/A,((Tabela1716[[#This Row],[Building Permits]]*1)/D226)-1)</f>
        <v>-0.14079195474544315</v>
      </c>
      <c r="F238" s="33">
        <v>854</v>
      </c>
      <c r="G238" s="41">
        <f>IF(Tabela1716[[#This Row],[Houses Under Construction]]="",#N/A,((Tabela1716[[#This Row],[Houses Under Construction]]*1)/F226)-1)</f>
        <v>-0.31734612310151877</v>
      </c>
      <c r="H238" s="33">
        <v>1436</v>
      </c>
      <c r="I238" s="33">
        <f>IF(Tabela1716[[#This Row],[Housing Starts]]="",#N/A,Tabela1716[[#This Row],[Housing Starts]]-H237)</f>
        <v>167</v>
      </c>
      <c r="J238" s="41">
        <f>IF(Tabela1716[[#This Row],[Housing Starts]]="",#N/A,((Tabela1716[[#This Row],[Housing Starts]]*1)/H226)-1)</f>
        <v>-0.1923509561304837</v>
      </c>
      <c r="K238" s="26"/>
      <c r="L238" s="41"/>
      <c r="M238" s="27"/>
      <c r="N238" s="41"/>
      <c r="O238" s="33">
        <v>659</v>
      </c>
      <c r="P238" s="41">
        <f>IF(Tabela1716[[#This Row],[New House Sales]]="",#N/A,((Tabela1716[[#This Row],[New House Sales]]*1)/O237)-1)</f>
        <v>3.6163522012578664E-2</v>
      </c>
      <c r="Q238" s="41">
        <f>IF(Tabela1716[[#This Row],[New House Sales]]="",#N/A,((Tabela1716[[#This Row],[New House Sales]]*1)/O226)-1)</f>
        <v>-9.6021947873799696E-2</v>
      </c>
      <c r="R238" s="27">
        <v>6</v>
      </c>
      <c r="S238" s="86"/>
      <c r="T238" s="28"/>
      <c r="W238" s="9"/>
      <c r="X238" s="9"/>
    </row>
    <row r="239" spans="1:24" ht="12.75">
      <c r="A239" s="12">
        <v>29465</v>
      </c>
      <c r="B239" s="26">
        <v>13.43</v>
      </c>
      <c r="C239" s="27"/>
      <c r="D239" s="33">
        <v>1484</v>
      </c>
      <c r="E239" s="41">
        <f>IF(Tabela1716[[#This Row],[Building Permits]]="",#N/A,((Tabela1716[[#This Row],[Building Permits]]*1)/D227)-1)</f>
        <v>-9.4017094017094016E-2</v>
      </c>
      <c r="F239" s="33">
        <v>873</v>
      </c>
      <c r="G239" s="41">
        <f>IF(Tabela1716[[#This Row],[Houses Under Construction]]="",#N/A,((Tabela1716[[#This Row],[Houses Under Construction]]*1)/F227)-1)</f>
        <v>-0.29197080291970801</v>
      </c>
      <c r="H239" s="33">
        <v>1471</v>
      </c>
      <c r="I239" s="33">
        <f>IF(Tabela1716[[#This Row],[Housing Starts]]="",#N/A,Tabela1716[[#This Row],[Housing Starts]]-H238)</f>
        <v>35</v>
      </c>
      <c r="J239" s="41">
        <f>IF(Tabela1716[[#This Row],[Housing Starts]]="",#N/A,((Tabela1716[[#This Row],[Housing Starts]]*1)/H227)-1)</f>
        <v>-0.19705240174672489</v>
      </c>
      <c r="K239" s="26"/>
      <c r="L239" s="41"/>
      <c r="M239" s="27"/>
      <c r="N239" s="41"/>
      <c r="O239" s="33">
        <v>596</v>
      </c>
      <c r="P239" s="41">
        <f>IF(Tabela1716[[#This Row],[New House Sales]]="",#N/A,((Tabela1716[[#This Row],[New House Sales]]*1)/O238)-1)</f>
        <v>-9.5599393019726864E-2</v>
      </c>
      <c r="Q239" s="41">
        <f>IF(Tabela1716[[#This Row],[New House Sales]]="",#N/A,((Tabela1716[[#This Row],[New House Sales]]*1)/O227)-1)</f>
        <v>-0.18019257221458052</v>
      </c>
      <c r="R239" s="27">
        <v>7.3</v>
      </c>
      <c r="S239" s="86"/>
      <c r="T239" s="28"/>
      <c r="V239" s="38"/>
      <c r="W239" s="9"/>
      <c r="X239" s="9"/>
    </row>
    <row r="240" spans="1:24" ht="12.75">
      <c r="A240" s="12">
        <v>29495</v>
      </c>
      <c r="B240" s="26">
        <v>14</v>
      </c>
      <c r="C240" s="27"/>
      <c r="D240" s="33">
        <v>1366</v>
      </c>
      <c r="E240" s="41">
        <f>IF(Tabela1716[[#This Row],[Building Permits]]="",#N/A,((Tabela1716[[#This Row],[Building Permits]]*1)/D228)-1)</f>
        <v>-7.7650236326806232E-2</v>
      </c>
      <c r="F240" s="33">
        <v>894</v>
      </c>
      <c r="G240" s="41">
        <f>IF(Tabela1716[[#This Row],[Houses Under Construction]]="",#N/A,((Tabela1716[[#This Row],[Houses Under Construction]]*1)/F228)-1)</f>
        <v>-0.26721311475409837</v>
      </c>
      <c r="H240" s="33">
        <v>1523</v>
      </c>
      <c r="I240" s="33">
        <f>IF(Tabela1716[[#This Row],[Housing Starts]]="",#N/A,Tabela1716[[#This Row],[Housing Starts]]-H239)</f>
        <v>52</v>
      </c>
      <c r="J240" s="41">
        <f>IF(Tabela1716[[#This Row],[Housing Starts]]="",#N/A,((Tabela1716[[#This Row],[Housing Starts]]*1)/H228)-1)</f>
        <v>-9.3991671624033324E-2</v>
      </c>
      <c r="K240" s="26"/>
      <c r="L240" s="41"/>
      <c r="M240" s="27"/>
      <c r="N240" s="41"/>
      <c r="O240" s="33">
        <v>561</v>
      </c>
      <c r="P240" s="41">
        <f>IF(Tabela1716[[#This Row],[New House Sales]]="",#N/A,((Tabela1716[[#This Row],[New House Sales]]*1)/O239)-1)</f>
        <v>-5.8724832214765099E-2</v>
      </c>
      <c r="Q240" s="41">
        <f>IF(Tabela1716[[#This Row],[New House Sales]]="",#N/A,((Tabela1716[[#This Row],[New House Sales]]*1)/O228)-1)</f>
        <v>-0.16268656716417906</v>
      </c>
      <c r="R240" s="27">
        <v>7.3</v>
      </c>
      <c r="S240" s="86"/>
      <c r="T240" s="28"/>
      <c r="W240" s="9"/>
      <c r="X240" s="9"/>
    </row>
    <row r="241" spans="1:24" ht="12.75">
      <c r="A241" s="12">
        <v>29526</v>
      </c>
      <c r="B241" s="26">
        <v>14.28</v>
      </c>
      <c r="C241" s="27"/>
      <c r="D241" s="33">
        <v>1383</v>
      </c>
      <c r="E241" s="41">
        <f>IF(Tabela1716[[#This Row],[Building Permits]]="",#N/A,((Tabela1716[[#This Row],[Building Permits]]*1)/D229)-1)</f>
        <v>8.3855799373040663E-2</v>
      </c>
      <c r="F241" s="33">
        <v>906</v>
      </c>
      <c r="G241" s="41">
        <f>IF(Tabela1716[[#This Row],[Houses Under Construction]]="",#N/A,((Tabela1716[[#This Row],[Houses Under Construction]]*1)/F229)-1)</f>
        <v>-0.23673125526537486</v>
      </c>
      <c r="H241" s="33">
        <v>1510</v>
      </c>
      <c r="I241" s="33">
        <f>IF(Tabela1716[[#This Row],[Housing Starts]]="",#N/A,Tabela1716[[#This Row],[Housing Starts]]-H240)</f>
        <v>-13</v>
      </c>
      <c r="J241" s="41">
        <f>IF(Tabela1716[[#This Row],[Housing Starts]]="",#N/A,((Tabela1716[[#This Row],[Housing Starts]]*1)/H229)-1)</f>
        <v>-9.1863517060367661E-3</v>
      </c>
      <c r="K241" s="26"/>
      <c r="L241" s="41"/>
      <c r="M241" s="27"/>
      <c r="N241" s="41"/>
      <c r="O241" s="33">
        <v>562</v>
      </c>
      <c r="P241" s="41">
        <f>IF(Tabela1716[[#This Row],[New House Sales]]="",#N/A,((Tabela1716[[#This Row],[New House Sales]]*1)/O240)-1)</f>
        <v>1.7825311942958333E-3</v>
      </c>
      <c r="Q241" s="41">
        <f>IF(Tabela1716[[#This Row],[New House Sales]]="",#N/A,((Tabela1716[[#This Row],[New House Sales]]*1)/O229)-1)</f>
        <v>-5.8626465661641536E-2</v>
      </c>
      <c r="R241" s="27">
        <v>7.4</v>
      </c>
      <c r="S241" s="86"/>
      <c r="T241" s="28"/>
      <c r="V241" s="38"/>
      <c r="W241" s="9"/>
      <c r="X241" s="9"/>
    </row>
    <row r="242" spans="1:24" ht="12.75">
      <c r="A242" s="12">
        <v>29556</v>
      </c>
      <c r="B242" s="26">
        <v>14.95</v>
      </c>
      <c r="C242" s="27"/>
      <c r="D242" s="33">
        <v>1249</v>
      </c>
      <c r="E242" s="41">
        <f>IF(Tabela1716[[#This Row],[Building Permits]]="",#N/A,((Tabela1716[[#This Row],[Building Permits]]*1)/D230)-1)</f>
        <v>-3.9872408293460948E-3</v>
      </c>
      <c r="F242" s="33">
        <v>913</v>
      </c>
      <c r="G242" s="41">
        <f>IF(Tabela1716[[#This Row],[Houses Under Construction]]="",#N/A,((Tabela1716[[#This Row],[Houses Under Construction]]*1)/F230)-1)</f>
        <v>-0.21089023336214352</v>
      </c>
      <c r="H242" s="33">
        <v>1482</v>
      </c>
      <c r="I242" s="33">
        <f>IF(Tabela1716[[#This Row],[Housing Starts]]="",#N/A,Tabela1716[[#This Row],[Housing Starts]]-H241)</f>
        <v>-28</v>
      </c>
      <c r="J242" s="41">
        <f>IF(Tabela1716[[#This Row],[Housing Starts]]="",#N/A,((Tabela1716[[#This Row],[Housing Starts]]*1)/H230)-1)</f>
        <v>-1.0680907877169576E-2</v>
      </c>
      <c r="K242" s="26"/>
      <c r="L242" s="41"/>
      <c r="M242" s="27"/>
      <c r="N242" s="41"/>
      <c r="O242" s="33">
        <v>532</v>
      </c>
      <c r="P242" s="41">
        <f>IF(Tabela1716[[#This Row],[New House Sales]]="",#N/A,((Tabela1716[[#This Row],[New House Sales]]*1)/O241)-1)</f>
        <v>-5.3380782918149516E-2</v>
      </c>
      <c r="Q242" s="41">
        <f>IF(Tabela1716[[#This Row],[New House Sales]]="",#N/A,((Tabela1716[[#This Row],[New House Sales]]*1)/O230)-1)</f>
        <v>-4.8300536672629679E-2</v>
      </c>
      <c r="R242" s="27">
        <v>7.6</v>
      </c>
      <c r="S242" s="86"/>
      <c r="T242" s="28"/>
      <c r="W242" s="9"/>
      <c r="X242" s="9"/>
    </row>
    <row r="243" spans="1:24" ht="12.75">
      <c r="A243" s="12">
        <v>29587</v>
      </c>
      <c r="B243" s="26">
        <v>15.07</v>
      </c>
      <c r="C243" s="27"/>
      <c r="D243" s="33">
        <v>1221</v>
      </c>
      <c r="E243" s="41">
        <f>IF(Tabela1716[[#This Row],[Building Permits]]="",#N/A,((Tabela1716[[#This Row],[Building Permits]]*1)/D231)-1)</f>
        <v>-4.6093750000000044E-2</v>
      </c>
      <c r="F243" s="33">
        <v>930</v>
      </c>
      <c r="G243" s="41">
        <f>IF(Tabela1716[[#This Row],[Houses Under Construction]]="",#N/A,((Tabela1716[[#This Row],[Houses Under Construction]]*1)/F231)-1)</f>
        <v>-0.17989417989417988</v>
      </c>
      <c r="H243" s="33">
        <v>1547</v>
      </c>
      <c r="I243" s="33">
        <f>IF(Tabela1716[[#This Row],[Housing Starts]]="",#N/A,Tabela1716[[#This Row],[Housing Starts]]-H242)</f>
        <v>65</v>
      </c>
      <c r="J243" s="41">
        <f>IF(Tabela1716[[#This Row],[Housing Starts]]="",#N/A,((Tabela1716[[#This Row],[Housing Starts]]*1)/H231)-1)</f>
        <v>0.15361670395227445</v>
      </c>
      <c r="K243" s="26"/>
      <c r="L243" s="41"/>
      <c r="M243" s="27"/>
      <c r="N243" s="41"/>
      <c r="O243" s="33">
        <v>511</v>
      </c>
      <c r="P243" s="41">
        <f>IF(Tabela1716[[#This Row],[New House Sales]]="",#N/A,((Tabela1716[[#This Row],[New House Sales]]*1)/O242)-1)</f>
        <v>-3.9473684210526327E-2</v>
      </c>
      <c r="Q243" s="41">
        <f>IF(Tabela1716[[#This Row],[New House Sales]]="",#N/A,((Tabela1716[[#This Row],[New House Sales]]*1)/O231)-1)</f>
        <v>-0.13682432432432434</v>
      </c>
      <c r="R243" s="27">
        <v>8</v>
      </c>
      <c r="S243" s="86"/>
      <c r="T243" s="28"/>
      <c r="V243" s="38"/>
      <c r="W243" s="9"/>
      <c r="X243" s="9"/>
    </row>
    <row r="244" spans="1:24" ht="12.75">
      <c r="A244" s="12">
        <v>29618</v>
      </c>
      <c r="B244" s="26">
        <v>15.3</v>
      </c>
      <c r="C244" s="27"/>
      <c r="D244" s="33">
        <v>1199</v>
      </c>
      <c r="E244" s="41">
        <f>IF(Tabela1716[[#This Row],[Building Permits]]="",#N/A,((Tabela1716[[#This Row],[Building Permits]]*1)/D232)-1)</f>
        <v>0</v>
      </c>
      <c r="F244" s="33">
        <v>926</v>
      </c>
      <c r="G244" s="41">
        <f>IF(Tabela1716[[#This Row],[Houses Under Construction]]="",#N/A,((Tabela1716[[#This Row],[Houses Under Construction]]*1)/F232)-1)</f>
        <v>-0.13780260707635006</v>
      </c>
      <c r="H244" s="33">
        <v>1246</v>
      </c>
      <c r="I244" s="33">
        <f>IF(Tabela1716[[#This Row],[Housing Starts]]="",#N/A,Tabela1716[[#This Row],[Housing Starts]]-H243)</f>
        <v>-301</v>
      </c>
      <c r="J244" s="41">
        <f>IF(Tabela1716[[#This Row],[Housing Starts]]="",#N/A,((Tabela1716[[#This Row],[Housing Starts]]*1)/H232)-1)</f>
        <v>-7.7037037037037015E-2</v>
      </c>
      <c r="K244" s="26"/>
      <c r="L244" s="41"/>
      <c r="M244" s="27"/>
      <c r="N244" s="41"/>
      <c r="O244" s="33">
        <v>510</v>
      </c>
      <c r="P244" s="41">
        <f>IF(Tabela1716[[#This Row],[New House Sales]]="",#N/A,((Tabela1716[[#This Row],[New House Sales]]*1)/O243)-1)</f>
        <v>-1.9569471624266699E-3</v>
      </c>
      <c r="Q244" s="41">
        <f>IF(Tabela1716[[#This Row],[New House Sales]]="",#N/A,((Tabela1716[[#This Row],[New House Sales]]*1)/O232)-1)</f>
        <v>-5.7301293900184791E-2</v>
      </c>
      <c r="R244" s="27">
        <v>8.1</v>
      </c>
      <c r="S244" s="86"/>
      <c r="T244" s="28"/>
      <c r="W244" s="9"/>
      <c r="X244" s="9"/>
    </row>
    <row r="245" spans="1:24" ht="12.75">
      <c r="A245" s="12">
        <v>29646</v>
      </c>
      <c r="B245" s="26">
        <v>15.4</v>
      </c>
      <c r="C245" s="27"/>
      <c r="D245" s="33">
        <v>1183</v>
      </c>
      <c r="E245" s="41">
        <f>IF(Tabela1716[[#This Row],[Building Permits]]="",#N/A,((Tabela1716[[#This Row],[Building Permits]]*1)/D233)-1)</f>
        <v>0.19736842105263164</v>
      </c>
      <c r="F245" s="33">
        <v>915</v>
      </c>
      <c r="G245" s="41">
        <f>IF(Tabela1716[[#This Row],[Houses Under Construction]]="",#N/A,((Tabela1716[[#This Row],[Houses Under Construction]]*1)/F233)-1)</f>
        <v>-0.12356321839080464</v>
      </c>
      <c r="H245" s="33">
        <v>1306</v>
      </c>
      <c r="I245" s="33">
        <f>IF(Tabela1716[[#This Row],[Housing Starts]]="",#N/A,Tabela1716[[#This Row],[Housing Starts]]-H244)</f>
        <v>60</v>
      </c>
      <c r="J245" s="41">
        <f>IF(Tabela1716[[#This Row],[Housing Starts]]="",#N/A,((Tabela1716[[#This Row],[Housing Starts]]*1)/H233)-1)</f>
        <v>0.24737344794651395</v>
      </c>
      <c r="K245" s="26"/>
      <c r="L245" s="41"/>
      <c r="M245" s="27"/>
      <c r="N245" s="41"/>
      <c r="O245" s="33">
        <v>514</v>
      </c>
      <c r="P245" s="41">
        <f>IF(Tabela1716[[#This Row],[New House Sales]]="",#N/A,((Tabela1716[[#This Row],[New House Sales]]*1)/O244)-1)</f>
        <v>7.8431372549019329E-3</v>
      </c>
      <c r="Q245" s="41">
        <f>IF(Tabela1716[[#This Row],[New House Sales]]="",#N/A,((Tabela1716[[#This Row],[New House Sales]]*1)/O233)-1)</f>
        <v>8.4388185654008518E-2</v>
      </c>
      <c r="R245" s="27">
        <v>7.7</v>
      </c>
      <c r="S245" s="86"/>
      <c r="T245" s="28"/>
      <c r="V245" s="38"/>
      <c r="W245" s="9"/>
      <c r="X245" s="9"/>
    </row>
    <row r="246" spans="1:24" ht="12.75">
      <c r="A246" s="12">
        <v>29677</v>
      </c>
      <c r="B246" s="26">
        <v>15.77</v>
      </c>
      <c r="C246" s="27"/>
      <c r="D246" s="33">
        <v>1190</v>
      </c>
      <c r="E246" s="41">
        <f>IF(Tabela1716[[#This Row],[Building Permits]]="",#N/A,((Tabela1716[[#This Row],[Building Permits]]*1)/D234)-1)</f>
        <v>0.47277227722772275</v>
      </c>
      <c r="F246" s="33">
        <v>902</v>
      </c>
      <c r="G246" s="41">
        <f>IF(Tabela1716[[#This Row],[Houses Under Construction]]="",#N/A,((Tabela1716[[#This Row],[Houses Under Construction]]*1)/F234)-1)</f>
        <v>-7.5819672131147486E-2</v>
      </c>
      <c r="H246" s="33">
        <v>1360</v>
      </c>
      <c r="I246" s="33">
        <f>IF(Tabela1716[[#This Row],[Housing Starts]]="",#N/A,Tabela1716[[#This Row],[Housing Starts]]-H245)</f>
        <v>54</v>
      </c>
      <c r="J246" s="41">
        <f>IF(Tabela1716[[#This Row],[Housing Starts]]="",#N/A,((Tabela1716[[#This Row],[Housing Starts]]*1)/H234)-1)</f>
        <v>0.29400570884871557</v>
      </c>
      <c r="K246" s="26"/>
      <c r="L246" s="41"/>
      <c r="M246" s="27"/>
      <c r="N246" s="41"/>
      <c r="O246" s="33">
        <v>470</v>
      </c>
      <c r="P246" s="41">
        <f>IF(Tabela1716[[#This Row],[New House Sales]]="",#N/A,((Tabela1716[[#This Row],[New House Sales]]*1)/O245)-1)</f>
        <v>-8.5603112840466955E-2</v>
      </c>
      <c r="Q246" s="41">
        <f>IF(Tabela1716[[#This Row],[New House Sales]]="",#N/A,((Tabela1716[[#This Row],[New House Sales]]*1)/O234)-1)</f>
        <v>0.27027027027027017</v>
      </c>
      <c r="R246" s="27">
        <v>8.6</v>
      </c>
      <c r="S246" s="86"/>
      <c r="T246" s="28"/>
      <c r="W246" s="9"/>
      <c r="X246" s="9"/>
    </row>
    <row r="247" spans="1:24" ht="12.75">
      <c r="A247" s="12">
        <v>29707</v>
      </c>
      <c r="B247" s="26">
        <v>16.8</v>
      </c>
      <c r="C247" s="27"/>
      <c r="D247" s="33">
        <v>1173</v>
      </c>
      <c r="E247" s="41">
        <f>IF(Tabela1716[[#This Row],[Building Permits]]="",#N/A,((Tabela1716[[#This Row],[Building Permits]]*1)/D235)-1)</f>
        <v>0.36236933797909399</v>
      </c>
      <c r="F247" s="33">
        <v>887</v>
      </c>
      <c r="G247" s="41">
        <f>IF(Tabela1716[[#This Row],[Houses Under Construction]]="",#N/A,((Tabela1716[[#This Row],[Houses Under Construction]]*1)/F235)-1)</f>
        <v>-2.7412280701754388E-2</v>
      </c>
      <c r="H247" s="33">
        <v>1140</v>
      </c>
      <c r="I247" s="33">
        <f>IF(Tabela1716[[#This Row],[Housing Starts]]="",#N/A,Tabela1716[[#This Row],[Housing Starts]]-H246)</f>
        <v>-220</v>
      </c>
      <c r="J247" s="41">
        <f>IF(Tabela1716[[#This Row],[Housing Starts]]="",#N/A,((Tabela1716[[#This Row],[Housing Starts]]*1)/H235)-1)</f>
        <v>0.22977346278317157</v>
      </c>
      <c r="K247" s="26"/>
      <c r="L247" s="41"/>
      <c r="M247" s="27"/>
      <c r="N247" s="41"/>
      <c r="O247" s="33">
        <v>467</v>
      </c>
      <c r="P247" s="41">
        <f>IF(Tabela1716[[#This Row],[New House Sales]]="",#N/A,((Tabela1716[[#This Row],[New House Sales]]*1)/O246)-1)</f>
        <v>-6.382978723404209E-3</v>
      </c>
      <c r="Q247" s="41">
        <f>IF(Tabela1716[[#This Row],[New House Sales]]="",#N/A,((Tabela1716[[#This Row],[New House Sales]]*1)/O235)-1)</f>
        <v>-4.2643923240938131E-3</v>
      </c>
      <c r="R247" s="27">
        <v>8.4</v>
      </c>
      <c r="S247" s="86"/>
      <c r="T247" s="28"/>
      <c r="V247" s="38"/>
      <c r="W247" s="9"/>
      <c r="X247" s="9"/>
    </row>
    <row r="248" spans="1:24" ht="12.75">
      <c r="A248" s="12">
        <v>29738</v>
      </c>
      <c r="B248" s="26">
        <v>16.62</v>
      </c>
      <c r="C248" s="27"/>
      <c r="D248" s="33">
        <v>976</v>
      </c>
      <c r="E248" s="41">
        <f>IF(Tabela1716[[#This Row],[Building Permits]]="",#N/A,((Tabela1716[[#This Row],[Building Permits]]*1)/D236)-1)</f>
        <v>-0.12701252236135963</v>
      </c>
      <c r="F248" s="33">
        <v>854</v>
      </c>
      <c r="G248" s="41">
        <f>IF(Tabela1716[[#This Row],[Houses Under Construction]]="",#N/A,((Tabela1716[[#This Row],[Houses Under Construction]]*1)/F236)-1)</f>
        <v>-3.0646992054483513E-2</v>
      </c>
      <c r="H248" s="33">
        <v>1045</v>
      </c>
      <c r="I248" s="33">
        <f>IF(Tabela1716[[#This Row],[Housing Starts]]="",#N/A,Tabela1716[[#This Row],[Housing Starts]]-H247)</f>
        <v>-95</v>
      </c>
      <c r="J248" s="41">
        <f>IF(Tabela1716[[#This Row],[Housing Starts]]="",#N/A,((Tabela1716[[#This Row],[Housing Starts]]*1)/H236)-1)</f>
        <v>-0.12625418060200666</v>
      </c>
      <c r="K248" s="26"/>
      <c r="L248" s="41"/>
      <c r="M248" s="27"/>
      <c r="N248" s="41"/>
      <c r="O248" s="33">
        <v>415</v>
      </c>
      <c r="P248" s="41">
        <f>IF(Tabela1716[[#This Row],[New House Sales]]="",#N/A,((Tabela1716[[#This Row],[New House Sales]]*1)/O247)-1)</f>
        <v>-0.11134903640256955</v>
      </c>
      <c r="Q248" s="41">
        <f>IF(Tabela1716[[#This Row],[New House Sales]]="",#N/A,((Tabela1716[[#This Row],[New House Sales]]*1)/O236)-1)</f>
        <v>-0.24818840579710144</v>
      </c>
      <c r="R248" s="27">
        <v>9.1999999999999993</v>
      </c>
      <c r="S248" s="86"/>
      <c r="T248" s="28"/>
      <c r="W248" s="9"/>
      <c r="X248" s="9"/>
    </row>
    <row r="249" spans="1:24" ht="12.75">
      <c r="A249" s="12">
        <v>29768</v>
      </c>
      <c r="B249" s="26">
        <v>17.11</v>
      </c>
      <c r="C249" s="27"/>
      <c r="D249" s="33">
        <v>935</v>
      </c>
      <c r="E249" s="41">
        <f>IF(Tabela1716[[#This Row],[Building Permits]]="",#N/A,((Tabela1716[[#This Row],[Building Permits]]*1)/D237)-1)</f>
        <v>-0.25734710087370927</v>
      </c>
      <c r="F249" s="33">
        <v>827</v>
      </c>
      <c r="G249" s="41">
        <f>IF(Tabela1716[[#This Row],[Houses Under Construction]]="",#N/A,((Tabela1716[[#This Row],[Houses Under Construction]]*1)/F237)-1)</f>
        <v>-3.8372093023255838E-2</v>
      </c>
      <c r="H249" s="33">
        <v>1041</v>
      </c>
      <c r="I249" s="33">
        <f>IF(Tabela1716[[#This Row],[Housing Starts]]="",#N/A,Tabela1716[[#This Row],[Housing Starts]]-H248)</f>
        <v>-4</v>
      </c>
      <c r="J249" s="41">
        <f>IF(Tabela1716[[#This Row],[Housing Starts]]="",#N/A,((Tabela1716[[#This Row],[Housing Starts]]*1)/H237)-1)</f>
        <v>-0.17966903073286056</v>
      </c>
      <c r="K249" s="26"/>
      <c r="L249" s="41"/>
      <c r="M249" s="27"/>
      <c r="N249" s="41"/>
      <c r="O249" s="33">
        <v>431</v>
      </c>
      <c r="P249" s="41">
        <f>IF(Tabela1716[[#This Row],[New House Sales]]="",#N/A,((Tabela1716[[#This Row],[New House Sales]]*1)/O248)-1)</f>
        <v>3.8554216867469959E-2</v>
      </c>
      <c r="Q249" s="41">
        <f>IF(Tabela1716[[#This Row],[New House Sales]]="",#N/A,((Tabela1716[[#This Row],[New House Sales]]*1)/O237)-1)</f>
        <v>-0.32232704402515722</v>
      </c>
      <c r="R249" s="27">
        <v>9</v>
      </c>
      <c r="S249" s="86"/>
      <c r="T249" s="28"/>
      <c r="V249" s="38"/>
      <c r="W249" s="9"/>
      <c r="X249" s="9"/>
    </row>
    <row r="250" spans="1:24" ht="12.75">
      <c r="A250" s="12">
        <v>29799</v>
      </c>
      <c r="B250" s="26">
        <v>17.48</v>
      </c>
      <c r="C250" s="27"/>
      <c r="D250" s="33">
        <v>889</v>
      </c>
      <c r="E250" s="41">
        <f>IF(Tabela1716[[#This Row],[Building Permits]]="",#N/A,((Tabela1716[[#This Row],[Building Permits]]*1)/D238)-1)</f>
        <v>-0.34967081199707384</v>
      </c>
      <c r="F250" s="33">
        <v>801</v>
      </c>
      <c r="G250" s="41">
        <f>IF(Tabela1716[[#This Row],[Houses Under Construction]]="",#N/A,((Tabela1716[[#This Row],[Houses Under Construction]]*1)/F238)-1)</f>
        <v>-6.2060889929742347E-2</v>
      </c>
      <c r="H250" s="33">
        <v>940</v>
      </c>
      <c r="I250" s="33">
        <f>IF(Tabela1716[[#This Row],[Housing Starts]]="",#N/A,Tabela1716[[#This Row],[Housing Starts]]-H249)</f>
        <v>-101</v>
      </c>
      <c r="J250" s="41">
        <f>IF(Tabela1716[[#This Row],[Housing Starts]]="",#N/A,((Tabela1716[[#This Row],[Housing Starts]]*1)/H238)-1)</f>
        <v>-0.34540389972144847</v>
      </c>
      <c r="K250" s="26"/>
      <c r="L250" s="41"/>
      <c r="M250" s="27"/>
      <c r="N250" s="41"/>
      <c r="O250" s="33">
        <v>378</v>
      </c>
      <c r="P250" s="41">
        <f>IF(Tabela1716[[#This Row],[New House Sales]]="",#N/A,((Tabela1716[[#This Row],[New House Sales]]*1)/O249)-1)</f>
        <v>-0.12296983758700697</v>
      </c>
      <c r="Q250" s="41">
        <f>IF(Tabela1716[[#This Row],[New House Sales]]="",#N/A,((Tabela1716[[#This Row],[New House Sales]]*1)/O238)-1)</f>
        <v>-0.42640364188163882</v>
      </c>
      <c r="R250" s="27">
        <v>9.8000000000000007</v>
      </c>
      <c r="S250" s="86"/>
      <c r="T250" s="28"/>
      <c r="W250" s="9"/>
      <c r="X250" s="9"/>
    </row>
    <row r="251" spans="1:24" ht="12.75">
      <c r="A251" s="12">
        <v>29830</v>
      </c>
      <c r="B251" s="26">
        <v>18.36</v>
      </c>
      <c r="C251" s="27"/>
      <c r="D251" s="33">
        <v>847</v>
      </c>
      <c r="E251" s="41">
        <f>IF(Tabela1716[[#This Row],[Building Permits]]="",#N/A,((Tabela1716[[#This Row],[Building Permits]]*1)/D239)-1)</f>
        <v>-0.42924528301886788</v>
      </c>
      <c r="F251" s="33">
        <v>770</v>
      </c>
      <c r="G251" s="41">
        <f>IF(Tabela1716[[#This Row],[Houses Under Construction]]="",#N/A,((Tabela1716[[#This Row],[Houses Under Construction]]*1)/F239)-1)</f>
        <v>-0.11798396334478811</v>
      </c>
      <c r="H251" s="33">
        <v>911</v>
      </c>
      <c r="I251" s="33">
        <f>IF(Tabela1716[[#This Row],[Housing Starts]]="",#N/A,Tabela1716[[#This Row],[Housing Starts]]-H250)</f>
        <v>-29</v>
      </c>
      <c r="J251" s="41">
        <f>IF(Tabela1716[[#This Row],[Housing Starts]]="",#N/A,((Tabela1716[[#This Row],[Housing Starts]]*1)/H239)-1)</f>
        <v>-0.38069340584636302</v>
      </c>
      <c r="K251" s="26"/>
      <c r="L251" s="41"/>
      <c r="M251" s="27"/>
      <c r="N251" s="41"/>
      <c r="O251" s="33">
        <v>338</v>
      </c>
      <c r="P251" s="41">
        <f>IF(Tabela1716[[#This Row],[New House Sales]]="",#N/A,((Tabela1716[[#This Row],[New House Sales]]*1)/O250)-1)</f>
        <v>-0.10582010582010581</v>
      </c>
      <c r="Q251" s="41">
        <f>IF(Tabela1716[[#This Row],[New House Sales]]="",#N/A,((Tabela1716[[#This Row],[New House Sales]]*1)/O239)-1)</f>
        <v>-0.43288590604026844</v>
      </c>
      <c r="R251" s="27">
        <v>11.3</v>
      </c>
      <c r="S251" s="86"/>
      <c r="T251" s="28"/>
      <c r="V251" s="38"/>
      <c r="W251" s="9"/>
      <c r="X251" s="9"/>
    </row>
    <row r="252" spans="1:24" ht="12.75">
      <c r="A252" s="12">
        <v>29860</v>
      </c>
      <c r="B252" s="26">
        <v>18.440000000000001</v>
      </c>
      <c r="C252" s="27"/>
      <c r="D252" s="33">
        <v>731</v>
      </c>
      <c r="E252" s="41">
        <f>IF(Tabela1716[[#This Row],[Building Permits]]="",#N/A,((Tabela1716[[#This Row],[Building Permits]]*1)/D240)-1)</f>
        <v>-0.46486090775988287</v>
      </c>
      <c r="F252" s="33">
        <v>737</v>
      </c>
      <c r="G252" s="41">
        <f>IF(Tabela1716[[#This Row],[Houses Under Construction]]="",#N/A,((Tabela1716[[#This Row],[Houses Under Construction]]*1)/F240)-1)</f>
        <v>-0.17561521252796419</v>
      </c>
      <c r="H252" s="33">
        <v>873</v>
      </c>
      <c r="I252" s="33">
        <f>IF(Tabela1716[[#This Row],[Housing Starts]]="",#N/A,Tabela1716[[#This Row],[Housing Starts]]-H251)</f>
        <v>-38</v>
      </c>
      <c r="J252" s="41">
        <f>IF(Tabela1716[[#This Row],[Housing Starts]]="",#N/A,((Tabela1716[[#This Row],[Housing Starts]]*1)/H240)-1)</f>
        <v>-0.42678923177938277</v>
      </c>
      <c r="K252" s="26"/>
      <c r="L252" s="41"/>
      <c r="M252" s="27"/>
      <c r="N252" s="41"/>
      <c r="O252" s="33">
        <v>356</v>
      </c>
      <c r="P252" s="41">
        <f>IF(Tabela1716[[#This Row],[New House Sales]]="",#N/A,((Tabela1716[[#This Row],[New House Sales]]*1)/O251)-1)</f>
        <v>5.3254437869822535E-2</v>
      </c>
      <c r="Q252" s="41">
        <f>IF(Tabela1716[[#This Row],[New House Sales]]="",#N/A,((Tabela1716[[#This Row],[New House Sales]]*1)/O240)-1)</f>
        <v>-0.36541889483065959</v>
      </c>
      <c r="R252" s="27">
        <v>10.3</v>
      </c>
      <c r="S252" s="86"/>
      <c r="T252" s="28"/>
      <c r="W252" s="9"/>
      <c r="X252" s="9"/>
    </row>
    <row r="253" spans="1:24" ht="12.75">
      <c r="A253" s="12">
        <v>29891</v>
      </c>
      <c r="B253" s="26">
        <v>17.21</v>
      </c>
      <c r="C253" s="27"/>
      <c r="D253" s="33">
        <v>748</v>
      </c>
      <c r="E253" s="41">
        <f>IF(Tabela1716[[#This Row],[Building Permits]]="",#N/A,((Tabela1716[[#This Row],[Building Permits]]*1)/D241)-1)</f>
        <v>-0.45914678235719453</v>
      </c>
      <c r="F253" s="33">
        <v>711</v>
      </c>
      <c r="G253" s="41">
        <f>IF(Tabela1716[[#This Row],[Houses Under Construction]]="",#N/A,((Tabela1716[[#This Row],[Houses Under Construction]]*1)/F241)-1)</f>
        <v>-0.21523178807947019</v>
      </c>
      <c r="H253" s="33">
        <v>837</v>
      </c>
      <c r="I253" s="33">
        <f>IF(Tabela1716[[#This Row],[Housing Starts]]="",#N/A,Tabela1716[[#This Row],[Housing Starts]]-H252)</f>
        <v>-36</v>
      </c>
      <c r="J253" s="41">
        <f>IF(Tabela1716[[#This Row],[Housing Starts]]="",#N/A,((Tabela1716[[#This Row],[Housing Starts]]*1)/H241)-1)</f>
        <v>-0.44569536423841061</v>
      </c>
      <c r="K253" s="26"/>
      <c r="L253" s="41"/>
      <c r="M253" s="27"/>
      <c r="N253" s="41"/>
      <c r="O253" s="33">
        <v>382</v>
      </c>
      <c r="P253" s="41">
        <f>IF(Tabela1716[[#This Row],[New House Sales]]="",#N/A,((Tabela1716[[#This Row],[New House Sales]]*1)/O252)-1)</f>
        <v>7.3033707865168607E-2</v>
      </c>
      <c r="Q253" s="41">
        <f>IF(Tabela1716[[#This Row],[New House Sales]]="",#N/A,((Tabela1716[[#This Row],[New House Sales]]*1)/O241)-1)</f>
        <v>-0.32028469750889677</v>
      </c>
      <c r="R253" s="27">
        <v>9.1</v>
      </c>
      <c r="S253" s="86"/>
      <c r="T253" s="28"/>
      <c r="V253" s="38"/>
      <c r="W253" s="9"/>
      <c r="X253" s="9"/>
    </row>
    <row r="254" spans="1:24" ht="12.75">
      <c r="A254" s="12">
        <v>29921</v>
      </c>
      <c r="B254" s="26">
        <v>17.04</v>
      </c>
      <c r="C254" s="27"/>
      <c r="D254" s="33">
        <v>796</v>
      </c>
      <c r="E254" s="41">
        <f>IF(Tabela1716[[#This Row],[Building Permits]]="",#N/A,((Tabela1716[[#This Row],[Building Permits]]*1)/D242)-1)</f>
        <v>-0.36269015212169731</v>
      </c>
      <c r="F254" s="33">
        <v>694</v>
      </c>
      <c r="G254" s="41">
        <f>IF(Tabela1716[[#This Row],[Houses Under Construction]]="",#N/A,((Tabela1716[[#This Row],[Houses Under Construction]]*1)/F242)-1)</f>
        <v>-0.23986856516976995</v>
      </c>
      <c r="H254" s="33">
        <v>910</v>
      </c>
      <c r="I254" s="33">
        <f>IF(Tabela1716[[#This Row],[Housing Starts]]="",#N/A,Tabela1716[[#This Row],[Housing Starts]]-H253)</f>
        <v>73</v>
      </c>
      <c r="J254" s="41">
        <f>IF(Tabela1716[[#This Row],[Housing Starts]]="",#N/A,((Tabela1716[[#This Row],[Housing Starts]]*1)/H242)-1)</f>
        <v>-0.38596491228070173</v>
      </c>
      <c r="K254" s="26"/>
      <c r="L254" s="41"/>
      <c r="M254" s="27"/>
      <c r="N254" s="41"/>
      <c r="O254" s="33">
        <v>457</v>
      </c>
      <c r="P254" s="41">
        <f>IF(Tabela1716[[#This Row],[New House Sales]]="",#N/A,((Tabela1716[[#This Row],[New House Sales]]*1)/O253)-1)</f>
        <v>0.19633507853403143</v>
      </c>
      <c r="Q254" s="41">
        <f>IF(Tabela1716[[#This Row],[New House Sales]]="",#N/A,((Tabela1716[[#This Row],[New House Sales]]*1)/O242)-1)</f>
        <v>-0.14097744360902253</v>
      </c>
      <c r="R254" s="27">
        <v>7.1</v>
      </c>
      <c r="S254" s="86"/>
      <c r="T254" s="28"/>
      <c r="W254" s="9"/>
      <c r="X254" s="9"/>
    </row>
    <row r="255" spans="1:24" ht="12.75">
      <c r="A255" s="12">
        <v>29952</v>
      </c>
      <c r="B255" s="26">
        <v>17.59</v>
      </c>
      <c r="C255" s="27"/>
      <c r="D255" s="33">
        <v>794</v>
      </c>
      <c r="E255" s="41">
        <f>IF(Tabela1716[[#This Row],[Building Permits]]="",#N/A,((Tabela1716[[#This Row],[Building Permits]]*1)/D243)-1)</f>
        <v>-0.34971334971334966</v>
      </c>
      <c r="F255" s="33">
        <v>686</v>
      </c>
      <c r="G255" s="41">
        <f>IF(Tabela1716[[#This Row],[Houses Under Construction]]="",#N/A,((Tabela1716[[#This Row],[Houses Under Construction]]*1)/F243)-1)</f>
        <v>-0.26236559139784943</v>
      </c>
      <c r="H255" s="33">
        <v>843</v>
      </c>
      <c r="I255" s="33">
        <f>IF(Tabela1716[[#This Row],[Housing Starts]]="",#N/A,Tabela1716[[#This Row],[Housing Starts]]-H254)</f>
        <v>-67</v>
      </c>
      <c r="J255" s="41">
        <f>IF(Tabela1716[[#This Row],[Housing Starts]]="",#N/A,((Tabela1716[[#This Row],[Housing Starts]]*1)/H243)-1)</f>
        <v>-0.45507433742727865</v>
      </c>
      <c r="K255" s="26"/>
      <c r="L255" s="41"/>
      <c r="M255" s="27"/>
      <c r="N255" s="41"/>
      <c r="O255" s="33">
        <v>368</v>
      </c>
      <c r="P255" s="41">
        <f>IF(Tabela1716[[#This Row],[New House Sales]]="",#N/A,((Tabela1716[[#This Row],[New House Sales]]*1)/O254)-1)</f>
        <v>-0.19474835886214437</v>
      </c>
      <c r="Q255" s="41">
        <f>IF(Tabela1716[[#This Row],[New House Sales]]="",#N/A,((Tabela1716[[#This Row],[New House Sales]]*1)/O243)-1)</f>
        <v>-0.27984344422700591</v>
      </c>
      <c r="R255" s="27">
        <v>8.9</v>
      </c>
      <c r="S255" s="86"/>
      <c r="T255" s="28"/>
      <c r="V255" s="38"/>
      <c r="W255" s="9"/>
      <c r="X255" s="9"/>
    </row>
    <row r="256" spans="1:24" ht="12.75">
      <c r="A256" s="12">
        <v>29983</v>
      </c>
      <c r="B256" s="26">
        <v>17.52</v>
      </c>
      <c r="C256" s="27"/>
      <c r="D256" s="33">
        <v>808</v>
      </c>
      <c r="E256" s="41">
        <f>IF(Tabela1716[[#This Row],[Building Permits]]="",#N/A,((Tabela1716[[#This Row],[Building Permits]]*1)/D244)-1)</f>
        <v>-0.32610508757297751</v>
      </c>
      <c r="F256" s="33">
        <v>687</v>
      </c>
      <c r="G256" s="41">
        <f>IF(Tabela1716[[#This Row],[Houses Under Construction]]="",#N/A,((Tabela1716[[#This Row],[Houses Under Construction]]*1)/F244)-1)</f>
        <v>-0.25809935205183587</v>
      </c>
      <c r="H256" s="33">
        <v>866</v>
      </c>
      <c r="I256" s="33">
        <f>IF(Tabela1716[[#This Row],[Housing Starts]]="",#N/A,Tabela1716[[#This Row],[Housing Starts]]-H255)</f>
        <v>23</v>
      </c>
      <c r="J256" s="41">
        <f>IF(Tabela1716[[#This Row],[Housing Starts]]="",#N/A,((Tabela1716[[#This Row],[Housing Starts]]*1)/H244)-1)</f>
        <v>-0.304975922953451</v>
      </c>
      <c r="K256" s="26"/>
      <c r="L256" s="41"/>
      <c r="M256" s="27"/>
      <c r="N256" s="41"/>
      <c r="O256" s="33">
        <v>365</v>
      </c>
      <c r="P256" s="41">
        <f>IF(Tabela1716[[#This Row],[New House Sales]]="",#N/A,((Tabela1716[[#This Row],[New House Sales]]*1)/O255)-1)</f>
        <v>-8.152173913043459E-3</v>
      </c>
      <c r="Q256" s="41">
        <f>IF(Tabela1716[[#This Row],[New House Sales]]="",#N/A,((Tabela1716[[#This Row],[New House Sales]]*1)/O244)-1)</f>
        <v>-0.28431372549019607</v>
      </c>
      <c r="R256" s="27">
        <v>9.1999999999999993</v>
      </c>
      <c r="S256" s="86"/>
      <c r="T256" s="28"/>
      <c r="W256" s="9"/>
      <c r="X256" s="9"/>
    </row>
    <row r="257" spans="1:24" ht="12.75">
      <c r="A257" s="12">
        <v>30011</v>
      </c>
      <c r="B257" s="26">
        <v>17.04</v>
      </c>
      <c r="C257" s="27"/>
      <c r="D257" s="33">
        <v>891</v>
      </c>
      <c r="E257" s="41">
        <f>IF(Tabela1716[[#This Row],[Building Permits]]="",#N/A,((Tabela1716[[#This Row],[Building Permits]]*1)/D245)-1)</f>
        <v>-0.2468300929839391</v>
      </c>
      <c r="F257" s="33">
        <v>676</v>
      </c>
      <c r="G257" s="41">
        <f>IF(Tabela1716[[#This Row],[Houses Under Construction]]="",#N/A,((Tabela1716[[#This Row],[Houses Under Construction]]*1)/F245)-1)</f>
        <v>-0.26120218579234977</v>
      </c>
      <c r="H257" s="33">
        <v>931</v>
      </c>
      <c r="I257" s="33">
        <f>IF(Tabela1716[[#This Row],[Housing Starts]]="",#N/A,Tabela1716[[#This Row],[Housing Starts]]-H256)</f>
        <v>65</v>
      </c>
      <c r="J257" s="41">
        <f>IF(Tabela1716[[#This Row],[Housing Starts]]="",#N/A,((Tabela1716[[#This Row],[Housing Starts]]*1)/H245)-1)</f>
        <v>-0.28713629402756513</v>
      </c>
      <c r="K257" s="26"/>
      <c r="L257" s="41"/>
      <c r="M257" s="27"/>
      <c r="N257" s="41"/>
      <c r="O257" s="33">
        <v>374</v>
      </c>
      <c r="P257" s="41">
        <f>IF(Tabela1716[[#This Row],[New House Sales]]="",#N/A,((Tabela1716[[#This Row],[New House Sales]]*1)/O256)-1)</f>
        <v>2.4657534246575352E-2</v>
      </c>
      <c r="Q257" s="41">
        <f>IF(Tabela1716[[#This Row],[New House Sales]]="",#N/A,((Tabela1716[[#This Row],[New House Sales]]*1)/O245)-1)</f>
        <v>-0.27237354085603116</v>
      </c>
      <c r="R257" s="27">
        <v>8.6999999999999993</v>
      </c>
      <c r="S257" s="86"/>
      <c r="T257" s="28"/>
      <c r="V257" s="38"/>
      <c r="W257" s="9"/>
      <c r="X257" s="9"/>
    </row>
    <row r="258" spans="1:24" ht="12.75">
      <c r="A258" s="12">
        <v>30042</v>
      </c>
      <c r="B258" s="26">
        <v>16.809999999999999</v>
      </c>
      <c r="C258" s="27"/>
      <c r="D258" s="33">
        <v>888</v>
      </c>
      <c r="E258" s="41">
        <f>IF(Tabela1716[[#This Row],[Building Permits]]="",#N/A,((Tabela1716[[#This Row],[Building Permits]]*1)/D246)-1)</f>
        <v>-0.253781512605042</v>
      </c>
      <c r="F258" s="33">
        <v>669</v>
      </c>
      <c r="G258" s="41">
        <f>IF(Tabela1716[[#This Row],[Houses Under Construction]]="",#N/A,((Tabela1716[[#This Row],[Houses Under Construction]]*1)/F246)-1)</f>
        <v>-0.25831485587583147</v>
      </c>
      <c r="H258" s="33">
        <v>917</v>
      </c>
      <c r="I258" s="33">
        <f>IF(Tabela1716[[#This Row],[Housing Starts]]="",#N/A,Tabela1716[[#This Row],[Housing Starts]]-H257)</f>
        <v>-14</v>
      </c>
      <c r="J258" s="41">
        <f>IF(Tabela1716[[#This Row],[Housing Starts]]="",#N/A,((Tabela1716[[#This Row],[Housing Starts]]*1)/H246)-1)</f>
        <v>-0.32573529411764701</v>
      </c>
      <c r="K258" s="26"/>
      <c r="L258" s="41"/>
      <c r="M258" s="27"/>
      <c r="N258" s="41"/>
      <c r="O258" s="33">
        <v>339</v>
      </c>
      <c r="P258" s="41">
        <f>IF(Tabela1716[[#This Row],[New House Sales]]="",#N/A,((Tabela1716[[#This Row],[New House Sales]]*1)/O257)-1)</f>
        <v>-9.35828877005348E-2</v>
      </c>
      <c r="Q258" s="41">
        <f>IF(Tabela1716[[#This Row],[New House Sales]]="",#N/A,((Tabela1716[[#This Row],[New House Sales]]*1)/O246)-1)</f>
        <v>-0.27872340425531916</v>
      </c>
      <c r="R258" s="27">
        <v>9.4</v>
      </c>
      <c r="S258" s="86"/>
      <c r="T258" s="28"/>
      <c r="W258" s="9"/>
      <c r="X258" s="9"/>
    </row>
    <row r="259" spans="1:24" ht="12.75">
      <c r="A259" s="12">
        <v>30072</v>
      </c>
      <c r="B259" s="26">
        <v>16.63</v>
      </c>
      <c r="C259" s="27"/>
      <c r="D259" s="33">
        <v>953</v>
      </c>
      <c r="E259" s="41">
        <f>IF(Tabela1716[[#This Row],[Building Permits]]="",#N/A,((Tabela1716[[#This Row],[Building Permits]]*1)/D247)-1)</f>
        <v>-0.18755328218243816</v>
      </c>
      <c r="F259" s="33">
        <v>661</v>
      </c>
      <c r="G259" s="41">
        <f>IF(Tabela1716[[#This Row],[Houses Under Construction]]="",#N/A,((Tabela1716[[#This Row],[Houses Under Construction]]*1)/F247)-1)</f>
        <v>-0.25479143179255914</v>
      </c>
      <c r="H259" s="33">
        <v>1025</v>
      </c>
      <c r="I259" s="33">
        <f>IF(Tabela1716[[#This Row],[Housing Starts]]="",#N/A,Tabela1716[[#This Row],[Housing Starts]]-H258)</f>
        <v>108</v>
      </c>
      <c r="J259" s="41">
        <f>IF(Tabela1716[[#This Row],[Housing Starts]]="",#N/A,((Tabela1716[[#This Row],[Housing Starts]]*1)/H247)-1)</f>
        <v>-0.10087719298245612</v>
      </c>
      <c r="K259" s="26"/>
      <c r="L259" s="41"/>
      <c r="M259" s="27"/>
      <c r="N259" s="41"/>
      <c r="O259" s="33">
        <v>384</v>
      </c>
      <c r="P259" s="41">
        <f>IF(Tabela1716[[#This Row],[New House Sales]]="",#N/A,((Tabela1716[[#This Row],[New House Sales]]*1)/O258)-1)</f>
        <v>0.13274336283185839</v>
      </c>
      <c r="Q259" s="41">
        <f>IF(Tabela1716[[#This Row],[New House Sales]]="",#N/A,((Tabela1716[[#This Row],[New House Sales]]*1)/O247)-1)</f>
        <v>-0.17773019271948609</v>
      </c>
      <c r="R259" s="27">
        <v>8.3000000000000007</v>
      </c>
      <c r="S259" s="86"/>
      <c r="T259" s="28"/>
      <c r="V259" s="38"/>
      <c r="W259" s="9"/>
      <c r="X259" s="9"/>
    </row>
    <row r="260" spans="1:24" ht="12.75">
      <c r="A260" s="12">
        <v>30103</v>
      </c>
      <c r="B260" s="26">
        <v>16.73</v>
      </c>
      <c r="C260" s="27"/>
      <c r="D260" s="33">
        <v>913</v>
      </c>
      <c r="E260" s="41">
        <f>IF(Tabela1716[[#This Row],[Building Permits]]="",#N/A,((Tabela1716[[#This Row],[Building Permits]]*1)/D248)-1)</f>
        <v>-6.4549180327868827E-2</v>
      </c>
      <c r="F260" s="33">
        <v>654</v>
      </c>
      <c r="G260" s="41">
        <f>IF(Tabela1716[[#This Row],[Houses Under Construction]]="",#N/A,((Tabela1716[[#This Row],[Houses Under Construction]]*1)/F248)-1)</f>
        <v>-0.23419203747072603</v>
      </c>
      <c r="H260" s="33">
        <v>902</v>
      </c>
      <c r="I260" s="33">
        <f>IF(Tabela1716[[#This Row],[Housing Starts]]="",#N/A,Tabela1716[[#This Row],[Housing Starts]]-H259)</f>
        <v>-123</v>
      </c>
      <c r="J260" s="41">
        <f>IF(Tabela1716[[#This Row],[Housing Starts]]="",#N/A,((Tabela1716[[#This Row],[Housing Starts]]*1)/H248)-1)</f>
        <v>-0.13684210526315788</v>
      </c>
      <c r="K260" s="26"/>
      <c r="L260" s="41"/>
      <c r="M260" s="27"/>
      <c r="N260" s="41"/>
      <c r="O260" s="33">
        <v>370</v>
      </c>
      <c r="P260" s="41">
        <f>IF(Tabela1716[[#This Row],[New House Sales]]="",#N/A,((Tabela1716[[#This Row],[New House Sales]]*1)/O259)-1)</f>
        <v>-3.645833333333337E-2</v>
      </c>
      <c r="Q260" s="41">
        <f>IF(Tabela1716[[#This Row],[New House Sales]]="",#N/A,((Tabela1716[[#This Row],[New House Sales]]*1)/O248)-1)</f>
        <v>-0.10843373493975905</v>
      </c>
      <c r="R260" s="27">
        <v>8.3000000000000007</v>
      </c>
      <c r="S260" s="86"/>
      <c r="T260" s="28"/>
      <c r="W260" s="9"/>
      <c r="X260" s="9"/>
    </row>
    <row r="261" spans="1:24" ht="12.75">
      <c r="A261" s="12">
        <v>30133</v>
      </c>
      <c r="B261" s="26">
        <v>16.649999999999999</v>
      </c>
      <c r="C261" s="27"/>
      <c r="D261" s="33">
        <v>1044</v>
      </c>
      <c r="E261" s="41">
        <f>IF(Tabela1716[[#This Row],[Building Permits]]="",#N/A,((Tabela1716[[#This Row],[Building Permits]]*1)/D249)-1)</f>
        <v>0.11657754010695198</v>
      </c>
      <c r="F261" s="33">
        <v>668</v>
      </c>
      <c r="G261" s="41">
        <f>IF(Tabela1716[[#This Row],[Houses Under Construction]]="",#N/A,((Tabela1716[[#This Row],[Houses Under Construction]]*1)/F249)-1)</f>
        <v>-0.19226118500604594</v>
      </c>
      <c r="H261" s="33">
        <v>1166</v>
      </c>
      <c r="I261" s="33">
        <f>IF(Tabela1716[[#This Row],[Housing Starts]]="",#N/A,Tabela1716[[#This Row],[Housing Starts]]-H260)</f>
        <v>264</v>
      </c>
      <c r="J261" s="41">
        <f>IF(Tabela1716[[#This Row],[Housing Starts]]="",#N/A,((Tabela1716[[#This Row],[Housing Starts]]*1)/H249)-1)</f>
        <v>0.12007684918347739</v>
      </c>
      <c r="K261" s="26"/>
      <c r="L261" s="41"/>
      <c r="M261" s="27"/>
      <c r="N261" s="41"/>
      <c r="O261" s="33">
        <v>375</v>
      </c>
      <c r="P261" s="41">
        <f>IF(Tabela1716[[#This Row],[New House Sales]]="",#N/A,((Tabela1716[[#This Row],[New House Sales]]*1)/O260)-1)</f>
        <v>1.3513513513513598E-2</v>
      </c>
      <c r="Q261" s="41">
        <f>IF(Tabela1716[[#This Row],[New House Sales]]="",#N/A,((Tabela1716[[#This Row],[New House Sales]]*1)/O249)-1)</f>
        <v>-0.12993039443155452</v>
      </c>
      <c r="R261" s="27">
        <v>8.1999999999999993</v>
      </c>
      <c r="S261" s="86"/>
      <c r="T261" s="28"/>
      <c r="V261" s="38"/>
      <c r="W261" s="9"/>
      <c r="X261" s="9"/>
    </row>
    <row r="262" spans="1:24" ht="12.75">
      <c r="A262" s="12">
        <v>30164</v>
      </c>
      <c r="B262" s="26">
        <v>15.88</v>
      </c>
      <c r="C262" s="27"/>
      <c r="D262" s="33">
        <v>926</v>
      </c>
      <c r="E262" s="41">
        <f>IF(Tabela1716[[#This Row],[Building Permits]]="",#N/A,((Tabela1716[[#This Row],[Building Permits]]*1)/D250)-1)</f>
        <v>4.1619797525309421E-2</v>
      </c>
      <c r="F262" s="33">
        <v>670</v>
      </c>
      <c r="G262" s="41">
        <f>IF(Tabela1716[[#This Row],[Houses Under Construction]]="",#N/A,((Tabela1716[[#This Row],[Houses Under Construction]]*1)/F250)-1)</f>
        <v>-0.16354556803995002</v>
      </c>
      <c r="H262" s="33">
        <v>1046</v>
      </c>
      <c r="I262" s="33">
        <f>IF(Tabela1716[[#This Row],[Housing Starts]]="",#N/A,Tabela1716[[#This Row],[Housing Starts]]-H261)</f>
        <v>-120</v>
      </c>
      <c r="J262" s="41">
        <f>IF(Tabela1716[[#This Row],[Housing Starts]]="",#N/A,((Tabela1716[[#This Row],[Housing Starts]]*1)/H250)-1)</f>
        <v>0.11276595744680851</v>
      </c>
      <c r="K262" s="26"/>
      <c r="L262" s="41"/>
      <c r="M262" s="27"/>
      <c r="N262" s="41"/>
      <c r="O262" s="33">
        <v>407</v>
      </c>
      <c r="P262" s="41">
        <f>IF(Tabela1716[[#This Row],[New House Sales]]="",#N/A,((Tabela1716[[#This Row],[New House Sales]]*1)/O261)-1)</f>
        <v>8.5333333333333261E-2</v>
      </c>
      <c r="Q262" s="41">
        <f>IF(Tabela1716[[#This Row],[New House Sales]]="",#N/A,((Tabela1716[[#This Row],[New House Sales]]*1)/O250)-1)</f>
        <v>7.6719576719576743E-2</v>
      </c>
      <c r="R262" s="27">
        <v>7.1</v>
      </c>
      <c r="S262" s="86"/>
      <c r="T262" s="28"/>
      <c r="W262" s="9"/>
      <c r="X262" s="9"/>
    </row>
    <row r="263" spans="1:24" ht="12.75">
      <c r="A263" s="12">
        <v>30195</v>
      </c>
      <c r="B263" s="26">
        <v>15.19</v>
      </c>
      <c r="C263" s="27"/>
      <c r="D263" s="33">
        <v>1042</v>
      </c>
      <c r="E263" s="41">
        <f>IF(Tabela1716[[#This Row],[Building Permits]]="",#N/A,((Tabela1716[[#This Row],[Building Permits]]*1)/D251)-1)</f>
        <v>0.23022432113341207</v>
      </c>
      <c r="F263" s="33">
        <v>686</v>
      </c>
      <c r="G263" s="41">
        <f>IF(Tabela1716[[#This Row],[Houses Under Construction]]="",#N/A,((Tabela1716[[#This Row],[Houses Under Construction]]*1)/F251)-1)</f>
        <v>-0.10909090909090913</v>
      </c>
      <c r="H263" s="33">
        <v>1144</v>
      </c>
      <c r="I263" s="33">
        <f>IF(Tabela1716[[#This Row],[Housing Starts]]="",#N/A,Tabela1716[[#This Row],[Housing Starts]]-H262)</f>
        <v>98</v>
      </c>
      <c r="J263" s="41">
        <f>IF(Tabela1716[[#This Row],[Housing Starts]]="",#N/A,((Tabela1716[[#This Row],[Housing Starts]]*1)/H251)-1)</f>
        <v>0.25576289791437978</v>
      </c>
      <c r="K263" s="26"/>
      <c r="L263" s="41"/>
      <c r="M263" s="27"/>
      <c r="N263" s="41"/>
      <c r="O263" s="33">
        <v>481</v>
      </c>
      <c r="P263" s="41">
        <f>IF(Tabela1716[[#This Row],[New House Sales]]="",#N/A,((Tabela1716[[#This Row],[New House Sales]]*1)/O262)-1)</f>
        <v>0.18181818181818188</v>
      </c>
      <c r="Q263" s="41">
        <f>IF(Tabela1716[[#This Row],[New House Sales]]="",#N/A,((Tabela1716[[#This Row],[New House Sales]]*1)/O251)-1)</f>
        <v>0.42307692307692313</v>
      </c>
      <c r="R263" s="27">
        <v>6.7</v>
      </c>
      <c r="S263" s="86"/>
      <c r="T263" s="28"/>
      <c r="V263" s="38"/>
      <c r="W263" s="9"/>
      <c r="X263" s="9"/>
    </row>
    <row r="264" spans="1:24" ht="12.75">
      <c r="A264" s="12">
        <v>30225</v>
      </c>
      <c r="B264" s="26">
        <v>14.15</v>
      </c>
      <c r="C264" s="27"/>
      <c r="D264" s="33">
        <v>1149</v>
      </c>
      <c r="E264" s="41">
        <f>IF(Tabela1716[[#This Row],[Building Permits]]="",#N/A,((Tabela1716[[#This Row],[Building Permits]]*1)/D252)-1)</f>
        <v>0.57181942544459652</v>
      </c>
      <c r="F264" s="33">
        <v>697</v>
      </c>
      <c r="G264" s="41">
        <f>IF(Tabela1716[[#This Row],[Houses Under Construction]]="",#N/A,((Tabela1716[[#This Row],[Houses Under Construction]]*1)/F252)-1)</f>
        <v>-5.4274084124830368E-2</v>
      </c>
      <c r="H264" s="33">
        <v>1173</v>
      </c>
      <c r="I264" s="33">
        <f>IF(Tabela1716[[#This Row],[Housing Starts]]="",#N/A,Tabela1716[[#This Row],[Housing Starts]]-H263)</f>
        <v>29</v>
      </c>
      <c r="J264" s="41">
        <f>IF(Tabela1716[[#This Row],[Housing Starts]]="",#N/A,((Tabela1716[[#This Row],[Housing Starts]]*1)/H252)-1)</f>
        <v>0.34364261168384869</v>
      </c>
      <c r="K264" s="26"/>
      <c r="L264" s="41"/>
      <c r="M264" s="27"/>
      <c r="N264" s="41"/>
      <c r="O264" s="33">
        <v>480</v>
      </c>
      <c r="P264" s="41">
        <f>IF(Tabela1716[[#This Row],[New House Sales]]="",#N/A,((Tabela1716[[#This Row],[New House Sales]]*1)/O263)-1)</f>
        <v>-2.0790020790020236E-3</v>
      </c>
      <c r="Q264" s="41">
        <f>IF(Tabela1716[[#This Row],[New House Sales]]="",#N/A,((Tabela1716[[#This Row],[New House Sales]]*1)/O252)-1)</f>
        <v>0.348314606741573</v>
      </c>
      <c r="R264" s="27">
        <v>6.2</v>
      </c>
      <c r="S264" s="86"/>
      <c r="T264" s="28"/>
      <c r="W264" s="9"/>
      <c r="X264" s="9"/>
    </row>
    <row r="265" spans="1:24" ht="12.75">
      <c r="A265" s="12">
        <v>30256</v>
      </c>
      <c r="B265" s="26">
        <v>13.77</v>
      </c>
      <c r="C265" s="27"/>
      <c r="D265" s="33">
        <v>1229</v>
      </c>
      <c r="E265" s="41">
        <f>IF(Tabela1716[[#This Row],[Building Permits]]="",#N/A,((Tabela1716[[#This Row],[Building Permits]]*1)/D253)-1)</f>
        <v>0.64304812834224601</v>
      </c>
      <c r="F265" s="33">
        <v>717</v>
      </c>
      <c r="G265" s="41">
        <f>IF(Tabela1716[[#This Row],[Houses Under Construction]]="",#N/A,((Tabela1716[[#This Row],[Houses Under Construction]]*1)/F253)-1)</f>
        <v>8.4388185654007408E-3</v>
      </c>
      <c r="H265" s="33">
        <v>1372</v>
      </c>
      <c r="I265" s="33">
        <f>IF(Tabela1716[[#This Row],[Housing Starts]]="",#N/A,Tabela1716[[#This Row],[Housing Starts]]-H264)</f>
        <v>199</v>
      </c>
      <c r="J265" s="41">
        <f>IF(Tabela1716[[#This Row],[Housing Starts]]="",#N/A,((Tabela1716[[#This Row],[Housing Starts]]*1)/H253)-1)</f>
        <v>0.63918757467144571</v>
      </c>
      <c r="K265" s="26"/>
      <c r="L265" s="41"/>
      <c r="M265" s="27"/>
      <c r="N265" s="41"/>
      <c r="O265" s="33">
        <v>554</v>
      </c>
      <c r="P265" s="41">
        <f>IF(Tabela1716[[#This Row],[New House Sales]]="",#N/A,((Tabela1716[[#This Row],[New House Sales]]*1)/O264)-1)</f>
        <v>0.15416666666666656</v>
      </c>
      <c r="Q265" s="41">
        <f>IF(Tabela1716[[#This Row],[New House Sales]]="",#N/A,((Tabela1716[[#This Row],[New House Sales]]*1)/O253)-1)</f>
        <v>0.45026178010471196</v>
      </c>
      <c r="R265" s="27">
        <v>5.4</v>
      </c>
      <c r="S265" s="86"/>
      <c r="T265" s="28"/>
      <c r="V265" s="38"/>
      <c r="W265" s="9"/>
      <c r="X265" s="9"/>
    </row>
    <row r="266" spans="1:24" ht="12.75">
      <c r="A266" s="12">
        <v>30286</v>
      </c>
      <c r="B266" s="26">
        <v>13.57</v>
      </c>
      <c r="C266" s="27"/>
      <c r="D266" s="33">
        <v>1351</v>
      </c>
      <c r="E266" s="41">
        <f>IF(Tabela1716[[#This Row],[Building Permits]]="",#N/A,((Tabela1716[[#This Row],[Building Permits]]*1)/D254)-1)</f>
        <v>0.69723618090452266</v>
      </c>
      <c r="F266" s="33">
        <v>735</v>
      </c>
      <c r="G266" s="41">
        <f>IF(Tabela1716[[#This Row],[Houses Under Construction]]="",#N/A,((Tabela1716[[#This Row],[Houses Under Construction]]*1)/F254)-1)</f>
        <v>5.907780979827093E-2</v>
      </c>
      <c r="H266" s="33">
        <v>1303</v>
      </c>
      <c r="I266" s="33">
        <f>IF(Tabela1716[[#This Row],[Housing Starts]]="",#N/A,Tabela1716[[#This Row],[Housing Starts]]-H265)</f>
        <v>-69</v>
      </c>
      <c r="J266" s="41">
        <f>IF(Tabela1716[[#This Row],[Housing Starts]]="",#N/A,((Tabela1716[[#This Row],[Housing Starts]]*1)/H254)-1)</f>
        <v>0.43186813186813189</v>
      </c>
      <c r="K266" s="26"/>
      <c r="L266" s="41"/>
      <c r="M266" s="27"/>
      <c r="N266" s="41"/>
      <c r="O266" s="33">
        <v>521</v>
      </c>
      <c r="P266" s="41">
        <f>IF(Tabela1716[[#This Row],[New House Sales]]="",#N/A,((Tabela1716[[#This Row],[New House Sales]]*1)/O265)-1)</f>
        <v>-5.9566787003610067E-2</v>
      </c>
      <c r="Q266" s="41">
        <f>IF(Tabela1716[[#This Row],[New House Sales]]="",#N/A,((Tabela1716[[#This Row],[New House Sales]]*1)/O254)-1)</f>
        <v>0.1400437636761489</v>
      </c>
      <c r="R266" s="27">
        <v>5.8</v>
      </c>
      <c r="S266" s="86"/>
      <c r="T266" s="28"/>
      <c r="W266" s="9"/>
      <c r="X266" s="9"/>
    </row>
    <row r="267" spans="1:24" ht="12.75">
      <c r="A267" s="12">
        <v>30317</v>
      </c>
      <c r="B267" s="26">
        <v>13.1</v>
      </c>
      <c r="C267" s="27"/>
      <c r="D267" s="33">
        <v>1426</v>
      </c>
      <c r="E267" s="41">
        <f>IF(Tabela1716[[#This Row],[Building Permits]]="",#N/A,((Tabela1716[[#This Row],[Building Permits]]*1)/D255)-1)</f>
        <v>0.79596977329974816</v>
      </c>
      <c r="F267" s="33">
        <v>760</v>
      </c>
      <c r="G267" s="41">
        <f>IF(Tabela1716[[#This Row],[Houses Under Construction]]="",#N/A,((Tabela1716[[#This Row],[Houses Under Construction]]*1)/F255)-1)</f>
        <v>0.10787172011661816</v>
      </c>
      <c r="H267" s="33">
        <v>1586</v>
      </c>
      <c r="I267" s="33">
        <f>IF(Tabela1716[[#This Row],[Housing Starts]]="",#N/A,Tabela1716[[#This Row],[Housing Starts]]-H266)</f>
        <v>283</v>
      </c>
      <c r="J267" s="41">
        <f>IF(Tabela1716[[#This Row],[Housing Starts]]="",#N/A,((Tabela1716[[#This Row],[Housing Starts]]*1)/H255)-1)</f>
        <v>0.88137603795966779</v>
      </c>
      <c r="K267" s="26"/>
      <c r="L267" s="41"/>
      <c r="M267" s="27"/>
      <c r="N267" s="41"/>
      <c r="O267" s="33">
        <v>582</v>
      </c>
      <c r="P267" s="41">
        <f>IF(Tabela1716[[#This Row],[New House Sales]]="",#N/A,((Tabela1716[[#This Row],[New House Sales]]*1)/O266)-1)</f>
        <v>0.11708253358925136</v>
      </c>
      <c r="Q267" s="41">
        <f>IF(Tabela1716[[#This Row],[New House Sales]]="",#N/A,((Tabela1716[[#This Row],[New House Sales]]*1)/O255)-1)</f>
        <v>0.58152173913043481</v>
      </c>
      <c r="R267" s="27">
        <v>5.4</v>
      </c>
      <c r="S267" s="86"/>
      <c r="T267" s="28"/>
      <c r="V267" s="38"/>
      <c r="W267" s="9"/>
      <c r="X267" s="9"/>
    </row>
    <row r="268" spans="1:24" ht="12.75">
      <c r="A268" s="12">
        <v>30348</v>
      </c>
      <c r="B268" s="26">
        <v>12.98</v>
      </c>
      <c r="C268" s="27"/>
      <c r="D268" s="33">
        <v>1471</v>
      </c>
      <c r="E268" s="41">
        <f>IF(Tabela1716[[#This Row],[Building Permits]]="",#N/A,((Tabela1716[[#This Row],[Building Permits]]*1)/D256)-1)</f>
        <v>0.8205445544554455</v>
      </c>
      <c r="F268" s="33">
        <v>798</v>
      </c>
      <c r="G268" s="41">
        <f>IF(Tabela1716[[#This Row],[Houses Under Construction]]="",#N/A,((Tabela1716[[#This Row],[Houses Under Construction]]*1)/F256)-1)</f>
        <v>0.16157205240174677</v>
      </c>
      <c r="H268" s="33">
        <v>1699</v>
      </c>
      <c r="I268" s="33">
        <f>IF(Tabela1716[[#This Row],[Housing Starts]]="",#N/A,Tabela1716[[#This Row],[Housing Starts]]-H267)</f>
        <v>113</v>
      </c>
      <c r="J268" s="41">
        <f>IF(Tabela1716[[#This Row],[Housing Starts]]="",#N/A,((Tabela1716[[#This Row],[Housing Starts]]*1)/H256)-1)</f>
        <v>0.96189376443418007</v>
      </c>
      <c r="K268" s="26"/>
      <c r="L268" s="41"/>
      <c r="M268" s="27"/>
      <c r="N268" s="41"/>
      <c r="O268" s="33">
        <v>562</v>
      </c>
      <c r="P268" s="41">
        <f>IF(Tabela1716[[#This Row],[New House Sales]]="",#N/A,((Tabela1716[[#This Row],[New House Sales]]*1)/O267)-1)</f>
        <v>-3.4364261168384869E-2</v>
      </c>
      <c r="Q268" s="41">
        <f>IF(Tabela1716[[#This Row],[New House Sales]]="",#N/A,((Tabela1716[[#This Row],[New House Sales]]*1)/O256)-1)</f>
        <v>0.53972602739726017</v>
      </c>
      <c r="R268" s="27">
        <v>5.6</v>
      </c>
      <c r="S268" s="86"/>
      <c r="T268" s="28"/>
      <c r="W268" s="9"/>
      <c r="X268" s="9"/>
    </row>
    <row r="269" spans="1:24" ht="12.75">
      <c r="A269" s="12">
        <v>30376</v>
      </c>
      <c r="B269" s="26">
        <v>12.86</v>
      </c>
      <c r="C269" s="27"/>
      <c r="D269" s="33">
        <v>1475</v>
      </c>
      <c r="E269" s="41">
        <f>IF(Tabela1716[[#This Row],[Building Permits]]="",#N/A,((Tabela1716[[#This Row],[Building Permits]]*1)/D257)-1)</f>
        <v>0.65544332210998868</v>
      </c>
      <c r="F269" s="33">
        <v>824</v>
      </c>
      <c r="G269" s="41">
        <f>IF(Tabela1716[[#This Row],[Houses Under Construction]]="",#N/A,((Tabela1716[[#This Row],[Houses Under Construction]]*1)/F257)-1)</f>
        <v>0.21893491124260356</v>
      </c>
      <c r="H269" s="33">
        <v>1606</v>
      </c>
      <c r="I269" s="33">
        <f>IF(Tabela1716[[#This Row],[Housing Starts]]="",#N/A,Tabela1716[[#This Row],[Housing Starts]]-H268)</f>
        <v>-93</v>
      </c>
      <c r="J269" s="41">
        <f>IF(Tabela1716[[#This Row],[Housing Starts]]="",#N/A,((Tabela1716[[#This Row],[Housing Starts]]*1)/H257)-1)</f>
        <v>0.72502685284640167</v>
      </c>
      <c r="K269" s="26"/>
      <c r="L269" s="41"/>
      <c r="M269" s="27"/>
      <c r="N269" s="41"/>
      <c r="O269" s="33">
        <v>596</v>
      </c>
      <c r="P269" s="41">
        <f>IF(Tabela1716[[#This Row],[New House Sales]]="",#N/A,((Tabela1716[[#This Row],[New House Sales]]*1)/O268)-1)</f>
        <v>6.0498220640569311E-2</v>
      </c>
      <c r="Q269" s="41">
        <f>IF(Tabela1716[[#This Row],[New House Sales]]="",#N/A,((Tabela1716[[#This Row],[New House Sales]]*1)/O257)-1)</f>
        <v>0.59358288770053469</v>
      </c>
      <c r="R269" s="27">
        <v>5.4</v>
      </c>
      <c r="S269" s="86"/>
      <c r="T269" s="28"/>
      <c r="V269" s="38"/>
      <c r="W269" s="9"/>
      <c r="X269" s="9"/>
    </row>
    <row r="270" spans="1:24" ht="12.75">
      <c r="A270" s="12">
        <v>30407</v>
      </c>
      <c r="B270" s="26">
        <v>12.73</v>
      </c>
      <c r="C270" s="27"/>
      <c r="D270" s="33">
        <v>1566</v>
      </c>
      <c r="E270" s="41">
        <f>IF(Tabela1716[[#This Row],[Building Permits]]="",#N/A,((Tabela1716[[#This Row],[Building Permits]]*1)/D258)-1)</f>
        <v>0.7635135135135136</v>
      </c>
      <c r="F270" s="33">
        <v>854</v>
      </c>
      <c r="G270" s="41">
        <f>IF(Tabela1716[[#This Row],[Houses Under Construction]]="",#N/A,((Tabela1716[[#This Row],[Houses Under Construction]]*1)/F258)-1)</f>
        <v>0.27653213751868466</v>
      </c>
      <c r="H270" s="33">
        <v>1472</v>
      </c>
      <c r="I270" s="33">
        <f>IF(Tabela1716[[#This Row],[Housing Starts]]="",#N/A,Tabela1716[[#This Row],[Housing Starts]]-H269)</f>
        <v>-134</v>
      </c>
      <c r="J270" s="41">
        <f>IF(Tabela1716[[#This Row],[Housing Starts]]="",#N/A,((Tabela1716[[#This Row],[Housing Starts]]*1)/H258)-1)</f>
        <v>0.60523446019629223</v>
      </c>
      <c r="K270" s="26"/>
      <c r="L270" s="41"/>
      <c r="M270" s="27"/>
      <c r="N270" s="41"/>
      <c r="O270" s="33">
        <v>638</v>
      </c>
      <c r="P270" s="41">
        <f>IF(Tabela1716[[#This Row],[New House Sales]]="",#N/A,((Tabela1716[[#This Row],[New House Sales]]*1)/O269)-1)</f>
        <v>7.0469798657718075E-2</v>
      </c>
      <c r="Q270" s="41">
        <f>IF(Tabela1716[[#This Row],[New House Sales]]="",#N/A,((Tabela1716[[#This Row],[New House Sales]]*1)/O258)-1)</f>
        <v>0.88200589970501464</v>
      </c>
      <c r="R270" s="27">
        <v>5.0999999999999996</v>
      </c>
      <c r="S270" s="86"/>
      <c r="T270" s="28"/>
      <c r="W270" s="9"/>
      <c r="X270" s="9"/>
    </row>
    <row r="271" spans="1:24" ht="12.75">
      <c r="A271" s="12">
        <v>30437</v>
      </c>
      <c r="B271" s="26">
        <v>12.68</v>
      </c>
      <c r="C271" s="27"/>
      <c r="D271" s="33">
        <v>1669</v>
      </c>
      <c r="E271" s="41">
        <f>IF(Tabela1716[[#This Row],[Building Permits]]="",#N/A,((Tabela1716[[#This Row],[Building Permits]]*1)/D259)-1)</f>
        <v>0.751311647429171</v>
      </c>
      <c r="F271" s="33">
        <v>891</v>
      </c>
      <c r="G271" s="41">
        <f>IF(Tabela1716[[#This Row],[Houses Under Construction]]="",#N/A,((Tabela1716[[#This Row],[Houses Under Construction]]*1)/F259)-1)</f>
        <v>0.3479576399394857</v>
      </c>
      <c r="H271" s="33">
        <v>1776</v>
      </c>
      <c r="I271" s="33">
        <f>IF(Tabela1716[[#This Row],[Housing Starts]]="",#N/A,Tabela1716[[#This Row],[Housing Starts]]-H270)</f>
        <v>304</v>
      </c>
      <c r="J271" s="41">
        <f>IF(Tabela1716[[#This Row],[Housing Starts]]="",#N/A,((Tabela1716[[#This Row],[Housing Starts]]*1)/H259)-1)</f>
        <v>0.73268292682926828</v>
      </c>
      <c r="K271" s="26"/>
      <c r="L271" s="41"/>
      <c r="M271" s="27"/>
      <c r="N271" s="41"/>
      <c r="O271" s="33">
        <v>664</v>
      </c>
      <c r="P271" s="41">
        <f>IF(Tabela1716[[#This Row],[New House Sales]]="",#N/A,((Tabela1716[[#This Row],[New House Sales]]*1)/O270)-1)</f>
        <v>4.0752351097178785E-2</v>
      </c>
      <c r="Q271" s="41">
        <f>IF(Tabela1716[[#This Row],[New House Sales]]="",#N/A,((Tabela1716[[#This Row],[New House Sales]]*1)/O259)-1)</f>
        <v>0.72916666666666674</v>
      </c>
      <c r="R271" s="27">
        <v>4.9000000000000004</v>
      </c>
      <c r="S271" s="86"/>
      <c r="T271" s="28"/>
      <c r="V271" s="38"/>
      <c r="W271" s="9"/>
      <c r="X271" s="9"/>
    </row>
    <row r="272" spans="1:24" ht="12.75">
      <c r="A272" s="12">
        <v>30468</v>
      </c>
      <c r="B272" s="26">
        <v>12.96</v>
      </c>
      <c r="C272" s="27"/>
      <c r="D272" s="33">
        <v>1769</v>
      </c>
      <c r="E272" s="41">
        <f>IF(Tabela1716[[#This Row],[Building Permits]]="",#N/A,((Tabela1716[[#This Row],[Building Permits]]*1)/D260)-1)</f>
        <v>0.93756845564074487</v>
      </c>
      <c r="F272" s="33">
        <v>925</v>
      </c>
      <c r="G272" s="41">
        <f>IF(Tabela1716[[#This Row],[Houses Under Construction]]="",#N/A,((Tabela1716[[#This Row],[Houses Under Construction]]*1)/F260)-1)</f>
        <v>0.41437308868501521</v>
      </c>
      <c r="H272" s="33">
        <v>1733</v>
      </c>
      <c r="I272" s="33">
        <f>IF(Tabela1716[[#This Row],[Housing Starts]]="",#N/A,Tabela1716[[#This Row],[Housing Starts]]-H271)</f>
        <v>-43</v>
      </c>
      <c r="J272" s="41">
        <f>IF(Tabela1716[[#This Row],[Housing Starts]]="",#N/A,((Tabela1716[[#This Row],[Housing Starts]]*1)/H260)-1)</f>
        <v>0.92128603104212869</v>
      </c>
      <c r="K272" s="26"/>
      <c r="L272" s="41"/>
      <c r="M272" s="27"/>
      <c r="N272" s="41"/>
      <c r="O272" s="33">
        <v>651</v>
      </c>
      <c r="P272" s="41">
        <f>IF(Tabela1716[[#This Row],[New House Sales]]="",#N/A,((Tabela1716[[#This Row],[New House Sales]]*1)/O271)-1)</f>
        <v>-1.957831325301207E-2</v>
      </c>
      <c r="Q272" s="41">
        <f>IF(Tabela1716[[#This Row],[New House Sales]]="",#N/A,((Tabela1716[[#This Row],[New House Sales]]*1)/O260)-1)</f>
        <v>0.75945945945945947</v>
      </c>
      <c r="R272" s="27">
        <v>5.3</v>
      </c>
      <c r="S272" s="86"/>
      <c r="T272" s="28"/>
      <c r="W272" s="9"/>
      <c r="X272" s="9"/>
    </row>
    <row r="273" spans="1:24" ht="12.75">
      <c r="A273" s="12">
        <v>30498</v>
      </c>
      <c r="B273" s="26">
        <v>13.65</v>
      </c>
      <c r="C273" s="27"/>
      <c r="D273" s="33">
        <v>1795</v>
      </c>
      <c r="E273" s="41">
        <f>IF(Tabela1716[[#This Row],[Building Permits]]="",#N/A,((Tabela1716[[#This Row],[Building Permits]]*1)/D261)-1)</f>
        <v>0.71934865900383138</v>
      </c>
      <c r="F273" s="33">
        <v>958</v>
      </c>
      <c r="G273" s="41">
        <f>IF(Tabela1716[[#This Row],[Houses Under Construction]]="",#N/A,((Tabela1716[[#This Row],[Houses Under Construction]]*1)/F261)-1)</f>
        <v>0.43413173652694614</v>
      </c>
      <c r="H273" s="33">
        <v>1785</v>
      </c>
      <c r="I273" s="33">
        <f>IF(Tabela1716[[#This Row],[Housing Starts]]="",#N/A,Tabela1716[[#This Row],[Housing Starts]]-H272)</f>
        <v>52</v>
      </c>
      <c r="J273" s="41">
        <f>IF(Tabela1716[[#This Row],[Housing Starts]]="",#N/A,((Tabela1716[[#This Row],[Housing Starts]]*1)/H261)-1)</f>
        <v>0.53087478559176682</v>
      </c>
      <c r="K273" s="26"/>
      <c r="L273" s="41"/>
      <c r="M273" s="27"/>
      <c r="N273" s="41"/>
      <c r="O273" s="33">
        <v>606</v>
      </c>
      <c r="P273" s="41">
        <f>IF(Tabela1716[[#This Row],[New House Sales]]="",#N/A,((Tabela1716[[#This Row],[New House Sales]]*1)/O272)-1)</f>
        <v>-6.9124423963133674E-2</v>
      </c>
      <c r="Q273" s="41">
        <f>IF(Tabela1716[[#This Row],[New House Sales]]="",#N/A,((Tabela1716[[#This Row],[New House Sales]]*1)/O261)-1)</f>
        <v>0.6160000000000001</v>
      </c>
      <c r="R273" s="27">
        <v>5.8</v>
      </c>
      <c r="S273" s="86"/>
      <c r="T273" s="28"/>
      <c r="V273" s="38"/>
      <c r="W273" s="9"/>
      <c r="X273" s="9"/>
    </row>
    <row r="274" spans="1:24" ht="12.75">
      <c r="A274" s="12">
        <v>30529</v>
      </c>
      <c r="B274" s="26">
        <v>13.78</v>
      </c>
      <c r="C274" s="27"/>
      <c r="D274" s="33">
        <v>1713</v>
      </c>
      <c r="E274" s="41">
        <f>IF(Tabela1716[[#This Row],[Building Permits]]="",#N/A,((Tabela1716[[#This Row],[Building Permits]]*1)/D262)-1)</f>
        <v>0.84989200863930892</v>
      </c>
      <c r="F274" s="33">
        <v>976</v>
      </c>
      <c r="G274" s="41">
        <f>IF(Tabela1716[[#This Row],[Houses Under Construction]]="",#N/A,((Tabela1716[[#This Row],[Houses Under Construction]]*1)/F262)-1)</f>
        <v>0.4567164179104477</v>
      </c>
      <c r="H274" s="33">
        <v>1910</v>
      </c>
      <c r="I274" s="33">
        <f>IF(Tabela1716[[#This Row],[Housing Starts]]="",#N/A,Tabela1716[[#This Row],[Housing Starts]]-H273)</f>
        <v>125</v>
      </c>
      <c r="J274" s="41">
        <f>IF(Tabela1716[[#This Row],[Housing Starts]]="",#N/A,((Tabela1716[[#This Row],[Housing Starts]]*1)/H262)-1)</f>
        <v>0.82600382409177819</v>
      </c>
      <c r="K274" s="26"/>
      <c r="L274" s="41"/>
      <c r="M274" s="27"/>
      <c r="N274" s="41"/>
      <c r="O274" s="33">
        <v>572</v>
      </c>
      <c r="P274" s="41">
        <f>IF(Tabela1716[[#This Row],[New House Sales]]="",#N/A,((Tabela1716[[#This Row],[New House Sales]]*1)/O273)-1)</f>
        <v>-5.6105610561056118E-2</v>
      </c>
      <c r="Q274" s="41">
        <f>IF(Tabela1716[[#This Row],[New House Sales]]="",#N/A,((Tabela1716[[#This Row],[New House Sales]]*1)/O262)-1)</f>
        <v>0.40540540540540548</v>
      </c>
      <c r="R274" s="27">
        <v>6.2</v>
      </c>
      <c r="S274" s="86"/>
      <c r="T274" s="28"/>
      <c r="W274" s="9"/>
      <c r="X274" s="9"/>
    </row>
    <row r="275" spans="1:24" ht="12.75">
      <c r="A275" s="12">
        <v>30560</v>
      </c>
      <c r="B275" s="26">
        <v>13.65</v>
      </c>
      <c r="C275" s="27"/>
      <c r="D275" s="33">
        <v>1585</v>
      </c>
      <c r="E275" s="41">
        <f>IF(Tabela1716[[#This Row],[Building Permits]]="",#N/A,((Tabela1716[[#This Row],[Building Permits]]*1)/D263)-1)</f>
        <v>0.52111324376199608</v>
      </c>
      <c r="F275" s="33">
        <v>990</v>
      </c>
      <c r="G275" s="41">
        <f>IF(Tabela1716[[#This Row],[Houses Under Construction]]="",#N/A,((Tabela1716[[#This Row],[Houses Under Construction]]*1)/F263)-1)</f>
        <v>0.44314868804664731</v>
      </c>
      <c r="H275" s="33">
        <v>1710</v>
      </c>
      <c r="I275" s="33">
        <f>IF(Tabela1716[[#This Row],[Housing Starts]]="",#N/A,Tabela1716[[#This Row],[Housing Starts]]-H274)</f>
        <v>-200</v>
      </c>
      <c r="J275" s="41">
        <f>IF(Tabela1716[[#This Row],[Housing Starts]]="",#N/A,((Tabela1716[[#This Row],[Housing Starts]]*1)/H263)-1)</f>
        <v>0.49475524475524479</v>
      </c>
      <c r="K275" s="26"/>
      <c r="L275" s="41"/>
      <c r="M275" s="27"/>
      <c r="N275" s="41"/>
      <c r="O275" s="33">
        <v>608</v>
      </c>
      <c r="P275" s="41">
        <f>IF(Tabela1716[[#This Row],[New House Sales]]="",#N/A,((Tabela1716[[#This Row],[New House Sales]]*1)/O274)-1)</f>
        <v>6.2937062937062915E-2</v>
      </c>
      <c r="Q275" s="41">
        <f>IF(Tabela1716[[#This Row],[New House Sales]]="",#N/A,((Tabela1716[[#This Row],[New House Sales]]*1)/O263)-1)</f>
        <v>0.2640332640332641</v>
      </c>
      <c r="R275" s="27">
        <v>6.2</v>
      </c>
      <c r="S275" s="86"/>
      <c r="T275" s="28"/>
      <c r="V275" s="38"/>
      <c r="W275" s="9"/>
      <c r="X275" s="9"/>
    </row>
    <row r="276" spans="1:24" ht="12.75">
      <c r="A276" s="12">
        <v>30590</v>
      </c>
      <c r="B276" s="26">
        <v>13.43</v>
      </c>
      <c r="C276" s="27"/>
      <c r="D276" s="33">
        <v>1716</v>
      </c>
      <c r="E276" s="41">
        <f>IF(Tabela1716[[#This Row],[Building Permits]]="",#N/A,((Tabela1716[[#This Row],[Building Permits]]*1)/D264)-1)</f>
        <v>0.49347258485639678</v>
      </c>
      <c r="F276" s="33">
        <v>996</v>
      </c>
      <c r="G276" s="41">
        <f>IF(Tabela1716[[#This Row],[Houses Under Construction]]="",#N/A,((Tabela1716[[#This Row],[Houses Under Construction]]*1)/F264)-1)</f>
        <v>0.42898134863701576</v>
      </c>
      <c r="H276" s="33">
        <v>1715</v>
      </c>
      <c r="I276" s="33">
        <f>IF(Tabela1716[[#This Row],[Housing Starts]]="",#N/A,Tabela1716[[#This Row],[Housing Starts]]-H275)</f>
        <v>5</v>
      </c>
      <c r="J276" s="41">
        <f>IF(Tabela1716[[#This Row],[Housing Starts]]="",#N/A,((Tabela1716[[#This Row],[Housing Starts]]*1)/H264)-1)</f>
        <v>0.46206308610400693</v>
      </c>
      <c r="K276" s="26"/>
      <c r="L276" s="41"/>
      <c r="M276" s="27"/>
      <c r="N276" s="41"/>
      <c r="O276" s="33">
        <v>632</v>
      </c>
      <c r="P276" s="41">
        <f>IF(Tabela1716[[#This Row],[New House Sales]]="",#N/A,((Tabela1716[[#This Row],[New House Sales]]*1)/O275)-1)</f>
        <v>3.9473684210526327E-2</v>
      </c>
      <c r="Q276" s="41">
        <f>IF(Tabela1716[[#This Row],[New House Sales]]="",#N/A,((Tabela1716[[#This Row],[New House Sales]]*1)/O264)-1)</f>
        <v>0.31666666666666665</v>
      </c>
      <c r="R276" s="27">
        <v>5.6</v>
      </c>
      <c r="S276" s="86"/>
      <c r="T276" s="28"/>
      <c r="W276" s="9"/>
      <c r="X276" s="9"/>
    </row>
    <row r="277" spans="1:24" ht="12.75">
      <c r="A277" s="12">
        <v>30621</v>
      </c>
      <c r="B277" s="26">
        <v>13.43</v>
      </c>
      <c r="C277" s="27"/>
      <c r="D277" s="33">
        <v>1668</v>
      </c>
      <c r="E277" s="41">
        <f>IF(Tabela1716[[#This Row],[Building Permits]]="",#N/A,((Tabela1716[[#This Row],[Building Permits]]*1)/D265)-1)</f>
        <v>0.35720097640358017</v>
      </c>
      <c r="F277" s="33">
        <v>1016</v>
      </c>
      <c r="G277" s="41">
        <f>IF(Tabela1716[[#This Row],[Houses Under Construction]]="",#N/A,((Tabela1716[[#This Row],[Houses Under Construction]]*1)/F265)-1)</f>
        <v>0.41701534170153409</v>
      </c>
      <c r="H277" s="33">
        <v>1785</v>
      </c>
      <c r="I277" s="33">
        <f>IF(Tabela1716[[#This Row],[Housing Starts]]="",#N/A,Tabela1716[[#This Row],[Housing Starts]]-H276)</f>
        <v>70</v>
      </c>
      <c r="J277" s="41">
        <f>IF(Tabela1716[[#This Row],[Housing Starts]]="",#N/A,((Tabela1716[[#This Row],[Housing Starts]]*1)/H265)-1)</f>
        <v>0.30102040816326525</v>
      </c>
      <c r="K277" s="26"/>
      <c r="L277" s="41"/>
      <c r="M277" s="27"/>
      <c r="N277" s="41"/>
      <c r="O277" s="33">
        <v>644</v>
      </c>
      <c r="P277" s="41">
        <f>IF(Tabela1716[[#This Row],[New House Sales]]="",#N/A,((Tabela1716[[#This Row],[New House Sales]]*1)/O276)-1)</f>
        <v>1.8987341772152E-2</v>
      </c>
      <c r="Q277" s="41">
        <f>IF(Tabela1716[[#This Row],[New House Sales]]="",#N/A,((Tabela1716[[#This Row],[New House Sales]]*1)/O265)-1)</f>
        <v>0.16245487364620947</v>
      </c>
      <c r="R277" s="27">
        <v>5.8</v>
      </c>
      <c r="S277" s="86"/>
      <c r="T277" s="28"/>
      <c r="V277" s="38"/>
      <c r="W277" s="9"/>
      <c r="X277" s="9"/>
    </row>
    <row r="278" spans="1:24" ht="12.75">
      <c r="A278" s="12">
        <v>30651</v>
      </c>
      <c r="B278" s="26">
        <v>13.43</v>
      </c>
      <c r="C278" s="27"/>
      <c r="D278" s="33">
        <v>1627</v>
      </c>
      <c r="E278" s="41">
        <f>IF(Tabela1716[[#This Row],[Building Permits]]="",#N/A,((Tabela1716[[#This Row],[Building Permits]]*1)/D266)-1)</f>
        <v>0.20429311621021462</v>
      </c>
      <c r="F278" s="33">
        <v>1026</v>
      </c>
      <c r="G278" s="41">
        <f>IF(Tabela1716[[#This Row],[Houses Under Construction]]="",#N/A,((Tabela1716[[#This Row],[Houses Under Construction]]*1)/F266)-1)</f>
        <v>0.39591836734693886</v>
      </c>
      <c r="H278" s="33">
        <v>1688</v>
      </c>
      <c r="I278" s="33">
        <f>IF(Tabela1716[[#This Row],[Housing Starts]]="",#N/A,Tabela1716[[#This Row],[Housing Starts]]-H277)</f>
        <v>-97</v>
      </c>
      <c r="J278" s="41">
        <f>IF(Tabela1716[[#This Row],[Housing Starts]]="",#N/A,((Tabela1716[[#This Row],[Housing Starts]]*1)/H266)-1)</f>
        <v>0.29547198772064465</v>
      </c>
      <c r="K278" s="26"/>
      <c r="L278" s="41"/>
      <c r="M278" s="27"/>
      <c r="N278" s="41"/>
      <c r="O278" s="33">
        <v>773</v>
      </c>
      <c r="P278" s="41">
        <f>IF(Tabela1716[[#This Row],[New House Sales]]="",#N/A,((Tabela1716[[#This Row],[New House Sales]]*1)/O277)-1)</f>
        <v>0.20031055900621109</v>
      </c>
      <c r="Q278" s="41">
        <f>IF(Tabela1716[[#This Row],[New House Sales]]="",#N/A,((Tabela1716[[#This Row],[New House Sales]]*1)/O266)-1)</f>
        <v>0.4836852207293667</v>
      </c>
      <c r="R278" s="27">
        <v>4.7</v>
      </c>
      <c r="S278" s="86"/>
      <c r="T278" s="28"/>
      <c r="W278" s="9"/>
      <c r="X278" s="9"/>
    </row>
    <row r="279" spans="1:24" ht="12.75">
      <c r="A279" s="12">
        <v>30682</v>
      </c>
      <c r="B279" s="26">
        <v>13.29</v>
      </c>
      <c r="C279" s="27"/>
      <c r="D279" s="33">
        <v>1816</v>
      </c>
      <c r="E279" s="41">
        <f>IF(Tabela1716[[#This Row],[Building Permits]]="",#N/A,((Tabela1716[[#This Row],[Building Permits]]*1)/D267)-1)</f>
        <v>0.27349228611500709</v>
      </c>
      <c r="F279" s="33">
        <v>1040</v>
      </c>
      <c r="G279" s="41">
        <f>IF(Tabela1716[[#This Row],[Houses Under Construction]]="",#N/A,((Tabela1716[[#This Row],[Houses Under Construction]]*1)/F267)-1)</f>
        <v>0.36842105263157898</v>
      </c>
      <c r="H279" s="33">
        <v>1897</v>
      </c>
      <c r="I279" s="33">
        <f>IF(Tabela1716[[#This Row],[Housing Starts]]="",#N/A,Tabela1716[[#This Row],[Housing Starts]]-H278)</f>
        <v>209</v>
      </c>
      <c r="J279" s="41">
        <f>IF(Tabela1716[[#This Row],[Housing Starts]]="",#N/A,((Tabela1716[[#This Row],[Housing Starts]]*1)/H267)-1)</f>
        <v>0.19609079445145028</v>
      </c>
      <c r="K279" s="26"/>
      <c r="L279" s="41"/>
      <c r="M279" s="27"/>
      <c r="N279" s="41"/>
      <c r="O279" s="33">
        <v>691</v>
      </c>
      <c r="P279" s="41">
        <f>IF(Tabela1716[[#This Row],[New House Sales]]="",#N/A,((Tabela1716[[#This Row],[New House Sales]]*1)/O278)-1)</f>
        <v>-0.1060802069857697</v>
      </c>
      <c r="Q279" s="41">
        <f>IF(Tabela1716[[#This Row],[New House Sales]]="",#N/A,((Tabela1716[[#This Row],[New House Sales]]*1)/O267)-1)</f>
        <v>0.1872852233676976</v>
      </c>
      <c r="R279" s="27">
        <v>5.3</v>
      </c>
      <c r="S279" s="86"/>
      <c r="T279" s="28"/>
      <c r="V279" s="38"/>
      <c r="W279" s="9"/>
      <c r="X279" s="9"/>
    </row>
    <row r="280" spans="1:24" ht="12.75">
      <c r="A280" s="12">
        <v>30713</v>
      </c>
      <c r="B280" s="26">
        <v>13.25</v>
      </c>
      <c r="C280" s="27"/>
      <c r="D280" s="33">
        <v>1987</v>
      </c>
      <c r="E280" s="41">
        <f>IF(Tabela1716[[#This Row],[Building Permits]]="",#N/A,((Tabela1716[[#This Row],[Building Permits]]*1)/D268)-1)</f>
        <v>0.35078178110129166</v>
      </c>
      <c r="F280" s="33">
        <v>1039</v>
      </c>
      <c r="G280" s="41">
        <f>IF(Tabela1716[[#This Row],[Houses Under Construction]]="",#N/A,((Tabela1716[[#This Row],[Houses Under Construction]]*1)/F268)-1)</f>
        <v>0.30200501253132828</v>
      </c>
      <c r="H280" s="33">
        <v>2260</v>
      </c>
      <c r="I280" s="33">
        <f>IF(Tabela1716[[#This Row],[Housing Starts]]="",#N/A,Tabela1716[[#This Row],[Housing Starts]]-H279)</f>
        <v>363</v>
      </c>
      <c r="J280" s="41">
        <f>IF(Tabela1716[[#This Row],[Housing Starts]]="",#N/A,((Tabela1716[[#This Row],[Housing Starts]]*1)/H268)-1)</f>
        <v>0.33019423190111841</v>
      </c>
      <c r="K280" s="26"/>
      <c r="L280" s="41"/>
      <c r="M280" s="27"/>
      <c r="N280" s="41"/>
      <c r="O280" s="33">
        <v>696</v>
      </c>
      <c r="P280" s="41">
        <f>IF(Tabela1716[[#This Row],[New House Sales]]="",#N/A,((Tabela1716[[#This Row],[New House Sales]]*1)/O279)-1)</f>
        <v>7.2358900144717797E-3</v>
      </c>
      <c r="Q280" s="41">
        <f>IF(Tabela1716[[#This Row],[New House Sales]]="",#N/A,((Tabela1716[[#This Row],[New House Sales]]*1)/O268)-1)</f>
        <v>0.23843416370106763</v>
      </c>
      <c r="R280" s="27">
        <v>5.0999999999999996</v>
      </c>
      <c r="S280" s="86"/>
      <c r="T280" s="28"/>
      <c r="W280" s="9"/>
      <c r="X280" s="9"/>
    </row>
    <row r="281" spans="1:24" ht="12.75">
      <c r="A281" s="12">
        <v>30742</v>
      </c>
      <c r="B281" s="26">
        <v>13.55</v>
      </c>
      <c r="C281" s="27"/>
      <c r="D281" s="33">
        <v>1725</v>
      </c>
      <c r="E281" s="41">
        <f>IF(Tabela1716[[#This Row],[Building Permits]]="",#N/A,((Tabela1716[[#This Row],[Building Permits]]*1)/D269)-1)</f>
        <v>0.16949152542372881</v>
      </c>
      <c r="F281" s="33">
        <v>1069</v>
      </c>
      <c r="G281" s="41">
        <f>IF(Tabela1716[[#This Row],[Houses Under Construction]]="",#N/A,((Tabela1716[[#This Row],[Houses Under Construction]]*1)/F269)-1)</f>
        <v>0.29733009708737868</v>
      </c>
      <c r="H281" s="33">
        <v>1663</v>
      </c>
      <c r="I281" s="33">
        <f>IF(Tabela1716[[#This Row],[Housing Starts]]="",#N/A,Tabela1716[[#This Row],[Housing Starts]]-H280)</f>
        <v>-597</v>
      </c>
      <c r="J281" s="41">
        <f>IF(Tabela1716[[#This Row],[Housing Starts]]="",#N/A,((Tabela1716[[#This Row],[Housing Starts]]*1)/H269)-1)</f>
        <v>3.5491905354918973E-2</v>
      </c>
      <c r="K281" s="26"/>
      <c r="L281" s="41"/>
      <c r="M281" s="27"/>
      <c r="N281" s="41"/>
      <c r="O281" s="33">
        <v>641</v>
      </c>
      <c r="P281" s="41">
        <f>IF(Tabela1716[[#This Row],[New House Sales]]="",#N/A,((Tabela1716[[#This Row],[New House Sales]]*1)/O280)-1)</f>
        <v>-7.9022988505747072E-2</v>
      </c>
      <c r="Q281" s="41">
        <f>IF(Tabela1716[[#This Row],[New House Sales]]="",#N/A,((Tabela1716[[#This Row],[New House Sales]]*1)/O269)-1)</f>
        <v>7.5503355704698016E-2</v>
      </c>
      <c r="R281" s="27">
        <v>6.1</v>
      </c>
      <c r="S281" s="86"/>
      <c r="T281" s="28"/>
      <c r="V281" s="38"/>
      <c r="W281" s="9"/>
      <c r="X281" s="9"/>
    </row>
    <row r="282" spans="1:24" ht="12.75">
      <c r="A282" s="12">
        <v>30773</v>
      </c>
      <c r="B282" s="26">
        <v>13.73</v>
      </c>
      <c r="C282" s="27"/>
      <c r="D282" s="33">
        <v>1776</v>
      </c>
      <c r="E282" s="41">
        <f>IF(Tabela1716[[#This Row],[Building Permits]]="",#N/A,((Tabela1716[[#This Row],[Building Permits]]*1)/D270)-1)</f>
        <v>0.13409961685823757</v>
      </c>
      <c r="F282" s="33">
        <v>1086</v>
      </c>
      <c r="G282" s="41">
        <f>IF(Tabela1716[[#This Row],[Houses Under Construction]]="",#N/A,((Tabela1716[[#This Row],[Houses Under Construction]]*1)/F270)-1)</f>
        <v>0.27166276346604223</v>
      </c>
      <c r="H282" s="33">
        <v>1851</v>
      </c>
      <c r="I282" s="33">
        <f>IF(Tabela1716[[#This Row],[Housing Starts]]="",#N/A,Tabela1716[[#This Row],[Housing Starts]]-H281)</f>
        <v>188</v>
      </c>
      <c r="J282" s="41">
        <f>IF(Tabela1716[[#This Row],[Housing Starts]]="",#N/A,((Tabela1716[[#This Row],[Housing Starts]]*1)/H270)-1)</f>
        <v>0.25747282608695654</v>
      </c>
      <c r="K282" s="26"/>
      <c r="L282" s="41"/>
      <c r="M282" s="27"/>
      <c r="N282" s="41"/>
      <c r="O282" s="33">
        <v>639</v>
      </c>
      <c r="P282" s="41">
        <f>IF(Tabela1716[[#This Row],[New House Sales]]="",#N/A,((Tabela1716[[#This Row],[New House Sales]]*1)/O281)-1)</f>
        <v>-3.1201248049922414E-3</v>
      </c>
      <c r="Q282" s="41">
        <f>IF(Tabela1716[[#This Row],[New House Sales]]="",#N/A,((Tabela1716[[#This Row],[New House Sales]]*1)/O270)-1)</f>
        <v>1.5673981191222097E-3</v>
      </c>
      <c r="R282" s="27">
        <v>6</v>
      </c>
      <c r="S282" s="86"/>
      <c r="T282" s="28"/>
      <c r="W282" s="9"/>
      <c r="X282" s="9"/>
    </row>
    <row r="283" spans="1:24" ht="12.75">
      <c r="A283" s="12">
        <v>30803</v>
      </c>
      <c r="B283" s="26">
        <v>14.08</v>
      </c>
      <c r="C283" s="27"/>
      <c r="D283" s="33">
        <v>1741</v>
      </c>
      <c r="E283" s="41">
        <f>IF(Tabela1716[[#This Row],[Building Permits]]="",#N/A,((Tabela1716[[#This Row],[Building Permits]]*1)/D271)-1)</f>
        <v>4.3139604553624977E-2</v>
      </c>
      <c r="F283" s="33">
        <v>1081</v>
      </c>
      <c r="G283" s="41">
        <f>IF(Tabela1716[[#This Row],[Houses Under Construction]]="",#N/A,((Tabela1716[[#This Row],[Houses Under Construction]]*1)/F271)-1)</f>
        <v>0.21324354657687983</v>
      </c>
      <c r="H283" s="33">
        <v>1774</v>
      </c>
      <c r="I283" s="33">
        <f>IF(Tabela1716[[#This Row],[Housing Starts]]="",#N/A,Tabela1716[[#This Row],[Housing Starts]]-H282)</f>
        <v>-77</v>
      </c>
      <c r="J283" s="41">
        <f>IF(Tabela1716[[#This Row],[Housing Starts]]="",#N/A,((Tabela1716[[#This Row],[Housing Starts]]*1)/H271)-1)</f>
        <v>-1.1261261261261701E-3</v>
      </c>
      <c r="K283" s="26"/>
      <c r="L283" s="41"/>
      <c r="M283" s="27"/>
      <c r="N283" s="41"/>
      <c r="O283" s="33">
        <v>615</v>
      </c>
      <c r="P283" s="41">
        <f>IF(Tabela1716[[#This Row],[New House Sales]]="",#N/A,((Tabela1716[[#This Row],[New House Sales]]*1)/O282)-1)</f>
        <v>-3.7558685446009377E-2</v>
      </c>
      <c r="Q283" s="41">
        <f>IF(Tabela1716[[#This Row],[New House Sales]]="",#N/A,((Tabela1716[[#This Row],[New House Sales]]*1)/O271)-1)</f>
        <v>-7.3795180722891596E-2</v>
      </c>
      <c r="R283" s="27">
        <v>6.7</v>
      </c>
      <c r="S283" s="86"/>
      <c r="T283" s="28"/>
      <c r="V283" s="38"/>
      <c r="W283" s="9"/>
      <c r="X283" s="9"/>
    </row>
    <row r="284" spans="1:24" ht="12.75">
      <c r="A284" s="12">
        <v>30834</v>
      </c>
      <c r="B284" s="26">
        <v>14.5</v>
      </c>
      <c r="C284" s="27"/>
      <c r="D284" s="33">
        <v>1814</v>
      </c>
      <c r="E284" s="41">
        <f>IF(Tabela1716[[#This Row],[Building Permits]]="",#N/A,((Tabela1716[[#This Row],[Building Permits]]*1)/D272)-1)</f>
        <v>2.5438100621820281E-2</v>
      </c>
      <c r="F284" s="33">
        <v>1093</v>
      </c>
      <c r="G284" s="41">
        <f>IF(Tabela1716[[#This Row],[Houses Under Construction]]="",#N/A,((Tabela1716[[#This Row],[Houses Under Construction]]*1)/F272)-1)</f>
        <v>0.18162162162162154</v>
      </c>
      <c r="H284" s="33">
        <v>1843</v>
      </c>
      <c r="I284" s="33">
        <f>IF(Tabela1716[[#This Row],[Housing Starts]]="",#N/A,Tabela1716[[#This Row],[Housing Starts]]-H283)</f>
        <v>69</v>
      </c>
      <c r="J284" s="41">
        <f>IF(Tabela1716[[#This Row],[Housing Starts]]="",#N/A,((Tabela1716[[#This Row],[Housing Starts]]*1)/H272)-1)</f>
        <v>6.3473744950952149E-2</v>
      </c>
      <c r="K284" s="26"/>
      <c r="L284" s="41"/>
      <c r="M284" s="27"/>
      <c r="N284" s="41"/>
      <c r="O284" s="33">
        <v>630</v>
      </c>
      <c r="P284" s="41">
        <f>IF(Tabela1716[[#This Row],[New House Sales]]="",#N/A,((Tabela1716[[#This Row],[New House Sales]]*1)/O283)-1)</f>
        <v>2.4390243902439046E-2</v>
      </c>
      <c r="Q284" s="41">
        <f>IF(Tabela1716[[#This Row],[New House Sales]]="",#N/A,((Tabela1716[[#This Row],[New House Sales]]*1)/O272)-1)</f>
        <v>-3.2258064516129004E-2</v>
      </c>
      <c r="R284" s="27">
        <v>6.6</v>
      </c>
      <c r="S284" s="86"/>
      <c r="T284" s="28"/>
      <c r="W284" s="9"/>
      <c r="X284" s="9"/>
    </row>
    <row r="285" spans="1:24" ht="12.75">
      <c r="A285" s="12">
        <v>30864</v>
      </c>
      <c r="B285" s="26">
        <v>14.67</v>
      </c>
      <c r="C285" s="27"/>
      <c r="D285" s="33">
        <v>1605</v>
      </c>
      <c r="E285" s="41">
        <f>IF(Tabela1716[[#This Row],[Building Permits]]="",#N/A,((Tabela1716[[#This Row],[Building Permits]]*1)/D273)-1)</f>
        <v>-0.10584958217270191</v>
      </c>
      <c r="F285" s="33">
        <v>1098</v>
      </c>
      <c r="G285" s="41">
        <f>IF(Tabela1716[[#This Row],[Houses Under Construction]]="",#N/A,((Tabela1716[[#This Row],[Houses Under Construction]]*1)/F273)-1)</f>
        <v>0.14613778705636737</v>
      </c>
      <c r="H285" s="33">
        <v>1732</v>
      </c>
      <c r="I285" s="33">
        <f>IF(Tabela1716[[#This Row],[Housing Starts]]="",#N/A,Tabela1716[[#This Row],[Housing Starts]]-H284)</f>
        <v>-111</v>
      </c>
      <c r="J285" s="41">
        <f>IF(Tabela1716[[#This Row],[Housing Starts]]="",#N/A,((Tabela1716[[#This Row],[Housing Starts]]*1)/H273)-1)</f>
        <v>-2.9691876750700286E-2</v>
      </c>
      <c r="K285" s="26"/>
      <c r="L285" s="41"/>
      <c r="M285" s="27"/>
      <c r="N285" s="41"/>
      <c r="O285" s="33">
        <v>619</v>
      </c>
      <c r="P285" s="41">
        <f>IF(Tabela1716[[#This Row],[New House Sales]]="",#N/A,((Tabela1716[[#This Row],[New House Sales]]*1)/O284)-1)</f>
        <v>-1.7460317460317509E-2</v>
      </c>
      <c r="Q285" s="41">
        <f>IF(Tabela1716[[#This Row],[New House Sales]]="",#N/A,((Tabela1716[[#This Row],[New House Sales]]*1)/O273)-1)</f>
        <v>2.1452145214521545E-2</v>
      </c>
      <c r="R285" s="27">
        <v>6.7</v>
      </c>
      <c r="S285" s="86"/>
      <c r="T285" s="28"/>
      <c r="V285" s="38"/>
      <c r="W285" s="9"/>
      <c r="X285" s="9"/>
    </row>
    <row r="286" spans="1:24" ht="12.75">
      <c r="A286" s="12">
        <v>30895</v>
      </c>
      <c r="B286" s="26">
        <v>14.38</v>
      </c>
      <c r="C286" s="27"/>
      <c r="D286" s="33">
        <v>1530</v>
      </c>
      <c r="E286" s="41">
        <f>IF(Tabela1716[[#This Row],[Building Permits]]="",#N/A,((Tabela1716[[#This Row],[Building Permits]]*1)/D274)-1)</f>
        <v>-0.10683012259194391</v>
      </c>
      <c r="F286" s="33">
        <v>1087</v>
      </c>
      <c r="G286" s="41">
        <f>IF(Tabela1716[[#This Row],[Houses Under Construction]]="",#N/A,((Tabela1716[[#This Row],[Houses Under Construction]]*1)/F274)-1)</f>
        <v>0.11372950819672134</v>
      </c>
      <c r="H286" s="33">
        <v>1586</v>
      </c>
      <c r="I286" s="33">
        <f>IF(Tabela1716[[#This Row],[Housing Starts]]="",#N/A,Tabela1716[[#This Row],[Housing Starts]]-H285)</f>
        <v>-146</v>
      </c>
      <c r="J286" s="41">
        <f>IF(Tabela1716[[#This Row],[Housing Starts]]="",#N/A,((Tabela1716[[#This Row],[Housing Starts]]*1)/H274)-1)</f>
        <v>-0.16963350785340314</v>
      </c>
      <c r="K286" s="26"/>
      <c r="L286" s="41"/>
      <c r="M286" s="27"/>
      <c r="N286" s="41"/>
      <c r="O286" s="33">
        <v>567</v>
      </c>
      <c r="P286" s="41">
        <f>IF(Tabela1716[[#This Row],[New House Sales]]="",#N/A,((Tabela1716[[#This Row],[New House Sales]]*1)/O285)-1)</f>
        <v>-8.4006462035541185E-2</v>
      </c>
      <c r="Q286" s="41">
        <f>IF(Tabela1716[[#This Row],[New House Sales]]="",#N/A,((Tabela1716[[#This Row],[New House Sales]]*1)/O274)-1)</f>
        <v>-8.7412587412587506E-3</v>
      </c>
      <c r="R286" s="27">
        <v>7.5</v>
      </c>
      <c r="S286" s="86"/>
      <c r="T286" s="28"/>
      <c r="W286" s="9"/>
      <c r="X286" s="9"/>
    </row>
    <row r="287" spans="1:24" ht="12.75">
      <c r="A287" s="12">
        <v>30926</v>
      </c>
      <c r="B287" s="26">
        <v>14.26</v>
      </c>
      <c r="C287" s="27"/>
      <c r="D287" s="33">
        <v>1523</v>
      </c>
      <c r="E287" s="41">
        <f>IF(Tabela1716[[#This Row],[Building Permits]]="",#N/A,((Tabela1716[[#This Row],[Building Permits]]*1)/D275)-1)</f>
        <v>-3.9116719242902165E-2</v>
      </c>
      <c r="F287" s="33">
        <v>1089</v>
      </c>
      <c r="G287" s="41">
        <f>IF(Tabela1716[[#This Row],[Houses Under Construction]]="",#N/A,((Tabela1716[[#This Row],[Houses Under Construction]]*1)/F275)-1)</f>
        <v>0.10000000000000009</v>
      </c>
      <c r="H287" s="33">
        <v>1698</v>
      </c>
      <c r="I287" s="33">
        <f>IF(Tabela1716[[#This Row],[Housing Starts]]="",#N/A,Tabela1716[[#This Row],[Housing Starts]]-H286)</f>
        <v>112</v>
      </c>
      <c r="J287" s="41">
        <f>IF(Tabela1716[[#This Row],[Housing Starts]]="",#N/A,((Tabela1716[[#This Row],[Housing Starts]]*1)/H275)-1)</f>
        <v>-7.0175438596491446E-3</v>
      </c>
      <c r="K287" s="26"/>
      <c r="L287" s="41"/>
      <c r="M287" s="27"/>
      <c r="N287" s="41"/>
      <c r="O287" s="33">
        <v>662</v>
      </c>
      <c r="P287" s="41">
        <f>IF(Tabela1716[[#This Row],[New House Sales]]="",#N/A,((Tabela1716[[#This Row],[New House Sales]]*1)/O286)-1)</f>
        <v>0.16754850088183426</v>
      </c>
      <c r="Q287" s="41">
        <f>IF(Tabela1716[[#This Row],[New House Sales]]="",#N/A,((Tabela1716[[#This Row],[New House Sales]]*1)/O275)-1)</f>
        <v>8.8815789473684292E-2</v>
      </c>
      <c r="R287" s="27">
        <v>6.5</v>
      </c>
      <c r="S287" s="86"/>
      <c r="T287" s="28"/>
      <c r="V287" s="38"/>
      <c r="W287" s="9"/>
      <c r="X287" s="9"/>
    </row>
    <row r="288" spans="1:24" ht="12.75">
      <c r="A288" s="12">
        <v>30956</v>
      </c>
      <c r="B288" s="26">
        <v>14.05</v>
      </c>
      <c r="C288" s="27"/>
      <c r="D288" s="33">
        <v>1490</v>
      </c>
      <c r="E288" s="41">
        <f>IF(Tabela1716[[#This Row],[Building Permits]]="",#N/A,((Tabela1716[[#This Row],[Building Permits]]*1)/D276)-1)</f>
        <v>-0.13170163170163174</v>
      </c>
      <c r="F288" s="33">
        <v>1081</v>
      </c>
      <c r="G288" s="41">
        <f>IF(Tabela1716[[#This Row],[Houses Under Construction]]="",#N/A,((Tabela1716[[#This Row],[Houses Under Construction]]*1)/F276)-1)</f>
        <v>8.5341365461847341E-2</v>
      </c>
      <c r="H288" s="33">
        <v>1590</v>
      </c>
      <c r="I288" s="33">
        <f>IF(Tabela1716[[#This Row],[Housing Starts]]="",#N/A,Tabela1716[[#This Row],[Housing Starts]]-H287)</f>
        <v>-108</v>
      </c>
      <c r="J288" s="41">
        <f>IF(Tabela1716[[#This Row],[Housing Starts]]="",#N/A,((Tabela1716[[#This Row],[Housing Starts]]*1)/H276)-1)</f>
        <v>-7.2886297376093312E-2</v>
      </c>
      <c r="K288" s="26"/>
      <c r="L288" s="41"/>
      <c r="M288" s="27"/>
      <c r="N288" s="41"/>
      <c r="O288" s="33">
        <v>687</v>
      </c>
      <c r="P288" s="41">
        <f>IF(Tabela1716[[#This Row],[New House Sales]]="",#N/A,((Tabela1716[[#This Row],[New House Sales]]*1)/O287)-1)</f>
        <v>3.7764350453172169E-2</v>
      </c>
      <c r="Q288" s="41">
        <f>IF(Tabela1716[[#This Row],[New House Sales]]="",#N/A,((Tabela1716[[#This Row],[New House Sales]]*1)/O276)-1)</f>
        <v>8.7025316455696222E-2</v>
      </c>
      <c r="R288" s="27">
        <v>6</v>
      </c>
      <c r="S288" s="86"/>
      <c r="T288" s="28"/>
      <c r="W288" s="9"/>
      <c r="X288" s="9"/>
    </row>
    <row r="289" spans="1:24" ht="12.75">
      <c r="A289" s="12">
        <v>30987</v>
      </c>
      <c r="B289" s="26">
        <v>13.42</v>
      </c>
      <c r="C289" s="27"/>
      <c r="D289" s="33">
        <v>1643</v>
      </c>
      <c r="E289" s="41">
        <f>IF(Tabela1716[[#This Row],[Building Permits]]="",#N/A,((Tabela1716[[#This Row],[Building Permits]]*1)/D277)-1)</f>
        <v>-1.4988009592326157E-2</v>
      </c>
      <c r="F289" s="33">
        <v>1080</v>
      </c>
      <c r="G289" s="41">
        <f>IF(Tabela1716[[#This Row],[Houses Under Construction]]="",#N/A,((Tabela1716[[#This Row],[Houses Under Construction]]*1)/F277)-1)</f>
        <v>6.2992125984252079E-2</v>
      </c>
      <c r="H289" s="33">
        <v>1689</v>
      </c>
      <c r="I289" s="33">
        <f>IF(Tabela1716[[#This Row],[Housing Starts]]="",#N/A,Tabela1716[[#This Row],[Housing Starts]]-H288)</f>
        <v>99</v>
      </c>
      <c r="J289" s="41">
        <f>IF(Tabela1716[[#This Row],[Housing Starts]]="",#N/A,((Tabela1716[[#This Row],[Housing Starts]]*1)/H277)-1)</f>
        <v>-5.3781512605042048E-2</v>
      </c>
      <c r="K289" s="26"/>
      <c r="L289" s="41"/>
      <c r="M289" s="27"/>
      <c r="N289" s="41"/>
      <c r="O289" s="33">
        <v>597</v>
      </c>
      <c r="P289" s="41">
        <f>IF(Tabela1716[[#This Row],[New House Sales]]="",#N/A,((Tabela1716[[#This Row],[New House Sales]]*1)/O288)-1)</f>
        <v>-0.13100436681222705</v>
      </c>
      <c r="Q289" s="41">
        <f>IF(Tabela1716[[#This Row],[New House Sales]]="",#N/A,((Tabela1716[[#This Row],[New House Sales]]*1)/O277)-1)</f>
        <v>-7.2981366459627384E-2</v>
      </c>
      <c r="R289" s="27">
        <v>7.2</v>
      </c>
      <c r="S289" s="86"/>
      <c r="T289" s="28"/>
      <c r="V289" s="38"/>
      <c r="W289" s="9"/>
      <c r="X289" s="9"/>
    </row>
    <row r="290" spans="1:24" ht="12.75">
      <c r="A290" s="12">
        <v>31017</v>
      </c>
      <c r="B290" s="26">
        <v>13.14</v>
      </c>
      <c r="C290" s="27"/>
      <c r="D290" s="33">
        <v>1626</v>
      </c>
      <c r="E290" s="41">
        <f>IF(Tabela1716[[#This Row],[Building Permits]]="",#N/A,((Tabela1716[[#This Row],[Building Permits]]*1)/D278)-1)</f>
        <v>-6.1462814996926518E-4</v>
      </c>
      <c r="F290" s="33">
        <v>1080</v>
      </c>
      <c r="G290" s="41">
        <f>IF(Tabela1716[[#This Row],[Houses Under Construction]]="",#N/A,((Tabela1716[[#This Row],[Houses Under Construction]]*1)/F278)-1)</f>
        <v>5.2631578947368363E-2</v>
      </c>
      <c r="H290" s="33">
        <v>1612</v>
      </c>
      <c r="I290" s="33">
        <f>IF(Tabela1716[[#This Row],[Housing Starts]]="",#N/A,Tabela1716[[#This Row],[Housing Starts]]-H289)</f>
        <v>-77</v>
      </c>
      <c r="J290" s="41">
        <f>IF(Tabela1716[[#This Row],[Housing Starts]]="",#N/A,((Tabela1716[[#This Row],[Housing Starts]]*1)/H278)-1)</f>
        <v>-4.502369668246442E-2</v>
      </c>
      <c r="K290" s="26"/>
      <c r="L290" s="41"/>
      <c r="M290" s="27"/>
      <c r="N290" s="41"/>
      <c r="O290" s="33">
        <v>597</v>
      </c>
      <c r="P290" s="41">
        <f>IF(Tabela1716[[#This Row],[New House Sales]]="",#N/A,((Tabela1716[[#This Row],[New House Sales]]*1)/O289)-1)</f>
        <v>0</v>
      </c>
      <c r="Q290" s="41">
        <f>IF(Tabela1716[[#This Row],[New House Sales]]="",#N/A,((Tabela1716[[#This Row],[New House Sales]]*1)/O278)-1)</f>
        <v>-0.22768434670116433</v>
      </c>
      <c r="R290" s="27">
        <v>7.3</v>
      </c>
      <c r="S290" s="86"/>
      <c r="T290" s="28"/>
      <c r="W290" s="9"/>
      <c r="X290" s="9"/>
    </row>
    <row r="291" spans="1:24" ht="12.75">
      <c r="A291" s="12">
        <v>31048</v>
      </c>
      <c r="B291" s="26">
        <v>12.96</v>
      </c>
      <c r="C291" s="29">
        <v>50</v>
      </c>
      <c r="D291" s="33">
        <v>1660</v>
      </c>
      <c r="E291" s="41">
        <f>IF(Tabela1716[[#This Row],[Building Permits]]="",#N/A,((Tabela1716[[#This Row],[Building Permits]]*1)/D279)-1)</f>
        <v>-8.590308370044053E-2</v>
      </c>
      <c r="F291" s="33">
        <v>1074</v>
      </c>
      <c r="G291" s="41">
        <f>IF(Tabela1716[[#This Row],[Houses Under Construction]]="",#N/A,((Tabela1716[[#This Row],[Houses Under Construction]]*1)/F279)-1)</f>
        <v>3.2692307692307798E-2</v>
      </c>
      <c r="H291" s="33">
        <v>1711</v>
      </c>
      <c r="I291" s="33">
        <f>IF(Tabela1716[[#This Row],[Housing Starts]]="",#N/A,Tabela1716[[#This Row],[Housing Starts]]-H290)</f>
        <v>99</v>
      </c>
      <c r="J291" s="41">
        <f>IF(Tabela1716[[#This Row],[Housing Starts]]="",#N/A,((Tabela1716[[#This Row],[Housing Starts]]*1)/H279)-1)</f>
        <v>-9.8049551924090705E-2</v>
      </c>
      <c r="K291" s="26"/>
      <c r="L291" s="41"/>
      <c r="M291" s="27"/>
      <c r="N291" s="41"/>
      <c r="O291" s="33">
        <v>645</v>
      </c>
      <c r="P291" s="41">
        <f>IF(Tabela1716[[#This Row],[New House Sales]]="",#N/A,((Tabela1716[[#This Row],[New House Sales]]*1)/O290)-1)</f>
        <v>8.040201005025116E-2</v>
      </c>
      <c r="Q291" s="41">
        <f>IF(Tabela1716[[#This Row],[New House Sales]]="",#N/A,((Tabela1716[[#This Row],[New House Sales]]*1)/O279)-1)</f>
        <v>-6.6570188133140418E-2</v>
      </c>
      <c r="R291" s="27">
        <v>6.7</v>
      </c>
      <c r="S291" s="86"/>
      <c r="T291" s="28"/>
      <c r="V291" s="38"/>
      <c r="W291" s="9"/>
      <c r="X291" s="9"/>
    </row>
    <row r="292" spans="1:24" ht="12.75">
      <c r="A292" s="12">
        <v>31079</v>
      </c>
      <c r="B292" s="26">
        <v>12.94</v>
      </c>
      <c r="C292" s="29">
        <v>58</v>
      </c>
      <c r="D292" s="33">
        <v>1662</v>
      </c>
      <c r="E292" s="41">
        <f>IF(Tabela1716[[#This Row],[Building Permits]]="",#N/A,((Tabela1716[[#This Row],[Building Permits]]*1)/D280)-1)</f>
        <v>-0.16356316054353293</v>
      </c>
      <c r="F292" s="33">
        <v>1067</v>
      </c>
      <c r="G292" s="41">
        <f>IF(Tabela1716[[#This Row],[Houses Under Construction]]="",#N/A,((Tabela1716[[#This Row],[Houses Under Construction]]*1)/F280)-1)</f>
        <v>2.6948989412896918E-2</v>
      </c>
      <c r="H292" s="33">
        <v>1632</v>
      </c>
      <c r="I292" s="33">
        <f>IF(Tabela1716[[#This Row],[Housing Starts]]="",#N/A,Tabela1716[[#This Row],[Housing Starts]]-H291)</f>
        <v>-79</v>
      </c>
      <c r="J292" s="41">
        <f>IF(Tabela1716[[#This Row],[Housing Starts]]="",#N/A,((Tabela1716[[#This Row],[Housing Starts]]*1)/H280)-1)</f>
        <v>-0.27787610619469028</v>
      </c>
      <c r="K292" s="26"/>
      <c r="L292" s="41"/>
      <c r="M292" s="27"/>
      <c r="N292" s="41"/>
      <c r="O292" s="33">
        <v>682</v>
      </c>
      <c r="P292" s="41">
        <f>IF(Tabela1716[[#This Row],[New House Sales]]="",#N/A,((Tabela1716[[#This Row],[New House Sales]]*1)/O291)-1)</f>
        <v>5.7364341085271331E-2</v>
      </c>
      <c r="Q292" s="41">
        <f>IF(Tabela1716[[#This Row],[New House Sales]]="",#N/A,((Tabela1716[[#This Row],[New House Sales]]*1)/O280)-1)</f>
        <v>-2.011494252873558E-2</v>
      </c>
      <c r="R292" s="27">
        <v>6.5</v>
      </c>
      <c r="S292" s="86"/>
      <c r="T292" s="28"/>
      <c r="W292" s="9"/>
      <c r="X292" s="9"/>
    </row>
    <row r="293" spans="1:24" ht="12.75">
      <c r="A293" s="12">
        <v>31107</v>
      </c>
      <c r="B293" s="26">
        <v>13.29</v>
      </c>
      <c r="C293" s="29">
        <v>54</v>
      </c>
      <c r="D293" s="33">
        <v>1727</v>
      </c>
      <c r="E293" s="41">
        <f>IF(Tabela1716[[#This Row],[Building Permits]]="",#N/A,((Tabela1716[[#This Row],[Building Permits]]*1)/D281)-1)</f>
        <v>1.159420289855051E-3</v>
      </c>
      <c r="F293" s="33">
        <v>1065</v>
      </c>
      <c r="G293" s="41">
        <f>IF(Tabela1716[[#This Row],[Houses Under Construction]]="",#N/A,((Tabela1716[[#This Row],[Houses Under Construction]]*1)/F281)-1)</f>
        <v>-3.7418147801683288E-3</v>
      </c>
      <c r="H293" s="33">
        <v>1800</v>
      </c>
      <c r="I293" s="33">
        <f>IF(Tabela1716[[#This Row],[Housing Starts]]="",#N/A,Tabela1716[[#This Row],[Housing Starts]]-H292)</f>
        <v>168</v>
      </c>
      <c r="J293" s="41">
        <f>IF(Tabela1716[[#This Row],[Housing Starts]]="",#N/A,((Tabela1716[[#This Row],[Housing Starts]]*1)/H281)-1)</f>
        <v>8.2381238725195427E-2</v>
      </c>
      <c r="K293" s="26"/>
      <c r="L293" s="41"/>
      <c r="M293" s="27"/>
      <c r="N293" s="41"/>
      <c r="O293" s="33">
        <v>671</v>
      </c>
      <c r="P293" s="41">
        <f>IF(Tabela1716[[#This Row],[New House Sales]]="",#N/A,((Tabela1716[[#This Row],[New House Sales]]*1)/O292)-1)</f>
        <v>-1.6129032258064502E-2</v>
      </c>
      <c r="Q293" s="41">
        <f>IF(Tabela1716[[#This Row],[New House Sales]]="",#N/A,((Tabela1716[[#This Row],[New House Sales]]*1)/O281)-1)</f>
        <v>4.6801872074883066E-2</v>
      </c>
      <c r="R293" s="27">
        <v>6.4</v>
      </c>
      <c r="S293" s="86"/>
      <c r="T293" s="28"/>
      <c r="V293" s="38"/>
      <c r="W293" s="9"/>
      <c r="X293" s="9"/>
    </row>
    <row r="294" spans="1:24" ht="12.75">
      <c r="A294" s="12">
        <v>31138</v>
      </c>
      <c r="B294" s="26">
        <v>13.12</v>
      </c>
      <c r="C294" s="29">
        <v>49</v>
      </c>
      <c r="D294" s="33">
        <v>1664</v>
      </c>
      <c r="E294" s="41">
        <f>IF(Tabela1716[[#This Row],[Building Permits]]="",#N/A,((Tabela1716[[#This Row],[Building Permits]]*1)/D282)-1)</f>
        <v>-6.3063063063063085E-2</v>
      </c>
      <c r="F294" s="33">
        <v>1085</v>
      </c>
      <c r="G294" s="41">
        <f>IF(Tabela1716[[#This Row],[Houses Under Construction]]="",#N/A,((Tabela1716[[#This Row],[Houses Under Construction]]*1)/F282)-1)</f>
        <v>-9.2081031307555961E-4</v>
      </c>
      <c r="H294" s="33">
        <v>1821</v>
      </c>
      <c r="I294" s="33">
        <f>IF(Tabela1716[[#This Row],[Housing Starts]]="",#N/A,Tabela1716[[#This Row],[Housing Starts]]-H293)</f>
        <v>21</v>
      </c>
      <c r="J294" s="41">
        <f>IF(Tabela1716[[#This Row],[Housing Starts]]="",#N/A,((Tabela1716[[#This Row],[Housing Starts]]*1)/H282)-1)</f>
        <v>-1.620745542949753E-2</v>
      </c>
      <c r="K294" s="26"/>
      <c r="L294" s="41"/>
      <c r="M294" s="27"/>
      <c r="N294" s="41"/>
      <c r="O294" s="33">
        <v>620</v>
      </c>
      <c r="P294" s="41">
        <f>IF(Tabela1716[[#This Row],[New House Sales]]="",#N/A,((Tabela1716[[#This Row],[New House Sales]]*1)/O293)-1)</f>
        <v>-7.6005961251862875E-2</v>
      </c>
      <c r="Q294" s="41">
        <f>IF(Tabela1716[[#This Row],[New House Sales]]="",#N/A,((Tabela1716[[#This Row],[New House Sales]]*1)/O282)-1)</f>
        <v>-2.9733959311424085E-2</v>
      </c>
      <c r="R294" s="27">
        <v>6.9</v>
      </c>
      <c r="S294" s="86"/>
      <c r="T294" s="28"/>
      <c r="W294" s="9"/>
      <c r="X294" s="9"/>
    </row>
    <row r="295" spans="1:24" ht="12.75">
      <c r="A295" s="12">
        <v>31168</v>
      </c>
      <c r="B295" s="26">
        <v>12.71</v>
      </c>
      <c r="C295" s="29">
        <v>51</v>
      </c>
      <c r="D295" s="33">
        <v>1709</v>
      </c>
      <c r="E295" s="41">
        <f>IF(Tabela1716[[#This Row],[Building Permits]]="",#N/A,((Tabela1716[[#This Row],[Building Permits]]*1)/D283)-1)</f>
        <v>-1.8380241240666284E-2</v>
      </c>
      <c r="F295" s="33">
        <v>1088</v>
      </c>
      <c r="G295" s="41">
        <f>IF(Tabela1716[[#This Row],[Houses Under Construction]]="",#N/A,((Tabela1716[[#This Row],[Houses Under Construction]]*1)/F283)-1)</f>
        <v>6.4754856614246403E-3</v>
      </c>
      <c r="H295" s="33">
        <v>1680</v>
      </c>
      <c r="I295" s="33">
        <f>IF(Tabela1716[[#This Row],[Housing Starts]]="",#N/A,Tabela1716[[#This Row],[Housing Starts]]-H294)</f>
        <v>-141</v>
      </c>
      <c r="J295" s="41">
        <f>IF(Tabela1716[[#This Row],[Housing Starts]]="",#N/A,((Tabela1716[[#This Row],[Housing Starts]]*1)/H283)-1)</f>
        <v>-5.29875986471251E-2</v>
      </c>
      <c r="K295" s="26"/>
      <c r="L295" s="41"/>
      <c r="M295" s="27"/>
      <c r="N295" s="41"/>
      <c r="O295" s="33">
        <v>678</v>
      </c>
      <c r="P295" s="41">
        <f>IF(Tabela1716[[#This Row],[New House Sales]]="",#N/A,((Tabela1716[[#This Row],[New House Sales]]*1)/O294)-1)</f>
        <v>9.3548387096774155E-2</v>
      </c>
      <c r="Q295" s="41">
        <f>IF(Tabela1716[[#This Row],[New House Sales]]="",#N/A,((Tabela1716[[#This Row],[New House Sales]]*1)/O283)-1)</f>
        <v>0.10243902439024399</v>
      </c>
      <c r="R295" s="27">
        <v>6.4</v>
      </c>
      <c r="S295" s="86"/>
      <c r="T295" s="28"/>
      <c r="V295" s="38"/>
      <c r="W295" s="9"/>
      <c r="X295" s="9"/>
    </row>
    <row r="296" spans="1:24" ht="12.75">
      <c r="A296" s="12">
        <v>31199</v>
      </c>
      <c r="B296" s="26">
        <v>12.15</v>
      </c>
      <c r="C296" s="29">
        <v>54</v>
      </c>
      <c r="D296" s="33">
        <v>1716</v>
      </c>
      <c r="E296" s="41">
        <f>IF(Tabela1716[[#This Row],[Building Permits]]="",#N/A,((Tabela1716[[#This Row],[Building Permits]]*1)/D284)-1)</f>
        <v>-5.4024255788313158E-2</v>
      </c>
      <c r="F296" s="33">
        <v>1071</v>
      </c>
      <c r="G296" s="41">
        <f>IF(Tabela1716[[#This Row],[Houses Under Construction]]="",#N/A,((Tabela1716[[#This Row],[Houses Under Construction]]*1)/F284)-1)</f>
        <v>-2.0128087831655983E-2</v>
      </c>
      <c r="H296" s="33">
        <v>1676</v>
      </c>
      <c r="I296" s="33">
        <f>IF(Tabela1716[[#This Row],[Housing Starts]]="",#N/A,Tabela1716[[#This Row],[Housing Starts]]-H295)</f>
        <v>-4</v>
      </c>
      <c r="J296" s="41">
        <f>IF(Tabela1716[[#This Row],[Housing Starts]]="",#N/A,((Tabela1716[[#This Row],[Housing Starts]]*1)/H284)-1)</f>
        <v>-9.0613130765056948E-2</v>
      </c>
      <c r="K296" s="26"/>
      <c r="L296" s="41"/>
      <c r="M296" s="27"/>
      <c r="N296" s="41"/>
      <c r="O296" s="33">
        <v>722</v>
      </c>
      <c r="P296" s="41">
        <f>IF(Tabela1716[[#This Row],[New House Sales]]="",#N/A,((Tabela1716[[#This Row],[New House Sales]]*1)/O295)-1)</f>
        <v>6.4896755162241915E-2</v>
      </c>
      <c r="Q296" s="41">
        <f>IF(Tabela1716[[#This Row],[New House Sales]]="",#N/A,((Tabela1716[[#This Row],[New House Sales]]*1)/O284)-1)</f>
        <v>0.14603174603174596</v>
      </c>
      <c r="R296" s="27">
        <v>6</v>
      </c>
      <c r="S296" s="86"/>
      <c r="T296" s="28"/>
      <c r="W296" s="9"/>
      <c r="X296" s="9"/>
    </row>
    <row r="297" spans="1:24" ht="12.75">
      <c r="A297" s="12">
        <v>31229</v>
      </c>
      <c r="B297" s="26">
        <v>12.03</v>
      </c>
      <c r="C297" s="29">
        <v>58</v>
      </c>
      <c r="D297" s="33">
        <v>1697</v>
      </c>
      <c r="E297" s="41">
        <f>IF(Tabela1716[[#This Row],[Building Permits]]="",#N/A,((Tabela1716[[#This Row],[Building Permits]]*1)/D285)-1)</f>
        <v>5.7320872274143397E-2</v>
      </c>
      <c r="F297" s="33">
        <v>1070</v>
      </c>
      <c r="G297" s="41">
        <f>IF(Tabela1716[[#This Row],[Houses Under Construction]]="",#N/A,((Tabela1716[[#This Row],[Houses Under Construction]]*1)/F285)-1)</f>
        <v>-2.5500910746812377E-2</v>
      </c>
      <c r="H297" s="33">
        <v>1684</v>
      </c>
      <c r="I297" s="33">
        <f>IF(Tabela1716[[#This Row],[Housing Starts]]="",#N/A,Tabela1716[[#This Row],[Housing Starts]]-H296)</f>
        <v>8</v>
      </c>
      <c r="J297" s="41">
        <f>IF(Tabela1716[[#This Row],[Housing Starts]]="",#N/A,((Tabela1716[[#This Row],[Housing Starts]]*1)/H285)-1)</f>
        <v>-2.7713625866050862E-2</v>
      </c>
      <c r="K297" s="26"/>
      <c r="L297" s="41"/>
      <c r="M297" s="27"/>
      <c r="N297" s="41"/>
      <c r="O297" s="33">
        <v>766</v>
      </c>
      <c r="P297" s="41">
        <f>IF(Tabela1716[[#This Row],[New House Sales]]="",#N/A,((Tabela1716[[#This Row],[New House Sales]]*1)/O296)-1)</f>
        <v>6.094182825484773E-2</v>
      </c>
      <c r="Q297" s="41">
        <f>IF(Tabela1716[[#This Row],[New House Sales]]="",#N/A,((Tabela1716[[#This Row],[New House Sales]]*1)/O285)-1)</f>
        <v>0.23747980613893382</v>
      </c>
      <c r="R297" s="27">
        <v>5.6</v>
      </c>
      <c r="S297" s="86"/>
      <c r="T297" s="28"/>
      <c r="V297" s="38"/>
      <c r="W297" s="9"/>
      <c r="X297" s="9"/>
    </row>
    <row r="298" spans="1:24" ht="12.75">
      <c r="A298" s="12">
        <v>31260</v>
      </c>
      <c r="B298" s="26">
        <v>12.11</v>
      </c>
      <c r="C298" s="29">
        <v>58</v>
      </c>
      <c r="D298" s="33">
        <v>1808</v>
      </c>
      <c r="E298" s="41">
        <f>IF(Tabela1716[[#This Row],[Building Permits]]="",#N/A,((Tabela1716[[#This Row],[Building Permits]]*1)/D286)-1)</f>
        <v>0.18169934640522878</v>
      </c>
      <c r="F298" s="33">
        <v>1075</v>
      </c>
      <c r="G298" s="41">
        <f>IF(Tabela1716[[#This Row],[Houses Under Construction]]="",#N/A,((Tabela1716[[#This Row],[Houses Under Construction]]*1)/F286)-1)</f>
        <v>-1.1039558417663242E-2</v>
      </c>
      <c r="H298" s="33">
        <v>1743</v>
      </c>
      <c r="I298" s="33">
        <f>IF(Tabela1716[[#This Row],[Housing Starts]]="",#N/A,Tabela1716[[#This Row],[Housing Starts]]-H297)</f>
        <v>59</v>
      </c>
      <c r="J298" s="41">
        <f>IF(Tabela1716[[#This Row],[Housing Starts]]="",#N/A,((Tabela1716[[#This Row],[Housing Starts]]*1)/H286)-1)</f>
        <v>9.8991172761664581E-2</v>
      </c>
      <c r="K298" s="26"/>
      <c r="L298" s="41"/>
      <c r="M298" s="27"/>
      <c r="N298" s="41"/>
      <c r="O298" s="33">
        <v>726</v>
      </c>
      <c r="P298" s="41">
        <f>IF(Tabela1716[[#This Row],[New House Sales]]="",#N/A,((Tabela1716[[#This Row],[New House Sales]]*1)/O297)-1)</f>
        <v>-5.2219321148825104E-2</v>
      </c>
      <c r="Q298" s="41">
        <f>IF(Tabela1716[[#This Row],[New House Sales]]="",#N/A,((Tabela1716[[#This Row],[New House Sales]]*1)/O286)-1)</f>
        <v>0.28042328042328046</v>
      </c>
      <c r="R298" s="27">
        <v>5.8</v>
      </c>
      <c r="S298" s="86"/>
      <c r="T298" s="28"/>
      <c r="W298" s="9"/>
      <c r="X298" s="9"/>
    </row>
    <row r="299" spans="1:24" ht="12.75">
      <c r="A299" s="12">
        <v>31291</v>
      </c>
      <c r="B299" s="26">
        <v>12.17</v>
      </c>
      <c r="C299" s="29">
        <v>56</v>
      </c>
      <c r="D299" s="33">
        <v>1916</v>
      </c>
      <c r="E299" s="41">
        <f>IF(Tabela1716[[#This Row],[Building Permits]]="",#N/A,((Tabela1716[[#This Row],[Building Permits]]*1)/D287)-1)</f>
        <v>0.25804333552199599</v>
      </c>
      <c r="F299" s="33">
        <v>1063</v>
      </c>
      <c r="G299" s="41">
        <f>IF(Tabela1716[[#This Row],[Houses Under Construction]]="",#N/A,((Tabela1716[[#This Row],[Houses Under Construction]]*1)/F287)-1)</f>
        <v>-2.3875114784205675E-2</v>
      </c>
      <c r="H299" s="33">
        <v>1676</v>
      </c>
      <c r="I299" s="33">
        <f>IF(Tabela1716[[#This Row],[Housing Starts]]="",#N/A,Tabela1716[[#This Row],[Housing Starts]]-H298)</f>
        <v>-67</v>
      </c>
      <c r="J299" s="41">
        <f>IF(Tabela1716[[#This Row],[Housing Starts]]="",#N/A,((Tabela1716[[#This Row],[Housing Starts]]*1)/H287)-1)</f>
        <v>-1.2956419316843326E-2</v>
      </c>
      <c r="K299" s="26"/>
      <c r="L299" s="41"/>
      <c r="M299" s="27"/>
      <c r="N299" s="41"/>
      <c r="O299" s="33">
        <v>678</v>
      </c>
      <c r="P299" s="41">
        <f>IF(Tabela1716[[#This Row],[New House Sales]]="",#N/A,((Tabela1716[[#This Row],[New House Sales]]*1)/O298)-1)</f>
        <v>-6.6115702479338845E-2</v>
      </c>
      <c r="Q299" s="41">
        <f>IF(Tabela1716[[#This Row],[New House Sales]]="",#N/A,((Tabela1716[[#This Row],[New House Sales]]*1)/O287)-1)</f>
        <v>2.4169184290030232E-2</v>
      </c>
      <c r="R299" s="27">
        <v>6.3</v>
      </c>
      <c r="S299" s="86"/>
      <c r="T299" s="28"/>
      <c r="V299" s="38"/>
      <c r="W299" s="9"/>
      <c r="X299" s="9"/>
    </row>
    <row r="300" spans="1:24" ht="12.75">
      <c r="A300" s="12">
        <v>31321</v>
      </c>
      <c r="B300" s="26">
        <v>12.07</v>
      </c>
      <c r="C300" s="29">
        <v>59</v>
      </c>
      <c r="D300" s="33">
        <v>1743</v>
      </c>
      <c r="E300" s="41">
        <f>IF(Tabela1716[[#This Row],[Building Permits]]="",#N/A,((Tabela1716[[#This Row],[Building Permits]]*1)/D288)-1)</f>
        <v>0.16979865771812075</v>
      </c>
      <c r="F300" s="33">
        <v>1085</v>
      </c>
      <c r="G300" s="41">
        <f>IF(Tabela1716[[#This Row],[Houses Under Construction]]="",#N/A,((Tabela1716[[#This Row],[Houses Under Construction]]*1)/F288)-1)</f>
        <v>3.7002775208141436E-3</v>
      </c>
      <c r="H300" s="33">
        <v>1834</v>
      </c>
      <c r="I300" s="33">
        <f>IF(Tabela1716[[#This Row],[Housing Starts]]="",#N/A,Tabela1716[[#This Row],[Housing Starts]]-H299)</f>
        <v>158</v>
      </c>
      <c r="J300" s="41">
        <f>IF(Tabela1716[[#This Row],[Housing Starts]]="",#N/A,((Tabela1716[[#This Row],[Housing Starts]]*1)/H288)-1)</f>
        <v>0.15345911949685531</v>
      </c>
      <c r="K300" s="26"/>
      <c r="L300" s="41"/>
      <c r="M300" s="27"/>
      <c r="N300" s="41"/>
      <c r="O300" s="33">
        <v>655</v>
      </c>
      <c r="P300" s="41">
        <f>IF(Tabela1716[[#This Row],[New House Sales]]="",#N/A,((Tabela1716[[#This Row],[New House Sales]]*1)/O299)-1)</f>
        <v>-3.3923303834808238E-2</v>
      </c>
      <c r="Q300" s="41">
        <f>IF(Tabela1716[[#This Row],[New House Sales]]="",#N/A,((Tabela1716[[#This Row],[New House Sales]]*1)/O288)-1)</f>
        <v>-4.6579330422125143E-2</v>
      </c>
      <c r="R300" s="27">
        <v>6.4</v>
      </c>
      <c r="S300" s="86"/>
      <c r="T300" s="28"/>
      <c r="W300" s="9"/>
      <c r="X300" s="9"/>
    </row>
    <row r="301" spans="1:24" ht="12.75">
      <c r="A301" s="12">
        <v>31352</v>
      </c>
      <c r="B301" s="26">
        <v>11.58</v>
      </c>
      <c r="C301" s="29">
        <v>58</v>
      </c>
      <c r="D301" s="33">
        <v>1692</v>
      </c>
      <c r="E301" s="41">
        <f>IF(Tabela1716[[#This Row],[Building Permits]]="",#N/A,((Tabela1716[[#This Row],[Building Permits]]*1)/D289)-1)</f>
        <v>2.9823493609251406E-2</v>
      </c>
      <c r="F301" s="33">
        <v>1088</v>
      </c>
      <c r="G301" s="41">
        <f>IF(Tabela1716[[#This Row],[Houses Under Construction]]="",#N/A,((Tabela1716[[#This Row],[Houses Under Construction]]*1)/F289)-1)</f>
        <v>7.4074074074073071E-3</v>
      </c>
      <c r="H301" s="33">
        <v>1698</v>
      </c>
      <c r="I301" s="33">
        <f>IF(Tabela1716[[#This Row],[Housing Starts]]="",#N/A,Tabela1716[[#This Row],[Housing Starts]]-H300)</f>
        <v>-136</v>
      </c>
      <c r="J301" s="41">
        <f>IF(Tabela1716[[#This Row],[Housing Starts]]="",#N/A,((Tabela1716[[#This Row],[Housing Starts]]*1)/H289)-1)</f>
        <v>5.3285968028418118E-3</v>
      </c>
      <c r="K301" s="26"/>
      <c r="L301" s="41"/>
      <c r="M301" s="27"/>
      <c r="N301" s="41"/>
      <c r="O301" s="33">
        <v>733</v>
      </c>
      <c r="P301" s="41">
        <f>IF(Tabela1716[[#This Row],[New House Sales]]="",#N/A,((Tabela1716[[#This Row],[New House Sales]]*1)/O300)-1)</f>
        <v>0.11908396946564892</v>
      </c>
      <c r="Q301" s="41">
        <f>IF(Tabela1716[[#This Row],[New House Sales]]="",#N/A,((Tabela1716[[#This Row],[New House Sales]]*1)/O289)-1)</f>
        <v>0.22780569514237858</v>
      </c>
      <c r="R301" s="27">
        <v>5.9</v>
      </c>
      <c r="S301" s="86"/>
      <c r="T301" s="28"/>
      <c r="V301" s="38"/>
      <c r="W301" s="9"/>
      <c r="X301" s="9"/>
    </row>
    <row r="302" spans="1:24" ht="12.75">
      <c r="A302" s="12">
        <v>31382</v>
      </c>
      <c r="B302" s="26">
        <v>11.09</v>
      </c>
      <c r="C302" s="29">
        <v>57</v>
      </c>
      <c r="D302" s="33">
        <v>1794</v>
      </c>
      <c r="E302" s="41">
        <f>IF(Tabela1716[[#This Row],[Building Permits]]="",#N/A,((Tabela1716[[#This Row],[Building Permits]]*1)/D290)-1)</f>
        <v>0.10332103321033204</v>
      </c>
      <c r="F302" s="33">
        <v>1094</v>
      </c>
      <c r="G302" s="41">
        <f>IF(Tabela1716[[#This Row],[Houses Under Construction]]="",#N/A,((Tabela1716[[#This Row],[Houses Under Construction]]*1)/F290)-1)</f>
        <v>1.2962962962963065E-2</v>
      </c>
      <c r="H302" s="33">
        <v>1942</v>
      </c>
      <c r="I302" s="33">
        <f>IF(Tabela1716[[#This Row],[Housing Starts]]="",#N/A,Tabela1716[[#This Row],[Housing Starts]]-H301)</f>
        <v>244</v>
      </c>
      <c r="J302" s="41">
        <f>IF(Tabela1716[[#This Row],[Housing Starts]]="",#N/A,((Tabela1716[[#This Row],[Housing Starts]]*1)/H290)-1)</f>
        <v>0.20471464019851116</v>
      </c>
      <c r="K302" s="26"/>
      <c r="L302" s="41"/>
      <c r="M302" s="27"/>
      <c r="N302" s="41"/>
      <c r="O302" s="33">
        <v>721</v>
      </c>
      <c r="P302" s="41">
        <f>IF(Tabela1716[[#This Row],[New House Sales]]="",#N/A,((Tabela1716[[#This Row],[New House Sales]]*1)/O301)-1)</f>
        <v>-1.6371077762619368E-2</v>
      </c>
      <c r="Q302" s="41">
        <f>IF(Tabela1716[[#This Row],[New House Sales]]="",#N/A,((Tabela1716[[#This Row],[New House Sales]]*1)/O290)-1)</f>
        <v>0.20770519262981568</v>
      </c>
      <c r="R302" s="27">
        <v>5.8</v>
      </c>
      <c r="S302" s="86"/>
      <c r="T302" s="28"/>
      <c r="W302" s="9"/>
      <c r="X302" s="9"/>
    </row>
    <row r="303" spans="1:24" ht="12.75">
      <c r="A303" s="12">
        <v>31413</v>
      </c>
      <c r="B303" s="26">
        <v>10.89</v>
      </c>
      <c r="C303" s="29">
        <v>57</v>
      </c>
      <c r="D303" s="33">
        <v>1847</v>
      </c>
      <c r="E303" s="41">
        <f>IF(Tabela1716[[#This Row],[Building Permits]]="",#N/A,((Tabela1716[[#This Row],[Building Permits]]*1)/D291)-1)</f>
        <v>0.11265060240963853</v>
      </c>
      <c r="F303" s="33">
        <v>1100</v>
      </c>
      <c r="G303" s="41">
        <f>IF(Tabela1716[[#This Row],[Houses Under Construction]]="",#N/A,((Tabela1716[[#This Row],[Houses Under Construction]]*1)/F291)-1)</f>
        <v>2.4208566108007368E-2</v>
      </c>
      <c r="H303" s="33">
        <v>1972</v>
      </c>
      <c r="I303" s="33">
        <f>IF(Tabela1716[[#This Row],[Housing Starts]]="",#N/A,Tabela1716[[#This Row],[Housing Starts]]-H302)</f>
        <v>30</v>
      </c>
      <c r="J303" s="41">
        <f>IF(Tabela1716[[#This Row],[Housing Starts]]="",#N/A,((Tabela1716[[#This Row],[Housing Starts]]*1)/H291)-1)</f>
        <v>0.15254237288135597</v>
      </c>
      <c r="K303" s="26"/>
      <c r="L303" s="41"/>
      <c r="M303" s="27"/>
      <c r="N303" s="41"/>
      <c r="O303" s="33">
        <v>733</v>
      </c>
      <c r="P303" s="41">
        <f>IF(Tabela1716[[#This Row],[New House Sales]]="",#N/A,((Tabela1716[[#This Row],[New House Sales]]*1)/O302)-1)</f>
        <v>1.6643550624133141E-2</v>
      </c>
      <c r="Q303" s="41">
        <f>IF(Tabela1716[[#This Row],[New House Sales]]="",#N/A,((Tabela1716[[#This Row],[New House Sales]]*1)/O291)-1)</f>
        <v>0.13643410852713189</v>
      </c>
      <c r="R303" s="27">
        <v>5.7</v>
      </c>
      <c r="S303" s="86"/>
      <c r="T303" s="28"/>
      <c r="V303" s="38"/>
      <c r="W303" s="9"/>
      <c r="X303" s="9"/>
    </row>
    <row r="304" spans="1:24" ht="12.75">
      <c r="A304" s="12">
        <v>31444</v>
      </c>
      <c r="B304" s="26">
        <v>10.51</v>
      </c>
      <c r="C304" s="29">
        <v>55</v>
      </c>
      <c r="D304" s="33">
        <v>1767</v>
      </c>
      <c r="E304" s="41">
        <f>IF(Tabela1716[[#This Row],[Building Permits]]="",#N/A,((Tabela1716[[#This Row],[Building Permits]]*1)/D292)-1)</f>
        <v>6.3176895306859215E-2</v>
      </c>
      <c r="F304" s="33">
        <v>1111</v>
      </c>
      <c r="G304" s="41">
        <f>IF(Tabela1716[[#This Row],[Houses Under Construction]]="",#N/A,((Tabela1716[[#This Row],[Houses Under Construction]]*1)/F292)-1)</f>
        <v>4.1237113402061931E-2</v>
      </c>
      <c r="H304" s="33">
        <v>1848</v>
      </c>
      <c r="I304" s="33">
        <f>IF(Tabela1716[[#This Row],[Housing Starts]]="",#N/A,Tabela1716[[#This Row],[Housing Starts]]-H303)</f>
        <v>-124</v>
      </c>
      <c r="J304" s="41">
        <f>IF(Tabela1716[[#This Row],[Housing Starts]]="",#N/A,((Tabela1716[[#This Row],[Housing Starts]]*1)/H292)-1)</f>
        <v>0.13235294117647056</v>
      </c>
      <c r="K304" s="26"/>
      <c r="L304" s="41"/>
      <c r="M304" s="27"/>
      <c r="N304" s="41"/>
      <c r="O304" s="33">
        <v>728</v>
      </c>
      <c r="P304" s="41">
        <f>IF(Tabela1716[[#This Row],[New House Sales]]="",#N/A,((Tabela1716[[#This Row],[New House Sales]]*1)/O303)-1)</f>
        <v>-6.8212824010913664E-3</v>
      </c>
      <c r="Q304" s="41">
        <f>IF(Tabela1716[[#This Row],[New House Sales]]="",#N/A,((Tabela1716[[#This Row],[New House Sales]]*1)/O292)-1)</f>
        <v>6.7448680351906098E-2</v>
      </c>
      <c r="R304" s="27">
        <v>6</v>
      </c>
      <c r="S304" s="86"/>
      <c r="T304" s="28"/>
      <c r="W304" s="9"/>
      <c r="X304" s="9"/>
    </row>
    <row r="305" spans="1:24" ht="12.75">
      <c r="A305" s="12">
        <v>31472</v>
      </c>
      <c r="B305" s="26">
        <v>10.1</v>
      </c>
      <c r="C305" s="29">
        <v>57</v>
      </c>
      <c r="D305" s="33">
        <v>1780</v>
      </c>
      <c r="E305" s="41">
        <f>IF(Tabela1716[[#This Row],[Building Permits]]="",#N/A,((Tabela1716[[#This Row],[Building Permits]]*1)/D293)-1)</f>
        <v>3.0689056166763207E-2</v>
      </c>
      <c r="F305" s="33">
        <v>1106</v>
      </c>
      <c r="G305" s="41">
        <f>IF(Tabela1716[[#This Row],[Houses Under Construction]]="",#N/A,((Tabela1716[[#This Row],[Houses Under Construction]]*1)/F293)-1)</f>
        <v>3.8497652582159647E-2</v>
      </c>
      <c r="H305" s="33">
        <v>1876</v>
      </c>
      <c r="I305" s="33">
        <f>IF(Tabela1716[[#This Row],[Housing Starts]]="",#N/A,Tabela1716[[#This Row],[Housing Starts]]-H304)</f>
        <v>28</v>
      </c>
      <c r="J305" s="41">
        <f>IF(Tabela1716[[#This Row],[Housing Starts]]="",#N/A,((Tabela1716[[#This Row],[Housing Starts]]*1)/H293)-1)</f>
        <v>4.2222222222222161E-2</v>
      </c>
      <c r="K305" s="26"/>
      <c r="L305" s="41"/>
      <c r="M305" s="27"/>
      <c r="N305" s="41"/>
      <c r="O305" s="33">
        <v>880</v>
      </c>
      <c r="P305" s="41">
        <f>IF(Tabela1716[[#This Row],[New House Sales]]="",#N/A,((Tabela1716[[#This Row],[New House Sales]]*1)/O304)-1)</f>
        <v>0.20879120879120872</v>
      </c>
      <c r="Q305" s="41">
        <f>IF(Tabela1716[[#This Row],[New House Sales]]="",#N/A,((Tabela1716[[#This Row],[New House Sales]]*1)/O293)-1)</f>
        <v>0.31147540983606548</v>
      </c>
      <c r="R305" s="27">
        <v>4.7</v>
      </c>
      <c r="S305" s="86"/>
      <c r="T305" s="28"/>
      <c r="V305" s="38"/>
      <c r="W305" s="9"/>
      <c r="X305" s="9"/>
    </row>
    <row r="306" spans="1:24" ht="12.75">
      <c r="A306" s="12">
        <v>31503</v>
      </c>
      <c r="B306" s="26">
        <v>9.86</v>
      </c>
      <c r="C306" s="29">
        <v>62</v>
      </c>
      <c r="D306" s="33">
        <v>1858</v>
      </c>
      <c r="E306" s="41">
        <f>IF(Tabela1716[[#This Row],[Building Permits]]="",#N/A,((Tabela1716[[#This Row],[Building Permits]]*1)/D294)-1)</f>
        <v>0.11658653846153855</v>
      </c>
      <c r="F306" s="33">
        <v>1135</v>
      </c>
      <c r="G306" s="41">
        <f>IF(Tabela1716[[#This Row],[Houses Under Construction]]="",#N/A,((Tabela1716[[#This Row],[Houses Under Construction]]*1)/F294)-1)</f>
        <v>4.6082949308755783E-2</v>
      </c>
      <c r="H306" s="33">
        <v>1933</v>
      </c>
      <c r="I306" s="33">
        <f>IF(Tabela1716[[#This Row],[Housing Starts]]="",#N/A,Tabela1716[[#This Row],[Housing Starts]]-H305)</f>
        <v>57</v>
      </c>
      <c r="J306" s="41">
        <f>IF(Tabela1716[[#This Row],[Housing Starts]]="",#N/A,((Tabela1716[[#This Row],[Housing Starts]]*1)/H294)-1)</f>
        <v>6.1504667764964216E-2</v>
      </c>
      <c r="K306" s="26"/>
      <c r="L306" s="41"/>
      <c r="M306" s="27"/>
      <c r="N306" s="41"/>
      <c r="O306" s="33">
        <v>857</v>
      </c>
      <c r="P306" s="41">
        <f>IF(Tabela1716[[#This Row],[New House Sales]]="",#N/A,((Tabela1716[[#This Row],[New House Sales]]*1)/O305)-1)</f>
        <v>-2.6136363636363624E-2</v>
      </c>
      <c r="Q306" s="41">
        <f>IF(Tabela1716[[#This Row],[New House Sales]]="",#N/A,((Tabela1716[[#This Row],[New House Sales]]*1)/O294)-1)</f>
        <v>0.38225806451612909</v>
      </c>
      <c r="R306" s="27">
        <v>4.7</v>
      </c>
      <c r="S306" s="86"/>
      <c r="T306" s="28"/>
      <c r="W306" s="9"/>
      <c r="X306" s="9"/>
    </row>
    <row r="307" spans="1:24" ht="12.75">
      <c r="A307" s="12">
        <v>31533</v>
      </c>
      <c r="B307" s="26">
        <v>10.38</v>
      </c>
      <c r="C307" s="29">
        <v>64</v>
      </c>
      <c r="D307" s="33">
        <v>1797</v>
      </c>
      <c r="E307" s="41">
        <f>IF(Tabela1716[[#This Row],[Building Permits]]="",#N/A,((Tabela1716[[#This Row],[Building Permits]]*1)/D295)-1)</f>
        <v>5.1492100643651284E-2</v>
      </c>
      <c r="F307" s="33">
        <v>1137</v>
      </c>
      <c r="G307" s="41">
        <f>IF(Tabela1716[[#This Row],[Houses Under Construction]]="",#N/A,((Tabela1716[[#This Row],[Houses Under Construction]]*1)/F295)-1)</f>
        <v>4.5036764705882248E-2</v>
      </c>
      <c r="H307" s="33">
        <v>1854</v>
      </c>
      <c r="I307" s="33">
        <f>IF(Tabela1716[[#This Row],[Housing Starts]]="",#N/A,Tabela1716[[#This Row],[Housing Starts]]-H306)</f>
        <v>-79</v>
      </c>
      <c r="J307" s="41">
        <f>IF(Tabela1716[[#This Row],[Housing Starts]]="",#N/A,((Tabela1716[[#This Row],[Housing Starts]]*1)/H295)-1)</f>
        <v>0.10357142857142865</v>
      </c>
      <c r="K307" s="26"/>
      <c r="L307" s="41"/>
      <c r="M307" s="27"/>
      <c r="N307" s="41"/>
      <c r="O307" s="33">
        <v>789</v>
      </c>
      <c r="P307" s="41">
        <f>IF(Tabela1716[[#This Row],[New House Sales]]="",#N/A,((Tabela1716[[#This Row],[New House Sales]]*1)/O306)-1)</f>
        <v>-7.9346557759626624E-2</v>
      </c>
      <c r="Q307" s="41">
        <f>IF(Tabela1716[[#This Row],[New House Sales]]="",#N/A,((Tabela1716[[#This Row],[New House Sales]]*1)/O295)-1)</f>
        <v>0.16371681415929196</v>
      </c>
      <c r="R307" s="27">
        <v>5.2</v>
      </c>
      <c r="S307" s="86"/>
      <c r="T307" s="28"/>
      <c r="V307" s="38"/>
      <c r="W307" s="9"/>
      <c r="X307" s="9"/>
    </row>
    <row r="308" spans="1:24" ht="12.75">
      <c r="A308" s="12">
        <v>31564</v>
      </c>
      <c r="B308" s="26">
        <v>10.62</v>
      </c>
      <c r="C308" s="29">
        <v>65</v>
      </c>
      <c r="D308" s="33">
        <v>1790</v>
      </c>
      <c r="E308" s="41">
        <f>IF(Tabela1716[[#This Row],[Building Permits]]="",#N/A,((Tabela1716[[#This Row],[Building Permits]]*1)/D296)-1)</f>
        <v>4.3123543123543051E-2</v>
      </c>
      <c r="F308" s="33">
        <v>1149</v>
      </c>
      <c r="G308" s="41">
        <f>IF(Tabela1716[[#This Row],[Houses Under Construction]]="",#N/A,((Tabela1716[[#This Row],[Houses Under Construction]]*1)/F296)-1)</f>
        <v>7.2829131652661028E-2</v>
      </c>
      <c r="H308" s="33">
        <v>1847</v>
      </c>
      <c r="I308" s="33">
        <f>IF(Tabela1716[[#This Row],[Housing Starts]]="",#N/A,Tabela1716[[#This Row],[Housing Starts]]-H307)</f>
        <v>-7</v>
      </c>
      <c r="J308" s="41">
        <f>IF(Tabela1716[[#This Row],[Housing Starts]]="",#N/A,((Tabela1716[[#This Row],[Housing Starts]]*1)/H296)-1)</f>
        <v>0.10202863961813846</v>
      </c>
      <c r="K308" s="26"/>
      <c r="L308" s="41"/>
      <c r="M308" s="27"/>
      <c r="N308" s="41"/>
      <c r="O308" s="33">
        <v>728</v>
      </c>
      <c r="P308" s="41">
        <f>IF(Tabela1716[[#This Row],[New House Sales]]="",#N/A,((Tabela1716[[#This Row],[New House Sales]]*1)/O307)-1)</f>
        <v>-7.7313054499366318E-2</v>
      </c>
      <c r="Q308" s="41">
        <f>IF(Tabela1716[[#This Row],[New House Sales]]="",#N/A,((Tabela1716[[#This Row],[New House Sales]]*1)/O296)-1)</f>
        <v>8.310249307479145E-3</v>
      </c>
      <c r="R308" s="27">
        <v>5.7</v>
      </c>
      <c r="S308" s="86"/>
      <c r="T308" s="28"/>
      <c r="W308" s="9"/>
      <c r="X308" s="9"/>
    </row>
    <row r="309" spans="1:24" ht="12.75">
      <c r="A309" s="12">
        <v>31594</v>
      </c>
      <c r="B309" s="26">
        <v>10.4</v>
      </c>
      <c r="C309" s="29">
        <v>59</v>
      </c>
      <c r="D309" s="33">
        <v>1780</v>
      </c>
      <c r="E309" s="41">
        <f>IF(Tabela1716[[#This Row],[Building Permits]]="",#N/A,((Tabela1716[[#This Row],[Building Permits]]*1)/D297)-1)</f>
        <v>4.8909840895698276E-2</v>
      </c>
      <c r="F309" s="33">
        <v>1151</v>
      </c>
      <c r="G309" s="41">
        <f>IF(Tabela1716[[#This Row],[Houses Under Construction]]="",#N/A,((Tabela1716[[#This Row],[Houses Under Construction]]*1)/F297)-1)</f>
        <v>7.5700934579439272E-2</v>
      </c>
      <c r="H309" s="33">
        <v>1782</v>
      </c>
      <c r="I309" s="33">
        <f>IF(Tabela1716[[#This Row],[Housing Starts]]="",#N/A,Tabela1716[[#This Row],[Housing Starts]]-H308)</f>
        <v>-65</v>
      </c>
      <c r="J309" s="41">
        <f>IF(Tabela1716[[#This Row],[Housing Starts]]="",#N/A,((Tabela1716[[#This Row],[Housing Starts]]*1)/H297)-1)</f>
        <v>5.8194774346793432E-2</v>
      </c>
      <c r="K309" s="26"/>
      <c r="L309" s="41"/>
      <c r="M309" s="27"/>
      <c r="N309" s="41"/>
      <c r="O309" s="33">
        <v>698</v>
      </c>
      <c r="P309" s="41">
        <f>IF(Tabela1716[[#This Row],[New House Sales]]="",#N/A,((Tabela1716[[#This Row],[New House Sales]]*1)/O308)-1)</f>
        <v>-4.1208791208791173E-2</v>
      </c>
      <c r="Q309" s="41">
        <f>IF(Tabela1716[[#This Row],[New House Sales]]="",#N/A,((Tabela1716[[#This Row],[New House Sales]]*1)/O297)-1)</f>
        <v>-8.877284595300261E-2</v>
      </c>
      <c r="R309" s="27">
        <v>6.1</v>
      </c>
      <c r="S309" s="86"/>
      <c r="T309" s="28"/>
      <c r="V309" s="38"/>
      <c r="W309" s="9"/>
      <c r="X309" s="9"/>
    </row>
    <row r="310" spans="1:24" ht="12.75">
      <c r="A310" s="12">
        <v>31625</v>
      </c>
      <c r="B310" s="26">
        <v>9.93</v>
      </c>
      <c r="C310" s="29">
        <v>55</v>
      </c>
      <c r="D310" s="33">
        <v>1726</v>
      </c>
      <c r="E310" s="41">
        <f>IF(Tabela1716[[#This Row],[Building Permits]]="",#N/A,((Tabela1716[[#This Row],[Building Permits]]*1)/D298)-1)</f>
        <v>-4.5353982300884943E-2</v>
      </c>
      <c r="F310" s="33">
        <v>1157</v>
      </c>
      <c r="G310" s="41">
        <f>IF(Tabela1716[[#This Row],[Houses Under Construction]]="",#N/A,((Tabela1716[[#This Row],[Houses Under Construction]]*1)/F298)-1)</f>
        <v>7.6279069767441809E-2</v>
      </c>
      <c r="H310" s="33">
        <v>1807</v>
      </c>
      <c r="I310" s="33">
        <f>IF(Tabela1716[[#This Row],[Housing Starts]]="",#N/A,Tabela1716[[#This Row],[Housing Starts]]-H309)</f>
        <v>25</v>
      </c>
      <c r="J310" s="41">
        <f>IF(Tabela1716[[#This Row],[Housing Starts]]="",#N/A,((Tabela1716[[#This Row],[Housing Starts]]*1)/H298)-1)</f>
        <v>3.671830177854285E-2</v>
      </c>
      <c r="K310" s="26"/>
      <c r="L310" s="41"/>
      <c r="M310" s="27"/>
      <c r="N310" s="41"/>
      <c r="O310" s="33">
        <v>621</v>
      </c>
      <c r="P310" s="41">
        <f>IF(Tabela1716[[#This Row],[New House Sales]]="",#N/A,((Tabela1716[[#This Row],[New House Sales]]*1)/O309)-1)</f>
        <v>-0.11031518624641834</v>
      </c>
      <c r="Q310" s="41">
        <f>IF(Tabela1716[[#This Row],[New House Sales]]="",#N/A,((Tabela1716[[#This Row],[New House Sales]]*1)/O298)-1)</f>
        <v>-0.14462809917355368</v>
      </c>
      <c r="R310" s="27">
        <v>7</v>
      </c>
      <c r="S310" s="86"/>
      <c r="T310" s="28"/>
      <c r="W310" s="9"/>
      <c r="X310" s="9"/>
    </row>
    <row r="311" spans="1:24" ht="12.75">
      <c r="A311" s="12">
        <v>31656</v>
      </c>
      <c r="B311" s="26">
        <v>10.1</v>
      </c>
      <c r="C311" s="29">
        <v>57</v>
      </c>
      <c r="D311" s="33">
        <v>1686</v>
      </c>
      <c r="E311" s="41">
        <f>IF(Tabela1716[[#This Row],[Building Permits]]="",#N/A,((Tabela1716[[#This Row],[Building Permits]]*1)/D299)-1)</f>
        <v>-0.12004175365344472</v>
      </c>
      <c r="F311" s="33">
        <v>1148</v>
      </c>
      <c r="G311" s="41">
        <f>IF(Tabela1716[[#This Row],[Houses Under Construction]]="",#N/A,((Tabela1716[[#This Row],[Houses Under Construction]]*1)/F299)-1)</f>
        <v>7.9962370649106385E-2</v>
      </c>
      <c r="H311" s="33">
        <v>1687</v>
      </c>
      <c r="I311" s="33">
        <f>IF(Tabela1716[[#This Row],[Housing Starts]]="",#N/A,Tabela1716[[#This Row],[Housing Starts]]-H310)</f>
        <v>-120</v>
      </c>
      <c r="J311" s="41">
        <f>IF(Tabela1716[[#This Row],[Housing Starts]]="",#N/A,((Tabela1716[[#This Row],[Housing Starts]]*1)/H299)-1)</f>
        <v>6.5632458233890745E-3</v>
      </c>
      <c r="K311" s="26"/>
      <c r="L311" s="41"/>
      <c r="M311" s="27"/>
      <c r="N311" s="41"/>
      <c r="O311" s="33">
        <v>763</v>
      </c>
      <c r="P311" s="41">
        <f>IF(Tabela1716[[#This Row],[New House Sales]]="",#N/A,((Tabela1716[[#This Row],[New House Sales]]*1)/O310)-1)</f>
        <v>0.22866344605475031</v>
      </c>
      <c r="Q311" s="41">
        <f>IF(Tabela1716[[#This Row],[New House Sales]]="",#N/A,((Tabela1716[[#This Row],[New House Sales]]*1)/O299)-1)</f>
        <v>0.12536873156342176</v>
      </c>
      <c r="R311" s="27">
        <v>5.8</v>
      </c>
      <c r="S311" s="86"/>
      <c r="T311" s="28"/>
      <c r="V311" s="38"/>
      <c r="W311" s="9"/>
      <c r="X311" s="9"/>
    </row>
    <row r="312" spans="1:24" ht="12.75">
      <c r="A312" s="12">
        <v>31686</v>
      </c>
      <c r="B312" s="26">
        <v>9.89</v>
      </c>
      <c r="C312" s="29">
        <v>64</v>
      </c>
      <c r="D312" s="33">
        <v>1675</v>
      </c>
      <c r="E312" s="41">
        <f>IF(Tabela1716[[#This Row],[Building Permits]]="",#N/A,((Tabela1716[[#This Row],[Building Permits]]*1)/D300)-1)</f>
        <v>-3.9013195639701626E-2</v>
      </c>
      <c r="F312" s="33">
        <v>1136</v>
      </c>
      <c r="G312" s="41">
        <f>IF(Tabela1716[[#This Row],[Houses Under Construction]]="",#N/A,((Tabela1716[[#This Row],[Houses Under Construction]]*1)/F300)-1)</f>
        <v>4.7004608294930916E-2</v>
      </c>
      <c r="H312" s="33">
        <v>1681</v>
      </c>
      <c r="I312" s="33">
        <f>IF(Tabela1716[[#This Row],[Housing Starts]]="",#N/A,Tabela1716[[#This Row],[Housing Starts]]-H311)</f>
        <v>-6</v>
      </c>
      <c r="J312" s="41">
        <f>IF(Tabela1716[[#This Row],[Housing Starts]]="",#N/A,((Tabela1716[[#This Row],[Housing Starts]]*1)/H300)-1)</f>
        <v>-8.3424209378407888E-2</v>
      </c>
      <c r="K312" s="26"/>
      <c r="L312" s="41"/>
      <c r="M312" s="27"/>
      <c r="N312" s="41"/>
      <c r="O312" s="33">
        <v>669</v>
      </c>
      <c r="P312" s="41">
        <f>IF(Tabela1716[[#This Row],[New House Sales]]="",#N/A,((Tabela1716[[#This Row],[New House Sales]]*1)/O311)-1)</f>
        <v>-0.1231979030144168</v>
      </c>
      <c r="Q312" s="41">
        <f>IF(Tabela1716[[#This Row],[New House Sales]]="",#N/A,((Tabela1716[[#This Row],[New House Sales]]*1)/O300)-1)</f>
        <v>2.1374045801526798E-2</v>
      </c>
      <c r="R312" s="27">
        <v>6.5</v>
      </c>
      <c r="S312" s="86"/>
      <c r="T312" s="28"/>
      <c r="W312" s="9"/>
      <c r="X312" s="9"/>
    </row>
    <row r="313" spans="1:24" ht="12.75">
      <c r="A313" s="12">
        <v>31717</v>
      </c>
      <c r="B313" s="26">
        <v>9.5</v>
      </c>
      <c r="C313" s="29">
        <v>59</v>
      </c>
      <c r="D313" s="33">
        <v>1644</v>
      </c>
      <c r="E313" s="41">
        <f>IF(Tabela1716[[#This Row],[Building Permits]]="",#N/A,((Tabela1716[[#This Row],[Building Permits]]*1)/D301)-1)</f>
        <v>-2.8368794326241176E-2</v>
      </c>
      <c r="F313" s="33">
        <v>1119</v>
      </c>
      <c r="G313" s="41">
        <f>IF(Tabela1716[[#This Row],[Houses Under Construction]]="",#N/A,((Tabela1716[[#This Row],[Houses Under Construction]]*1)/F301)-1)</f>
        <v>2.8492647058823595E-2</v>
      </c>
      <c r="H313" s="33">
        <v>1623</v>
      </c>
      <c r="I313" s="33">
        <f>IF(Tabela1716[[#This Row],[Housing Starts]]="",#N/A,Tabela1716[[#This Row],[Housing Starts]]-H312)</f>
        <v>-58</v>
      </c>
      <c r="J313" s="41">
        <f>IF(Tabela1716[[#This Row],[Housing Starts]]="",#N/A,((Tabela1716[[#This Row],[Housing Starts]]*1)/H301)-1)</f>
        <v>-4.4169611307420475E-2</v>
      </c>
      <c r="K313" s="26"/>
      <c r="L313" s="41"/>
      <c r="M313" s="27"/>
      <c r="N313" s="41"/>
      <c r="O313" s="33">
        <v>707</v>
      </c>
      <c r="P313" s="41">
        <f>IF(Tabela1716[[#This Row],[New House Sales]]="",#N/A,((Tabela1716[[#This Row],[New House Sales]]*1)/O312)-1)</f>
        <v>5.6801195814648819E-2</v>
      </c>
      <c r="Q313" s="41">
        <f>IF(Tabela1716[[#This Row],[New House Sales]]="",#N/A,((Tabela1716[[#This Row],[New House Sales]]*1)/O301)-1)</f>
        <v>-3.5470668485675261E-2</v>
      </c>
      <c r="R313" s="27">
        <v>6.1</v>
      </c>
      <c r="S313" s="86"/>
      <c r="T313" s="28"/>
      <c r="V313" s="38"/>
      <c r="W313" s="9"/>
      <c r="X313" s="9"/>
    </row>
    <row r="314" spans="1:24" ht="12.75">
      <c r="A314" s="12">
        <v>31747</v>
      </c>
      <c r="B314" s="26">
        <v>9.2899999999999991</v>
      </c>
      <c r="C314" s="29">
        <v>64</v>
      </c>
      <c r="D314" s="33">
        <v>1903</v>
      </c>
      <c r="E314" s="41">
        <f>IF(Tabela1716[[#This Row],[Building Permits]]="",#N/A,((Tabela1716[[#This Row],[Building Permits]]*1)/D302)-1)</f>
        <v>6.0758082497212929E-2</v>
      </c>
      <c r="F314" s="33">
        <v>1107</v>
      </c>
      <c r="G314" s="41">
        <f>IF(Tabela1716[[#This Row],[Houses Under Construction]]="",#N/A,((Tabela1716[[#This Row],[Houses Under Construction]]*1)/F302)-1)</f>
        <v>1.1882998171846459E-2</v>
      </c>
      <c r="H314" s="33">
        <v>1833</v>
      </c>
      <c r="I314" s="33">
        <f>IF(Tabela1716[[#This Row],[Housing Starts]]="",#N/A,Tabela1716[[#This Row],[Housing Starts]]-H313)</f>
        <v>210</v>
      </c>
      <c r="J314" s="41">
        <f>IF(Tabela1716[[#This Row],[Housing Starts]]="",#N/A,((Tabela1716[[#This Row],[Housing Starts]]*1)/H302)-1)</f>
        <v>-5.6127703398558215E-2</v>
      </c>
      <c r="K314" s="26"/>
      <c r="L314" s="41"/>
      <c r="M314" s="27"/>
      <c r="N314" s="41"/>
      <c r="O314" s="33">
        <v>784</v>
      </c>
      <c r="P314" s="41">
        <f>IF(Tabela1716[[#This Row],[New House Sales]]="",#N/A,((Tabela1716[[#This Row],[New House Sales]]*1)/O313)-1)</f>
        <v>0.10891089108910901</v>
      </c>
      <c r="Q314" s="41">
        <f>IF(Tabela1716[[#This Row],[New House Sales]]="",#N/A,((Tabela1716[[#This Row],[New House Sales]]*1)/O302)-1)</f>
        <v>8.737864077669899E-2</v>
      </c>
      <c r="R314" s="27">
        <v>5.5</v>
      </c>
      <c r="S314" s="86"/>
      <c r="T314" s="28"/>
      <c r="W314" s="9"/>
      <c r="X314" s="9"/>
    </row>
    <row r="315" spans="1:24" ht="12.75">
      <c r="A315" s="12">
        <v>31778</v>
      </c>
      <c r="B315" s="26">
        <v>9.08</v>
      </c>
      <c r="C315" s="29">
        <v>63</v>
      </c>
      <c r="D315" s="33">
        <v>1690</v>
      </c>
      <c r="E315" s="41">
        <f>IF(Tabela1716[[#This Row],[Building Permits]]="",#N/A,((Tabela1716[[#This Row],[Building Permits]]*1)/D303)-1)</f>
        <v>-8.5002707092582619E-2</v>
      </c>
      <c r="F315" s="33">
        <v>1090</v>
      </c>
      <c r="G315" s="41">
        <f>IF(Tabela1716[[#This Row],[Houses Under Construction]]="",#N/A,((Tabela1716[[#This Row],[Houses Under Construction]]*1)/F303)-1)</f>
        <v>-9.0909090909090384E-3</v>
      </c>
      <c r="H315" s="33">
        <v>1774</v>
      </c>
      <c r="I315" s="33">
        <f>IF(Tabela1716[[#This Row],[Housing Starts]]="",#N/A,Tabela1716[[#This Row],[Housing Starts]]-H314)</f>
        <v>-59</v>
      </c>
      <c r="J315" s="41">
        <f>IF(Tabela1716[[#This Row],[Housing Starts]]="",#N/A,((Tabela1716[[#This Row],[Housing Starts]]*1)/H303)-1)</f>
        <v>-0.10040567951318458</v>
      </c>
      <c r="K315" s="26"/>
      <c r="L315" s="41"/>
      <c r="M315" s="27"/>
      <c r="N315" s="41"/>
      <c r="O315" s="33">
        <v>709</v>
      </c>
      <c r="P315" s="41">
        <f>IF(Tabela1716[[#This Row],[New House Sales]]="",#N/A,((Tabela1716[[#This Row],[New House Sales]]*1)/O314)-1)</f>
        <v>-9.5663265306122458E-2</v>
      </c>
      <c r="Q315" s="41">
        <f>IF(Tabela1716[[#This Row],[New House Sales]]="",#N/A,((Tabela1716[[#This Row],[New House Sales]]*1)/O303)-1)</f>
        <v>-3.2742155525238736E-2</v>
      </c>
      <c r="R315" s="27">
        <v>6</v>
      </c>
      <c r="S315" s="86">
        <v>63.734999999999999</v>
      </c>
      <c r="T315" s="34"/>
      <c r="U315" s="37"/>
      <c r="V315" s="39"/>
      <c r="W315" s="9"/>
      <c r="X315" s="9"/>
    </row>
    <row r="316" spans="1:24" ht="12.75">
      <c r="A316" s="12">
        <v>31809</v>
      </c>
      <c r="B316" s="26">
        <v>9.07</v>
      </c>
      <c r="C316" s="29">
        <v>60</v>
      </c>
      <c r="D316" s="33">
        <v>1689</v>
      </c>
      <c r="E316" s="41">
        <f>IF(Tabela1716[[#This Row],[Building Permits]]="",#N/A,((Tabela1716[[#This Row],[Building Permits]]*1)/D304)-1)</f>
        <v>-4.4142614601018648E-2</v>
      </c>
      <c r="F316" s="33">
        <v>1096</v>
      </c>
      <c r="G316" s="41">
        <f>IF(Tabela1716[[#This Row],[Houses Under Construction]]="",#N/A,((Tabela1716[[#This Row],[Houses Under Construction]]*1)/F304)-1)</f>
        <v>-1.3501350135013523E-2</v>
      </c>
      <c r="H316" s="33">
        <v>1784</v>
      </c>
      <c r="I316" s="33">
        <f>IF(Tabela1716[[#This Row],[Housing Starts]]="",#N/A,Tabela1716[[#This Row],[Housing Starts]]-H315)</f>
        <v>10</v>
      </c>
      <c r="J316" s="41">
        <f>IF(Tabela1716[[#This Row],[Housing Starts]]="",#N/A,((Tabela1716[[#This Row],[Housing Starts]]*1)/H304)-1)</f>
        <v>-3.4632034632034681E-2</v>
      </c>
      <c r="K316" s="26"/>
      <c r="L316" s="41"/>
      <c r="M316" s="27"/>
      <c r="N316" s="41"/>
      <c r="O316" s="33">
        <v>732</v>
      </c>
      <c r="P316" s="41">
        <f>IF(Tabela1716[[#This Row],[New House Sales]]="",#N/A,((Tabela1716[[#This Row],[New House Sales]]*1)/O315)-1)</f>
        <v>3.2440056417489371E-2</v>
      </c>
      <c r="Q316" s="41">
        <f>IF(Tabela1716[[#This Row],[New House Sales]]="",#N/A,((Tabela1716[[#This Row],[New House Sales]]*1)/O304)-1)</f>
        <v>5.494505494505475E-3</v>
      </c>
      <c r="R316" s="27">
        <v>6.2</v>
      </c>
      <c r="S316" s="86">
        <v>64.134</v>
      </c>
      <c r="T316" s="41">
        <f>IF(Tabela1716[[#This Row],[S&amp;P/Case-Shiller Home Price Index]]="",#N/A,((Tabela1716[[#This Row],[S&amp;P/Case-Shiller Home Price Index]]*1)/S315)-1)</f>
        <v>6.26029654036242E-3</v>
      </c>
      <c r="U316" s="37"/>
      <c r="V316" s="37"/>
      <c r="W316" s="9"/>
      <c r="X316" s="9"/>
    </row>
    <row r="317" spans="1:24" ht="12.75">
      <c r="A317" s="12">
        <v>31837</v>
      </c>
      <c r="B317" s="26">
        <v>9.0299999999999994</v>
      </c>
      <c r="C317" s="29">
        <v>60</v>
      </c>
      <c r="D317" s="33">
        <v>1704</v>
      </c>
      <c r="E317" s="41">
        <f>IF(Tabela1716[[#This Row],[Building Permits]]="",#N/A,((Tabela1716[[#This Row],[Building Permits]]*1)/D305)-1)</f>
        <v>-4.2696629213483162E-2</v>
      </c>
      <c r="F317" s="33">
        <v>1084</v>
      </c>
      <c r="G317" s="41">
        <f>IF(Tabela1716[[#This Row],[Houses Under Construction]]="",#N/A,((Tabela1716[[#This Row],[Houses Under Construction]]*1)/F305)-1)</f>
        <v>-1.9891500904159143E-2</v>
      </c>
      <c r="H317" s="33">
        <v>1726</v>
      </c>
      <c r="I317" s="33">
        <f>IF(Tabela1716[[#This Row],[Housing Starts]]="",#N/A,Tabela1716[[#This Row],[Housing Starts]]-H316)</f>
        <v>-58</v>
      </c>
      <c r="J317" s="41">
        <f>IF(Tabela1716[[#This Row],[Housing Starts]]="",#N/A,((Tabela1716[[#This Row],[Housing Starts]]*1)/H305)-1)</f>
        <v>-7.9957356076759023E-2</v>
      </c>
      <c r="K317" s="26"/>
      <c r="L317" s="41"/>
      <c r="M317" s="27"/>
      <c r="N317" s="41"/>
      <c r="O317" s="33">
        <v>713</v>
      </c>
      <c r="P317" s="41">
        <f>IF(Tabela1716[[#This Row],[New House Sales]]="",#N/A,((Tabela1716[[#This Row],[New House Sales]]*1)/O316)-1)</f>
        <v>-2.5956284153005438E-2</v>
      </c>
      <c r="Q317" s="41">
        <f>IF(Tabela1716[[#This Row],[New House Sales]]="",#N/A,((Tabela1716[[#This Row],[New House Sales]]*1)/O305)-1)</f>
        <v>-0.18977272727272732</v>
      </c>
      <c r="R317" s="27">
        <v>6</v>
      </c>
      <c r="S317" s="86">
        <v>64.47</v>
      </c>
      <c r="T317" s="41">
        <f>IF(Tabela1716[[#This Row],[S&amp;P/Case-Shiller Home Price Index]]="",#N/A,((Tabela1716[[#This Row],[S&amp;P/Case-Shiller Home Price Index]]*1)/S316)-1)</f>
        <v>5.2390307793057644E-3</v>
      </c>
      <c r="U317" s="37"/>
      <c r="V317" s="39"/>
      <c r="W317" s="9"/>
      <c r="X317" s="9"/>
    </row>
    <row r="318" spans="1:24" ht="12.75">
      <c r="A318" s="12">
        <v>31868</v>
      </c>
      <c r="B318" s="26">
        <v>10.37</v>
      </c>
      <c r="C318" s="29">
        <v>59</v>
      </c>
      <c r="D318" s="33">
        <v>1601</v>
      </c>
      <c r="E318" s="41">
        <f>IF(Tabela1716[[#This Row],[Building Permits]]="",#N/A,((Tabela1716[[#This Row],[Building Permits]]*1)/D306)-1)</f>
        <v>-0.13832077502691065</v>
      </c>
      <c r="F318" s="33">
        <v>1079</v>
      </c>
      <c r="G318" s="41">
        <f>IF(Tabela1716[[#This Row],[Houses Under Construction]]="",#N/A,((Tabela1716[[#This Row],[Houses Under Construction]]*1)/F306)-1)</f>
        <v>-4.9339207048458178E-2</v>
      </c>
      <c r="H318" s="33">
        <v>1614</v>
      </c>
      <c r="I318" s="33">
        <f>IF(Tabela1716[[#This Row],[Housing Starts]]="",#N/A,Tabela1716[[#This Row],[Housing Starts]]-H317)</f>
        <v>-112</v>
      </c>
      <c r="J318" s="41">
        <f>IF(Tabela1716[[#This Row],[Housing Starts]]="",#N/A,((Tabela1716[[#This Row],[Housing Starts]]*1)/H306)-1)</f>
        <v>-0.16502845318158299</v>
      </c>
      <c r="K318" s="26"/>
      <c r="L318" s="41"/>
      <c r="M318" s="27"/>
      <c r="N318" s="41"/>
      <c r="O318" s="33">
        <v>735</v>
      </c>
      <c r="P318" s="41">
        <f>IF(Tabela1716[[#This Row],[New House Sales]]="",#N/A,((Tabela1716[[#This Row],[New House Sales]]*1)/O317)-1)</f>
        <v>3.0855539971949453E-2</v>
      </c>
      <c r="Q318" s="41">
        <f>IF(Tabela1716[[#This Row],[New House Sales]]="",#N/A,((Tabela1716[[#This Row],[New House Sales]]*1)/O306)-1)</f>
        <v>-0.14235705950991828</v>
      </c>
      <c r="R318" s="27">
        <v>6</v>
      </c>
      <c r="S318" s="86">
        <v>64.972999999999999</v>
      </c>
      <c r="T318" s="41">
        <f>IF(Tabela1716[[#This Row],[S&amp;P/Case-Shiller Home Price Index]]="",#N/A,((Tabela1716[[#This Row],[S&amp;P/Case-Shiller Home Price Index]]*1)/S317)-1)</f>
        <v>7.8020784861174697E-3</v>
      </c>
      <c r="U318" s="37"/>
      <c r="V318" s="37"/>
      <c r="W318" s="9"/>
      <c r="X318" s="9"/>
    </row>
    <row r="319" spans="1:24" ht="12.75">
      <c r="A319" s="12">
        <v>31898</v>
      </c>
      <c r="B319" s="26">
        <v>10.7</v>
      </c>
      <c r="C319" s="29">
        <v>55</v>
      </c>
      <c r="D319" s="33">
        <v>1500</v>
      </c>
      <c r="E319" s="41">
        <f>IF(Tabela1716[[#This Row],[Building Permits]]="",#N/A,((Tabela1716[[#This Row],[Building Permits]]*1)/D307)-1)</f>
        <v>-0.1652754590984975</v>
      </c>
      <c r="F319" s="33">
        <v>1070</v>
      </c>
      <c r="G319" s="41">
        <f>IF(Tabela1716[[#This Row],[Houses Under Construction]]="",#N/A,((Tabela1716[[#This Row],[Houses Under Construction]]*1)/F307)-1)</f>
        <v>-5.892700087950753E-2</v>
      </c>
      <c r="H319" s="33">
        <v>1628</v>
      </c>
      <c r="I319" s="33">
        <f>IF(Tabela1716[[#This Row],[Housing Starts]]="",#N/A,Tabela1716[[#This Row],[Housing Starts]]-H318)</f>
        <v>14</v>
      </c>
      <c r="J319" s="41">
        <f>IF(Tabela1716[[#This Row],[Housing Starts]]="",#N/A,((Tabela1716[[#This Row],[Housing Starts]]*1)/H307)-1)</f>
        <v>-0.12189859762675292</v>
      </c>
      <c r="K319" s="26"/>
      <c r="L319" s="41"/>
      <c r="M319" s="27"/>
      <c r="N319" s="41"/>
      <c r="O319" s="33">
        <v>651</v>
      </c>
      <c r="P319" s="41">
        <f>IF(Tabela1716[[#This Row],[New House Sales]]="",#N/A,((Tabela1716[[#This Row],[New House Sales]]*1)/O318)-1)</f>
        <v>-0.11428571428571432</v>
      </c>
      <c r="Q319" s="41">
        <f>IF(Tabela1716[[#This Row],[New House Sales]]="",#N/A,((Tabela1716[[#This Row],[New House Sales]]*1)/O307)-1)</f>
        <v>-0.17490494296577952</v>
      </c>
      <c r="R319" s="27">
        <v>6.7</v>
      </c>
      <c r="S319" s="86">
        <v>65.546999999999997</v>
      </c>
      <c r="T319" s="41">
        <f>IF(Tabela1716[[#This Row],[S&amp;P/Case-Shiller Home Price Index]]="",#N/A,((Tabela1716[[#This Row],[S&amp;P/Case-Shiller Home Price Index]]*1)/S318)-1)</f>
        <v>8.8344389207823948E-3</v>
      </c>
      <c r="U319" s="37"/>
      <c r="V319" s="39"/>
      <c r="W319" s="9"/>
      <c r="X319" s="9"/>
    </row>
    <row r="320" spans="1:24" ht="12.75">
      <c r="A320" s="12">
        <v>31929</v>
      </c>
      <c r="B320" s="26">
        <v>10.35</v>
      </c>
      <c r="C320" s="29">
        <v>56</v>
      </c>
      <c r="D320" s="33">
        <v>1522</v>
      </c>
      <c r="E320" s="41">
        <f>IF(Tabela1716[[#This Row],[Building Permits]]="",#N/A,((Tabela1716[[#This Row],[Building Permits]]*1)/D308)-1)</f>
        <v>-0.14972067039106141</v>
      </c>
      <c r="F320" s="33">
        <v>1060</v>
      </c>
      <c r="G320" s="41">
        <f>IF(Tabela1716[[#This Row],[Houses Under Construction]]="",#N/A,((Tabela1716[[#This Row],[Houses Under Construction]]*1)/F308)-1)</f>
        <v>-7.7458659704090493E-2</v>
      </c>
      <c r="H320" s="33">
        <v>1594</v>
      </c>
      <c r="I320" s="33">
        <f>IF(Tabela1716[[#This Row],[Housing Starts]]="",#N/A,Tabela1716[[#This Row],[Housing Starts]]-H319)</f>
        <v>-34</v>
      </c>
      <c r="J320" s="41">
        <f>IF(Tabela1716[[#This Row],[Housing Starts]]="",#N/A,((Tabela1716[[#This Row],[Housing Starts]]*1)/H308)-1)</f>
        <v>-0.13697888467785602</v>
      </c>
      <c r="K320" s="26"/>
      <c r="L320" s="41"/>
      <c r="M320" s="27"/>
      <c r="N320" s="41"/>
      <c r="O320" s="33">
        <v>637</v>
      </c>
      <c r="P320" s="41">
        <f>IF(Tabela1716[[#This Row],[New House Sales]]="",#N/A,((Tabela1716[[#This Row],[New House Sales]]*1)/O319)-1)</f>
        <v>-2.1505376344086002E-2</v>
      </c>
      <c r="Q320" s="41">
        <f>IF(Tabela1716[[#This Row],[New House Sales]]="",#N/A,((Tabela1716[[#This Row],[New House Sales]]*1)/O308)-1)</f>
        <v>-0.125</v>
      </c>
      <c r="R320" s="27">
        <v>6.9</v>
      </c>
      <c r="S320" s="86">
        <v>66.218000000000004</v>
      </c>
      <c r="T320" s="41">
        <f>IF(Tabela1716[[#This Row],[S&amp;P/Case-Shiller Home Price Index]]="",#N/A,((Tabela1716[[#This Row],[S&amp;P/Case-Shiller Home Price Index]]*1)/S319)-1)</f>
        <v>1.0236929226356661E-2</v>
      </c>
      <c r="U320" s="37"/>
      <c r="V320" s="37"/>
      <c r="W320" s="9"/>
      <c r="X320" s="9"/>
    </row>
    <row r="321" spans="1:24" ht="12.75">
      <c r="A321" s="12">
        <v>31959</v>
      </c>
      <c r="B321" s="26">
        <v>10.27</v>
      </c>
      <c r="C321" s="29">
        <v>55</v>
      </c>
      <c r="D321" s="33">
        <v>1516</v>
      </c>
      <c r="E321" s="41">
        <f>IF(Tabela1716[[#This Row],[Building Permits]]="",#N/A,((Tabela1716[[#This Row],[Building Permits]]*1)/D309)-1)</f>
        <v>-0.14831460674157304</v>
      </c>
      <c r="F321" s="33">
        <v>1051</v>
      </c>
      <c r="G321" s="41">
        <f>IF(Tabela1716[[#This Row],[Houses Under Construction]]="",#N/A,((Tabela1716[[#This Row],[Houses Under Construction]]*1)/F309)-1)</f>
        <v>-8.6880973066898348E-2</v>
      </c>
      <c r="H321" s="33">
        <v>1575</v>
      </c>
      <c r="I321" s="33">
        <f>IF(Tabela1716[[#This Row],[Housing Starts]]="",#N/A,Tabela1716[[#This Row],[Housing Starts]]-H320)</f>
        <v>-19</v>
      </c>
      <c r="J321" s="41">
        <f>IF(Tabela1716[[#This Row],[Housing Starts]]="",#N/A,((Tabela1716[[#This Row],[Housing Starts]]*1)/H309)-1)</f>
        <v>-0.11616161616161613</v>
      </c>
      <c r="K321" s="26"/>
      <c r="L321" s="41"/>
      <c r="M321" s="27"/>
      <c r="N321" s="41"/>
      <c r="O321" s="33">
        <v>658</v>
      </c>
      <c r="P321" s="41">
        <f>IF(Tabela1716[[#This Row],[New House Sales]]="",#N/A,((Tabela1716[[#This Row],[New House Sales]]*1)/O320)-1)</f>
        <v>3.2967032967033072E-2</v>
      </c>
      <c r="Q321" s="41">
        <f>IF(Tabela1716[[#This Row],[New House Sales]]="",#N/A,((Tabela1716[[#This Row],[New House Sales]]*1)/O309)-1)</f>
        <v>-5.7306590257879653E-2</v>
      </c>
      <c r="R321" s="27">
        <v>6.7</v>
      </c>
      <c r="S321" s="86">
        <v>66.784999999999997</v>
      </c>
      <c r="T321" s="41">
        <f>IF(Tabela1716[[#This Row],[S&amp;P/Case-Shiller Home Price Index]]="",#N/A,((Tabela1716[[#This Row],[S&amp;P/Case-Shiller Home Price Index]]*1)/S320)-1)</f>
        <v>8.5626264761846649E-3</v>
      </c>
      <c r="U321" s="37"/>
      <c r="V321" s="39"/>
      <c r="W321" s="9"/>
      <c r="X321" s="9"/>
    </row>
    <row r="322" spans="1:24" ht="12.75">
      <c r="A322" s="12">
        <v>31990</v>
      </c>
      <c r="B322" s="26">
        <v>10.33</v>
      </c>
      <c r="C322" s="29">
        <v>54</v>
      </c>
      <c r="D322" s="33">
        <v>1511</v>
      </c>
      <c r="E322" s="41">
        <f>IF(Tabela1716[[#This Row],[Building Permits]]="",#N/A,((Tabela1716[[#This Row],[Building Permits]]*1)/D310)-1)</f>
        <v>-0.12456546929316337</v>
      </c>
      <c r="F322" s="33">
        <v>1045</v>
      </c>
      <c r="G322" s="41">
        <f>IF(Tabela1716[[#This Row],[Houses Under Construction]]="",#N/A,((Tabela1716[[#This Row],[Houses Under Construction]]*1)/F310)-1)</f>
        <v>-9.6802074330164189E-2</v>
      </c>
      <c r="H322" s="33">
        <v>1605</v>
      </c>
      <c r="I322" s="33">
        <f>IF(Tabela1716[[#This Row],[Housing Starts]]="",#N/A,Tabela1716[[#This Row],[Housing Starts]]-H321)</f>
        <v>30</v>
      </c>
      <c r="J322" s="41">
        <f>IF(Tabela1716[[#This Row],[Housing Starts]]="",#N/A,((Tabela1716[[#This Row],[Housing Starts]]*1)/H310)-1)</f>
        <v>-0.11178749308245706</v>
      </c>
      <c r="K322" s="26"/>
      <c r="L322" s="41"/>
      <c r="M322" s="27"/>
      <c r="N322" s="41"/>
      <c r="O322" s="33">
        <v>657</v>
      </c>
      <c r="P322" s="41">
        <f>IF(Tabela1716[[#This Row],[New House Sales]]="",#N/A,((Tabela1716[[#This Row],[New House Sales]]*1)/O321)-1)</f>
        <v>-1.5197568389058169E-3</v>
      </c>
      <c r="Q322" s="41">
        <f>IF(Tabela1716[[#This Row],[New House Sales]]="",#N/A,((Tabela1716[[#This Row],[New House Sales]]*1)/O310)-1)</f>
        <v>5.7971014492753659E-2</v>
      </c>
      <c r="R322" s="27">
        <v>6.8</v>
      </c>
      <c r="S322" s="86">
        <v>67.268999999999991</v>
      </c>
      <c r="T322" s="41">
        <f>IF(Tabela1716[[#This Row],[S&amp;P/Case-Shiller Home Price Index]]="",#N/A,((Tabela1716[[#This Row],[S&amp;P/Case-Shiller Home Price Index]]*1)/S321)-1)</f>
        <v>7.2471363330088856E-3</v>
      </c>
      <c r="U322" s="37"/>
      <c r="V322" s="37"/>
      <c r="W322" s="9"/>
      <c r="X322" s="9"/>
    </row>
    <row r="323" spans="1:24" ht="12.75">
      <c r="A323" s="12">
        <v>32021</v>
      </c>
      <c r="B323" s="26">
        <v>11.02</v>
      </c>
      <c r="C323" s="29">
        <v>52</v>
      </c>
      <c r="D323" s="33">
        <v>1514</v>
      </c>
      <c r="E323" s="41">
        <f>IF(Tabela1716[[#This Row],[Building Permits]]="",#N/A,((Tabela1716[[#This Row],[Building Permits]]*1)/D311)-1)</f>
        <v>-0.10201660735468565</v>
      </c>
      <c r="F323" s="33">
        <v>1048</v>
      </c>
      <c r="G323" s="41">
        <f>IF(Tabela1716[[#This Row],[Houses Under Construction]]="",#N/A,((Tabela1716[[#This Row],[Houses Under Construction]]*1)/F311)-1)</f>
        <v>-8.710801393728218E-2</v>
      </c>
      <c r="H323" s="33">
        <v>1695</v>
      </c>
      <c r="I323" s="33">
        <f>IF(Tabela1716[[#This Row],[Housing Starts]]="",#N/A,Tabela1716[[#This Row],[Housing Starts]]-H322)</f>
        <v>90</v>
      </c>
      <c r="J323" s="41">
        <f>IF(Tabela1716[[#This Row],[Housing Starts]]="",#N/A,((Tabela1716[[#This Row],[Housing Starts]]*1)/H311)-1)</f>
        <v>4.7421458209839784E-3</v>
      </c>
      <c r="K323" s="26"/>
      <c r="L323" s="41"/>
      <c r="M323" s="27"/>
      <c r="N323" s="41"/>
      <c r="O323" s="33">
        <v>666</v>
      </c>
      <c r="P323" s="41">
        <f>IF(Tabela1716[[#This Row],[New House Sales]]="",#N/A,((Tabela1716[[#This Row],[New House Sales]]*1)/O322)-1)</f>
        <v>1.3698630136986356E-2</v>
      </c>
      <c r="Q323" s="41">
        <f>IF(Tabela1716[[#This Row],[New House Sales]]="",#N/A,((Tabela1716[[#This Row],[New House Sales]]*1)/O311)-1)</f>
        <v>-0.12712975098296198</v>
      </c>
      <c r="R323" s="27">
        <v>6.8</v>
      </c>
      <c r="S323" s="86">
        <v>67.623000000000005</v>
      </c>
      <c r="T323" s="41">
        <f>IF(Tabela1716[[#This Row],[S&amp;P/Case-Shiller Home Price Index]]="",#N/A,((Tabela1716[[#This Row],[S&amp;P/Case-Shiller Home Price Index]]*1)/S322)-1)</f>
        <v>5.2624537305447916E-3</v>
      </c>
      <c r="U323" s="37"/>
      <c r="V323" s="39"/>
      <c r="W323" s="9"/>
      <c r="X323" s="9"/>
    </row>
    <row r="324" spans="1:24" ht="12.75">
      <c r="A324" s="12">
        <v>32051</v>
      </c>
      <c r="B324" s="26">
        <v>10.97</v>
      </c>
      <c r="C324" s="29">
        <v>50</v>
      </c>
      <c r="D324" s="33">
        <v>1447</v>
      </c>
      <c r="E324" s="41">
        <f>IF(Tabela1716[[#This Row],[Building Permits]]="",#N/A,((Tabela1716[[#This Row],[Building Permits]]*1)/D312)-1)</f>
        <v>-0.13611940298507463</v>
      </c>
      <c r="F324" s="33">
        <v>1041</v>
      </c>
      <c r="G324" s="41">
        <f>IF(Tabela1716[[#This Row],[Houses Under Construction]]="",#N/A,((Tabela1716[[#This Row],[Houses Under Construction]]*1)/F312)-1)</f>
        <v>-8.3626760563380254E-2</v>
      </c>
      <c r="H324" s="33">
        <v>1515</v>
      </c>
      <c r="I324" s="33">
        <f>IF(Tabela1716[[#This Row],[Housing Starts]]="",#N/A,Tabela1716[[#This Row],[Housing Starts]]-H323)</f>
        <v>-180</v>
      </c>
      <c r="J324" s="41">
        <f>IF(Tabela1716[[#This Row],[Housing Starts]]="",#N/A,((Tabela1716[[#This Row],[Housing Starts]]*1)/H312)-1)</f>
        <v>-9.8750743604997027E-2</v>
      </c>
      <c r="K324" s="26"/>
      <c r="L324" s="41"/>
      <c r="M324" s="27"/>
      <c r="N324" s="41"/>
      <c r="O324" s="33">
        <v>650</v>
      </c>
      <c r="P324" s="41">
        <f>IF(Tabela1716[[#This Row],[New House Sales]]="",#N/A,((Tabela1716[[#This Row],[New House Sales]]*1)/O323)-1)</f>
        <v>-2.4024024024024038E-2</v>
      </c>
      <c r="Q324" s="41">
        <f>IF(Tabela1716[[#This Row],[New House Sales]]="",#N/A,((Tabela1716[[#This Row],[New House Sales]]*1)/O312)-1)</f>
        <v>-2.840059790732441E-2</v>
      </c>
      <c r="R324" s="27">
        <v>6.8</v>
      </c>
      <c r="S324" s="86">
        <v>67.902000000000001</v>
      </c>
      <c r="T324" s="41">
        <f>IF(Tabela1716[[#This Row],[S&amp;P/Case-Shiller Home Price Index]]="",#N/A,((Tabela1716[[#This Row],[S&amp;P/Case-Shiller Home Price Index]]*1)/S323)-1)</f>
        <v>4.1258151812253452E-3</v>
      </c>
      <c r="U324" s="37"/>
      <c r="V324" s="37"/>
      <c r="W324" s="9"/>
      <c r="X324" s="9"/>
    </row>
    <row r="325" spans="1:24" ht="12.75">
      <c r="A325" s="12">
        <v>32082</v>
      </c>
      <c r="B325" s="26">
        <v>10.55</v>
      </c>
      <c r="C325" s="29">
        <v>56</v>
      </c>
      <c r="D325" s="33">
        <v>1457</v>
      </c>
      <c r="E325" s="41">
        <f>IF(Tabela1716[[#This Row],[Building Permits]]="",#N/A,((Tabela1716[[#This Row],[Building Permits]]*1)/D313)-1)</f>
        <v>-0.11374695863746964</v>
      </c>
      <c r="F325" s="33">
        <v>1042</v>
      </c>
      <c r="G325" s="41">
        <f>IF(Tabela1716[[#This Row],[Houses Under Construction]]="",#N/A,((Tabela1716[[#This Row],[Houses Under Construction]]*1)/F313)-1)</f>
        <v>-6.8811438784629142E-2</v>
      </c>
      <c r="H325" s="33">
        <v>1656</v>
      </c>
      <c r="I325" s="33">
        <f>IF(Tabela1716[[#This Row],[Housing Starts]]="",#N/A,Tabela1716[[#This Row],[Housing Starts]]-H324)</f>
        <v>141</v>
      </c>
      <c r="J325" s="41">
        <f>IF(Tabela1716[[#This Row],[Housing Starts]]="",#N/A,((Tabela1716[[#This Row],[Housing Starts]]*1)/H313)-1)</f>
        <v>2.0332717190388205E-2</v>
      </c>
      <c r="K325" s="26"/>
      <c r="L325" s="41"/>
      <c r="M325" s="27"/>
      <c r="N325" s="41"/>
      <c r="O325" s="33">
        <v>625</v>
      </c>
      <c r="P325" s="41">
        <f>IF(Tabela1716[[#This Row],[New House Sales]]="",#N/A,((Tabela1716[[#This Row],[New House Sales]]*1)/O324)-1)</f>
        <v>-3.8461538461538436E-2</v>
      </c>
      <c r="Q325" s="41">
        <f>IF(Tabela1716[[#This Row],[New House Sales]]="",#N/A,((Tabela1716[[#This Row],[New House Sales]]*1)/O313)-1)</f>
        <v>-0.11598302687411599</v>
      </c>
      <c r="R325" s="27">
        <v>7</v>
      </c>
      <c r="S325" s="86">
        <v>68.091999999999999</v>
      </c>
      <c r="T325" s="41">
        <f>IF(Tabela1716[[#This Row],[S&amp;P/Case-Shiller Home Price Index]]="",#N/A,((Tabela1716[[#This Row],[S&amp;P/Case-Shiller Home Price Index]]*1)/S324)-1)</f>
        <v>2.7981502753968712E-3</v>
      </c>
      <c r="U325" s="37"/>
      <c r="V325" s="39"/>
      <c r="W325" s="9"/>
      <c r="X325" s="9"/>
    </row>
    <row r="326" spans="1:24" ht="12.75">
      <c r="A326" s="12">
        <v>32112</v>
      </c>
      <c r="B326" s="26">
        <v>10.61</v>
      </c>
      <c r="C326" s="29">
        <v>51</v>
      </c>
      <c r="D326" s="33">
        <v>1345</v>
      </c>
      <c r="E326" s="41">
        <f>IF(Tabela1716[[#This Row],[Building Permits]]="",#N/A,((Tabela1716[[#This Row],[Building Permits]]*1)/D314)-1)</f>
        <v>-0.29322122963741459</v>
      </c>
      <c r="F326" s="33">
        <v>1018</v>
      </c>
      <c r="G326" s="41">
        <f>IF(Tabela1716[[#This Row],[Houses Under Construction]]="",#N/A,((Tabela1716[[#This Row],[Houses Under Construction]]*1)/F314)-1)</f>
        <v>-8.0397470641373037E-2</v>
      </c>
      <c r="H326" s="33">
        <v>1400</v>
      </c>
      <c r="I326" s="33">
        <f>IF(Tabela1716[[#This Row],[Housing Starts]]="",#N/A,Tabela1716[[#This Row],[Housing Starts]]-H325)</f>
        <v>-256</v>
      </c>
      <c r="J326" s="41">
        <f>IF(Tabela1716[[#This Row],[Housing Starts]]="",#N/A,((Tabela1716[[#This Row],[Housing Starts]]*1)/H314)-1)</f>
        <v>-0.23622476813966176</v>
      </c>
      <c r="K326" s="26"/>
      <c r="L326" s="41"/>
      <c r="M326" s="27"/>
      <c r="N326" s="41"/>
      <c r="O326" s="33">
        <v>595</v>
      </c>
      <c r="P326" s="41">
        <f>IF(Tabela1716[[#This Row],[New House Sales]]="",#N/A,((Tabela1716[[#This Row],[New House Sales]]*1)/O325)-1)</f>
        <v>-4.8000000000000043E-2</v>
      </c>
      <c r="Q326" s="41">
        <f>IF(Tabela1716[[#This Row],[New House Sales]]="",#N/A,((Tabela1716[[#This Row],[New House Sales]]*1)/O314)-1)</f>
        <v>-0.2410714285714286</v>
      </c>
      <c r="R326" s="27">
        <v>7.6</v>
      </c>
      <c r="S326" s="86">
        <v>68.343000000000004</v>
      </c>
      <c r="T326" s="41">
        <f>IF(Tabela1716[[#This Row],[S&amp;P/Case-Shiller Home Price Index]]="",#N/A,((Tabela1716[[#This Row],[S&amp;P/Case-Shiller Home Price Index]]*1)/S325)-1)</f>
        <v>3.6861892733361934E-3</v>
      </c>
      <c r="U326" s="37"/>
      <c r="V326" s="37"/>
      <c r="W326" s="9"/>
      <c r="X326" s="9"/>
    </row>
    <row r="327" spans="1:24" ht="12.75">
      <c r="A327" s="12">
        <v>32143</v>
      </c>
      <c r="B327" s="26">
        <v>10.16</v>
      </c>
      <c r="C327" s="29">
        <v>53</v>
      </c>
      <c r="D327" s="33">
        <v>1244</v>
      </c>
      <c r="E327" s="41">
        <f>IF(Tabela1716[[#This Row],[Building Permits]]="",#N/A,((Tabela1716[[#This Row],[Building Permits]]*1)/D315)-1)</f>
        <v>-0.26390532544378698</v>
      </c>
      <c r="F327" s="33">
        <v>1008</v>
      </c>
      <c r="G327" s="41">
        <f>IF(Tabela1716[[#This Row],[Houses Under Construction]]="",#N/A,((Tabela1716[[#This Row],[Houses Under Construction]]*1)/F315)-1)</f>
        <v>-7.5229357798165086E-2</v>
      </c>
      <c r="H327" s="33">
        <v>1271</v>
      </c>
      <c r="I327" s="33">
        <f>IF(Tabela1716[[#This Row],[Housing Starts]]="",#N/A,Tabela1716[[#This Row],[Housing Starts]]-H326)</f>
        <v>-129</v>
      </c>
      <c r="J327" s="41">
        <f>IF(Tabela1716[[#This Row],[Housing Starts]]="",#N/A,((Tabela1716[[#This Row],[Housing Starts]]*1)/H315)-1)</f>
        <v>-0.28354002254791433</v>
      </c>
      <c r="K327" s="26"/>
      <c r="L327" s="41"/>
      <c r="M327" s="27"/>
      <c r="N327" s="41"/>
      <c r="O327" s="33">
        <v>585</v>
      </c>
      <c r="P327" s="41">
        <f>IF(Tabela1716[[#This Row],[New House Sales]]="",#N/A,((Tabela1716[[#This Row],[New House Sales]]*1)/O326)-1)</f>
        <v>-1.6806722689075682E-2</v>
      </c>
      <c r="Q327" s="41">
        <f>IF(Tabela1716[[#This Row],[New House Sales]]="",#N/A,((Tabela1716[[#This Row],[New House Sales]]*1)/O315)-1)</f>
        <v>-0.17489421720733422</v>
      </c>
      <c r="R327" s="27">
        <v>7.5</v>
      </c>
      <c r="S327" s="86">
        <v>68.581000000000003</v>
      </c>
      <c r="T327" s="41">
        <f>IF(Tabela1716[[#This Row],[S&amp;P/Case-Shiller Home Price Index]]="",#N/A,((Tabela1716[[#This Row],[S&amp;P/Case-Shiller Home Price Index]]*1)/S326)-1)</f>
        <v>3.4824341922361501E-3</v>
      </c>
      <c r="U327" s="41">
        <f>IF(Tabela1716[[#This Row],[S&amp;P/Case-Shiller Home Price Index]]="",#N/A,((Tabela1716[[#This Row],[S&amp;P/Case-Shiller Home Price Index]]*1)/S315)-1)</f>
        <v>7.603357652781062E-2</v>
      </c>
      <c r="V327" s="39"/>
      <c r="W327" s="9"/>
      <c r="X327" s="9"/>
    </row>
    <row r="328" spans="1:24" ht="12.75">
      <c r="A328" s="12">
        <v>32174</v>
      </c>
      <c r="B328" s="26">
        <v>9.8699999999999992</v>
      </c>
      <c r="C328" s="29">
        <v>51</v>
      </c>
      <c r="D328" s="33">
        <v>1438</v>
      </c>
      <c r="E328" s="41">
        <f>IF(Tabela1716[[#This Row],[Building Permits]]="",#N/A,((Tabela1716[[#This Row],[Building Permits]]*1)/D316)-1)</f>
        <v>-0.14860864416814679</v>
      </c>
      <c r="F328" s="33">
        <v>976</v>
      </c>
      <c r="G328" s="41">
        <f>IF(Tabela1716[[#This Row],[Houses Under Construction]]="",#N/A,((Tabela1716[[#This Row],[Houses Under Construction]]*1)/F316)-1)</f>
        <v>-0.10948905109489049</v>
      </c>
      <c r="H328" s="33">
        <v>1473</v>
      </c>
      <c r="I328" s="33">
        <f>IF(Tabela1716[[#This Row],[Housing Starts]]="",#N/A,Tabela1716[[#This Row],[Housing Starts]]-H327)</f>
        <v>202</v>
      </c>
      <c r="J328" s="41">
        <f>IF(Tabela1716[[#This Row],[Housing Starts]]="",#N/A,((Tabela1716[[#This Row],[Housing Starts]]*1)/H316)-1)</f>
        <v>-0.17432735426008972</v>
      </c>
      <c r="K328" s="26"/>
      <c r="L328" s="41"/>
      <c r="M328" s="27"/>
      <c r="N328" s="41"/>
      <c r="O328" s="33">
        <v>663</v>
      </c>
      <c r="P328" s="41">
        <f>IF(Tabela1716[[#This Row],[New House Sales]]="",#N/A,((Tabela1716[[#This Row],[New House Sales]]*1)/O327)-1)</f>
        <v>0.1333333333333333</v>
      </c>
      <c r="Q328" s="41">
        <f>IF(Tabela1716[[#This Row],[New House Sales]]="",#N/A,((Tabela1716[[#This Row],[New House Sales]]*1)/O316)-1)</f>
        <v>-9.4262295081967262E-2</v>
      </c>
      <c r="R328" s="27">
        <v>6.6</v>
      </c>
      <c r="S328" s="86">
        <v>68.914000000000001</v>
      </c>
      <c r="T328" s="41">
        <f>IF(Tabela1716[[#This Row],[S&amp;P/Case-Shiller Home Price Index]]="",#N/A,((Tabela1716[[#This Row],[S&amp;P/Case-Shiller Home Price Index]]*1)/S327)-1)</f>
        <v>4.8555722430410064E-3</v>
      </c>
      <c r="U328" s="41">
        <f>IF(Tabela1716[[#This Row],[S&amp;P/Case-Shiller Home Price Index]]="",#N/A,((Tabela1716[[#This Row],[S&amp;P/Case-Shiller Home Price Index]]*1)/S316)-1)</f>
        <v>7.4531449777029302E-2</v>
      </c>
      <c r="V328" s="37"/>
      <c r="W328" s="9"/>
      <c r="X328" s="9"/>
    </row>
    <row r="329" spans="1:24" ht="12.75">
      <c r="A329" s="12">
        <v>32203</v>
      </c>
      <c r="B329" s="26">
        <v>9.99</v>
      </c>
      <c r="C329" s="29">
        <v>51</v>
      </c>
      <c r="D329" s="33">
        <v>1525</v>
      </c>
      <c r="E329" s="41">
        <f>IF(Tabela1716[[#This Row],[Building Permits]]="",#N/A,((Tabela1716[[#This Row],[Building Permits]]*1)/D317)-1)</f>
        <v>-0.1050469483568075</v>
      </c>
      <c r="F329" s="33">
        <v>994</v>
      </c>
      <c r="G329" s="41">
        <f>IF(Tabela1716[[#This Row],[Houses Under Construction]]="",#N/A,((Tabela1716[[#This Row],[Houses Under Construction]]*1)/F317)-1)</f>
        <v>-8.3025830258302569E-2</v>
      </c>
      <c r="H329" s="33">
        <v>1532</v>
      </c>
      <c r="I329" s="33">
        <f>IF(Tabela1716[[#This Row],[Housing Starts]]="",#N/A,Tabela1716[[#This Row],[Housing Starts]]-H328)</f>
        <v>59</v>
      </c>
      <c r="J329" s="41">
        <f>IF(Tabela1716[[#This Row],[Housing Starts]]="",#N/A,((Tabela1716[[#This Row],[Housing Starts]]*1)/H317)-1)</f>
        <v>-0.11239860950173808</v>
      </c>
      <c r="K329" s="26"/>
      <c r="L329" s="41"/>
      <c r="M329" s="27"/>
      <c r="N329" s="41"/>
      <c r="O329" s="33">
        <v>669</v>
      </c>
      <c r="P329" s="41">
        <f>IF(Tabela1716[[#This Row],[New House Sales]]="",#N/A,((Tabela1716[[#This Row],[New House Sales]]*1)/O328)-1)</f>
        <v>9.0497737556560764E-3</v>
      </c>
      <c r="Q329" s="41">
        <f>IF(Tabela1716[[#This Row],[New House Sales]]="",#N/A,((Tabela1716[[#This Row],[New House Sales]]*1)/O317)-1)</f>
        <v>-6.1711079943899017E-2</v>
      </c>
      <c r="R329" s="27">
        <v>6.6</v>
      </c>
      <c r="S329" s="86">
        <v>69.323000000000008</v>
      </c>
      <c r="T329" s="41">
        <f>IF(Tabela1716[[#This Row],[S&amp;P/Case-Shiller Home Price Index]]="",#N/A,((Tabela1716[[#This Row],[S&amp;P/Case-Shiller Home Price Index]]*1)/S328)-1)</f>
        <v>5.9349333952463112E-3</v>
      </c>
      <c r="U329" s="41">
        <f>IF(Tabela1716[[#This Row],[S&amp;P/Case-Shiller Home Price Index]]="",#N/A,((Tabela1716[[#This Row],[S&amp;P/Case-Shiller Home Price Index]]*1)/S317)-1)</f>
        <v>7.5275321855126531E-2</v>
      </c>
      <c r="V329" s="39"/>
      <c r="W329" s="9"/>
      <c r="X329" s="9"/>
    </row>
    <row r="330" spans="1:24" ht="12.75">
      <c r="A330" s="12">
        <v>32234</v>
      </c>
      <c r="B330" s="26">
        <v>10.28</v>
      </c>
      <c r="C330" s="29">
        <v>52</v>
      </c>
      <c r="D330" s="33">
        <v>1429</v>
      </c>
      <c r="E330" s="41">
        <f>IF(Tabela1716[[#This Row],[Building Permits]]="",#N/A,((Tabela1716[[#This Row],[Building Permits]]*1)/D318)-1)</f>
        <v>-0.10743285446595874</v>
      </c>
      <c r="F330" s="33">
        <v>999</v>
      </c>
      <c r="G330" s="41">
        <f>IF(Tabela1716[[#This Row],[Houses Under Construction]]="",#N/A,((Tabela1716[[#This Row],[Houses Under Construction]]*1)/F318)-1)</f>
        <v>-7.4142724745134392E-2</v>
      </c>
      <c r="H330" s="33">
        <v>1573</v>
      </c>
      <c r="I330" s="33">
        <f>IF(Tabela1716[[#This Row],[Housing Starts]]="",#N/A,Tabela1716[[#This Row],[Housing Starts]]-H329)</f>
        <v>41</v>
      </c>
      <c r="J330" s="41">
        <f>IF(Tabela1716[[#This Row],[Housing Starts]]="",#N/A,((Tabela1716[[#This Row],[Housing Starts]]*1)/H318)-1)</f>
        <v>-2.5402726146220522E-2</v>
      </c>
      <c r="K330" s="26"/>
      <c r="L330" s="41"/>
      <c r="M330" s="27"/>
      <c r="N330" s="41"/>
      <c r="O330" s="33">
        <v>699</v>
      </c>
      <c r="P330" s="41">
        <f>IF(Tabela1716[[#This Row],[New House Sales]]="",#N/A,((Tabela1716[[#This Row],[New House Sales]]*1)/O329)-1)</f>
        <v>4.4843049327354167E-2</v>
      </c>
      <c r="Q330" s="41">
        <f>IF(Tabela1716[[#This Row],[New House Sales]]="",#N/A,((Tabela1716[[#This Row],[New House Sales]]*1)/O318)-1)</f>
        <v>-4.8979591836734726E-2</v>
      </c>
      <c r="R330" s="27">
        <v>6.4</v>
      </c>
      <c r="S330" s="86">
        <v>69.787999999999997</v>
      </c>
      <c r="T330" s="41">
        <f>IF(Tabela1716[[#This Row],[S&amp;P/Case-Shiller Home Price Index]]="",#N/A,((Tabela1716[[#This Row],[S&amp;P/Case-Shiller Home Price Index]]*1)/S329)-1)</f>
        <v>6.7077304790617021E-3</v>
      </c>
      <c r="U330" s="41">
        <f>IF(Tabela1716[[#This Row],[S&amp;P/Case-Shiller Home Price Index]]="",#N/A,((Tabela1716[[#This Row],[S&amp;P/Case-Shiller Home Price Index]]*1)/S318)-1)</f>
        <v>7.4107706277992458E-2</v>
      </c>
      <c r="V330" s="37"/>
      <c r="W330" s="9"/>
      <c r="X330" s="9"/>
    </row>
    <row r="331" spans="1:24" ht="12.75">
      <c r="A331" s="12">
        <v>32264</v>
      </c>
      <c r="B331" s="26">
        <v>10.58</v>
      </c>
      <c r="C331" s="29">
        <v>54</v>
      </c>
      <c r="D331" s="33">
        <v>1444</v>
      </c>
      <c r="E331" s="41">
        <f>IF(Tabela1716[[#This Row],[Building Permits]]="",#N/A,((Tabela1716[[#This Row],[Building Permits]]*1)/D319)-1)</f>
        <v>-3.7333333333333329E-2</v>
      </c>
      <c r="F331" s="33">
        <v>987</v>
      </c>
      <c r="G331" s="41">
        <f>IF(Tabela1716[[#This Row],[Houses Under Construction]]="",#N/A,((Tabela1716[[#This Row],[Houses Under Construction]]*1)/F319)-1)</f>
        <v>-7.7570093457943967E-2</v>
      </c>
      <c r="H331" s="33">
        <v>1421</v>
      </c>
      <c r="I331" s="33">
        <f>IF(Tabela1716[[#This Row],[Housing Starts]]="",#N/A,Tabela1716[[#This Row],[Housing Starts]]-H330)</f>
        <v>-152</v>
      </c>
      <c r="J331" s="41">
        <f>IF(Tabela1716[[#This Row],[Housing Starts]]="",#N/A,((Tabela1716[[#This Row],[Housing Starts]]*1)/H319)-1)</f>
        <v>-0.12714987714987713</v>
      </c>
      <c r="K331" s="26"/>
      <c r="L331" s="41"/>
      <c r="M331" s="27"/>
      <c r="N331" s="41"/>
      <c r="O331" s="33">
        <v>684</v>
      </c>
      <c r="P331" s="41">
        <f>IF(Tabela1716[[#This Row],[New House Sales]]="",#N/A,((Tabela1716[[#This Row],[New House Sales]]*1)/O330)-1)</f>
        <v>-2.1459227467811148E-2</v>
      </c>
      <c r="Q331" s="41">
        <f>IF(Tabela1716[[#This Row],[New House Sales]]="",#N/A,((Tabela1716[[#This Row],[New House Sales]]*1)/O319)-1)</f>
        <v>5.0691244239631228E-2</v>
      </c>
      <c r="R331" s="27">
        <v>6.6</v>
      </c>
      <c r="S331" s="86">
        <v>70.408000000000001</v>
      </c>
      <c r="T331" s="41">
        <f>IF(Tabela1716[[#This Row],[S&amp;P/Case-Shiller Home Price Index]]="",#N/A,((Tabela1716[[#This Row],[S&amp;P/Case-Shiller Home Price Index]]*1)/S330)-1)</f>
        <v>8.8840488336103807E-3</v>
      </c>
      <c r="U331" s="41">
        <f>IF(Tabela1716[[#This Row],[S&amp;P/Case-Shiller Home Price Index]]="",#N/A,((Tabela1716[[#This Row],[S&amp;P/Case-Shiller Home Price Index]]*1)/S319)-1)</f>
        <v>7.416052603475376E-2</v>
      </c>
      <c r="V331" s="39"/>
      <c r="W331" s="9"/>
      <c r="X331" s="9"/>
    </row>
    <row r="332" spans="1:24" ht="12.75">
      <c r="A332" s="12">
        <v>32295</v>
      </c>
      <c r="B332" s="26">
        <v>10.4</v>
      </c>
      <c r="C332" s="30">
        <v>49</v>
      </c>
      <c r="D332" s="33">
        <v>1485</v>
      </c>
      <c r="E332" s="41">
        <f>IF(Tabela1716[[#This Row],[Building Permits]]="",#N/A,((Tabela1716[[#This Row],[Building Permits]]*1)/D320)-1)</f>
        <v>-2.4310118265440162E-2</v>
      </c>
      <c r="F332" s="33">
        <v>980</v>
      </c>
      <c r="G332" s="41">
        <f>IF(Tabela1716[[#This Row],[Houses Under Construction]]="",#N/A,((Tabela1716[[#This Row],[Houses Under Construction]]*1)/F320)-1)</f>
        <v>-7.547169811320753E-2</v>
      </c>
      <c r="H332" s="33">
        <v>1478</v>
      </c>
      <c r="I332" s="33">
        <f>IF(Tabela1716[[#This Row],[Housing Starts]]="",#N/A,Tabela1716[[#This Row],[Housing Starts]]-H331)</f>
        <v>57</v>
      </c>
      <c r="J332" s="41">
        <f>IF(Tabela1716[[#This Row],[Housing Starts]]="",#N/A,((Tabela1716[[#This Row],[Housing Starts]]*1)/H320)-1)</f>
        <v>-7.2772898368883343E-2</v>
      </c>
      <c r="K332" s="26"/>
      <c r="L332" s="41"/>
      <c r="M332" s="27"/>
      <c r="N332" s="41"/>
      <c r="O332" s="33">
        <v>717</v>
      </c>
      <c r="P332" s="41">
        <f>IF(Tabela1716[[#This Row],[New House Sales]]="",#N/A,((Tabela1716[[#This Row],[New House Sales]]*1)/O331)-1)</f>
        <v>4.8245614035087758E-2</v>
      </c>
      <c r="Q332" s="41">
        <f>IF(Tabela1716[[#This Row],[New House Sales]]="",#N/A,((Tabela1716[[#This Row],[New House Sales]]*1)/O320)-1)</f>
        <v>0.12558869701726838</v>
      </c>
      <c r="R332" s="27">
        <v>6.2</v>
      </c>
      <c r="S332" s="86">
        <v>71.067999999999998</v>
      </c>
      <c r="T332" s="41">
        <f>IF(Tabela1716[[#This Row],[S&amp;P/Case-Shiller Home Price Index]]="",#N/A,((Tabela1716[[#This Row],[S&amp;P/Case-Shiller Home Price Index]]*1)/S331)-1)</f>
        <v>9.373934780138482E-3</v>
      </c>
      <c r="U332" s="41">
        <f>IF(Tabela1716[[#This Row],[S&amp;P/Case-Shiller Home Price Index]]="",#N/A,((Tabela1716[[#This Row],[S&amp;P/Case-Shiller Home Price Index]]*1)/S320)-1)</f>
        <v>7.3242924884472371E-2</v>
      </c>
      <c r="V332" s="37"/>
      <c r="W332" s="9"/>
      <c r="X332" s="9"/>
    </row>
    <row r="333" spans="1:24" ht="12.75">
      <c r="A333" s="12">
        <v>32325</v>
      </c>
      <c r="B333" s="26">
        <v>10.49</v>
      </c>
      <c r="C333" s="29">
        <v>54</v>
      </c>
      <c r="D333" s="33">
        <v>1439</v>
      </c>
      <c r="E333" s="41">
        <f>IF(Tabela1716[[#This Row],[Building Permits]]="",#N/A,((Tabela1716[[#This Row],[Building Permits]]*1)/D321)-1)</f>
        <v>-5.0791556728232212E-2</v>
      </c>
      <c r="F333" s="33">
        <v>971</v>
      </c>
      <c r="G333" s="41">
        <f>IF(Tabela1716[[#This Row],[Houses Under Construction]]="",#N/A,((Tabela1716[[#This Row],[Houses Under Construction]]*1)/F321)-1)</f>
        <v>-7.6117982873453838E-2</v>
      </c>
      <c r="H333" s="33">
        <v>1467</v>
      </c>
      <c r="I333" s="33">
        <f>IF(Tabela1716[[#This Row],[Housing Starts]]="",#N/A,Tabela1716[[#This Row],[Housing Starts]]-H332)</f>
        <v>-11</v>
      </c>
      <c r="J333" s="41">
        <f>IF(Tabela1716[[#This Row],[Housing Starts]]="",#N/A,((Tabela1716[[#This Row],[Housing Starts]]*1)/H321)-1)</f>
        <v>-6.8571428571428616E-2</v>
      </c>
      <c r="K333" s="26"/>
      <c r="L333" s="41"/>
      <c r="M333" s="27"/>
      <c r="N333" s="41"/>
      <c r="O333" s="33">
        <v>679</v>
      </c>
      <c r="P333" s="41">
        <f>IF(Tabela1716[[#This Row],[New House Sales]]="",#N/A,((Tabela1716[[#This Row],[New House Sales]]*1)/O332)-1)</f>
        <v>-5.2998605299860557E-2</v>
      </c>
      <c r="Q333" s="41">
        <f>IF(Tabela1716[[#This Row],[New House Sales]]="",#N/A,((Tabela1716[[#This Row],[New House Sales]]*1)/O321)-1)</f>
        <v>3.1914893617021267E-2</v>
      </c>
      <c r="R333" s="27">
        <v>6.6</v>
      </c>
      <c r="S333" s="86">
        <v>71.686000000000007</v>
      </c>
      <c r="T333" s="41">
        <f>IF(Tabela1716[[#This Row],[S&amp;P/Case-Shiller Home Price Index]]="",#N/A,((Tabela1716[[#This Row],[S&amp;P/Case-Shiller Home Price Index]]*1)/S332)-1)</f>
        <v>8.6958968874881748E-3</v>
      </c>
      <c r="U333" s="41">
        <f>IF(Tabela1716[[#This Row],[S&amp;P/Case-Shiller Home Price Index]]="",#N/A,((Tabela1716[[#This Row],[S&amp;P/Case-Shiller Home Price Index]]*1)/S321)-1)</f>
        <v>7.3384742082803101E-2</v>
      </c>
      <c r="V333" s="39"/>
      <c r="W333" s="9"/>
      <c r="X333" s="9"/>
    </row>
    <row r="334" spans="1:24" ht="12.75">
      <c r="A334" s="12">
        <v>32356</v>
      </c>
      <c r="B334" s="26">
        <v>10.67</v>
      </c>
      <c r="C334" s="29">
        <v>56</v>
      </c>
      <c r="D334" s="33">
        <v>1460</v>
      </c>
      <c r="E334" s="41">
        <f>IF(Tabela1716[[#This Row],[Building Permits]]="",#N/A,((Tabela1716[[#This Row],[Building Permits]]*1)/D322)-1)</f>
        <v>-3.375248180013235E-2</v>
      </c>
      <c r="F334" s="33">
        <v>967</v>
      </c>
      <c r="G334" s="41">
        <f>IF(Tabela1716[[#This Row],[Houses Under Construction]]="",#N/A,((Tabela1716[[#This Row],[Houses Under Construction]]*1)/F322)-1)</f>
        <v>-7.4641148325358841E-2</v>
      </c>
      <c r="H334" s="33">
        <v>1493</v>
      </c>
      <c r="I334" s="33">
        <f>IF(Tabela1716[[#This Row],[Housing Starts]]="",#N/A,Tabela1716[[#This Row],[Housing Starts]]-H333)</f>
        <v>26</v>
      </c>
      <c r="J334" s="41">
        <f>IF(Tabela1716[[#This Row],[Housing Starts]]="",#N/A,((Tabela1716[[#This Row],[Housing Starts]]*1)/H322)-1)</f>
        <v>-6.978193146417444E-2</v>
      </c>
      <c r="K334" s="26"/>
      <c r="L334" s="41"/>
      <c r="M334" s="27"/>
      <c r="N334" s="41"/>
      <c r="O334" s="33">
        <v>688</v>
      </c>
      <c r="P334" s="41">
        <f>IF(Tabela1716[[#This Row],[New House Sales]]="",#N/A,((Tabela1716[[#This Row],[New House Sales]]*1)/O333)-1)</f>
        <v>1.3254786450662692E-2</v>
      </c>
      <c r="Q334" s="41">
        <f>IF(Tabela1716[[#This Row],[New House Sales]]="",#N/A,((Tabela1716[[#This Row],[New House Sales]]*1)/O322)-1)</f>
        <v>4.7184170471841647E-2</v>
      </c>
      <c r="R334" s="27">
        <v>6.6</v>
      </c>
      <c r="S334" s="86">
        <v>72.186000000000007</v>
      </c>
      <c r="T334" s="41">
        <f>IF(Tabela1716[[#This Row],[S&amp;P/Case-Shiller Home Price Index]]="",#N/A,((Tabela1716[[#This Row],[S&amp;P/Case-Shiller Home Price Index]]*1)/S333)-1)</f>
        <v>6.9748625952068544E-3</v>
      </c>
      <c r="U334" s="41">
        <f>IF(Tabela1716[[#This Row],[S&amp;P/Case-Shiller Home Price Index]]="",#N/A,((Tabela1716[[#This Row],[S&amp;P/Case-Shiller Home Price Index]]*1)/S322)-1)</f>
        <v>7.309459037595345E-2</v>
      </c>
      <c r="V334" s="37"/>
      <c r="W334" s="9"/>
      <c r="X334" s="9"/>
    </row>
    <row r="335" spans="1:24" ht="12.75">
      <c r="A335" s="12">
        <v>32387</v>
      </c>
      <c r="B335" s="26">
        <v>10.42</v>
      </c>
      <c r="C335" s="29">
        <v>53</v>
      </c>
      <c r="D335" s="33">
        <v>1436</v>
      </c>
      <c r="E335" s="41">
        <f>IF(Tabela1716[[#This Row],[Building Permits]]="",#N/A,((Tabela1716[[#This Row],[Building Permits]]*1)/D323)-1)</f>
        <v>-5.1519154557463698E-2</v>
      </c>
      <c r="F335" s="33">
        <v>958</v>
      </c>
      <c r="G335" s="41">
        <f>IF(Tabela1716[[#This Row],[Houses Under Construction]]="",#N/A,((Tabela1716[[#This Row],[Houses Under Construction]]*1)/F323)-1)</f>
        <v>-8.5877862595419852E-2</v>
      </c>
      <c r="H335" s="33">
        <v>1492</v>
      </c>
      <c r="I335" s="33">
        <f>IF(Tabela1716[[#This Row],[Housing Starts]]="",#N/A,Tabela1716[[#This Row],[Housing Starts]]-H334)</f>
        <v>-1</v>
      </c>
      <c r="J335" s="41">
        <f>IF(Tabela1716[[#This Row],[Housing Starts]]="",#N/A,((Tabela1716[[#This Row],[Housing Starts]]*1)/H323)-1)</f>
        <v>-0.11976401179940999</v>
      </c>
      <c r="K335" s="26"/>
      <c r="L335" s="41"/>
      <c r="M335" s="27"/>
      <c r="N335" s="41"/>
      <c r="O335" s="33">
        <v>703</v>
      </c>
      <c r="P335" s="41">
        <f>IF(Tabela1716[[#This Row],[New House Sales]]="",#N/A,((Tabela1716[[#This Row],[New House Sales]]*1)/O334)-1)</f>
        <v>2.1802325581395277E-2</v>
      </c>
      <c r="Q335" s="41">
        <f>IF(Tabela1716[[#This Row],[New House Sales]]="",#N/A,((Tabela1716[[#This Row],[New House Sales]]*1)/O323)-1)</f>
        <v>5.555555555555558E-2</v>
      </c>
      <c r="R335" s="27">
        <v>6.5</v>
      </c>
      <c r="S335" s="86">
        <v>72.573999999999998</v>
      </c>
      <c r="T335" s="41">
        <f>IF(Tabela1716[[#This Row],[S&amp;P/Case-Shiller Home Price Index]]="",#N/A,((Tabela1716[[#This Row],[S&amp;P/Case-Shiller Home Price Index]]*1)/S334)-1)</f>
        <v>5.3750034632753518E-3</v>
      </c>
      <c r="U335" s="41">
        <f>IF(Tabela1716[[#This Row],[S&amp;P/Case-Shiller Home Price Index]]="",#N/A,((Tabela1716[[#This Row],[S&amp;P/Case-Shiller Home Price Index]]*1)/S323)-1)</f>
        <v>7.3214734631708023E-2</v>
      </c>
      <c r="V335" s="39"/>
      <c r="W335" s="9"/>
      <c r="X335" s="9"/>
    </row>
    <row r="336" spans="1:24" ht="12.75">
      <c r="A336" s="12">
        <v>32417</v>
      </c>
      <c r="B336" s="26">
        <v>10.220000000000001</v>
      </c>
      <c r="C336" s="29">
        <v>49</v>
      </c>
      <c r="D336" s="33">
        <v>1516</v>
      </c>
      <c r="E336" s="41">
        <f>IF(Tabela1716[[#This Row],[Building Permits]]="",#N/A,((Tabela1716[[#This Row],[Building Permits]]*1)/D324)-1)</f>
        <v>4.7684865238424301E-2</v>
      </c>
      <c r="F336" s="33">
        <v>953</v>
      </c>
      <c r="G336" s="41">
        <f>IF(Tabela1716[[#This Row],[Houses Under Construction]]="",#N/A,((Tabela1716[[#This Row],[Houses Under Construction]]*1)/F324)-1)</f>
        <v>-8.4534101825168073E-2</v>
      </c>
      <c r="H336" s="33">
        <v>1522</v>
      </c>
      <c r="I336" s="33">
        <f>IF(Tabela1716[[#This Row],[Housing Starts]]="",#N/A,Tabela1716[[#This Row],[Housing Starts]]-H335)</f>
        <v>30</v>
      </c>
      <c r="J336" s="41">
        <f>IF(Tabela1716[[#This Row],[Housing Starts]]="",#N/A,((Tabela1716[[#This Row],[Housing Starts]]*1)/H324)-1)</f>
        <v>4.6204620462046986E-3</v>
      </c>
      <c r="K336" s="26"/>
      <c r="L336" s="41"/>
      <c r="M336" s="27"/>
      <c r="N336" s="41"/>
      <c r="O336" s="33">
        <v>718</v>
      </c>
      <c r="P336" s="41">
        <f>IF(Tabela1716[[#This Row],[New House Sales]]="",#N/A,((Tabela1716[[#This Row],[New House Sales]]*1)/O335)-1)</f>
        <v>2.1337126600284417E-2</v>
      </c>
      <c r="Q336" s="41">
        <f>IF(Tabela1716[[#This Row],[New House Sales]]="",#N/A,((Tabela1716[[#This Row],[New House Sales]]*1)/O324)-1)</f>
        <v>0.10461538461538455</v>
      </c>
      <c r="R336" s="27">
        <v>6</v>
      </c>
      <c r="S336" s="86">
        <v>72.822000000000003</v>
      </c>
      <c r="T336" s="41">
        <f>IF(Tabela1716[[#This Row],[S&amp;P/Case-Shiller Home Price Index]]="",#N/A,((Tabela1716[[#This Row],[S&amp;P/Case-Shiller Home Price Index]]*1)/S335)-1)</f>
        <v>3.417201752693888E-3</v>
      </c>
      <c r="U336" s="41">
        <f>IF(Tabela1716[[#This Row],[S&amp;P/Case-Shiller Home Price Index]]="",#N/A,((Tabela1716[[#This Row],[S&amp;P/Case-Shiller Home Price Index]]*1)/S324)-1)</f>
        <v>7.2457365026066922E-2</v>
      </c>
      <c r="V336" s="37"/>
      <c r="W336" s="9"/>
      <c r="X336" s="9"/>
    </row>
    <row r="337" spans="1:24" ht="12.75">
      <c r="A337" s="12">
        <v>32448</v>
      </c>
      <c r="B337" s="26">
        <v>10.39</v>
      </c>
      <c r="C337" s="29">
        <v>58</v>
      </c>
      <c r="D337" s="33">
        <v>1508</v>
      </c>
      <c r="E337" s="41">
        <f>IF(Tabela1716[[#This Row],[Building Permits]]="",#N/A,((Tabela1716[[#This Row],[Building Permits]]*1)/D325)-1)</f>
        <v>3.5003431708991117E-2</v>
      </c>
      <c r="F337" s="33">
        <v>960</v>
      </c>
      <c r="G337" s="41">
        <f>IF(Tabela1716[[#This Row],[Houses Under Construction]]="",#N/A,((Tabela1716[[#This Row],[Houses Under Construction]]*1)/F325)-1)</f>
        <v>-7.8694817658349292E-2</v>
      </c>
      <c r="H337" s="33">
        <v>1569</v>
      </c>
      <c r="I337" s="33">
        <f>IF(Tabela1716[[#This Row],[Housing Starts]]="",#N/A,Tabela1716[[#This Row],[Housing Starts]]-H336)</f>
        <v>47</v>
      </c>
      <c r="J337" s="41">
        <f>IF(Tabela1716[[#This Row],[Housing Starts]]="",#N/A,((Tabela1716[[#This Row],[Housing Starts]]*1)/H325)-1)</f>
        <v>-5.2536231884057982E-2</v>
      </c>
      <c r="K337" s="26"/>
      <c r="L337" s="41"/>
      <c r="M337" s="27"/>
      <c r="N337" s="41"/>
      <c r="O337" s="33">
        <v>628</v>
      </c>
      <c r="P337" s="41">
        <f>IF(Tabela1716[[#This Row],[New House Sales]]="",#N/A,((Tabela1716[[#This Row],[New House Sales]]*1)/O336)-1)</f>
        <v>-0.12534818941504178</v>
      </c>
      <c r="Q337" s="41">
        <f>IF(Tabela1716[[#This Row],[New House Sales]]="",#N/A,((Tabela1716[[#This Row],[New House Sales]]*1)/O325)-1)</f>
        <v>4.7999999999999154E-3</v>
      </c>
      <c r="R337" s="27">
        <v>7.2</v>
      </c>
      <c r="S337" s="86">
        <v>73.063999999999993</v>
      </c>
      <c r="T337" s="41">
        <f>IF(Tabela1716[[#This Row],[S&amp;P/Case-Shiller Home Price Index]]="",#N/A,((Tabela1716[[#This Row],[S&amp;P/Case-Shiller Home Price Index]]*1)/S336)-1)</f>
        <v>3.3231715690311692E-3</v>
      </c>
      <c r="U337" s="41">
        <f>IF(Tabela1716[[#This Row],[S&amp;P/Case-Shiller Home Price Index]]="",#N/A,((Tabela1716[[#This Row],[S&amp;P/Case-Shiller Home Price Index]]*1)/S325)-1)</f>
        <v>7.3018856840744828E-2</v>
      </c>
      <c r="V337" s="39"/>
      <c r="W337" s="9"/>
      <c r="X337" s="9"/>
    </row>
    <row r="338" spans="1:24" ht="12.75">
      <c r="A338" s="12">
        <v>32478</v>
      </c>
      <c r="B338" s="26">
        <v>10.77</v>
      </c>
      <c r="C338" s="29">
        <v>60</v>
      </c>
      <c r="D338" s="33">
        <v>1501</v>
      </c>
      <c r="E338" s="41">
        <f>IF(Tabela1716[[#This Row],[Building Permits]]="",#N/A,((Tabela1716[[#This Row],[Building Permits]]*1)/D326)-1)</f>
        <v>0.11598513011152423</v>
      </c>
      <c r="F338" s="33">
        <v>955</v>
      </c>
      <c r="G338" s="41">
        <f>IF(Tabela1716[[#This Row],[Houses Under Construction]]="",#N/A,((Tabela1716[[#This Row],[Houses Under Construction]]*1)/F326)-1)</f>
        <v>-6.188605108055012E-2</v>
      </c>
      <c r="H338" s="33">
        <v>1563</v>
      </c>
      <c r="I338" s="33">
        <f>IF(Tabela1716[[#This Row],[Housing Starts]]="",#N/A,Tabela1716[[#This Row],[Housing Starts]]-H337)</f>
        <v>-6</v>
      </c>
      <c r="J338" s="41">
        <f>IF(Tabela1716[[#This Row],[Housing Starts]]="",#N/A,((Tabela1716[[#This Row],[Housing Starts]]*1)/H326)-1)</f>
        <v>0.11642857142857133</v>
      </c>
      <c r="K338" s="26"/>
      <c r="L338" s="41"/>
      <c r="M338" s="27"/>
      <c r="N338" s="41"/>
      <c r="O338" s="33">
        <v>658</v>
      </c>
      <c r="P338" s="41">
        <f>IF(Tabela1716[[#This Row],[New House Sales]]="",#N/A,((Tabela1716[[#This Row],[New House Sales]]*1)/O337)-1)</f>
        <v>4.7770700636942776E-2</v>
      </c>
      <c r="Q338" s="41">
        <f>IF(Tabela1716[[#This Row],[New House Sales]]="",#N/A,((Tabela1716[[#This Row],[New House Sales]]*1)/O326)-1)</f>
        <v>0.10588235294117654</v>
      </c>
      <c r="R338" s="27">
        <v>6.8</v>
      </c>
      <c r="S338" s="86">
        <v>73.278000000000006</v>
      </c>
      <c r="T338" s="41">
        <f>IF(Tabela1716[[#This Row],[S&amp;P/Case-Shiller Home Price Index]]="",#N/A,((Tabela1716[[#This Row],[S&amp;P/Case-Shiller Home Price Index]]*1)/S337)-1)</f>
        <v>2.9289390123727888E-3</v>
      </c>
      <c r="U338" s="41">
        <f>IF(Tabela1716[[#This Row],[S&amp;P/Case-Shiller Home Price Index]]="",#N/A,((Tabela1716[[#This Row],[S&amp;P/Case-Shiller Home Price Index]]*1)/S326)-1)</f>
        <v>7.2209297221368818E-2</v>
      </c>
      <c r="V338" s="37"/>
      <c r="W338" s="9"/>
      <c r="X338" s="9"/>
    </row>
    <row r="339" spans="1:24" ht="12.75">
      <c r="A339" s="12">
        <v>32509</v>
      </c>
      <c r="B339" s="26">
        <v>10.6</v>
      </c>
      <c r="C339" s="29">
        <v>54</v>
      </c>
      <c r="D339" s="33">
        <v>1466</v>
      </c>
      <c r="E339" s="41">
        <f>IF(Tabela1716[[#This Row],[Building Permits]]="",#N/A,((Tabela1716[[#This Row],[Building Permits]]*1)/D327)-1)</f>
        <v>0.17845659163987149</v>
      </c>
      <c r="F339" s="33">
        <v>955</v>
      </c>
      <c r="G339" s="41">
        <f>IF(Tabela1716[[#This Row],[Houses Under Construction]]="",#N/A,((Tabela1716[[#This Row],[Houses Under Construction]]*1)/F327)-1)</f>
        <v>-5.2579365079365115E-2</v>
      </c>
      <c r="H339" s="33">
        <v>1621</v>
      </c>
      <c r="I339" s="33">
        <f>IF(Tabela1716[[#This Row],[Housing Starts]]="",#N/A,Tabela1716[[#This Row],[Housing Starts]]-H338)</f>
        <v>58</v>
      </c>
      <c r="J339" s="41">
        <f>IF(Tabela1716[[#This Row],[Housing Starts]]="",#N/A,((Tabela1716[[#This Row],[Housing Starts]]*1)/H327)-1)</f>
        <v>0.27537372147915029</v>
      </c>
      <c r="K339" s="26"/>
      <c r="L339" s="41"/>
      <c r="M339" s="27"/>
      <c r="N339" s="41"/>
      <c r="O339" s="33">
        <v>719</v>
      </c>
      <c r="P339" s="41">
        <f>IF(Tabela1716[[#This Row],[New House Sales]]="",#N/A,((Tabela1716[[#This Row],[New House Sales]]*1)/O338)-1)</f>
        <v>9.270516717325239E-2</v>
      </c>
      <c r="Q339" s="41">
        <f>IF(Tabela1716[[#This Row],[New House Sales]]="",#N/A,((Tabela1716[[#This Row],[New House Sales]]*1)/O327)-1)</f>
        <v>0.22905982905982913</v>
      </c>
      <c r="R339" s="27">
        <v>6.2</v>
      </c>
      <c r="S339" s="86">
        <v>73.617000000000004</v>
      </c>
      <c r="T339" s="41">
        <f>IF(Tabela1716[[#This Row],[S&amp;P/Case-Shiller Home Price Index]]="",#N/A,((Tabela1716[[#This Row],[S&amp;P/Case-Shiller Home Price Index]]*1)/S338)-1)</f>
        <v>4.6262179644640522E-3</v>
      </c>
      <c r="U339" s="41">
        <f>IF(Tabela1716[[#This Row],[S&amp;P/Case-Shiller Home Price Index]]="",#N/A,((Tabela1716[[#This Row],[S&amp;P/Case-Shiller Home Price Index]]*1)/S327)-1)</f>
        <v>7.3431416864729204E-2</v>
      </c>
      <c r="V339" s="39"/>
      <c r="W339" s="9"/>
      <c r="X339" s="9"/>
    </row>
    <row r="340" spans="1:24" ht="12.75">
      <c r="A340" s="12">
        <v>32540</v>
      </c>
      <c r="B340" s="26">
        <v>10.78</v>
      </c>
      <c r="C340" s="29">
        <v>53</v>
      </c>
      <c r="D340" s="33">
        <v>1383</v>
      </c>
      <c r="E340" s="41">
        <f>IF(Tabela1716[[#This Row],[Building Permits]]="",#N/A,((Tabela1716[[#This Row],[Building Permits]]*1)/D328)-1)</f>
        <v>-3.8247566063977723E-2</v>
      </c>
      <c r="F340" s="33">
        <v>947</v>
      </c>
      <c r="G340" s="41">
        <f>IF(Tabela1716[[#This Row],[Houses Under Construction]]="",#N/A,((Tabela1716[[#This Row],[Houses Under Construction]]*1)/F328)-1)</f>
        <v>-2.9713114754098324E-2</v>
      </c>
      <c r="H340" s="33">
        <v>1425</v>
      </c>
      <c r="I340" s="33">
        <f>IF(Tabela1716[[#This Row],[Housing Starts]]="",#N/A,Tabela1716[[#This Row],[Housing Starts]]-H339)</f>
        <v>-196</v>
      </c>
      <c r="J340" s="41">
        <f>IF(Tabela1716[[#This Row],[Housing Starts]]="",#N/A,((Tabela1716[[#This Row],[Housing Starts]]*1)/H328)-1)</f>
        <v>-3.258655804480648E-2</v>
      </c>
      <c r="K340" s="26"/>
      <c r="L340" s="41"/>
      <c r="M340" s="27"/>
      <c r="N340" s="41"/>
      <c r="O340" s="33">
        <v>622</v>
      </c>
      <c r="P340" s="41">
        <f>IF(Tabela1716[[#This Row],[New House Sales]]="",#N/A,((Tabela1716[[#This Row],[New House Sales]]*1)/O339)-1)</f>
        <v>-0.13490959666203062</v>
      </c>
      <c r="Q340" s="41">
        <f>IF(Tabela1716[[#This Row],[New House Sales]]="",#N/A,((Tabela1716[[#This Row],[New House Sales]]*1)/O328)-1)</f>
        <v>-6.1840120663650078E-2</v>
      </c>
      <c r="R340" s="27">
        <v>7.5</v>
      </c>
      <c r="S340" s="86">
        <v>73.966999999999999</v>
      </c>
      <c r="T340" s="41">
        <f>IF(Tabela1716[[#This Row],[S&amp;P/Case-Shiller Home Price Index]]="",#N/A,((Tabela1716[[#This Row],[S&amp;P/Case-Shiller Home Price Index]]*1)/S339)-1)</f>
        <v>4.7543366342013282E-3</v>
      </c>
      <c r="U340" s="41">
        <f>IF(Tabela1716[[#This Row],[S&amp;P/Case-Shiller Home Price Index]]="",#N/A,((Tabela1716[[#This Row],[S&amp;P/Case-Shiller Home Price Index]]*1)/S328)-1)</f>
        <v>7.3323272484545843E-2</v>
      </c>
      <c r="V340" s="37"/>
      <c r="W340" s="9"/>
      <c r="X340" s="9"/>
    </row>
    <row r="341" spans="1:24" ht="12.75">
      <c r="A341" s="12">
        <v>32568</v>
      </c>
      <c r="B341" s="26">
        <v>11.19</v>
      </c>
      <c r="C341" s="29">
        <v>48</v>
      </c>
      <c r="D341" s="33">
        <v>1214</v>
      </c>
      <c r="E341" s="41">
        <f>IF(Tabela1716[[#This Row],[Building Permits]]="",#N/A,((Tabela1716[[#This Row],[Building Permits]]*1)/D329)-1)</f>
        <v>-0.20393442622950819</v>
      </c>
      <c r="F341" s="33">
        <v>940</v>
      </c>
      <c r="G341" s="41">
        <f>IF(Tabela1716[[#This Row],[Houses Under Construction]]="",#N/A,((Tabela1716[[#This Row],[Houses Under Construction]]*1)/F329)-1)</f>
        <v>-5.4325955734406461E-2</v>
      </c>
      <c r="H341" s="33">
        <v>1422</v>
      </c>
      <c r="I341" s="33">
        <f>IF(Tabela1716[[#This Row],[Housing Starts]]="",#N/A,Tabela1716[[#This Row],[Housing Starts]]-H340)</f>
        <v>-3</v>
      </c>
      <c r="J341" s="41">
        <f>IF(Tabela1716[[#This Row],[Housing Starts]]="",#N/A,((Tabela1716[[#This Row],[Housing Starts]]*1)/H329)-1)</f>
        <v>-7.1801566579634435E-2</v>
      </c>
      <c r="K341" s="26"/>
      <c r="L341" s="41"/>
      <c r="M341" s="27"/>
      <c r="N341" s="41"/>
      <c r="O341" s="33">
        <v>567</v>
      </c>
      <c r="P341" s="41">
        <f>IF(Tabela1716[[#This Row],[New House Sales]]="",#N/A,((Tabela1716[[#This Row],[New House Sales]]*1)/O340)-1)</f>
        <v>-8.8424437299035374E-2</v>
      </c>
      <c r="Q341" s="41">
        <f>IF(Tabela1716[[#This Row],[New House Sales]]="",#N/A,((Tabela1716[[#This Row],[New House Sales]]*1)/O329)-1)</f>
        <v>-0.15246636771300448</v>
      </c>
      <c r="R341" s="27">
        <v>8.1999999999999993</v>
      </c>
      <c r="S341" s="86">
        <v>74.408999999999992</v>
      </c>
      <c r="T341" s="41">
        <f>IF(Tabela1716[[#This Row],[S&amp;P/Case-Shiller Home Price Index]]="",#N/A,((Tabela1716[[#This Row],[S&amp;P/Case-Shiller Home Price Index]]*1)/S340)-1)</f>
        <v>5.9756377844173425E-3</v>
      </c>
      <c r="U341" s="41">
        <f>IF(Tabela1716[[#This Row],[S&amp;P/Case-Shiller Home Price Index]]="",#N/A,((Tabela1716[[#This Row],[S&amp;P/Case-Shiller Home Price Index]]*1)/S329)-1)</f>
        <v>7.3366703691415402E-2</v>
      </c>
      <c r="V341" s="39"/>
      <c r="W341" s="9"/>
      <c r="X341" s="9"/>
    </row>
    <row r="342" spans="1:24" ht="12.75">
      <c r="A342" s="12">
        <v>32599</v>
      </c>
      <c r="B342" s="26">
        <v>11.03</v>
      </c>
      <c r="C342" s="29">
        <v>44</v>
      </c>
      <c r="D342" s="33">
        <v>1376</v>
      </c>
      <c r="E342" s="41">
        <f>IF(Tabela1716[[#This Row],[Building Permits]]="",#N/A,((Tabela1716[[#This Row],[Building Permits]]*1)/D330)-1)</f>
        <v>-3.7088873337998596E-2</v>
      </c>
      <c r="F342" s="33">
        <v>922</v>
      </c>
      <c r="G342" s="41">
        <f>IF(Tabela1716[[#This Row],[Houses Under Construction]]="",#N/A,((Tabela1716[[#This Row],[Houses Under Construction]]*1)/F330)-1)</f>
        <v>-7.7077077077077116E-2</v>
      </c>
      <c r="H342" s="33">
        <v>1339</v>
      </c>
      <c r="I342" s="33">
        <f>IF(Tabela1716[[#This Row],[Housing Starts]]="",#N/A,Tabela1716[[#This Row],[Housing Starts]]-H341)</f>
        <v>-83</v>
      </c>
      <c r="J342" s="41">
        <f>IF(Tabela1716[[#This Row],[Housing Starts]]="",#N/A,((Tabela1716[[#This Row],[Housing Starts]]*1)/H330)-1)</f>
        <v>-0.14876033057851235</v>
      </c>
      <c r="K342" s="26"/>
      <c r="L342" s="41"/>
      <c r="M342" s="27"/>
      <c r="N342" s="41"/>
      <c r="O342" s="33">
        <v>608</v>
      </c>
      <c r="P342" s="41">
        <f>IF(Tabela1716[[#This Row],[New House Sales]]="",#N/A,((Tabela1716[[#This Row],[New House Sales]]*1)/O341)-1)</f>
        <v>7.2310405643738918E-2</v>
      </c>
      <c r="Q342" s="41">
        <f>IF(Tabela1716[[#This Row],[New House Sales]]="",#N/A,((Tabela1716[[#This Row],[New House Sales]]*1)/O330)-1)</f>
        <v>-0.1301859799713877</v>
      </c>
      <c r="R342" s="27">
        <v>7.4</v>
      </c>
      <c r="S342" s="86">
        <v>74.867000000000004</v>
      </c>
      <c r="T342" s="41">
        <f>IF(Tabela1716[[#This Row],[S&amp;P/Case-Shiller Home Price Index]]="",#N/A,((Tabela1716[[#This Row],[S&amp;P/Case-Shiller Home Price Index]]*1)/S341)-1)</f>
        <v>6.1551694015511416E-3</v>
      </c>
      <c r="U342" s="41">
        <f>IF(Tabela1716[[#This Row],[S&amp;P/Case-Shiller Home Price Index]]="",#N/A,((Tabela1716[[#This Row],[S&amp;P/Case-Shiller Home Price Index]]*1)/S330)-1)</f>
        <v>7.2777554880495421E-2</v>
      </c>
      <c r="V342" s="37"/>
      <c r="W342" s="9"/>
      <c r="X342" s="9"/>
    </row>
    <row r="343" spans="1:24" ht="12.75">
      <c r="A343" s="12">
        <v>32629</v>
      </c>
      <c r="B343" s="26">
        <v>10.5</v>
      </c>
      <c r="C343" s="29">
        <v>44</v>
      </c>
      <c r="D343" s="33">
        <v>1381</v>
      </c>
      <c r="E343" s="41">
        <f>IF(Tabela1716[[#This Row],[Building Permits]]="",#N/A,((Tabela1716[[#This Row],[Building Permits]]*1)/D331)-1)</f>
        <v>-4.36288088642659E-2</v>
      </c>
      <c r="F343" s="33">
        <v>913</v>
      </c>
      <c r="G343" s="41">
        <f>IF(Tabela1716[[#This Row],[Houses Under Construction]]="",#N/A,((Tabela1716[[#This Row],[Houses Under Construction]]*1)/F331)-1)</f>
        <v>-7.4974670719351599E-2</v>
      </c>
      <c r="H343" s="33">
        <v>1331</v>
      </c>
      <c r="I343" s="33">
        <f>IF(Tabela1716[[#This Row],[Housing Starts]]="",#N/A,Tabela1716[[#This Row],[Housing Starts]]-H342)</f>
        <v>-8</v>
      </c>
      <c r="J343" s="41">
        <f>IF(Tabela1716[[#This Row],[Housing Starts]]="",#N/A,((Tabela1716[[#This Row],[Housing Starts]]*1)/H331)-1)</f>
        <v>-6.3335679099225883E-2</v>
      </c>
      <c r="K343" s="26"/>
      <c r="L343" s="41"/>
      <c r="M343" s="27"/>
      <c r="N343" s="41"/>
      <c r="O343" s="33">
        <v>656</v>
      </c>
      <c r="P343" s="41">
        <f>IF(Tabela1716[[#This Row],[New House Sales]]="",#N/A,((Tabela1716[[#This Row],[New House Sales]]*1)/O342)-1)</f>
        <v>7.8947368421052655E-2</v>
      </c>
      <c r="Q343" s="41">
        <f>IF(Tabela1716[[#This Row],[New House Sales]]="",#N/A,((Tabela1716[[#This Row],[New House Sales]]*1)/O331)-1)</f>
        <v>-4.0935672514619936E-2</v>
      </c>
      <c r="R343" s="27">
        <v>7.1</v>
      </c>
      <c r="S343" s="86">
        <v>75.295000000000002</v>
      </c>
      <c r="T343" s="41">
        <f>IF(Tabela1716[[#This Row],[S&amp;P/Case-Shiller Home Price Index]]="",#N/A,((Tabela1716[[#This Row],[S&amp;P/Case-Shiller Home Price Index]]*1)/S342)-1)</f>
        <v>5.7168044665873996E-3</v>
      </c>
      <c r="U343" s="41">
        <f>IF(Tabela1716[[#This Row],[S&amp;P/Case-Shiller Home Price Index]]="",#N/A,((Tabela1716[[#This Row],[S&amp;P/Case-Shiller Home Price Index]]*1)/S331)-1)</f>
        <v>6.9409726167480867E-2</v>
      </c>
      <c r="V343" s="39"/>
      <c r="W343" s="9"/>
      <c r="X343" s="9"/>
    </row>
    <row r="344" spans="1:24" ht="12.75">
      <c r="A344" s="12">
        <v>32660</v>
      </c>
      <c r="B344" s="26">
        <v>10.07</v>
      </c>
      <c r="C344" s="29">
        <v>45</v>
      </c>
      <c r="D344" s="33">
        <v>1322</v>
      </c>
      <c r="E344" s="41">
        <f>IF(Tabela1716[[#This Row],[Building Permits]]="",#N/A,((Tabela1716[[#This Row],[Building Permits]]*1)/D332)-1)</f>
        <v>-0.10976430976430973</v>
      </c>
      <c r="F344" s="33">
        <v>913</v>
      </c>
      <c r="G344" s="41">
        <f>IF(Tabela1716[[#This Row],[Houses Under Construction]]="",#N/A,((Tabela1716[[#This Row],[Houses Under Construction]]*1)/F332)-1)</f>
        <v>-6.8367346938775553E-2</v>
      </c>
      <c r="H344" s="33">
        <v>1397</v>
      </c>
      <c r="I344" s="33">
        <f>IF(Tabela1716[[#This Row],[Housing Starts]]="",#N/A,Tabela1716[[#This Row],[Housing Starts]]-H343)</f>
        <v>66</v>
      </c>
      <c r="J344" s="41">
        <f>IF(Tabela1716[[#This Row],[Housing Starts]]="",#N/A,((Tabela1716[[#This Row],[Housing Starts]]*1)/H332)-1)</f>
        <v>-5.4803788903924233E-2</v>
      </c>
      <c r="K344" s="26"/>
      <c r="L344" s="41"/>
      <c r="M344" s="27"/>
      <c r="N344" s="41"/>
      <c r="O344" s="33">
        <v>642</v>
      </c>
      <c r="P344" s="41">
        <f>IF(Tabela1716[[#This Row],[New House Sales]]="",#N/A,((Tabela1716[[#This Row],[New House Sales]]*1)/O343)-1)</f>
        <v>-2.1341463414634165E-2</v>
      </c>
      <c r="Q344" s="41">
        <f>IF(Tabela1716[[#This Row],[New House Sales]]="",#N/A,((Tabela1716[[#This Row],[New House Sales]]*1)/O332)-1)</f>
        <v>-0.10460251046025104</v>
      </c>
      <c r="R344" s="27">
        <v>7.2</v>
      </c>
      <c r="S344" s="86">
        <v>75.694999999999993</v>
      </c>
      <c r="T344" s="41">
        <f>IF(Tabela1716[[#This Row],[S&amp;P/Case-Shiller Home Price Index]]="",#N/A,((Tabela1716[[#This Row],[S&amp;P/Case-Shiller Home Price Index]]*1)/S343)-1)</f>
        <v>5.3124377448701132E-3</v>
      </c>
      <c r="U344" s="41">
        <f>IF(Tabela1716[[#This Row],[S&amp;P/Case-Shiller Home Price Index]]="",#N/A,((Tabela1716[[#This Row],[S&amp;P/Case-Shiller Home Price Index]]*1)/S332)-1)</f>
        <v>6.5106658411661966E-2</v>
      </c>
      <c r="V344" s="37"/>
      <c r="W344" s="9"/>
      <c r="X344" s="9"/>
    </row>
    <row r="345" spans="1:24" ht="12.75">
      <c r="A345" s="12">
        <v>32690</v>
      </c>
      <c r="B345" s="26">
        <v>9.81</v>
      </c>
      <c r="C345" s="29">
        <v>46</v>
      </c>
      <c r="D345" s="33">
        <v>1283</v>
      </c>
      <c r="E345" s="41">
        <f>IF(Tabela1716[[#This Row],[Building Permits]]="",#N/A,((Tabela1716[[#This Row],[Building Permits]]*1)/D333)-1)</f>
        <v>-0.108408617095205</v>
      </c>
      <c r="F345" s="33">
        <v>918</v>
      </c>
      <c r="G345" s="41">
        <f>IF(Tabela1716[[#This Row],[Houses Under Construction]]="",#N/A,((Tabela1716[[#This Row],[Houses Under Construction]]*1)/F333)-1)</f>
        <v>-5.4582904222451045E-2</v>
      </c>
      <c r="H345" s="33">
        <v>1427</v>
      </c>
      <c r="I345" s="33">
        <f>IF(Tabela1716[[#This Row],[Housing Starts]]="",#N/A,Tabela1716[[#This Row],[Housing Starts]]-H344)</f>
        <v>30</v>
      </c>
      <c r="J345" s="41">
        <f>IF(Tabela1716[[#This Row],[Housing Starts]]="",#N/A,((Tabela1716[[#This Row],[Housing Starts]]*1)/H333)-1)</f>
        <v>-2.7266530334015049E-2</v>
      </c>
      <c r="K345" s="26"/>
      <c r="L345" s="41"/>
      <c r="M345" s="27"/>
      <c r="N345" s="41"/>
      <c r="O345" s="33">
        <v>731</v>
      </c>
      <c r="P345" s="41">
        <f>IF(Tabela1716[[#This Row],[New House Sales]]="",#N/A,((Tabela1716[[#This Row],[New House Sales]]*1)/O344)-1)</f>
        <v>0.13862928348909653</v>
      </c>
      <c r="Q345" s="41">
        <f>IF(Tabela1716[[#This Row],[New House Sales]]="",#N/A,((Tabela1716[[#This Row],[New House Sales]]*1)/O333)-1)</f>
        <v>7.658321060382911E-2</v>
      </c>
      <c r="R345" s="27">
        <v>6.1</v>
      </c>
      <c r="S345" s="86">
        <v>76.040999999999997</v>
      </c>
      <c r="T345" s="41">
        <f>IF(Tabela1716[[#This Row],[S&amp;P/Case-Shiller Home Price Index]]="",#N/A,((Tabela1716[[#This Row],[S&amp;P/Case-Shiller Home Price Index]]*1)/S344)-1)</f>
        <v>4.5709756258669465E-3</v>
      </c>
      <c r="U345" s="41">
        <f>IF(Tabela1716[[#This Row],[S&amp;P/Case-Shiller Home Price Index]]="",#N/A,((Tabela1716[[#This Row],[S&amp;P/Case-Shiller Home Price Index]]*1)/S333)-1)</f>
        <v>6.075105320425167E-2</v>
      </c>
      <c r="V345" s="39"/>
      <c r="W345" s="9"/>
      <c r="X345" s="9"/>
    </row>
    <row r="346" spans="1:24" ht="12.75">
      <c r="A346" s="12">
        <v>32721</v>
      </c>
      <c r="B346" s="26">
        <v>10.210000000000001</v>
      </c>
      <c r="C346" s="29">
        <v>50</v>
      </c>
      <c r="D346" s="33">
        <v>1334</v>
      </c>
      <c r="E346" s="41">
        <f>IF(Tabela1716[[#This Row],[Building Permits]]="",#N/A,((Tabela1716[[#This Row],[Building Permits]]*1)/D334)-1)</f>
        <v>-8.6301369863013733E-2</v>
      </c>
      <c r="F346" s="33">
        <v>901</v>
      </c>
      <c r="G346" s="41">
        <f>IF(Tabela1716[[#This Row],[Houses Under Construction]]="",#N/A,((Tabela1716[[#This Row],[Houses Under Construction]]*1)/F334)-1)</f>
        <v>-6.8252326783867612E-2</v>
      </c>
      <c r="H346" s="33">
        <v>1332</v>
      </c>
      <c r="I346" s="33">
        <f>IF(Tabela1716[[#This Row],[Housing Starts]]="",#N/A,Tabela1716[[#This Row],[Housing Starts]]-H345)</f>
        <v>-95</v>
      </c>
      <c r="J346" s="41">
        <f>IF(Tabela1716[[#This Row],[Housing Starts]]="",#N/A,((Tabela1716[[#This Row],[Housing Starts]]*1)/H334)-1)</f>
        <v>-0.10783657066309449</v>
      </c>
      <c r="K346" s="26"/>
      <c r="L346" s="41"/>
      <c r="M346" s="27"/>
      <c r="N346" s="41"/>
      <c r="O346" s="33">
        <v>697</v>
      </c>
      <c r="P346" s="41">
        <f>IF(Tabela1716[[#This Row],[New House Sales]]="",#N/A,((Tabela1716[[#This Row],[New House Sales]]*1)/O345)-1)</f>
        <v>-4.6511627906976716E-2</v>
      </c>
      <c r="Q346" s="41">
        <f>IF(Tabela1716[[#This Row],[New House Sales]]="",#N/A,((Tabela1716[[#This Row],[New House Sales]]*1)/O334)-1)</f>
        <v>1.3081395348837122E-2</v>
      </c>
      <c r="R346" s="27">
        <v>6.4</v>
      </c>
      <c r="S346" s="86">
        <v>76.271000000000001</v>
      </c>
      <c r="T346" s="41">
        <f>IF(Tabela1716[[#This Row],[S&amp;P/Case-Shiller Home Price Index]]="",#N/A,((Tabela1716[[#This Row],[S&amp;P/Case-Shiller Home Price Index]]*1)/S345)-1)</f>
        <v>3.0246840520247176E-3</v>
      </c>
      <c r="U346" s="41">
        <f>IF(Tabela1716[[#This Row],[S&amp;P/Case-Shiller Home Price Index]]="",#N/A,((Tabela1716[[#This Row],[S&amp;P/Case-Shiller Home Price Index]]*1)/S334)-1)</f>
        <v>5.658992048319611E-2</v>
      </c>
      <c r="V346" s="37"/>
      <c r="W346" s="9"/>
      <c r="X346" s="9"/>
    </row>
    <row r="347" spans="1:24" ht="12.75">
      <c r="A347" s="12">
        <v>32752</v>
      </c>
      <c r="B347" s="26">
        <v>10.16</v>
      </c>
      <c r="C347" s="29">
        <v>51</v>
      </c>
      <c r="D347" s="33">
        <v>1314</v>
      </c>
      <c r="E347" s="41">
        <f>IF(Tabela1716[[#This Row],[Building Permits]]="",#N/A,((Tabela1716[[#This Row],[Building Permits]]*1)/D335)-1)</f>
        <v>-8.4958217270195036E-2</v>
      </c>
      <c r="F347" s="33">
        <v>895</v>
      </c>
      <c r="G347" s="41">
        <f>IF(Tabela1716[[#This Row],[Houses Under Construction]]="",#N/A,((Tabela1716[[#This Row],[Houses Under Construction]]*1)/F335)-1)</f>
        <v>-6.5762004175365374E-2</v>
      </c>
      <c r="H347" s="33">
        <v>1279</v>
      </c>
      <c r="I347" s="33">
        <f>IF(Tabela1716[[#This Row],[Housing Starts]]="",#N/A,Tabela1716[[#This Row],[Housing Starts]]-H346)</f>
        <v>-53</v>
      </c>
      <c r="J347" s="41">
        <f>IF(Tabela1716[[#This Row],[Housing Starts]]="",#N/A,((Tabela1716[[#This Row],[Housing Starts]]*1)/H335)-1)</f>
        <v>-0.14276139410187672</v>
      </c>
      <c r="K347" s="26"/>
      <c r="L347" s="41"/>
      <c r="M347" s="27"/>
      <c r="N347" s="41"/>
      <c r="O347" s="33">
        <v>639</v>
      </c>
      <c r="P347" s="41">
        <f>IF(Tabela1716[[#This Row],[New House Sales]]="",#N/A,((Tabela1716[[#This Row],[New House Sales]]*1)/O346)-1)</f>
        <v>-8.3213773314203765E-2</v>
      </c>
      <c r="Q347" s="41">
        <f>IF(Tabela1716[[#This Row],[New House Sales]]="",#N/A,((Tabela1716[[#This Row],[New House Sales]]*1)/O335)-1)</f>
        <v>-9.1038406827880558E-2</v>
      </c>
      <c r="R347" s="27">
        <v>7.1</v>
      </c>
      <c r="S347" s="86">
        <v>76.421000000000006</v>
      </c>
      <c r="T347" s="41">
        <f>IF(Tabela1716[[#This Row],[S&amp;P/Case-Shiller Home Price Index]]="",#N/A,((Tabela1716[[#This Row],[S&amp;P/Case-Shiller Home Price Index]]*1)/S346)-1)</f>
        <v>1.9666714740858016E-3</v>
      </c>
      <c r="U347" s="41">
        <f>IF(Tabela1716[[#This Row],[S&amp;P/Case-Shiller Home Price Index]]="",#N/A,((Tabela1716[[#This Row],[S&amp;P/Case-Shiller Home Price Index]]*1)/S335)-1)</f>
        <v>5.3007964284730091E-2</v>
      </c>
      <c r="V347" s="39"/>
      <c r="W347" s="9"/>
      <c r="X347" s="9"/>
    </row>
    <row r="348" spans="1:24" ht="12.75">
      <c r="A348" s="12">
        <v>32782</v>
      </c>
      <c r="B348" s="26">
        <v>9.82</v>
      </c>
      <c r="C348" s="29">
        <v>48</v>
      </c>
      <c r="D348" s="33">
        <v>1365</v>
      </c>
      <c r="E348" s="41">
        <f>IF(Tabela1716[[#This Row],[Building Permits]]="",#N/A,((Tabela1716[[#This Row],[Building Permits]]*1)/D336)-1)</f>
        <v>-9.9604221635883894E-2</v>
      </c>
      <c r="F348" s="33">
        <v>897</v>
      </c>
      <c r="G348" s="41">
        <f>IF(Tabela1716[[#This Row],[Houses Under Construction]]="",#N/A,((Tabela1716[[#This Row],[Houses Under Construction]]*1)/F336)-1)</f>
        <v>-5.8761804826862551E-2</v>
      </c>
      <c r="H348" s="33">
        <v>1410</v>
      </c>
      <c r="I348" s="33">
        <f>IF(Tabela1716[[#This Row],[Housing Starts]]="",#N/A,Tabela1716[[#This Row],[Housing Starts]]-H347)</f>
        <v>131</v>
      </c>
      <c r="J348" s="41">
        <f>IF(Tabela1716[[#This Row],[Housing Starts]]="",#N/A,((Tabela1716[[#This Row],[Housing Starts]]*1)/H336)-1)</f>
        <v>-7.358738501971096E-2</v>
      </c>
      <c r="K348" s="26"/>
      <c r="L348" s="41"/>
      <c r="M348" s="27"/>
      <c r="N348" s="41"/>
      <c r="O348" s="33">
        <v>645</v>
      </c>
      <c r="P348" s="41">
        <f>IF(Tabela1716[[#This Row],[New House Sales]]="",#N/A,((Tabela1716[[#This Row],[New House Sales]]*1)/O347)-1)</f>
        <v>9.3896713615022609E-3</v>
      </c>
      <c r="Q348" s="41">
        <f>IF(Tabela1716[[#This Row],[New House Sales]]="",#N/A,((Tabela1716[[#This Row],[New House Sales]]*1)/O336)-1)</f>
        <v>-0.10167130919220058</v>
      </c>
      <c r="R348" s="27">
        <v>6.9</v>
      </c>
      <c r="S348" s="86">
        <v>76.488</v>
      </c>
      <c r="T348" s="41">
        <f>IF(Tabela1716[[#This Row],[S&amp;P/Case-Shiller Home Price Index]]="",#N/A,((Tabela1716[[#This Row],[S&amp;P/Case-Shiller Home Price Index]]*1)/S347)-1)</f>
        <v>8.7672236688862704E-4</v>
      </c>
      <c r="U348" s="41">
        <f>IF(Tabela1716[[#This Row],[S&amp;P/Case-Shiller Home Price Index]]="",#N/A,((Tabela1716[[#This Row],[S&amp;P/Case-Shiller Home Price Index]]*1)/S336)-1)</f>
        <v>5.0341929636648297E-2</v>
      </c>
      <c r="V348" s="37"/>
      <c r="W348" s="9"/>
      <c r="X348" s="9"/>
    </row>
    <row r="349" spans="1:24" ht="12.75">
      <c r="A349" s="12">
        <v>32813</v>
      </c>
      <c r="B349" s="26">
        <v>9.74</v>
      </c>
      <c r="C349" s="29">
        <v>46</v>
      </c>
      <c r="D349" s="33">
        <v>1344</v>
      </c>
      <c r="E349" s="41">
        <f>IF(Tabela1716[[#This Row],[Building Permits]]="",#N/A,((Tabela1716[[#This Row],[Building Permits]]*1)/D337)-1)</f>
        <v>-0.10875331564986734</v>
      </c>
      <c r="F349" s="33">
        <v>882</v>
      </c>
      <c r="G349" s="41">
        <f>IF(Tabela1716[[#This Row],[Houses Under Construction]]="",#N/A,((Tabela1716[[#This Row],[Houses Under Construction]]*1)/F337)-1)</f>
        <v>-8.1250000000000044E-2</v>
      </c>
      <c r="H349" s="33">
        <v>1351</v>
      </c>
      <c r="I349" s="33">
        <f>IF(Tabela1716[[#This Row],[Housing Starts]]="",#N/A,Tabela1716[[#This Row],[Housing Starts]]-H348)</f>
        <v>-59</v>
      </c>
      <c r="J349" s="41">
        <f>IF(Tabela1716[[#This Row],[Housing Starts]]="",#N/A,((Tabela1716[[#This Row],[Housing Starts]]*1)/H337)-1)</f>
        <v>-0.13894200127469725</v>
      </c>
      <c r="K349" s="26"/>
      <c r="L349" s="41"/>
      <c r="M349" s="27"/>
      <c r="N349" s="41"/>
      <c r="O349" s="33">
        <v>684</v>
      </c>
      <c r="P349" s="41">
        <f>IF(Tabela1716[[#This Row],[New House Sales]]="",#N/A,((Tabela1716[[#This Row],[New House Sales]]*1)/O348)-1)</f>
        <v>6.0465116279069697E-2</v>
      </c>
      <c r="Q349" s="41">
        <f>IF(Tabela1716[[#This Row],[New House Sales]]="",#N/A,((Tabela1716[[#This Row],[New House Sales]]*1)/O337)-1)</f>
        <v>8.9171974522292974E-2</v>
      </c>
      <c r="R349" s="27">
        <v>6.6</v>
      </c>
      <c r="S349" s="86">
        <v>76.521000000000001</v>
      </c>
      <c r="T349" s="41">
        <f>IF(Tabela1716[[#This Row],[S&amp;P/Case-Shiller Home Price Index]]="",#N/A,((Tabela1716[[#This Row],[S&amp;P/Case-Shiller Home Price Index]]*1)/S348)-1)</f>
        <v>4.3144022591778963E-4</v>
      </c>
      <c r="U349" s="41">
        <f>IF(Tabela1716[[#This Row],[S&amp;P/Case-Shiller Home Price Index]]="",#N/A,((Tabela1716[[#This Row],[S&amp;P/Case-Shiller Home Price Index]]*1)/S337)-1)</f>
        <v>4.7314683017628534E-2</v>
      </c>
      <c r="V349" s="39"/>
      <c r="W349" s="9"/>
      <c r="X349" s="9"/>
    </row>
    <row r="350" spans="1:24" ht="12.75">
      <c r="A350" s="12">
        <v>32843</v>
      </c>
      <c r="B350" s="26">
        <v>9.7799999999999994</v>
      </c>
      <c r="C350" s="29">
        <v>43</v>
      </c>
      <c r="D350" s="33">
        <v>1422</v>
      </c>
      <c r="E350" s="41">
        <f>IF(Tabela1716[[#This Row],[Building Permits]]="",#N/A,((Tabela1716[[#This Row],[Building Permits]]*1)/D338)-1)</f>
        <v>-5.2631578947368474E-2</v>
      </c>
      <c r="F350" s="33">
        <v>885</v>
      </c>
      <c r="G350" s="41">
        <f>IF(Tabela1716[[#This Row],[Houses Under Construction]]="",#N/A,((Tabela1716[[#This Row],[Houses Under Construction]]*1)/F338)-1)</f>
        <v>-7.3298429319371694E-2</v>
      </c>
      <c r="H350" s="33">
        <v>1251</v>
      </c>
      <c r="I350" s="33">
        <f>IF(Tabela1716[[#This Row],[Housing Starts]]="",#N/A,Tabela1716[[#This Row],[Housing Starts]]-H349)</f>
        <v>-100</v>
      </c>
      <c r="J350" s="41">
        <f>IF(Tabela1716[[#This Row],[Housing Starts]]="",#N/A,((Tabela1716[[#This Row],[Housing Starts]]*1)/H338)-1)</f>
        <v>-0.19961612284069097</v>
      </c>
      <c r="K350" s="26"/>
      <c r="L350" s="41"/>
      <c r="M350" s="27"/>
      <c r="N350" s="41"/>
      <c r="O350" s="33">
        <v>630</v>
      </c>
      <c r="P350" s="41">
        <f>IF(Tabela1716[[#This Row],[New House Sales]]="",#N/A,((Tabela1716[[#This Row],[New House Sales]]*1)/O349)-1)</f>
        <v>-7.8947368421052655E-2</v>
      </c>
      <c r="Q350" s="41">
        <f>IF(Tabela1716[[#This Row],[New House Sales]]="",#N/A,((Tabela1716[[#This Row],[New House Sales]]*1)/O338)-1)</f>
        <v>-4.2553191489361653E-2</v>
      </c>
      <c r="R350" s="27">
        <v>7</v>
      </c>
      <c r="S350" s="86">
        <v>76.498000000000005</v>
      </c>
      <c r="T350" s="41">
        <f>IF(Tabela1716[[#This Row],[S&amp;P/Case-Shiller Home Price Index]]="",#N/A,((Tabela1716[[#This Row],[S&amp;P/Case-Shiller Home Price Index]]*1)/S349)-1)</f>
        <v>-3.0057108506154062E-4</v>
      </c>
      <c r="U350" s="41">
        <f>IF(Tabela1716[[#This Row],[S&amp;P/Case-Shiller Home Price Index]]="",#N/A,((Tabela1716[[#This Row],[S&amp;P/Case-Shiller Home Price Index]]*1)/S338)-1)</f>
        <v>4.3942247332077855E-2</v>
      </c>
      <c r="V350" s="37"/>
      <c r="W350" s="9"/>
      <c r="X350" s="9"/>
    </row>
    <row r="351" spans="1:24" ht="12.75">
      <c r="A351" s="12">
        <v>32874</v>
      </c>
      <c r="B351" s="26">
        <v>10.050000000000001</v>
      </c>
      <c r="C351" s="29">
        <v>42</v>
      </c>
      <c r="D351" s="33">
        <v>1748</v>
      </c>
      <c r="E351" s="41">
        <f>IF(Tabela1716[[#This Row],[Building Permits]]="",#N/A,((Tabela1716[[#This Row],[Building Permits]]*1)/D339)-1)</f>
        <v>0.19236016371077769</v>
      </c>
      <c r="F351" s="33">
        <v>891</v>
      </c>
      <c r="G351" s="41">
        <f>IF(Tabela1716[[#This Row],[Houses Under Construction]]="",#N/A,((Tabela1716[[#This Row],[Houses Under Construction]]*1)/F339)-1)</f>
        <v>-6.7015706806282771E-2</v>
      </c>
      <c r="H351" s="33">
        <v>1551</v>
      </c>
      <c r="I351" s="33">
        <f>IF(Tabela1716[[#This Row],[Housing Starts]]="",#N/A,Tabela1716[[#This Row],[Housing Starts]]-H350)</f>
        <v>300</v>
      </c>
      <c r="J351" s="41">
        <f>IF(Tabela1716[[#This Row],[Housing Starts]]="",#N/A,((Tabela1716[[#This Row],[Housing Starts]]*1)/H339)-1)</f>
        <v>-4.3183220234423225E-2</v>
      </c>
      <c r="K351" s="26"/>
      <c r="L351" s="41"/>
      <c r="M351" s="27"/>
      <c r="N351" s="41"/>
      <c r="O351" s="33">
        <v>620</v>
      </c>
      <c r="P351" s="41">
        <f>IF(Tabela1716[[#This Row],[New House Sales]]="",#N/A,((Tabela1716[[#This Row],[New House Sales]]*1)/O350)-1)</f>
        <v>-1.5873015873015928E-2</v>
      </c>
      <c r="Q351" s="41">
        <f>IF(Tabela1716[[#This Row],[New House Sales]]="",#N/A,((Tabela1716[[#This Row],[New House Sales]]*1)/O339)-1)</f>
        <v>-0.13769123783031989</v>
      </c>
      <c r="R351" s="27">
        <v>7</v>
      </c>
      <c r="S351" s="86">
        <v>76.527000000000001</v>
      </c>
      <c r="T351" s="41">
        <f>IF(Tabela1716[[#This Row],[S&amp;P/Case-Shiller Home Price Index]]="",#N/A,((Tabela1716[[#This Row],[S&amp;P/Case-Shiller Home Price Index]]*1)/S350)-1)</f>
        <v>3.79094878297348E-4</v>
      </c>
      <c r="U351" s="41">
        <f>IF(Tabela1716[[#This Row],[S&amp;P/Case-Shiller Home Price Index]]="",#N/A,((Tabela1716[[#This Row],[S&amp;P/Case-Shiller Home Price Index]]*1)/S339)-1)</f>
        <v>3.9528913158645373E-2</v>
      </c>
      <c r="V351" s="39"/>
      <c r="W351" s="9"/>
      <c r="X351" s="9"/>
    </row>
    <row r="352" spans="1:24" ht="12.75">
      <c r="A352" s="12">
        <v>32905</v>
      </c>
      <c r="B352" s="26">
        <v>10.31</v>
      </c>
      <c r="C352" s="29">
        <v>44</v>
      </c>
      <c r="D352" s="33">
        <v>1329</v>
      </c>
      <c r="E352" s="41">
        <f>IF(Tabela1716[[#This Row],[Building Permits]]="",#N/A,((Tabela1716[[#This Row],[Building Permits]]*1)/D340)-1)</f>
        <v>-3.9045553145336198E-2</v>
      </c>
      <c r="F352" s="33">
        <v>898</v>
      </c>
      <c r="G352" s="41">
        <f>IF(Tabela1716[[#This Row],[Houses Under Construction]]="",#N/A,((Tabela1716[[#This Row],[Houses Under Construction]]*1)/F340)-1)</f>
        <v>-5.174234424498414E-2</v>
      </c>
      <c r="H352" s="33">
        <v>1437</v>
      </c>
      <c r="I352" s="33">
        <f>IF(Tabela1716[[#This Row],[Housing Starts]]="",#N/A,Tabela1716[[#This Row],[Housing Starts]]-H351)</f>
        <v>-114</v>
      </c>
      <c r="J352" s="41">
        <f>IF(Tabela1716[[#This Row],[Housing Starts]]="",#N/A,((Tabela1716[[#This Row],[Housing Starts]]*1)/H340)-1)</f>
        <v>8.4210526315788847E-3</v>
      </c>
      <c r="K352" s="26"/>
      <c r="L352" s="41"/>
      <c r="M352" s="27"/>
      <c r="N352" s="41"/>
      <c r="O352" s="33">
        <v>591</v>
      </c>
      <c r="P352" s="41">
        <f>IF(Tabela1716[[#This Row],[New House Sales]]="",#N/A,((Tabela1716[[#This Row],[New House Sales]]*1)/O351)-1)</f>
        <v>-4.6774193548387077E-2</v>
      </c>
      <c r="Q352" s="41">
        <f>IF(Tabela1716[[#This Row],[New House Sales]]="",#N/A,((Tabela1716[[#This Row],[New House Sales]]*1)/O340)-1)</f>
        <v>-4.9839228295819882E-2</v>
      </c>
      <c r="R352" s="27">
        <v>7.6</v>
      </c>
      <c r="S352" s="86">
        <v>76.587000000000003</v>
      </c>
      <c r="T352" s="41">
        <f>IF(Tabela1716[[#This Row],[S&amp;P/Case-Shiller Home Price Index]]="",#N/A,((Tabela1716[[#This Row],[S&amp;P/Case-Shiller Home Price Index]]*1)/S351)-1)</f>
        <v>7.8403700654683384E-4</v>
      </c>
      <c r="U352" s="41">
        <f>IF(Tabela1716[[#This Row],[S&amp;P/Case-Shiller Home Price Index]]="",#N/A,((Tabela1716[[#This Row],[S&amp;P/Case-Shiller Home Price Index]]*1)/S340)-1)</f>
        <v>3.5421201346546471E-2</v>
      </c>
      <c r="V352" s="37"/>
      <c r="W352" s="9"/>
      <c r="X352" s="9"/>
    </row>
    <row r="353" spans="1:24" ht="12.75">
      <c r="A353" s="12">
        <v>32933</v>
      </c>
      <c r="B353" s="26">
        <v>10.220000000000001</v>
      </c>
      <c r="C353" s="29">
        <v>40</v>
      </c>
      <c r="D353" s="33">
        <v>1246</v>
      </c>
      <c r="E353" s="41">
        <f>IF(Tabela1716[[#This Row],[Building Permits]]="",#N/A,((Tabela1716[[#This Row],[Building Permits]]*1)/D341)-1)</f>
        <v>2.6359143327841839E-2</v>
      </c>
      <c r="F353" s="33">
        <v>885</v>
      </c>
      <c r="G353" s="41">
        <f>IF(Tabela1716[[#This Row],[Houses Under Construction]]="",#N/A,((Tabela1716[[#This Row],[Houses Under Construction]]*1)/F341)-1)</f>
        <v>-5.8510638297872286E-2</v>
      </c>
      <c r="H353" s="33">
        <v>1289</v>
      </c>
      <c r="I353" s="33">
        <f>IF(Tabela1716[[#This Row],[Housing Starts]]="",#N/A,Tabela1716[[#This Row],[Housing Starts]]-H352)</f>
        <v>-148</v>
      </c>
      <c r="J353" s="41">
        <f>IF(Tabela1716[[#This Row],[Housing Starts]]="",#N/A,((Tabela1716[[#This Row],[Housing Starts]]*1)/H341)-1)</f>
        <v>-9.3530239099859358E-2</v>
      </c>
      <c r="K353" s="26"/>
      <c r="L353" s="41"/>
      <c r="M353" s="27"/>
      <c r="N353" s="41"/>
      <c r="O353" s="33">
        <v>574</v>
      </c>
      <c r="P353" s="41">
        <f>IF(Tabela1716[[#This Row],[New House Sales]]="",#N/A,((Tabela1716[[#This Row],[New House Sales]]*1)/O352)-1)</f>
        <v>-2.876480541455162E-2</v>
      </c>
      <c r="Q353" s="41">
        <f>IF(Tabela1716[[#This Row],[New House Sales]]="",#N/A,((Tabela1716[[#This Row],[New House Sales]]*1)/O341)-1)</f>
        <v>1.2345679012345734E-2</v>
      </c>
      <c r="R353" s="27">
        <v>7.8</v>
      </c>
      <c r="S353" s="86">
        <v>76.790000000000006</v>
      </c>
      <c r="T353" s="41">
        <f>IF(Tabela1716[[#This Row],[S&amp;P/Case-Shiller Home Price Index]]="",#N/A,((Tabela1716[[#This Row],[S&amp;P/Case-Shiller Home Price Index]]*1)/S352)-1)</f>
        <v>2.6505803857050925E-3</v>
      </c>
      <c r="U353" s="41">
        <f>IF(Tabela1716[[#This Row],[S&amp;P/Case-Shiller Home Price Index]]="",#N/A,((Tabela1716[[#This Row],[S&amp;P/Case-Shiller Home Price Index]]*1)/S341)-1)</f>
        <v>3.1998817347363984E-2</v>
      </c>
      <c r="V353" s="39"/>
      <c r="W353" s="9"/>
      <c r="X353" s="9"/>
    </row>
    <row r="354" spans="1:24" ht="12.75">
      <c r="A354" s="12">
        <v>32964</v>
      </c>
      <c r="B354" s="26">
        <v>10.56</v>
      </c>
      <c r="C354" s="29">
        <v>39</v>
      </c>
      <c r="D354" s="33">
        <v>1136</v>
      </c>
      <c r="E354" s="41">
        <f>IF(Tabela1716[[#This Row],[Building Permits]]="",#N/A,((Tabela1716[[#This Row],[Building Permits]]*1)/D342)-1)</f>
        <v>-0.17441860465116277</v>
      </c>
      <c r="F354" s="33">
        <v>872</v>
      </c>
      <c r="G354" s="41">
        <f>IF(Tabela1716[[#This Row],[Houses Under Construction]]="",#N/A,((Tabela1716[[#This Row],[Houses Under Construction]]*1)/F342)-1)</f>
        <v>-5.4229934924078127E-2</v>
      </c>
      <c r="H354" s="33">
        <v>1248</v>
      </c>
      <c r="I354" s="33">
        <f>IF(Tabela1716[[#This Row],[Housing Starts]]="",#N/A,Tabela1716[[#This Row],[Housing Starts]]-H353)</f>
        <v>-41</v>
      </c>
      <c r="J354" s="41">
        <f>IF(Tabela1716[[#This Row],[Housing Starts]]="",#N/A,((Tabela1716[[#This Row],[Housing Starts]]*1)/H342)-1)</f>
        <v>-6.7961165048543659E-2</v>
      </c>
      <c r="K354" s="26"/>
      <c r="L354" s="41"/>
      <c r="M354" s="27"/>
      <c r="N354" s="41"/>
      <c r="O354" s="33">
        <v>542</v>
      </c>
      <c r="P354" s="41">
        <f>IF(Tabela1716[[#This Row],[New House Sales]]="",#N/A,((Tabela1716[[#This Row],[New House Sales]]*1)/O353)-1)</f>
        <v>-5.5749128919860613E-2</v>
      </c>
      <c r="Q354" s="41">
        <f>IF(Tabela1716[[#This Row],[New House Sales]]="",#N/A,((Tabela1716[[#This Row],[New House Sales]]*1)/O342)-1)</f>
        <v>-0.10855263157894735</v>
      </c>
      <c r="R354" s="27">
        <v>8.3000000000000007</v>
      </c>
      <c r="S354" s="86">
        <v>77.037999999999997</v>
      </c>
      <c r="T354" s="41">
        <f>IF(Tabela1716[[#This Row],[S&amp;P/Case-Shiller Home Price Index]]="",#N/A,((Tabela1716[[#This Row],[S&amp;P/Case-Shiller Home Price Index]]*1)/S353)-1)</f>
        <v>3.2295871858314396E-3</v>
      </c>
      <c r="U354" s="41">
        <f>IF(Tabela1716[[#This Row],[S&amp;P/Case-Shiller Home Price Index]]="",#N/A,((Tabela1716[[#This Row],[S&amp;P/Case-Shiller Home Price Index]]*1)/S342)-1)</f>
        <v>2.8998089946171035E-2</v>
      </c>
      <c r="V354" s="37"/>
      <c r="W354" s="9"/>
      <c r="X354" s="9"/>
    </row>
    <row r="355" spans="1:24" ht="12.75">
      <c r="A355" s="12">
        <v>32994</v>
      </c>
      <c r="B355" s="26">
        <v>10.33</v>
      </c>
      <c r="C355" s="29">
        <v>36</v>
      </c>
      <c r="D355" s="33">
        <v>1067</v>
      </c>
      <c r="E355" s="41">
        <f>IF(Tabela1716[[#This Row],[Building Permits]]="",#N/A,((Tabela1716[[#This Row],[Building Permits]]*1)/D343)-1)</f>
        <v>-0.22737146994931212</v>
      </c>
      <c r="F355" s="33">
        <v>858</v>
      </c>
      <c r="G355" s="41">
        <f>IF(Tabela1716[[#This Row],[Houses Under Construction]]="",#N/A,((Tabela1716[[#This Row],[Houses Under Construction]]*1)/F343)-1)</f>
        <v>-6.0240963855421659E-2</v>
      </c>
      <c r="H355" s="33">
        <v>1212</v>
      </c>
      <c r="I355" s="33">
        <f>IF(Tabela1716[[#This Row],[Housing Starts]]="",#N/A,Tabela1716[[#This Row],[Housing Starts]]-H354)</f>
        <v>-36</v>
      </c>
      <c r="J355" s="41">
        <f>IF(Tabela1716[[#This Row],[Housing Starts]]="",#N/A,((Tabela1716[[#This Row],[Housing Starts]]*1)/H343)-1)</f>
        <v>-8.9406461307287799E-2</v>
      </c>
      <c r="K355" s="26"/>
      <c r="L355" s="41"/>
      <c r="M355" s="27"/>
      <c r="N355" s="41"/>
      <c r="O355" s="33">
        <v>534</v>
      </c>
      <c r="P355" s="41">
        <f>IF(Tabela1716[[#This Row],[New House Sales]]="",#N/A,((Tabela1716[[#This Row],[New House Sales]]*1)/O354)-1)</f>
        <v>-1.4760147601476037E-2</v>
      </c>
      <c r="Q355" s="41">
        <f>IF(Tabela1716[[#This Row],[New House Sales]]="",#N/A,((Tabela1716[[#This Row],[New House Sales]]*1)/O343)-1)</f>
        <v>-0.18597560975609762</v>
      </c>
      <c r="R355" s="27">
        <v>8.1999999999999993</v>
      </c>
      <c r="S355" s="86">
        <v>77.296999999999997</v>
      </c>
      <c r="T355" s="41">
        <f>IF(Tabela1716[[#This Row],[S&amp;P/Case-Shiller Home Price Index]]="",#N/A,((Tabela1716[[#This Row],[S&amp;P/Case-Shiller Home Price Index]]*1)/S354)-1)</f>
        <v>3.3619772060542452E-3</v>
      </c>
      <c r="U355" s="41">
        <f>IF(Tabela1716[[#This Row],[S&amp;P/Case-Shiller Home Price Index]]="",#N/A,((Tabela1716[[#This Row],[S&amp;P/Case-Shiller Home Price Index]]*1)/S343)-1)</f>
        <v>2.658875091307511E-2</v>
      </c>
      <c r="V355" s="39"/>
      <c r="W355" s="9"/>
      <c r="X355" s="9"/>
    </row>
    <row r="356" spans="1:24" ht="12.75">
      <c r="A356" s="12">
        <v>33025</v>
      </c>
      <c r="B356" s="26">
        <v>10.15</v>
      </c>
      <c r="C356" s="29">
        <v>36</v>
      </c>
      <c r="D356" s="33">
        <v>1108</v>
      </c>
      <c r="E356" s="41">
        <f>IF(Tabela1716[[#This Row],[Building Permits]]="",#N/A,((Tabela1716[[#This Row],[Building Permits]]*1)/D344)-1)</f>
        <v>-0.16187594553706508</v>
      </c>
      <c r="F356" s="33">
        <v>846</v>
      </c>
      <c r="G356" s="41">
        <f>IF(Tabela1716[[#This Row],[Houses Under Construction]]="",#N/A,((Tabela1716[[#This Row],[Houses Under Construction]]*1)/F344)-1)</f>
        <v>-7.3384446878422827E-2</v>
      </c>
      <c r="H356" s="33">
        <v>1177</v>
      </c>
      <c r="I356" s="33">
        <f>IF(Tabela1716[[#This Row],[Housing Starts]]="",#N/A,Tabela1716[[#This Row],[Housing Starts]]-H355)</f>
        <v>-35</v>
      </c>
      <c r="J356" s="41">
        <f>IF(Tabela1716[[#This Row],[Housing Starts]]="",#N/A,((Tabela1716[[#This Row],[Housing Starts]]*1)/H344)-1)</f>
        <v>-0.15748031496062997</v>
      </c>
      <c r="K356" s="26"/>
      <c r="L356" s="41"/>
      <c r="M356" s="27"/>
      <c r="N356" s="41"/>
      <c r="O356" s="33">
        <v>545</v>
      </c>
      <c r="P356" s="41">
        <f>IF(Tabela1716[[#This Row],[New House Sales]]="",#N/A,((Tabela1716[[#This Row],[New House Sales]]*1)/O355)-1)</f>
        <v>2.0599250936329527E-2</v>
      </c>
      <c r="Q356" s="41">
        <f>IF(Tabela1716[[#This Row],[New House Sales]]="",#N/A,((Tabela1716[[#This Row],[New House Sales]]*1)/O344)-1)</f>
        <v>-0.15109034267912769</v>
      </c>
      <c r="R356" s="27">
        <v>7.9</v>
      </c>
      <c r="S356" s="86">
        <v>77.504999999999995</v>
      </c>
      <c r="T356" s="41">
        <f>IF(Tabela1716[[#This Row],[S&amp;P/Case-Shiller Home Price Index]]="",#N/A,((Tabela1716[[#This Row],[S&amp;P/Case-Shiller Home Price Index]]*1)/S355)-1)</f>
        <v>2.6909194405992931E-3</v>
      </c>
      <c r="U356" s="41">
        <f>IF(Tabela1716[[#This Row],[S&amp;P/Case-Shiller Home Price Index]]="",#N/A,((Tabela1716[[#This Row],[S&amp;P/Case-Shiller Home Price Index]]*1)/S344)-1)</f>
        <v>2.391175110641397E-2</v>
      </c>
      <c r="V356" s="37"/>
      <c r="W356" s="9"/>
      <c r="X356" s="9"/>
    </row>
    <row r="357" spans="1:24" ht="12.75">
      <c r="A357" s="12">
        <v>33055</v>
      </c>
      <c r="B357" s="26">
        <v>9.98</v>
      </c>
      <c r="C357" s="29">
        <v>32</v>
      </c>
      <c r="D357" s="33">
        <v>1078</v>
      </c>
      <c r="E357" s="41">
        <f>IF(Tabela1716[[#This Row],[Building Permits]]="",#N/A,((Tabela1716[[#This Row],[Building Permits]]*1)/D345)-1)</f>
        <v>-0.15978176149649259</v>
      </c>
      <c r="F357" s="33">
        <v>831</v>
      </c>
      <c r="G357" s="41">
        <f>IF(Tabela1716[[#This Row],[Houses Under Construction]]="",#N/A,((Tabela1716[[#This Row],[Houses Under Construction]]*1)/F345)-1)</f>
        <v>-9.4771241830065356E-2</v>
      </c>
      <c r="H357" s="33">
        <v>1171</v>
      </c>
      <c r="I357" s="33">
        <f>IF(Tabela1716[[#This Row],[Housing Starts]]="",#N/A,Tabela1716[[#This Row],[Housing Starts]]-H356)</f>
        <v>-6</v>
      </c>
      <c r="J357" s="41">
        <f>IF(Tabela1716[[#This Row],[Housing Starts]]="",#N/A,((Tabela1716[[#This Row],[Housing Starts]]*1)/H345)-1)</f>
        <v>-0.17939733707077787</v>
      </c>
      <c r="K357" s="26"/>
      <c r="L357" s="41"/>
      <c r="M357" s="27"/>
      <c r="N357" s="41"/>
      <c r="O357" s="33">
        <v>542</v>
      </c>
      <c r="P357" s="41">
        <f>IF(Tabela1716[[#This Row],[New House Sales]]="",#N/A,((Tabela1716[[#This Row],[New House Sales]]*1)/O356)-1)</f>
        <v>-5.5045871559632475E-3</v>
      </c>
      <c r="Q357" s="41">
        <f>IF(Tabela1716[[#This Row],[New House Sales]]="",#N/A,((Tabela1716[[#This Row],[New House Sales]]*1)/O345)-1)</f>
        <v>-0.25854993160054718</v>
      </c>
      <c r="R357" s="27">
        <v>7.8</v>
      </c>
      <c r="S357" s="86">
        <v>77.561000000000007</v>
      </c>
      <c r="T357" s="41">
        <f>IF(Tabela1716[[#This Row],[S&amp;P/Case-Shiller Home Price Index]]="",#N/A,((Tabela1716[[#This Row],[S&amp;P/Case-Shiller Home Price Index]]*1)/S356)-1)</f>
        <v>7.2253403006272698E-4</v>
      </c>
      <c r="U357" s="41">
        <f>IF(Tabela1716[[#This Row],[S&amp;P/Case-Shiller Home Price Index]]="",#N/A,((Tabela1716[[#This Row],[S&amp;P/Case-Shiller Home Price Index]]*1)/S345)-1)</f>
        <v>1.9989216343814675E-2</v>
      </c>
      <c r="V357" s="39"/>
      <c r="W357" s="9"/>
      <c r="X357" s="9"/>
    </row>
    <row r="358" spans="1:24" ht="12.75">
      <c r="A358" s="12">
        <v>33086</v>
      </c>
      <c r="B358" s="26">
        <v>10.24</v>
      </c>
      <c r="C358" s="29">
        <v>30</v>
      </c>
      <c r="D358" s="33">
        <v>1069</v>
      </c>
      <c r="E358" s="41">
        <f>IF(Tabela1716[[#This Row],[Building Permits]]="",#N/A,((Tabela1716[[#This Row],[Building Permits]]*1)/D346)-1)</f>
        <v>-0.19865067466266861</v>
      </c>
      <c r="F358" s="33">
        <v>813</v>
      </c>
      <c r="G358" s="41">
        <f>IF(Tabela1716[[#This Row],[Houses Under Construction]]="",#N/A,((Tabela1716[[#This Row],[Houses Under Construction]]*1)/F346)-1)</f>
        <v>-9.766925638179802E-2</v>
      </c>
      <c r="H358" s="33">
        <v>1115</v>
      </c>
      <c r="I358" s="33">
        <f>IF(Tabela1716[[#This Row],[Housing Starts]]="",#N/A,Tabela1716[[#This Row],[Housing Starts]]-H357)</f>
        <v>-56</v>
      </c>
      <c r="J358" s="41">
        <f>IF(Tabela1716[[#This Row],[Housing Starts]]="",#N/A,((Tabela1716[[#This Row],[Housing Starts]]*1)/H346)-1)</f>
        <v>-0.16291291291291288</v>
      </c>
      <c r="K358" s="26"/>
      <c r="L358" s="41"/>
      <c r="M358" s="27"/>
      <c r="N358" s="41"/>
      <c r="O358" s="33">
        <v>528</v>
      </c>
      <c r="P358" s="41">
        <f>IF(Tabela1716[[#This Row],[New House Sales]]="",#N/A,((Tabela1716[[#This Row],[New House Sales]]*1)/O357)-1)</f>
        <v>-2.5830258302583009E-2</v>
      </c>
      <c r="Q358" s="41">
        <f>IF(Tabela1716[[#This Row],[New House Sales]]="",#N/A,((Tabela1716[[#This Row],[New House Sales]]*1)/O346)-1)</f>
        <v>-0.24246771879483497</v>
      </c>
      <c r="R358" s="27">
        <v>8.1999999999999993</v>
      </c>
      <c r="S358" s="86">
        <v>77.478999999999999</v>
      </c>
      <c r="T358" s="41">
        <f>IF(Tabela1716[[#This Row],[S&amp;P/Case-Shiller Home Price Index]]="",#N/A,((Tabela1716[[#This Row],[S&amp;P/Case-Shiller Home Price Index]]*1)/S357)-1)</f>
        <v>-1.0572323719395538E-3</v>
      </c>
      <c r="U358" s="41">
        <f>IF(Tabela1716[[#This Row],[S&amp;P/Case-Shiller Home Price Index]]="",#N/A,((Tabela1716[[#This Row],[S&amp;P/Case-Shiller Home Price Index]]*1)/S346)-1)</f>
        <v>1.5838260937971249E-2</v>
      </c>
      <c r="V358" s="37"/>
      <c r="W358" s="9"/>
      <c r="X358" s="9"/>
    </row>
    <row r="359" spans="1:24" ht="12.75">
      <c r="A359" s="12">
        <v>33117</v>
      </c>
      <c r="B359" s="26">
        <v>10.220000000000001</v>
      </c>
      <c r="C359" s="29">
        <v>31</v>
      </c>
      <c r="D359" s="33">
        <v>976</v>
      </c>
      <c r="E359" s="41">
        <f>IF(Tabela1716[[#This Row],[Building Permits]]="",#N/A,((Tabela1716[[#This Row],[Building Permits]]*1)/D347)-1)</f>
        <v>-0.25722983257229837</v>
      </c>
      <c r="F359" s="33">
        <v>793</v>
      </c>
      <c r="G359" s="41">
        <f>IF(Tabela1716[[#This Row],[Houses Under Construction]]="",#N/A,((Tabela1716[[#This Row],[Houses Under Construction]]*1)/F347)-1)</f>
        <v>-0.11396648044692737</v>
      </c>
      <c r="H359" s="33">
        <v>1110</v>
      </c>
      <c r="I359" s="33">
        <f>IF(Tabela1716[[#This Row],[Housing Starts]]="",#N/A,Tabela1716[[#This Row],[Housing Starts]]-H358)</f>
        <v>-5</v>
      </c>
      <c r="J359" s="41">
        <f>IF(Tabela1716[[#This Row],[Housing Starts]]="",#N/A,((Tabela1716[[#This Row],[Housing Starts]]*1)/H347)-1)</f>
        <v>-0.13213448006254891</v>
      </c>
      <c r="K359" s="26"/>
      <c r="L359" s="41"/>
      <c r="M359" s="27"/>
      <c r="N359" s="41"/>
      <c r="O359" s="33">
        <v>496</v>
      </c>
      <c r="P359" s="41">
        <f>IF(Tabela1716[[#This Row],[New House Sales]]="",#N/A,((Tabela1716[[#This Row],[New House Sales]]*1)/O358)-1)</f>
        <v>-6.0606060606060552E-2</v>
      </c>
      <c r="Q359" s="41">
        <f>IF(Tabela1716[[#This Row],[New House Sales]]="",#N/A,((Tabela1716[[#This Row],[New House Sales]]*1)/O347)-1)</f>
        <v>-0.22378716744913929</v>
      </c>
      <c r="R359" s="27">
        <v>8.4</v>
      </c>
      <c r="S359" s="86">
        <v>77.228999999999999</v>
      </c>
      <c r="T359" s="41">
        <f>IF(Tabela1716[[#This Row],[S&amp;P/Case-Shiller Home Price Index]]="",#N/A,((Tabela1716[[#This Row],[S&amp;P/Case-Shiller Home Price Index]]*1)/S358)-1)</f>
        <v>-3.2266807780172435E-3</v>
      </c>
      <c r="U359" s="41">
        <f>IF(Tabela1716[[#This Row],[S&amp;P/Case-Shiller Home Price Index]]="",#N/A,((Tabela1716[[#This Row],[S&amp;P/Case-Shiller Home Price Index]]*1)/S347)-1)</f>
        <v>1.0573010036508235E-2</v>
      </c>
      <c r="V359" s="39"/>
      <c r="W359" s="9"/>
      <c r="X359" s="9"/>
    </row>
    <row r="360" spans="1:24" ht="12.75">
      <c r="A360" s="12">
        <v>33147</v>
      </c>
      <c r="B360" s="26">
        <v>10.17</v>
      </c>
      <c r="C360" s="29">
        <v>28</v>
      </c>
      <c r="D360" s="33">
        <v>925</v>
      </c>
      <c r="E360" s="41">
        <f>IF(Tabela1716[[#This Row],[Building Permits]]="",#N/A,((Tabela1716[[#This Row],[Building Permits]]*1)/D348)-1)</f>
        <v>-0.32234432234432231</v>
      </c>
      <c r="F360" s="33">
        <v>766</v>
      </c>
      <c r="G360" s="41">
        <f>IF(Tabela1716[[#This Row],[Houses Under Construction]]="",#N/A,((Tabela1716[[#This Row],[Houses Under Construction]]*1)/F348)-1)</f>
        <v>-0.14604236343366783</v>
      </c>
      <c r="H360" s="33">
        <v>1014</v>
      </c>
      <c r="I360" s="33">
        <f>IF(Tabela1716[[#This Row],[Housing Starts]]="",#N/A,Tabela1716[[#This Row],[Housing Starts]]-H359)</f>
        <v>-96</v>
      </c>
      <c r="J360" s="41">
        <f>IF(Tabela1716[[#This Row],[Housing Starts]]="",#N/A,((Tabela1716[[#This Row],[Housing Starts]]*1)/H348)-1)</f>
        <v>-0.2808510638297872</v>
      </c>
      <c r="K360" s="26"/>
      <c r="L360" s="41"/>
      <c r="M360" s="27"/>
      <c r="N360" s="41"/>
      <c r="O360" s="33">
        <v>465</v>
      </c>
      <c r="P360" s="41">
        <f>IF(Tabela1716[[#This Row],[New House Sales]]="",#N/A,((Tabela1716[[#This Row],[New House Sales]]*1)/O359)-1)</f>
        <v>-6.25E-2</v>
      </c>
      <c r="Q360" s="41">
        <f>IF(Tabela1716[[#This Row],[New House Sales]]="",#N/A,((Tabela1716[[#This Row],[New House Sales]]*1)/O348)-1)</f>
        <v>-0.27906976744186052</v>
      </c>
      <c r="R360" s="27">
        <v>8.6999999999999993</v>
      </c>
      <c r="S360" s="86">
        <v>76.911999999999992</v>
      </c>
      <c r="T360" s="41">
        <f>IF(Tabela1716[[#This Row],[S&amp;P/Case-Shiller Home Price Index]]="",#N/A,((Tabela1716[[#This Row],[S&amp;P/Case-Shiller Home Price Index]]*1)/S359)-1)</f>
        <v>-4.1046757047223936E-3</v>
      </c>
      <c r="U360" s="41">
        <f>IF(Tabela1716[[#This Row],[S&amp;P/Case-Shiller Home Price Index]]="",#N/A,((Tabela1716[[#This Row],[S&amp;P/Case-Shiller Home Price Index]]*1)/S348)-1)</f>
        <v>5.543353205731627E-3</v>
      </c>
      <c r="V360" s="37"/>
      <c r="W360" s="9"/>
      <c r="X360" s="9"/>
    </row>
    <row r="361" spans="1:24" ht="12.75">
      <c r="A361" s="12">
        <v>33178</v>
      </c>
      <c r="B361" s="26">
        <v>9.9</v>
      </c>
      <c r="C361" s="29">
        <v>25</v>
      </c>
      <c r="D361" s="33">
        <v>941</v>
      </c>
      <c r="E361" s="41">
        <f>IF(Tabela1716[[#This Row],[Building Permits]]="",#N/A,((Tabela1716[[#This Row],[Building Permits]]*1)/D349)-1)</f>
        <v>-0.29985119047619047</v>
      </c>
      <c r="F361" s="33">
        <v>758</v>
      </c>
      <c r="G361" s="41">
        <f>IF(Tabela1716[[#This Row],[Houses Under Construction]]="",#N/A,((Tabela1716[[#This Row],[Houses Under Construction]]*1)/F349)-1)</f>
        <v>-0.14058956916099774</v>
      </c>
      <c r="H361" s="33">
        <v>1145</v>
      </c>
      <c r="I361" s="33">
        <f>IF(Tabela1716[[#This Row],[Housing Starts]]="",#N/A,Tabela1716[[#This Row],[Housing Starts]]-H360)</f>
        <v>131</v>
      </c>
      <c r="J361" s="41">
        <f>IF(Tabela1716[[#This Row],[Housing Starts]]="",#N/A,((Tabela1716[[#This Row],[Housing Starts]]*1)/H349)-1)</f>
        <v>-0.15247964470762398</v>
      </c>
      <c r="K361" s="26"/>
      <c r="L361" s="41"/>
      <c r="M361" s="27"/>
      <c r="N361" s="41"/>
      <c r="O361" s="33">
        <v>493</v>
      </c>
      <c r="P361" s="41">
        <f>IF(Tabela1716[[#This Row],[New House Sales]]="",#N/A,((Tabela1716[[#This Row],[New House Sales]]*1)/O360)-1)</f>
        <v>6.021505376344094E-2</v>
      </c>
      <c r="Q361" s="41">
        <f>IF(Tabela1716[[#This Row],[New House Sales]]="",#N/A,((Tabela1716[[#This Row],[New House Sales]]*1)/O349)-1)</f>
        <v>-0.2792397660818714</v>
      </c>
      <c r="R361" s="27">
        <v>8.1999999999999993</v>
      </c>
      <c r="S361" s="86">
        <v>76.381</v>
      </c>
      <c r="T361" s="41">
        <f>IF(Tabela1716[[#This Row],[S&amp;P/Case-Shiller Home Price Index]]="",#N/A,((Tabela1716[[#This Row],[S&amp;P/Case-Shiller Home Price Index]]*1)/S360)-1)</f>
        <v>-6.9039941751610767E-3</v>
      </c>
      <c r="U361" s="41">
        <f>IF(Tabela1716[[#This Row],[S&amp;P/Case-Shiller Home Price Index]]="",#N/A,((Tabela1716[[#This Row],[S&amp;P/Case-Shiller Home Price Index]]*1)/S349)-1)</f>
        <v>-1.829563126461986E-3</v>
      </c>
      <c r="V361" s="39"/>
      <c r="W361" s="9"/>
      <c r="X361" s="9"/>
    </row>
    <row r="362" spans="1:24" ht="12.75">
      <c r="A362" s="12">
        <v>33208</v>
      </c>
      <c r="B362" s="26">
        <v>9.68</v>
      </c>
      <c r="C362" s="29">
        <v>22</v>
      </c>
      <c r="D362" s="33">
        <v>861</v>
      </c>
      <c r="E362" s="41">
        <f>IF(Tabela1716[[#This Row],[Building Permits]]="",#N/A,((Tabela1716[[#This Row],[Building Permits]]*1)/D350)-1)</f>
        <v>-0.39451476793248941</v>
      </c>
      <c r="F362" s="33">
        <v>745</v>
      </c>
      <c r="G362" s="41">
        <f>IF(Tabela1716[[#This Row],[Houses Under Construction]]="",#N/A,((Tabela1716[[#This Row],[Houses Under Construction]]*1)/F350)-1)</f>
        <v>-0.15819209039548021</v>
      </c>
      <c r="H362" s="33">
        <v>969</v>
      </c>
      <c r="I362" s="33">
        <f>IF(Tabela1716[[#This Row],[Housing Starts]]="",#N/A,Tabela1716[[#This Row],[Housing Starts]]-H361)</f>
        <v>-176</v>
      </c>
      <c r="J362" s="41">
        <f>IF(Tabela1716[[#This Row],[Housing Starts]]="",#N/A,((Tabela1716[[#This Row],[Housing Starts]]*1)/H350)-1)</f>
        <v>-0.22541966426858517</v>
      </c>
      <c r="K362" s="26"/>
      <c r="L362" s="41"/>
      <c r="M362" s="27"/>
      <c r="N362" s="41"/>
      <c r="O362" s="33">
        <v>464</v>
      </c>
      <c r="P362" s="41">
        <f>IF(Tabela1716[[#This Row],[New House Sales]]="",#N/A,((Tabela1716[[#This Row],[New House Sales]]*1)/O361)-1)</f>
        <v>-5.8823529411764719E-2</v>
      </c>
      <c r="Q362" s="41">
        <f>IF(Tabela1716[[#This Row],[New House Sales]]="",#N/A,((Tabela1716[[#This Row],[New House Sales]]*1)/O350)-1)</f>
        <v>-0.26349206349206344</v>
      </c>
      <c r="R362" s="27">
        <v>8.5</v>
      </c>
      <c r="S362" s="86">
        <v>75.971999999999994</v>
      </c>
      <c r="T362" s="41">
        <f>IF(Tabela1716[[#This Row],[S&amp;P/Case-Shiller Home Price Index]]="",#N/A,((Tabela1716[[#This Row],[S&amp;P/Case-Shiller Home Price Index]]*1)/S361)-1)</f>
        <v>-5.3547348162501507E-3</v>
      </c>
      <c r="U362" s="41">
        <f>IF(Tabela1716[[#This Row],[S&amp;P/Case-Shiller Home Price Index]]="",#N/A,((Tabela1716[[#This Row],[S&amp;P/Case-Shiller Home Price Index]]*1)/S350)-1)</f>
        <v>-6.8759967580853676E-3</v>
      </c>
      <c r="V362" s="37"/>
      <c r="W362" s="9"/>
      <c r="X362" s="9"/>
    </row>
    <row r="363" spans="1:24" ht="12.75">
      <c r="A363" s="12">
        <v>33239</v>
      </c>
      <c r="B363" s="26">
        <v>9.61</v>
      </c>
      <c r="C363" s="40">
        <v>20</v>
      </c>
      <c r="D363" s="33">
        <v>786</v>
      </c>
      <c r="E363" s="41">
        <f>IF(Tabela1716[[#This Row],[Building Permits]]="",#N/A,((Tabela1716[[#This Row],[Building Permits]]*1)/D351)-1)</f>
        <v>-0.55034324942791768</v>
      </c>
      <c r="F363" s="33">
        <v>716</v>
      </c>
      <c r="G363" s="41">
        <f>IF(Tabela1716[[#This Row],[Houses Under Construction]]="",#N/A,((Tabela1716[[#This Row],[Houses Under Construction]]*1)/F351)-1)</f>
        <v>-0.19640852974186307</v>
      </c>
      <c r="H363" s="33">
        <v>798</v>
      </c>
      <c r="I363" s="33">
        <f>IF(Tabela1716[[#This Row],[Housing Starts]]="",#N/A,Tabela1716[[#This Row],[Housing Starts]]-H362)</f>
        <v>-171</v>
      </c>
      <c r="J363" s="41">
        <f>IF(Tabela1716[[#This Row],[Housing Starts]]="",#N/A,((Tabela1716[[#This Row],[Housing Starts]]*1)/H351)-1)</f>
        <v>-0.48549323017408119</v>
      </c>
      <c r="K363" s="26"/>
      <c r="L363" s="41"/>
      <c r="M363" s="27"/>
      <c r="N363" s="41"/>
      <c r="O363" s="33">
        <v>401</v>
      </c>
      <c r="P363" s="41">
        <f>IF(Tabela1716[[#This Row],[New House Sales]]="",#N/A,((Tabela1716[[#This Row],[New House Sales]]*1)/O362)-1)</f>
        <v>-0.13577586206896552</v>
      </c>
      <c r="Q363" s="41">
        <f>IF(Tabela1716[[#This Row],[New House Sales]]="",#N/A,((Tabela1716[[#This Row],[New House Sales]]*1)/O351)-1)</f>
        <v>-0.35322580645161294</v>
      </c>
      <c r="R363" s="27">
        <v>9.4</v>
      </c>
      <c r="S363" s="86">
        <v>75.533000000000001</v>
      </c>
      <c r="T363" s="41">
        <f>IF(Tabela1716[[#This Row],[S&amp;P/Case-Shiller Home Price Index]]="",#N/A,((Tabela1716[[#This Row],[S&amp;P/Case-Shiller Home Price Index]]*1)/S362)-1)</f>
        <v>-5.7784446901488762E-3</v>
      </c>
      <c r="U363" s="41">
        <f>IF(Tabela1716[[#This Row],[S&amp;P/Case-Shiller Home Price Index]]="",#N/A,((Tabela1716[[#This Row],[S&amp;P/Case-Shiller Home Price Index]]*1)/S351)-1)</f>
        <v>-1.2988879741790527E-2</v>
      </c>
      <c r="V363" s="39"/>
      <c r="W363" s="9"/>
      <c r="X363" s="9"/>
    </row>
    <row r="364" spans="1:24" ht="12.75">
      <c r="A364" s="12">
        <v>33270</v>
      </c>
      <c r="B364" s="26">
        <v>9.2899999999999991</v>
      </c>
      <c r="C364" s="29">
        <v>27</v>
      </c>
      <c r="D364" s="33">
        <v>853</v>
      </c>
      <c r="E364" s="41">
        <f>IF(Tabela1716[[#This Row],[Building Permits]]="",#N/A,((Tabela1716[[#This Row],[Building Permits]]*1)/D352)-1)</f>
        <v>-0.3581640331075997</v>
      </c>
      <c r="F364" s="33">
        <v>710</v>
      </c>
      <c r="G364" s="41">
        <f>IF(Tabela1716[[#This Row],[Houses Under Construction]]="",#N/A,((Tabela1716[[#This Row],[Houses Under Construction]]*1)/F352)-1)</f>
        <v>-0.20935412026726052</v>
      </c>
      <c r="H364" s="33">
        <v>965</v>
      </c>
      <c r="I364" s="33">
        <f>IF(Tabela1716[[#This Row],[Housing Starts]]="",#N/A,Tabela1716[[#This Row],[Housing Starts]]-H363)</f>
        <v>167</v>
      </c>
      <c r="J364" s="41">
        <f>IF(Tabela1716[[#This Row],[Housing Starts]]="",#N/A,((Tabela1716[[#This Row],[Housing Starts]]*1)/H352)-1)</f>
        <v>-0.32846207376478775</v>
      </c>
      <c r="K364" s="26"/>
      <c r="L364" s="41"/>
      <c r="M364" s="27"/>
      <c r="N364" s="41"/>
      <c r="O364" s="33">
        <v>482</v>
      </c>
      <c r="P364" s="41">
        <f>IF(Tabela1716[[#This Row],[New House Sales]]="",#N/A,((Tabela1716[[#This Row],[New House Sales]]*1)/O363)-1)</f>
        <v>0.20199501246882789</v>
      </c>
      <c r="Q364" s="41">
        <f>IF(Tabela1716[[#This Row],[New House Sales]]="",#N/A,((Tabela1716[[#This Row],[New House Sales]]*1)/O352)-1)</f>
        <v>-0.18443316412859556</v>
      </c>
      <c r="R364" s="27">
        <v>7.9</v>
      </c>
      <c r="S364" s="86">
        <v>75.248999999999995</v>
      </c>
      <c r="T364" s="41">
        <f>IF(Tabela1716[[#This Row],[S&amp;P/Case-Shiller Home Price Index]]="",#N/A,((Tabela1716[[#This Row],[S&amp;P/Case-Shiller Home Price Index]]*1)/S363)-1)</f>
        <v>-3.7599459838746352E-3</v>
      </c>
      <c r="U364" s="41">
        <f>IF(Tabela1716[[#This Row],[S&amp;P/Case-Shiller Home Price Index]]="",#N/A,((Tabela1716[[#This Row],[S&amp;P/Case-Shiller Home Price Index]]*1)/S352)-1)</f>
        <v>-1.7470327862431079E-2</v>
      </c>
      <c r="V364" s="37"/>
      <c r="W364" s="9"/>
      <c r="X364" s="9"/>
    </row>
    <row r="365" spans="1:24" ht="12.75">
      <c r="A365" s="12">
        <v>33298</v>
      </c>
      <c r="B365" s="26">
        <v>9.52</v>
      </c>
      <c r="C365" s="29">
        <v>36</v>
      </c>
      <c r="D365" s="33">
        <v>911</v>
      </c>
      <c r="E365" s="41">
        <f>IF(Tabela1716[[#This Row],[Building Permits]]="",#N/A,((Tabela1716[[#This Row],[Building Permits]]*1)/D353)-1)</f>
        <v>-0.26886035313001611</v>
      </c>
      <c r="F365" s="33">
        <v>678</v>
      </c>
      <c r="G365" s="41">
        <f>IF(Tabela1716[[#This Row],[Houses Under Construction]]="",#N/A,((Tabela1716[[#This Row],[Houses Under Construction]]*1)/F353)-1)</f>
        <v>-0.23389830508474574</v>
      </c>
      <c r="H365" s="33">
        <v>921</v>
      </c>
      <c r="I365" s="33">
        <f>IF(Tabela1716[[#This Row],[Housing Starts]]="",#N/A,Tabela1716[[#This Row],[Housing Starts]]-H364)</f>
        <v>-44</v>
      </c>
      <c r="J365" s="41">
        <f>IF(Tabela1716[[#This Row],[Housing Starts]]="",#N/A,((Tabela1716[[#This Row],[Housing Starts]]*1)/H353)-1)</f>
        <v>-0.28549262994569435</v>
      </c>
      <c r="K365" s="26"/>
      <c r="L365" s="41"/>
      <c r="M365" s="27"/>
      <c r="N365" s="41"/>
      <c r="O365" s="33">
        <v>507</v>
      </c>
      <c r="P365" s="41">
        <f>IF(Tabela1716[[#This Row],[New House Sales]]="",#N/A,((Tabela1716[[#This Row],[New House Sales]]*1)/O364)-1)</f>
        <v>5.1867219917012486E-2</v>
      </c>
      <c r="Q365" s="41">
        <f>IF(Tabela1716[[#This Row],[New House Sales]]="",#N/A,((Tabela1716[[#This Row],[New House Sales]]*1)/O353)-1)</f>
        <v>-0.11672473867595823</v>
      </c>
      <c r="R365" s="27">
        <v>7.3</v>
      </c>
      <c r="S365" s="86">
        <v>75.137</v>
      </c>
      <c r="T365" s="41">
        <f>IF(Tabela1716[[#This Row],[S&amp;P/Case-Shiller Home Price Index]]="",#N/A,((Tabela1716[[#This Row],[S&amp;P/Case-Shiller Home Price Index]]*1)/S364)-1)</f>
        <v>-1.4883918723171963E-3</v>
      </c>
      <c r="U365" s="41">
        <f>IF(Tabela1716[[#This Row],[S&amp;P/Case-Shiller Home Price Index]]="",#N/A,((Tabela1716[[#This Row],[S&amp;P/Case-Shiller Home Price Index]]*1)/S353)-1)</f>
        <v>-2.152624039588491E-2</v>
      </c>
      <c r="V365" s="39"/>
      <c r="W365" s="9"/>
      <c r="X365" s="9"/>
    </row>
    <row r="366" spans="1:24" ht="12.75">
      <c r="A366" s="12">
        <v>33329</v>
      </c>
      <c r="B366" s="26">
        <v>9.5299999999999994</v>
      </c>
      <c r="C366" s="29">
        <v>41</v>
      </c>
      <c r="D366" s="33">
        <v>916</v>
      </c>
      <c r="E366" s="41">
        <f>IF(Tabela1716[[#This Row],[Building Permits]]="",#N/A,((Tabela1716[[#This Row],[Building Permits]]*1)/D354)-1)</f>
        <v>-0.19366197183098588</v>
      </c>
      <c r="F366" s="33">
        <v>670</v>
      </c>
      <c r="G366" s="41">
        <f>IF(Tabela1716[[#This Row],[Houses Under Construction]]="",#N/A,((Tabela1716[[#This Row],[Houses Under Construction]]*1)/F354)-1)</f>
        <v>-0.23165137614678899</v>
      </c>
      <c r="H366" s="33">
        <v>1001</v>
      </c>
      <c r="I366" s="33">
        <f>IF(Tabela1716[[#This Row],[Housing Starts]]="",#N/A,Tabela1716[[#This Row],[Housing Starts]]-H365)</f>
        <v>80</v>
      </c>
      <c r="J366" s="41">
        <f>IF(Tabela1716[[#This Row],[Housing Starts]]="",#N/A,((Tabela1716[[#This Row],[Housing Starts]]*1)/H354)-1)</f>
        <v>-0.19791666666666663</v>
      </c>
      <c r="K366" s="26"/>
      <c r="L366" s="41"/>
      <c r="M366" s="27"/>
      <c r="N366" s="41"/>
      <c r="O366" s="33">
        <v>508</v>
      </c>
      <c r="P366" s="41">
        <f>IF(Tabela1716[[#This Row],[New House Sales]]="",#N/A,((Tabela1716[[#This Row],[New House Sales]]*1)/O365)-1)</f>
        <v>1.9723865877712132E-3</v>
      </c>
      <c r="Q366" s="41">
        <f>IF(Tabela1716[[#This Row],[New House Sales]]="",#N/A,((Tabela1716[[#This Row],[New House Sales]]*1)/O354)-1)</f>
        <v>-6.2730627306273101E-2</v>
      </c>
      <c r="R366" s="27">
        <v>7.3</v>
      </c>
      <c r="S366" s="86">
        <v>75.314999999999998</v>
      </c>
      <c r="T366" s="41">
        <f>IF(Tabela1716[[#This Row],[S&amp;P/Case-Shiller Home Price Index]]="",#N/A,((Tabela1716[[#This Row],[S&amp;P/Case-Shiller Home Price Index]]*1)/S365)-1)</f>
        <v>2.3690059491328075E-3</v>
      </c>
      <c r="U366" s="41">
        <f>IF(Tabela1716[[#This Row],[S&amp;P/Case-Shiller Home Price Index]]="",#N/A,((Tabela1716[[#This Row],[S&amp;P/Case-Shiller Home Price Index]]*1)/S354)-1)</f>
        <v>-2.2365585814792643E-2</v>
      </c>
      <c r="V366" s="37"/>
      <c r="W366" s="9"/>
      <c r="X366" s="9"/>
    </row>
    <row r="367" spans="1:24" ht="12.75">
      <c r="A367" s="12">
        <v>33359</v>
      </c>
      <c r="B367" s="26">
        <v>9.4499999999999993</v>
      </c>
      <c r="C367" s="29">
        <v>40</v>
      </c>
      <c r="D367" s="33">
        <v>991</v>
      </c>
      <c r="E367" s="41">
        <f>IF(Tabela1716[[#This Row],[Building Permits]]="",#N/A,((Tabela1716[[#This Row],[Building Permits]]*1)/D355)-1)</f>
        <v>-7.1227741330834093E-2</v>
      </c>
      <c r="F367" s="33">
        <v>662</v>
      </c>
      <c r="G367" s="41">
        <f>IF(Tabela1716[[#This Row],[Houses Under Construction]]="",#N/A,((Tabela1716[[#This Row],[Houses Under Construction]]*1)/F355)-1)</f>
        <v>-0.22843822843822847</v>
      </c>
      <c r="H367" s="33">
        <v>996</v>
      </c>
      <c r="I367" s="33">
        <f>IF(Tabela1716[[#This Row],[Housing Starts]]="",#N/A,Tabela1716[[#This Row],[Housing Starts]]-H366)</f>
        <v>-5</v>
      </c>
      <c r="J367" s="41">
        <f>IF(Tabela1716[[#This Row],[Housing Starts]]="",#N/A,((Tabela1716[[#This Row],[Housing Starts]]*1)/H355)-1)</f>
        <v>-0.17821782178217827</v>
      </c>
      <c r="K367" s="26"/>
      <c r="L367" s="41"/>
      <c r="M367" s="27"/>
      <c r="N367" s="41"/>
      <c r="O367" s="33">
        <v>517</v>
      </c>
      <c r="P367" s="41">
        <f>IF(Tabela1716[[#This Row],[New House Sales]]="",#N/A,((Tabela1716[[#This Row],[New House Sales]]*1)/O366)-1)</f>
        <v>1.7716535433070835E-2</v>
      </c>
      <c r="Q367" s="41">
        <f>IF(Tabela1716[[#This Row],[New House Sales]]="",#N/A,((Tabela1716[[#This Row],[New House Sales]]*1)/O355)-1)</f>
        <v>-3.183520599250933E-2</v>
      </c>
      <c r="R367" s="27">
        <v>7</v>
      </c>
      <c r="S367" s="86">
        <v>75.768000000000001</v>
      </c>
      <c r="T367" s="41">
        <f>IF(Tabela1716[[#This Row],[S&amp;P/Case-Shiller Home Price Index]]="",#N/A,((Tabela1716[[#This Row],[S&amp;P/Case-Shiller Home Price Index]]*1)/S366)-1)</f>
        <v>6.0147380999802103E-3</v>
      </c>
      <c r="U367" s="41">
        <f>IF(Tabela1716[[#This Row],[S&amp;P/Case-Shiller Home Price Index]]="",#N/A,((Tabela1716[[#This Row],[S&amp;P/Case-Shiller Home Price Index]]*1)/S355)-1)</f>
        <v>-1.9780845310943485E-2</v>
      </c>
      <c r="V367" s="39"/>
      <c r="W367" s="9"/>
      <c r="X367" s="9"/>
    </row>
    <row r="368" spans="1:24" ht="12.75">
      <c r="A368" s="12">
        <v>33390</v>
      </c>
      <c r="B368" s="26">
        <v>9.67</v>
      </c>
      <c r="C368" s="29">
        <v>42</v>
      </c>
      <c r="D368" s="33">
        <v>964</v>
      </c>
      <c r="E368" s="41">
        <f>IF(Tabela1716[[#This Row],[Building Permits]]="",#N/A,((Tabela1716[[#This Row],[Building Permits]]*1)/D356)-1)</f>
        <v>-0.12996389891696747</v>
      </c>
      <c r="F368" s="33">
        <v>654</v>
      </c>
      <c r="G368" s="41">
        <f>IF(Tabela1716[[#This Row],[Houses Under Construction]]="",#N/A,((Tabela1716[[#This Row],[Houses Under Construction]]*1)/F356)-1)</f>
        <v>-0.22695035460992907</v>
      </c>
      <c r="H368" s="33">
        <v>1036</v>
      </c>
      <c r="I368" s="33">
        <f>IF(Tabela1716[[#This Row],[Housing Starts]]="",#N/A,Tabela1716[[#This Row],[Housing Starts]]-H367)</f>
        <v>40</v>
      </c>
      <c r="J368" s="41">
        <f>IF(Tabela1716[[#This Row],[Housing Starts]]="",#N/A,((Tabela1716[[#This Row],[Housing Starts]]*1)/H356)-1)</f>
        <v>-0.11979609175870853</v>
      </c>
      <c r="K368" s="26"/>
      <c r="L368" s="41"/>
      <c r="M368" s="27"/>
      <c r="N368" s="41"/>
      <c r="O368" s="33">
        <v>516</v>
      </c>
      <c r="P368" s="41">
        <f>IF(Tabela1716[[#This Row],[New House Sales]]="",#N/A,((Tabela1716[[#This Row],[New House Sales]]*1)/O367)-1)</f>
        <v>-1.9342359767892114E-3</v>
      </c>
      <c r="Q368" s="41">
        <f>IF(Tabela1716[[#This Row],[New House Sales]]="",#N/A,((Tabela1716[[#This Row],[New House Sales]]*1)/O356)-1)</f>
        <v>-5.3211009174311874E-2</v>
      </c>
      <c r="R368" s="27">
        <v>7</v>
      </c>
      <c r="S368" s="86">
        <v>76.253</v>
      </c>
      <c r="T368" s="41">
        <f>IF(Tabela1716[[#This Row],[S&amp;P/Case-Shiller Home Price Index]]="",#N/A,((Tabela1716[[#This Row],[S&amp;P/Case-Shiller Home Price Index]]*1)/S367)-1)</f>
        <v>6.4011192059971744E-3</v>
      </c>
      <c r="U368" s="41">
        <f>IF(Tabela1716[[#This Row],[S&amp;P/Case-Shiller Home Price Index]]="",#N/A,((Tabela1716[[#This Row],[S&amp;P/Case-Shiller Home Price Index]]*1)/S356)-1)</f>
        <v>-1.6153796529256081E-2</v>
      </c>
      <c r="V368" s="37"/>
      <c r="W368" s="9"/>
      <c r="X368" s="9"/>
    </row>
    <row r="369" spans="1:24" ht="12.75">
      <c r="A369" s="12">
        <v>33420</v>
      </c>
      <c r="B369" s="26">
        <v>9.5</v>
      </c>
      <c r="C369" s="29">
        <v>41</v>
      </c>
      <c r="D369" s="33">
        <v>973</v>
      </c>
      <c r="E369" s="41">
        <f>IF(Tabela1716[[#This Row],[Building Permits]]="",#N/A,((Tabela1716[[#This Row],[Building Permits]]*1)/D357)-1)</f>
        <v>-9.740259740259738E-2</v>
      </c>
      <c r="F369" s="33">
        <v>652</v>
      </c>
      <c r="G369" s="41">
        <f>IF(Tabela1716[[#This Row],[Houses Under Construction]]="",#N/A,((Tabela1716[[#This Row],[Houses Under Construction]]*1)/F357)-1)</f>
        <v>-0.21540312876052947</v>
      </c>
      <c r="H369" s="33">
        <v>1063</v>
      </c>
      <c r="I369" s="33">
        <f>IF(Tabela1716[[#This Row],[Housing Starts]]="",#N/A,Tabela1716[[#This Row],[Housing Starts]]-H368)</f>
        <v>27</v>
      </c>
      <c r="J369" s="41">
        <f>IF(Tabela1716[[#This Row],[Housing Starts]]="",#N/A,((Tabela1716[[#This Row],[Housing Starts]]*1)/H357)-1)</f>
        <v>-9.2228864218616535E-2</v>
      </c>
      <c r="K369" s="26"/>
      <c r="L369" s="41"/>
      <c r="M369" s="27"/>
      <c r="N369" s="41"/>
      <c r="O369" s="33">
        <v>511</v>
      </c>
      <c r="P369" s="41">
        <f>IF(Tabela1716[[#This Row],[New House Sales]]="",#N/A,((Tabela1716[[#This Row],[New House Sales]]*1)/O368)-1)</f>
        <v>-9.6899224806201723E-3</v>
      </c>
      <c r="Q369" s="41">
        <f>IF(Tabela1716[[#This Row],[New House Sales]]="",#N/A,((Tabela1716[[#This Row],[New House Sales]]*1)/O357)-1)</f>
        <v>-5.719557195571956E-2</v>
      </c>
      <c r="R369" s="27">
        <v>7.1</v>
      </c>
      <c r="S369" s="86">
        <v>76.516999999999996</v>
      </c>
      <c r="T369" s="41">
        <f>IF(Tabela1716[[#This Row],[S&amp;P/Case-Shiller Home Price Index]]="",#N/A,((Tabela1716[[#This Row],[S&amp;P/Case-Shiller Home Price Index]]*1)/S368)-1)</f>
        <v>3.4621588658805269E-3</v>
      </c>
      <c r="U369" s="41">
        <f>IF(Tabela1716[[#This Row],[S&amp;P/Case-Shiller Home Price Index]]="",#N/A,((Tabela1716[[#This Row],[S&amp;P/Case-Shiller Home Price Index]]*1)/S357)-1)</f>
        <v>-1.3460373125668945E-2</v>
      </c>
      <c r="V369" s="39"/>
      <c r="W369" s="9"/>
      <c r="X369" s="9"/>
    </row>
    <row r="370" spans="1:24" ht="12.75">
      <c r="A370" s="12">
        <v>33451</v>
      </c>
      <c r="B370" s="26">
        <v>9.15</v>
      </c>
      <c r="C370" s="29">
        <v>36</v>
      </c>
      <c r="D370" s="33">
        <v>944</v>
      </c>
      <c r="E370" s="41">
        <f>IF(Tabela1716[[#This Row],[Building Permits]]="",#N/A,((Tabela1716[[#This Row],[Building Permits]]*1)/D358)-1)</f>
        <v>-0.11693171188026197</v>
      </c>
      <c r="F370" s="33">
        <v>651</v>
      </c>
      <c r="G370" s="41">
        <f>IF(Tabela1716[[#This Row],[Houses Under Construction]]="",#N/A,((Tabela1716[[#This Row],[Houses Under Construction]]*1)/F358)-1)</f>
        <v>-0.19926199261992616</v>
      </c>
      <c r="H370" s="33">
        <v>1049</v>
      </c>
      <c r="I370" s="33">
        <f>IF(Tabela1716[[#This Row],[Housing Starts]]="",#N/A,Tabela1716[[#This Row],[Housing Starts]]-H369)</f>
        <v>-14</v>
      </c>
      <c r="J370" s="41">
        <f>IF(Tabela1716[[#This Row],[Housing Starts]]="",#N/A,((Tabela1716[[#This Row],[Housing Starts]]*1)/H358)-1)</f>
        <v>-5.9192825112107661E-2</v>
      </c>
      <c r="K370" s="26"/>
      <c r="L370" s="41"/>
      <c r="M370" s="27"/>
      <c r="N370" s="41"/>
      <c r="O370" s="33">
        <v>526</v>
      </c>
      <c r="P370" s="41">
        <f>IF(Tabela1716[[#This Row],[New House Sales]]="",#N/A,((Tabela1716[[#This Row],[New House Sales]]*1)/O369)-1)</f>
        <v>2.9354207436399271E-2</v>
      </c>
      <c r="Q370" s="41">
        <f>IF(Tabela1716[[#This Row],[New House Sales]]="",#N/A,((Tabela1716[[#This Row],[New House Sales]]*1)/O358)-1)</f>
        <v>-3.7878787878787845E-3</v>
      </c>
      <c r="R370" s="27">
        <v>6.8</v>
      </c>
      <c r="S370" s="86">
        <v>76.593999999999994</v>
      </c>
      <c r="T370" s="41">
        <f>IF(Tabela1716[[#This Row],[S&amp;P/Case-Shiller Home Price Index]]="",#N/A,((Tabela1716[[#This Row],[S&amp;P/Case-Shiller Home Price Index]]*1)/S369)-1)</f>
        <v>1.0063123227517234E-3</v>
      </c>
      <c r="U370" s="41">
        <f>IF(Tabela1716[[#This Row],[S&amp;P/Case-Shiller Home Price Index]]="",#N/A,((Tabela1716[[#This Row],[S&amp;P/Case-Shiller Home Price Index]]*1)/S358)-1)</f>
        <v>-1.142244995418118E-2</v>
      </c>
      <c r="V370" s="37"/>
      <c r="W370" s="9"/>
      <c r="X370" s="9"/>
    </row>
    <row r="371" spans="1:24" ht="12.75">
      <c r="A371" s="12">
        <v>33482</v>
      </c>
      <c r="B371" s="26">
        <v>8.92</v>
      </c>
      <c r="C371" s="29">
        <v>37</v>
      </c>
      <c r="D371" s="33">
        <v>974</v>
      </c>
      <c r="E371" s="41">
        <f>IF(Tabela1716[[#This Row],[Building Permits]]="",#N/A,((Tabela1716[[#This Row],[Building Permits]]*1)/D359)-1)</f>
        <v>-2.049180327868827E-3</v>
      </c>
      <c r="F371" s="33">
        <v>633</v>
      </c>
      <c r="G371" s="41">
        <f>IF(Tabela1716[[#This Row],[Houses Under Construction]]="",#N/A,((Tabela1716[[#This Row],[Houses Under Construction]]*1)/F359)-1)</f>
        <v>-0.20176544766708704</v>
      </c>
      <c r="H371" s="33">
        <v>1015</v>
      </c>
      <c r="I371" s="33">
        <f>IF(Tabela1716[[#This Row],[Housing Starts]]="",#N/A,Tabela1716[[#This Row],[Housing Starts]]-H370)</f>
        <v>-34</v>
      </c>
      <c r="J371" s="41">
        <f>IF(Tabela1716[[#This Row],[Housing Starts]]="",#N/A,((Tabela1716[[#This Row],[Housing Starts]]*1)/H359)-1)</f>
        <v>-8.55855855855856E-2</v>
      </c>
      <c r="K371" s="26"/>
      <c r="L371" s="41"/>
      <c r="M371" s="27"/>
      <c r="N371" s="41"/>
      <c r="O371" s="33">
        <v>487</v>
      </c>
      <c r="P371" s="41">
        <f>IF(Tabela1716[[#This Row],[New House Sales]]="",#N/A,((Tabela1716[[#This Row],[New House Sales]]*1)/O370)-1)</f>
        <v>-7.4144486692015232E-2</v>
      </c>
      <c r="Q371" s="41">
        <f>IF(Tabela1716[[#This Row],[New House Sales]]="",#N/A,((Tabela1716[[#This Row],[New House Sales]]*1)/O359)-1)</f>
        <v>-1.814516129032262E-2</v>
      </c>
      <c r="R371" s="27">
        <v>7.4</v>
      </c>
      <c r="S371" s="86">
        <v>76.573999999999998</v>
      </c>
      <c r="T371" s="41">
        <f>IF(Tabela1716[[#This Row],[S&amp;P/Case-Shiller Home Price Index]]="",#N/A,((Tabela1716[[#This Row],[S&amp;P/Case-Shiller Home Price Index]]*1)/S370)-1)</f>
        <v>-2.6111705877740476E-4</v>
      </c>
      <c r="U371" s="41">
        <f>IF(Tabela1716[[#This Row],[S&amp;P/Case-Shiller Home Price Index]]="",#N/A,((Tabela1716[[#This Row],[S&amp;P/Case-Shiller Home Price Index]]*1)/S359)-1)</f>
        <v>-8.4812699892528043E-3</v>
      </c>
      <c r="V371" s="39"/>
      <c r="W371" s="9"/>
      <c r="X371" s="9"/>
    </row>
    <row r="372" spans="1:24" ht="12.75">
      <c r="A372" s="12">
        <v>33512</v>
      </c>
      <c r="B372" s="26">
        <v>8.91</v>
      </c>
      <c r="C372" s="29">
        <v>37</v>
      </c>
      <c r="D372" s="33">
        <v>991</v>
      </c>
      <c r="E372" s="41">
        <f>IF(Tabela1716[[#This Row],[Building Permits]]="",#N/A,((Tabela1716[[#This Row],[Building Permits]]*1)/D360)-1)</f>
        <v>7.1351351351351289E-2</v>
      </c>
      <c r="F372" s="33">
        <v>630</v>
      </c>
      <c r="G372" s="41">
        <f>IF(Tabela1716[[#This Row],[Houses Under Construction]]="",#N/A,((Tabela1716[[#This Row],[Houses Under Construction]]*1)/F360)-1)</f>
        <v>-0.17754569190600522</v>
      </c>
      <c r="H372" s="33">
        <v>1079</v>
      </c>
      <c r="I372" s="33">
        <f>IF(Tabela1716[[#This Row],[Housing Starts]]="",#N/A,Tabela1716[[#This Row],[Housing Starts]]-H371)</f>
        <v>64</v>
      </c>
      <c r="J372" s="41">
        <f>IF(Tabela1716[[#This Row],[Housing Starts]]="",#N/A,((Tabela1716[[#This Row],[Housing Starts]]*1)/H360)-1)</f>
        <v>6.4102564102564097E-2</v>
      </c>
      <c r="K372" s="26"/>
      <c r="L372" s="41"/>
      <c r="M372" s="27"/>
      <c r="N372" s="41"/>
      <c r="O372" s="33">
        <v>524</v>
      </c>
      <c r="P372" s="41">
        <f>IF(Tabela1716[[#This Row],[New House Sales]]="",#N/A,((Tabela1716[[#This Row],[New House Sales]]*1)/O371)-1)</f>
        <v>7.5975359342915771E-2</v>
      </c>
      <c r="Q372" s="41">
        <f>IF(Tabela1716[[#This Row],[New House Sales]]="",#N/A,((Tabela1716[[#This Row],[New House Sales]]*1)/O360)-1)</f>
        <v>0.12688172043010759</v>
      </c>
      <c r="R372" s="27">
        <v>6.7</v>
      </c>
      <c r="S372" s="86">
        <v>76.290000000000006</v>
      </c>
      <c r="T372" s="41">
        <f>IF(Tabela1716[[#This Row],[S&amp;P/Case-Shiller Home Price Index]]="",#N/A,((Tabela1716[[#This Row],[S&amp;P/Case-Shiller Home Price Index]]*1)/S371)-1)</f>
        <v>-3.7088306735967302E-3</v>
      </c>
      <c r="U372" s="41">
        <f>IF(Tabela1716[[#This Row],[S&amp;P/Case-Shiller Home Price Index]]="",#N/A,((Tabela1716[[#This Row],[S&amp;P/Case-Shiller Home Price Index]]*1)/S360)-1)</f>
        <v>-8.0871645516952251E-3</v>
      </c>
      <c r="V372" s="37"/>
      <c r="W372" s="9"/>
      <c r="X372" s="9"/>
    </row>
    <row r="373" spans="1:24" ht="12.75">
      <c r="A373" s="12">
        <v>33543</v>
      </c>
      <c r="B373" s="26">
        <v>8.6999999999999993</v>
      </c>
      <c r="C373" s="29">
        <v>37</v>
      </c>
      <c r="D373" s="33">
        <v>984</v>
      </c>
      <c r="E373" s="41">
        <f>IF(Tabela1716[[#This Row],[Building Permits]]="",#N/A,((Tabela1716[[#This Row],[Building Permits]]*1)/D361)-1)</f>
        <v>4.56960680127525E-2</v>
      </c>
      <c r="F373" s="33">
        <v>636</v>
      </c>
      <c r="G373" s="41">
        <f>IF(Tabela1716[[#This Row],[Houses Under Construction]]="",#N/A,((Tabela1716[[#This Row],[Houses Under Construction]]*1)/F361)-1)</f>
        <v>-0.16094986807387868</v>
      </c>
      <c r="H373" s="33">
        <v>1103</v>
      </c>
      <c r="I373" s="33">
        <f>IF(Tabela1716[[#This Row],[Housing Starts]]="",#N/A,Tabela1716[[#This Row],[Housing Starts]]-H372)</f>
        <v>24</v>
      </c>
      <c r="J373" s="41">
        <f>IF(Tabela1716[[#This Row],[Housing Starts]]="",#N/A,((Tabela1716[[#This Row],[Housing Starts]]*1)/H361)-1)</f>
        <v>-3.6681222707423577E-2</v>
      </c>
      <c r="K373" s="26"/>
      <c r="L373" s="41"/>
      <c r="M373" s="27"/>
      <c r="N373" s="41"/>
      <c r="O373" s="33">
        <v>575</v>
      </c>
      <c r="P373" s="41">
        <f>IF(Tabela1716[[#This Row],[New House Sales]]="",#N/A,((Tabela1716[[#This Row],[New House Sales]]*1)/O372)-1)</f>
        <v>9.7328244274809128E-2</v>
      </c>
      <c r="Q373" s="41">
        <f>IF(Tabela1716[[#This Row],[New House Sales]]="",#N/A,((Tabela1716[[#This Row],[New House Sales]]*1)/O361)-1)</f>
        <v>0.16632860040567943</v>
      </c>
      <c r="R373" s="27">
        <v>6.2</v>
      </c>
      <c r="S373" s="86">
        <v>76.031000000000006</v>
      </c>
      <c r="T373" s="41">
        <f>IF(Tabela1716[[#This Row],[S&amp;P/Case-Shiller Home Price Index]]="",#N/A,((Tabela1716[[#This Row],[S&amp;P/Case-Shiller Home Price Index]]*1)/S372)-1)</f>
        <v>-3.3949403591558847E-3</v>
      </c>
      <c r="U373" s="41">
        <f>IF(Tabela1716[[#This Row],[S&amp;P/Case-Shiller Home Price Index]]="",#N/A,((Tabela1716[[#This Row],[S&amp;P/Case-Shiller Home Price Index]]*1)/S361)-1)</f>
        <v>-4.5822914075489551E-3</v>
      </c>
      <c r="V373" s="39"/>
      <c r="W373" s="9"/>
      <c r="X373" s="9"/>
    </row>
    <row r="374" spans="1:24" ht="12.75">
      <c r="A374" s="12">
        <v>33573</v>
      </c>
      <c r="B374" s="26">
        <v>8.35</v>
      </c>
      <c r="C374" s="29">
        <v>35</v>
      </c>
      <c r="D374" s="33">
        <v>1061</v>
      </c>
      <c r="E374" s="41">
        <f>IF(Tabela1716[[#This Row],[Building Permits]]="",#N/A,((Tabela1716[[#This Row],[Building Permits]]*1)/D362)-1)</f>
        <v>0.23228803716608604</v>
      </c>
      <c r="F374" s="33">
        <v>633</v>
      </c>
      <c r="G374" s="41">
        <f>IF(Tabela1716[[#This Row],[Houses Under Construction]]="",#N/A,((Tabela1716[[#This Row],[Houses Under Construction]]*1)/F362)-1)</f>
        <v>-0.15033557046979862</v>
      </c>
      <c r="H374" s="33">
        <v>1079</v>
      </c>
      <c r="I374" s="33">
        <f>IF(Tabela1716[[#This Row],[Housing Starts]]="",#N/A,Tabela1716[[#This Row],[Housing Starts]]-H373)</f>
        <v>-24</v>
      </c>
      <c r="J374" s="41">
        <f>IF(Tabela1716[[#This Row],[Housing Starts]]="",#N/A,((Tabela1716[[#This Row],[Housing Starts]]*1)/H362)-1)</f>
        <v>0.11351909184726527</v>
      </c>
      <c r="K374" s="26"/>
      <c r="L374" s="41"/>
      <c r="M374" s="27"/>
      <c r="N374" s="41"/>
      <c r="O374" s="33">
        <v>558</v>
      </c>
      <c r="P374" s="41">
        <f>IF(Tabela1716[[#This Row],[New House Sales]]="",#N/A,((Tabela1716[[#This Row],[New House Sales]]*1)/O373)-1)</f>
        <v>-2.9565217391304355E-2</v>
      </c>
      <c r="Q374" s="41">
        <f>IF(Tabela1716[[#This Row],[New House Sales]]="",#N/A,((Tabela1716[[#This Row],[New House Sales]]*1)/O362)-1)</f>
        <v>0.20258620689655182</v>
      </c>
      <c r="R374" s="27">
        <v>6.2</v>
      </c>
      <c r="S374" s="86">
        <v>75.843999999999994</v>
      </c>
      <c r="T374" s="41">
        <f>IF(Tabela1716[[#This Row],[S&amp;P/Case-Shiller Home Price Index]]="",#N/A,((Tabela1716[[#This Row],[S&amp;P/Case-Shiller Home Price Index]]*1)/S373)-1)</f>
        <v>-2.4595230892663356E-3</v>
      </c>
      <c r="U374" s="41">
        <f>IF(Tabela1716[[#This Row],[S&amp;P/Case-Shiller Home Price Index]]="",#N/A,((Tabela1716[[#This Row],[S&amp;P/Case-Shiller Home Price Index]]*1)/S362)-1)</f>
        <v>-1.6848312536197341E-3</v>
      </c>
      <c r="V374" s="37"/>
      <c r="W374" s="9"/>
      <c r="X374" s="9"/>
    </row>
    <row r="375" spans="1:24" ht="12.75">
      <c r="A375" s="12">
        <v>33604</v>
      </c>
      <c r="B375" s="26">
        <v>8.68</v>
      </c>
      <c r="C375" s="29">
        <v>44</v>
      </c>
      <c r="D375" s="33">
        <v>1077</v>
      </c>
      <c r="E375" s="41">
        <f>IF(Tabela1716[[#This Row],[Building Permits]]="",#N/A,((Tabela1716[[#This Row],[Building Permits]]*1)/D363)-1)</f>
        <v>0.37022900763358768</v>
      </c>
      <c r="F375" s="33">
        <v>639</v>
      </c>
      <c r="G375" s="41">
        <f>IF(Tabela1716[[#This Row],[Houses Under Construction]]="",#N/A,((Tabela1716[[#This Row],[Houses Under Construction]]*1)/F363)-1)</f>
        <v>-0.10754189944134074</v>
      </c>
      <c r="H375" s="33">
        <v>1176</v>
      </c>
      <c r="I375" s="33">
        <f>IF(Tabela1716[[#This Row],[Housing Starts]]="",#N/A,Tabela1716[[#This Row],[Housing Starts]]-H374)</f>
        <v>97</v>
      </c>
      <c r="J375" s="41">
        <f>IF(Tabela1716[[#This Row],[Housing Starts]]="",#N/A,((Tabela1716[[#This Row],[Housing Starts]]*1)/H363)-1)</f>
        <v>0.47368421052631571</v>
      </c>
      <c r="K375" s="26"/>
      <c r="L375" s="41"/>
      <c r="M375" s="27"/>
      <c r="N375" s="41"/>
      <c r="O375" s="33">
        <v>676</v>
      </c>
      <c r="P375" s="41">
        <f>IF(Tabela1716[[#This Row],[New House Sales]]="",#N/A,((Tabela1716[[#This Row],[New House Sales]]*1)/O374)-1)</f>
        <v>0.21146953405017932</v>
      </c>
      <c r="Q375" s="41">
        <f>IF(Tabela1716[[#This Row],[New House Sales]]="",#N/A,((Tabela1716[[#This Row],[New House Sales]]*1)/O363)-1)</f>
        <v>0.68578553615960103</v>
      </c>
      <c r="R375" s="27">
        <v>5.2</v>
      </c>
      <c r="S375" s="86">
        <v>75.7</v>
      </c>
      <c r="T375" s="41">
        <f>IF(Tabela1716[[#This Row],[S&amp;P/Case-Shiller Home Price Index]]="",#N/A,((Tabela1716[[#This Row],[S&amp;P/Case-Shiller Home Price Index]]*1)/S374)-1)</f>
        <v>-1.8986340382890488E-3</v>
      </c>
      <c r="U375" s="41">
        <f>IF(Tabela1716[[#This Row],[S&amp;P/Case-Shiller Home Price Index]]="",#N/A,((Tabela1716[[#This Row],[S&amp;P/Case-Shiller Home Price Index]]*1)/S363)-1)</f>
        <v>2.2109541524897303E-3</v>
      </c>
      <c r="V375" s="39"/>
      <c r="W375" s="9"/>
      <c r="X375" s="9"/>
    </row>
    <row r="376" spans="1:24" ht="12.75">
      <c r="A376" s="12">
        <v>33635</v>
      </c>
      <c r="B376" s="26">
        <v>8.83</v>
      </c>
      <c r="C376" s="29">
        <v>49</v>
      </c>
      <c r="D376" s="33">
        <v>1146</v>
      </c>
      <c r="E376" s="41">
        <f>IF(Tabela1716[[#This Row],[Building Permits]]="",#N/A,((Tabela1716[[#This Row],[Building Permits]]*1)/D364)-1)</f>
        <v>0.34349355216881605</v>
      </c>
      <c r="F376" s="33">
        <v>630</v>
      </c>
      <c r="G376" s="41">
        <f>IF(Tabela1716[[#This Row],[Houses Under Construction]]="",#N/A,((Tabela1716[[#This Row],[Houses Under Construction]]*1)/F364)-1)</f>
        <v>-0.11267605633802813</v>
      </c>
      <c r="H376" s="33">
        <v>1250</v>
      </c>
      <c r="I376" s="33">
        <f>IF(Tabela1716[[#This Row],[Housing Starts]]="",#N/A,Tabela1716[[#This Row],[Housing Starts]]-H375)</f>
        <v>74</v>
      </c>
      <c r="J376" s="41">
        <f>IF(Tabela1716[[#This Row],[Housing Starts]]="",#N/A,((Tabela1716[[#This Row],[Housing Starts]]*1)/H364)-1)</f>
        <v>0.29533678756476678</v>
      </c>
      <c r="K376" s="26"/>
      <c r="L376" s="41"/>
      <c r="M376" s="27"/>
      <c r="N376" s="41"/>
      <c r="O376" s="33">
        <v>639</v>
      </c>
      <c r="P376" s="41">
        <f>IF(Tabela1716[[#This Row],[New House Sales]]="",#N/A,((Tabela1716[[#This Row],[New House Sales]]*1)/O375)-1)</f>
        <v>-5.473372781065089E-2</v>
      </c>
      <c r="Q376" s="41">
        <f>IF(Tabela1716[[#This Row],[New House Sales]]="",#N/A,((Tabela1716[[#This Row],[New House Sales]]*1)/O364)-1)</f>
        <v>0.32572614107883813</v>
      </c>
      <c r="R376" s="27">
        <v>4.9000000000000004</v>
      </c>
      <c r="S376" s="86">
        <v>75.655000000000001</v>
      </c>
      <c r="T376" s="41">
        <f>IF(Tabela1716[[#This Row],[S&amp;P/Case-Shiller Home Price Index]]="",#N/A,((Tabela1716[[#This Row],[S&amp;P/Case-Shiller Home Price Index]]*1)/S375)-1)</f>
        <v>-5.9445178335537641E-4</v>
      </c>
      <c r="U376" s="41">
        <f>IF(Tabela1716[[#This Row],[S&amp;P/Case-Shiller Home Price Index]]="",#N/A,((Tabela1716[[#This Row],[S&amp;P/Case-Shiller Home Price Index]]*1)/S364)-1)</f>
        <v>5.3954205371500308E-3</v>
      </c>
      <c r="V376" s="37"/>
      <c r="W376" s="9"/>
      <c r="X376" s="9"/>
    </row>
    <row r="377" spans="1:24" ht="12.75">
      <c r="A377" s="12">
        <v>33664</v>
      </c>
      <c r="B377" s="26">
        <v>8.98</v>
      </c>
      <c r="C377" s="29">
        <v>46</v>
      </c>
      <c r="D377" s="33">
        <v>1082</v>
      </c>
      <c r="E377" s="41">
        <f>IF(Tabela1716[[#This Row],[Building Permits]]="",#N/A,((Tabela1716[[#This Row],[Building Permits]]*1)/D365)-1)</f>
        <v>0.18770581778265649</v>
      </c>
      <c r="F377" s="33">
        <v>656</v>
      </c>
      <c r="G377" s="41">
        <f>IF(Tabela1716[[#This Row],[Houses Under Construction]]="",#N/A,((Tabela1716[[#This Row],[Houses Under Construction]]*1)/F365)-1)</f>
        <v>-3.2448377581120957E-2</v>
      </c>
      <c r="H377" s="33">
        <v>1297</v>
      </c>
      <c r="I377" s="33">
        <f>IF(Tabela1716[[#This Row],[Housing Starts]]="",#N/A,Tabela1716[[#This Row],[Housing Starts]]-H376)</f>
        <v>47</v>
      </c>
      <c r="J377" s="41">
        <f>IF(Tabela1716[[#This Row],[Housing Starts]]="",#N/A,((Tabela1716[[#This Row],[Housing Starts]]*1)/H365)-1)</f>
        <v>0.40825190010857759</v>
      </c>
      <c r="K377" s="26"/>
      <c r="L377" s="41"/>
      <c r="M377" s="27"/>
      <c r="N377" s="41"/>
      <c r="O377" s="33">
        <v>553</v>
      </c>
      <c r="P377" s="41">
        <f>IF(Tabela1716[[#This Row],[New House Sales]]="",#N/A,((Tabela1716[[#This Row],[New House Sales]]*1)/O376)-1)</f>
        <v>-0.13458528951486703</v>
      </c>
      <c r="Q377" s="41">
        <f>IF(Tabela1716[[#This Row],[New House Sales]]="",#N/A,((Tabela1716[[#This Row],[New House Sales]]*1)/O365)-1)</f>
        <v>9.0729783037475364E-2</v>
      </c>
      <c r="R377" s="27">
        <v>6.1</v>
      </c>
      <c r="S377" s="86">
        <v>75.813999999999993</v>
      </c>
      <c r="T377" s="41">
        <f>IF(Tabela1716[[#This Row],[S&amp;P/Case-Shiller Home Price Index]]="",#N/A,((Tabela1716[[#This Row],[S&amp;P/Case-Shiller Home Price Index]]*1)/S376)-1)</f>
        <v>2.1016456281803819E-3</v>
      </c>
      <c r="U377" s="41">
        <f>IF(Tabela1716[[#This Row],[S&amp;P/Case-Shiller Home Price Index]]="",#N/A,((Tabela1716[[#This Row],[S&amp;P/Case-Shiller Home Price Index]]*1)/S365)-1)</f>
        <v>9.01020802001673E-3</v>
      </c>
      <c r="V377" s="39"/>
      <c r="W377" s="9"/>
      <c r="X377" s="9"/>
    </row>
    <row r="378" spans="1:24" ht="12.75">
      <c r="A378" s="12">
        <v>33695</v>
      </c>
      <c r="B378" s="26">
        <v>8.85</v>
      </c>
      <c r="C378" s="29">
        <v>46</v>
      </c>
      <c r="D378" s="33">
        <v>1054</v>
      </c>
      <c r="E378" s="41">
        <f>IF(Tabela1716[[#This Row],[Building Permits]]="",#N/A,((Tabela1716[[#This Row],[Building Permits]]*1)/D366)-1)</f>
        <v>0.15065502183406121</v>
      </c>
      <c r="F378" s="33">
        <v>650</v>
      </c>
      <c r="G378" s="41">
        <f>IF(Tabela1716[[#This Row],[Houses Under Construction]]="",#N/A,((Tabela1716[[#This Row],[Houses Under Construction]]*1)/F366)-1)</f>
        <v>-2.9850746268656692E-2</v>
      </c>
      <c r="H378" s="33">
        <v>1099</v>
      </c>
      <c r="I378" s="33">
        <f>IF(Tabela1716[[#This Row],[Housing Starts]]="",#N/A,Tabela1716[[#This Row],[Housing Starts]]-H377)</f>
        <v>-198</v>
      </c>
      <c r="J378" s="41">
        <f>IF(Tabela1716[[#This Row],[Housing Starts]]="",#N/A,((Tabela1716[[#This Row],[Housing Starts]]*1)/H366)-1)</f>
        <v>9.7902097902097918E-2</v>
      </c>
      <c r="K378" s="26"/>
      <c r="L378" s="41"/>
      <c r="M378" s="27"/>
      <c r="N378" s="41"/>
      <c r="O378" s="33">
        <v>546</v>
      </c>
      <c r="P378" s="41">
        <f>IF(Tabela1716[[#This Row],[New House Sales]]="",#N/A,((Tabela1716[[#This Row],[New House Sales]]*1)/O377)-1)</f>
        <v>-1.2658227848101222E-2</v>
      </c>
      <c r="Q378" s="41">
        <f>IF(Tabela1716[[#This Row],[New House Sales]]="",#N/A,((Tabela1716[[#This Row],[New House Sales]]*1)/O366)-1)</f>
        <v>7.4803149606299302E-2</v>
      </c>
      <c r="R378" s="27">
        <v>6.1</v>
      </c>
      <c r="S378" s="86">
        <v>76.08</v>
      </c>
      <c r="T378" s="41">
        <f>IF(Tabela1716[[#This Row],[S&amp;P/Case-Shiller Home Price Index]]="",#N/A,((Tabela1716[[#This Row],[S&amp;P/Case-Shiller Home Price Index]]*1)/S377)-1)</f>
        <v>3.5085868045481305E-3</v>
      </c>
      <c r="U378" s="41">
        <f>IF(Tabela1716[[#This Row],[S&amp;P/Case-Shiller Home Price Index]]="",#N/A,((Tabela1716[[#This Row],[S&amp;P/Case-Shiller Home Price Index]]*1)/S366)-1)</f>
        <v>1.015733917546302E-2</v>
      </c>
      <c r="V378" s="37"/>
      <c r="W378" s="9"/>
      <c r="X378" s="9"/>
    </row>
    <row r="379" spans="1:24" ht="12.75">
      <c r="A379" s="12">
        <v>33725</v>
      </c>
      <c r="B379" s="26">
        <v>8.6</v>
      </c>
      <c r="C379" s="29">
        <v>47</v>
      </c>
      <c r="D379" s="33">
        <v>1056</v>
      </c>
      <c r="E379" s="41">
        <f>IF(Tabela1716[[#This Row],[Building Permits]]="",#N/A,((Tabela1716[[#This Row],[Building Permits]]*1)/D367)-1)</f>
        <v>6.5590312815338114E-2</v>
      </c>
      <c r="F379" s="33">
        <v>650</v>
      </c>
      <c r="G379" s="41">
        <f>IF(Tabela1716[[#This Row],[Houses Under Construction]]="",#N/A,((Tabela1716[[#This Row],[Houses Under Construction]]*1)/F367)-1)</f>
        <v>-1.8126888217522619E-2</v>
      </c>
      <c r="H379" s="33">
        <v>1214</v>
      </c>
      <c r="I379" s="33">
        <f>IF(Tabela1716[[#This Row],[Housing Starts]]="",#N/A,Tabela1716[[#This Row],[Housing Starts]]-H378)</f>
        <v>115</v>
      </c>
      <c r="J379" s="41">
        <f>IF(Tabela1716[[#This Row],[Housing Starts]]="",#N/A,((Tabela1716[[#This Row],[Housing Starts]]*1)/H367)-1)</f>
        <v>0.21887550200803219</v>
      </c>
      <c r="K379" s="26"/>
      <c r="L379" s="41"/>
      <c r="M379" s="27"/>
      <c r="N379" s="41"/>
      <c r="O379" s="33">
        <v>554</v>
      </c>
      <c r="P379" s="41">
        <f>IF(Tabela1716[[#This Row],[New House Sales]]="",#N/A,((Tabela1716[[#This Row],[New House Sales]]*1)/O378)-1)</f>
        <v>1.46520146520146E-2</v>
      </c>
      <c r="Q379" s="41">
        <f>IF(Tabela1716[[#This Row],[New House Sales]]="",#N/A,((Tabela1716[[#This Row],[New House Sales]]*1)/O367)-1)</f>
        <v>7.1566731141199158E-2</v>
      </c>
      <c r="R379" s="27">
        <v>6</v>
      </c>
      <c r="S379" s="86">
        <v>76.397999999999996</v>
      </c>
      <c r="T379" s="41">
        <f>IF(Tabela1716[[#This Row],[S&amp;P/Case-Shiller Home Price Index]]="",#N/A,((Tabela1716[[#This Row],[S&amp;P/Case-Shiller Home Price Index]]*1)/S378)-1)</f>
        <v>4.1798107255519579E-3</v>
      </c>
      <c r="U379" s="41">
        <f>IF(Tabela1716[[#This Row],[S&amp;P/Case-Shiller Home Price Index]]="",#N/A,((Tabela1716[[#This Row],[S&amp;P/Case-Shiller Home Price Index]]*1)/S367)-1)</f>
        <v>8.3148558758314728E-3</v>
      </c>
      <c r="V379" s="39"/>
      <c r="W379" s="9"/>
      <c r="X379" s="9"/>
    </row>
    <row r="380" spans="1:24" ht="12.75">
      <c r="A380" s="12">
        <v>33756</v>
      </c>
      <c r="B380" s="26">
        <v>8.43</v>
      </c>
      <c r="C380" s="29">
        <v>45</v>
      </c>
      <c r="D380" s="33">
        <v>1057</v>
      </c>
      <c r="E380" s="41">
        <f>IF(Tabela1716[[#This Row],[Building Permits]]="",#N/A,((Tabela1716[[#This Row],[Building Permits]]*1)/D368)-1)</f>
        <v>9.6473029045643255E-2</v>
      </c>
      <c r="F380" s="33">
        <v>644</v>
      </c>
      <c r="G380" s="41">
        <f>IF(Tabela1716[[#This Row],[Houses Under Construction]]="",#N/A,((Tabela1716[[#This Row],[Houses Under Construction]]*1)/F368)-1)</f>
        <v>-1.5290519877675823E-2</v>
      </c>
      <c r="H380" s="33">
        <v>1145</v>
      </c>
      <c r="I380" s="33">
        <f>IF(Tabela1716[[#This Row],[Housing Starts]]="",#N/A,Tabela1716[[#This Row],[Housing Starts]]-H379)</f>
        <v>-69</v>
      </c>
      <c r="J380" s="41">
        <f>IF(Tabela1716[[#This Row],[Housing Starts]]="",#N/A,((Tabela1716[[#This Row],[Housing Starts]]*1)/H368)-1)</f>
        <v>0.10521235521235517</v>
      </c>
      <c r="K380" s="26"/>
      <c r="L380" s="41"/>
      <c r="M380" s="27"/>
      <c r="N380" s="41"/>
      <c r="O380" s="33">
        <v>596</v>
      </c>
      <c r="P380" s="41">
        <f>IF(Tabela1716[[#This Row],[New House Sales]]="",#N/A,((Tabela1716[[#This Row],[New House Sales]]*1)/O379)-1)</f>
        <v>7.5812274368231014E-2</v>
      </c>
      <c r="Q380" s="41">
        <f>IF(Tabela1716[[#This Row],[New House Sales]]="",#N/A,((Tabela1716[[#This Row],[New House Sales]]*1)/O368)-1)</f>
        <v>0.15503875968992253</v>
      </c>
      <c r="R380" s="27">
        <v>5.6</v>
      </c>
      <c r="S380" s="86">
        <v>76.602000000000004</v>
      </c>
      <c r="T380" s="41">
        <f>IF(Tabela1716[[#This Row],[S&amp;P/Case-Shiller Home Price Index]]="",#N/A,((Tabela1716[[#This Row],[S&amp;P/Case-Shiller Home Price Index]]*1)/S379)-1)</f>
        <v>2.6702269692924219E-3</v>
      </c>
      <c r="U380" s="41">
        <f>IF(Tabela1716[[#This Row],[S&amp;P/Case-Shiller Home Price Index]]="",#N/A,((Tabela1716[[#This Row],[S&amp;P/Case-Shiller Home Price Index]]*1)/S368)-1)</f>
        <v>4.5768691067893386E-3</v>
      </c>
      <c r="V380" s="37"/>
      <c r="W380" s="9"/>
      <c r="X380" s="9"/>
    </row>
    <row r="381" spans="1:24" ht="12.75">
      <c r="A381" s="12">
        <v>33786</v>
      </c>
      <c r="B381" s="26">
        <v>8.0500000000000007</v>
      </c>
      <c r="C381" s="29">
        <v>46</v>
      </c>
      <c r="D381" s="33">
        <v>1089</v>
      </c>
      <c r="E381" s="41">
        <f>IF(Tabela1716[[#This Row],[Building Permits]]="",#N/A,((Tabela1716[[#This Row],[Building Permits]]*1)/D369)-1)</f>
        <v>0.11921891058581702</v>
      </c>
      <c r="F381" s="33">
        <v>629</v>
      </c>
      <c r="G381" s="41">
        <f>IF(Tabela1716[[#This Row],[Houses Under Construction]]="",#N/A,((Tabela1716[[#This Row],[Houses Under Construction]]*1)/F369)-1)</f>
        <v>-3.527607361963192E-2</v>
      </c>
      <c r="H381" s="33">
        <v>1139</v>
      </c>
      <c r="I381" s="33">
        <f>IF(Tabela1716[[#This Row],[Housing Starts]]="",#N/A,Tabela1716[[#This Row],[Housing Starts]]-H380)</f>
        <v>-6</v>
      </c>
      <c r="J381" s="41">
        <f>IF(Tabela1716[[#This Row],[Housing Starts]]="",#N/A,((Tabela1716[[#This Row],[Housing Starts]]*1)/H369)-1)</f>
        <v>7.1495766698024488E-2</v>
      </c>
      <c r="K381" s="26"/>
      <c r="L381" s="41"/>
      <c r="M381" s="27"/>
      <c r="N381" s="41"/>
      <c r="O381" s="33">
        <v>627</v>
      </c>
      <c r="P381" s="41">
        <f>IF(Tabela1716[[#This Row],[New House Sales]]="",#N/A,((Tabela1716[[#This Row],[New House Sales]]*1)/O380)-1)</f>
        <v>5.2013422818791843E-2</v>
      </c>
      <c r="Q381" s="41">
        <f>IF(Tabela1716[[#This Row],[New House Sales]]="",#N/A,((Tabela1716[[#This Row],[New House Sales]]*1)/O369)-1)</f>
        <v>0.22700587084148727</v>
      </c>
      <c r="R381" s="27">
        <v>5.3</v>
      </c>
      <c r="S381" s="86">
        <v>76.710999999999999</v>
      </c>
      <c r="T381" s="41">
        <f>IF(Tabela1716[[#This Row],[S&amp;P/Case-Shiller Home Price Index]]="",#N/A,((Tabela1716[[#This Row],[S&amp;P/Case-Shiller Home Price Index]]*1)/S380)-1)</f>
        <v>1.4229393488420783E-3</v>
      </c>
      <c r="U381" s="41">
        <f>IF(Tabela1716[[#This Row],[S&amp;P/Case-Shiller Home Price Index]]="",#N/A,((Tabela1716[[#This Row],[S&amp;P/Case-Shiller Home Price Index]]*1)/S369)-1)</f>
        <v>2.5353842936863824E-3</v>
      </c>
      <c r="V381" s="39"/>
      <c r="W381" s="9"/>
      <c r="X381" s="9"/>
    </row>
    <row r="382" spans="1:24" ht="12.75">
      <c r="A382" s="12">
        <v>33817</v>
      </c>
      <c r="B382" s="26">
        <v>8.01</v>
      </c>
      <c r="C382" s="29">
        <v>49</v>
      </c>
      <c r="D382" s="33">
        <v>1075</v>
      </c>
      <c r="E382" s="41">
        <f>IF(Tabela1716[[#This Row],[Building Permits]]="",#N/A,((Tabela1716[[#This Row],[Building Permits]]*1)/D370)-1)</f>
        <v>0.13877118644067798</v>
      </c>
      <c r="F382" s="33">
        <v>635</v>
      </c>
      <c r="G382" s="41">
        <f>IF(Tabela1716[[#This Row],[Houses Under Construction]]="",#N/A,((Tabela1716[[#This Row],[Houses Under Construction]]*1)/F370)-1)</f>
        <v>-2.457757296466978E-2</v>
      </c>
      <c r="H382" s="33">
        <v>1226</v>
      </c>
      <c r="I382" s="33">
        <f>IF(Tabela1716[[#This Row],[Housing Starts]]="",#N/A,Tabela1716[[#This Row],[Housing Starts]]-H381)</f>
        <v>87</v>
      </c>
      <c r="J382" s="41">
        <f>IF(Tabela1716[[#This Row],[Housing Starts]]="",#N/A,((Tabela1716[[#This Row],[Housing Starts]]*1)/H370)-1)</f>
        <v>0.16873212583412767</v>
      </c>
      <c r="K382" s="26"/>
      <c r="L382" s="41"/>
      <c r="M382" s="27"/>
      <c r="N382" s="41"/>
      <c r="O382" s="33">
        <v>636</v>
      </c>
      <c r="P382" s="41">
        <f>IF(Tabela1716[[#This Row],[New House Sales]]="",#N/A,((Tabela1716[[#This Row],[New House Sales]]*1)/O381)-1)</f>
        <v>1.4354066985645897E-2</v>
      </c>
      <c r="Q382" s="41">
        <f>IF(Tabela1716[[#This Row],[New House Sales]]="",#N/A,((Tabela1716[[#This Row],[New House Sales]]*1)/O370)-1)</f>
        <v>0.209125475285171</v>
      </c>
      <c r="R382" s="27">
        <v>5.2</v>
      </c>
      <c r="S382" s="86">
        <v>76.731999999999999</v>
      </c>
      <c r="T382" s="41">
        <f>IF(Tabela1716[[#This Row],[S&amp;P/Case-Shiller Home Price Index]]="",#N/A,((Tabela1716[[#This Row],[S&amp;P/Case-Shiller Home Price Index]]*1)/S381)-1)</f>
        <v>2.737547418232289E-4</v>
      </c>
      <c r="U382" s="41">
        <f>IF(Tabela1716[[#This Row],[S&amp;P/Case-Shiller Home Price Index]]="",#N/A,((Tabela1716[[#This Row],[S&amp;P/Case-Shiller Home Price Index]]*1)/S370)-1)</f>
        <v>1.801707705564537E-3</v>
      </c>
      <c r="V382" s="37"/>
      <c r="W382" s="9"/>
      <c r="X382" s="9"/>
    </row>
    <row r="383" spans="1:24" ht="12.75">
      <c r="A383" s="12">
        <v>33848</v>
      </c>
      <c r="B383" s="26">
        <v>8.02</v>
      </c>
      <c r="C383" s="29">
        <v>48</v>
      </c>
      <c r="D383" s="33">
        <v>1114</v>
      </c>
      <c r="E383" s="41">
        <f>IF(Tabela1716[[#This Row],[Building Permits]]="",#N/A,((Tabela1716[[#This Row],[Building Permits]]*1)/D371)-1)</f>
        <v>0.14373716632443534</v>
      </c>
      <c r="F383" s="33">
        <v>638</v>
      </c>
      <c r="G383" s="41">
        <f>IF(Tabela1716[[#This Row],[Houses Under Construction]]="",#N/A,((Tabela1716[[#This Row],[Houses Under Construction]]*1)/F371)-1)</f>
        <v>7.89889415481837E-3</v>
      </c>
      <c r="H383" s="33">
        <v>1186</v>
      </c>
      <c r="I383" s="33">
        <f>IF(Tabela1716[[#This Row],[Housing Starts]]="",#N/A,Tabela1716[[#This Row],[Housing Starts]]-H382)</f>
        <v>-40</v>
      </c>
      <c r="J383" s="41">
        <f>IF(Tabela1716[[#This Row],[Housing Starts]]="",#N/A,((Tabela1716[[#This Row],[Housing Starts]]*1)/H371)-1)</f>
        <v>0.16847290640394097</v>
      </c>
      <c r="K383" s="26"/>
      <c r="L383" s="41"/>
      <c r="M383" s="27"/>
      <c r="N383" s="41"/>
      <c r="O383" s="33">
        <v>650</v>
      </c>
      <c r="P383" s="41">
        <f>IF(Tabela1716[[#This Row],[New House Sales]]="",#N/A,((Tabela1716[[#This Row],[New House Sales]]*1)/O382)-1)</f>
        <v>2.2012578616352307E-2</v>
      </c>
      <c r="Q383" s="41">
        <f>IF(Tabela1716[[#This Row],[New House Sales]]="",#N/A,((Tabela1716[[#This Row],[New House Sales]]*1)/O371)-1)</f>
        <v>0.33470225872689929</v>
      </c>
      <c r="R383" s="27">
        <v>5</v>
      </c>
      <c r="S383" s="86">
        <v>76.628</v>
      </c>
      <c r="T383" s="41">
        <f>IF(Tabela1716[[#This Row],[S&amp;P/Case-Shiller Home Price Index]]="",#N/A,((Tabela1716[[#This Row],[S&amp;P/Case-Shiller Home Price Index]]*1)/S382)-1)</f>
        <v>-1.3553667309597062E-3</v>
      </c>
      <c r="U383" s="41">
        <f>IF(Tabela1716[[#This Row],[S&amp;P/Case-Shiller Home Price Index]]="",#N/A,((Tabela1716[[#This Row],[S&amp;P/Case-Shiller Home Price Index]]*1)/S371)-1)</f>
        <v>7.0520019850084381E-4</v>
      </c>
      <c r="V383" s="39"/>
      <c r="W383" s="9"/>
      <c r="X383" s="9"/>
    </row>
    <row r="384" spans="1:24" ht="12.75">
      <c r="A384" s="12">
        <v>33878</v>
      </c>
      <c r="B384" s="26">
        <v>8.2100000000000009</v>
      </c>
      <c r="C384" s="29">
        <v>50</v>
      </c>
      <c r="D384" s="33">
        <v>1132</v>
      </c>
      <c r="E384" s="41">
        <f>IF(Tabela1716[[#This Row],[Building Permits]]="",#N/A,((Tabela1716[[#This Row],[Building Permits]]*1)/D372)-1)</f>
        <v>0.14228052472250252</v>
      </c>
      <c r="F384" s="33">
        <v>643</v>
      </c>
      <c r="G384" s="41">
        <f>IF(Tabela1716[[#This Row],[Houses Under Construction]]="",#N/A,((Tabela1716[[#This Row],[Houses Under Construction]]*1)/F372)-1)</f>
        <v>2.0634920634920562E-2</v>
      </c>
      <c r="H384" s="33">
        <v>1244</v>
      </c>
      <c r="I384" s="33">
        <f>IF(Tabela1716[[#This Row],[Housing Starts]]="",#N/A,Tabela1716[[#This Row],[Housing Starts]]-H383)</f>
        <v>58</v>
      </c>
      <c r="J384" s="41">
        <f>IF(Tabela1716[[#This Row],[Housing Starts]]="",#N/A,((Tabela1716[[#This Row],[Housing Starts]]*1)/H372)-1)</f>
        <v>0.15291936978683962</v>
      </c>
      <c r="K384" s="26"/>
      <c r="L384" s="41"/>
      <c r="M384" s="27"/>
      <c r="N384" s="41"/>
      <c r="O384" s="33">
        <v>621</v>
      </c>
      <c r="P384" s="41">
        <f>IF(Tabela1716[[#This Row],[New House Sales]]="",#N/A,((Tabela1716[[#This Row],[New House Sales]]*1)/O383)-1)</f>
        <v>-4.4615384615384612E-2</v>
      </c>
      <c r="Q384" s="41">
        <f>IF(Tabela1716[[#This Row],[New House Sales]]="",#N/A,((Tabela1716[[#This Row],[New House Sales]]*1)/O372)-1)</f>
        <v>0.18511450381679384</v>
      </c>
      <c r="R384" s="27">
        <v>5.0999999999999996</v>
      </c>
      <c r="S384" s="86">
        <v>76.597999999999999</v>
      </c>
      <c r="T384" s="41">
        <f>IF(Tabela1716[[#This Row],[S&amp;P/Case-Shiller Home Price Index]]="",#N/A,((Tabela1716[[#This Row],[S&amp;P/Case-Shiller Home Price Index]]*1)/S383)-1)</f>
        <v>-3.9150180090830045E-4</v>
      </c>
      <c r="U384" s="41">
        <f>IF(Tabela1716[[#This Row],[S&amp;P/Case-Shiller Home Price Index]]="",#N/A,((Tabela1716[[#This Row],[S&amp;P/Case-Shiller Home Price Index]]*1)/S372)-1)</f>
        <v>4.0372263730501512E-3</v>
      </c>
      <c r="V384" s="37"/>
      <c r="W384" s="9"/>
      <c r="X384" s="9"/>
    </row>
    <row r="385" spans="1:24" ht="12.75">
      <c r="A385" s="12">
        <v>33909</v>
      </c>
      <c r="B385" s="26">
        <v>8.2899999999999991</v>
      </c>
      <c r="C385" s="29">
        <v>54</v>
      </c>
      <c r="D385" s="33">
        <v>1118</v>
      </c>
      <c r="E385" s="41">
        <f>IF(Tabela1716[[#This Row],[Building Permits]]="",#N/A,((Tabela1716[[#This Row],[Building Permits]]*1)/D373)-1)</f>
        <v>0.13617886178861793</v>
      </c>
      <c r="F385" s="33">
        <v>641</v>
      </c>
      <c r="G385" s="41">
        <f>IF(Tabela1716[[#This Row],[Houses Under Construction]]="",#N/A,((Tabela1716[[#This Row],[Houses Under Construction]]*1)/F373)-1)</f>
        <v>7.8616352201257289E-3</v>
      </c>
      <c r="H385" s="33">
        <v>1214</v>
      </c>
      <c r="I385" s="33">
        <f>IF(Tabela1716[[#This Row],[Housing Starts]]="",#N/A,Tabela1716[[#This Row],[Housing Starts]]-H384)</f>
        <v>-30</v>
      </c>
      <c r="J385" s="41">
        <f>IF(Tabela1716[[#This Row],[Housing Starts]]="",#N/A,((Tabela1716[[#This Row],[Housing Starts]]*1)/H373)-1)</f>
        <v>0.10063463281958285</v>
      </c>
      <c r="K385" s="26"/>
      <c r="L385" s="41"/>
      <c r="M385" s="27"/>
      <c r="N385" s="41"/>
      <c r="O385" s="33">
        <v>614</v>
      </c>
      <c r="P385" s="41">
        <f>IF(Tabela1716[[#This Row],[New House Sales]]="",#N/A,((Tabela1716[[#This Row],[New House Sales]]*1)/O384)-1)</f>
        <v>-1.1272141706924366E-2</v>
      </c>
      <c r="Q385" s="41">
        <f>IF(Tabela1716[[#This Row],[New House Sales]]="",#N/A,((Tabela1716[[#This Row],[New House Sales]]*1)/O373)-1)</f>
        <v>6.7826086956521703E-2</v>
      </c>
      <c r="R385" s="27">
        <v>5.4</v>
      </c>
      <c r="S385" s="86">
        <v>76.578999999999994</v>
      </c>
      <c r="T385" s="41">
        <f>IF(Tabela1716[[#This Row],[S&amp;P/Case-Shiller Home Price Index]]="",#N/A,((Tabela1716[[#This Row],[S&amp;P/Case-Shiller Home Price Index]]*1)/S384)-1)</f>
        <v>-2.480482519126026E-4</v>
      </c>
      <c r="U385" s="41">
        <f>IF(Tabela1716[[#This Row],[S&amp;P/Case-Shiller Home Price Index]]="",#N/A,((Tabela1716[[#This Row],[S&amp;P/Case-Shiller Home Price Index]]*1)/S373)-1)</f>
        <v>7.2075863792397943E-3</v>
      </c>
      <c r="V385" s="39"/>
      <c r="W385" s="9"/>
      <c r="X385" s="9"/>
    </row>
    <row r="386" spans="1:24" ht="12.75">
      <c r="A386" s="12">
        <v>33939</v>
      </c>
      <c r="B386" s="26">
        <v>8.14</v>
      </c>
      <c r="C386" s="29">
        <v>56</v>
      </c>
      <c r="D386" s="33">
        <v>1176</v>
      </c>
      <c r="E386" s="41">
        <f>IF(Tabela1716[[#This Row],[Building Permits]]="",#N/A,((Tabela1716[[#This Row],[Building Permits]]*1)/D374)-1)</f>
        <v>0.10838831291234685</v>
      </c>
      <c r="F386" s="33">
        <v>638</v>
      </c>
      <c r="G386" s="41">
        <f>IF(Tabela1716[[#This Row],[Houses Under Construction]]="",#N/A,((Tabela1716[[#This Row],[Houses Under Construction]]*1)/F374)-1)</f>
        <v>7.89889415481837E-3</v>
      </c>
      <c r="H386" s="33">
        <v>1227</v>
      </c>
      <c r="I386" s="33">
        <f>IF(Tabela1716[[#This Row],[Housing Starts]]="",#N/A,Tabela1716[[#This Row],[Housing Starts]]-H385)</f>
        <v>13</v>
      </c>
      <c r="J386" s="41">
        <f>IF(Tabela1716[[#This Row],[Housing Starts]]="",#N/A,((Tabela1716[[#This Row],[Housing Starts]]*1)/H374)-1)</f>
        <v>0.13716404077849864</v>
      </c>
      <c r="K386" s="26"/>
      <c r="L386" s="41"/>
      <c r="M386" s="27"/>
      <c r="N386" s="41"/>
      <c r="O386" s="33">
        <v>650</v>
      </c>
      <c r="P386" s="41">
        <f>IF(Tabela1716[[#This Row],[New House Sales]]="",#N/A,((Tabela1716[[#This Row],[New House Sales]]*1)/O385)-1)</f>
        <v>5.8631921824104261E-2</v>
      </c>
      <c r="Q386" s="41">
        <f>IF(Tabela1716[[#This Row],[New House Sales]]="",#N/A,((Tabela1716[[#This Row],[New House Sales]]*1)/O374)-1)</f>
        <v>0.16487455197132617</v>
      </c>
      <c r="R386" s="27">
        <v>5</v>
      </c>
      <c r="S386" s="86">
        <v>76.463999999999999</v>
      </c>
      <c r="T386" s="41">
        <f>IF(Tabela1716[[#This Row],[S&amp;P/Case-Shiller Home Price Index]]="",#N/A,((Tabela1716[[#This Row],[S&amp;P/Case-Shiller Home Price Index]]*1)/S385)-1)</f>
        <v>-1.5017171809503793E-3</v>
      </c>
      <c r="U386" s="41">
        <f>IF(Tabela1716[[#This Row],[S&amp;P/Case-Shiller Home Price Index]]="",#N/A,((Tabela1716[[#This Row],[S&amp;P/Case-Shiller Home Price Index]]*1)/S374)-1)</f>
        <v>8.1746743315227466E-3</v>
      </c>
      <c r="V386" s="37"/>
      <c r="W386" s="9"/>
      <c r="X386" s="9"/>
    </row>
    <row r="387" spans="1:24" ht="12.75">
      <c r="A387" s="12">
        <v>33970</v>
      </c>
      <c r="B387" s="26">
        <v>7.86</v>
      </c>
      <c r="C387" s="29">
        <v>55</v>
      </c>
      <c r="D387" s="33">
        <v>1177</v>
      </c>
      <c r="E387" s="41">
        <f>IF(Tabela1716[[#This Row],[Building Permits]]="",#N/A,((Tabela1716[[#This Row],[Building Permits]]*1)/D375)-1)</f>
        <v>9.2850510677808806E-2</v>
      </c>
      <c r="F387" s="33">
        <v>636</v>
      </c>
      <c r="G387" s="41">
        <f>IF(Tabela1716[[#This Row],[Houses Under Construction]]="",#N/A,((Tabela1716[[#This Row],[Houses Under Construction]]*1)/F375)-1)</f>
        <v>-4.6948356807511304E-3</v>
      </c>
      <c r="H387" s="33">
        <v>1210</v>
      </c>
      <c r="I387" s="33">
        <f>IF(Tabela1716[[#This Row],[Housing Starts]]="",#N/A,Tabela1716[[#This Row],[Housing Starts]]-H386)</f>
        <v>-17</v>
      </c>
      <c r="J387" s="41">
        <f>IF(Tabela1716[[#This Row],[Housing Starts]]="",#N/A,((Tabela1716[[#This Row],[Housing Starts]]*1)/H375)-1)</f>
        <v>2.8911564625850428E-2</v>
      </c>
      <c r="K387" s="33">
        <v>458080</v>
      </c>
      <c r="L387" s="41"/>
      <c r="M387" s="27"/>
      <c r="N387" s="41"/>
      <c r="O387" s="33">
        <v>596</v>
      </c>
      <c r="P387" s="41">
        <f>IF(Tabela1716[[#This Row],[New House Sales]]="",#N/A,((Tabela1716[[#This Row],[New House Sales]]*1)/O386)-1)</f>
        <v>-8.3076923076923048E-2</v>
      </c>
      <c r="Q387" s="41">
        <f>IF(Tabela1716[[#This Row],[New House Sales]]="",#N/A,((Tabela1716[[#This Row],[New House Sales]]*1)/O375)-1)</f>
        <v>-0.11834319526627224</v>
      </c>
      <c r="R387" s="27">
        <v>5.4</v>
      </c>
      <c r="S387" s="86">
        <v>76.394999999999996</v>
      </c>
      <c r="T387" s="41">
        <f>IF(Tabela1716[[#This Row],[S&amp;P/Case-Shiller Home Price Index]]="",#N/A,((Tabela1716[[#This Row],[S&amp;P/Case-Shiller Home Price Index]]*1)/S386)-1)</f>
        <v>-9.0238543628373691E-4</v>
      </c>
      <c r="U387" s="41">
        <f>IF(Tabela1716[[#This Row],[S&amp;P/Case-Shiller Home Price Index]]="",#N/A,((Tabela1716[[#This Row],[S&amp;P/Case-Shiller Home Price Index]]*1)/S375)-1)</f>
        <v>9.1809775429325668E-3</v>
      </c>
      <c r="V387" s="39"/>
      <c r="W387" s="9"/>
      <c r="X387" s="9"/>
    </row>
    <row r="388" spans="1:24" ht="12.75">
      <c r="A388" s="12">
        <v>34001</v>
      </c>
      <c r="B388" s="26">
        <v>7.53</v>
      </c>
      <c r="C388" s="29">
        <v>52</v>
      </c>
      <c r="D388" s="33">
        <v>1148</v>
      </c>
      <c r="E388" s="41">
        <f>IF(Tabela1716[[#This Row],[Building Permits]]="",#N/A,((Tabela1716[[#This Row],[Building Permits]]*1)/D376)-1)</f>
        <v>1.7452006980802626E-3</v>
      </c>
      <c r="F388" s="33">
        <v>640</v>
      </c>
      <c r="G388" s="41">
        <f>IF(Tabela1716[[#This Row],[Houses Under Construction]]="",#N/A,((Tabela1716[[#This Row],[Houses Under Construction]]*1)/F376)-1)</f>
        <v>1.5873015873015817E-2</v>
      </c>
      <c r="H388" s="33">
        <v>1210</v>
      </c>
      <c r="I388" s="33">
        <f>IF(Tabela1716[[#This Row],[Housing Starts]]="",#N/A,Tabela1716[[#This Row],[Housing Starts]]-H387)</f>
        <v>0</v>
      </c>
      <c r="J388" s="41">
        <f>IF(Tabela1716[[#This Row],[Housing Starts]]="",#N/A,((Tabela1716[[#This Row],[Housing Starts]]*1)/H376)-1)</f>
        <v>-3.2000000000000028E-2</v>
      </c>
      <c r="K388" s="33">
        <v>462967</v>
      </c>
      <c r="L388" s="41"/>
      <c r="M388" s="27"/>
      <c r="N388" s="41"/>
      <c r="O388" s="33">
        <v>604</v>
      </c>
      <c r="P388" s="41">
        <f>IF(Tabela1716[[#This Row],[New House Sales]]="",#N/A,((Tabela1716[[#This Row],[New House Sales]]*1)/O387)-1)</f>
        <v>1.3422818791946289E-2</v>
      </c>
      <c r="Q388" s="41">
        <f>IF(Tabela1716[[#This Row],[New House Sales]]="",#N/A,((Tabela1716[[#This Row],[New House Sales]]*1)/O376)-1)</f>
        <v>-5.477308294209704E-2</v>
      </c>
      <c r="R388" s="27">
        <v>5.3</v>
      </c>
      <c r="S388" s="86">
        <v>76.326999999999998</v>
      </c>
      <c r="T388" s="41">
        <f>IF(Tabela1716[[#This Row],[S&amp;P/Case-Shiller Home Price Index]]="",#N/A,((Tabela1716[[#This Row],[S&amp;P/Case-Shiller Home Price Index]]*1)/S387)-1)</f>
        <v>-8.901106093330835E-4</v>
      </c>
      <c r="U388" s="41">
        <f>IF(Tabela1716[[#This Row],[S&amp;P/Case-Shiller Home Price Index]]="",#N/A,((Tabela1716[[#This Row],[S&amp;P/Case-Shiller Home Price Index]]*1)/S376)-1)</f>
        <v>8.8824268058951272E-3</v>
      </c>
      <c r="V388" s="37"/>
      <c r="W388" s="9"/>
      <c r="X388" s="9"/>
    </row>
    <row r="389" spans="1:24" ht="12.75">
      <c r="A389" s="12">
        <v>34029</v>
      </c>
      <c r="B389" s="26">
        <v>7.5</v>
      </c>
      <c r="C389" s="29">
        <v>53</v>
      </c>
      <c r="D389" s="33">
        <v>1056</v>
      </c>
      <c r="E389" s="41">
        <f>IF(Tabela1716[[#This Row],[Building Permits]]="",#N/A,((Tabela1716[[#This Row],[Building Permits]]*1)/D377)-1)</f>
        <v>-2.4029574861367808E-2</v>
      </c>
      <c r="F389" s="33">
        <v>633</v>
      </c>
      <c r="G389" s="41">
        <f>IF(Tabela1716[[#This Row],[Houses Under Construction]]="",#N/A,((Tabela1716[[#This Row],[Houses Under Construction]]*1)/F377)-1)</f>
        <v>-3.5060975609756073E-2</v>
      </c>
      <c r="H389" s="33">
        <v>1083</v>
      </c>
      <c r="I389" s="33">
        <f>IF(Tabela1716[[#This Row],[Housing Starts]]="",#N/A,Tabela1716[[#This Row],[Housing Starts]]-H388)</f>
        <v>-127</v>
      </c>
      <c r="J389" s="41">
        <f>IF(Tabela1716[[#This Row],[Housing Starts]]="",#N/A,((Tabela1716[[#This Row],[Housing Starts]]*1)/H377)-1)</f>
        <v>-0.16499614494988435</v>
      </c>
      <c r="K389" s="33">
        <v>458399</v>
      </c>
      <c r="L389" s="41"/>
      <c r="M389" s="27"/>
      <c r="N389" s="41"/>
      <c r="O389" s="33">
        <v>602</v>
      </c>
      <c r="P389" s="41">
        <f>IF(Tabela1716[[#This Row],[New House Sales]]="",#N/A,((Tabela1716[[#This Row],[New House Sales]]*1)/O388)-1)</f>
        <v>-3.3112582781457123E-3</v>
      </c>
      <c r="Q389" s="41">
        <f>IF(Tabela1716[[#This Row],[New House Sales]]="",#N/A,((Tabela1716[[#This Row],[New House Sales]]*1)/O377)-1)</f>
        <v>8.8607594936708889E-2</v>
      </c>
      <c r="R389" s="27">
        <v>5.4</v>
      </c>
      <c r="S389" s="86">
        <v>76.382000000000005</v>
      </c>
      <c r="T389" s="41">
        <f>IF(Tabela1716[[#This Row],[S&amp;P/Case-Shiller Home Price Index]]="",#N/A,((Tabela1716[[#This Row],[S&amp;P/Case-Shiller Home Price Index]]*1)/S388)-1)</f>
        <v>7.2058380389639076E-4</v>
      </c>
      <c r="U389" s="41">
        <f>IF(Tabela1716[[#This Row],[S&amp;P/Case-Shiller Home Price Index]]="",#N/A,((Tabela1716[[#This Row],[S&amp;P/Case-Shiller Home Price Index]]*1)/S377)-1)</f>
        <v>7.492019943546202E-3</v>
      </c>
      <c r="V389" s="39"/>
      <c r="W389" s="9"/>
      <c r="X389" s="9"/>
    </row>
    <row r="390" spans="1:24" ht="12.75">
      <c r="A390" s="12">
        <v>34060</v>
      </c>
      <c r="B390" s="26">
        <v>7.43</v>
      </c>
      <c r="C390" s="29">
        <v>52</v>
      </c>
      <c r="D390" s="33">
        <v>1104</v>
      </c>
      <c r="E390" s="41">
        <f>IF(Tabela1716[[#This Row],[Building Permits]]="",#N/A,((Tabela1716[[#This Row],[Building Permits]]*1)/D378)-1)</f>
        <v>4.743833017077792E-2</v>
      </c>
      <c r="F390" s="33">
        <v>636</v>
      </c>
      <c r="G390" s="41">
        <f>IF(Tabela1716[[#This Row],[Houses Under Construction]]="",#N/A,((Tabela1716[[#This Row],[Houses Under Construction]]*1)/F378)-1)</f>
        <v>-2.1538461538461506E-2</v>
      </c>
      <c r="H390" s="33">
        <v>1258</v>
      </c>
      <c r="I390" s="33">
        <f>IF(Tabela1716[[#This Row],[Housing Starts]]="",#N/A,Tabela1716[[#This Row],[Housing Starts]]-H389)</f>
        <v>175</v>
      </c>
      <c r="J390" s="41">
        <f>IF(Tabela1716[[#This Row],[Housing Starts]]="",#N/A,((Tabela1716[[#This Row],[Housing Starts]]*1)/H378)-1)</f>
        <v>0.14467697907188359</v>
      </c>
      <c r="K390" s="33">
        <v>469425</v>
      </c>
      <c r="L390" s="41"/>
      <c r="M390" s="27"/>
      <c r="N390" s="41"/>
      <c r="O390" s="33">
        <v>701</v>
      </c>
      <c r="P390" s="41">
        <f>IF(Tabela1716[[#This Row],[New House Sales]]="",#N/A,((Tabela1716[[#This Row],[New House Sales]]*1)/O389)-1)</f>
        <v>0.16445182724252483</v>
      </c>
      <c r="Q390" s="41">
        <f>IF(Tabela1716[[#This Row],[New House Sales]]="",#N/A,((Tabela1716[[#This Row],[New House Sales]]*1)/O378)-1)</f>
        <v>0.28388278388278398</v>
      </c>
      <c r="R390" s="27">
        <v>4.7</v>
      </c>
      <c r="S390" s="86">
        <v>76.66</v>
      </c>
      <c r="T390" s="41">
        <f>IF(Tabela1716[[#This Row],[S&amp;P/Case-Shiller Home Price Index]]="",#N/A,((Tabela1716[[#This Row],[S&amp;P/Case-Shiller Home Price Index]]*1)/S389)-1)</f>
        <v>3.6396009531041162E-3</v>
      </c>
      <c r="U390" s="41">
        <f>IF(Tabela1716[[#This Row],[S&amp;P/Case-Shiller Home Price Index]]="",#N/A,((Tabela1716[[#This Row],[S&amp;P/Case-Shiller Home Price Index]]*1)/S378)-1)</f>
        <v>7.6235541535225604E-3</v>
      </c>
      <c r="V390" s="37"/>
      <c r="W390" s="9"/>
      <c r="X390" s="9"/>
    </row>
    <row r="391" spans="1:24" ht="12.75">
      <c r="A391" s="12">
        <v>34090</v>
      </c>
      <c r="B391" s="26">
        <v>7.5</v>
      </c>
      <c r="C391" s="29">
        <v>51</v>
      </c>
      <c r="D391" s="33">
        <v>1112</v>
      </c>
      <c r="E391" s="41">
        <f>IF(Tabela1716[[#This Row],[Building Permits]]="",#N/A,((Tabela1716[[#This Row],[Building Permits]]*1)/D379)-1)</f>
        <v>5.3030303030302983E-2</v>
      </c>
      <c r="F391" s="33">
        <v>648</v>
      </c>
      <c r="G391" s="41">
        <f>IF(Tabela1716[[#This Row],[Houses Under Construction]]="",#N/A,((Tabela1716[[#This Row],[Houses Under Construction]]*1)/F379)-1)</f>
        <v>-3.0769230769230882E-3</v>
      </c>
      <c r="H391" s="33">
        <v>1260</v>
      </c>
      <c r="I391" s="33">
        <f>IF(Tabela1716[[#This Row],[Housing Starts]]="",#N/A,Tabela1716[[#This Row],[Housing Starts]]-H390)</f>
        <v>2</v>
      </c>
      <c r="J391" s="41">
        <f>IF(Tabela1716[[#This Row],[Housing Starts]]="",#N/A,((Tabela1716[[#This Row],[Housing Starts]]*1)/H379)-1)</f>
        <v>3.7891268533772671E-2</v>
      </c>
      <c r="K391" s="33">
        <v>468998</v>
      </c>
      <c r="L391" s="41"/>
      <c r="M391" s="27"/>
      <c r="N391" s="41"/>
      <c r="O391" s="33">
        <v>626</v>
      </c>
      <c r="P391" s="41">
        <f>IF(Tabela1716[[#This Row],[New House Sales]]="",#N/A,((Tabela1716[[#This Row],[New House Sales]]*1)/O390)-1)</f>
        <v>-0.10699001426533528</v>
      </c>
      <c r="Q391" s="41">
        <f>IF(Tabela1716[[#This Row],[New House Sales]]="",#N/A,((Tabela1716[[#This Row],[New House Sales]]*1)/O379)-1)</f>
        <v>0.12996389891696758</v>
      </c>
      <c r="R391" s="27">
        <v>5.3</v>
      </c>
      <c r="S391" s="86">
        <v>77.03</v>
      </c>
      <c r="T391" s="41">
        <f>IF(Tabela1716[[#This Row],[S&amp;P/Case-Shiller Home Price Index]]="",#N/A,((Tabela1716[[#This Row],[S&amp;P/Case-Shiller Home Price Index]]*1)/S390)-1)</f>
        <v>4.8265066527524159E-3</v>
      </c>
      <c r="U391" s="41">
        <f>IF(Tabela1716[[#This Row],[S&amp;P/Case-Shiller Home Price Index]]="",#N/A,((Tabela1716[[#This Row],[S&amp;P/Case-Shiller Home Price Index]]*1)/S379)-1)</f>
        <v>8.2724678656509454E-3</v>
      </c>
      <c r="V391" s="39"/>
      <c r="W391" s="9"/>
      <c r="X391" s="9"/>
    </row>
    <row r="392" spans="1:24" ht="12.75">
      <c r="A392" s="12">
        <v>34121</v>
      </c>
      <c r="B392" s="26">
        <v>7.34</v>
      </c>
      <c r="C392" s="29">
        <v>53</v>
      </c>
      <c r="D392" s="33">
        <v>1130</v>
      </c>
      <c r="E392" s="41">
        <f>IF(Tabela1716[[#This Row],[Building Permits]]="",#N/A,((Tabela1716[[#This Row],[Building Permits]]*1)/D380)-1)</f>
        <v>6.9063386944181682E-2</v>
      </c>
      <c r="F392" s="33">
        <v>654</v>
      </c>
      <c r="G392" s="41">
        <f>IF(Tabela1716[[#This Row],[Houses Under Construction]]="",#N/A,((Tabela1716[[#This Row],[Houses Under Construction]]*1)/F380)-1)</f>
        <v>1.552795031055898E-2</v>
      </c>
      <c r="H392" s="33">
        <v>1280</v>
      </c>
      <c r="I392" s="33">
        <f>IF(Tabela1716[[#This Row],[Housing Starts]]="",#N/A,Tabela1716[[#This Row],[Housing Starts]]-H391)</f>
        <v>20</v>
      </c>
      <c r="J392" s="41">
        <f>IF(Tabela1716[[#This Row],[Housing Starts]]="",#N/A,((Tabela1716[[#This Row],[Housing Starts]]*1)/H380)-1)</f>
        <v>0.11790393013100431</v>
      </c>
      <c r="K392" s="33">
        <v>480247</v>
      </c>
      <c r="L392" s="41"/>
      <c r="M392" s="27"/>
      <c r="N392" s="41"/>
      <c r="O392" s="33">
        <v>653</v>
      </c>
      <c r="P392" s="41">
        <f>IF(Tabela1716[[#This Row],[New House Sales]]="",#N/A,((Tabela1716[[#This Row],[New House Sales]]*1)/O391)-1)</f>
        <v>4.3130990415335413E-2</v>
      </c>
      <c r="Q392" s="41">
        <f>IF(Tabela1716[[#This Row],[New House Sales]]="",#N/A,((Tabela1716[[#This Row],[New House Sales]]*1)/O380)-1)</f>
        <v>9.5637583892617339E-2</v>
      </c>
      <c r="R392" s="27">
        <v>5.2</v>
      </c>
      <c r="S392" s="86">
        <v>77.516000000000005</v>
      </c>
      <c r="T392" s="41">
        <f>IF(Tabela1716[[#This Row],[S&amp;P/Case-Shiller Home Price Index]]="",#N/A,((Tabela1716[[#This Row],[S&amp;P/Case-Shiller Home Price Index]]*1)/S391)-1)</f>
        <v>6.3092301700635733E-3</v>
      </c>
      <c r="U392" s="41">
        <f>IF(Tabela1716[[#This Row],[S&amp;P/Case-Shiller Home Price Index]]="",#N/A,((Tabela1716[[#This Row],[S&amp;P/Case-Shiller Home Price Index]]*1)/S380)-1)</f>
        <v>1.1931803347171144E-2</v>
      </c>
      <c r="V392" s="37"/>
      <c r="W392" s="9"/>
      <c r="X392" s="9"/>
    </row>
    <row r="393" spans="1:24" ht="12.75">
      <c r="A393" s="12">
        <v>34151</v>
      </c>
      <c r="B393" s="26">
        <v>7.25</v>
      </c>
      <c r="C393" s="29">
        <v>57</v>
      </c>
      <c r="D393" s="33">
        <v>1174</v>
      </c>
      <c r="E393" s="41">
        <f>IF(Tabela1716[[#This Row],[Building Permits]]="",#N/A,((Tabela1716[[#This Row],[Building Permits]]*1)/D381)-1)</f>
        <v>7.8053259871441627E-2</v>
      </c>
      <c r="F393" s="33">
        <v>663</v>
      </c>
      <c r="G393" s="41">
        <f>IF(Tabela1716[[#This Row],[Houses Under Construction]]="",#N/A,((Tabela1716[[#This Row],[Houses Under Construction]]*1)/F381)-1)</f>
        <v>5.4054054054053946E-2</v>
      </c>
      <c r="H393" s="33">
        <v>1254</v>
      </c>
      <c r="I393" s="33">
        <f>IF(Tabela1716[[#This Row],[Housing Starts]]="",#N/A,Tabela1716[[#This Row],[Housing Starts]]-H392)</f>
        <v>-26</v>
      </c>
      <c r="J393" s="41">
        <f>IF(Tabela1716[[#This Row],[Housing Starts]]="",#N/A,((Tabela1716[[#This Row],[Housing Starts]]*1)/H381)-1)</f>
        <v>0.10096575943810371</v>
      </c>
      <c r="K393" s="33">
        <v>483571</v>
      </c>
      <c r="L393" s="41"/>
      <c r="M393" s="27"/>
      <c r="N393" s="41"/>
      <c r="O393" s="33">
        <v>655</v>
      </c>
      <c r="P393" s="41">
        <f>IF(Tabela1716[[#This Row],[New House Sales]]="",#N/A,((Tabela1716[[#This Row],[New House Sales]]*1)/O392)-1)</f>
        <v>3.0627871362940429E-3</v>
      </c>
      <c r="Q393" s="41">
        <f>IF(Tabela1716[[#This Row],[New House Sales]]="",#N/A,((Tabela1716[[#This Row],[New House Sales]]*1)/O381)-1)</f>
        <v>4.4657097288676173E-2</v>
      </c>
      <c r="R393" s="27">
        <v>5.3</v>
      </c>
      <c r="S393" s="86">
        <v>77.885000000000005</v>
      </c>
      <c r="T393" s="41">
        <f>IF(Tabela1716[[#This Row],[S&amp;P/Case-Shiller Home Price Index]]="",#N/A,((Tabela1716[[#This Row],[S&amp;P/Case-Shiller Home Price Index]]*1)/S392)-1)</f>
        <v>4.7603075494091485E-3</v>
      </c>
      <c r="U393" s="41">
        <f>IF(Tabela1716[[#This Row],[S&amp;P/Case-Shiller Home Price Index]]="",#N/A,((Tabela1716[[#This Row],[S&amp;P/Case-Shiller Home Price Index]]*1)/S381)-1)</f>
        <v>1.5304193661926035E-2</v>
      </c>
      <c r="V393" s="39"/>
      <c r="W393" s="9"/>
      <c r="X393" s="9"/>
    </row>
    <row r="394" spans="1:24" ht="12.75">
      <c r="A394" s="12">
        <v>34182</v>
      </c>
      <c r="B394" s="26">
        <v>6.97</v>
      </c>
      <c r="C394" s="29">
        <v>60</v>
      </c>
      <c r="D394" s="33">
        <v>1230</v>
      </c>
      <c r="E394" s="41">
        <f>IF(Tabela1716[[#This Row],[Building Permits]]="",#N/A,((Tabela1716[[#This Row],[Building Permits]]*1)/D382)-1)</f>
        <v>0.14418604651162781</v>
      </c>
      <c r="F394" s="33">
        <v>665</v>
      </c>
      <c r="G394" s="41">
        <f>IF(Tabela1716[[#This Row],[Houses Under Construction]]="",#N/A,((Tabela1716[[#This Row],[Houses Under Construction]]*1)/F382)-1)</f>
        <v>4.7244094488188892E-2</v>
      </c>
      <c r="H394" s="33">
        <v>1300</v>
      </c>
      <c r="I394" s="33">
        <f>IF(Tabela1716[[#This Row],[Housing Starts]]="",#N/A,Tabela1716[[#This Row],[Housing Starts]]-H393)</f>
        <v>46</v>
      </c>
      <c r="J394" s="41">
        <f>IF(Tabela1716[[#This Row],[Housing Starts]]="",#N/A,((Tabela1716[[#This Row],[Housing Starts]]*1)/H382)-1)</f>
        <v>6.0358890701468271E-2</v>
      </c>
      <c r="K394" s="33">
        <v>491494</v>
      </c>
      <c r="L394" s="41"/>
      <c r="M394" s="27"/>
      <c r="N394" s="41"/>
      <c r="O394" s="33">
        <v>645</v>
      </c>
      <c r="P394" s="41">
        <f>IF(Tabela1716[[#This Row],[New House Sales]]="",#N/A,((Tabela1716[[#This Row],[New House Sales]]*1)/O393)-1)</f>
        <v>-1.5267175572519109E-2</v>
      </c>
      <c r="Q394" s="41">
        <f>IF(Tabela1716[[#This Row],[New House Sales]]="",#N/A,((Tabela1716[[#This Row],[New House Sales]]*1)/O382)-1)</f>
        <v>1.4150943396226356E-2</v>
      </c>
      <c r="R394" s="27">
        <v>5.5</v>
      </c>
      <c r="S394" s="86">
        <v>78.131</v>
      </c>
      <c r="T394" s="41">
        <f>IF(Tabela1716[[#This Row],[S&amp;P/Case-Shiller Home Price Index]]="",#N/A,((Tabela1716[[#This Row],[S&amp;P/Case-Shiller Home Price Index]]*1)/S393)-1)</f>
        <v>3.1585029209730831E-3</v>
      </c>
      <c r="U394" s="41">
        <f>IF(Tabela1716[[#This Row],[S&amp;P/Case-Shiller Home Price Index]]="",#N/A,((Tabela1716[[#This Row],[S&amp;P/Case-Shiller Home Price Index]]*1)/S382)-1)</f>
        <v>1.8232289005890578E-2</v>
      </c>
      <c r="V394" s="37"/>
      <c r="W394" s="9"/>
      <c r="X394" s="9"/>
    </row>
    <row r="395" spans="1:24" ht="12.75">
      <c r="A395" s="12">
        <v>34213</v>
      </c>
      <c r="B395" s="26">
        <v>6.95</v>
      </c>
      <c r="C395" s="29">
        <v>62</v>
      </c>
      <c r="D395" s="33">
        <v>1251</v>
      </c>
      <c r="E395" s="41">
        <f>IF(Tabela1716[[#This Row],[Building Permits]]="",#N/A,((Tabela1716[[#This Row],[Building Permits]]*1)/D383)-1)</f>
        <v>0.12298025134649904</v>
      </c>
      <c r="F395" s="33">
        <v>677</v>
      </c>
      <c r="G395" s="41">
        <f>IF(Tabela1716[[#This Row],[Houses Under Construction]]="",#N/A,((Tabela1716[[#This Row],[Houses Under Construction]]*1)/F383)-1)</f>
        <v>6.1128526645767955E-2</v>
      </c>
      <c r="H395" s="33">
        <v>1343</v>
      </c>
      <c r="I395" s="33">
        <f>IF(Tabela1716[[#This Row],[Housing Starts]]="",#N/A,Tabela1716[[#This Row],[Housing Starts]]-H394)</f>
        <v>43</v>
      </c>
      <c r="J395" s="41">
        <f>IF(Tabela1716[[#This Row],[Housing Starts]]="",#N/A,((Tabela1716[[#This Row],[Housing Starts]]*1)/H383)-1)</f>
        <v>0.13237774030354132</v>
      </c>
      <c r="K395" s="33">
        <v>497297</v>
      </c>
      <c r="L395" s="41"/>
      <c r="M395" s="27"/>
      <c r="N395" s="41"/>
      <c r="O395" s="33">
        <v>726</v>
      </c>
      <c r="P395" s="41">
        <f>IF(Tabela1716[[#This Row],[New House Sales]]="",#N/A,((Tabela1716[[#This Row],[New House Sales]]*1)/O394)-1)</f>
        <v>0.12558139534883717</v>
      </c>
      <c r="Q395" s="41">
        <f>IF(Tabela1716[[#This Row],[New House Sales]]="",#N/A,((Tabela1716[[#This Row],[New House Sales]]*1)/O383)-1)</f>
        <v>0.11692307692307691</v>
      </c>
      <c r="R395" s="27">
        <v>4.9000000000000004</v>
      </c>
      <c r="S395" s="86">
        <v>78.198000000000008</v>
      </c>
      <c r="T395" s="41">
        <f>IF(Tabela1716[[#This Row],[S&amp;P/Case-Shiller Home Price Index]]="",#N/A,((Tabela1716[[#This Row],[S&amp;P/Case-Shiller Home Price Index]]*1)/S394)-1)</f>
        <v>8.5753414137812456E-4</v>
      </c>
      <c r="U395" s="41">
        <f>IF(Tabela1716[[#This Row],[S&amp;P/Case-Shiller Home Price Index]]="",#N/A,((Tabela1716[[#This Row],[S&amp;P/Case-Shiller Home Price Index]]*1)/S383)-1)</f>
        <v>2.0488594247533687E-2</v>
      </c>
      <c r="V395" s="39"/>
      <c r="W395" s="9"/>
      <c r="X395" s="9"/>
    </row>
    <row r="396" spans="1:24" ht="12.75">
      <c r="A396" s="12">
        <v>34243</v>
      </c>
      <c r="B396" s="26">
        <v>6.86</v>
      </c>
      <c r="C396" s="29">
        <v>66</v>
      </c>
      <c r="D396" s="33">
        <v>1287</v>
      </c>
      <c r="E396" s="41">
        <f>IF(Tabela1716[[#This Row],[Building Permits]]="",#N/A,((Tabela1716[[#This Row],[Building Permits]]*1)/D384)-1)</f>
        <v>0.13692579505300362</v>
      </c>
      <c r="F396" s="33">
        <v>687</v>
      </c>
      <c r="G396" s="41">
        <f>IF(Tabela1716[[#This Row],[Houses Under Construction]]="",#N/A,((Tabela1716[[#This Row],[Houses Under Construction]]*1)/F384)-1)</f>
        <v>6.8429237947122967E-2</v>
      </c>
      <c r="H396" s="33">
        <v>1392</v>
      </c>
      <c r="I396" s="33">
        <f>IF(Tabela1716[[#This Row],[Housing Starts]]="",#N/A,Tabela1716[[#This Row],[Housing Starts]]-H395)</f>
        <v>49</v>
      </c>
      <c r="J396" s="41">
        <f>IF(Tabela1716[[#This Row],[Housing Starts]]="",#N/A,((Tabela1716[[#This Row],[Housing Starts]]*1)/H384)-1)</f>
        <v>0.11897106109324751</v>
      </c>
      <c r="K396" s="33">
        <v>492823</v>
      </c>
      <c r="L396" s="41"/>
      <c r="M396" s="27"/>
      <c r="N396" s="41"/>
      <c r="O396" s="33">
        <v>704</v>
      </c>
      <c r="P396" s="41">
        <f>IF(Tabela1716[[#This Row],[New House Sales]]="",#N/A,((Tabela1716[[#This Row],[New House Sales]]*1)/O395)-1)</f>
        <v>-3.0303030303030276E-2</v>
      </c>
      <c r="Q396" s="41">
        <f>IF(Tabela1716[[#This Row],[New House Sales]]="",#N/A,((Tabela1716[[#This Row],[New House Sales]]*1)/O384)-1)</f>
        <v>0.13365539452495967</v>
      </c>
      <c r="R396" s="27">
        <v>5</v>
      </c>
      <c r="S396" s="86">
        <v>78.171999999999997</v>
      </c>
      <c r="T396" s="41">
        <f>IF(Tabela1716[[#This Row],[S&amp;P/Case-Shiller Home Price Index]]="",#N/A,((Tabela1716[[#This Row],[S&amp;P/Case-Shiller Home Price Index]]*1)/S395)-1)</f>
        <v>-3.3248932197771364E-4</v>
      </c>
      <c r="U396" s="41">
        <f>IF(Tabela1716[[#This Row],[S&amp;P/Case-Shiller Home Price Index]]="",#N/A,((Tabela1716[[#This Row],[S&amp;P/Case-Shiller Home Price Index]]*1)/S384)-1)</f>
        <v>2.0548839395284402E-2</v>
      </c>
      <c r="V396" s="37"/>
      <c r="W396" s="9"/>
      <c r="X396" s="9"/>
    </row>
    <row r="397" spans="1:24" ht="12.75">
      <c r="A397" s="12">
        <v>34274</v>
      </c>
      <c r="B397" s="26">
        <v>7.31</v>
      </c>
      <c r="C397" s="29">
        <v>71</v>
      </c>
      <c r="D397" s="33">
        <v>1357</v>
      </c>
      <c r="E397" s="41">
        <f>IF(Tabela1716[[#This Row],[Building Permits]]="",#N/A,((Tabela1716[[#This Row],[Building Permits]]*1)/D385)-1)</f>
        <v>0.21377459749552763</v>
      </c>
      <c r="F397" s="33">
        <v>695</v>
      </c>
      <c r="G397" s="41">
        <f>IF(Tabela1716[[#This Row],[Houses Under Construction]]="",#N/A,((Tabela1716[[#This Row],[Houses Under Construction]]*1)/F385)-1)</f>
        <v>8.4243369734789297E-2</v>
      </c>
      <c r="H397" s="33">
        <v>1376</v>
      </c>
      <c r="I397" s="33">
        <f>IF(Tabela1716[[#This Row],[Housing Starts]]="",#N/A,Tabela1716[[#This Row],[Housing Starts]]-H396)</f>
        <v>-16</v>
      </c>
      <c r="J397" s="41">
        <f>IF(Tabela1716[[#This Row],[Housing Starts]]="",#N/A,((Tabela1716[[#This Row],[Housing Starts]]*1)/H385)-1)</f>
        <v>0.13344316309719928</v>
      </c>
      <c r="K397" s="33">
        <v>515934</v>
      </c>
      <c r="L397" s="41"/>
      <c r="M397" s="27"/>
      <c r="N397" s="41"/>
      <c r="O397" s="33">
        <v>769</v>
      </c>
      <c r="P397" s="41">
        <f>IF(Tabela1716[[#This Row],[New House Sales]]="",#N/A,((Tabela1716[[#This Row],[New House Sales]]*1)/O396)-1)</f>
        <v>9.2329545454545414E-2</v>
      </c>
      <c r="Q397" s="41">
        <f>IF(Tabela1716[[#This Row],[New House Sales]]="",#N/A,((Tabela1716[[#This Row],[New House Sales]]*1)/O385)-1)</f>
        <v>0.2524429967426709</v>
      </c>
      <c r="R397" s="27">
        <v>4.8</v>
      </c>
      <c r="S397" s="86">
        <v>78.17</v>
      </c>
      <c r="T397" s="41">
        <f>IF(Tabela1716[[#This Row],[S&amp;P/Case-Shiller Home Price Index]]="",#N/A,((Tabela1716[[#This Row],[S&amp;P/Case-Shiller Home Price Index]]*1)/S396)-1)</f>
        <v>-2.5584608299600298E-5</v>
      </c>
      <c r="U397" s="41">
        <f>IF(Tabela1716[[#This Row],[S&amp;P/Case-Shiller Home Price Index]]="",#N/A,((Tabela1716[[#This Row],[S&amp;P/Case-Shiller Home Price Index]]*1)/S385)-1)</f>
        <v>2.0775930738192061E-2</v>
      </c>
      <c r="V397" s="39"/>
      <c r="W397" s="9"/>
      <c r="X397" s="9"/>
    </row>
    <row r="398" spans="1:24" ht="12.75">
      <c r="A398" s="12">
        <v>34304</v>
      </c>
      <c r="B398" s="26">
        <v>7.13</v>
      </c>
      <c r="C398" s="29">
        <v>71</v>
      </c>
      <c r="D398" s="33">
        <v>1461</v>
      </c>
      <c r="E398" s="41">
        <f>IF(Tabela1716[[#This Row],[Building Permits]]="",#N/A,((Tabela1716[[#This Row],[Building Permits]]*1)/D386)-1)</f>
        <v>0.24234693877551017</v>
      </c>
      <c r="F398" s="33">
        <v>703</v>
      </c>
      <c r="G398" s="41">
        <f>IF(Tabela1716[[#This Row],[Houses Under Construction]]="",#N/A,((Tabela1716[[#This Row],[Houses Under Construction]]*1)/F386)-1)</f>
        <v>0.10188087774294674</v>
      </c>
      <c r="H398" s="33">
        <v>1533</v>
      </c>
      <c r="I398" s="33">
        <f>IF(Tabela1716[[#This Row],[Housing Starts]]="",#N/A,Tabela1716[[#This Row],[Housing Starts]]-H397)</f>
        <v>157</v>
      </c>
      <c r="J398" s="41">
        <f>IF(Tabela1716[[#This Row],[Housing Starts]]="",#N/A,((Tabela1716[[#This Row],[Housing Starts]]*1)/H386)-1)</f>
        <v>0.24938875305623465</v>
      </c>
      <c r="K398" s="33">
        <v>533150</v>
      </c>
      <c r="L398" s="41"/>
      <c r="M398" s="27"/>
      <c r="N398" s="41"/>
      <c r="O398" s="33">
        <v>812</v>
      </c>
      <c r="P398" s="41">
        <f>IF(Tabela1716[[#This Row],[New House Sales]]="",#N/A,((Tabela1716[[#This Row],[New House Sales]]*1)/O397)-1)</f>
        <v>5.5916775032509802E-2</v>
      </c>
      <c r="Q398" s="41">
        <f>IF(Tabela1716[[#This Row],[New House Sales]]="",#N/A,((Tabela1716[[#This Row],[New House Sales]]*1)/O386)-1)</f>
        <v>0.24923076923076914</v>
      </c>
      <c r="R398" s="27">
        <v>4.5</v>
      </c>
      <c r="S398" s="86">
        <v>78.113</v>
      </c>
      <c r="T398" s="41">
        <f>IF(Tabela1716[[#This Row],[S&amp;P/Case-Shiller Home Price Index]]="",#N/A,((Tabela1716[[#This Row],[S&amp;P/Case-Shiller Home Price Index]]*1)/S397)-1)</f>
        <v>-7.2917999232446906E-4</v>
      </c>
      <c r="U398" s="41">
        <f>IF(Tabela1716[[#This Row],[S&amp;P/Case-Shiller Home Price Index]]="",#N/A,((Tabela1716[[#This Row],[S&amp;P/Case-Shiller Home Price Index]]*1)/S386)-1)</f>
        <v>2.1565704122201268E-2</v>
      </c>
      <c r="V398" s="37"/>
      <c r="W398" s="9"/>
      <c r="X398" s="9"/>
    </row>
    <row r="399" spans="1:24" ht="12.75">
      <c r="A399" s="12">
        <v>34335</v>
      </c>
      <c r="B399" s="26">
        <v>6.97</v>
      </c>
      <c r="C399" s="29">
        <v>70</v>
      </c>
      <c r="D399" s="33">
        <v>1390</v>
      </c>
      <c r="E399" s="41">
        <f>IF(Tabela1716[[#This Row],[Building Permits]]="",#N/A,((Tabela1716[[#This Row],[Building Permits]]*1)/D387)-1)</f>
        <v>0.18096856414613427</v>
      </c>
      <c r="F399" s="33">
        <v>709</v>
      </c>
      <c r="G399" s="41">
        <f>IF(Tabela1716[[#This Row],[Houses Under Construction]]="",#N/A,((Tabela1716[[#This Row],[Houses Under Construction]]*1)/F387)-1)</f>
        <v>0.1147798742138364</v>
      </c>
      <c r="H399" s="33">
        <v>1272</v>
      </c>
      <c r="I399" s="33">
        <f>IF(Tabela1716[[#This Row],[Housing Starts]]="",#N/A,Tabela1716[[#This Row],[Housing Starts]]-H398)</f>
        <v>-261</v>
      </c>
      <c r="J399" s="41">
        <f>IF(Tabela1716[[#This Row],[Housing Starts]]="",#N/A,((Tabela1716[[#This Row],[Housing Starts]]*1)/H387)-1)</f>
        <v>5.123966942148761E-2</v>
      </c>
      <c r="K399" s="33">
        <v>513314</v>
      </c>
      <c r="L399" s="41">
        <f>IF(Tabela1716[[#This Row],[Total Construction Spending]]="",#N/A,((Tabela1716[[#This Row],[Total Construction Spending]]*1)/K387)-1)</f>
        <v>0.12057719175689829</v>
      </c>
      <c r="M399" s="27"/>
      <c r="N399" s="41"/>
      <c r="O399" s="33">
        <v>619</v>
      </c>
      <c r="P399" s="41">
        <f>IF(Tabela1716[[#This Row],[New House Sales]]="",#N/A,((Tabela1716[[#This Row],[New House Sales]]*1)/O398)-1)</f>
        <v>-0.23768472906403937</v>
      </c>
      <c r="Q399" s="41">
        <f>IF(Tabela1716[[#This Row],[New House Sales]]="",#N/A,((Tabela1716[[#This Row],[New House Sales]]*1)/O387)-1)</f>
        <v>3.8590604026845554E-2</v>
      </c>
      <c r="R399" s="27">
        <v>5.9</v>
      </c>
      <c r="S399" s="86">
        <v>78.198000000000008</v>
      </c>
      <c r="T399" s="41">
        <f>IF(Tabela1716[[#This Row],[S&amp;P/Case-Shiller Home Price Index]]="",#N/A,((Tabela1716[[#This Row],[S&amp;P/Case-Shiller Home Price Index]]*1)/S398)-1)</f>
        <v>1.0881671424731731E-3</v>
      </c>
      <c r="U399" s="41">
        <f>IF(Tabela1716[[#This Row],[S&amp;P/Case-Shiller Home Price Index]]="",#N/A,((Tabela1716[[#This Row],[S&amp;P/Case-Shiller Home Price Index]]*1)/S387)-1)</f>
        <v>2.3601021009228562E-2</v>
      </c>
      <c r="V399" s="39"/>
      <c r="W399" s="9"/>
      <c r="X399" s="9"/>
    </row>
    <row r="400" spans="1:24" ht="12.75">
      <c r="A400" s="12">
        <v>34366</v>
      </c>
      <c r="B400" s="26">
        <v>7.32</v>
      </c>
      <c r="C400" s="29">
        <v>64</v>
      </c>
      <c r="D400" s="33">
        <v>1269</v>
      </c>
      <c r="E400" s="41">
        <f>IF(Tabela1716[[#This Row],[Building Permits]]="",#N/A,((Tabela1716[[#This Row],[Building Permits]]*1)/D388)-1)</f>
        <v>0.10540069686411146</v>
      </c>
      <c r="F400" s="33">
        <v>716</v>
      </c>
      <c r="G400" s="41">
        <f>IF(Tabela1716[[#This Row],[Houses Under Construction]]="",#N/A,((Tabela1716[[#This Row],[Houses Under Construction]]*1)/F388)-1)</f>
        <v>0.11874999999999991</v>
      </c>
      <c r="H400" s="33">
        <v>1337</v>
      </c>
      <c r="I400" s="33">
        <f>IF(Tabela1716[[#This Row],[Housing Starts]]="",#N/A,Tabela1716[[#This Row],[Housing Starts]]-H399)</f>
        <v>65</v>
      </c>
      <c r="J400" s="41">
        <f>IF(Tabela1716[[#This Row],[Housing Starts]]="",#N/A,((Tabela1716[[#This Row],[Housing Starts]]*1)/H388)-1)</f>
        <v>0.10495867768595035</v>
      </c>
      <c r="K400" s="33">
        <v>513196</v>
      </c>
      <c r="L400" s="41">
        <f>IF(Tabela1716[[#This Row],[Total Construction Spending]]="",#N/A,((Tabela1716[[#This Row],[Total Construction Spending]]*1)/K388)-1)</f>
        <v>0.10849369393498898</v>
      </c>
      <c r="M400" s="27"/>
      <c r="N400" s="41"/>
      <c r="O400" s="33">
        <v>686</v>
      </c>
      <c r="P400" s="41">
        <f>IF(Tabela1716[[#This Row],[New House Sales]]="",#N/A,((Tabela1716[[#This Row],[New House Sales]]*1)/O399)-1)</f>
        <v>0.10823909531502429</v>
      </c>
      <c r="Q400" s="41">
        <f>IF(Tabela1716[[#This Row],[New House Sales]]="",#N/A,((Tabela1716[[#This Row],[New House Sales]]*1)/O388)-1)</f>
        <v>0.13576158940397343</v>
      </c>
      <c r="R400" s="27">
        <v>5</v>
      </c>
      <c r="S400" s="86">
        <v>78.203999999999994</v>
      </c>
      <c r="T400" s="41">
        <f>IF(Tabela1716[[#This Row],[S&amp;P/Case-Shiller Home Price Index]]="",#N/A,((Tabela1716[[#This Row],[S&amp;P/Case-Shiller Home Price Index]]*1)/S399)-1)</f>
        <v>7.6728305071549485E-5</v>
      </c>
      <c r="U400" s="41">
        <f>IF(Tabela1716[[#This Row],[S&amp;P/Case-Shiller Home Price Index]]="",#N/A,((Tabela1716[[#This Row],[S&amp;P/Case-Shiller Home Price Index]]*1)/S388)-1)</f>
        <v>2.4591559998427659E-2</v>
      </c>
      <c r="V400" s="37"/>
      <c r="W400" s="9"/>
      <c r="X400" s="9"/>
    </row>
    <row r="401" spans="1:24" ht="12.75">
      <c r="A401" s="12">
        <v>34394</v>
      </c>
      <c r="B401" s="26">
        <v>7.8</v>
      </c>
      <c r="C401" s="29">
        <v>61</v>
      </c>
      <c r="D401" s="33">
        <v>1342</v>
      </c>
      <c r="E401" s="41">
        <f>IF(Tabela1716[[#This Row],[Building Permits]]="",#N/A,((Tabela1716[[#This Row],[Building Permits]]*1)/D389)-1)</f>
        <v>0.27083333333333326</v>
      </c>
      <c r="F401" s="33">
        <v>732</v>
      </c>
      <c r="G401" s="41">
        <f>IF(Tabela1716[[#This Row],[Houses Under Construction]]="",#N/A,((Tabela1716[[#This Row],[Houses Under Construction]]*1)/F389)-1)</f>
        <v>0.15639810426540279</v>
      </c>
      <c r="H401" s="33">
        <v>1564</v>
      </c>
      <c r="I401" s="33">
        <f>IF(Tabela1716[[#This Row],[Housing Starts]]="",#N/A,Tabela1716[[#This Row],[Housing Starts]]-H400)</f>
        <v>227</v>
      </c>
      <c r="J401" s="41">
        <f>IF(Tabela1716[[#This Row],[Housing Starts]]="",#N/A,((Tabela1716[[#This Row],[Housing Starts]]*1)/H389)-1)</f>
        <v>0.4441366574330563</v>
      </c>
      <c r="K401" s="33">
        <v>521040</v>
      </c>
      <c r="L401" s="41">
        <f>IF(Tabela1716[[#This Row],[Total Construction Spending]]="",#N/A,((Tabela1716[[#This Row],[Total Construction Spending]]*1)/K389)-1)</f>
        <v>0.13665169426634871</v>
      </c>
      <c r="M401" s="27"/>
      <c r="N401" s="41"/>
      <c r="O401" s="33">
        <v>747</v>
      </c>
      <c r="P401" s="41">
        <f>IF(Tabela1716[[#This Row],[New House Sales]]="",#N/A,((Tabela1716[[#This Row],[New House Sales]]*1)/O400)-1)</f>
        <v>8.8921282798833712E-2</v>
      </c>
      <c r="Q401" s="41">
        <f>IF(Tabela1716[[#This Row],[New House Sales]]="",#N/A,((Tabela1716[[#This Row],[New House Sales]]*1)/O389)-1)</f>
        <v>0.24086378737541536</v>
      </c>
      <c r="R401" s="27">
        <v>4.8</v>
      </c>
      <c r="S401" s="86">
        <v>78.34899999999999</v>
      </c>
      <c r="T401" s="41">
        <f>IF(Tabela1716[[#This Row],[S&amp;P/Case-Shiller Home Price Index]]="",#N/A,((Tabela1716[[#This Row],[S&amp;P/Case-Shiller Home Price Index]]*1)/S400)-1)</f>
        <v>1.8541251086900967E-3</v>
      </c>
      <c r="U401" s="41">
        <f>IF(Tabela1716[[#This Row],[S&amp;P/Case-Shiller Home Price Index]]="",#N/A,((Tabela1716[[#This Row],[S&amp;P/Case-Shiller Home Price Index]]*1)/S389)-1)</f>
        <v>2.5752140556675407E-2</v>
      </c>
      <c r="V401" s="39"/>
      <c r="W401" s="9"/>
      <c r="X401" s="9"/>
    </row>
    <row r="402" spans="1:24" ht="12.75">
      <c r="A402" s="12">
        <v>34425</v>
      </c>
      <c r="B402" s="26">
        <v>8.32</v>
      </c>
      <c r="C402" s="29">
        <v>61</v>
      </c>
      <c r="D402" s="33">
        <v>1392</v>
      </c>
      <c r="E402" s="41">
        <f>IF(Tabela1716[[#This Row],[Building Permits]]="",#N/A,((Tabela1716[[#This Row],[Building Permits]]*1)/D390)-1)</f>
        <v>0.26086956521739135</v>
      </c>
      <c r="F402" s="33">
        <v>740</v>
      </c>
      <c r="G402" s="41">
        <f>IF(Tabela1716[[#This Row],[Houses Under Construction]]="",#N/A,((Tabela1716[[#This Row],[Houses Under Construction]]*1)/F390)-1)</f>
        <v>0.16352201257861632</v>
      </c>
      <c r="H402" s="33">
        <v>1465</v>
      </c>
      <c r="I402" s="33">
        <f>IF(Tabela1716[[#This Row],[Housing Starts]]="",#N/A,Tabela1716[[#This Row],[Housing Starts]]-H401)</f>
        <v>-99</v>
      </c>
      <c r="J402" s="41">
        <f>IF(Tabela1716[[#This Row],[Housing Starts]]="",#N/A,((Tabela1716[[#This Row],[Housing Starts]]*1)/H390)-1)</f>
        <v>0.16454689984101756</v>
      </c>
      <c r="K402" s="33">
        <v>528063</v>
      </c>
      <c r="L402" s="41">
        <f>IF(Tabela1716[[#This Row],[Total Construction Spending]]="",#N/A,((Tabela1716[[#This Row],[Total Construction Spending]]*1)/K390)-1)</f>
        <v>0.12491452308675499</v>
      </c>
      <c r="M402" s="27"/>
      <c r="N402" s="41"/>
      <c r="O402" s="33">
        <v>692</v>
      </c>
      <c r="P402" s="41">
        <f>IF(Tabela1716[[#This Row],[New House Sales]]="",#N/A,((Tabela1716[[#This Row],[New House Sales]]*1)/O401)-1)</f>
        <v>-7.3627844712182089E-2</v>
      </c>
      <c r="Q402" s="41">
        <f>IF(Tabela1716[[#This Row],[New House Sales]]="",#N/A,((Tabela1716[[#This Row],[New House Sales]]*1)/O390)-1)</f>
        <v>-1.2838801711840264E-2</v>
      </c>
      <c r="R402" s="27">
        <v>5.2</v>
      </c>
      <c r="S402" s="86">
        <v>78.701000000000008</v>
      </c>
      <c r="T402" s="41">
        <f>IF(Tabela1716[[#This Row],[S&amp;P/Case-Shiller Home Price Index]]="",#N/A,((Tabela1716[[#This Row],[S&amp;P/Case-Shiller Home Price Index]]*1)/S401)-1)</f>
        <v>4.49271847758137E-3</v>
      </c>
      <c r="U402" s="41">
        <f>IF(Tabela1716[[#This Row],[S&amp;P/Case-Shiller Home Price Index]]="",#N/A,((Tabela1716[[#This Row],[S&amp;P/Case-Shiller Home Price Index]]*1)/S390)-1)</f>
        <v>2.6624054265588448E-2</v>
      </c>
      <c r="V402" s="37"/>
      <c r="W402" s="9"/>
      <c r="X402" s="9"/>
    </row>
    <row r="403" spans="1:24" ht="12.75">
      <c r="A403" s="12">
        <v>34455</v>
      </c>
      <c r="B403" s="26">
        <v>8.5299999999999994</v>
      </c>
      <c r="C403" s="29">
        <v>59</v>
      </c>
      <c r="D403" s="33">
        <v>1396</v>
      </c>
      <c r="E403" s="41">
        <f>IF(Tabela1716[[#This Row],[Building Permits]]="",#N/A,((Tabela1716[[#This Row],[Building Permits]]*1)/D391)-1)</f>
        <v>0.25539568345323738</v>
      </c>
      <c r="F403" s="33">
        <v>749</v>
      </c>
      <c r="G403" s="41">
        <f>IF(Tabela1716[[#This Row],[Houses Under Construction]]="",#N/A,((Tabela1716[[#This Row],[Houses Under Construction]]*1)/F391)-1)</f>
        <v>0.15586419753086411</v>
      </c>
      <c r="H403" s="33">
        <v>1526</v>
      </c>
      <c r="I403" s="33">
        <f>IF(Tabela1716[[#This Row],[Housing Starts]]="",#N/A,Tabela1716[[#This Row],[Housing Starts]]-H402)</f>
        <v>61</v>
      </c>
      <c r="J403" s="41">
        <f>IF(Tabela1716[[#This Row],[Housing Starts]]="",#N/A,((Tabela1716[[#This Row],[Housing Starts]]*1)/H391)-1)</f>
        <v>0.21111111111111103</v>
      </c>
      <c r="K403" s="33">
        <v>532328</v>
      </c>
      <c r="L403" s="41">
        <f>IF(Tabela1716[[#This Row],[Total Construction Spending]]="",#N/A,((Tabela1716[[#This Row],[Total Construction Spending]]*1)/K391)-1)</f>
        <v>0.13503255877423781</v>
      </c>
      <c r="M403" s="27"/>
      <c r="N403" s="41"/>
      <c r="O403" s="33">
        <v>691</v>
      </c>
      <c r="P403" s="41">
        <f>IF(Tabela1716[[#This Row],[New House Sales]]="",#N/A,((Tabela1716[[#This Row],[New House Sales]]*1)/O402)-1)</f>
        <v>-1.4450867052022698E-3</v>
      </c>
      <c r="Q403" s="41">
        <f>IF(Tabela1716[[#This Row],[New House Sales]]="",#N/A,((Tabela1716[[#This Row],[New House Sales]]*1)/O391)-1)</f>
        <v>0.10383386581469645</v>
      </c>
      <c r="R403" s="27">
        <v>5.3</v>
      </c>
      <c r="S403" s="86">
        <v>79.207999999999998</v>
      </c>
      <c r="T403" s="41">
        <f>IF(Tabela1716[[#This Row],[S&amp;P/Case-Shiller Home Price Index]]="",#N/A,((Tabela1716[[#This Row],[S&amp;P/Case-Shiller Home Price Index]]*1)/S402)-1)</f>
        <v>6.4421036581490121E-3</v>
      </c>
      <c r="U403" s="41">
        <f>IF(Tabela1716[[#This Row],[S&amp;P/Case-Shiller Home Price Index]]="",#N/A,((Tabela1716[[#This Row],[S&amp;P/Case-Shiller Home Price Index]]*1)/S391)-1)</f>
        <v>2.827469816954431E-2</v>
      </c>
      <c r="V403" s="39"/>
      <c r="W403" s="9"/>
      <c r="X403" s="9"/>
    </row>
    <row r="404" spans="1:24" ht="12.75">
      <c r="A404" s="12">
        <v>34486</v>
      </c>
      <c r="B404" s="26">
        <v>8.4600000000000009</v>
      </c>
      <c r="C404" s="29">
        <v>57</v>
      </c>
      <c r="D404" s="33">
        <v>1357</v>
      </c>
      <c r="E404" s="41">
        <f>IF(Tabela1716[[#This Row],[Building Permits]]="",#N/A,((Tabela1716[[#This Row],[Building Permits]]*1)/D392)-1)</f>
        <v>0.20088495575221232</v>
      </c>
      <c r="F404" s="33">
        <v>757</v>
      </c>
      <c r="G404" s="41">
        <f>IF(Tabela1716[[#This Row],[Houses Under Construction]]="",#N/A,((Tabela1716[[#This Row],[Houses Under Construction]]*1)/F392)-1)</f>
        <v>0.15749235474006107</v>
      </c>
      <c r="H404" s="33">
        <v>1409</v>
      </c>
      <c r="I404" s="33">
        <f>IF(Tabela1716[[#This Row],[Housing Starts]]="",#N/A,Tabela1716[[#This Row],[Housing Starts]]-H403)</f>
        <v>-117</v>
      </c>
      <c r="J404" s="41">
        <f>IF(Tabela1716[[#This Row],[Housing Starts]]="",#N/A,((Tabela1716[[#This Row],[Housing Starts]]*1)/H392)-1)</f>
        <v>0.10078125000000004</v>
      </c>
      <c r="K404" s="33">
        <v>536198</v>
      </c>
      <c r="L404" s="41">
        <f>IF(Tabela1716[[#This Row],[Total Construction Spending]]="",#N/A,((Tabela1716[[#This Row],[Total Construction Spending]]*1)/K392)-1)</f>
        <v>0.11650463199145444</v>
      </c>
      <c r="M404" s="27"/>
      <c r="N404" s="41"/>
      <c r="O404" s="33">
        <v>621</v>
      </c>
      <c r="P404" s="41">
        <f>IF(Tabela1716[[#This Row],[New House Sales]]="",#N/A,((Tabela1716[[#This Row],[New House Sales]]*1)/O403)-1)</f>
        <v>-0.10130246020260492</v>
      </c>
      <c r="Q404" s="41">
        <f>IF(Tabela1716[[#This Row],[New House Sales]]="",#N/A,((Tabela1716[[#This Row],[New House Sales]]*1)/O392)-1)</f>
        <v>-4.9004594180704464E-2</v>
      </c>
      <c r="R404" s="27">
        <v>6.2</v>
      </c>
      <c r="S404" s="86">
        <v>79.701000000000008</v>
      </c>
      <c r="T404" s="41">
        <f>IF(Tabela1716[[#This Row],[S&amp;P/Case-Shiller Home Price Index]]="",#N/A,((Tabela1716[[#This Row],[S&amp;P/Case-Shiller Home Price Index]]*1)/S403)-1)</f>
        <v>6.2241187758813599E-3</v>
      </c>
      <c r="U404" s="41">
        <f>IF(Tabela1716[[#This Row],[S&amp;P/Case-Shiller Home Price Index]]="",#N/A,((Tabela1716[[#This Row],[S&amp;P/Case-Shiller Home Price Index]]*1)/S392)-1)</f>
        <v>2.8187728984983673E-2</v>
      </c>
      <c r="V404" s="37"/>
      <c r="W404" s="9"/>
      <c r="X404" s="9"/>
    </row>
    <row r="405" spans="1:24" ht="12.75">
      <c r="A405" s="12">
        <v>34516</v>
      </c>
      <c r="B405" s="26">
        <v>8.57</v>
      </c>
      <c r="C405" s="29">
        <v>53</v>
      </c>
      <c r="D405" s="33">
        <v>1335</v>
      </c>
      <c r="E405" s="41">
        <f>IF(Tabela1716[[#This Row],[Building Permits]]="",#N/A,((Tabela1716[[#This Row],[Building Permits]]*1)/D393)-1)</f>
        <v>0.13713798977853497</v>
      </c>
      <c r="F405" s="33">
        <v>764</v>
      </c>
      <c r="G405" s="41">
        <f>IF(Tabela1716[[#This Row],[Houses Under Construction]]="",#N/A,((Tabela1716[[#This Row],[Houses Under Construction]]*1)/F393)-1)</f>
        <v>0.15233785822021106</v>
      </c>
      <c r="H405" s="33">
        <v>1439</v>
      </c>
      <c r="I405" s="33">
        <f>IF(Tabela1716[[#This Row],[Housing Starts]]="",#N/A,Tabela1716[[#This Row],[Housing Starts]]-H404)</f>
        <v>30</v>
      </c>
      <c r="J405" s="41">
        <f>IF(Tabela1716[[#This Row],[Housing Starts]]="",#N/A,((Tabela1716[[#This Row],[Housing Starts]]*1)/H393)-1)</f>
        <v>0.1475279106858054</v>
      </c>
      <c r="K405" s="33">
        <v>537232</v>
      </c>
      <c r="L405" s="41">
        <f>IF(Tabela1716[[#This Row],[Total Construction Spending]]="",#N/A,((Tabela1716[[#This Row],[Total Construction Spending]]*1)/K393)-1)</f>
        <v>0.11096819288170723</v>
      </c>
      <c r="M405" s="27"/>
      <c r="N405" s="41"/>
      <c r="O405" s="33">
        <v>628</v>
      </c>
      <c r="P405" s="41">
        <f>IF(Tabela1716[[#This Row],[New House Sales]]="",#N/A,((Tabela1716[[#This Row],[New House Sales]]*1)/O404)-1)</f>
        <v>1.1272141706924366E-2</v>
      </c>
      <c r="Q405" s="41">
        <f>IF(Tabela1716[[#This Row],[New House Sales]]="",#N/A,((Tabela1716[[#This Row],[New House Sales]]*1)/O393)-1)</f>
        <v>-4.1221374045801507E-2</v>
      </c>
      <c r="R405" s="27">
        <v>6.3</v>
      </c>
      <c r="S405" s="86">
        <v>80.063000000000002</v>
      </c>
      <c r="T405" s="41">
        <f>IF(Tabela1716[[#This Row],[S&amp;P/Case-Shiller Home Price Index]]="",#N/A,((Tabela1716[[#This Row],[S&amp;P/Case-Shiller Home Price Index]]*1)/S404)-1)</f>
        <v>4.5419756339317718E-3</v>
      </c>
      <c r="U405" s="41">
        <f>IF(Tabela1716[[#This Row],[S&amp;P/Case-Shiller Home Price Index]]="",#N/A,((Tabela1716[[#This Row],[S&amp;P/Case-Shiller Home Price Index]]*1)/S393)-1)</f>
        <v>2.7964306349104406E-2</v>
      </c>
      <c r="V405" s="39"/>
      <c r="W405" s="9"/>
      <c r="X405" s="9"/>
    </row>
    <row r="406" spans="1:24" ht="12.75">
      <c r="A406" s="12">
        <v>34547</v>
      </c>
      <c r="B406" s="26">
        <v>8.56</v>
      </c>
      <c r="C406" s="29">
        <v>53</v>
      </c>
      <c r="D406" s="33">
        <v>1377</v>
      </c>
      <c r="E406" s="41">
        <f>IF(Tabela1716[[#This Row],[Building Permits]]="",#N/A,((Tabela1716[[#This Row],[Building Permits]]*1)/D394)-1)</f>
        <v>0.11951219512195133</v>
      </c>
      <c r="F406" s="33">
        <v>773</v>
      </c>
      <c r="G406" s="41">
        <f>IF(Tabela1716[[#This Row],[Houses Under Construction]]="",#N/A,((Tabela1716[[#This Row],[Houses Under Construction]]*1)/F394)-1)</f>
        <v>0.16240601503759389</v>
      </c>
      <c r="H406" s="33">
        <v>1450</v>
      </c>
      <c r="I406" s="33">
        <f>IF(Tabela1716[[#This Row],[Housing Starts]]="",#N/A,Tabela1716[[#This Row],[Housing Starts]]-H405)</f>
        <v>11</v>
      </c>
      <c r="J406" s="41">
        <f>IF(Tabela1716[[#This Row],[Housing Starts]]="",#N/A,((Tabela1716[[#This Row],[Housing Starts]]*1)/H394)-1)</f>
        <v>0.11538461538461542</v>
      </c>
      <c r="K406" s="33">
        <v>537960</v>
      </c>
      <c r="L406" s="41">
        <f>IF(Tabela1716[[#This Row],[Total Construction Spending]]="",#N/A,((Tabela1716[[#This Row],[Total Construction Spending]]*1)/K394)-1)</f>
        <v>9.4540319922521876E-2</v>
      </c>
      <c r="M406" s="27"/>
      <c r="N406" s="41"/>
      <c r="O406" s="33">
        <v>656</v>
      </c>
      <c r="P406" s="41">
        <f>IF(Tabela1716[[#This Row],[New House Sales]]="",#N/A,((Tabela1716[[#This Row],[New House Sales]]*1)/O405)-1)</f>
        <v>4.4585987261146487E-2</v>
      </c>
      <c r="Q406" s="41">
        <f>IF(Tabela1716[[#This Row],[New House Sales]]="",#N/A,((Tabela1716[[#This Row],[New House Sales]]*1)/O394)-1)</f>
        <v>1.7054263565891459E-2</v>
      </c>
      <c r="R406" s="27">
        <v>6.1</v>
      </c>
      <c r="S406" s="86">
        <v>80.316999999999993</v>
      </c>
      <c r="T406" s="41">
        <f>IF(Tabela1716[[#This Row],[S&amp;P/Case-Shiller Home Price Index]]="",#N/A,((Tabela1716[[#This Row],[S&amp;P/Case-Shiller Home Price Index]]*1)/S405)-1)</f>
        <v>3.1725016549466467E-3</v>
      </c>
      <c r="U406" s="41">
        <f>IF(Tabela1716[[#This Row],[S&amp;P/Case-Shiller Home Price Index]]="",#N/A,((Tabela1716[[#This Row],[S&amp;P/Case-Shiller Home Price Index]]*1)/S394)-1)</f>
        <v>2.7978651239584762E-2</v>
      </c>
      <c r="V406" s="37"/>
      <c r="W406" s="9"/>
      <c r="X406" s="9"/>
    </row>
    <row r="407" spans="1:24" ht="12.75">
      <c r="A407" s="12">
        <v>34578</v>
      </c>
      <c r="B407" s="26">
        <v>8.82</v>
      </c>
      <c r="C407" s="29">
        <v>50</v>
      </c>
      <c r="D407" s="33">
        <v>1412</v>
      </c>
      <c r="E407" s="41">
        <f>IF(Tabela1716[[#This Row],[Building Permits]]="",#N/A,((Tabela1716[[#This Row],[Building Permits]]*1)/D395)-1)</f>
        <v>0.12869704236610713</v>
      </c>
      <c r="F407" s="33">
        <v>774</v>
      </c>
      <c r="G407" s="41">
        <f>IF(Tabela1716[[#This Row],[Houses Under Construction]]="",#N/A,((Tabela1716[[#This Row],[Houses Under Construction]]*1)/F395)-1)</f>
        <v>0.14327917282127034</v>
      </c>
      <c r="H407" s="33">
        <v>1474</v>
      </c>
      <c r="I407" s="33">
        <f>IF(Tabela1716[[#This Row],[Housing Starts]]="",#N/A,Tabela1716[[#This Row],[Housing Starts]]-H406)</f>
        <v>24</v>
      </c>
      <c r="J407" s="41">
        <f>IF(Tabela1716[[#This Row],[Housing Starts]]="",#N/A,((Tabela1716[[#This Row],[Housing Starts]]*1)/H395)-1)</f>
        <v>9.7542814594192118E-2</v>
      </c>
      <c r="K407" s="33">
        <v>538215</v>
      </c>
      <c r="L407" s="41">
        <f>IF(Tabela1716[[#This Row],[Total Construction Spending]]="",#N/A,((Tabela1716[[#This Row],[Total Construction Spending]]*1)/K395)-1)</f>
        <v>8.2280810059179865E-2</v>
      </c>
      <c r="M407" s="27"/>
      <c r="N407" s="41"/>
      <c r="O407" s="33">
        <v>677</v>
      </c>
      <c r="P407" s="41">
        <f>IF(Tabela1716[[#This Row],[New House Sales]]="",#N/A,((Tabela1716[[#This Row],[New House Sales]]*1)/O406)-1)</f>
        <v>3.2012195121951192E-2</v>
      </c>
      <c r="Q407" s="41">
        <f>IF(Tabela1716[[#This Row],[New House Sales]]="",#N/A,((Tabela1716[[#This Row],[New House Sales]]*1)/O395)-1)</f>
        <v>-6.7493112947658362E-2</v>
      </c>
      <c r="R407" s="27">
        <v>6</v>
      </c>
      <c r="S407" s="86">
        <v>80.34</v>
      </c>
      <c r="T407" s="41">
        <f>IF(Tabela1716[[#This Row],[S&amp;P/Case-Shiller Home Price Index]]="",#N/A,((Tabela1716[[#This Row],[S&amp;P/Case-Shiller Home Price Index]]*1)/S406)-1)</f>
        <v>2.8636527758774122E-4</v>
      </c>
      <c r="U407" s="41">
        <f>IF(Tabela1716[[#This Row],[S&amp;P/Case-Shiller Home Price Index]]="",#N/A,((Tabela1716[[#This Row],[S&amp;P/Case-Shiller Home Price Index]]*1)/S395)-1)</f>
        <v>2.7392004910611556E-2</v>
      </c>
      <c r="V407" s="39"/>
      <c r="W407" s="9"/>
      <c r="X407" s="9"/>
    </row>
    <row r="408" spans="1:24" ht="12.75">
      <c r="A408" s="12">
        <v>34608</v>
      </c>
      <c r="B408" s="26">
        <v>9.0299999999999994</v>
      </c>
      <c r="C408" s="29">
        <v>49</v>
      </c>
      <c r="D408" s="33">
        <v>1397</v>
      </c>
      <c r="E408" s="41">
        <f>IF(Tabela1716[[#This Row],[Building Permits]]="",#N/A,((Tabela1716[[#This Row],[Building Permits]]*1)/D396)-1)</f>
        <v>8.5470085470085388E-2</v>
      </c>
      <c r="F408" s="33">
        <v>775</v>
      </c>
      <c r="G408" s="41">
        <f>IF(Tabela1716[[#This Row],[Houses Under Construction]]="",#N/A,((Tabela1716[[#This Row],[Houses Under Construction]]*1)/F396)-1)</f>
        <v>0.12809315866084425</v>
      </c>
      <c r="H408" s="33">
        <v>1450</v>
      </c>
      <c r="I408" s="33">
        <f>IF(Tabela1716[[#This Row],[Housing Starts]]="",#N/A,Tabela1716[[#This Row],[Housing Starts]]-H407)</f>
        <v>-24</v>
      </c>
      <c r="J408" s="41">
        <f>IF(Tabela1716[[#This Row],[Housing Starts]]="",#N/A,((Tabela1716[[#This Row],[Housing Starts]]*1)/H396)-1)</f>
        <v>4.1666666666666741E-2</v>
      </c>
      <c r="K408" s="33">
        <v>533273</v>
      </c>
      <c r="L408" s="41">
        <f>IF(Tabela1716[[#This Row],[Total Construction Spending]]="",#N/A,((Tabela1716[[#This Row],[Total Construction Spending]]*1)/K396)-1)</f>
        <v>8.2078149761679153E-2</v>
      </c>
      <c r="M408" s="27"/>
      <c r="N408" s="41"/>
      <c r="O408" s="33">
        <v>715</v>
      </c>
      <c r="P408" s="41">
        <f>IF(Tabela1716[[#This Row],[New House Sales]]="",#N/A,((Tabela1716[[#This Row],[New House Sales]]*1)/O407)-1)</f>
        <v>5.6129985228951185E-2</v>
      </c>
      <c r="Q408" s="41">
        <f>IF(Tabela1716[[#This Row],[New House Sales]]="",#N/A,((Tabela1716[[#This Row],[New House Sales]]*1)/O396)-1)</f>
        <v>1.5625E-2</v>
      </c>
      <c r="R408" s="27">
        <v>5.6</v>
      </c>
      <c r="S408" s="86">
        <v>80.304000000000002</v>
      </c>
      <c r="T408" s="41">
        <f>IF(Tabela1716[[#This Row],[S&amp;P/Case-Shiller Home Price Index]]="",#N/A,((Tabela1716[[#This Row],[S&amp;P/Case-Shiller Home Price Index]]*1)/S407)-1)</f>
        <v>-4.4809559372671615E-4</v>
      </c>
      <c r="U408" s="41">
        <f>IF(Tabela1716[[#This Row],[S&amp;P/Case-Shiller Home Price Index]]="",#N/A,((Tabela1716[[#This Row],[S&amp;P/Case-Shiller Home Price Index]]*1)/S396)-1)</f>
        <v>2.7273192447423655E-2</v>
      </c>
      <c r="V408" s="37"/>
      <c r="W408" s="9"/>
      <c r="X408" s="9"/>
    </row>
    <row r="409" spans="1:24" ht="12.75">
      <c r="A409" s="12">
        <v>34639</v>
      </c>
      <c r="B409" s="26">
        <v>9.25</v>
      </c>
      <c r="C409" s="29">
        <v>50</v>
      </c>
      <c r="D409" s="33">
        <v>1340</v>
      </c>
      <c r="E409" s="41">
        <f>IF(Tabela1716[[#This Row],[Building Permits]]="",#N/A,((Tabela1716[[#This Row],[Building Permits]]*1)/D397)-1)</f>
        <v>-1.2527634487840777E-2</v>
      </c>
      <c r="F409" s="33">
        <v>785</v>
      </c>
      <c r="G409" s="41">
        <f>IF(Tabela1716[[#This Row],[Houses Under Construction]]="",#N/A,((Tabela1716[[#This Row],[Houses Under Construction]]*1)/F397)-1)</f>
        <v>0.12949640287769792</v>
      </c>
      <c r="H409" s="33">
        <v>1511</v>
      </c>
      <c r="I409" s="33">
        <f>IF(Tabela1716[[#This Row],[Housing Starts]]="",#N/A,Tabela1716[[#This Row],[Housing Starts]]-H408)</f>
        <v>61</v>
      </c>
      <c r="J409" s="41">
        <f>IF(Tabela1716[[#This Row],[Housing Starts]]="",#N/A,((Tabela1716[[#This Row],[Housing Starts]]*1)/H397)-1)</f>
        <v>9.8110465116278966E-2</v>
      </c>
      <c r="K409" s="33">
        <v>539150</v>
      </c>
      <c r="L409" s="41">
        <f>IF(Tabela1716[[#This Row],[Total Construction Spending]]="",#N/A,((Tabela1716[[#This Row],[Total Construction Spending]]*1)/K397)-1)</f>
        <v>4.4998003620618121E-2</v>
      </c>
      <c r="M409" s="27"/>
      <c r="N409" s="41"/>
      <c r="O409" s="33">
        <v>646</v>
      </c>
      <c r="P409" s="41">
        <f>IF(Tabela1716[[#This Row],[New House Sales]]="",#N/A,((Tabela1716[[#This Row],[New House Sales]]*1)/O408)-1)</f>
        <v>-9.6503496503496544E-2</v>
      </c>
      <c r="Q409" s="41">
        <f>IF(Tabela1716[[#This Row],[New House Sales]]="",#N/A,((Tabela1716[[#This Row],[New House Sales]]*1)/O397)-1)</f>
        <v>-0.15994798439531854</v>
      </c>
      <c r="R409" s="27">
        <v>6.3</v>
      </c>
      <c r="S409" s="86">
        <v>80.17</v>
      </c>
      <c r="T409" s="41">
        <f>IF(Tabela1716[[#This Row],[S&amp;P/Case-Shiller Home Price Index]]="",#N/A,((Tabela1716[[#This Row],[S&amp;P/Case-Shiller Home Price Index]]*1)/S408)-1)</f>
        <v>-1.6686590954373415E-3</v>
      </c>
      <c r="U409" s="41">
        <f>IF(Tabela1716[[#This Row],[S&amp;P/Case-Shiller Home Price Index]]="",#N/A,((Tabela1716[[#This Row],[S&amp;P/Case-Shiller Home Price Index]]*1)/S397)-1)</f>
        <v>2.558526288857621E-2</v>
      </c>
      <c r="V409" s="39"/>
      <c r="W409" s="9"/>
      <c r="X409" s="9"/>
    </row>
    <row r="410" spans="1:24" ht="12.75">
      <c r="A410" s="12">
        <v>34669</v>
      </c>
      <c r="B410" s="26">
        <v>9.18</v>
      </c>
      <c r="C410" s="29">
        <v>43</v>
      </c>
      <c r="D410" s="33">
        <v>1396</v>
      </c>
      <c r="E410" s="41">
        <f>IF(Tabela1716[[#This Row],[Building Permits]]="",#N/A,((Tabela1716[[#This Row],[Building Permits]]*1)/D398)-1)</f>
        <v>-4.4490075290896658E-2</v>
      </c>
      <c r="F410" s="33">
        <v>784</v>
      </c>
      <c r="G410" s="41">
        <f>IF(Tabela1716[[#This Row],[Houses Under Construction]]="",#N/A,((Tabela1716[[#This Row],[Houses Under Construction]]*1)/F398)-1)</f>
        <v>0.11522048364153625</v>
      </c>
      <c r="H410" s="33">
        <v>1455</v>
      </c>
      <c r="I410" s="33">
        <f>IF(Tabela1716[[#This Row],[Housing Starts]]="",#N/A,Tabela1716[[#This Row],[Housing Starts]]-H409)</f>
        <v>-56</v>
      </c>
      <c r="J410" s="41">
        <f>IF(Tabela1716[[#This Row],[Housing Starts]]="",#N/A,((Tabela1716[[#This Row],[Housing Starts]]*1)/H398)-1)</f>
        <v>-5.0880626223091974E-2</v>
      </c>
      <c r="K410" s="33">
        <v>541794</v>
      </c>
      <c r="L410" s="41">
        <f>IF(Tabela1716[[#This Row],[Total Construction Spending]]="",#N/A,((Tabela1716[[#This Row],[Total Construction Spending]]*1)/K398)-1)</f>
        <v>1.6213073243927623E-2</v>
      </c>
      <c r="M410" s="27"/>
      <c r="N410" s="41"/>
      <c r="O410" s="33">
        <v>629</v>
      </c>
      <c r="P410" s="41">
        <f>IF(Tabela1716[[#This Row],[New House Sales]]="",#N/A,((Tabela1716[[#This Row],[New House Sales]]*1)/O409)-1)</f>
        <v>-2.6315789473684181E-2</v>
      </c>
      <c r="Q410" s="41">
        <f>IF(Tabela1716[[#This Row],[New House Sales]]="",#N/A,((Tabela1716[[#This Row],[New House Sales]]*1)/O398)-1)</f>
        <v>-0.22536945812807885</v>
      </c>
      <c r="R410" s="27">
        <v>6.6</v>
      </c>
      <c r="S410" s="86">
        <v>80.078999999999994</v>
      </c>
      <c r="T410" s="41">
        <f>IF(Tabela1716[[#This Row],[S&amp;P/Case-Shiller Home Price Index]]="",#N/A,((Tabela1716[[#This Row],[S&amp;P/Case-Shiller Home Price Index]]*1)/S409)-1)</f>
        <v>-1.1350879381315515E-3</v>
      </c>
      <c r="U410" s="41">
        <f>IF(Tabela1716[[#This Row],[S&amp;P/Case-Shiller Home Price Index]]="",#N/A,((Tabela1716[[#This Row],[S&amp;P/Case-Shiller Home Price Index]]*1)/S398)-1)</f>
        <v>2.5168665907083332E-2</v>
      </c>
      <c r="V410" s="37"/>
      <c r="W410" s="9"/>
      <c r="X410" s="9"/>
    </row>
    <row r="411" spans="1:24" ht="12.75">
      <c r="A411" s="12">
        <v>34700</v>
      </c>
      <c r="B411" s="26">
        <v>9.1300000000000008</v>
      </c>
      <c r="C411" s="29">
        <v>40</v>
      </c>
      <c r="D411" s="33">
        <v>1282</v>
      </c>
      <c r="E411" s="41">
        <f>IF(Tabela1716[[#This Row],[Building Permits]]="",#N/A,((Tabela1716[[#This Row],[Building Permits]]*1)/D399)-1)</f>
        <v>-7.7697841726618755E-2</v>
      </c>
      <c r="F411" s="33">
        <v>783</v>
      </c>
      <c r="G411" s="41">
        <f>IF(Tabela1716[[#This Row],[Houses Under Construction]]="",#N/A,((Tabela1716[[#This Row],[Houses Under Construction]]*1)/F399)-1)</f>
        <v>0.10437235543018342</v>
      </c>
      <c r="H411" s="33">
        <v>1407</v>
      </c>
      <c r="I411" s="33">
        <f>IF(Tabela1716[[#This Row],[Housing Starts]]="",#N/A,Tabela1716[[#This Row],[Housing Starts]]-H410)</f>
        <v>-48</v>
      </c>
      <c r="J411" s="41">
        <f>IF(Tabela1716[[#This Row],[Housing Starts]]="",#N/A,((Tabela1716[[#This Row],[Housing Starts]]*1)/H399)-1)</f>
        <v>0.10613207547169812</v>
      </c>
      <c r="K411" s="33">
        <v>543930</v>
      </c>
      <c r="L411" s="41">
        <f>IF(Tabela1716[[#This Row],[Total Construction Spending]]="",#N/A,((Tabela1716[[#This Row],[Total Construction Spending]]*1)/K399)-1)</f>
        <v>5.964380476667297E-2</v>
      </c>
      <c r="M411" s="27"/>
      <c r="N411" s="41"/>
      <c r="O411" s="33">
        <v>626</v>
      </c>
      <c r="P411" s="41">
        <f>IF(Tabela1716[[#This Row],[New House Sales]]="",#N/A,((Tabela1716[[#This Row],[New House Sales]]*1)/O410)-1)</f>
        <v>-4.7694753577106619E-3</v>
      </c>
      <c r="Q411" s="41">
        <f>IF(Tabela1716[[#This Row],[New House Sales]]="",#N/A,((Tabela1716[[#This Row],[New House Sales]]*1)/O399)-1)</f>
        <v>1.1308562197092087E-2</v>
      </c>
      <c r="R411" s="27">
        <v>6.8</v>
      </c>
      <c r="S411" s="86">
        <v>80.027000000000001</v>
      </c>
      <c r="T411" s="41">
        <f>IF(Tabela1716[[#This Row],[S&amp;P/Case-Shiller Home Price Index]]="",#N/A,((Tabela1716[[#This Row],[S&amp;P/Case-Shiller Home Price Index]]*1)/S410)-1)</f>
        <v>-6.4935875822613731E-4</v>
      </c>
      <c r="U411" s="41">
        <f>IF(Tabela1716[[#This Row],[S&amp;P/Case-Shiller Home Price Index]]="",#N/A,((Tabela1716[[#This Row],[S&amp;P/Case-Shiller Home Price Index]]*1)/S399)-1)</f>
        <v>2.3389344996035621E-2</v>
      </c>
      <c r="V411" s="39"/>
      <c r="W411" s="9"/>
      <c r="X411" s="9"/>
    </row>
    <row r="412" spans="1:24" ht="12.75">
      <c r="A412" s="12">
        <v>34731</v>
      </c>
      <c r="B412" s="26">
        <v>8.73</v>
      </c>
      <c r="C412" s="29">
        <v>42</v>
      </c>
      <c r="D412" s="33">
        <v>1254</v>
      </c>
      <c r="E412" s="41">
        <f>IF(Tabela1716[[#This Row],[Building Permits]]="",#N/A,((Tabela1716[[#This Row],[Building Permits]]*1)/D400)-1)</f>
        <v>-1.1820330969267157E-2</v>
      </c>
      <c r="F412" s="33">
        <v>793</v>
      </c>
      <c r="G412" s="41">
        <f>IF(Tabela1716[[#This Row],[Houses Under Construction]]="",#N/A,((Tabela1716[[#This Row],[Houses Under Construction]]*1)/F400)-1)</f>
        <v>0.10754189944134085</v>
      </c>
      <c r="H412" s="33">
        <v>1316</v>
      </c>
      <c r="I412" s="33">
        <f>IF(Tabela1716[[#This Row],[Housing Starts]]="",#N/A,Tabela1716[[#This Row],[Housing Starts]]-H411)</f>
        <v>-91</v>
      </c>
      <c r="J412" s="41">
        <f>IF(Tabela1716[[#This Row],[Housing Starts]]="",#N/A,((Tabela1716[[#This Row],[Housing Starts]]*1)/H400)-1)</f>
        <v>-1.5706806282722474E-2</v>
      </c>
      <c r="K412" s="33">
        <v>537826</v>
      </c>
      <c r="L412" s="41">
        <f>IF(Tabela1716[[#This Row],[Total Construction Spending]]="",#N/A,((Tabela1716[[#This Row],[Total Construction Spending]]*1)/K400)-1)</f>
        <v>4.7993359262348045E-2</v>
      </c>
      <c r="M412" s="27"/>
      <c r="N412" s="41"/>
      <c r="O412" s="33">
        <v>559</v>
      </c>
      <c r="P412" s="41">
        <f>IF(Tabela1716[[#This Row],[New House Sales]]="",#N/A,((Tabela1716[[#This Row],[New House Sales]]*1)/O411)-1)</f>
        <v>-0.10702875399361023</v>
      </c>
      <c r="Q412" s="41">
        <f>IF(Tabela1716[[#This Row],[New House Sales]]="",#N/A,((Tabela1716[[#This Row],[New House Sales]]*1)/O400)-1)</f>
        <v>-0.185131195335277</v>
      </c>
      <c r="R412" s="27">
        <v>7.3</v>
      </c>
      <c r="S412" s="86">
        <v>79.992000000000004</v>
      </c>
      <c r="T412" s="41">
        <f>IF(Tabela1716[[#This Row],[S&amp;P/Case-Shiller Home Price Index]]="",#N/A,((Tabela1716[[#This Row],[S&amp;P/Case-Shiller Home Price Index]]*1)/S411)-1)</f>
        <v>-4.373523935671253E-4</v>
      </c>
      <c r="U412" s="41">
        <f>IF(Tabela1716[[#This Row],[S&amp;P/Case-Shiller Home Price Index]]="",#N/A,((Tabela1716[[#This Row],[S&amp;P/Case-Shiller Home Price Index]]*1)/S400)-1)</f>
        <v>2.2863280650606166E-2</v>
      </c>
      <c r="V412" s="37"/>
      <c r="W412" s="9"/>
      <c r="X412" s="9"/>
    </row>
    <row r="413" spans="1:24" ht="12.75">
      <c r="A413" s="12">
        <v>34759</v>
      </c>
      <c r="B413" s="26">
        <v>8.3800000000000008</v>
      </c>
      <c r="C413" s="29">
        <v>40</v>
      </c>
      <c r="D413" s="33">
        <v>1226</v>
      </c>
      <c r="E413" s="41">
        <f>IF(Tabela1716[[#This Row],[Building Permits]]="",#N/A,((Tabela1716[[#This Row],[Building Permits]]*1)/D401)-1)</f>
        <v>-8.6438152011922509E-2</v>
      </c>
      <c r="F413" s="33">
        <v>771</v>
      </c>
      <c r="G413" s="41">
        <f>IF(Tabela1716[[#This Row],[Houses Under Construction]]="",#N/A,((Tabela1716[[#This Row],[Houses Under Construction]]*1)/F401)-1)</f>
        <v>5.3278688524590168E-2</v>
      </c>
      <c r="H413" s="33">
        <v>1249</v>
      </c>
      <c r="I413" s="33">
        <f>IF(Tabela1716[[#This Row],[Housing Starts]]="",#N/A,Tabela1716[[#This Row],[Housing Starts]]-H412)</f>
        <v>-67</v>
      </c>
      <c r="J413" s="41">
        <f>IF(Tabela1716[[#This Row],[Housing Starts]]="",#N/A,((Tabela1716[[#This Row],[Housing Starts]]*1)/H401)-1)</f>
        <v>-0.20140664961636834</v>
      </c>
      <c r="K413" s="33">
        <v>542715</v>
      </c>
      <c r="L413" s="41">
        <f>IF(Tabela1716[[#This Row],[Total Construction Spending]]="",#N/A,((Tabela1716[[#This Row],[Total Construction Spending]]*1)/K401)-1)</f>
        <v>4.1599493321050174E-2</v>
      </c>
      <c r="M413" s="27"/>
      <c r="N413" s="41"/>
      <c r="O413" s="33">
        <v>616</v>
      </c>
      <c r="P413" s="41">
        <f>IF(Tabela1716[[#This Row],[New House Sales]]="",#N/A,((Tabela1716[[#This Row],[New House Sales]]*1)/O412)-1)</f>
        <v>0.10196779964221814</v>
      </c>
      <c r="Q413" s="41">
        <f>IF(Tabela1716[[#This Row],[New House Sales]]="",#N/A,((Tabela1716[[#This Row],[New House Sales]]*1)/O401)-1)</f>
        <v>-0.17536813922356087</v>
      </c>
      <c r="R413" s="27">
        <v>6.8</v>
      </c>
      <c r="S413" s="86">
        <v>80.078000000000003</v>
      </c>
      <c r="T413" s="41">
        <f>IF(Tabela1716[[#This Row],[S&amp;P/Case-Shiller Home Price Index]]="",#N/A,((Tabela1716[[#This Row],[S&amp;P/Case-Shiller Home Price Index]]*1)/S412)-1)</f>
        <v>1.0751075107511276E-3</v>
      </c>
      <c r="U413" s="41">
        <f>IF(Tabela1716[[#This Row],[S&amp;P/Case-Shiller Home Price Index]]="",#N/A,((Tabela1716[[#This Row],[S&amp;P/Case-Shiller Home Price Index]]*1)/S401)-1)</f>
        <v>2.2067926840164009E-2</v>
      </c>
      <c r="V413" s="39"/>
      <c r="W413" s="9"/>
      <c r="X413" s="9"/>
    </row>
    <row r="414" spans="1:24" ht="12.75">
      <c r="A414" s="12">
        <v>34790</v>
      </c>
      <c r="B414" s="26">
        <v>8.26</v>
      </c>
      <c r="C414" s="29">
        <v>42</v>
      </c>
      <c r="D414" s="33">
        <v>1259</v>
      </c>
      <c r="E414" s="41">
        <f>IF(Tabela1716[[#This Row],[Building Permits]]="",#N/A,((Tabela1716[[#This Row],[Building Permits]]*1)/D402)-1)</f>
        <v>-9.5545977011494254E-2</v>
      </c>
      <c r="F414" s="33">
        <v>761</v>
      </c>
      <c r="G414" s="41">
        <f>IF(Tabela1716[[#This Row],[Houses Under Construction]]="",#N/A,((Tabela1716[[#This Row],[Houses Under Construction]]*1)/F402)-1)</f>
        <v>2.8378378378378422E-2</v>
      </c>
      <c r="H414" s="33">
        <v>1267</v>
      </c>
      <c r="I414" s="33">
        <f>IF(Tabela1716[[#This Row],[Housing Starts]]="",#N/A,Tabela1716[[#This Row],[Housing Starts]]-H413)</f>
        <v>18</v>
      </c>
      <c r="J414" s="41">
        <f>IF(Tabela1716[[#This Row],[Housing Starts]]="",#N/A,((Tabela1716[[#This Row],[Housing Starts]]*1)/H402)-1)</f>
        <v>-0.13515358361774743</v>
      </c>
      <c r="K414" s="33">
        <v>543096</v>
      </c>
      <c r="L414" s="41">
        <f>IF(Tabela1716[[#This Row],[Total Construction Spending]]="",#N/A,((Tabela1716[[#This Row],[Total Construction Spending]]*1)/K402)-1)</f>
        <v>2.846819413592705E-2</v>
      </c>
      <c r="M414" s="27"/>
      <c r="N414" s="41"/>
      <c r="O414" s="33">
        <v>621</v>
      </c>
      <c r="P414" s="41">
        <f>IF(Tabela1716[[#This Row],[New House Sales]]="",#N/A,((Tabela1716[[#This Row],[New House Sales]]*1)/O413)-1)</f>
        <v>8.116883116883189E-3</v>
      </c>
      <c r="Q414" s="41">
        <f>IF(Tabela1716[[#This Row],[New House Sales]]="",#N/A,((Tabela1716[[#This Row],[New House Sales]]*1)/O402)-1)</f>
        <v>-0.10260115606936415</v>
      </c>
      <c r="R414" s="27">
        <v>6.7</v>
      </c>
      <c r="S414" s="86">
        <v>80.369</v>
      </c>
      <c r="T414" s="41">
        <f>IF(Tabela1716[[#This Row],[S&amp;P/Case-Shiller Home Price Index]]="",#N/A,((Tabela1716[[#This Row],[S&amp;P/Case-Shiller Home Price Index]]*1)/S413)-1)</f>
        <v>3.6339568920302767E-3</v>
      </c>
      <c r="U414" s="41">
        <f>IF(Tabela1716[[#This Row],[S&amp;P/Case-Shiller Home Price Index]]="",#N/A,((Tabela1716[[#This Row],[S&amp;P/Case-Shiller Home Price Index]]*1)/S402)-1)</f>
        <v>2.1194139845745141E-2</v>
      </c>
      <c r="V414" s="37"/>
      <c r="W414" s="9"/>
      <c r="X414" s="9"/>
    </row>
    <row r="415" spans="1:24" ht="12.75">
      <c r="A415" s="12">
        <v>34820</v>
      </c>
      <c r="B415" s="26">
        <v>7.85</v>
      </c>
      <c r="C415" s="29">
        <v>43</v>
      </c>
      <c r="D415" s="33">
        <v>1271</v>
      </c>
      <c r="E415" s="41">
        <f>IF(Tabela1716[[#This Row],[Building Permits]]="",#N/A,((Tabela1716[[#This Row],[Building Permits]]*1)/D403)-1)</f>
        <v>-8.954154727793695E-2</v>
      </c>
      <c r="F415" s="33">
        <v>758</v>
      </c>
      <c r="G415" s="41">
        <f>IF(Tabela1716[[#This Row],[Houses Under Construction]]="",#N/A,((Tabela1716[[#This Row],[Houses Under Construction]]*1)/F403)-1)</f>
        <v>1.2016021361815676E-2</v>
      </c>
      <c r="H415" s="33">
        <v>1314</v>
      </c>
      <c r="I415" s="33">
        <f>IF(Tabela1716[[#This Row],[Housing Starts]]="",#N/A,Tabela1716[[#This Row],[Housing Starts]]-H414)</f>
        <v>47</v>
      </c>
      <c r="J415" s="41">
        <f>IF(Tabela1716[[#This Row],[Housing Starts]]="",#N/A,((Tabela1716[[#This Row],[Housing Starts]]*1)/H403)-1)</f>
        <v>-0.13892529488859762</v>
      </c>
      <c r="K415" s="33">
        <v>542566</v>
      </c>
      <c r="L415" s="41">
        <f>IF(Tabela1716[[#This Row],[Total Construction Spending]]="",#N/A,((Tabela1716[[#This Row],[Total Construction Spending]]*1)/K403)-1)</f>
        <v>1.9232503268661327E-2</v>
      </c>
      <c r="M415" s="27"/>
      <c r="N415" s="41"/>
      <c r="O415" s="33">
        <v>674</v>
      </c>
      <c r="P415" s="41">
        <f>IF(Tabela1716[[#This Row],[New House Sales]]="",#N/A,((Tabela1716[[#This Row],[New House Sales]]*1)/O414)-1)</f>
        <v>8.5346215780998325E-2</v>
      </c>
      <c r="Q415" s="41">
        <f>IF(Tabela1716[[#This Row],[New House Sales]]="",#N/A,((Tabela1716[[#This Row],[New House Sales]]*1)/O403)-1)</f>
        <v>-2.4602026049204029E-2</v>
      </c>
      <c r="R415" s="27">
        <v>6.3</v>
      </c>
      <c r="S415" s="86">
        <v>80.691000000000003</v>
      </c>
      <c r="T415" s="41">
        <f>IF(Tabela1716[[#This Row],[S&amp;P/Case-Shiller Home Price Index]]="",#N/A,((Tabela1716[[#This Row],[S&amp;P/Case-Shiller Home Price Index]]*1)/S414)-1)</f>
        <v>4.0065199268375373E-3</v>
      </c>
      <c r="U415" s="41">
        <f>IF(Tabela1716[[#This Row],[S&amp;P/Case-Shiller Home Price Index]]="",#N/A,((Tabela1716[[#This Row],[S&amp;P/Case-Shiller Home Price Index]]*1)/S403)-1)</f>
        <v>1.8722856277143762E-2</v>
      </c>
      <c r="V415" s="39"/>
      <c r="W415" s="9"/>
      <c r="X415" s="9"/>
    </row>
    <row r="416" spans="1:24" ht="12.75">
      <c r="A416" s="12">
        <v>34851</v>
      </c>
      <c r="B416" s="26">
        <v>7.53</v>
      </c>
      <c r="C416" s="29">
        <v>45</v>
      </c>
      <c r="D416" s="33">
        <v>1305</v>
      </c>
      <c r="E416" s="41">
        <f>IF(Tabela1716[[#This Row],[Building Permits]]="",#N/A,((Tabela1716[[#This Row],[Building Permits]]*1)/D404)-1)</f>
        <v>-3.8319823139277842E-2</v>
      </c>
      <c r="F416" s="33">
        <v>759</v>
      </c>
      <c r="G416" s="41">
        <f>IF(Tabela1716[[#This Row],[Houses Under Construction]]="",#N/A,((Tabela1716[[#This Row],[Houses Under Construction]]*1)/F404)-1)</f>
        <v>2.6420079260238705E-3</v>
      </c>
      <c r="H416" s="33">
        <v>1281</v>
      </c>
      <c r="I416" s="33">
        <f>IF(Tabela1716[[#This Row],[Housing Starts]]="",#N/A,Tabela1716[[#This Row],[Housing Starts]]-H415)</f>
        <v>-33</v>
      </c>
      <c r="J416" s="41">
        <f>IF(Tabela1716[[#This Row],[Housing Starts]]="",#N/A,((Tabela1716[[#This Row],[Housing Starts]]*1)/H404)-1)</f>
        <v>-9.0844570617459208E-2</v>
      </c>
      <c r="K416" s="33">
        <v>546131</v>
      </c>
      <c r="L416" s="41">
        <f>IF(Tabela1716[[#This Row],[Total Construction Spending]]="",#N/A,((Tabela1716[[#This Row],[Total Construction Spending]]*1)/K404)-1)</f>
        <v>1.8524873274424758E-2</v>
      </c>
      <c r="M416" s="27"/>
      <c r="N416" s="41"/>
      <c r="O416" s="33">
        <v>725</v>
      </c>
      <c r="P416" s="41">
        <f>IF(Tabela1716[[#This Row],[New House Sales]]="",#N/A,((Tabela1716[[#This Row],[New House Sales]]*1)/O415)-1)</f>
        <v>7.5667655786350041E-2</v>
      </c>
      <c r="Q416" s="41">
        <f>IF(Tabela1716[[#This Row],[New House Sales]]="",#N/A,((Tabela1716[[#This Row],[New House Sales]]*1)/O404)-1)</f>
        <v>0.16747181964573277</v>
      </c>
      <c r="R416" s="27">
        <v>5.8</v>
      </c>
      <c r="S416" s="86">
        <v>81.067999999999998</v>
      </c>
      <c r="T416" s="41">
        <f>IF(Tabela1716[[#This Row],[S&amp;P/Case-Shiller Home Price Index]]="",#N/A,((Tabela1716[[#This Row],[S&amp;P/Case-Shiller Home Price Index]]*1)/S415)-1)</f>
        <v>4.6721443531496654E-3</v>
      </c>
      <c r="U416" s="41">
        <f>IF(Tabela1716[[#This Row],[S&amp;P/Case-Shiller Home Price Index]]="",#N/A,((Tabela1716[[#This Row],[S&amp;P/Case-Shiller Home Price Index]]*1)/S404)-1)</f>
        <v>1.7151604120399844E-2</v>
      </c>
      <c r="V416" s="37"/>
      <c r="W416" s="9"/>
      <c r="X416" s="9"/>
    </row>
    <row r="417" spans="1:24" ht="12.75">
      <c r="A417" s="12">
        <v>34881</v>
      </c>
      <c r="B417" s="26">
        <v>7.79</v>
      </c>
      <c r="C417" s="29">
        <v>49</v>
      </c>
      <c r="D417" s="33">
        <v>1354</v>
      </c>
      <c r="E417" s="41">
        <f>IF(Tabela1716[[#This Row],[Building Permits]]="",#N/A,((Tabela1716[[#This Row],[Building Permits]]*1)/D405)-1)</f>
        <v>1.4232209737827795E-2</v>
      </c>
      <c r="F417" s="33">
        <v>762</v>
      </c>
      <c r="G417" s="41">
        <f>IF(Tabela1716[[#This Row],[Houses Under Construction]]="",#N/A,((Tabela1716[[#This Row],[Houses Under Construction]]*1)/F405)-1)</f>
        <v>-2.6178010471203939E-3</v>
      </c>
      <c r="H417" s="33">
        <v>1461</v>
      </c>
      <c r="I417" s="33">
        <f>IF(Tabela1716[[#This Row],[Housing Starts]]="",#N/A,Tabela1716[[#This Row],[Housing Starts]]-H416)</f>
        <v>180</v>
      </c>
      <c r="J417" s="41">
        <f>IF(Tabela1716[[#This Row],[Housing Starts]]="",#N/A,((Tabela1716[[#This Row],[Housing Starts]]*1)/H405)-1)</f>
        <v>1.5288394718554477E-2</v>
      </c>
      <c r="K417" s="33">
        <v>547342</v>
      </c>
      <c r="L417" s="41">
        <f>IF(Tabela1716[[#This Row],[Total Construction Spending]]="",#N/A,((Tabela1716[[#This Row],[Total Construction Spending]]*1)/K405)-1)</f>
        <v>1.8818685409655478E-2</v>
      </c>
      <c r="M417" s="27"/>
      <c r="N417" s="41"/>
      <c r="O417" s="33">
        <v>765</v>
      </c>
      <c r="P417" s="41">
        <f>IF(Tabela1716[[#This Row],[New House Sales]]="",#N/A,((Tabela1716[[#This Row],[New House Sales]]*1)/O416)-1)</f>
        <v>5.5172413793103559E-2</v>
      </c>
      <c r="Q417" s="41">
        <f>IF(Tabela1716[[#This Row],[New House Sales]]="",#N/A,((Tabela1716[[#This Row],[New House Sales]]*1)/O405)-1)</f>
        <v>0.21815286624203822</v>
      </c>
      <c r="R417" s="27">
        <v>5.6</v>
      </c>
      <c r="S417" s="86">
        <v>81.411999999999992</v>
      </c>
      <c r="T417" s="41">
        <f>IF(Tabela1716[[#This Row],[S&amp;P/Case-Shiller Home Price Index]]="",#N/A,((Tabela1716[[#This Row],[S&amp;P/Case-Shiller Home Price Index]]*1)/S416)-1)</f>
        <v>4.2433512606698809E-3</v>
      </c>
      <c r="U417" s="41">
        <f>IF(Tabela1716[[#This Row],[S&amp;P/Case-Shiller Home Price Index]]="",#N/A,((Tabela1716[[#This Row],[S&amp;P/Case-Shiller Home Price Index]]*1)/S405)-1)</f>
        <v>1.6849231230405826E-2</v>
      </c>
      <c r="V417" s="39"/>
      <c r="W417" s="9"/>
      <c r="X417" s="9"/>
    </row>
    <row r="418" spans="1:24" ht="12.75">
      <c r="A418" s="12">
        <v>34912</v>
      </c>
      <c r="B418" s="26">
        <v>7.88</v>
      </c>
      <c r="C418" s="29">
        <v>50</v>
      </c>
      <c r="D418" s="33">
        <v>1386</v>
      </c>
      <c r="E418" s="41">
        <f>IF(Tabela1716[[#This Row],[Building Permits]]="",#N/A,((Tabela1716[[#This Row],[Building Permits]]*1)/D406)-1)</f>
        <v>6.5359477124182774E-3</v>
      </c>
      <c r="F418" s="33">
        <v>774</v>
      </c>
      <c r="G418" s="41">
        <f>IF(Tabela1716[[#This Row],[Houses Under Construction]]="",#N/A,((Tabela1716[[#This Row],[Houses Under Construction]]*1)/F406)-1)</f>
        <v>1.2936610608020871E-3</v>
      </c>
      <c r="H418" s="33">
        <v>1416</v>
      </c>
      <c r="I418" s="33">
        <f>IF(Tabela1716[[#This Row],[Housing Starts]]="",#N/A,Tabela1716[[#This Row],[Housing Starts]]-H417)</f>
        <v>-45</v>
      </c>
      <c r="J418" s="41">
        <f>IF(Tabela1716[[#This Row],[Housing Starts]]="",#N/A,((Tabela1716[[#This Row],[Housing Starts]]*1)/H406)-1)</f>
        <v>-2.344827586206899E-2</v>
      </c>
      <c r="K418" s="33">
        <v>550996</v>
      </c>
      <c r="L418" s="41">
        <f>IF(Tabela1716[[#This Row],[Total Construction Spending]]="",#N/A,((Tabela1716[[#This Row],[Total Construction Spending]]*1)/K406)-1)</f>
        <v>2.4232284928247472E-2</v>
      </c>
      <c r="M418" s="27"/>
      <c r="N418" s="41"/>
      <c r="O418" s="33">
        <v>701</v>
      </c>
      <c r="P418" s="41">
        <f>IF(Tabela1716[[#This Row],[New House Sales]]="",#N/A,((Tabela1716[[#This Row],[New House Sales]]*1)/O417)-1)</f>
        <v>-8.3660130718954284E-2</v>
      </c>
      <c r="Q418" s="41">
        <f>IF(Tabela1716[[#This Row],[New House Sales]]="",#N/A,((Tabela1716[[#This Row],[New House Sales]]*1)/O406)-1)</f>
        <v>6.8597560975609762E-2</v>
      </c>
      <c r="R418" s="27">
        <v>6.1</v>
      </c>
      <c r="S418" s="86">
        <v>81.655000000000001</v>
      </c>
      <c r="T418" s="41">
        <f>IF(Tabela1716[[#This Row],[S&amp;P/Case-Shiller Home Price Index]]="",#N/A,((Tabela1716[[#This Row],[S&amp;P/Case-Shiller Home Price Index]]*1)/S417)-1)</f>
        <v>2.9848179629539118E-3</v>
      </c>
      <c r="U418" s="41">
        <f>IF(Tabela1716[[#This Row],[S&amp;P/Case-Shiller Home Price Index]]="",#N/A,((Tabela1716[[#This Row],[S&amp;P/Case-Shiller Home Price Index]]*1)/S406)-1)</f>
        <v>1.6658988757050297E-2</v>
      </c>
      <c r="V418" s="37"/>
      <c r="W418" s="9"/>
      <c r="X418" s="9"/>
    </row>
    <row r="419" spans="1:24" ht="12.75">
      <c r="A419" s="12">
        <v>34943</v>
      </c>
      <c r="B419" s="26">
        <v>7.62</v>
      </c>
      <c r="C419" s="29">
        <v>51</v>
      </c>
      <c r="D419" s="33">
        <v>1421</v>
      </c>
      <c r="E419" s="41">
        <f>IF(Tabela1716[[#This Row],[Building Permits]]="",#N/A,((Tabela1716[[#This Row],[Building Permits]]*1)/D407)-1)</f>
        <v>6.3739376770537426E-3</v>
      </c>
      <c r="F419" s="33">
        <v>780</v>
      </c>
      <c r="G419" s="41">
        <f>IF(Tabela1716[[#This Row],[Houses Under Construction]]="",#N/A,((Tabela1716[[#This Row],[Houses Under Construction]]*1)/F407)-1)</f>
        <v>7.7519379844961378E-3</v>
      </c>
      <c r="H419" s="33">
        <v>1369</v>
      </c>
      <c r="I419" s="33">
        <f>IF(Tabela1716[[#This Row],[Housing Starts]]="",#N/A,Tabela1716[[#This Row],[Housing Starts]]-H418)</f>
        <v>-47</v>
      </c>
      <c r="J419" s="41">
        <f>IF(Tabela1716[[#This Row],[Housing Starts]]="",#N/A,((Tabela1716[[#This Row],[Housing Starts]]*1)/H407)-1)</f>
        <v>-7.1234735413839845E-2</v>
      </c>
      <c r="K419" s="33">
        <v>554011</v>
      </c>
      <c r="L419" s="41">
        <f>IF(Tabela1716[[#This Row],[Total Construction Spending]]="",#N/A,((Tabela1716[[#This Row],[Total Construction Spending]]*1)/K407)-1)</f>
        <v>2.9348866159434328E-2</v>
      </c>
      <c r="M419" s="27"/>
      <c r="N419" s="41"/>
      <c r="O419" s="33">
        <v>678</v>
      </c>
      <c r="P419" s="41">
        <f>IF(Tabela1716[[#This Row],[New House Sales]]="",#N/A,((Tabela1716[[#This Row],[New House Sales]]*1)/O418)-1)</f>
        <v>-3.2810271041369465E-2</v>
      </c>
      <c r="Q419" s="41">
        <f>IF(Tabela1716[[#This Row],[New House Sales]]="",#N/A,((Tabela1716[[#This Row],[New House Sales]]*1)/O407)-1)</f>
        <v>1.477104874446189E-3</v>
      </c>
      <c r="R419" s="27">
        <v>6.3</v>
      </c>
      <c r="S419" s="86">
        <v>81.73899999999999</v>
      </c>
      <c r="T419" s="41">
        <f>IF(Tabela1716[[#This Row],[S&amp;P/Case-Shiller Home Price Index]]="",#N/A,((Tabela1716[[#This Row],[S&amp;P/Case-Shiller Home Price Index]]*1)/S418)-1)</f>
        <v>1.0287183883410655E-3</v>
      </c>
      <c r="U419" s="41">
        <f>IF(Tabela1716[[#This Row],[S&amp;P/Case-Shiller Home Price Index]]="",#N/A,((Tabela1716[[#This Row],[S&amp;P/Case-Shiller Home Price Index]]*1)/S407)-1)</f>
        <v>1.7413492656210838E-2</v>
      </c>
      <c r="V419" s="39"/>
      <c r="W419" s="9"/>
      <c r="X419" s="9"/>
    </row>
    <row r="420" spans="1:24" ht="12.75">
      <c r="A420" s="12">
        <v>34973</v>
      </c>
      <c r="B420" s="26">
        <v>7.45</v>
      </c>
      <c r="C420" s="29">
        <v>55</v>
      </c>
      <c r="D420" s="33">
        <v>1400</v>
      </c>
      <c r="E420" s="41">
        <f>IF(Tabela1716[[#This Row],[Building Permits]]="",#N/A,((Tabela1716[[#This Row],[Building Permits]]*1)/D408)-1)</f>
        <v>2.1474588403722628E-3</v>
      </c>
      <c r="F420" s="33">
        <v>781</v>
      </c>
      <c r="G420" s="41">
        <f>IF(Tabela1716[[#This Row],[Houses Under Construction]]="",#N/A,((Tabela1716[[#This Row],[Houses Under Construction]]*1)/F408)-1)</f>
        <v>7.7419354838710319E-3</v>
      </c>
      <c r="H420" s="33">
        <v>1369</v>
      </c>
      <c r="I420" s="33">
        <f>IF(Tabela1716[[#This Row],[Housing Starts]]="",#N/A,Tabela1716[[#This Row],[Housing Starts]]-H419)</f>
        <v>0</v>
      </c>
      <c r="J420" s="41">
        <f>IF(Tabela1716[[#This Row],[Housing Starts]]="",#N/A,((Tabela1716[[#This Row],[Housing Starts]]*1)/H408)-1)</f>
        <v>-5.5862068965517264E-2</v>
      </c>
      <c r="K420" s="33">
        <v>555132</v>
      </c>
      <c r="L420" s="41">
        <f>IF(Tabela1716[[#This Row],[Total Construction Spending]]="",#N/A,((Tabela1716[[#This Row],[Total Construction Spending]]*1)/K408)-1)</f>
        <v>4.0990262023391288E-2</v>
      </c>
      <c r="M420" s="27"/>
      <c r="N420" s="41"/>
      <c r="O420" s="33">
        <v>696</v>
      </c>
      <c r="P420" s="41">
        <f>IF(Tabela1716[[#This Row],[New House Sales]]="",#N/A,((Tabela1716[[#This Row],[New House Sales]]*1)/O419)-1)</f>
        <v>2.6548672566371723E-2</v>
      </c>
      <c r="Q420" s="41">
        <f>IF(Tabela1716[[#This Row],[New House Sales]]="",#N/A,((Tabela1716[[#This Row],[New House Sales]]*1)/O408)-1)</f>
        <v>-2.657342657342654E-2</v>
      </c>
      <c r="R420" s="27">
        <v>6.3</v>
      </c>
      <c r="S420" s="86">
        <v>81.727000000000004</v>
      </c>
      <c r="T420" s="41">
        <f>IF(Tabela1716[[#This Row],[S&amp;P/Case-Shiller Home Price Index]]="",#N/A,((Tabela1716[[#This Row],[S&amp;P/Case-Shiller Home Price Index]]*1)/S419)-1)</f>
        <v>-1.4680874490735629E-4</v>
      </c>
      <c r="U420" s="41">
        <f>IF(Tabela1716[[#This Row],[S&amp;P/Case-Shiller Home Price Index]]="",#N/A,((Tabela1716[[#This Row],[S&amp;P/Case-Shiller Home Price Index]]*1)/S408)-1)</f>
        <v>1.7720163379159271E-2</v>
      </c>
      <c r="V420" s="37"/>
      <c r="W420" s="9"/>
      <c r="X420" s="9"/>
    </row>
    <row r="421" spans="1:24" ht="12.75">
      <c r="A421" s="12">
        <v>35004</v>
      </c>
      <c r="B421" s="26">
        <v>7.35</v>
      </c>
      <c r="C421" s="29">
        <v>52</v>
      </c>
      <c r="D421" s="33">
        <v>1430</v>
      </c>
      <c r="E421" s="41">
        <f>IF(Tabela1716[[#This Row],[Building Permits]]="",#N/A,((Tabela1716[[#This Row],[Building Permits]]*1)/D409)-1)</f>
        <v>6.7164179104477695E-2</v>
      </c>
      <c r="F421" s="33">
        <v>786</v>
      </c>
      <c r="G421" s="41">
        <f>IF(Tabela1716[[#This Row],[Houses Under Construction]]="",#N/A,((Tabela1716[[#This Row],[Houses Under Construction]]*1)/F409)-1)</f>
        <v>1.2738853503184711E-3</v>
      </c>
      <c r="H421" s="33">
        <v>1452</v>
      </c>
      <c r="I421" s="33">
        <f>IF(Tabela1716[[#This Row],[Housing Starts]]="",#N/A,Tabela1716[[#This Row],[Housing Starts]]-H420)</f>
        <v>83</v>
      </c>
      <c r="J421" s="41">
        <f>IF(Tabela1716[[#This Row],[Housing Starts]]="",#N/A,((Tabela1716[[#This Row],[Housing Starts]]*1)/H409)-1)</f>
        <v>-3.9046988749172784E-2</v>
      </c>
      <c r="K421" s="33">
        <v>557445</v>
      </c>
      <c r="L421" s="41">
        <f>IF(Tabela1716[[#This Row],[Total Construction Spending]]="",#N/A,((Tabela1716[[#This Row],[Total Construction Spending]]*1)/K409)-1)</f>
        <v>3.3933042752480658E-2</v>
      </c>
      <c r="M421" s="27"/>
      <c r="N421" s="41"/>
      <c r="O421" s="33">
        <v>664</v>
      </c>
      <c r="P421" s="41">
        <f>IF(Tabela1716[[#This Row],[New House Sales]]="",#N/A,((Tabela1716[[#This Row],[New House Sales]]*1)/O420)-1)</f>
        <v>-4.5977011494252928E-2</v>
      </c>
      <c r="Q421" s="41">
        <f>IF(Tabela1716[[#This Row],[New House Sales]]="",#N/A,((Tabela1716[[#This Row],[New House Sales]]*1)/O409)-1)</f>
        <v>2.7863777089783381E-2</v>
      </c>
      <c r="R421" s="27">
        <v>6.8</v>
      </c>
      <c r="S421" s="86">
        <v>81.631</v>
      </c>
      <c r="T421" s="41">
        <f>IF(Tabela1716[[#This Row],[S&amp;P/Case-Shiller Home Price Index]]="",#N/A,((Tabela1716[[#This Row],[S&amp;P/Case-Shiller Home Price Index]]*1)/S420)-1)</f>
        <v>-1.1746424070381289E-3</v>
      </c>
      <c r="U421" s="41">
        <f>IF(Tabela1716[[#This Row],[S&amp;P/Case-Shiller Home Price Index]]="",#N/A,((Tabela1716[[#This Row],[S&amp;P/Case-Shiller Home Price Index]]*1)/S409)-1)</f>
        <v>1.8223774479231514E-2</v>
      </c>
      <c r="V421" s="39"/>
      <c r="W421" s="9"/>
      <c r="X421" s="9"/>
    </row>
    <row r="422" spans="1:24" ht="12.75">
      <c r="A422" s="12">
        <v>35034</v>
      </c>
      <c r="B422" s="26">
        <v>7.11</v>
      </c>
      <c r="C422" s="29">
        <v>53</v>
      </c>
      <c r="D422" s="33">
        <v>1442</v>
      </c>
      <c r="E422" s="41">
        <f>IF(Tabela1716[[#This Row],[Building Permits]]="",#N/A,((Tabela1716[[#This Row],[Building Permits]]*1)/D410)-1)</f>
        <v>3.2951289398280847E-2</v>
      </c>
      <c r="F422" s="33">
        <v>799</v>
      </c>
      <c r="G422" s="41">
        <f>IF(Tabela1716[[#This Row],[Houses Under Construction]]="",#N/A,((Tabela1716[[#This Row],[Houses Under Construction]]*1)/F410)-1)</f>
        <v>1.913265306122458E-2</v>
      </c>
      <c r="H422" s="33">
        <v>1431</v>
      </c>
      <c r="I422" s="33">
        <f>IF(Tabela1716[[#This Row],[Housing Starts]]="",#N/A,Tabela1716[[#This Row],[Housing Starts]]-H421)</f>
        <v>-21</v>
      </c>
      <c r="J422" s="41">
        <f>IF(Tabela1716[[#This Row],[Housing Starts]]="",#N/A,((Tabela1716[[#This Row],[Housing Starts]]*1)/H410)-1)</f>
        <v>-1.6494845360824795E-2</v>
      </c>
      <c r="K422" s="33">
        <v>557953</v>
      </c>
      <c r="L422" s="41">
        <f>IF(Tabela1716[[#This Row],[Total Construction Spending]]="",#N/A,((Tabela1716[[#This Row],[Total Construction Spending]]*1)/K410)-1)</f>
        <v>2.982498883339435E-2</v>
      </c>
      <c r="M422" s="27"/>
      <c r="N422" s="41"/>
      <c r="O422" s="33">
        <v>709</v>
      </c>
      <c r="P422" s="41">
        <f>IF(Tabela1716[[#This Row],[New House Sales]]="",#N/A,((Tabela1716[[#This Row],[New House Sales]]*1)/O421)-1)</f>
        <v>6.7771084337349352E-2</v>
      </c>
      <c r="Q422" s="41">
        <f>IF(Tabela1716[[#This Row],[New House Sales]]="",#N/A,((Tabela1716[[#This Row],[New House Sales]]*1)/O410)-1)</f>
        <v>0.12718600953895076</v>
      </c>
      <c r="R422" s="27">
        <v>6.4</v>
      </c>
      <c r="S422" s="86">
        <v>81.513999999999996</v>
      </c>
      <c r="T422" s="41">
        <f>IF(Tabela1716[[#This Row],[S&amp;P/Case-Shiller Home Price Index]]="",#N/A,((Tabela1716[[#This Row],[S&amp;P/Case-Shiller Home Price Index]]*1)/S421)-1)</f>
        <v>-1.4332790239003357E-3</v>
      </c>
      <c r="U422" s="41">
        <f>IF(Tabela1716[[#This Row],[S&amp;P/Case-Shiller Home Price Index]]="",#N/A,((Tabela1716[[#This Row],[S&amp;P/Case-Shiller Home Price Index]]*1)/S410)-1)</f>
        <v>1.7919804193359035E-2</v>
      </c>
      <c r="V422" s="37"/>
      <c r="W422" s="9"/>
      <c r="X422" s="9"/>
    </row>
    <row r="423" spans="1:24" ht="12.75">
      <c r="A423" s="12">
        <v>35065</v>
      </c>
      <c r="B423" s="26">
        <v>7</v>
      </c>
      <c r="C423" s="29">
        <v>54</v>
      </c>
      <c r="D423" s="33">
        <v>1387</v>
      </c>
      <c r="E423" s="41">
        <f>IF(Tabela1716[[#This Row],[Building Permits]]="",#N/A,((Tabela1716[[#This Row],[Building Permits]]*1)/D411)-1)</f>
        <v>8.19032761310452E-2</v>
      </c>
      <c r="F423" s="33">
        <v>803</v>
      </c>
      <c r="G423" s="41">
        <f>IF(Tabela1716[[#This Row],[Houses Under Construction]]="",#N/A,((Tabela1716[[#This Row],[Houses Under Construction]]*1)/F411)-1)</f>
        <v>2.5542784163473886E-2</v>
      </c>
      <c r="H423" s="33">
        <v>1467</v>
      </c>
      <c r="I423" s="33">
        <f>IF(Tabela1716[[#This Row],[Housing Starts]]="",#N/A,Tabela1716[[#This Row],[Housing Starts]]-H422)</f>
        <v>36</v>
      </c>
      <c r="J423" s="41">
        <f>IF(Tabela1716[[#This Row],[Housing Starts]]="",#N/A,((Tabela1716[[#This Row],[Housing Starts]]*1)/H411)-1)</f>
        <v>4.2643923240938131E-2</v>
      </c>
      <c r="K423" s="33">
        <v>575138</v>
      </c>
      <c r="L423" s="41">
        <f>IF(Tabela1716[[#This Row],[Total Construction Spending]]="",#N/A,((Tabela1716[[#This Row],[Total Construction Spending]]*1)/K411)-1)</f>
        <v>5.7375029875167849E-2</v>
      </c>
      <c r="M423" s="27"/>
      <c r="N423" s="41"/>
      <c r="O423" s="33">
        <v>714</v>
      </c>
      <c r="P423" s="41">
        <f>IF(Tabela1716[[#This Row],[New House Sales]]="",#N/A,((Tabela1716[[#This Row],[New House Sales]]*1)/O422)-1)</f>
        <v>7.0521861777150807E-3</v>
      </c>
      <c r="Q423" s="41">
        <f>IF(Tabela1716[[#This Row],[New House Sales]]="",#N/A,((Tabela1716[[#This Row],[New House Sales]]*1)/O411)-1)</f>
        <v>0.14057507987220452</v>
      </c>
      <c r="R423" s="27">
        <v>6.4</v>
      </c>
      <c r="S423" s="86">
        <v>81.426999999999992</v>
      </c>
      <c r="T423" s="41">
        <f>IF(Tabela1716[[#This Row],[S&amp;P/Case-Shiller Home Price Index]]="",#N/A,((Tabela1716[[#This Row],[S&amp;P/Case-Shiller Home Price Index]]*1)/S422)-1)</f>
        <v>-1.0673013224722361E-3</v>
      </c>
      <c r="U423" s="41">
        <f>IF(Tabela1716[[#This Row],[S&amp;P/Case-Shiller Home Price Index]]="",#N/A,((Tabela1716[[#This Row],[S&amp;P/Case-Shiller Home Price Index]]*1)/S411)-1)</f>
        <v>1.7494095742686788E-2</v>
      </c>
      <c r="V423" s="39"/>
      <c r="W423" s="9"/>
      <c r="X423" s="9"/>
    </row>
    <row r="424" spans="1:24" ht="12.75">
      <c r="A424" s="12">
        <v>35096</v>
      </c>
      <c r="B424" s="26">
        <v>7.32</v>
      </c>
      <c r="C424" s="29">
        <v>49</v>
      </c>
      <c r="D424" s="33">
        <v>1420</v>
      </c>
      <c r="E424" s="41">
        <f>IF(Tabela1716[[#This Row],[Building Permits]]="",#N/A,((Tabela1716[[#This Row],[Building Permits]]*1)/D412)-1)</f>
        <v>0.13237639553429026</v>
      </c>
      <c r="F424" s="33">
        <v>793</v>
      </c>
      <c r="G424" s="41">
        <f>IF(Tabela1716[[#This Row],[Houses Under Construction]]="",#N/A,((Tabela1716[[#This Row],[Houses Under Construction]]*1)/F412)-1)</f>
        <v>0</v>
      </c>
      <c r="H424" s="33">
        <v>1491</v>
      </c>
      <c r="I424" s="33">
        <f>IF(Tabela1716[[#This Row],[Housing Starts]]="",#N/A,Tabela1716[[#This Row],[Housing Starts]]-H423)</f>
        <v>24</v>
      </c>
      <c r="J424" s="41">
        <f>IF(Tabela1716[[#This Row],[Housing Starts]]="",#N/A,((Tabela1716[[#This Row],[Housing Starts]]*1)/H412)-1)</f>
        <v>0.13297872340425543</v>
      </c>
      <c r="K424" s="33">
        <v>568052</v>
      </c>
      <c r="L424" s="41">
        <f>IF(Tabela1716[[#This Row],[Total Construction Spending]]="",#N/A,((Tabela1716[[#This Row],[Total Construction Spending]]*1)/K412)-1)</f>
        <v>5.6200332449528378E-2</v>
      </c>
      <c r="M424" s="27"/>
      <c r="N424" s="41"/>
      <c r="O424" s="33">
        <v>769</v>
      </c>
      <c r="P424" s="41">
        <f>IF(Tabela1716[[#This Row],[New House Sales]]="",#N/A,((Tabela1716[[#This Row],[New House Sales]]*1)/O423)-1)</f>
        <v>7.703081232492992E-2</v>
      </c>
      <c r="Q424" s="41">
        <f>IF(Tabela1716[[#This Row],[New House Sales]]="",#N/A,((Tabela1716[[#This Row],[New House Sales]]*1)/O412)-1)</f>
        <v>0.37567084078711988</v>
      </c>
      <c r="R424" s="27">
        <v>5.3</v>
      </c>
      <c r="S424" s="86">
        <v>81.400000000000006</v>
      </c>
      <c r="T424" s="41">
        <f>IF(Tabela1716[[#This Row],[S&amp;P/Case-Shiller Home Price Index]]="",#N/A,((Tabela1716[[#This Row],[S&amp;P/Case-Shiller Home Price Index]]*1)/S423)-1)</f>
        <v>-3.315853463836671E-4</v>
      </c>
      <c r="U424" s="41">
        <f>IF(Tabela1716[[#This Row],[S&amp;P/Case-Shiller Home Price Index]]="",#N/A,((Tabela1716[[#This Row],[S&amp;P/Case-Shiller Home Price Index]]*1)/S412)-1)</f>
        <v>1.7601760176017667E-2</v>
      </c>
      <c r="V424" s="37"/>
      <c r="W424" s="9"/>
      <c r="X424" s="9"/>
    </row>
    <row r="425" spans="1:24" ht="12.75">
      <c r="A425" s="12">
        <v>35125</v>
      </c>
      <c r="B425" s="26">
        <v>7.69</v>
      </c>
      <c r="C425" s="29">
        <v>59</v>
      </c>
      <c r="D425" s="33">
        <v>1437</v>
      </c>
      <c r="E425" s="41">
        <f>IF(Tabela1716[[#This Row],[Building Permits]]="",#N/A,((Tabela1716[[#This Row],[Building Permits]]*1)/D413)-1)</f>
        <v>0.17210440456769982</v>
      </c>
      <c r="F425" s="33">
        <v>814</v>
      </c>
      <c r="G425" s="41">
        <f>IF(Tabela1716[[#This Row],[Houses Under Construction]]="",#N/A,((Tabela1716[[#This Row],[Houses Under Construction]]*1)/F413)-1)</f>
        <v>5.5771725032425445E-2</v>
      </c>
      <c r="H425" s="33">
        <v>1424</v>
      </c>
      <c r="I425" s="33">
        <f>IF(Tabela1716[[#This Row],[Housing Starts]]="",#N/A,Tabela1716[[#This Row],[Housing Starts]]-H424)</f>
        <v>-67</v>
      </c>
      <c r="J425" s="41">
        <f>IF(Tabela1716[[#This Row],[Housing Starts]]="",#N/A,((Tabela1716[[#This Row],[Housing Starts]]*1)/H413)-1)</f>
        <v>0.14011208967173738</v>
      </c>
      <c r="K425" s="33">
        <v>574538</v>
      </c>
      <c r="L425" s="41">
        <f>IF(Tabela1716[[#This Row],[Total Construction Spending]]="",#N/A,((Tabela1716[[#This Row],[Total Construction Spending]]*1)/K413)-1)</f>
        <v>5.8636669338418823E-2</v>
      </c>
      <c r="M425" s="27"/>
      <c r="N425" s="41"/>
      <c r="O425" s="33">
        <v>721</v>
      </c>
      <c r="P425" s="41">
        <f>IF(Tabela1716[[#This Row],[New House Sales]]="",#N/A,((Tabela1716[[#This Row],[New House Sales]]*1)/O424)-1)</f>
        <v>-6.2418725617685356E-2</v>
      </c>
      <c r="Q425" s="41">
        <f>IF(Tabela1716[[#This Row],[New House Sales]]="",#N/A,((Tabela1716[[#This Row],[New House Sales]]*1)/O413)-1)</f>
        <v>0.17045454545454541</v>
      </c>
      <c r="R425" s="27">
        <v>6.2</v>
      </c>
      <c r="S425" s="86">
        <v>81.665000000000006</v>
      </c>
      <c r="T425" s="41">
        <f>IF(Tabela1716[[#This Row],[S&amp;P/Case-Shiller Home Price Index]]="",#N/A,((Tabela1716[[#This Row],[S&amp;P/Case-Shiller Home Price Index]]*1)/S424)-1)</f>
        <v>3.2555282555282172E-3</v>
      </c>
      <c r="U425" s="41">
        <f>IF(Tabela1716[[#This Row],[S&amp;P/Case-Shiller Home Price Index]]="",#N/A,((Tabela1716[[#This Row],[S&amp;P/Case-Shiller Home Price Index]]*1)/S413)-1)</f>
        <v>1.9818177277154847E-2</v>
      </c>
      <c r="V425" s="39"/>
      <c r="W425" s="9"/>
      <c r="X425" s="9"/>
    </row>
    <row r="426" spans="1:24" ht="12.75">
      <c r="A426" s="12">
        <v>35156</v>
      </c>
      <c r="B426" s="26">
        <v>7.92</v>
      </c>
      <c r="C426" s="29">
        <v>60</v>
      </c>
      <c r="D426" s="33">
        <v>1463</v>
      </c>
      <c r="E426" s="41">
        <f>IF(Tabela1716[[#This Row],[Building Permits]]="",#N/A,((Tabela1716[[#This Row],[Building Permits]]*1)/D414)-1)</f>
        <v>0.16203335980937261</v>
      </c>
      <c r="F426" s="33">
        <v>827</v>
      </c>
      <c r="G426" s="41">
        <f>IF(Tabela1716[[#This Row],[Houses Under Construction]]="",#N/A,((Tabela1716[[#This Row],[Houses Under Construction]]*1)/F414)-1)</f>
        <v>8.6727989487516366E-2</v>
      </c>
      <c r="H426" s="33">
        <v>1516</v>
      </c>
      <c r="I426" s="33">
        <f>IF(Tabela1716[[#This Row],[Housing Starts]]="",#N/A,Tabela1716[[#This Row],[Housing Starts]]-H425)</f>
        <v>92</v>
      </c>
      <c r="J426" s="41">
        <f>IF(Tabela1716[[#This Row],[Housing Starts]]="",#N/A,((Tabela1716[[#This Row],[Housing Starts]]*1)/H414)-1)</f>
        <v>0.19652722967640091</v>
      </c>
      <c r="K426" s="33">
        <v>590464</v>
      </c>
      <c r="L426" s="41">
        <f>IF(Tabela1716[[#This Row],[Total Construction Spending]]="",#N/A,((Tabela1716[[#This Row],[Total Construction Spending]]*1)/K414)-1)</f>
        <v>8.7218465980231752E-2</v>
      </c>
      <c r="M426" s="27"/>
      <c r="N426" s="41"/>
      <c r="O426" s="33">
        <v>736</v>
      </c>
      <c r="P426" s="41">
        <f>IF(Tabela1716[[#This Row],[New House Sales]]="",#N/A,((Tabela1716[[#This Row],[New House Sales]]*1)/O425)-1)</f>
        <v>2.0804438280166426E-2</v>
      </c>
      <c r="Q426" s="41">
        <f>IF(Tabela1716[[#This Row],[New House Sales]]="",#N/A,((Tabela1716[[#This Row],[New House Sales]]*1)/O414)-1)</f>
        <v>0.18518518518518512</v>
      </c>
      <c r="R426" s="27">
        <v>6</v>
      </c>
      <c r="S426" s="86">
        <v>82.125</v>
      </c>
      <c r="T426" s="41">
        <f>IF(Tabela1716[[#This Row],[S&amp;P/Case-Shiller Home Price Index]]="",#N/A,((Tabela1716[[#This Row],[S&amp;P/Case-Shiller Home Price Index]]*1)/S425)-1)</f>
        <v>5.6327680156738058E-3</v>
      </c>
      <c r="U426" s="41">
        <f>IF(Tabela1716[[#This Row],[S&amp;P/Case-Shiller Home Price Index]]="",#N/A,((Tabela1716[[#This Row],[S&amp;P/Case-Shiller Home Price Index]]*1)/S414)-1)</f>
        <v>2.1849220470579356E-2</v>
      </c>
      <c r="V426" s="37"/>
      <c r="W426" s="9"/>
      <c r="X426" s="9"/>
    </row>
    <row r="427" spans="1:24" ht="12.75">
      <c r="A427" s="12">
        <v>35186</v>
      </c>
      <c r="B427" s="26">
        <v>8.0299999999999994</v>
      </c>
      <c r="C427" s="29">
        <v>61</v>
      </c>
      <c r="D427" s="33">
        <v>1457</v>
      </c>
      <c r="E427" s="41">
        <f>IF(Tabela1716[[#This Row],[Building Permits]]="",#N/A,((Tabela1716[[#This Row],[Building Permits]]*1)/D415)-1)</f>
        <v>0.14634146341463405</v>
      </c>
      <c r="F427" s="33">
        <v>832</v>
      </c>
      <c r="G427" s="41">
        <f>IF(Tabela1716[[#This Row],[Houses Under Construction]]="",#N/A,((Tabela1716[[#This Row],[Houses Under Construction]]*1)/F415)-1)</f>
        <v>9.7625329815303363E-2</v>
      </c>
      <c r="H427" s="33">
        <v>1504</v>
      </c>
      <c r="I427" s="33">
        <f>IF(Tabela1716[[#This Row],[Housing Starts]]="",#N/A,Tabela1716[[#This Row],[Housing Starts]]-H426)</f>
        <v>-12</v>
      </c>
      <c r="J427" s="41">
        <f>IF(Tabela1716[[#This Row],[Housing Starts]]="",#N/A,((Tabela1716[[#This Row],[Housing Starts]]*1)/H415)-1)</f>
        <v>0.14459665144596645</v>
      </c>
      <c r="K427" s="33">
        <v>600186</v>
      </c>
      <c r="L427" s="41">
        <f>IF(Tabela1716[[#This Row],[Total Construction Spending]]="",#N/A,((Tabela1716[[#This Row],[Total Construction Spending]]*1)/K415)-1)</f>
        <v>0.10619906149666591</v>
      </c>
      <c r="M427" s="27"/>
      <c r="N427" s="41"/>
      <c r="O427" s="33">
        <v>746</v>
      </c>
      <c r="P427" s="41">
        <f>IF(Tabela1716[[#This Row],[New House Sales]]="",#N/A,((Tabela1716[[#This Row],[New House Sales]]*1)/O426)-1)</f>
        <v>1.3586956521739024E-2</v>
      </c>
      <c r="Q427" s="41">
        <f>IF(Tabela1716[[#This Row],[New House Sales]]="",#N/A,((Tabela1716[[#This Row],[New House Sales]]*1)/O415)-1)</f>
        <v>0.10682492581602365</v>
      </c>
      <c r="R427" s="27">
        <v>5.9</v>
      </c>
      <c r="S427" s="86">
        <v>82.602000000000004</v>
      </c>
      <c r="T427" s="41">
        <f>IF(Tabela1716[[#This Row],[S&amp;P/Case-Shiller Home Price Index]]="",#N/A,((Tabela1716[[#This Row],[S&amp;P/Case-Shiller Home Price Index]]*1)/S426)-1)</f>
        <v>5.8082191780821635E-3</v>
      </c>
      <c r="U427" s="41">
        <f>IF(Tabela1716[[#This Row],[S&amp;P/Case-Shiller Home Price Index]]="",#N/A,((Tabela1716[[#This Row],[S&amp;P/Case-Shiller Home Price Index]]*1)/S415)-1)</f>
        <v>2.3682938617689775E-2</v>
      </c>
      <c r="V427" s="39"/>
      <c r="W427" s="9"/>
      <c r="X427" s="9"/>
    </row>
    <row r="428" spans="1:24" ht="12.75">
      <c r="A428" s="12">
        <v>35217</v>
      </c>
      <c r="B428" s="26">
        <v>8.2899999999999991</v>
      </c>
      <c r="C428" s="29">
        <v>59</v>
      </c>
      <c r="D428" s="33">
        <v>1429</v>
      </c>
      <c r="E428" s="41">
        <f>IF(Tabela1716[[#This Row],[Building Permits]]="",#N/A,((Tabela1716[[#This Row],[Building Permits]]*1)/D416)-1)</f>
        <v>9.5019157088122697E-2</v>
      </c>
      <c r="F428" s="33">
        <v>826</v>
      </c>
      <c r="G428" s="41">
        <f>IF(Tabela1716[[#This Row],[Houses Under Construction]]="",#N/A,((Tabela1716[[#This Row],[Houses Under Construction]]*1)/F416)-1)</f>
        <v>8.8274044795783935E-2</v>
      </c>
      <c r="H428" s="33">
        <v>1467</v>
      </c>
      <c r="I428" s="33">
        <f>IF(Tabela1716[[#This Row],[Housing Starts]]="",#N/A,Tabela1716[[#This Row],[Housing Starts]]-H427)</f>
        <v>-37</v>
      </c>
      <c r="J428" s="41">
        <f>IF(Tabela1716[[#This Row],[Housing Starts]]="",#N/A,((Tabela1716[[#This Row],[Housing Starts]]*1)/H416)-1)</f>
        <v>0.14519906323185006</v>
      </c>
      <c r="K428" s="33">
        <v>602150</v>
      </c>
      <c r="L428" s="41">
        <f>IF(Tabela1716[[#This Row],[Total Construction Spending]]="",#N/A,((Tabela1716[[#This Row],[Total Construction Spending]]*1)/K416)-1)</f>
        <v>0.10257429078371305</v>
      </c>
      <c r="M428" s="27"/>
      <c r="N428" s="41"/>
      <c r="O428" s="33">
        <v>721</v>
      </c>
      <c r="P428" s="41">
        <f>IF(Tabela1716[[#This Row],[New House Sales]]="",#N/A,((Tabela1716[[#This Row],[New House Sales]]*1)/O427)-1)</f>
        <v>-3.3512064343163561E-2</v>
      </c>
      <c r="Q428" s="41">
        <f>IF(Tabela1716[[#This Row],[New House Sales]]="",#N/A,((Tabela1716[[#This Row],[New House Sales]]*1)/O416)-1)</f>
        <v>-5.5172413793103114E-3</v>
      </c>
      <c r="R428" s="27">
        <v>6</v>
      </c>
      <c r="S428" s="86">
        <v>83.048999999999992</v>
      </c>
      <c r="T428" s="41">
        <f>IF(Tabela1716[[#This Row],[S&amp;P/Case-Shiller Home Price Index]]="",#N/A,((Tabela1716[[#This Row],[S&amp;P/Case-Shiller Home Price Index]]*1)/S427)-1)</f>
        <v>5.4114912471852072E-3</v>
      </c>
      <c r="U428" s="41">
        <f>IF(Tabela1716[[#This Row],[S&amp;P/Case-Shiller Home Price Index]]="",#N/A,((Tabela1716[[#This Row],[S&amp;P/Case-Shiller Home Price Index]]*1)/S416)-1)</f>
        <v>2.4436275719149192E-2</v>
      </c>
      <c r="V428" s="37"/>
      <c r="W428" s="9"/>
      <c r="X428" s="9"/>
    </row>
    <row r="429" spans="1:24" ht="12.75">
      <c r="A429" s="12">
        <v>35247</v>
      </c>
      <c r="B429" s="26">
        <v>8.19</v>
      </c>
      <c r="C429" s="29">
        <v>58</v>
      </c>
      <c r="D429" s="33">
        <v>1450</v>
      </c>
      <c r="E429" s="41">
        <f>IF(Tabela1716[[#This Row],[Building Permits]]="",#N/A,((Tabela1716[[#This Row],[Building Permits]]*1)/D417)-1)</f>
        <v>7.0901033973412186E-2</v>
      </c>
      <c r="F429" s="33">
        <v>824</v>
      </c>
      <c r="G429" s="41">
        <f>IF(Tabela1716[[#This Row],[Houses Under Construction]]="",#N/A,((Tabela1716[[#This Row],[Houses Under Construction]]*1)/F417)-1)</f>
        <v>8.1364829396325389E-2</v>
      </c>
      <c r="H429" s="33">
        <v>1472</v>
      </c>
      <c r="I429" s="33">
        <f>IF(Tabela1716[[#This Row],[Housing Starts]]="",#N/A,Tabela1716[[#This Row],[Housing Starts]]-H428)</f>
        <v>5</v>
      </c>
      <c r="J429" s="41">
        <f>IF(Tabela1716[[#This Row],[Housing Starts]]="",#N/A,((Tabela1716[[#This Row],[Housing Starts]]*1)/H417)-1)</f>
        <v>7.5290896646131866E-3</v>
      </c>
      <c r="K429" s="33">
        <v>599899</v>
      </c>
      <c r="L429" s="41">
        <f>IF(Tabela1716[[#This Row],[Total Construction Spending]]="",#N/A,((Tabela1716[[#This Row],[Total Construction Spending]]*1)/K417)-1)</f>
        <v>9.6022231073076725E-2</v>
      </c>
      <c r="M429" s="27"/>
      <c r="N429" s="41"/>
      <c r="O429" s="33">
        <v>770</v>
      </c>
      <c r="P429" s="41">
        <f>IF(Tabela1716[[#This Row],[New House Sales]]="",#N/A,((Tabela1716[[#This Row],[New House Sales]]*1)/O428)-1)</f>
        <v>6.7961165048543659E-2</v>
      </c>
      <c r="Q429" s="41">
        <f>IF(Tabela1716[[#This Row],[New House Sales]]="",#N/A,((Tabela1716[[#This Row],[New House Sales]]*1)/O417)-1)</f>
        <v>6.5359477124182774E-3</v>
      </c>
      <c r="R429" s="27">
        <v>5.7</v>
      </c>
      <c r="S429" s="86">
        <v>83.418999999999997</v>
      </c>
      <c r="T429" s="41">
        <f>IF(Tabela1716[[#This Row],[S&amp;P/Case-Shiller Home Price Index]]="",#N/A,((Tabela1716[[#This Row],[S&amp;P/Case-Shiller Home Price Index]]*1)/S428)-1)</f>
        <v>4.4552011463112606E-3</v>
      </c>
      <c r="U429" s="41">
        <f>IF(Tabela1716[[#This Row],[S&amp;P/Case-Shiller Home Price Index]]="",#N/A,((Tabela1716[[#This Row],[S&amp;P/Case-Shiller Home Price Index]]*1)/S417)-1)</f>
        <v>2.465238539773007E-2</v>
      </c>
      <c r="V429" s="39"/>
      <c r="W429" s="9"/>
      <c r="X429" s="9"/>
    </row>
    <row r="430" spans="1:24" ht="12.75">
      <c r="A430" s="12">
        <v>35278</v>
      </c>
      <c r="B430" s="26">
        <v>8.09</v>
      </c>
      <c r="C430" s="29">
        <v>56</v>
      </c>
      <c r="D430" s="33">
        <v>1413</v>
      </c>
      <c r="E430" s="41">
        <f>IF(Tabela1716[[#This Row],[Building Permits]]="",#N/A,((Tabela1716[[#This Row],[Building Permits]]*1)/D418)-1)</f>
        <v>1.9480519480519431E-2</v>
      </c>
      <c r="F430" s="33">
        <v>820</v>
      </c>
      <c r="G430" s="41">
        <f>IF(Tabela1716[[#This Row],[Houses Under Construction]]="",#N/A,((Tabela1716[[#This Row],[Houses Under Construction]]*1)/F418)-1)</f>
        <v>5.9431524547803649E-2</v>
      </c>
      <c r="H430" s="33">
        <v>1557</v>
      </c>
      <c r="I430" s="33">
        <f>IF(Tabela1716[[#This Row],[Housing Starts]]="",#N/A,Tabela1716[[#This Row],[Housing Starts]]-H429)</f>
        <v>85</v>
      </c>
      <c r="J430" s="41">
        <f>IF(Tabela1716[[#This Row],[Housing Starts]]="",#N/A,((Tabela1716[[#This Row],[Housing Starts]]*1)/H418)-1)</f>
        <v>9.9576271186440746E-2</v>
      </c>
      <c r="K430" s="33">
        <v>603959</v>
      </c>
      <c r="L430" s="41">
        <f>IF(Tabela1716[[#This Row],[Total Construction Spending]]="",#N/A,((Tabela1716[[#This Row],[Total Construction Spending]]*1)/K418)-1)</f>
        <v>9.6122294898692617E-2</v>
      </c>
      <c r="M430" s="27"/>
      <c r="N430" s="41"/>
      <c r="O430" s="33">
        <v>826</v>
      </c>
      <c r="P430" s="41">
        <f>IF(Tabela1716[[#This Row],[New House Sales]]="",#N/A,((Tabela1716[[#This Row],[New House Sales]]*1)/O429)-1)</f>
        <v>7.2727272727272751E-2</v>
      </c>
      <c r="Q430" s="41">
        <f>IF(Tabela1716[[#This Row],[New House Sales]]="",#N/A,((Tabela1716[[#This Row],[New House Sales]]*1)/O418)-1)</f>
        <v>0.17831669044222531</v>
      </c>
      <c r="R430" s="27">
        <v>5</v>
      </c>
      <c r="S430" s="86">
        <v>83.644999999999996</v>
      </c>
      <c r="T430" s="41">
        <f>IF(Tabela1716[[#This Row],[S&amp;P/Case-Shiller Home Price Index]]="",#N/A,((Tabela1716[[#This Row],[S&amp;P/Case-Shiller Home Price Index]]*1)/S429)-1)</f>
        <v>2.7092149270548926E-3</v>
      </c>
      <c r="U430" s="41">
        <f>IF(Tabela1716[[#This Row],[S&amp;P/Case-Shiller Home Price Index]]="",#N/A,((Tabela1716[[#This Row],[S&amp;P/Case-Shiller Home Price Index]]*1)/S418)-1)</f>
        <v>2.4370828485702045E-2</v>
      </c>
      <c r="V430" s="37"/>
      <c r="W430" s="9"/>
      <c r="X430" s="9"/>
    </row>
    <row r="431" spans="1:24" ht="12.75">
      <c r="A431" s="12">
        <v>35309</v>
      </c>
      <c r="B431" s="26">
        <v>8.16</v>
      </c>
      <c r="C431" s="29">
        <v>55</v>
      </c>
      <c r="D431" s="33">
        <v>1392</v>
      </c>
      <c r="E431" s="41">
        <f>IF(Tabela1716[[#This Row],[Building Permits]]="",#N/A,((Tabela1716[[#This Row],[Building Permits]]*1)/D419)-1)</f>
        <v>-2.0408163265306145E-2</v>
      </c>
      <c r="F431" s="33">
        <v>824</v>
      </c>
      <c r="G431" s="41">
        <f>IF(Tabela1716[[#This Row],[Houses Under Construction]]="",#N/A,((Tabela1716[[#This Row],[Houses Under Construction]]*1)/F419)-1)</f>
        <v>5.6410256410256432E-2</v>
      </c>
      <c r="H431" s="33">
        <v>1475</v>
      </c>
      <c r="I431" s="33">
        <f>IF(Tabela1716[[#This Row],[Housing Starts]]="",#N/A,Tabela1716[[#This Row],[Housing Starts]]-H430)</f>
        <v>-82</v>
      </c>
      <c r="J431" s="41">
        <f>IF(Tabela1716[[#This Row],[Housing Starts]]="",#N/A,((Tabela1716[[#This Row],[Housing Starts]]*1)/H419)-1)</f>
        <v>7.7428780131482799E-2</v>
      </c>
      <c r="K431" s="33">
        <v>615466</v>
      </c>
      <c r="L431" s="41">
        <f>IF(Tabela1716[[#This Row],[Total Construction Spending]]="",#N/A,((Tabela1716[[#This Row],[Total Construction Spending]]*1)/K419)-1)</f>
        <v>0.11092740035847659</v>
      </c>
      <c r="M431" s="27"/>
      <c r="N431" s="41"/>
      <c r="O431" s="33">
        <v>770</v>
      </c>
      <c r="P431" s="41">
        <f>IF(Tabela1716[[#This Row],[New House Sales]]="",#N/A,((Tabela1716[[#This Row],[New House Sales]]*1)/O430)-1)</f>
        <v>-6.7796610169491567E-2</v>
      </c>
      <c r="Q431" s="41">
        <f>IF(Tabela1716[[#This Row],[New House Sales]]="",#N/A,((Tabela1716[[#This Row],[New House Sales]]*1)/O419)-1)</f>
        <v>0.13569321533923295</v>
      </c>
      <c r="R431" s="27">
        <v>5.2</v>
      </c>
      <c r="S431" s="86">
        <v>83.702000000000012</v>
      </c>
      <c r="T431" s="41">
        <f>IF(Tabela1716[[#This Row],[S&amp;P/Case-Shiller Home Price Index]]="",#N/A,((Tabela1716[[#This Row],[S&amp;P/Case-Shiller Home Price Index]]*1)/S430)-1)</f>
        <v>6.8145137186936822E-4</v>
      </c>
      <c r="U431" s="41">
        <f>IF(Tabela1716[[#This Row],[S&amp;P/Case-Shiller Home Price Index]]="",#N/A,((Tabela1716[[#This Row],[S&amp;P/Case-Shiller Home Price Index]]*1)/S419)-1)</f>
        <v>2.4015463854463848E-2</v>
      </c>
      <c r="V431" s="39"/>
      <c r="W431" s="9"/>
      <c r="X431" s="9"/>
    </row>
    <row r="432" spans="1:24" ht="12.75">
      <c r="A432" s="12">
        <v>35339</v>
      </c>
      <c r="B432" s="26">
        <v>7.86</v>
      </c>
      <c r="C432" s="29">
        <v>56</v>
      </c>
      <c r="D432" s="33">
        <v>1358</v>
      </c>
      <c r="E432" s="41">
        <f>IF(Tabela1716[[#This Row],[Building Permits]]="",#N/A,((Tabela1716[[#This Row],[Building Permits]]*1)/D420)-1)</f>
        <v>-3.0000000000000027E-2</v>
      </c>
      <c r="F432" s="33">
        <v>821</v>
      </c>
      <c r="G432" s="41">
        <f>IF(Tabela1716[[#This Row],[Houses Under Construction]]="",#N/A,((Tabela1716[[#This Row],[Houses Under Construction]]*1)/F420)-1)</f>
        <v>5.1216389244558291E-2</v>
      </c>
      <c r="H432" s="33">
        <v>1392</v>
      </c>
      <c r="I432" s="33">
        <f>IF(Tabela1716[[#This Row],[Housing Starts]]="",#N/A,Tabela1716[[#This Row],[Housing Starts]]-H431)</f>
        <v>-83</v>
      </c>
      <c r="J432" s="41">
        <f>IF(Tabela1716[[#This Row],[Housing Starts]]="",#N/A,((Tabela1716[[#This Row],[Housing Starts]]*1)/H420)-1)</f>
        <v>1.6800584368152016E-2</v>
      </c>
      <c r="K432" s="33">
        <v>621761</v>
      </c>
      <c r="L432" s="41">
        <f>IF(Tabela1716[[#This Row],[Total Construction Spending]]="",#N/A,((Tabela1716[[#This Row],[Total Construction Spending]]*1)/K420)-1)</f>
        <v>0.12002370607351054</v>
      </c>
      <c r="M432" s="27"/>
      <c r="N432" s="41"/>
      <c r="O432" s="33">
        <v>720</v>
      </c>
      <c r="P432" s="41">
        <f>IF(Tabela1716[[#This Row],[New House Sales]]="",#N/A,((Tabela1716[[#This Row],[New House Sales]]*1)/O431)-1)</f>
        <v>-6.4935064935064957E-2</v>
      </c>
      <c r="Q432" s="41">
        <f>IF(Tabela1716[[#This Row],[New House Sales]]="",#N/A,((Tabela1716[[#This Row],[New House Sales]]*1)/O420)-1)</f>
        <v>3.4482758620689724E-2</v>
      </c>
      <c r="R432" s="27">
        <v>5.6</v>
      </c>
      <c r="S432" s="86">
        <v>83.628999999999991</v>
      </c>
      <c r="T432" s="41">
        <f>IF(Tabela1716[[#This Row],[S&amp;P/Case-Shiller Home Price Index]]="",#N/A,((Tabela1716[[#This Row],[S&amp;P/Case-Shiller Home Price Index]]*1)/S431)-1)</f>
        <v>-8.7214164536120187E-4</v>
      </c>
      <c r="U432" s="41">
        <f>IF(Tabela1716[[#This Row],[S&amp;P/Case-Shiller Home Price Index]]="",#N/A,((Tabela1716[[#This Row],[S&amp;P/Case-Shiller Home Price Index]]*1)/S420)-1)</f>
        <v>2.3272602689441424E-2</v>
      </c>
      <c r="V432" s="37"/>
      <c r="W432" s="9"/>
      <c r="X432" s="9"/>
    </row>
    <row r="433" spans="1:24" ht="12.75">
      <c r="A433" s="12">
        <v>35370</v>
      </c>
      <c r="B433" s="26">
        <v>7.52</v>
      </c>
      <c r="C433" s="29">
        <v>54</v>
      </c>
      <c r="D433" s="33">
        <v>1412</v>
      </c>
      <c r="E433" s="41">
        <f>IF(Tabela1716[[#This Row],[Building Permits]]="",#N/A,((Tabela1716[[#This Row],[Building Permits]]*1)/D421)-1)</f>
        <v>-1.2587412587412583E-2</v>
      </c>
      <c r="F433" s="33">
        <v>829</v>
      </c>
      <c r="G433" s="41">
        <f>IF(Tabela1716[[#This Row],[Houses Under Construction]]="",#N/A,((Tabela1716[[#This Row],[Houses Under Construction]]*1)/F421)-1)</f>
        <v>5.4707379134860012E-2</v>
      </c>
      <c r="H433" s="33">
        <v>1489</v>
      </c>
      <c r="I433" s="33">
        <f>IF(Tabela1716[[#This Row],[Housing Starts]]="",#N/A,Tabela1716[[#This Row],[Housing Starts]]-H432)</f>
        <v>97</v>
      </c>
      <c r="J433" s="41">
        <f>IF(Tabela1716[[#This Row],[Housing Starts]]="",#N/A,((Tabela1716[[#This Row],[Housing Starts]]*1)/H421)-1)</f>
        <v>2.5482093663911742E-2</v>
      </c>
      <c r="K433" s="33">
        <v>620812</v>
      </c>
      <c r="L433" s="41">
        <f>IF(Tabela1716[[#This Row],[Total Construction Spending]]="",#N/A,((Tabela1716[[#This Row],[Total Construction Spending]]*1)/K421)-1)</f>
        <v>0.11367399474387607</v>
      </c>
      <c r="M433" s="27"/>
      <c r="N433" s="41"/>
      <c r="O433" s="33">
        <v>771</v>
      </c>
      <c r="P433" s="41">
        <f>IF(Tabela1716[[#This Row],[New House Sales]]="",#N/A,((Tabela1716[[#This Row],[New House Sales]]*1)/O432)-1)</f>
        <v>7.0833333333333304E-2</v>
      </c>
      <c r="Q433" s="41">
        <f>IF(Tabela1716[[#This Row],[New House Sales]]="",#N/A,((Tabela1716[[#This Row],[New House Sales]]*1)/O421)-1)</f>
        <v>0.16114457831325302</v>
      </c>
      <c r="R433" s="27">
        <v>5.2</v>
      </c>
      <c r="S433" s="86">
        <v>83.555999999999997</v>
      </c>
      <c r="T433" s="41">
        <f>IF(Tabela1716[[#This Row],[S&amp;P/Case-Shiller Home Price Index]]="",#N/A,((Tabela1716[[#This Row],[S&amp;P/Case-Shiller Home Price Index]]*1)/S432)-1)</f>
        <v>-8.729029403674593E-4</v>
      </c>
      <c r="U433" s="41">
        <f>IF(Tabela1716[[#This Row],[S&amp;P/Case-Shiller Home Price Index]]="",#N/A,((Tabela1716[[#This Row],[S&amp;P/Case-Shiller Home Price Index]]*1)/S421)-1)</f>
        <v>2.3581727529982555E-2</v>
      </c>
      <c r="V433" s="39"/>
      <c r="W433" s="9"/>
      <c r="X433" s="9"/>
    </row>
    <row r="434" spans="1:24" ht="12.75">
      <c r="A434" s="12">
        <v>35400</v>
      </c>
      <c r="B434" s="26">
        <v>7.64</v>
      </c>
      <c r="C434" s="29">
        <v>55</v>
      </c>
      <c r="D434" s="33">
        <v>1411</v>
      </c>
      <c r="E434" s="41">
        <f>IF(Tabela1716[[#This Row],[Building Permits]]="",#N/A,((Tabela1716[[#This Row],[Building Permits]]*1)/D422)-1)</f>
        <v>-2.1497919556171974E-2</v>
      </c>
      <c r="F434" s="33">
        <v>814</v>
      </c>
      <c r="G434" s="41">
        <f>IF(Tabela1716[[#This Row],[Houses Under Construction]]="",#N/A,((Tabela1716[[#This Row],[Houses Under Construction]]*1)/F422)-1)</f>
        <v>1.8773466833541974E-2</v>
      </c>
      <c r="H434" s="33">
        <v>1370</v>
      </c>
      <c r="I434" s="33">
        <f>IF(Tabela1716[[#This Row],[Housing Starts]]="",#N/A,Tabela1716[[#This Row],[Housing Starts]]-H433)</f>
        <v>-119</v>
      </c>
      <c r="J434" s="41">
        <f>IF(Tabela1716[[#This Row],[Housing Starts]]="",#N/A,((Tabela1716[[#This Row],[Housing Starts]]*1)/H422)-1)</f>
        <v>-4.2627533193570932E-2</v>
      </c>
      <c r="K434" s="33">
        <v>606078</v>
      </c>
      <c r="L434" s="41">
        <f>IF(Tabela1716[[#This Row],[Total Construction Spending]]="",#N/A,((Tabela1716[[#This Row],[Total Construction Spending]]*1)/K422)-1)</f>
        <v>8.625278473276432E-2</v>
      </c>
      <c r="M434" s="27"/>
      <c r="N434" s="41"/>
      <c r="O434" s="33">
        <v>805</v>
      </c>
      <c r="P434" s="41">
        <f>IF(Tabela1716[[#This Row],[New House Sales]]="",#N/A,((Tabela1716[[#This Row],[New House Sales]]*1)/O433)-1)</f>
        <v>4.4098573281452724E-2</v>
      </c>
      <c r="Q434" s="41">
        <f>IF(Tabela1716[[#This Row],[New House Sales]]="",#N/A,((Tabela1716[[#This Row],[New House Sales]]*1)/O422)-1)</f>
        <v>0.13540197461212977</v>
      </c>
      <c r="R434" s="27">
        <v>5</v>
      </c>
      <c r="S434" s="86">
        <v>83.49</v>
      </c>
      <c r="T434" s="41">
        <f>IF(Tabela1716[[#This Row],[S&amp;P/Case-Shiller Home Price Index]]="",#N/A,((Tabela1716[[#This Row],[S&amp;P/Case-Shiller Home Price Index]]*1)/S433)-1)</f>
        <v>-7.898894154818592E-4</v>
      </c>
      <c r="U434" s="41">
        <f>IF(Tabela1716[[#This Row],[S&amp;P/Case-Shiller Home Price Index]]="",#N/A,((Tabela1716[[#This Row],[S&amp;P/Case-Shiller Home Price Index]]*1)/S422)-1)</f>
        <v>2.4241234634541309E-2</v>
      </c>
      <c r="V434" s="37"/>
      <c r="W434" s="9"/>
      <c r="X434" s="9"/>
    </row>
    <row r="435" spans="1:24" ht="12.75">
      <c r="A435" s="12">
        <v>35431</v>
      </c>
      <c r="B435" s="26">
        <v>7.88</v>
      </c>
      <c r="C435" s="29">
        <v>54</v>
      </c>
      <c r="D435" s="33">
        <v>1382</v>
      </c>
      <c r="E435" s="41">
        <f>IF(Tabela1716[[#This Row],[Building Permits]]="",#N/A,((Tabela1716[[#This Row],[Building Permits]]*1)/D423)-1)</f>
        <v>-3.6049026676280294E-3</v>
      </c>
      <c r="F435" s="33">
        <v>817</v>
      </c>
      <c r="G435" s="41">
        <f>IF(Tabela1716[[#This Row],[Houses Under Construction]]="",#N/A,((Tabela1716[[#This Row],[Houses Under Construction]]*1)/F423)-1)</f>
        <v>1.7434620174346271E-2</v>
      </c>
      <c r="H435" s="33">
        <v>1355</v>
      </c>
      <c r="I435" s="33">
        <f>IF(Tabela1716[[#This Row],[Housing Starts]]="",#N/A,Tabela1716[[#This Row],[Housing Starts]]-H434)</f>
        <v>-15</v>
      </c>
      <c r="J435" s="41">
        <f>IF(Tabela1716[[#This Row],[Housing Starts]]="",#N/A,((Tabela1716[[#This Row],[Housing Starts]]*1)/H423)-1)</f>
        <v>-7.6346284935241981E-2</v>
      </c>
      <c r="K435" s="33">
        <v>608608</v>
      </c>
      <c r="L435" s="41">
        <f>IF(Tabela1716[[#This Row],[Total Construction Spending]]="",#N/A,((Tabela1716[[#This Row],[Total Construction Spending]]*1)/K423)-1)</f>
        <v>5.8194728917233762E-2</v>
      </c>
      <c r="M435" s="27"/>
      <c r="N435" s="41"/>
      <c r="O435" s="33">
        <v>830</v>
      </c>
      <c r="P435" s="41">
        <f>IF(Tabela1716[[#This Row],[New House Sales]]="",#N/A,((Tabela1716[[#This Row],[New House Sales]]*1)/O434)-1)</f>
        <v>3.105590062111796E-2</v>
      </c>
      <c r="Q435" s="41">
        <f>IF(Tabela1716[[#This Row],[New House Sales]]="",#N/A,((Tabela1716[[#This Row],[New House Sales]]*1)/O423)-1)</f>
        <v>0.16246498599439785</v>
      </c>
      <c r="R435" s="27">
        <v>4.7</v>
      </c>
      <c r="S435" s="86">
        <v>83.53</v>
      </c>
      <c r="T435" s="41">
        <f>IF(Tabela1716[[#This Row],[S&amp;P/Case-Shiller Home Price Index]]="",#N/A,((Tabela1716[[#This Row],[S&amp;P/Case-Shiller Home Price Index]]*1)/S434)-1)</f>
        <v>4.7909929332856649E-4</v>
      </c>
      <c r="U435" s="41">
        <f>IF(Tabela1716[[#This Row],[S&amp;P/Case-Shiller Home Price Index]]="",#N/A,((Tabela1716[[#This Row],[S&amp;P/Case-Shiller Home Price Index]]*1)/S423)-1)</f>
        <v>2.5826814201677761E-2</v>
      </c>
      <c r="V435" s="39"/>
      <c r="W435" s="9"/>
      <c r="X435" s="9"/>
    </row>
    <row r="436" spans="1:24" ht="12.75">
      <c r="A436" s="12">
        <v>35462</v>
      </c>
      <c r="B436" s="26">
        <v>7.65</v>
      </c>
      <c r="C436" s="29">
        <v>52</v>
      </c>
      <c r="D436" s="33">
        <v>1445</v>
      </c>
      <c r="E436" s="41">
        <f>IF(Tabela1716[[#This Row],[Building Permits]]="",#N/A,((Tabela1716[[#This Row],[Building Permits]]*1)/D424)-1)</f>
        <v>1.7605633802816989E-2</v>
      </c>
      <c r="F436" s="33">
        <v>810</v>
      </c>
      <c r="G436" s="41">
        <f>IF(Tabela1716[[#This Row],[Houses Under Construction]]="",#N/A,((Tabela1716[[#This Row],[Houses Under Construction]]*1)/F424)-1)</f>
        <v>2.1437578814627933E-2</v>
      </c>
      <c r="H436" s="33">
        <v>1486</v>
      </c>
      <c r="I436" s="33">
        <f>IF(Tabela1716[[#This Row],[Housing Starts]]="",#N/A,Tabela1716[[#This Row],[Housing Starts]]-H435)</f>
        <v>131</v>
      </c>
      <c r="J436" s="41">
        <f>IF(Tabela1716[[#This Row],[Housing Starts]]="",#N/A,((Tabela1716[[#This Row],[Housing Starts]]*1)/H424)-1)</f>
        <v>-3.3534540576793948E-3</v>
      </c>
      <c r="K436" s="33">
        <v>615415</v>
      </c>
      <c r="L436" s="41">
        <f>IF(Tabela1716[[#This Row],[Total Construction Spending]]="",#N/A,((Tabela1716[[#This Row],[Total Construction Spending]]*1)/K424)-1)</f>
        <v>8.3377930189489691E-2</v>
      </c>
      <c r="M436" s="27"/>
      <c r="N436" s="41"/>
      <c r="O436" s="33">
        <v>801</v>
      </c>
      <c r="P436" s="41">
        <f>IF(Tabela1716[[#This Row],[New House Sales]]="",#N/A,((Tabela1716[[#This Row],[New House Sales]]*1)/O435)-1)</f>
        <v>-3.4939759036144546E-2</v>
      </c>
      <c r="Q436" s="41">
        <f>IF(Tabela1716[[#This Row],[New House Sales]]="",#N/A,((Tabela1716[[#This Row],[New House Sales]]*1)/O424)-1)</f>
        <v>4.1612483745123496E-2</v>
      </c>
      <c r="R436" s="27">
        <v>4.5</v>
      </c>
      <c r="S436" s="86">
        <v>83.597000000000008</v>
      </c>
      <c r="T436" s="41">
        <f>IF(Tabela1716[[#This Row],[S&amp;P/Case-Shiller Home Price Index]]="",#N/A,((Tabela1716[[#This Row],[S&amp;P/Case-Shiller Home Price Index]]*1)/S435)-1)</f>
        <v>8.0210702741534412E-4</v>
      </c>
      <c r="U436" s="41">
        <f>IF(Tabela1716[[#This Row],[S&amp;P/Case-Shiller Home Price Index]]="",#N/A,((Tabela1716[[#This Row],[S&amp;P/Case-Shiller Home Price Index]]*1)/S424)-1)</f>
        <v>2.6990171990171952E-2</v>
      </c>
      <c r="V436" s="37"/>
      <c r="W436" s="9"/>
      <c r="X436" s="9"/>
    </row>
    <row r="437" spans="1:24" ht="12.75">
      <c r="A437" s="12">
        <v>35490</v>
      </c>
      <c r="B437" s="26">
        <v>7.97</v>
      </c>
      <c r="C437" s="29">
        <v>57</v>
      </c>
      <c r="D437" s="33">
        <v>1436</v>
      </c>
      <c r="E437" s="41">
        <f>IF(Tabela1716[[#This Row],[Building Permits]]="",#N/A,((Tabela1716[[#This Row],[Building Permits]]*1)/D425)-1)</f>
        <v>-6.9589422407789758E-4</v>
      </c>
      <c r="F437" s="33">
        <v>808</v>
      </c>
      <c r="G437" s="41">
        <f>IF(Tabela1716[[#This Row],[Houses Under Construction]]="",#N/A,((Tabela1716[[#This Row],[Houses Under Construction]]*1)/F425)-1)</f>
        <v>-7.3710073710073765E-3</v>
      </c>
      <c r="H437" s="33">
        <v>1457</v>
      </c>
      <c r="I437" s="33">
        <f>IF(Tabela1716[[#This Row],[Housing Starts]]="",#N/A,Tabela1716[[#This Row],[Housing Starts]]-H436)</f>
        <v>-29</v>
      </c>
      <c r="J437" s="41">
        <f>IF(Tabela1716[[#This Row],[Housing Starts]]="",#N/A,((Tabela1716[[#This Row],[Housing Starts]]*1)/H425)-1)</f>
        <v>2.3174157303370801E-2</v>
      </c>
      <c r="K437" s="33">
        <v>620467</v>
      </c>
      <c r="L437" s="41">
        <f>IF(Tabela1716[[#This Row],[Total Construction Spending]]="",#N/A,((Tabela1716[[#This Row],[Total Construction Spending]]*1)/K425)-1)</f>
        <v>7.9940752395837977E-2</v>
      </c>
      <c r="M437" s="27"/>
      <c r="N437" s="41"/>
      <c r="O437" s="33">
        <v>831</v>
      </c>
      <c r="P437" s="41">
        <f>IF(Tabela1716[[#This Row],[New House Sales]]="",#N/A,((Tabela1716[[#This Row],[New House Sales]]*1)/O436)-1)</f>
        <v>3.7453183520599342E-2</v>
      </c>
      <c r="Q437" s="41">
        <f>IF(Tabela1716[[#This Row],[New House Sales]]="",#N/A,((Tabela1716[[#This Row],[New House Sales]]*1)/O425)-1)</f>
        <v>0.15256588072122046</v>
      </c>
      <c r="R437" s="27">
        <v>4.0999999999999996</v>
      </c>
      <c r="S437" s="86">
        <v>83.911000000000001</v>
      </c>
      <c r="T437" s="41">
        <f>IF(Tabela1716[[#This Row],[S&amp;P/Case-Shiller Home Price Index]]="",#N/A,((Tabela1716[[#This Row],[S&amp;P/Case-Shiller Home Price Index]]*1)/S436)-1)</f>
        <v>3.7561156500831583E-3</v>
      </c>
      <c r="U437" s="41">
        <f>IF(Tabela1716[[#This Row],[S&amp;P/Case-Shiller Home Price Index]]="",#N/A,((Tabela1716[[#This Row],[S&amp;P/Case-Shiller Home Price Index]]*1)/S425)-1)</f>
        <v>2.7502602093920192E-2</v>
      </c>
      <c r="V437" s="39"/>
      <c r="W437" s="9"/>
      <c r="X437" s="9"/>
    </row>
    <row r="438" spans="1:24" ht="12.75">
      <c r="A438" s="12">
        <v>35521</v>
      </c>
      <c r="B438" s="26">
        <v>8.08</v>
      </c>
      <c r="C438" s="29">
        <v>56</v>
      </c>
      <c r="D438" s="33">
        <v>1421</v>
      </c>
      <c r="E438" s="41">
        <f>IF(Tabela1716[[#This Row],[Building Permits]]="",#N/A,((Tabela1716[[#This Row],[Building Permits]]*1)/D426)-1)</f>
        <v>-2.8708133971291905E-2</v>
      </c>
      <c r="F438" s="33">
        <v>810</v>
      </c>
      <c r="G438" s="41">
        <f>IF(Tabela1716[[#This Row],[Houses Under Construction]]="",#N/A,((Tabela1716[[#This Row],[Houses Under Construction]]*1)/F426)-1)</f>
        <v>-2.0556227327690468E-2</v>
      </c>
      <c r="H438" s="33">
        <v>1492</v>
      </c>
      <c r="I438" s="33">
        <f>IF(Tabela1716[[#This Row],[Housing Starts]]="",#N/A,Tabela1716[[#This Row],[Housing Starts]]-H437)</f>
        <v>35</v>
      </c>
      <c r="J438" s="41">
        <f>IF(Tabela1716[[#This Row],[Housing Starts]]="",#N/A,((Tabela1716[[#This Row],[Housing Starts]]*1)/H426)-1)</f>
        <v>-1.5831134564643801E-2</v>
      </c>
      <c r="K438" s="33">
        <v>616175</v>
      </c>
      <c r="L438" s="41">
        <f>IF(Tabela1716[[#This Row],[Total Construction Spending]]="",#N/A,((Tabela1716[[#This Row],[Total Construction Spending]]*1)/K426)-1)</f>
        <v>4.3543721547799619E-2</v>
      </c>
      <c r="M438" s="27"/>
      <c r="N438" s="41"/>
      <c r="O438" s="33">
        <v>744</v>
      </c>
      <c r="P438" s="41">
        <f>IF(Tabela1716[[#This Row],[New House Sales]]="",#N/A,((Tabela1716[[#This Row],[New House Sales]]*1)/O437)-1)</f>
        <v>-0.10469314079422387</v>
      </c>
      <c r="Q438" s="41">
        <f>IF(Tabela1716[[#This Row],[New House Sales]]="",#N/A,((Tabela1716[[#This Row],[New House Sales]]*1)/O426)-1)</f>
        <v>1.0869565217391353E-2</v>
      </c>
      <c r="R438" s="27">
        <v>4.7</v>
      </c>
      <c r="S438" s="86">
        <v>84.320999999999998</v>
      </c>
      <c r="T438" s="41">
        <f>IF(Tabela1716[[#This Row],[S&amp;P/Case-Shiller Home Price Index]]="",#N/A,((Tabela1716[[#This Row],[S&amp;P/Case-Shiller Home Price Index]]*1)/S437)-1)</f>
        <v>4.8861293513364767E-3</v>
      </c>
      <c r="U438" s="41">
        <f>IF(Tabela1716[[#This Row],[S&amp;P/Case-Shiller Home Price Index]]="",#N/A,((Tabela1716[[#This Row],[S&amp;P/Case-Shiller Home Price Index]]*1)/S426)-1)</f>
        <v>2.6739726027397159E-2</v>
      </c>
      <c r="V438" s="37"/>
      <c r="W438" s="9"/>
      <c r="X438" s="9"/>
    </row>
    <row r="439" spans="1:24" ht="12.75">
      <c r="A439" s="12">
        <v>35551</v>
      </c>
      <c r="B439" s="26">
        <v>7.94</v>
      </c>
      <c r="C439" s="29">
        <v>55</v>
      </c>
      <c r="D439" s="33">
        <v>1414</v>
      </c>
      <c r="E439" s="41">
        <f>IF(Tabela1716[[#This Row],[Building Permits]]="",#N/A,((Tabela1716[[#This Row],[Building Permits]]*1)/D427)-1)</f>
        <v>-2.9512697323267001E-2</v>
      </c>
      <c r="F439" s="33">
        <v>816</v>
      </c>
      <c r="G439" s="41">
        <f>IF(Tabela1716[[#This Row],[Houses Under Construction]]="",#N/A,((Tabela1716[[#This Row],[Houses Under Construction]]*1)/F427)-1)</f>
        <v>-1.9230769230769273E-2</v>
      </c>
      <c r="H439" s="33">
        <v>1442</v>
      </c>
      <c r="I439" s="33">
        <f>IF(Tabela1716[[#This Row],[Housing Starts]]="",#N/A,Tabela1716[[#This Row],[Housing Starts]]-H438)</f>
        <v>-50</v>
      </c>
      <c r="J439" s="41">
        <f>IF(Tabela1716[[#This Row],[Housing Starts]]="",#N/A,((Tabela1716[[#This Row],[Housing Starts]]*1)/H427)-1)</f>
        <v>-4.1223404255319118E-2</v>
      </c>
      <c r="K439" s="33">
        <v>624743</v>
      </c>
      <c r="L439" s="41">
        <f>IF(Tabela1716[[#This Row],[Total Construction Spending]]="",#N/A,((Tabela1716[[#This Row],[Total Construction Spending]]*1)/K427)-1)</f>
        <v>4.0915649481993999E-2</v>
      </c>
      <c r="M439" s="27"/>
      <c r="N439" s="41"/>
      <c r="O439" s="33">
        <v>760</v>
      </c>
      <c r="P439" s="41">
        <f>IF(Tabela1716[[#This Row],[New House Sales]]="",#N/A,((Tabela1716[[#This Row],[New House Sales]]*1)/O438)-1)</f>
        <v>2.1505376344086002E-2</v>
      </c>
      <c r="Q439" s="41">
        <f>IF(Tabela1716[[#This Row],[New House Sales]]="",#N/A,((Tabela1716[[#This Row],[New House Sales]]*1)/O427)-1)</f>
        <v>1.8766756032171594E-2</v>
      </c>
      <c r="R439" s="27">
        <v>4.5999999999999996</v>
      </c>
      <c r="S439" s="86">
        <v>84.86399999999999</v>
      </c>
      <c r="T439" s="41">
        <f>IF(Tabela1716[[#This Row],[S&amp;P/Case-Shiller Home Price Index]]="",#N/A,((Tabela1716[[#This Row],[S&amp;P/Case-Shiller Home Price Index]]*1)/S438)-1)</f>
        <v>6.4396769488026528E-3</v>
      </c>
      <c r="U439" s="41">
        <f>IF(Tabela1716[[#This Row],[S&amp;P/Case-Shiller Home Price Index]]="",#N/A,((Tabela1716[[#This Row],[S&amp;P/Case-Shiller Home Price Index]]*1)/S427)-1)</f>
        <v>2.7384324834749618E-2</v>
      </c>
      <c r="V439" s="39"/>
      <c r="W439" s="9"/>
      <c r="X439" s="9"/>
    </row>
    <row r="440" spans="1:24" ht="12.75">
      <c r="A440" s="12">
        <v>35582</v>
      </c>
      <c r="B440" s="26">
        <v>7.58</v>
      </c>
      <c r="C440" s="29">
        <v>56</v>
      </c>
      <c r="D440" s="33">
        <v>1402</v>
      </c>
      <c r="E440" s="41">
        <f>IF(Tabela1716[[#This Row],[Building Permits]]="",#N/A,((Tabela1716[[#This Row],[Building Permits]]*1)/D428)-1)</f>
        <v>-1.8894331700489819E-2</v>
      </c>
      <c r="F440" s="33">
        <v>826</v>
      </c>
      <c r="G440" s="41">
        <f>IF(Tabela1716[[#This Row],[Houses Under Construction]]="",#N/A,((Tabela1716[[#This Row],[Houses Under Construction]]*1)/F428)-1)</f>
        <v>0</v>
      </c>
      <c r="H440" s="33">
        <v>1494</v>
      </c>
      <c r="I440" s="33">
        <f>IF(Tabela1716[[#This Row],[Housing Starts]]="",#N/A,Tabela1716[[#This Row],[Housing Starts]]-H439)</f>
        <v>52</v>
      </c>
      <c r="J440" s="41">
        <f>IF(Tabela1716[[#This Row],[Housing Starts]]="",#N/A,((Tabela1716[[#This Row],[Housing Starts]]*1)/H428)-1)</f>
        <v>1.8404907975460016E-2</v>
      </c>
      <c r="K440" s="33">
        <v>626396</v>
      </c>
      <c r="L440" s="41">
        <f>IF(Tabela1716[[#This Row],[Total Construction Spending]]="",#N/A,((Tabela1716[[#This Row],[Total Construction Spending]]*1)/K428)-1)</f>
        <v>4.0265714522959462E-2</v>
      </c>
      <c r="M440" s="27"/>
      <c r="N440" s="41"/>
      <c r="O440" s="33">
        <v>793</v>
      </c>
      <c r="P440" s="41">
        <f>IF(Tabela1716[[#This Row],[New House Sales]]="",#N/A,((Tabela1716[[#This Row],[New House Sales]]*1)/O439)-1)</f>
        <v>4.3421052631579027E-2</v>
      </c>
      <c r="Q440" s="41">
        <f>IF(Tabela1716[[#This Row],[New House Sales]]="",#N/A,((Tabela1716[[#This Row],[New House Sales]]*1)/O428)-1)</f>
        <v>9.9861303744798846E-2</v>
      </c>
      <c r="R440" s="27">
        <v>4.4000000000000004</v>
      </c>
      <c r="S440" s="86">
        <v>85.397999999999996</v>
      </c>
      <c r="T440" s="41">
        <f>IF(Tabela1716[[#This Row],[S&amp;P/Case-Shiller Home Price Index]]="",#N/A,((Tabela1716[[#This Row],[S&amp;P/Case-Shiller Home Price Index]]*1)/S439)-1)</f>
        <v>6.2924208144796712E-3</v>
      </c>
      <c r="U440" s="41">
        <f>IF(Tabela1716[[#This Row],[S&amp;P/Case-Shiller Home Price Index]]="",#N/A,((Tabela1716[[#This Row],[S&amp;P/Case-Shiller Home Price Index]]*1)/S428)-1)</f>
        <v>2.828450673698657E-2</v>
      </c>
      <c r="V440" s="37"/>
      <c r="W440" s="9"/>
      <c r="X440" s="9"/>
    </row>
    <row r="441" spans="1:24" ht="12.75">
      <c r="A441" s="12">
        <v>35612</v>
      </c>
      <c r="B441" s="26">
        <v>7.43</v>
      </c>
      <c r="C441" s="29">
        <v>55</v>
      </c>
      <c r="D441" s="33">
        <v>1440</v>
      </c>
      <c r="E441" s="41">
        <f>IF(Tabela1716[[#This Row],[Building Permits]]="",#N/A,((Tabela1716[[#This Row],[Building Permits]]*1)/D429)-1)</f>
        <v>-6.8965517241379448E-3</v>
      </c>
      <c r="F441" s="33">
        <v>836</v>
      </c>
      <c r="G441" s="41">
        <f>IF(Tabela1716[[#This Row],[Houses Under Construction]]="",#N/A,((Tabela1716[[#This Row],[Houses Under Construction]]*1)/F429)-1)</f>
        <v>1.4563106796116498E-2</v>
      </c>
      <c r="H441" s="33">
        <v>1437</v>
      </c>
      <c r="I441" s="33">
        <f>IF(Tabela1716[[#This Row],[Housing Starts]]="",#N/A,Tabela1716[[#This Row],[Housing Starts]]-H440)</f>
        <v>-57</v>
      </c>
      <c r="J441" s="41">
        <f>IF(Tabela1716[[#This Row],[Housing Starts]]="",#N/A,((Tabela1716[[#This Row],[Housing Starts]]*1)/H429)-1)</f>
        <v>-2.3777173913043459E-2</v>
      </c>
      <c r="K441" s="33">
        <v>637410</v>
      </c>
      <c r="L441" s="41">
        <f>IF(Tabela1716[[#This Row],[Total Construction Spending]]="",#N/A,((Tabela1716[[#This Row],[Total Construction Spending]]*1)/K429)-1)</f>
        <v>6.2528859024602479E-2</v>
      </c>
      <c r="M441" s="27"/>
      <c r="N441" s="41"/>
      <c r="O441" s="33">
        <v>805</v>
      </c>
      <c r="P441" s="41">
        <f>IF(Tabela1716[[#This Row],[New House Sales]]="",#N/A,((Tabela1716[[#This Row],[New House Sales]]*1)/O440)-1)</f>
        <v>1.5132408575031508E-2</v>
      </c>
      <c r="Q441" s="41">
        <f>IF(Tabela1716[[#This Row],[New House Sales]]="",#N/A,((Tabela1716[[#This Row],[New House Sales]]*1)/O429)-1)</f>
        <v>4.5454545454545414E-2</v>
      </c>
      <c r="R441" s="27">
        <v>4.4000000000000004</v>
      </c>
      <c r="S441" s="86">
        <v>85.841000000000008</v>
      </c>
      <c r="T441" s="41">
        <f>IF(Tabela1716[[#This Row],[S&amp;P/Case-Shiller Home Price Index]]="",#N/A,((Tabela1716[[#This Row],[S&amp;P/Case-Shiller Home Price Index]]*1)/S440)-1)</f>
        <v>5.187475116513518E-3</v>
      </c>
      <c r="U441" s="41">
        <f>IF(Tabela1716[[#This Row],[S&amp;P/Case-Shiller Home Price Index]]="",#N/A,((Tabela1716[[#This Row],[S&amp;P/Case-Shiller Home Price Index]]*1)/S429)-1)</f>
        <v>2.9034152890828446E-2</v>
      </c>
      <c r="V441" s="39"/>
      <c r="W441" s="9"/>
      <c r="X441" s="9"/>
    </row>
    <row r="442" spans="1:24" ht="12.75">
      <c r="A442" s="12">
        <v>35643</v>
      </c>
      <c r="B442" s="26">
        <v>7.58</v>
      </c>
      <c r="C442" s="29">
        <v>58</v>
      </c>
      <c r="D442" s="33">
        <v>1449</v>
      </c>
      <c r="E442" s="41">
        <f>IF(Tabela1716[[#This Row],[Building Permits]]="",#N/A,((Tabela1716[[#This Row],[Building Permits]]*1)/D430)-1)</f>
        <v>2.5477707006369421E-2</v>
      </c>
      <c r="F442" s="33">
        <v>836</v>
      </c>
      <c r="G442" s="41">
        <f>IF(Tabela1716[[#This Row],[Houses Under Construction]]="",#N/A,((Tabela1716[[#This Row],[Houses Under Construction]]*1)/F430)-1)</f>
        <v>1.9512195121951237E-2</v>
      </c>
      <c r="H442" s="33">
        <v>1390</v>
      </c>
      <c r="I442" s="33">
        <f>IF(Tabela1716[[#This Row],[Housing Starts]]="",#N/A,Tabela1716[[#This Row],[Housing Starts]]-H441)</f>
        <v>-47</v>
      </c>
      <c r="J442" s="41">
        <f>IF(Tabela1716[[#This Row],[Housing Starts]]="",#N/A,((Tabela1716[[#This Row],[Housing Starts]]*1)/H430)-1)</f>
        <v>-0.10725754656390496</v>
      </c>
      <c r="K442" s="33">
        <v>639593</v>
      </c>
      <c r="L442" s="41">
        <f>IF(Tabela1716[[#This Row],[Total Construction Spending]]="",#N/A,((Tabela1716[[#This Row],[Total Construction Spending]]*1)/K430)-1)</f>
        <v>5.9000693755701938E-2</v>
      </c>
      <c r="M442" s="27"/>
      <c r="N442" s="41"/>
      <c r="O442" s="33">
        <v>815</v>
      </c>
      <c r="P442" s="41">
        <f>IF(Tabela1716[[#This Row],[New House Sales]]="",#N/A,((Tabela1716[[#This Row],[New House Sales]]*1)/O441)-1)</f>
        <v>1.2422360248447228E-2</v>
      </c>
      <c r="Q442" s="41">
        <f>IF(Tabela1716[[#This Row],[New House Sales]]="",#N/A,((Tabela1716[[#This Row],[New House Sales]]*1)/O430)-1)</f>
        <v>-1.3317191283293006E-2</v>
      </c>
      <c r="R442" s="27">
        <v>4.3</v>
      </c>
      <c r="S442" s="86">
        <v>86.15</v>
      </c>
      <c r="T442" s="41">
        <f>IF(Tabela1716[[#This Row],[S&amp;P/Case-Shiller Home Price Index]]="",#N/A,((Tabela1716[[#This Row],[S&amp;P/Case-Shiller Home Price Index]]*1)/S441)-1)</f>
        <v>3.5996784753207223E-3</v>
      </c>
      <c r="U442" s="41">
        <f>IF(Tabela1716[[#This Row],[S&amp;P/Case-Shiller Home Price Index]]="",#N/A,((Tabela1716[[#This Row],[S&amp;P/Case-Shiller Home Price Index]]*1)/S430)-1)</f>
        <v>2.9947994500568065E-2</v>
      </c>
      <c r="V442" s="37"/>
      <c r="W442" s="9"/>
      <c r="X442" s="9"/>
    </row>
    <row r="443" spans="1:24" ht="12.75">
      <c r="A443" s="12">
        <v>35674</v>
      </c>
      <c r="B443" s="26">
        <v>7.28</v>
      </c>
      <c r="C443" s="29">
        <v>59</v>
      </c>
      <c r="D443" s="33">
        <v>1494</v>
      </c>
      <c r="E443" s="41">
        <f>IF(Tabela1716[[#This Row],[Building Permits]]="",#N/A,((Tabela1716[[#This Row],[Building Permits]]*1)/D431)-1)</f>
        <v>7.3275862068965525E-2</v>
      </c>
      <c r="F443" s="33">
        <v>846</v>
      </c>
      <c r="G443" s="41">
        <f>IF(Tabela1716[[#This Row],[Houses Under Construction]]="",#N/A,((Tabela1716[[#This Row],[Houses Under Construction]]*1)/F431)-1)</f>
        <v>2.6699029126213691E-2</v>
      </c>
      <c r="H443" s="33">
        <v>1546</v>
      </c>
      <c r="I443" s="33">
        <f>IF(Tabela1716[[#This Row],[Housing Starts]]="",#N/A,Tabela1716[[#This Row],[Housing Starts]]-H442)</f>
        <v>156</v>
      </c>
      <c r="J443" s="41">
        <f>IF(Tabela1716[[#This Row],[Housing Starts]]="",#N/A,((Tabela1716[[#This Row],[Housing Starts]]*1)/H431)-1)</f>
        <v>4.813559322033889E-2</v>
      </c>
      <c r="K443" s="33">
        <v>646526</v>
      </c>
      <c r="L443" s="41">
        <f>IF(Tabela1716[[#This Row],[Total Construction Spending]]="",#N/A,((Tabela1716[[#This Row],[Total Construction Spending]]*1)/K431)-1)</f>
        <v>5.0465825894525418E-2</v>
      </c>
      <c r="M443" s="27"/>
      <c r="N443" s="41"/>
      <c r="O443" s="33">
        <v>840</v>
      </c>
      <c r="P443" s="41">
        <f>IF(Tabela1716[[#This Row],[New House Sales]]="",#N/A,((Tabela1716[[#This Row],[New House Sales]]*1)/O442)-1)</f>
        <v>3.0674846625766916E-2</v>
      </c>
      <c r="Q443" s="41">
        <f>IF(Tabela1716[[#This Row],[New House Sales]]="",#N/A,((Tabela1716[[#This Row],[New House Sales]]*1)/O431)-1)</f>
        <v>9.0909090909090828E-2</v>
      </c>
      <c r="R443" s="27">
        <v>4.2</v>
      </c>
      <c r="S443" s="86">
        <v>86.311000000000007</v>
      </c>
      <c r="T443" s="41">
        <f>IF(Tabela1716[[#This Row],[S&amp;P/Case-Shiller Home Price Index]]="",#N/A,((Tabela1716[[#This Row],[S&amp;P/Case-Shiller Home Price Index]]*1)/S442)-1)</f>
        <v>1.8688334300638321E-3</v>
      </c>
      <c r="U443" s="41">
        <f>IF(Tabela1716[[#This Row],[S&amp;P/Case-Shiller Home Price Index]]="",#N/A,((Tabela1716[[#This Row],[S&amp;P/Case-Shiller Home Price Index]]*1)/S431)-1)</f>
        <v>3.1170103462282883E-2</v>
      </c>
      <c r="V443" s="39"/>
      <c r="W443" s="9"/>
      <c r="X443" s="9"/>
    </row>
    <row r="444" spans="1:24" ht="12.75">
      <c r="A444" s="12">
        <v>35704</v>
      </c>
      <c r="B444" s="26">
        <v>7.21</v>
      </c>
      <c r="C444" s="29">
        <v>59</v>
      </c>
      <c r="D444" s="33">
        <v>1499</v>
      </c>
      <c r="E444" s="41">
        <f>IF(Tabela1716[[#This Row],[Building Permits]]="",#N/A,((Tabela1716[[#This Row],[Building Permits]]*1)/D432)-1)</f>
        <v>0.10382916053019153</v>
      </c>
      <c r="F444" s="33">
        <v>858</v>
      </c>
      <c r="G444" s="41">
        <f>IF(Tabela1716[[#This Row],[Houses Under Construction]]="",#N/A,((Tabela1716[[#This Row],[Houses Under Construction]]*1)/F432)-1)</f>
        <v>4.5066991473812434E-2</v>
      </c>
      <c r="H444" s="33">
        <v>1520</v>
      </c>
      <c r="I444" s="33">
        <f>IF(Tabela1716[[#This Row],[Housing Starts]]="",#N/A,Tabela1716[[#This Row],[Housing Starts]]-H443)</f>
        <v>-26</v>
      </c>
      <c r="J444" s="41">
        <f>IF(Tabela1716[[#This Row],[Housing Starts]]="",#N/A,((Tabela1716[[#This Row],[Housing Starts]]*1)/H432)-1)</f>
        <v>9.1954022988505857E-2</v>
      </c>
      <c r="K444" s="33">
        <v>653196</v>
      </c>
      <c r="L444" s="41">
        <f>IF(Tabela1716[[#This Row],[Total Construction Spending]]="",#N/A,((Tabela1716[[#This Row],[Total Construction Spending]]*1)/K432)-1)</f>
        <v>5.0558011840562633E-2</v>
      </c>
      <c r="M444" s="27"/>
      <c r="N444" s="41"/>
      <c r="O444" s="33">
        <v>800</v>
      </c>
      <c r="P444" s="41">
        <f>IF(Tabela1716[[#This Row],[New House Sales]]="",#N/A,((Tabela1716[[#This Row],[New House Sales]]*1)/O443)-1)</f>
        <v>-4.7619047619047672E-2</v>
      </c>
      <c r="Q444" s="41">
        <f>IF(Tabela1716[[#This Row],[New House Sales]]="",#N/A,((Tabela1716[[#This Row],[New House Sales]]*1)/O432)-1)</f>
        <v>0.11111111111111116</v>
      </c>
      <c r="R444" s="27">
        <v>4.3</v>
      </c>
      <c r="S444" s="86">
        <v>86.407999999999987</v>
      </c>
      <c r="T444" s="41">
        <f>IF(Tabela1716[[#This Row],[S&amp;P/Case-Shiller Home Price Index]]="",#N/A,((Tabela1716[[#This Row],[S&amp;P/Case-Shiller Home Price Index]]*1)/S443)-1)</f>
        <v>1.12384284737721E-3</v>
      </c>
      <c r="U444" s="41">
        <f>IF(Tabela1716[[#This Row],[S&amp;P/Case-Shiller Home Price Index]]="",#N/A,((Tabela1716[[#This Row],[S&amp;P/Case-Shiller Home Price Index]]*1)/S432)-1)</f>
        <v>3.3230099606595731E-2</v>
      </c>
      <c r="V444" s="37"/>
      <c r="W444" s="9"/>
      <c r="X444" s="9"/>
    </row>
    <row r="445" spans="1:24" ht="12.75">
      <c r="A445" s="12">
        <v>35735</v>
      </c>
      <c r="B445" s="26">
        <v>7.17</v>
      </c>
      <c r="C445" s="29">
        <v>58</v>
      </c>
      <c r="D445" s="33">
        <v>1469</v>
      </c>
      <c r="E445" s="41">
        <f>IF(Tabela1716[[#This Row],[Building Permits]]="",#N/A,((Tabela1716[[#This Row],[Building Permits]]*1)/D433)-1)</f>
        <v>4.0368271954674295E-2</v>
      </c>
      <c r="F445" s="33">
        <v>865</v>
      </c>
      <c r="G445" s="41">
        <f>IF(Tabela1716[[#This Row],[Houses Under Construction]]="",#N/A,((Tabela1716[[#This Row],[Houses Under Construction]]*1)/F433)-1)</f>
        <v>4.3425814234016924E-2</v>
      </c>
      <c r="H445" s="33">
        <v>1510</v>
      </c>
      <c r="I445" s="33">
        <f>IF(Tabela1716[[#This Row],[Housing Starts]]="",#N/A,Tabela1716[[#This Row],[Housing Starts]]-H444)</f>
        <v>-10</v>
      </c>
      <c r="J445" s="41">
        <f>IF(Tabela1716[[#This Row],[Housing Starts]]="",#N/A,((Tabela1716[[#This Row],[Housing Starts]]*1)/H433)-1)</f>
        <v>1.410342511752849E-2</v>
      </c>
      <c r="K445" s="33">
        <v>643710</v>
      </c>
      <c r="L445" s="41">
        <f>IF(Tabela1716[[#This Row],[Total Construction Spending]]="",#N/A,((Tabela1716[[#This Row],[Total Construction Spending]]*1)/K433)-1)</f>
        <v>3.6883951985464236E-2</v>
      </c>
      <c r="M445" s="27"/>
      <c r="N445" s="41"/>
      <c r="O445" s="33">
        <v>864</v>
      </c>
      <c r="P445" s="41">
        <f>IF(Tabela1716[[#This Row],[New House Sales]]="",#N/A,((Tabela1716[[#This Row],[New House Sales]]*1)/O444)-1)</f>
        <v>8.0000000000000071E-2</v>
      </c>
      <c r="Q445" s="41">
        <f>IF(Tabela1716[[#This Row],[New House Sales]]="",#N/A,((Tabela1716[[#This Row],[New House Sales]]*1)/O433)-1)</f>
        <v>0.12062256809338523</v>
      </c>
      <c r="R445" s="27">
        <v>3.9</v>
      </c>
      <c r="S445" s="86">
        <v>86.632000000000005</v>
      </c>
      <c r="T445" s="41">
        <f>IF(Tabela1716[[#This Row],[S&amp;P/Case-Shiller Home Price Index]]="",#N/A,((Tabela1716[[#This Row],[S&amp;P/Case-Shiller Home Price Index]]*1)/S444)-1)</f>
        <v>2.5923525599482744E-3</v>
      </c>
      <c r="U445" s="41">
        <f>IF(Tabela1716[[#This Row],[S&amp;P/Case-Shiller Home Price Index]]="",#N/A,((Tabela1716[[#This Row],[S&amp;P/Case-Shiller Home Price Index]]*1)/S433)-1)</f>
        <v>3.6813633970032233E-2</v>
      </c>
      <c r="V445" s="39"/>
      <c r="W445" s="9"/>
      <c r="X445" s="9"/>
    </row>
    <row r="446" spans="1:24" ht="12.75">
      <c r="A446" s="12">
        <v>35765</v>
      </c>
      <c r="B446" s="26">
        <v>6.99</v>
      </c>
      <c r="C446" s="29">
        <v>60</v>
      </c>
      <c r="D446" s="33">
        <v>1456</v>
      </c>
      <c r="E446" s="41">
        <f>IF(Tabela1716[[#This Row],[Building Permits]]="",#N/A,((Tabela1716[[#This Row],[Building Permits]]*1)/D434)-1)</f>
        <v>3.1892274982282087E-2</v>
      </c>
      <c r="F446" s="33">
        <v>872</v>
      </c>
      <c r="G446" s="41">
        <f>IF(Tabela1716[[#This Row],[Houses Under Construction]]="",#N/A,((Tabela1716[[#This Row],[Houses Under Construction]]*1)/F434)-1)</f>
        <v>7.1253071253071232E-2</v>
      </c>
      <c r="H446" s="33">
        <v>1566</v>
      </c>
      <c r="I446" s="33">
        <f>IF(Tabela1716[[#This Row],[Housing Starts]]="",#N/A,Tabela1716[[#This Row],[Housing Starts]]-H445)</f>
        <v>56</v>
      </c>
      <c r="J446" s="41">
        <f>IF(Tabela1716[[#This Row],[Housing Starts]]="",#N/A,((Tabela1716[[#This Row],[Housing Starts]]*1)/H434)-1)</f>
        <v>0.14306569343065689</v>
      </c>
      <c r="K446" s="33">
        <v>642021</v>
      </c>
      <c r="L446" s="41">
        <f>IF(Tabela1716[[#This Row],[Total Construction Spending]]="",#N/A,((Tabela1716[[#This Row],[Total Construction Spending]]*1)/K434)-1)</f>
        <v>5.9304247968083423E-2</v>
      </c>
      <c r="M446" s="27"/>
      <c r="N446" s="41"/>
      <c r="O446" s="33">
        <v>793</v>
      </c>
      <c r="P446" s="41">
        <f>IF(Tabela1716[[#This Row],[New House Sales]]="",#N/A,((Tabela1716[[#This Row],[New House Sales]]*1)/O445)-1)</f>
        <v>-8.217592592592593E-2</v>
      </c>
      <c r="Q446" s="41">
        <f>IF(Tabela1716[[#This Row],[New House Sales]]="",#N/A,((Tabela1716[[#This Row],[New House Sales]]*1)/O434)-1)</f>
        <v>-1.4906832298136607E-2</v>
      </c>
      <c r="R446" s="27">
        <v>4.4000000000000004</v>
      </c>
      <c r="S446" s="86">
        <v>86.847999999999999</v>
      </c>
      <c r="T446" s="41">
        <f>IF(Tabela1716[[#This Row],[S&amp;P/Case-Shiller Home Price Index]]="",#N/A,((Tabela1716[[#This Row],[S&amp;P/Case-Shiller Home Price Index]]*1)/S445)-1)</f>
        <v>2.4933050143134405E-3</v>
      </c>
      <c r="U446" s="41">
        <f>IF(Tabela1716[[#This Row],[S&amp;P/Case-Shiller Home Price Index]]="",#N/A,((Tabela1716[[#This Row],[S&amp;P/Case-Shiller Home Price Index]]*1)/S434)-1)</f>
        <v>4.0220385674931247E-2</v>
      </c>
      <c r="V446" s="37"/>
      <c r="W446" s="9"/>
      <c r="X446" s="9"/>
    </row>
    <row r="447" spans="1:24" ht="12.75">
      <c r="A447" s="12">
        <v>35796</v>
      </c>
      <c r="B447" s="26">
        <v>7.12</v>
      </c>
      <c r="C447" s="29">
        <v>60</v>
      </c>
      <c r="D447" s="33">
        <v>1555</v>
      </c>
      <c r="E447" s="41">
        <f>IF(Tabela1716[[#This Row],[Building Permits]]="",#N/A,((Tabela1716[[#This Row],[Building Permits]]*1)/D435)-1)</f>
        <v>0.12518089725036186</v>
      </c>
      <c r="F447" s="33">
        <v>886</v>
      </c>
      <c r="G447" s="41">
        <f>IF(Tabela1716[[#This Row],[Houses Under Construction]]="",#N/A,((Tabela1716[[#This Row],[Houses Under Construction]]*1)/F435)-1)</f>
        <v>8.4455324357405104E-2</v>
      </c>
      <c r="H447" s="33">
        <v>1525</v>
      </c>
      <c r="I447" s="33">
        <f>IF(Tabela1716[[#This Row],[Housing Starts]]="",#N/A,Tabela1716[[#This Row],[Housing Starts]]-H446)</f>
        <v>-41</v>
      </c>
      <c r="J447" s="41">
        <f>IF(Tabela1716[[#This Row],[Housing Starts]]="",#N/A,((Tabela1716[[#This Row],[Housing Starts]]*1)/H435)-1)</f>
        <v>0.1254612546125462</v>
      </c>
      <c r="K447" s="33">
        <v>645686</v>
      </c>
      <c r="L447" s="41">
        <f>IF(Tabela1716[[#This Row],[Total Construction Spending]]="",#N/A,((Tabela1716[[#This Row],[Total Construction Spending]]*1)/K435)-1)</f>
        <v>6.0922630001577271E-2</v>
      </c>
      <c r="M447" s="27"/>
      <c r="N447" s="41"/>
      <c r="O447" s="33">
        <v>872</v>
      </c>
      <c r="P447" s="41">
        <f>IF(Tabela1716[[#This Row],[New House Sales]]="",#N/A,((Tabela1716[[#This Row],[New House Sales]]*1)/O446)-1)</f>
        <v>9.9621689785624135E-2</v>
      </c>
      <c r="Q447" s="41">
        <f>IF(Tabela1716[[#This Row],[New House Sales]]="",#N/A,((Tabela1716[[#This Row],[New House Sales]]*1)/O435)-1)</f>
        <v>5.0602409638554224E-2</v>
      </c>
      <c r="R447" s="27">
        <v>4</v>
      </c>
      <c r="S447" s="86">
        <v>87.162999999999997</v>
      </c>
      <c r="T447" s="41">
        <f>IF(Tabela1716[[#This Row],[S&amp;P/Case-Shiller Home Price Index]]="",#N/A,((Tabela1716[[#This Row],[S&amp;P/Case-Shiller Home Price Index]]*1)/S446)-1)</f>
        <v>3.6270265291082904E-3</v>
      </c>
      <c r="U447" s="41">
        <f>IF(Tabela1716[[#This Row],[S&amp;P/Case-Shiller Home Price Index]]="",#N/A,((Tabela1716[[#This Row],[S&amp;P/Case-Shiller Home Price Index]]*1)/S435)-1)</f>
        <v>4.3493355680593648E-2</v>
      </c>
      <c r="V447" s="39"/>
      <c r="W447" s="9"/>
      <c r="X447" s="9"/>
    </row>
    <row r="448" spans="1:24" ht="12.75">
      <c r="A448" s="12">
        <v>35827</v>
      </c>
      <c r="B448" s="26">
        <v>7.09</v>
      </c>
      <c r="C448" s="29">
        <v>65</v>
      </c>
      <c r="D448" s="33">
        <v>1647</v>
      </c>
      <c r="E448" s="41">
        <f>IF(Tabela1716[[#This Row],[Building Permits]]="",#N/A,((Tabela1716[[#This Row],[Building Permits]]*1)/D436)-1)</f>
        <v>0.13979238754325252</v>
      </c>
      <c r="F448" s="33">
        <v>896</v>
      </c>
      <c r="G448" s="41">
        <f>IF(Tabela1716[[#This Row],[Houses Under Construction]]="",#N/A,((Tabela1716[[#This Row],[Houses Under Construction]]*1)/F436)-1)</f>
        <v>0.10617283950617273</v>
      </c>
      <c r="H448" s="33">
        <v>1584</v>
      </c>
      <c r="I448" s="33">
        <f>IF(Tabela1716[[#This Row],[Housing Starts]]="",#N/A,Tabela1716[[#This Row],[Housing Starts]]-H447)</f>
        <v>59</v>
      </c>
      <c r="J448" s="41">
        <f>IF(Tabela1716[[#This Row],[Housing Starts]]="",#N/A,((Tabela1716[[#This Row],[Housing Starts]]*1)/H436)-1)</f>
        <v>6.5948855989232946E-2</v>
      </c>
      <c r="K448" s="33">
        <v>648121</v>
      </c>
      <c r="L448" s="41">
        <f>IF(Tabela1716[[#This Row],[Total Construction Spending]]="",#N/A,((Tabela1716[[#This Row],[Total Construction Spending]]*1)/K436)-1)</f>
        <v>5.3144625984091975E-2</v>
      </c>
      <c r="M448" s="31"/>
      <c r="N448" s="41"/>
      <c r="O448" s="33">
        <v>866</v>
      </c>
      <c r="P448" s="41">
        <f>IF(Tabela1716[[#This Row],[New House Sales]]="",#N/A,((Tabela1716[[#This Row],[New House Sales]]*1)/O447)-1)</f>
        <v>-6.8807339449541427E-3</v>
      </c>
      <c r="Q448" s="41">
        <f>IF(Tabela1716[[#This Row],[New House Sales]]="",#N/A,((Tabela1716[[#This Row],[New House Sales]]*1)/O436)-1)</f>
        <v>8.1148564294631687E-2</v>
      </c>
      <c r="R448" s="27">
        <v>3.9</v>
      </c>
      <c r="S448" s="86">
        <v>87.37299999999999</v>
      </c>
      <c r="T448" s="41">
        <f>IF(Tabela1716[[#This Row],[S&amp;P/Case-Shiller Home Price Index]]="",#N/A,((Tabela1716[[#This Row],[S&amp;P/Case-Shiller Home Price Index]]*1)/S447)-1)</f>
        <v>2.4092791666188162E-3</v>
      </c>
      <c r="U448" s="41">
        <f>IF(Tabela1716[[#This Row],[S&amp;P/Case-Shiller Home Price Index]]="",#N/A,((Tabela1716[[#This Row],[S&amp;P/Case-Shiller Home Price Index]]*1)/S436)-1)</f>
        <v>4.5169085015012378E-2</v>
      </c>
      <c r="V448" s="37"/>
      <c r="W448" s="9"/>
      <c r="X448" s="9"/>
    </row>
    <row r="449" spans="1:24" ht="12.75">
      <c r="A449" s="12">
        <v>35855</v>
      </c>
      <c r="B449" s="26">
        <v>7.08</v>
      </c>
      <c r="C449" s="29">
        <v>66</v>
      </c>
      <c r="D449" s="33">
        <v>1605</v>
      </c>
      <c r="E449" s="41">
        <f>IF(Tabela1716[[#This Row],[Building Permits]]="",#N/A,((Tabela1716[[#This Row],[Building Permits]]*1)/D437)-1)</f>
        <v>0.11768802228412256</v>
      </c>
      <c r="F449" s="33">
        <v>905</v>
      </c>
      <c r="G449" s="41">
        <f>IF(Tabela1716[[#This Row],[Houses Under Construction]]="",#N/A,((Tabela1716[[#This Row],[Houses Under Construction]]*1)/F437)-1)</f>
        <v>0.12004950495049505</v>
      </c>
      <c r="H449" s="33">
        <v>1567</v>
      </c>
      <c r="I449" s="33">
        <f>IF(Tabela1716[[#This Row],[Housing Starts]]="",#N/A,Tabela1716[[#This Row],[Housing Starts]]-H448)</f>
        <v>-17</v>
      </c>
      <c r="J449" s="41">
        <f>IF(Tabela1716[[#This Row],[Housing Starts]]="",#N/A,((Tabela1716[[#This Row],[Housing Starts]]*1)/H437)-1)</f>
        <v>7.549759780370624E-2</v>
      </c>
      <c r="K449" s="33">
        <v>666906</v>
      </c>
      <c r="L449" s="41">
        <f>IF(Tabela1716[[#This Row],[Total Construction Spending]]="",#N/A,((Tabela1716[[#This Row],[Total Construction Spending]]*1)/K437)-1)</f>
        <v>7.4845237538821552E-2</v>
      </c>
      <c r="M449" s="31">
        <v>4940</v>
      </c>
      <c r="N449" s="41"/>
      <c r="O449" s="33">
        <v>836</v>
      </c>
      <c r="P449" s="41">
        <f>IF(Tabela1716[[#This Row],[New House Sales]]="",#N/A,((Tabela1716[[#This Row],[New House Sales]]*1)/O448)-1)</f>
        <v>-3.4642032332563466E-2</v>
      </c>
      <c r="Q449" s="41">
        <f>IF(Tabela1716[[#This Row],[New House Sales]]="",#N/A,((Tabela1716[[#This Row],[New House Sales]]*1)/O437)-1)</f>
        <v>6.0168471720818406E-3</v>
      </c>
      <c r="R449" s="27">
        <v>4.0999999999999996</v>
      </c>
      <c r="S449" s="86">
        <v>87.87700000000001</v>
      </c>
      <c r="T449" s="41">
        <f>IF(Tabela1716[[#This Row],[S&amp;P/Case-Shiller Home Price Index]]="",#N/A,((Tabela1716[[#This Row],[S&amp;P/Case-Shiller Home Price Index]]*1)/S448)-1)</f>
        <v>5.7683723804839993E-3</v>
      </c>
      <c r="U449" s="41">
        <f>IF(Tabela1716[[#This Row],[S&amp;P/Case-Shiller Home Price Index]]="",#N/A,((Tabela1716[[#This Row],[S&amp;P/Case-Shiller Home Price Index]]*1)/S437)-1)</f>
        <v>4.7264363432684808E-2</v>
      </c>
      <c r="V449" s="39"/>
      <c r="W449" s="9"/>
      <c r="X449" s="9"/>
    </row>
    <row r="450" spans="1:24" ht="12.75">
      <c r="A450" s="12">
        <v>35886</v>
      </c>
      <c r="B450" s="26">
        <v>7.15</v>
      </c>
      <c r="C450" s="29">
        <v>67</v>
      </c>
      <c r="D450" s="33">
        <v>1547</v>
      </c>
      <c r="E450" s="41">
        <f>IF(Tabela1716[[#This Row],[Building Permits]]="",#N/A,((Tabela1716[[#This Row],[Building Permits]]*1)/D438)-1)</f>
        <v>8.8669950738916148E-2</v>
      </c>
      <c r="F450" s="33">
        <v>906</v>
      </c>
      <c r="G450" s="41">
        <f>IF(Tabela1716[[#This Row],[Houses Under Construction]]="",#N/A,((Tabela1716[[#This Row],[Houses Under Construction]]*1)/F438)-1)</f>
        <v>0.11851851851851847</v>
      </c>
      <c r="H450" s="33">
        <v>1540</v>
      </c>
      <c r="I450" s="33">
        <f>IF(Tabela1716[[#This Row],[Housing Starts]]="",#N/A,Tabela1716[[#This Row],[Housing Starts]]-H449)</f>
        <v>-27</v>
      </c>
      <c r="J450" s="41">
        <f>IF(Tabela1716[[#This Row],[Housing Starts]]="",#N/A,((Tabela1716[[#This Row],[Housing Starts]]*1)/H438)-1)</f>
        <v>3.2171581769437019E-2</v>
      </c>
      <c r="K450" s="33">
        <v>674351</v>
      </c>
      <c r="L450" s="41">
        <f>IF(Tabela1716[[#This Row],[Total Construction Spending]]="",#N/A,((Tabela1716[[#This Row],[Total Construction Spending]]*1)/K438)-1)</f>
        <v>9.4414736073355821E-2</v>
      </c>
      <c r="M450" s="31">
        <v>4910</v>
      </c>
      <c r="N450" s="41"/>
      <c r="O450" s="33">
        <v>866</v>
      </c>
      <c r="P450" s="41">
        <f>IF(Tabela1716[[#This Row],[New House Sales]]="",#N/A,((Tabela1716[[#This Row],[New House Sales]]*1)/O449)-1)</f>
        <v>3.5885167464114742E-2</v>
      </c>
      <c r="Q450" s="41">
        <f>IF(Tabela1716[[#This Row],[New House Sales]]="",#N/A,((Tabela1716[[#This Row],[New House Sales]]*1)/O438)-1)</f>
        <v>0.16397849462365599</v>
      </c>
      <c r="R450" s="27">
        <v>4</v>
      </c>
      <c r="S450" s="86">
        <v>88.557999999999993</v>
      </c>
      <c r="T450" s="41">
        <f>IF(Tabela1716[[#This Row],[S&amp;P/Case-Shiller Home Price Index]]="",#N/A,((Tabela1716[[#This Row],[S&amp;P/Case-Shiller Home Price Index]]*1)/S449)-1)</f>
        <v>7.7494680064178478E-3</v>
      </c>
      <c r="U450" s="41">
        <f>IF(Tabela1716[[#This Row],[S&amp;P/Case-Shiller Home Price Index]]="",#N/A,((Tabela1716[[#This Row],[S&amp;P/Case-Shiller Home Price Index]]*1)/S438)-1)</f>
        <v>5.0248455307693174E-2</v>
      </c>
      <c r="V450" s="37"/>
      <c r="W450" s="9"/>
      <c r="X450" s="9"/>
    </row>
    <row r="451" spans="1:24" ht="12.75">
      <c r="A451" s="12">
        <v>35916</v>
      </c>
      <c r="B451" s="26">
        <v>7.07</v>
      </c>
      <c r="C451" s="29">
        <v>67</v>
      </c>
      <c r="D451" s="33">
        <v>1554</v>
      </c>
      <c r="E451" s="41">
        <f>IF(Tabela1716[[#This Row],[Building Permits]]="",#N/A,((Tabela1716[[#This Row],[Building Permits]]*1)/D439)-1)</f>
        <v>9.9009900990099098E-2</v>
      </c>
      <c r="F451" s="33">
        <v>912</v>
      </c>
      <c r="G451" s="41">
        <f>IF(Tabela1716[[#This Row],[Houses Under Construction]]="",#N/A,((Tabela1716[[#This Row],[Houses Under Construction]]*1)/F439)-1)</f>
        <v>0.11764705882352944</v>
      </c>
      <c r="H451" s="33">
        <v>1536</v>
      </c>
      <c r="I451" s="33">
        <f>IF(Tabela1716[[#This Row],[Housing Starts]]="",#N/A,Tabela1716[[#This Row],[Housing Starts]]-H450)</f>
        <v>-4</v>
      </c>
      <c r="J451" s="41">
        <f>IF(Tabela1716[[#This Row],[Housing Starts]]="",#N/A,((Tabela1716[[#This Row],[Housing Starts]]*1)/H439)-1)</f>
        <v>6.5187239944521469E-2</v>
      </c>
      <c r="K451" s="33">
        <v>674325</v>
      </c>
      <c r="L451" s="41">
        <f>IF(Tabela1716[[#This Row],[Total Construction Spending]]="",#N/A,((Tabela1716[[#This Row],[Total Construction Spending]]*1)/K439)-1)</f>
        <v>7.9363834408708867E-2</v>
      </c>
      <c r="M451" s="31">
        <v>4960</v>
      </c>
      <c r="N451" s="41"/>
      <c r="O451" s="33">
        <v>887</v>
      </c>
      <c r="P451" s="41">
        <f>IF(Tabela1716[[#This Row],[New House Sales]]="",#N/A,((Tabela1716[[#This Row],[New House Sales]]*1)/O450)-1)</f>
        <v>2.4249422632794504E-2</v>
      </c>
      <c r="Q451" s="41">
        <f>IF(Tabela1716[[#This Row],[New House Sales]]="",#N/A,((Tabela1716[[#This Row],[New House Sales]]*1)/O439)-1)</f>
        <v>0.16710526315789465</v>
      </c>
      <c r="R451" s="27">
        <v>3.9</v>
      </c>
      <c r="S451" s="86">
        <v>89.373999999999995</v>
      </c>
      <c r="T451" s="41">
        <f>IF(Tabela1716[[#This Row],[S&amp;P/Case-Shiller Home Price Index]]="",#N/A,((Tabela1716[[#This Row],[S&amp;P/Case-Shiller Home Price Index]]*1)/S450)-1)</f>
        <v>9.2143002326159351E-3</v>
      </c>
      <c r="U451" s="41">
        <f>IF(Tabela1716[[#This Row],[S&amp;P/Case-Shiller Home Price Index]]="",#N/A,((Tabela1716[[#This Row],[S&amp;P/Case-Shiller Home Price Index]]*1)/S439)-1)</f>
        <v>5.3143853695324372E-2</v>
      </c>
      <c r="V451" s="39"/>
      <c r="W451" s="9"/>
      <c r="X451" s="9"/>
    </row>
    <row r="452" spans="1:24" ht="12.75">
      <c r="A452" s="12">
        <v>35947</v>
      </c>
      <c r="B452" s="26">
        <v>6.96</v>
      </c>
      <c r="C452" s="29">
        <v>70</v>
      </c>
      <c r="D452" s="33">
        <v>1551</v>
      </c>
      <c r="E452" s="41">
        <f>IF(Tabela1716[[#This Row],[Building Permits]]="",#N/A,((Tabela1716[[#This Row],[Building Permits]]*1)/D440)-1)</f>
        <v>0.10627674750356642</v>
      </c>
      <c r="F452" s="33">
        <v>927</v>
      </c>
      <c r="G452" s="41">
        <f>IF(Tabela1716[[#This Row],[Houses Under Construction]]="",#N/A,((Tabela1716[[#This Row],[Houses Under Construction]]*1)/F440)-1)</f>
        <v>0.12227602905569013</v>
      </c>
      <c r="H452" s="33">
        <v>1641</v>
      </c>
      <c r="I452" s="33">
        <f>IF(Tabela1716[[#This Row],[Housing Starts]]="",#N/A,Tabela1716[[#This Row],[Housing Starts]]-H451)</f>
        <v>105</v>
      </c>
      <c r="J452" s="41">
        <f>IF(Tabela1716[[#This Row],[Housing Starts]]="",#N/A,((Tabela1716[[#This Row],[Housing Starts]]*1)/H440)-1)</f>
        <v>9.8393574297188646E-2</v>
      </c>
      <c r="K452" s="33">
        <v>703177</v>
      </c>
      <c r="L452" s="41">
        <f>IF(Tabela1716[[#This Row],[Total Construction Spending]]="",#N/A,((Tabela1716[[#This Row],[Total Construction Spending]]*1)/K440)-1)</f>
        <v>0.12257581466037459</v>
      </c>
      <c r="M452" s="31">
        <v>4900</v>
      </c>
      <c r="N452" s="41"/>
      <c r="O452" s="33">
        <v>923</v>
      </c>
      <c r="P452" s="41">
        <f>IF(Tabela1716[[#This Row],[New House Sales]]="",#N/A,((Tabela1716[[#This Row],[New House Sales]]*1)/O451)-1)</f>
        <v>4.0586245772266105E-2</v>
      </c>
      <c r="Q452" s="41">
        <f>IF(Tabela1716[[#This Row],[New House Sales]]="",#N/A,((Tabela1716[[#This Row],[New House Sales]]*1)/O440)-1)</f>
        <v>0.16393442622950816</v>
      </c>
      <c r="R452" s="27">
        <v>3.8</v>
      </c>
      <c r="S452" s="86">
        <v>90.194999999999993</v>
      </c>
      <c r="T452" s="41">
        <f>IF(Tabela1716[[#This Row],[S&amp;P/Case-Shiller Home Price Index]]="",#N/A,((Tabela1716[[#This Row],[S&amp;P/Case-Shiller Home Price Index]]*1)/S451)-1)</f>
        <v>9.1861167677400601E-3</v>
      </c>
      <c r="U452" s="41">
        <f>IF(Tabela1716[[#This Row],[S&amp;P/Case-Shiller Home Price Index]]="",#N/A,((Tabela1716[[#This Row],[S&amp;P/Case-Shiller Home Price Index]]*1)/S440)-1)</f>
        <v>5.6172275697323082E-2</v>
      </c>
      <c r="V452" s="37"/>
      <c r="W452" s="9"/>
      <c r="X452" s="9"/>
    </row>
    <row r="453" spans="1:24" ht="12.75">
      <c r="A453" s="12">
        <v>35977</v>
      </c>
      <c r="B453" s="26">
        <v>6.97</v>
      </c>
      <c r="C453" s="29">
        <v>71</v>
      </c>
      <c r="D453" s="33">
        <v>1610</v>
      </c>
      <c r="E453" s="41">
        <f>IF(Tabela1716[[#This Row],[Building Permits]]="",#N/A,((Tabela1716[[#This Row],[Building Permits]]*1)/D441)-1)</f>
        <v>0.11805555555555558</v>
      </c>
      <c r="F453" s="33">
        <v>938</v>
      </c>
      <c r="G453" s="41">
        <f>IF(Tabela1716[[#This Row],[Houses Under Construction]]="",#N/A,((Tabela1716[[#This Row],[Houses Under Construction]]*1)/F441)-1)</f>
        <v>0.12200956937799035</v>
      </c>
      <c r="H453" s="33">
        <v>1698</v>
      </c>
      <c r="I453" s="33">
        <f>IF(Tabela1716[[#This Row],[Housing Starts]]="",#N/A,Tabela1716[[#This Row],[Housing Starts]]-H452)</f>
        <v>57</v>
      </c>
      <c r="J453" s="41">
        <f>IF(Tabela1716[[#This Row],[Housing Starts]]="",#N/A,((Tabela1716[[#This Row],[Housing Starts]]*1)/H441)-1)</f>
        <v>0.18162839248434248</v>
      </c>
      <c r="K453" s="33">
        <v>696540</v>
      </c>
      <c r="L453" s="41">
        <f>IF(Tabela1716[[#This Row],[Total Construction Spending]]="",#N/A,((Tabela1716[[#This Row],[Total Construction Spending]]*1)/K441)-1)</f>
        <v>9.276603755824353E-2</v>
      </c>
      <c r="M453" s="31">
        <v>5020</v>
      </c>
      <c r="N453" s="41"/>
      <c r="O453" s="33">
        <v>876</v>
      </c>
      <c r="P453" s="41">
        <f>IF(Tabela1716[[#This Row],[New House Sales]]="",#N/A,((Tabela1716[[#This Row],[New House Sales]]*1)/O452)-1)</f>
        <v>-5.0920910075839654E-2</v>
      </c>
      <c r="Q453" s="41">
        <f>IF(Tabela1716[[#This Row],[New House Sales]]="",#N/A,((Tabela1716[[#This Row],[New House Sales]]*1)/O441)-1)</f>
        <v>8.8198757763975122E-2</v>
      </c>
      <c r="R453" s="27">
        <v>4</v>
      </c>
      <c r="S453" s="86">
        <v>90.858999999999995</v>
      </c>
      <c r="T453" s="41">
        <f>IF(Tabela1716[[#This Row],[S&amp;P/Case-Shiller Home Price Index]]="",#N/A,((Tabela1716[[#This Row],[S&amp;P/Case-Shiller Home Price Index]]*1)/S452)-1)</f>
        <v>7.3618271522812861E-3</v>
      </c>
      <c r="U453" s="41">
        <f>IF(Tabela1716[[#This Row],[S&amp;P/Case-Shiller Home Price Index]]="",#N/A,((Tabela1716[[#This Row],[S&amp;P/Case-Shiller Home Price Index]]*1)/S441)-1)</f>
        <v>5.8456914528022486E-2</v>
      </c>
      <c r="V453" s="39"/>
      <c r="W453" s="9"/>
      <c r="X453" s="9"/>
    </row>
    <row r="454" spans="1:24" ht="12.75">
      <c r="A454" s="12">
        <v>36008</v>
      </c>
      <c r="B454" s="26">
        <v>6.92</v>
      </c>
      <c r="C454" s="29">
        <v>72</v>
      </c>
      <c r="D454" s="33">
        <v>1654</v>
      </c>
      <c r="E454" s="41">
        <f>IF(Tabela1716[[#This Row],[Building Permits]]="",#N/A,((Tabela1716[[#This Row],[Building Permits]]*1)/D442)-1)</f>
        <v>0.14147688060731545</v>
      </c>
      <c r="F454" s="33">
        <v>941</v>
      </c>
      <c r="G454" s="41">
        <f>IF(Tabela1716[[#This Row],[Houses Under Construction]]="",#N/A,((Tabela1716[[#This Row],[Houses Under Construction]]*1)/F442)-1)</f>
        <v>0.12559808612440193</v>
      </c>
      <c r="H454" s="33">
        <v>1614</v>
      </c>
      <c r="I454" s="33">
        <f>IF(Tabela1716[[#This Row],[Housing Starts]]="",#N/A,Tabela1716[[#This Row],[Housing Starts]]-H453)</f>
        <v>-84</v>
      </c>
      <c r="J454" s="41">
        <f>IF(Tabela1716[[#This Row],[Housing Starts]]="",#N/A,((Tabela1716[[#This Row],[Housing Starts]]*1)/H442)-1)</f>
        <v>0.16115107913669058</v>
      </c>
      <c r="K454" s="33">
        <v>698156</v>
      </c>
      <c r="L454" s="41">
        <f>IF(Tabela1716[[#This Row],[Total Construction Spending]]="",#N/A,((Tabela1716[[#This Row],[Total Construction Spending]]*1)/K442)-1)</f>
        <v>9.1562915791761235E-2</v>
      </c>
      <c r="M454" s="31">
        <v>4970</v>
      </c>
      <c r="N454" s="41"/>
      <c r="O454" s="33">
        <v>846</v>
      </c>
      <c r="P454" s="41">
        <f>IF(Tabela1716[[#This Row],[New House Sales]]="",#N/A,((Tabela1716[[#This Row],[New House Sales]]*1)/O453)-1)</f>
        <v>-3.4246575342465779E-2</v>
      </c>
      <c r="Q454" s="41">
        <f>IF(Tabela1716[[#This Row],[New House Sales]]="",#N/A,((Tabela1716[[#This Row],[New House Sales]]*1)/O442)-1)</f>
        <v>3.8036809815950923E-2</v>
      </c>
      <c r="R454" s="27">
        <v>4.0999999999999996</v>
      </c>
      <c r="S454" s="86">
        <v>91.407000000000011</v>
      </c>
      <c r="T454" s="41">
        <f>IF(Tabela1716[[#This Row],[S&amp;P/Case-Shiller Home Price Index]]="",#N/A,((Tabela1716[[#This Row],[S&amp;P/Case-Shiller Home Price Index]]*1)/S453)-1)</f>
        <v>6.0313232591160393E-3</v>
      </c>
      <c r="U454" s="41">
        <f>IF(Tabela1716[[#This Row],[S&amp;P/Case-Shiller Home Price Index]]="",#N/A,((Tabela1716[[#This Row],[S&amp;P/Case-Shiller Home Price Index]]*1)/S442)-1)</f>
        <v>6.1021474172954226E-2</v>
      </c>
      <c r="V454" s="37"/>
      <c r="W454" s="9"/>
      <c r="X454" s="9"/>
    </row>
    <row r="455" spans="1:24" ht="12.75">
      <c r="A455" s="12">
        <v>36039</v>
      </c>
      <c r="B455" s="26">
        <v>6.64</v>
      </c>
      <c r="C455" s="29">
        <v>71</v>
      </c>
      <c r="D455" s="33">
        <v>1577</v>
      </c>
      <c r="E455" s="41">
        <f>IF(Tabela1716[[#This Row],[Building Permits]]="",#N/A,((Tabela1716[[#This Row],[Building Permits]]*1)/D443)-1)</f>
        <v>5.555555555555558E-2</v>
      </c>
      <c r="F455" s="33">
        <v>952</v>
      </c>
      <c r="G455" s="41">
        <f>IF(Tabela1716[[#This Row],[Houses Under Construction]]="",#N/A,((Tabela1716[[#This Row],[Houses Under Construction]]*1)/F443)-1)</f>
        <v>0.12529550827423175</v>
      </c>
      <c r="H455" s="33">
        <v>1582</v>
      </c>
      <c r="I455" s="33">
        <f>IF(Tabela1716[[#This Row],[Housing Starts]]="",#N/A,Tabela1716[[#This Row],[Housing Starts]]-H454)</f>
        <v>-32</v>
      </c>
      <c r="J455" s="41">
        <f>IF(Tabela1716[[#This Row],[Housing Starts]]="",#N/A,((Tabela1716[[#This Row],[Housing Starts]]*1)/H443)-1)</f>
        <v>2.3285899094437346E-2</v>
      </c>
      <c r="K455" s="33">
        <v>707561</v>
      </c>
      <c r="L455" s="41">
        <f>IF(Tabela1716[[#This Row],[Total Construction Spending]]="",#N/A,((Tabela1716[[#This Row],[Total Construction Spending]]*1)/K443)-1)</f>
        <v>9.4404556042603005E-2</v>
      </c>
      <c r="M455" s="31">
        <v>4970</v>
      </c>
      <c r="N455" s="41"/>
      <c r="O455" s="33">
        <v>864</v>
      </c>
      <c r="P455" s="41">
        <f>IF(Tabela1716[[#This Row],[New House Sales]]="",#N/A,((Tabela1716[[#This Row],[New House Sales]]*1)/O454)-1)</f>
        <v>2.1276595744680771E-2</v>
      </c>
      <c r="Q455" s="41">
        <f>IF(Tabela1716[[#This Row],[New House Sales]]="",#N/A,((Tabela1716[[#This Row],[New House Sales]]*1)/O443)-1)</f>
        <v>2.857142857142847E-2</v>
      </c>
      <c r="R455" s="27">
        <v>4.0999999999999996</v>
      </c>
      <c r="S455" s="86">
        <v>91.75200000000001</v>
      </c>
      <c r="T455" s="41">
        <f>IF(Tabela1716[[#This Row],[S&amp;P/Case-Shiller Home Price Index]]="",#N/A,((Tabela1716[[#This Row],[S&amp;P/Case-Shiller Home Price Index]]*1)/S454)-1)</f>
        <v>3.7743280055138051E-3</v>
      </c>
      <c r="U455" s="41">
        <f>IF(Tabela1716[[#This Row],[S&amp;P/Case-Shiller Home Price Index]]="",#N/A,((Tabela1716[[#This Row],[S&amp;P/Case-Shiller Home Price Index]]*1)/S443)-1)</f>
        <v>6.303947353176298E-2</v>
      </c>
      <c r="V455" s="39"/>
      <c r="W455" s="9"/>
      <c r="X455" s="9"/>
    </row>
    <row r="456" spans="1:24" ht="12.75">
      <c r="A456" s="12">
        <v>36069</v>
      </c>
      <c r="B456" s="26">
        <v>6.83</v>
      </c>
      <c r="C456" s="29">
        <v>73</v>
      </c>
      <c r="D456" s="33">
        <v>1719</v>
      </c>
      <c r="E456" s="41">
        <f>IF(Tabela1716[[#This Row],[Building Permits]]="",#N/A,((Tabela1716[[#This Row],[Building Permits]]*1)/D444)-1)</f>
        <v>0.14676450967311538</v>
      </c>
      <c r="F456" s="33">
        <v>972</v>
      </c>
      <c r="G456" s="41">
        <f>IF(Tabela1716[[#This Row],[Houses Under Construction]]="",#N/A,((Tabela1716[[#This Row],[Houses Under Construction]]*1)/F444)-1)</f>
        <v>0.13286713286713292</v>
      </c>
      <c r="H456" s="33">
        <v>1715</v>
      </c>
      <c r="I456" s="33">
        <f>IF(Tabela1716[[#This Row],[Housing Starts]]="",#N/A,Tabela1716[[#This Row],[Housing Starts]]-H455)</f>
        <v>133</v>
      </c>
      <c r="J456" s="41">
        <f>IF(Tabela1716[[#This Row],[Housing Starts]]="",#N/A,((Tabela1716[[#This Row],[Housing Starts]]*1)/H444)-1)</f>
        <v>0.12828947368421062</v>
      </c>
      <c r="K456" s="33">
        <v>707943</v>
      </c>
      <c r="L456" s="41">
        <f>IF(Tabela1716[[#This Row],[Total Construction Spending]]="",#N/A,((Tabela1716[[#This Row],[Total Construction Spending]]*1)/K444)-1)</f>
        <v>8.3814046626127459E-2</v>
      </c>
      <c r="M456" s="31">
        <v>5050</v>
      </c>
      <c r="N456" s="41"/>
      <c r="O456" s="33">
        <v>893</v>
      </c>
      <c r="P456" s="41">
        <f>IF(Tabela1716[[#This Row],[New House Sales]]="",#N/A,((Tabela1716[[#This Row],[New House Sales]]*1)/O455)-1)</f>
        <v>3.3564814814814881E-2</v>
      </c>
      <c r="Q456" s="41">
        <f>IF(Tabela1716[[#This Row],[New House Sales]]="",#N/A,((Tabela1716[[#This Row],[New House Sales]]*1)/O444)-1)</f>
        <v>0.11624999999999996</v>
      </c>
      <c r="R456" s="27">
        <v>4</v>
      </c>
      <c r="S456" s="86">
        <v>91.998999999999995</v>
      </c>
      <c r="T456" s="41">
        <f>IF(Tabela1716[[#This Row],[S&amp;P/Case-Shiller Home Price Index]]="",#N/A,((Tabela1716[[#This Row],[S&amp;P/Case-Shiller Home Price Index]]*1)/S455)-1)</f>
        <v>2.6920394105849343E-3</v>
      </c>
      <c r="U456" s="41">
        <f>IF(Tabela1716[[#This Row],[S&amp;P/Case-Shiller Home Price Index]]="",#N/A,((Tabela1716[[#This Row],[S&amp;P/Case-Shiller Home Price Index]]*1)/S444)-1)</f>
        <v>6.4704656976205976E-2</v>
      </c>
      <c r="V456" s="37"/>
      <c r="W456" s="9"/>
      <c r="X456" s="9"/>
    </row>
    <row r="457" spans="1:24" ht="12.75">
      <c r="A457" s="12">
        <v>36100</v>
      </c>
      <c r="B457" s="26">
        <v>6.78</v>
      </c>
      <c r="C457" s="29">
        <v>77</v>
      </c>
      <c r="D457" s="33">
        <v>1672</v>
      </c>
      <c r="E457" s="41">
        <f>IF(Tabela1716[[#This Row],[Building Permits]]="",#N/A,((Tabela1716[[#This Row],[Building Permits]]*1)/D445)-1)</f>
        <v>0.13818924438393454</v>
      </c>
      <c r="F457" s="33">
        <v>976</v>
      </c>
      <c r="G457" s="41">
        <f>IF(Tabela1716[[#This Row],[Houses Under Construction]]="",#N/A,((Tabela1716[[#This Row],[Houses Under Construction]]*1)/F445)-1)</f>
        <v>0.12832369942196542</v>
      </c>
      <c r="H457" s="33">
        <v>1660</v>
      </c>
      <c r="I457" s="33">
        <f>IF(Tabela1716[[#This Row],[Housing Starts]]="",#N/A,Tabela1716[[#This Row],[Housing Starts]]-H456)</f>
        <v>-55</v>
      </c>
      <c r="J457" s="41">
        <f>IF(Tabela1716[[#This Row],[Housing Starts]]="",#N/A,((Tabela1716[[#This Row],[Housing Starts]]*1)/H445)-1)</f>
        <v>9.9337748344370924E-2</v>
      </c>
      <c r="K457" s="33">
        <v>707845</v>
      </c>
      <c r="L457" s="41">
        <f>IF(Tabela1716[[#This Row],[Total Construction Spending]]="",#N/A,((Tabela1716[[#This Row],[Total Construction Spending]]*1)/K445)-1)</f>
        <v>9.9633375277687231E-2</v>
      </c>
      <c r="M457" s="31">
        <v>5120</v>
      </c>
      <c r="N457" s="41"/>
      <c r="O457" s="33">
        <v>995</v>
      </c>
      <c r="P457" s="41">
        <f>IF(Tabela1716[[#This Row],[New House Sales]]="",#N/A,((Tabela1716[[#This Row],[New House Sales]]*1)/O456)-1)</f>
        <v>0.1142217245240762</v>
      </c>
      <c r="Q457" s="41">
        <f>IF(Tabela1716[[#This Row],[New House Sales]]="",#N/A,((Tabela1716[[#This Row],[New House Sales]]*1)/O445)-1)</f>
        <v>0.15162037037037046</v>
      </c>
      <c r="R457" s="27">
        <v>3.5</v>
      </c>
      <c r="S457" s="86">
        <v>92.197000000000003</v>
      </c>
      <c r="T457" s="41">
        <f>IF(Tabela1716[[#This Row],[S&amp;P/Case-Shiller Home Price Index]]="",#N/A,((Tabela1716[[#This Row],[S&amp;P/Case-Shiller Home Price Index]]*1)/S456)-1)</f>
        <v>2.1521973064926314E-3</v>
      </c>
      <c r="U457" s="41">
        <f>IF(Tabela1716[[#This Row],[S&amp;P/Case-Shiller Home Price Index]]="",#N/A,((Tabela1716[[#This Row],[S&amp;P/Case-Shiller Home Price Index]]*1)/S445)-1)</f>
        <v>6.4237233354880408E-2</v>
      </c>
      <c r="V457" s="39"/>
      <c r="W457" s="9"/>
      <c r="X457" s="9"/>
    </row>
    <row r="458" spans="1:24" ht="12.75">
      <c r="A458" s="12">
        <v>36130</v>
      </c>
      <c r="B458" s="26">
        <v>6.83</v>
      </c>
      <c r="C458" s="30">
        <v>78</v>
      </c>
      <c r="D458" s="33">
        <v>1742</v>
      </c>
      <c r="E458" s="41">
        <f>IF(Tabela1716[[#This Row],[Building Permits]]="",#N/A,((Tabela1716[[#This Row],[Building Permits]]*1)/D446)-1)</f>
        <v>0.1964285714285714</v>
      </c>
      <c r="F458" s="33">
        <v>1003</v>
      </c>
      <c r="G458" s="41">
        <f>IF(Tabela1716[[#This Row],[Houses Under Construction]]="",#N/A,((Tabela1716[[#This Row],[Houses Under Construction]]*1)/F446)-1)</f>
        <v>0.15022935779816504</v>
      </c>
      <c r="H458" s="33">
        <v>1792</v>
      </c>
      <c r="I458" s="33">
        <f>IF(Tabela1716[[#This Row],[Housing Starts]]="",#N/A,Tabela1716[[#This Row],[Housing Starts]]-H457)</f>
        <v>132</v>
      </c>
      <c r="J458" s="41">
        <f>IF(Tabela1716[[#This Row],[Housing Starts]]="",#N/A,((Tabela1716[[#This Row],[Housing Starts]]*1)/H446)-1)</f>
        <v>0.14431673052362703</v>
      </c>
      <c r="K458" s="33">
        <v>706989</v>
      </c>
      <c r="L458" s="41">
        <f>IF(Tabela1716[[#This Row],[Total Construction Spending]]="",#N/A,((Tabela1716[[#This Row],[Total Construction Spending]]*1)/K446)-1)</f>
        <v>0.10119295163242326</v>
      </c>
      <c r="M458" s="31">
        <v>5280</v>
      </c>
      <c r="N458" s="41"/>
      <c r="O458" s="33">
        <v>949</v>
      </c>
      <c r="P458" s="41">
        <f>IF(Tabela1716[[#This Row],[New House Sales]]="",#N/A,((Tabela1716[[#This Row],[New House Sales]]*1)/O457)-1)</f>
        <v>-4.6231155778894473E-2</v>
      </c>
      <c r="Q458" s="41">
        <f>IF(Tabela1716[[#This Row],[New House Sales]]="",#N/A,((Tabela1716[[#This Row],[New House Sales]]*1)/O446)-1)</f>
        <v>0.19672131147540983</v>
      </c>
      <c r="R458" s="27">
        <v>3.8</v>
      </c>
      <c r="S458" s="86">
        <v>92.442999999999998</v>
      </c>
      <c r="T458" s="41">
        <f>IF(Tabela1716[[#This Row],[S&amp;P/Case-Shiller Home Price Index]]="",#N/A,((Tabela1716[[#This Row],[S&amp;P/Case-Shiller Home Price Index]]*1)/S457)-1)</f>
        <v>2.6681996160395904E-3</v>
      </c>
      <c r="U458" s="41">
        <f>IF(Tabela1716[[#This Row],[S&amp;P/Case-Shiller Home Price Index]]="",#N/A,((Tabela1716[[#This Row],[S&amp;P/Case-Shiller Home Price Index]]*1)/S446)-1)</f>
        <v>6.4422899778924014E-2</v>
      </c>
      <c r="V458" s="37"/>
      <c r="W458" s="9"/>
      <c r="X458" s="9"/>
    </row>
    <row r="459" spans="1:24" ht="12.75">
      <c r="A459" s="12">
        <v>36161</v>
      </c>
      <c r="B459" s="26">
        <v>6.74</v>
      </c>
      <c r="C459" s="29">
        <v>75</v>
      </c>
      <c r="D459" s="33">
        <v>1732</v>
      </c>
      <c r="E459" s="41">
        <f>IF(Tabela1716[[#This Row],[Building Permits]]="",#N/A,((Tabela1716[[#This Row],[Building Permits]]*1)/D447)-1)</f>
        <v>0.11382636655948564</v>
      </c>
      <c r="F459" s="33">
        <v>973</v>
      </c>
      <c r="G459" s="41">
        <f>IF(Tabela1716[[#This Row],[Houses Under Construction]]="",#N/A,((Tabela1716[[#This Row],[Houses Under Construction]]*1)/F447)-1)</f>
        <v>9.8194130925507883E-2</v>
      </c>
      <c r="H459" s="33">
        <v>1748</v>
      </c>
      <c r="I459" s="33">
        <f>IF(Tabela1716[[#This Row],[Housing Starts]]="",#N/A,Tabela1716[[#This Row],[Housing Starts]]-H458)</f>
        <v>-44</v>
      </c>
      <c r="J459" s="41">
        <f>IF(Tabela1716[[#This Row],[Housing Starts]]="",#N/A,((Tabela1716[[#This Row],[Housing Starts]]*1)/H447)-1)</f>
        <v>0.14622950819672131</v>
      </c>
      <c r="K459" s="33">
        <v>708818</v>
      </c>
      <c r="L459" s="41">
        <f>IF(Tabela1716[[#This Row],[Total Construction Spending]]="",#N/A,((Tabela1716[[#This Row],[Total Construction Spending]]*1)/K447)-1)</f>
        <v>9.7775079527820052E-2</v>
      </c>
      <c r="M459" s="31">
        <v>5230</v>
      </c>
      <c r="N459" s="41"/>
      <c r="O459" s="33">
        <v>875</v>
      </c>
      <c r="P459" s="41">
        <f>IF(Tabela1716[[#This Row],[New House Sales]]="",#N/A,((Tabela1716[[#This Row],[New House Sales]]*1)/O458)-1)</f>
        <v>-7.7976817702845147E-2</v>
      </c>
      <c r="Q459" s="41">
        <f>IF(Tabela1716[[#This Row],[New House Sales]]="",#N/A,((Tabela1716[[#This Row],[New House Sales]]*1)/O447)-1)</f>
        <v>3.4403669724769603E-3</v>
      </c>
      <c r="R459" s="27">
        <v>3.9</v>
      </c>
      <c r="S459" s="86">
        <v>92.713999999999999</v>
      </c>
      <c r="T459" s="41">
        <f>IF(Tabela1716[[#This Row],[S&amp;P/Case-Shiller Home Price Index]]="",#N/A,((Tabela1716[[#This Row],[S&amp;P/Case-Shiller Home Price Index]]*1)/S458)-1)</f>
        <v>2.9315361898683001E-3</v>
      </c>
      <c r="U459" s="41">
        <f>IF(Tabela1716[[#This Row],[S&amp;P/Case-Shiller Home Price Index]]="",#N/A,((Tabela1716[[#This Row],[S&amp;P/Case-Shiller Home Price Index]]*1)/S447)-1)</f>
        <v>6.3685279304291909E-2</v>
      </c>
      <c r="V459" s="39"/>
      <c r="W459" s="9"/>
      <c r="X459" s="9"/>
    </row>
    <row r="460" spans="1:24" ht="12.75">
      <c r="A460" s="12">
        <v>36192</v>
      </c>
      <c r="B460" s="26">
        <v>6.89</v>
      </c>
      <c r="C460" s="29">
        <v>71</v>
      </c>
      <c r="D460" s="33">
        <v>1720</v>
      </c>
      <c r="E460" s="41">
        <f>IF(Tabela1716[[#This Row],[Building Permits]]="",#N/A,((Tabela1716[[#This Row],[Building Permits]]*1)/D448)-1)</f>
        <v>4.4323011536126389E-2</v>
      </c>
      <c r="F460" s="33">
        <v>989</v>
      </c>
      <c r="G460" s="41">
        <f>IF(Tabela1716[[#This Row],[Houses Under Construction]]="",#N/A,((Tabela1716[[#This Row],[Houses Under Construction]]*1)/F448)-1)</f>
        <v>0.10379464285714279</v>
      </c>
      <c r="H460" s="33">
        <v>1670</v>
      </c>
      <c r="I460" s="33">
        <f>IF(Tabela1716[[#This Row],[Housing Starts]]="",#N/A,Tabela1716[[#This Row],[Housing Starts]]-H459)</f>
        <v>-78</v>
      </c>
      <c r="J460" s="41">
        <f>IF(Tabela1716[[#This Row],[Housing Starts]]="",#N/A,((Tabela1716[[#This Row],[Housing Starts]]*1)/H448)-1)</f>
        <v>5.4292929292929282E-2</v>
      </c>
      <c r="K460" s="33">
        <v>726308</v>
      </c>
      <c r="L460" s="41">
        <f>IF(Tabela1716[[#This Row],[Total Construction Spending]]="",#N/A,((Tabela1716[[#This Row],[Total Construction Spending]]*1)/K448)-1)</f>
        <v>0.12063642437137512</v>
      </c>
      <c r="M460" s="31">
        <v>5100</v>
      </c>
      <c r="N460" s="41"/>
      <c r="O460" s="33">
        <v>848</v>
      </c>
      <c r="P460" s="41">
        <f>IF(Tabela1716[[#This Row],[New House Sales]]="",#N/A,((Tabela1716[[#This Row],[New House Sales]]*1)/O459)-1)</f>
        <v>-3.0857142857142805E-2</v>
      </c>
      <c r="Q460" s="41">
        <f>IF(Tabela1716[[#This Row],[New House Sales]]="",#N/A,((Tabela1716[[#This Row],[New House Sales]]*1)/O448)-1)</f>
        <v>-2.0785219399538146E-2</v>
      </c>
      <c r="R460" s="27">
        <v>4</v>
      </c>
      <c r="S460" s="86">
        <v>92.981000000000009</v>
      </c>
      <c r="T460" s="41">
        <f>IF(Tabela1716[[#This Row],[S&amp;P/Case-Shiller Home Price Index]]="",#N/A,((Tabela1716[[#This Row],[S&amp;P/Case-Shiller Home Price Index]]*1)/S459)-1)</f>
        <v>2.8798239748042409E-3</v>
      </c>
      <c r="U460" s="41">
        <f>IF(Tabela1716[[#This Row],[S&amp;P/Case-Shiller Home Price Index]]="",#N/A,((Tabela1716[[#This Row],[S&amp;P/Case-Shiller Home Price Index]]*1)/S448)-1)</f>
        <v>6.4184587916175762E-2</v>
      </c>
      <c r="V460" s="37"/>
      <c r="W460" s="9"/>
      <c r="X460" s="9"/>
    </row>
    <row r="461" spans="1:24" ht="12.75">
      <c r="A461" s="12">
        <v>36220</v>
      </c>
      <c r="B461" s="26">
        <v>6.98</v>
      </c>
      <c r="C461" s="29">
        <v>71</v>
      </c>
      <c r="D461" s="33">
        <v>1665</v>
      </c>
      <c r="E461" s="41">
        <f>IF(Tabela1716[[#This Row],[Building Permits]]="",#N/A,((Tabela1716[[#This Row],[Building Permits]]*1)/D449)-1)</f>
        <v>3.7383177570093462E-2</v>
      </c>
      <c r="F461" s="33">
        <v>994</v>
      </c>
      <c r="G461" s="41">
        <f>IF(Tabela1716[[#This Row],[Houses Under Construction]]="",#N/A,((Tabela1716[[#This Row],[Houses Under Construction]]*1)/F449)-1)</f>
        <v>9.8342541436464037E-2</v>
      </c>
      <c r="H461" s="33">
        <v>1710</v>
      </c>
      <c r="I461" s="33">
        <f>IF(Tabela1716[[#This Row],[Housing Starts]]="",#N/A,Tabela1716[[#This Row],[Housing Starts]]-H460)</f>
        <v>40</v>
      </c>
      <c r="J461" s="41">
        <f>IF(Tabela1716[[#This Row],[Housing Starts]]="",#N/A,((Tabela1716[[#This Row],[Housing Starts]]*1)/H449)-1)</f>
        <v>9.1257179323548154E-2</v>
      </c>
      <c r="K461" s="33">
        <v>737226</v>
      </c>
      <c r="L461" s="41">
        <f>IF(Tabela1716[[#This Row],[Total Construction Spending]]="",#N/A,((Tabela1716[[#This Row],[Total Construction Spending]]*1)/K449)-1)</f>
        <v>0.10544214626948922</v>
      </c>
      <c r="M461" s="31">
        <v>5150</v>
      </c>
      <c r="N461" s="41">
        <f>IF(Tabela1716[[#This Row],[Existing Home Sales]]="",#N/A,((Tabela1716[[#This Row],[Existing Home Sales]]*1)/M449)-1)</f>
        <v>4.2510121457489891E-2</v>
      </c>
      <c r="O461" s="33">
        <v>863</v>
      </c>
      <c r="P461" s="41">
        <f>IF(Tabela1716[[#This Row],[New House Sales]]="",#N/A,((Tabela1716[[#This Row],[New House Sales]]*1)/O460)-1)</f>
        <v>1.7688679245283057E-2</v>
      </c>
      <c r="Q461" s="41">
        <f>IF(Tabela1716[[#This Row],[New House Sales]]="",#N/A,((Tabela1716[[#This Row],[New House Sales]]*1)/O449)-1)</f>
        <v>3.2296650717703379E-2</v>
      </c>
      <c r="R461" s="27">
        <v>4.0999999999999996</v>
      </c>
      <c r="S461" s="86">
        <v>93.611000000000004</v>
      </c>
      <c r="T461" s="41">
        <f>IF(Tabela1716[[#This Row],[S&amp;P/Case-Shiller Home Price Index]]="",#N/A,((Tabela1716[[#This Row],[S&amp;P/Case-Shiller Home Price Index]]*1)/S460)-1)</f>
        <v>6.7755778062184024E-3</v>
      </c>
      <c r="U461" s="41">
        <f>IF(Tabela1716[[#This Row],[S&amp;P/Case-Shiller Home Price Index]]="",#N/A,((Tabela1716[[#This Row],[S&amp;P/Case-Shiller Home Price Index]]*1)/S449)-1)</f>
        <v>6.5250293023202843E-2</v>
      </c>
      <c r="V461" s="39"/>
      <c r="W461" s="9"/>
      <c r="X461" s="9"/>
    </row>
    <row r="462" spans="1:24" ht="12.75">
      <c r="A462" s="12">
        <v>36251</v>
      </c>
      <c r="B462" s="26">
        <v>6.93</v>
      </c>
      <c r="C462" s="29">
        <v>71</v>
      </c>
      <c r="D462" s="33">
        <v>1600</v>
      </c>
      <c r="E462" s="41">
        <f>IF(Tabela1716[[#This Row],[Building Permits]]="",#N/A,((Tabela1716[[#This Row],[Building Permits]]*1)/D450)-1)</f>
        <v>3.4259857789269654E-2</v>
      </c>
      <c r="F462" s="33">
        <v>991</v>
      </c>
      <c r="G462" s="41">
        <f>IF(Tabela1716[[#This Row],[Houses Under Construction]]="",#N/A,((Tabela1716[[#This Row],[Houses Under Construction]]*1)/F450)-1)</f>
        <v>9.3818984547461293E-2</v>
      </c>
      <c r="H462" s="33">
        <v>1553</v>
      </c>
      <c r="I462" s="33">
        <f>IF(Tabela1716[[#This Row],[Housing Starts]]="",#N/A,Tabela1716[[#This Row],[Housing Starts]]-H461)</f>
        <v>-157</v>
      </c>
      <c r="J462" s="41">
        <f>IF(Tabela1716[[#This Row],[Housing Starts]]="",#N/A,((Tabela1716[[#This Row],[Housing Starts]]*1)/H450)-1)</f>
        <v>8.4415584415584721E-3</v>
      </c>
      <c r="K462" s="33">
        <v>728788</v>
      </c>
      <c r="L462" s="41">
        <f>IF(Tabela1716[[#This Row],[Total Construction Spending]]="",#N/A,((Tabela1716[[#This Row],[Total Construction Spending]]*1)/K450)-1)</f>
        <v>8.0725023022135467E-2</v>
      </c>
      <c r="M462" s="31">
        <v>5080</v>
      </c>
      <c r="N462" s="41">
        <f>IF(Tabela1716[[#This Row],[Existing Home Sales]]="",#N/A,((Tabela1716[[#This Row],[Existing Home Sales]]*1)/M450)-1)</f>
        <v>3.4623217922606919E-2</v>
      </c>
      <c r="O462" s="33">
        <v>918</v>
      </c>
      <c r="P462" s="41">
        <f>IF(Tabela1716[[#This Row],[New House Sales]]="",#N/A,((Tabela1716[[#This Row],[New House Sales]]*1)/O461)-1)</f>
        <v>6.3731170336037035E-2</v>
      </c>
      <c r="Q462" s="41">
        <f>IF(Tabela1716[[#This Row],[New House Sales]]="",#N/A,((Tabela1716[[#This Row],[New House Sales]]*1)/O450)-1)</f>
        <v>6.004618937644346E-2</v>
      </c>
      <c r="R462" s="27">
        <v>3.9</v>
      </c>
      <c r="S462" s="86">
        <v>94.436000000000007</v>
      </c>
      <c r="T462" s="41">
        <f>IF(Tabela1716[[#This Row],[S&amp;P/Case-Shiller Home Price Index]]="",#N/A,((Tabela1716[[#This Row],[S&amp;P/Case-Shiller Home Price Index]]*1)/S461)-1)</f>
        <v>8.8130668404353685E-3</v>
      </c>
      <c r="U462" s="41">
        <f>IF(Tabela1716[[#This Row],[S&amp;P/Case-Shiller Home Price Index]]="",#N/A,((Tabela1716[[#This Row],[S&amp;P/Case-Shiller Home Price Index]]*1)/S450)-1)</f>
        <v>6.6374579371711429E-2</v>
      </c>
      <c r="V462" s="37"/>
      <c r="W462" s="9"/>
      <c r="X462" s="9"/>
    </row>
    <row r="463" spans="1:24" ht="12.75">
      <c r="A463" s="12">
        <v>36281</v>
      </c>
      <c r="B463" s="26">
        <v>7.23</v>
      </c>
      <c r="C463" s="29">
        <v>75</v>
      </c>
      <c r="D463" s="33">
        <v>1640</v>
      </c>
      <c r="E463" s="41">
        <f>IF(Tabela1716[[#This Row],[Building Permits]]="",#N/A,((Tabela1716[[#This Row],[Building Permits]]*1)/D451)-1)</f>
        <v>5.5341055341055378E-2</v>
      </c>
      <c r="F463" s="33">
        <v>989</v>
      </c>
      <c r="G463" s="41">
        <f>IF(Tabela1716[[#This Row],[Houses Under Construction]]="",#N/A,((Tabela1716[[#This Row],[Houses Under Construction]]*1)/F451)-1)</f>
        <v>8.4429824561403466E-2</v>
      </c>
      <c r="H463" s="33">
        <v>1611</v>
      </c>
      <c r="I463" s="33">
        <f>IF(Tabela1716[[#This Row],[Housing Starts]]="",#N/A,Tabela1716[[#This Row],[Housing Starts]]-H462)</f>
        <v>58</v>
      </c>
      <c r="J463" s="41">
        <f>IF(Tabela1716[[#This Row],[Housing Starts]]="",#N/A,((Tabela1716[[#This Row],[Housing Starts]]*1)/H451)-1)</f>
        <v>4.8828125E-2</v>
      </c>
      <c r="K463" s="33">
        <v>727358</v>
      </c>
      <c r="L463" s="41">
        <f>IF(Tabela1716[[#This Row],[Total Construction Spending]]="",#N/A,((Tabela1716[[#This Row],[Total Construction Spending]]*1)/K451)-1)</f>
        <v>7.8646053460868171E-2</v>
      </c>
      <c r="M463" s="31">
        <v>5190</v>
      </c>
      <c r="N463" s="41">
        <f>IF(Tabela1716[[#This Row],[Existing Home Sales]]="",#N/A,((Tabela1716[[#This Row],[Existing Home Sales]]*1)/M451)-1)</f>
        <v>4.6370967741935498E-2</v>
      </c>
      <c r="O463" s="33">
        <v>888</v>
      </c>
      <c r="P463" s="41">
        <f>IF(Tabela1716[[#This Row],[New House Sales]]="",#N/A,((Tabela1716[[#This Row],[New House Sales]]*1)/O462)-1)</f>
        <v>-3.2679738562091498E-2</v>
      </c>
      <c r="Q463" s="41">
        <f>IF(Tabela1716[[#This Row],[New House Sales]]="",#N/A,((Tabela1716[[#This Row],[New House Sales]]*1)/O451)-1)</f>
        <v>1.1273957158963732E-3</v>
      </c>
      <c r="R463" s="27">
        <v>4</v>
      </c>
      <c r="S463" s="86">
        <v>95.36</v>
      </c>
      <c r="T463" s="41">
        <f>IF(Tabela1716[[#This Row],[S&amp;P/Case-Shiller Home Price Index]]="",#N/A,((Tabela1716[[#This Row],[S&amp;P/Case-Shiller Home Price Index]]*1)/S462)-1)</f>
        <v>9.7844042526153974E-3</v>
      </c>
      <c r="U463" s="41">
        <f>IF(Tabela1716[[#This Row],[S&amp;P/Case-Shiller Home Price Index]]="",#N/A,((Tabela1716[[#This Row],[S&amp;P/Case-Shiller Home Price Index]]*1)/S451)-1)</f>
        <v>6.6976973168930698E-2</v>
      </c>
      <c r="V463" s="39"/>
      <c r="W463" s="9"/>
      <c r="X463" s="9"/>
    </row>
    <row r="464" spans="1:24" ht="12.75">
      <c r="A464" s="12">
        <v>36312</v>
      </c>
      <c r="B464" s="26">
        <v>7.63</v>
      </c>
      <c r="C464" s="29">
        <v>77</v>
      </c>
      <c r="D464" s="33">
        <v>1702</v>
      </c>
      <c r="E464" s="41">
        <f>IF(Tabela1716[[#This Row],[Building Permits]]="",#N/A,((Tabela1716[[#This Row],[Building Permits]]*1)/D452)-1)</f>
        <v>9.7356544165054792E-2</v>
      </c>
      <c r="F464" s="33">
        <v>981</v>
      </c>
      <c r="G464" s="41">
        <f>IF(Tabela1716[[#This Row],[Houses Under Construction]]="",#N/A,((Tabela1716[[#This Row],[Houses Under Construction]]*1)/F452)-1)</f>
        <v>5.8252427184465994E-2</v>
      </c>
      <c r="H464" s="33">
        <v>1559</v>
      </c>
      <c r="I464" s="33">
        <f>IF(Tabela1716[[#This Row],[Housing Starts]]="",#N/A,Tabela1716[[#This Row],[Housing Starts]]-H463)</f>
        <v>-52</v>
      </c>
      <c r="J464" s="41">
        <f>IF(Tabela1716[[#This Row],[Housing Starts]]="",#N/A,((Tabela1716[[#This Row],[Housing Starts]]*1)/H452)-1)</f>
        <v>-4.9969530773918303E-2</v>
      </c>
      <c r="K464" s="33">
        <v>739167</v>
      </c>
      <c r="L464" s="41">
        <f>IF(Tabela1716[[#This Row],[Total Construction Spending]]="",#N/A,((Tabela1716[[#This Row],[Total Construction Spending]]*1)/K452)-1)</f>
        <v>5.1181992585081604E-2</v>
      </c>
      <c r="M464" s="31">
        <v>5430</v>
      </c>
      <c r="N464" s="41">
        <f>IF(Tabela1716[[#This Row],[Existing Home Sales]]="",#N/A,((Tabela1716[[#This Row],[Existing Home Sales]]*1)/M452)-1)</f>
        <v>0.10816326530612241</v>
      </c>
      <c r="O464" s="33">
        <v>923</v>
      </c>
      <c r="P464" s="41">
        <f>IF(Tabela1716[[#This Row],[New House Sales]]="",#N/A,((Tabela1716[[#This Row],[New House Sales]]*1)/O463)-1)</f>
        <v>3.94144144144144E-2</v>
      </c>
      <c r="Q464" s="41">
        <f>IF(Tabela1716[[#This Row],[New House Sales]]="",#N/A,((Tabela1716[[#This Row],[New House Sales]]*1)/O452)-1)</f>
        <v>0</v>
      </c>
      <c r="R464" s="27">
        <v>3.9</v>
      </c>
      <c r="S464" s="86">
        <v>96.363</v>
      </c>
      <c r="T464" s="41">
        <f>IF(Tabela1716[[#This Row],[S&amp;P/Case-Shiller Home Price Index]]="",#N/A,((Tabela1716[[#This Row],[S&amp;P/Case-Shiller Home Price Index]]*1)/S463)-1)</f>
        <v>1.0518036912751771E-2</v>
      </c>
      <c r="U464" s="41">
        <f>IF(Tabela1716[[#This Row],[S&amp;P/Case-Shiller Home Price Index]]="",#N/A,((Tabela1716[[#This Row],[S&amp;P/Case-Shiller Home Price Index]]*1)/S452)-1)</f>
        <v>6.8385165474804666E-2</v>
      </c>
      <c r="V464" s="37"/>
      <c r="W464" s="9"/>
      <c r="X464" s="9"/>
    </row>
    <row r="465" spans="1:24" ht="12.75">
      <c r="A465" s="12">
        <v>36342</v>
      </c>
      <c r="B465" s="26">
        <v>7.7</v>
      </c>
      <c r="C465" s="29">
        <v>75</v>
      </c>
      <c r="D465" s="33">
        <v>1682</v>
      </c>
      <c r="E465" s="41">
        <f>IF(Tabela1716[[#This Row],[Building Permits]]="",#N/A,((Tabela1716[[#This Row],[Building Permits]]*1)/D453)-1)</f>
        <v>4.4720496894409933E-2</v>
      </c>
      <c r="F465" s="33">
        <v>983</v>
      </c>
      <c r="G465" s="41">
        <f>IF(Tabela1716[[#This Row],[Houses Under Construction]]="",#N/A,((Tabela1716[[#This Row],[Houses Under Construction]]*1)/F453)-1)</f>
        <v>4.7974413646055369E-2</v>
      </c>
      <c r="H465" s="33">
        <v>1669</v>
      </c>
      <c r="I465" s="33">
        <f>IF(Tabela1716[[#This Row],[Housing Starts]]="",#N/A,Tabela1716[[#This Row],[Housing Starts]]-H464)</f>
        <v>110</v>
      </c>
      <c r="J465" s="41">
        <f>IF(Tabela1716[[#This Row],[Housing Starts]]="",#N/A,((Tabela1716[[#This Row],[Housing Starts]]*1)/H453)-1)</f>
        <v>-1.7078916372202602E-2</v>
      </c>
      <c r="K465" s="33">
        <v>745815</v>
      </c>
      <c r="L465" s="41">
        <f>IF(Tabela1716[[#This Row],[Total Construction Spending]]="",#N/A,((Tabela1716[[#This Row],[Total Construction Spending]]*1)/K453)-1)</f>
        <v>7.0742527349470175E-2</v>
      </c>
      <c r="M465" s="31">
        <v>5250</v>
      </c>
      <c r="N465" s="41">
        <f>IF(Tabela1716[[#This Row],[Existing Home Sales]]="",#N/A,((Tabela1716[[#This Row],[Existing Home Sales]]*1)/M453)-1)</f>
        <v>4.5816733067729043E-2</v>
      </c>
      <c r="O465" s="33">
        <v>900</v>
      </c>
      <c r="P465" s="41">
        <f>IF(Tabela1716[[#This Row],[New House Sales]]="",#N/A,((Tabela1716[[#This Row],[New House Sales]]*1)/O464)-1)</f>
        <v>-2.4918743228602436E-2</v>
      </c>
      <c r="Q465" s="41">
        <f>IF(Tabela1716[[#This Row],[New House Sales]]="",#N/A,((Tabela1716[[#This Row],[New House Sales]]*1)/O453)-1)</f>
        <v>2.7397260273972712E-2</v>
      </c>
      <c r="R465" s="27">
        <v>4</v>
      </c>
      <c r="S465" s="86">
        <v>97.192000000000007</v>
      </c>
      <c r="T465" s="41">
        <f>IF(Tabela1716[[#This Row],[S&amp;P/Case-Shiller Home Price Index]]="",#N/A,((Tabela1716[[#This Row],[S&amp;P/Case-Shiller Home Price Index]]*1)/S464)-1)</f>
        <v>8.6028870001972901E-3</v>
      </c>
      <c r="U465" s="41">
        <f>IF(Tabela1716[[#This Row],[S&amp;P/Case-Shiller Home Price Index]]="",#N/A,((Tabela1716[[#This Row],[S&amp;P/Case-Shiller Home Price Index]]*1)/S453)-1)</f>
        <v>6.97014054744165E-2</v>
      </c>
      <c r="V465" s="39"/>
      <c r="W465" s="9"/>
      <c r="X465" s="9"/>
    </row>
    <row r="466" spans="1:24" ht="12.75">
      <c r="A466" s="12">
        <v>36373</v>
      </c>
      <c r="B466" s="26">
        <v>7.8</v>
      </c>
      <c r="C466" s="29">
        <v>72</v>
      </c>
      <c r="D466" s="33">
        <v>1671</v>
      </c>
      <c r="E466" s="41">
        <f>IF(Tabela1716[[#This Row],[Building Permits]]="",#N/A,((Tabela1716[[#This Row],[Building Permits]]*1)/D454)-1)</f>
        <v>1.0278113663845234E-2</v>
      </c>
      <c r="F466" s="33">
        <v>989</v>
      </c>
      <c r="G466" s="41">
        <f>IF(Tabela1716[[#This Row],[Houses Under Construction]]="",#N/A,((Tabela1716[[#This Row],[Houses Under Construction]]*1)/F454)-1)</f>
        <v>5.1009564293305054E-2</v>
      </c>
      <c r="H466" s="33">
        <v>1648</v>
      </c>
      <c r="I466" s="33">
        <f>IF(Tabela1716[[#This Row],[Housing Starts]]="",#N/A,Tabela1716[[#This Row],[Housing Starts]]-H465)</f>
        <v>-21</v>
      </c>
      <c r="J466" s="41">
        <f>IF(Tabela1716[[#This Row],[Housing Starts]]="",#N/A,((Tabela1716[[#This Row],[Housing Starts]]*1)/H454)-1)</f>
        <v>2.1065675340768308E-2</v>
      </c>
      <c r="K466" s="33">
        <v>741524</v>
      </c>
      <c r="L466" s="41">
        <f>IF(Tabela1716[[#This Row],[Total Construction Spending]]="",#N/A,((Tabela1716[[#This Row],[Total Construction Spending]]*1)/K454)-1)</f>
        <v>6.2117922068993137E-2</v>
      </c>
      <c r="M466" s="31">
        <v>5230</v>
      </c>
      <c r="N466" s="41">
        <f>IF(Tabela1716[[#This Row],[Existing Home Sales]]="",#N/A,((Tabela1716[[#This Row],[Existing Home Sales]]*1)/M454)-1)</f>
        <v>5.2313883299798691E-2</v>
      </c>
      <c r="O466" s="33">
        <v>893</v>
      </c>
      <c r="P466" s="41">
        <f>IF(Tabela1716[[#This Row],[New House Sales]]="",#N/A,((Tabela1716[[#This Row],[New House Sales]]*1)/O465)-1)</f>
        <v>-7.7777777777777724E-3</v>
      </c>
      <c r="Q466" s="41">
        <f>IF(Tabela1716[[#This Row],[New House Sales]]="",#N/A,((Tabela1716[[#This Row],[New House Sales]]*1)/O454)-1)</f>
        <v>5.555555555555558E-2</v>
      </c>
      <c r="R466" s="27">
        <v>4</v>
      </c>
      <c r="S466" s="86">
        <v>97.897000000000006</v>
      </c>
      <c r="T466" s="41">
        <f>IF(Tabela1716[[#This Row],[S&amp;P/Case-Shiller Home Price Index]]="",#N/A,((Tabela1716[[#This Row],[S&amp;P/Case-Shiller Home Price Index]]*1)/S465)-1)</f>
        <v>7.2536834307350695E-3</v>
      </c>
      <c r="U466" s="41">
        <f>IF(Tabela1716[[#This Row],[S&amp;P/Case-Shiller Home Price Index]]="",#N/A,((Tabela1716[[#This Row],[S&amp;P/Case-Shiller Home Price Index]]*1)/S454)-1)</f>
        <v>7.1001126828361016E-2</v>
      </c>
      <c r="V466" s="37"/>
      <c r="W466" s="9"/>
      <c r="X466" s="9"/>
    </row>
    <row r="467" spans="1:24" ht="12.75">
      <c r="A467" s="12">
        <v>36404</v>
      </c>
      <c r="B467" s="26">
        <v>7.76</v>
      </c>
      <c r="C467" s="29">
        <v>72</v>
      </c>
      <c r="D467" s="33">
        <v>1551</v>
      </c>
      <c r="E467" s="41">
        <f>IF(Tabela1716[[#This Row],[Building Permits]]="",#N/A,((Tabela1716[[#This Row],[Building Permits]]*1)/D455)-1)</f>
        <v>-1.6487000634115456E-2</v>
      </c>
      <c r="F467" s="33">
        <v>983</v>
      </c>
      <c r="G467" s="41">
        <f>IF(Tabela1716[[#This Row],[Houses Under Construction]]="",#N/A,((Tabela1716[[#This Row],[Houses Under Construction]]*1)/F455)-1)</f>
        <v>3.256302521008414E-2</v>
      </c>
      <c r="H467" s="33">
        <v>1635</v>
      </c>
      <c r="I467" s="33">
        <f>IF(Tabela1716[[#This Row],[Housing Starts]]="",#N/A,Tabela1716[[#This Row],[Housing Starts]]-H466)</f>
        <v>-13</v>
      </c>
      <c r="J467" s="41">
        <f>IF(Tabela1716[[#This Row],[Housing Starts]]="",#N/A,((Tabela1716[[#This Row],[Housing Starts]]*1)/H455)-1)</f>
        <v>3.3501896333754777E-2</v>
      </c>
      <c r="K467" s="33">
        <v>751402</v>
      </c>
      <c r="L467" s="41">
        <f>IF(Tabela1716[[#This Row],[Total Construction Spending]]="",#N/A,((Tabela1716[[#This Row],[Total Construction Spending]]*1)/K455)-1)</f>
        <v>6.1960735540822709E-2</v>
      </c>
      <c r="M467" s="31">
        <v>5120</v>
      </c>
      <c r="N467" s="41">
        <f>IF(Tabela1716[[#This Row],[Existing Home Sales]]="",#N/A,((Tabela1716[[#This Row],[Existing Home Sales]]*1)/M455)-1)</f>
        <v>3.0181086519114775E-2</v>
      </c>
      <c r="O467" s="33">
        <v>826</v>
      </c>
      <c r="P467" s="41">
        <f>IF(Tabela1716[[#This Row],[New House Sales]]="",#N/A,((Tabela1716[[#This Row],[New House Sales]]*1)/O466)-1)</f>
        <v>-7.5027995520716706E-2</v>
      </c>
      <c r="Q467" s="41">
        <f>IF(Tabela1716[[#This Row],[New House Sales]]="",#N/A,((Tabela1716[[#This Row],[New House Sales]]*1)/O455)-1)</f>
        <v>-4.398148148148151E-2</v>
      </c>
      <c r="R467" s="27">
        <v>4.5</v>
      </c>
      <c r="S467" s="86">
        <v>98.399000000000001</v>
      </c>
      <c r="T467" s="41">
        <f>IF(Tabela1716[[#This Row],[S&amp;P/Case-Shiller Home Price Index]]="",#N/A,((Tabela1716[[#This Row],[S&amp;P/Case-Shiller Home Price Index]]*1)/S466)-1)</f>
        <v>5.1278384424444656E-3</v>
      </c>
      <c r="U467" s="41">
        <f>IF(Tabela1716[[#This Row],[S&amp;P/Case-Shiller Home Price Index]]="",#N/A,((Tabela1716[[#This Row],[S&amp;P/Case-Shiller Home Price Index]]*1)/S455)-1)</f>
        <v>7.2445287296189598E-2</v>
      </c>
      <c r="V467" s="39"/>
      <c r="W467" s="9"/>
      <c r="X467" s="9"/>
    </row>
    <row r="468" spans="1:24" ht="12.75">
      <c r="A468" s="12">
        <v>36434</v>
      </c>
      <c r="B468" s="26">
        <v>7.96</v>
      </c>
      <c r="C468" s="29">
        <v>69</v>
      </c>
      <c r="D468" s="33">
        <v>1649</v>
      </c>
      <c r="E468" s="41">
        <f>IF(Tabela1716[[#This Row],[Building Permits]]="",#N/A,((Tabela1716[[#This Row],[Building Permits]]*1)/D456)-1)</f>
        <v>-4.0721349621873237E-2</v>
      </c>
      <c r="F468" s="33">
        <v>983</v>
      </c>
      <c r="G468" s="41">
        <f>IF(Tabela1716[[#This Row],[Houses Under Construction]]="",#N/A,((Tabela1716[[#This Row],[Houses Under Construction]]*1)/F456)-1)</f>
        <v>1.1316872427983515E-2</v>
      </c>
      <c r="H468" s="33">
        <v>1608</v>
      </c>
      <c r="I468" s="33">
        <f>IF(Tabela1716[[#This Row],[Housing Starts]]="",#N/A,Tabela1716[[#This Row],[Housing Starts]]-H467)</f>
        <v>-27</v>
      </c>
      <c r="J468" s="41">
        <f>IF(Tabela1716[[#This Row],[Housing Starts]]="",#N/A,((Tabela1716[[#This Row],[Housing Starts]]*1)/H456)-1)</f>
        <v>-6.2390670553935879E-2</v>
      </c>
      <c r="K468" s="33">
        <v>759906</v>
      </c>
      <c r="L468" s="41">
        <f>IF(Tabela1716[[#This Row],[Total Construction Spending]]="",#N/A,((Tabela1716[[#This Row],[Total Construction Spending]]*1)/K456)-1)</f>
        <v>7.3399977116801685E-2</v>
      </c>
      <c r="M468" s="31">
        <v>5110</v>
      </c>
      <c r="N468" s="41">
        <f>IF(Tabela1716[[#This Row],[Existing Home Sales]]="",#N/A,((Tabela1716[[#This Row],[Existing Home Sales]]*1)/M456)-1)</f>
        <v>1.1881188118811892E-2</v>
      </c>
      <c r="O468" s="33">
        <v>872</v>
      </c>
      <c r="P468" s="41">
        <f>IF(Tabela1716[[#This Row],[New House Sales]]="",#N/A,((Tabela1716[[#This Row],[New House Sales]]*1)/O467)-1)</f>
        <v>5.5690072639225097E-2</v>
      </c>
      <c r="Q468" s="41">
        <f>IF(Tabela1716[[#This Row],[New House Sales]]="",#N/A,((Tabela1716[[#This Row],[New House Sales]]*1)/O456)-1)</f>
        <v>-2.3516237402015694E-2</v>
      </c>
      <c r="R468" s="27">
        <v>4.2</v>
      </c>
      <c r="S468" s="86">
        <v>98.832000000000008</v>
      </c>
      <c r="T468" s="41">
        <f>IF(Tabela1716[[#This Row],[S&amp;P/Case-Shiller Home Price Index]]="",#N/A,((Tabela1716[[#This Row],[S&amp;P/Case-Shiller Home Price Index]]*1)/S467)-1)</f>
        <v>4.4004512240978233E-3</v>
      </c>
      <c r="U468" s="41">
        <f>IF(Tabela1716[[#This Row],[S&amp;P/Case-Shiller Home Price Index]]="",#N/A,((Tabela1716[[#This Row],[S&amp;P/Case-Shiller Home Price Index]]*1)/S456)-1)</f>
        <v>7.4272546440722342E-2</v>
      </c>
      <c r="V468" s="37"/>
      <c r="W468" s="9"/>
      <c r="X468" s="9"/>
    </row>
    <row r="469" spans="1:24" ht="12.75">
      <c r="A469" s="12">
        <v>36465</v>
      </c>
      <c r="B469" s="26">
        <v>7.75</v>
      </c>
      <c r="C469" s="29">
        <v>70</v>
      </c>
      <c r="D469" s="33">
        <v>1672</v>
      </c>
      <c r="E469" s="41">
        <f>IF(Tabela1716[[#This Row],[Building Permits]]="",#N/A,((Tabela1716[[#This Row],[Building Permits]]*1)/D457)-1)</f>
        <v>0</v>
      </c>
      <c r="F469" s="33">
        <v>983</v>
      </c>
      <c r="G469" s="41">
        <f>IF(Tabela1716[[#This Row],[Houses Under Construction]]="",#N/A,((Tabela1716[[#This Row],[Houses Under Construction]]*1)/F457)-1)</f>
        <v>7.1721311475410054E-3</v>
      </c>
      <c r="H469" s="33">
        <v>1648</v>
      </c>
      <c r="I469" s="33">
        <f>IF(Tabela1716[[#This Row],[Housing Starts]]="",#N/A,Tabela1716[[#This Row],[Housing Starts]]-H468)</f>
        <v>40</v>
      </c>
      <c r="J469" s="41">
        <f>IF(Tabela1716[[#This Row],[Housing Starts]]="",#N/A,((Tabela1716[[#This Row],[Housing Starts]]*1)/H457)-1)</f>
        <v>-7.2289156626506035E-3</v>
      </c>
      <c r="K469" s="33">
        <v>781199</v>
      </c>
      <c r="L469" s="41">
        <f>IF(Tabela1716[[#This Row],[Total Construction Spending]]="",#N/A,((Tabela1716[[#This Row],[Total Construction Spending]]*1)/K457)-1)</f>
        <v>0.10363003199853082</v>
      </c>
      <c r="M469" s="31">
        <v>5090</v>
      </c>
      <c r="N469" s="41">
        <f>IF(Tabela1716[[#This Row],[Existing Home Sales]]="",#N/A,((Tabela1716[[#This Row],[Existing Home Sales]]*1)/M457)-1)</f>
        <v>-5.859375E-3</v>
      </c>
      <c r="O469" s="33">
        <v>863</v>
      </c>
      <c r="P469" s="41">
        <f>IF(Tabela1716[[#This Row],[New House Sales]]="",#N/A,((Tabela1716[[#This Row],[New House Sales]]*1)/O468)-1)</f>
        <v>-1.0321100917431214E-2</v>
      </c>
      <c r="Q469" s="41">
        <f>IF(Tabela1716[[#This Row],[New House Sales]]="",#N/A,((Tabela1716[[#This Row],[New House Sales]]*1)/O457)-1)</f>
        <v>-0.13266331658291453</v>
      </c>
      <c r="R469" s="27">
        <v>4.3</v>
      </c>
      <c r="S469" s="86">
        <v>99.149000000000001</v>
      </c>
      <c r="T469" s="41">
        <f>IF(Tabela1716[[#This Row],[S&amp;P/Case-Shiller Home Price Index]]="",#N/A,((Tabela1716[[#This Row],[S&amp;P/Case-Shiller Home Price Index]]*1)/S468)-1)</f>
        <v>3.2074631698235656E-3</v>
      </c>
      <c r="U469" s="41">
        <f>IF(Tabela1716[[#This Row],[S&amp;P/Case-Shiller Home Price Index]]="",#N/A,((Tabela1716[[#This Row],[S&amp;P/Case-Shiller Home Price Index]]*1)/S457)-1)</f>
        <v>7.5403755002874329E-2</v>
      </c>
      <c r="V469" s="39"/>
      <c r="W469" s="9"/>
      <c r="X469" s="9"/>
    </row>
    <row r="470" spans="1:24" ht="12.75">
      <c r="A470" s="12">
        <v>36495</v>
      </c>
      <c r="B470" s="26">
        <v>8.06</v>
      </c>
      <c r="C470" s="29">
        <v>70</v>
      </c>
      <c r="D470" s="33">
        <v>1683</v>
      </c>
      <c r="E470" s="41">
        <f>IF(Tabela1716[[#This Row],[Building Permits]]="",#N/A,((Tabela1716[[#This Row],[Building Permits]]*1)/D458)-1)</f>
        <v>-3.386911595866815E-2</v>
      </c>
      <c r="F470" s="33">
        <v>983</v>
      </c>
      <c r="G470" s="41">
        <f>IF(Tabela1716[[#This Row],[Houses Under Construction]]="",#N/A,((Tabela1716[[#This Row],[Houses Under Construction]]*1)/F458)-1)</f>
        <v>-1.9940179461615193E-2</v>
      </c>
      <c r="H470" s="33">
        <v>1708</v>
      </c>
      <c r="I470" s="33">
        <f>IF(Tabela1716[[#This Row],[Housing Starts]]="",#N/A,Tabela1716[[#This Row],[Housing Starts]]-H469)</f>
        <v>60</v>
      </c>
      <c r="J470" s="41">
        <f>IF(Tabela1716[[#This Row],[Housing Starts]]="",#N/A,((Tabela1716[[#This Row],[Housing Starts]]*1)/H458)-1)</f>
        <v>-4.6875E-2</v>
      </c>
      <c r="K470" s="33">
        <v>789431</v>
      </c>
      <c r="L470" s="41">
        <f>IF(Tabela1716[[#This Row],[Total Construction Spending]]="",#N/A,((Tabela1716[[#This Row],[Total Construction Spending]]*1)/K458)-1)</f>
        <v>0.11661001797764881</v>
      </c>
      <c r="M470" s="31">
        <v>5080</v>
      </c>
      <c r="N470" s="41">
        <f>IF(Tabela1716[[#This Row],[Existing Home Sales]]="",#N/A,((Tabela1716[[#This Row],[Existing Home Sales]]*1)/M458)-1)</f>
        <v>-3.7878787878787845E-2</v>
      </c>
      <c r="O470" s="33">
        <v>873</v>
      </c>
      <c r="P470" s="41">
        <f>IF(Tabela1716[[#This Row],[New House Sales]]="",#N/A,((Tabela1716[[#This Row],[New House Sales]]*1)/O469)-1)</f>
        <v>1.1587485515643037E-2</v>
      </c>
      <c r="Q470" s="41">
        <f>IF(Tabela1716[[#This Row],[New House Sales]]="",#N/A,((Tabela1716[[#This Row],[New House Sales]]*1)/O458)-1)</f>
        <v>-8.0084299262381475E-2</v>
      </c>
      <c r="R470" s="27">
        <v>4.3</v>
      </c>
      <c r="S470" s="86">
        <v>99.542999999999992</v>
      </c>
      <c r="T470" s="41">
        <f>IF(Tabela1716[[#This Row],[S&amp;P/Case-Shiller Home Price Index]]="",#N/A,((Tabela1716[[#This Row],[S&amp;P/Case-Shiller Home Price Index]]*1)/S469)-1)</f>
        <v>3.9738171842378378E-3</v>
      </c>
      <c r="U470" s="41">
        <f>IF(Tabela1716[[#This Row],[S&amp;P/Case-Shiller Home Price Index]]="",#N/A,((Tabela1716[[#This Row],[S&amp;P/Case-Shiller Home Price Index]]*1)/S458)-1)</f>
        <v>7.680408467920774E-2</v>
      </c>
      <c r="V470" s="37"/>
      <c r="W470" s="9"/>
      <c r="X470" s="9"/>
    </row>
    <row r="471" spans="1:24" ht="12.75">
      <c r="A471" s="12">
        <v>36526</v>
      </c>
      <c r="B471" s="26">
        <v>8.25</v>
      </c>
      <c r="C471" s="29">
        <v>69</v>
      </c>
      <c r="D471" s="33">
        <v>1727</v>
      </c>
      <c r="E471" s="41">
        <f>IF(Tabela1716[[#This Row],[Building Permits]]="",#N/A,((Tabela1716[[#This Row],[Building Permits]]*1)/D459)-1)</f>
        <v>-2.8868360277136684E-3</v>
      </c>
      <c r="F471" s="33">
        <v>991</v>
      </c>
      <c r="G471" s="41">
        <f>IF(Tabela1716[[#This Row],[Houses Under Construction]]="",#N/A,((Tabela1716[[#This Row],[Houses Under Construction]]*1)/F459)-1)</f>
        <v>1.8499486125385323E-2</v>
      </c>
      <c r="H471" s="33">
        <v>1636</v>
      </c>
      <c r="I471" s="33">
        <f>IF(Tabela1716[[#This Row],[Housing Starts]]="",#N/A,Tabela1716[[#This Row],[Housing Starts]]-H470)</f>
        <v>-72</v>
      </c>
      <c r="J471" s="41">
        <f>IF(Tabela1716[[#This Row],[Housing Starts]]="",#N/A,((Tabela1716[[#This Row],[Housing Starts]]*1)/H459)-1)</f>
        <v>-6.4073226544622441E-2</v>
      </c>
      <c r="K471" s="33">
        <v>784940</v>
      </c>
      <c r="L471" s="41">
        <f>IF(Tabela1716[[#This Row],[Total Construction Spending]]="",#N/A,((Tabela1716[[#This Row],[Total Construction Spending]]*1)/K459)-1)</f>
        <v>0.10739287094853678</v>
      </c>
      <c r="M471" s="31">
        <v>5230</v>
      </c>
      <c r="N471" s="41">
        <f>IF(Tabela1716[[#This Row],[Existing Home Sales]]="",#N/A,((Tabela1716[[#This Row],[Existing Home Sales]]*1)/M459)-1)</f>
        <v>0</v>
      </c>
      <c r="O471" s="33">
        <v>873</v>
      </c>
      <c r="P471" s="41">
        <f>IF(Tabela1716[[#This Row],[New House Sales]]="",#N/A,((Tabela1716[[#This Row],[New House Sales]]*1)/O470)-1)</f>
        <v>0</v>
      </c>
      <c r="Q471" s="41">
        <f>IF(Tabela1716[[#This Row],[New House Sales]]="",#N/A,((Tabela1716[[#This Row],[New House Sales]]*1)/O459)-1)</f>
        <v>-2.2857142857143353E-3</v>
      </c>
      <c r="R471" s="27">
        <v>4.3</v>
      </c>
      <c r="S471" s="86">
        <v>100</v>
      </c>
      <c r="T471" s="41">
        <f>IF(Tabela1716[[#This Row],[S&amp;P/Case-Shiller Home Price Index]]="",#N/A,((Tabela1716[[#This Row],[S&amp;P/Case-Shiller Home Price Index]]*1)/S470)-1)</f>
        <v>4.5909807821746806E-3</v>
      </c>
      <c r="U471" s="41">
        <f>IF(Tabela1716[[#This Row],[S&amp;P/Case-Shiller Home Price Index]]="",#N/A,((Tabela1716[[#This Row],[S&amp;P/Case-Shiller Home Price Index]]*1)/S459)-1)</f>
        <v>7.8585758353646673E-2</v>
      </c>
      <c r="V471" s="39"/>
      <c r="W471" s="9"/>
      <c r="X471" s="9"/>
    </row>
    <row r="472" spans="1:24" ht="12.75">
      <c r="A472" s="12">
        <v>36557</v>
      </c>
      <c r="B472" s="26">
        <v>8.31</v>
      </c>
      <c r="C472" s="29">
        <v>68</v>
      </c>
      <c r="D472" s="33">
        <v>1692</v>
      </c>
      <c r="E472" s="41">
        <f>IF(Tabela1716[[#This Row],[Building Permits]]="",#N/A,((Tabela1716[[#This Row],[Building Permits]]*1)/D460)-1)</f>
        <v>-1.6279069767441867E-2</v>
      </c>
      <c r="F472" s="33">
        <v>998</v>
      </c>
      <c r="G472" s="41">
        <f>IF(Tabela1716[[#This Row],[Houses Under Construction]]="",#N/A,((Tabela1716[[#This Row],[Houses Under Construction]]*1)/F460)-1)</f>
        <v>9.100101112234471E-3</v>
      </c>
      <c r="H472" s="33">
        <v>1737</v>
      </c>
      <c r="I472" s="33">
        <f>IF(Tabela1716[[#This Row],[Housing Starts]]="",#N/A,Tabela1716[[#This Row],[Housing Starts]]-H471)</f>
        <v>101</v>
      </c>
      <c r="J472" s="41">
        <f>IF(Tabela1716[[#This Row],[Housing Starts]]="",#N/A,((Tabela1716[[#This Row],[Housing Starts]]*1)/H460)-1)</f>
        <v>4.0119760479041977E-2</v>
      </c>
      <c r="K472" s="33">
        <v>793737</v>
      </c>
      <c r="L472" s="41">
        <f>IF(Tabela1716[[#This Row],[Total Construction Spending]]="",#N/A,((Tabela1716[[#This Row],[Total Construction Spending]]*1)/K460)-1)</f>
        <v>9.2838024639684491E-2</v>
      </c>
      <c r="M472" s="31">
        <v>5120</v>
      </c>
      <c r="N472" s="41">
        <f>IF(Tabela1716[[#This Row],[Existing Home Sales]]="",#N/A,((Tabela1716[[#This Row],[Existing Home Sales]]*1)/M460)-1)</f>
        <v>3.9215686274509665E-3</v>
      </c>
      <c r="O472" s="33">
        <v>856</v>
      </c>
      <c r="P472" s="41">
        <f>IF(Tabela1716[[#This Row],[New House Sales]]="",#N/A,((Tabela1716[[#This Row],[New House Sales]]*1)/O471)-1)</f>
        <v>-1.9473081328751474E-2</v>
      </c>
      <c r="Q472" s="41">
        <f>IF(Tabela1716[[#This Row],[New House Sales]]="",#N/A,((Tabela1716[[#This Row],[New House Sales]]*1)/O460)-1)</f>
        <v>9.4339622641510523E-3</v>
      </c>
      <c r="R472" s="27">
        <v>4.3</v>
      </c>
      <c r="S472" s="86">
        <v>100.571</v>
      </c>
      <c r="T472" s="41">
        <f>IF(Tabela1716[[#This Row],[S&amp;P/Case-Shiller Home Price Index]]="",#N/A,((Tabela1716[[#This Row],[S&amp;P/Case-Shiller Home Price Index]]*1)/S471)-1)</f>
        <v>5.7099999999998818E-3</v>
      </c>
      <c r="U472" s="41">
        <f>IF(Tabela1716[[#This Row],[S&amp;P/Case-Shiller Home Price Index]]="",#N/A,((Tabela1716[[#This Row],[S&amp;P/Case-Shiller Home Price Index]]*1)/S460)-1)</f>
        <v>8.1629580236822541E-2</v>
      </c>
      <c r="V472" s="37"/>
      <c r="W472" s="9"/>
      <c r="X472" s="9"/>
    </row>
    <row r="473" spans="1:24" ht="12.75">
      <c r="A473" s="12">
        <v>36586</v>
      </c>
      <c r="B473" s="26">
        <v>8.23</v>
      </c>
      <c r="C473" s="29">
        <v>64</v>
      </c>
      <c r="D473" s="33">
        <v>1651</v>
      </c>
      <c r="E473" s="41">
        <f>IF(Tabela1716[[#This Row],[Building Permits]]="",#N/A,((Tabela1716[[#This Row],[Building Permits]]*1)/D461)-1)</f>
        <v>-8.4084084084083965E-3</v>
      </c>
      <c r="F473" s="33">
        <v>988</v>
      </c>
      <c r="G473" s="41">
        <f>IF(Tabela1716[[#This Row],[Houses Under Construction]]="",#N/A,((Tabela1716[[#This Row],[Houses Under Construction]]*1)/F461)-1)</f>
        <v>-6.0362173038229772E-3</v>
      </c>
      <c r="H473" s="33">
        <v>1604</v>
      </c>
      <c r="I473" s="33">
        <f>IF(Tabela1716[[#This Row],[Housing Starts]]="",#N/A,Tabela1716[[#This Row],[Housing Starts]]-H472)</f>
        <v>-133</v>
      </c>
      <c r="J473" s="41">
        <f>IF(Tabela1716[[#This Row],[Housing Starts]]="",#N/A,((Tabela1716[[#This Row],[Housing Starts]]*1)/H461)-1)</f>
        <v>-6.1988304093567259E-2</v>
      </c>
      <c r="K473" s="33">
        <v>809459</v>
      </c>
      <c r="L473" s="41">
        <f>IF(Tabela1716[[#This Row],[Total Construction Spending]]="",#N/A,((Tabela1716[[#This Row],[Total Construction Spending]]*1)/K461)-1)</f>
        <v>9.7979452705140524E-2</v>
      </c>
      <c r="M473" s="31">
        <v>5190</v>
      </c>
      <c r="N473" s="41">
        <f>IF(Tabela1716[[#This Row],[Existing Home Sales]]="",#N/A,((Tabela1716[[#This Row],[Existing Home Sales]]*1)/M461)-1)</f>
        <v>7.7669902912620437E-3</v>
      </c>
      <c r="O473" s="33">
        <v>900</v>
      </c>
      <c r="P473" s="41">
        <f>IF(Tabela1716[[#This Row],[New House Sales]]="",#N/A,((Tabela1716[[#This Row],[New House Sales]]*1)/O472)-1)</f>
        <v>5.1401869158878455E-2</v>
      </c>
      <c r="Q473" s="41">
        <f>IF(Tabela1716[[#This Row],[New House Sales]]="",#N/A,((Tabela1716[[#This Row],[New House Sales]]*1)/O461)-1)</f>
        <v>4.2873696407879525E-2</v>
      </c>
      <c r="R473" s="27">
        <v>4.3</v>
      </c>
      <c r="S473" s="86">
        <v>101.46600000000001</v>
      </c>
      <c r="T473" s="41">
        <f>IF(Tabela1716[[#This Row],[S&amp;P/Case-Shiller Home Price Index]]="",#N/A,((Tabela1716[[#This Row],[S&amp;P/Case-Shiller Home Price Index]]*1)/S472)-1)</f>
        <v>8.8991856499389677E-3</v>
      </c>
      <c r="U473" s="41">
        <f>IF(Tabela1716[[#This Row],[S&amp;P/Case-Shiller Home Price Index]]="",#N/A,((Tabela1716[[#This Row],[S&amp;P/Case-Shiller Home Price Index]]*1)/S461)-1)</f>
        <v>8.3911078826206298E-2</v>
      </c>
      <c r="V473" s="39"/>
      <c r="W473" s="9"/>
      <c r="X473" s="9"/>
    </row>
    <row r="474" spans="1:24" ht="12.75">
      <c r="A474" s="12">
        <v>36617</v>
      </c>
      <c r="B474" s="26">
        <v>8.1300000000000008</v>
      </c>
      <c r="C474" s="29">
        <v>63</v>
      </c>
      <c r="D474" s="33">
        <v>1597</v>
      </c>
      <c r="E474" s="41">
        <f>IF(Tabela1716[[#This Row],[Building Permits]]="",#N/A,((Tabela1716[[#This Row],[Building Permits]]*1)/D462)-1)</f>
        <v>-1.87499999999996E-3</v>
      </c>
      <c r="F474" s="33">
        <v>989</v>
      </c>
      <c r="G474" s="41">
        <f>IF(Tabela1716[[#This Row],[Houses Under Construction]]="",#N/A,((Tabela1716[[#This Row],[Houses Under Construction]]*1)/F462)-1)</f>
        <v>-2.0181634712411745E-3</v>
      </c>
      <c r="H474" s="33">
        <v>1626</v>
      </c>
      <c r="I474" s="33">
        <f>IF(Tabela1716[[#This Row],[Housing Starts]]="",#N/A,Tabela1716[[#This Row],[Housing Starts]]-H473)</f>
        <v>22</v>
      </c>
      <c r="J474" s="41">
        <f>IF(Tabela1716[[#This Row],[Housing Starts]]="",#N/A,((Tabela1716[[#This Row],[Housing Starts]]*1)/H462)-1)</f>
        <v>4.7005795235028902E-2</v>
      </c>
      <c r="K474" s="33">
        <v>804766</v>
      </c>
      <c r="L474" s="41">
        <f>IF(Tabela1716[[#This Row],[Total Construction Spending]]="",#N/A,((Tabela1716[[#This Row],[Total Construction Spending]]*1)/K462)-1)</f>
        <v>0.10425253983325744</v>
      </c>
      <c r="M474" s="31">
        <v>5200</v>
      </c>
      <c r="N474" s="41">
        <f>IF(Tabela1716[[#This Row],[Existing Home Sales]]="",#N/A,((Tabela1716[[#This Row],[Existing Home Sales]]*1)/M462)-1)</f>
        <v>2.3622047244094446E-2</v>
      </c>
      <c r="O474" s="33">
        <v>841</v>
      </c>
      <c r="P474" s="41">
        <f>IF(Tabela1716[[#This Row],[New House Sales]]="",#N/A,((Tabela1716[[#This Row],[New House Sales]]*1)/O473)-1)</f>
        <v>-6.5555555555555589E-2</v>
      </c>
      <c r="Q474" s="41">
        <f>IF(Tabela1716[[#This Row],[New House Sales]]="",#N/A,((Tabela1716[[#This Row],[New House Sales]]*1)/O462)-1)</f>
        <v>-8.3877995642701486E-2</v>
      </c>
      <c r="R474" s="27">
        <v>4.4000000000000004</v>
      </c>
      <c r="S474" s="86">
        <v>102.54</v>
      </c>
      <c r="T474" s="41">
        <f>IF(Tabela1716[[#This Row],[S&amp;P/Case-Shiller Home Price Index]]="",#N/A,((Tabela1716[[#This Row],[S&amp;P/Case-Shiller Home Price Index]]*1)/S473)-1)</f>
        <v>1.0584826444326234E-2</v>
      </c>
      <c r="U474" s="41">
        <f>IF(Tabela1716[[#This Row],[S&amp;P/Case-Shiller Home Price Index]]="",#N/A,((Tabela1716[[#This Row],[S&amp;P/Case-Shiller Home Price Index]]*1)/S462)-1)</f>
        <v>8.5814731670125877E-2</v>
      </c>
      <c r="V474" s="37"/>
      <c r="W474" s="9"/>
      <c r="X474" s="9"/>
    </row>
    <row r="475" spans="1:24" ht="12.75">
      <c r="A475" s="12">
        <v>36647</v>
      </c>
      <c r="B475" s="26">
        <v>8.6199999999999992</v>
      </c>
      <c r="C475" s="29">
        <v>63</v>
      </c>
      <c r="D475" s="33">
        <v>1543</v>
      </c>
      <c r="E475" s="41">
        <f>IF(Tabela1716[[#This Row],[Building Permits]]="",#N/A,((Tabela1716[[#This Row],[Building Permits]]*1)/D463)-1)</f>
        <v>-5.9146341463414687E-2</v>
      </c>
      <c r="F475" s="33">
        <v>985</v>
      </c>
      <c r="G475" s="41">
        <f>IF(Tabela1716[[#This Row],[Houses Under Construction]]="",#N/A,((Tabela1716[[#This Row],[Houses Under Construction]]*1)/F463)-1)</f>
        <v>-4.0444893832153328E-3</v>
      </c>
      <c r="H475" s="33">
        <v>1575</v>
      </c>
      <c r="I475" s="33">
        <f>IF(Tabela1716[[#This Row],[Housing Starts]]="",#N/A,Tabela1716[[#This Row],[Housing Starts]]-H474)</f>
        <v>-51</v>
      </c>
      <c r="J475" s="41">
        <f>IF(Tabela1716[[#This Row],[Housing Starts]]="",#N/A,((Tabela1716[[#This Row],[Housing Starts]]*1)/H463)-1)</f>
        <v>-2.2346368715083775E-2</v>
      </c>
      <c r="K475" s="33">
        <v>805005</v>
      </c>
      <c r="L475" s="41">
        <f>IF(Tabela1716[[#This Row],[Total Construction Spending]]="",#N/A,((Tabela1716[[#This Row],[Total Construction Spending]]*1)/K463)-1)</f>
        <v>0.10675210831530002</v>
      </c>
      <c r="M475" s="31">
        <v>5110</v>
      </c>
      <c r="N475" s="41">
        <f>IF(Tabela1716[[#This Row],[Existing Home Sales]]="",#N/A,((Tabela1716[[#This Row],[Existing Home Sales]]*1)/M463)-1)</f>
        <v>-1.5414258188824692E-2</v>
      </c>
      <c r="O475" s="33">
        <v>857</v>
      </c>
      <c r="P475" s="41">
        <f>IF(Tabela1716[[#This Row],[New House Sales]]="",#N/A,((Tabela1716[[#This Row],[New House Sales]]*1)/O474)-1)</f>
        <v>1.9024970273483932E-2</v>
      </c>
      <c r="Q475" s="41">
        <f>IF(Tabela1716[[#This Row],[New House Sales]]="",#N/A,((Tabela1716[[#This Row],[New House Sales]]*1)/O463)-1)</f>
        <v>-3.4909909909909942E-2</v>
      </c>
      <c r="R475" s="27">
        <v>4.4000000000000004</v>
      </c>
      <c r="S475" s="86">
        <v>103.70200000000001</v>
      </c>
      <c r="T475" s="41">
        <f>IF(Tabela1716[[#This Row],[S&amp;P/Case-Shiller Home Price Index]]="",#N/A,((Tabela1716[[#This Row],[S&amp;P/Case-Shiller Home Price Index]]*1)/S474)-1)</f>
        <v>1.1332163058318745E-2</v>
      </c>
      <c r="U475" s="41">
        <f>IF(Tabela1716[[#This Row],[S&amp;P/Case-Shiller Home Price Index]]="",#N/A,((Tabela1716[[#This Row],[S&amp;P/Case-Shiller Home Price Index]]*1)/S463)-1)</f>
        <v>8.7479026845637797E-2</v>
      </c>
      <c r="V475" s="39"/>
      <c r="W475" s="9"/>
      <c r="X475" s="9"/>
    </row>
    <row r="476" spans="1:24" ht="12.75">
      <c r="A476" s="12">
        <v>36678</v>
      </c>
      <c r="B476" s="26">
        <v>8.2200000000000006</v>
      </c>
      <c r="C476" s="29">
        <v>58</v>
      </c>
      <c r="D476" s="33">
        <v>1572</v>
      </c>
      <c r="E476" s="41">
        <f>IF(Tabela1716[[#This Row],[Building Permits]]="",#N/A,((Tabela1716[[#This Row],[Building Permits]]*1)/D464)-1)</f>
        <v>-7.6380728554641619E-2</v>
      </c>
      <c r="F476" s="33">
        <v>982</v>
      </c>
      <c r="G476" s="41">
        <f>IF(Tabela1716[[#This Row],[Houses Under Construction]]="",#N/A,((Tabela1716[[#This Row],[Houses Under Construction]]*1)/F464)-1)</f>
        <v>1.0193679918450993E-3</v>
      </c>
      <c r="H476" s="33">
        <v>1559</v>
      </c>
      <c r="I476" s="33">
        <f>IF(Tabela1716[[#This Row],[Housing Starts]]="",#N/A,Tabela1716[[#This Row],[Housing Starts]]-H475)</f>
        <v>-16</v>
      </c>
      <c r="J476" s="41">
        <f>IF(Tabela1716[[#This Row],[Housing Starts]]="",#N/A,((Tabela1716[[#This Row],[Housing Starts]]*1)/H464)-1)</f>
        <v>0</v>
      </c>
      <c r="K476" s="33">
        <v>795411</v>
      </c>
      <c r="L476" s="41">
        <f>IF(Tabela1716[[#This Row],[Total Construction Spending]]="",#N/A,((Tabela1716[[#This Row],[Total Construction Spending]]*1)/K464)-1)</f>
        <v>7.6091059259950633E-2</v>
      </c>
      <c r="M476" s="31">
        <v>5130</v>
      </c>
      <c r="N476" s="41">
        <f>IF(Tabela1716[[#This Row],[Existing Home Sales]]="",#N/A,((Tabela1716[[#This Row],[Existing Home Sales]]*1)/M464)-1)</f>
        <v>-5.5248618784530357E-2</v>
      </c>
      <c r="O476" s="33">
        <v>793</v>
      </c>
      <c r="P476" s="41">
        <f>IF(Tabela1716[[#This Row],[New House Sales]]="",#N/A,((Tabela1716[[#This Row],[New House Sales]]*1)/O475)-1)</f>
        <v>-7.4679113185530888E-2</v>
      </c>
      <c r="Q476" s="41">
        <f>IF(Tabela1716[[#This Row],[New House Sales]]="",#N/A,((Tabela1716[[#This Row],[New House Sales]]*1)/O464)-1)</f>
        <v>-0.14084507042253525</v>
      </c>
      <c r="R476" s="27">
        <v>4.8</v>
      </c>
      <c r="S476" s="86">
        <v>104.855</v>
      </c>
      <c r="T476" s="41">
        <f>IF(Tabela1716[[#This Row],[S&amp;P/Case-Shiller Home Price Index]]="",#N/A,((Tabela1716[[#This Row],[S&amp;P/Case-Shiller Home Price Index]]*1)/S475)-1)</f>
        <v>1.1118396945092535E-2</v>
      </c>
      <c r="U476" s="41">
        <f>IF(Tabela1716[[#This Row],[S&amp;P/Case-Shiller Home Price Index]]="",#N/A,((Tabela1716[[#This Row],[S&amp;P/Case-Shiller Home Price Index]]*1)/S464)-1)</f>
        <v>8.8125110260162121E-2</v>
      </c>
      <c r="V476" s="37"/>
      <c r="W476" s="9"/>
      <c r="X476" s="9"/>
    </row>
    <row r="477" spans="1:24" ht="12.75">
      <c r="A477" s="12">
        <v>36708</v>
      </c>
      <c r="B477" s="26">
        <v>8.1300000000000008</v>
      </c>
      <c r="C477" s="29">
        <v>59</v>
      </c>
      <c r="D477" s="33">
        <v>1542</v>
      </c>
      <c r="E477" s="41">
        <f>IF(Tabela1716[[#This Row],[Building Permits]]="",#N/A,((Tabela1716[[#This Row],[Building Permits]]*1)/D465)-1)</f>
        <v>-8.3234244946492231E-2</v>
      </c>
      <c r="F477" s="33">
        <v>979</v>
      </c>
      <c r="G477" s="41">
        <f>IF(Tabela1716[[#This Row],[Houses Under Construction]]="",#N/A,((Tabela1716[[#This Row],[Houses Under Construction]]*1)/F465)-1)</f>
        <v>-4.0691759918616288E-3</v>
      </c>
      <c r="H477" s="33">
        <v>1463</v>
      </c>
      <c r="I477" s="33">
        <f>IF(Tabela1716[[#This Row],[Housing Starts]]="",#N/A,Tabela1716[[#This Row],[Housing Starts]]-H476)</f>
        <v>-96</v>
      </c>
      <c r="J477" s="41">
        <f>IF(Tabela1716[[#This Row],[Housing Starts]]="",#N/A,((Tabela1716[[#This Row],[Housing Starts]]*1)/H465)-1)</f>
        <v>-0.12342720191731571</v>
      </c>
      <c r="K477" s="33">
        <v>783795</v>
      </c>
      <c r="L477" s="41">
        <f>IF(Tabela1716[[#This Row],[Total Construction Spending]]="",#N/A,((Tabela1716[[#This Row],[Total Construction Spending]]*1)/K465)-1)</f>
        <v>5.0924156794915687E-2</v>
      </c>
      <c r="M477" s="31">
        <v>5110</v>
      </c>
      <c r="N477" s="41">
        <f>IF(Tabela1716[[#This Row],[Existing Home Sales]]="",#N/A,((Tabela1716[[#This Row],[Existing Home Sales]]*1)/M465)-1)</f>
        <v>-2.6666666666666616E-2</v>
      </c>
      <c r="O477" s="33">
        <v>887</v>
      </c>
      <c r="P477" s="41">
        <f>IF(Tabela1716[[#This Row],[New House Sales]]="",#N/A,((Tabela1716[[#This Row],[New House Sales]]*1)/O476)-1)</f>
        <v>0.11853720050441363</v>
      </c>
      <c r="Q477" s="41">
        <f>IF(Tabela1716[[#This Row],[New House Sales]]="",#N/A,((Tabela1716[[#This Row],[New House Sales]]*1)/O465)-1)</f>
        <v>-1.4444444444444482E-2</v>
      </c>
      <c r="R477" s="27">
        <v>4.0999999999999996</v>
      </c>
      <c r="S477" s="86">
        <v>105.721</v>
      </c>
      <c r="T477" s="41">
        <f>IF(Tabela1716[[#This Row],[S&amp;P/Case-Shiller Home Price Index]]="",#N/A,((Tabela1716[[#This Row],[S&amp;P/Case-Shiller Home Price Index]]*1)/S476)-1)</f>
        <v>8.2590243669828922E-3</v>
      </c>
      <c r="U477" s="41">
        <f>IF(Tabela1716[[#This Row],[S&amp;P/Case-Shiller Home Price Index]]="",#N/A,((Tabela1716[[#This Row],[S&amp;P/Case-Shiller Home Price Index]]*1)/S465)-1)</f>
        <v>8.7754136142892403E-2</v>
      </c>
      <c r="V477" s="39"/>
      <c r="W477" s="9"/>
      <c r="X477" s="9"/>
    </row>
    <row r="478" spans="1:24" ht="12.75">
      <c r="A478" s="12">
        <v>36739</v>
      </c>
      <c r="B478" s="26">
        <v>7.99</v>
      </c>
      <c r="C478" s="29">
        <v>60</v>
      </c>
      <c r="D478" s="33">
        <v>1552</v>
      </c>
      <c r="E478" s="41">
        <f>IF(Tabela1716[[#This Row],[Building Permits]]="",#N/A,((Tabela1716[[#This Row],[Building Permits]]*1)/D466)-1)</f>
        <v>-7.1214841412327923E-2</v>
      </c>
      <c r="F478" s="33">
        <v>976</v>
      </c>
      <c r="G478" s="41">
        <f>IF(Tabela1716[[#This Row],[Houses Under Construction]]="",#N/A,((Tabela1716[[#This Row],[Houses Under Construction]]*1)/F466)-1)</f>
        <v>-1.3144590495449915E-2</v>
      </c>
      <c r="H478" s="33">
        <v>1541</v>
      </c>
      <c r="I478" s="33">
        <f>IF(Tabela1716[[#This Row],[Housing Starts]]="",#N/A,Tabela1716[[#This Row],[Housing Starts]]-H477)</f>
        <v>78</v>
      </c>
      <c r="J478" s="41">
        <f>IF(Tabela1716[[#This Row],[Housing Starts]]="",#N/A,((Tabela1716[[#This Row],[Housing Starts]]*1)/H466)-1)</f>
        <v>-6.4927184466019416E-2</v>
      </c>
      <c r="K478" s="33">
        <v>805341</v>
      </c>
      <c r="L478" s="41">
        <f>IF(Tabela1716[[#This Row],[Total Construction Spending]]="",#N/A,((Tabela1716[[#This Row],[Total Construction Spending]]*1)/K466)-1)</f>
        <v>8.6061948096083141E-2</v>
      </c>
      <c r="M478" s="31">
        <v>5170</v>
      </c>
      <c r="N478" s="41">
        <f>IF(Tabela1716[[#This Row],[Existing Home Sales]]="",#N/A,((Tabela1716[[#This Row],[Existing Home Sales]]*1)/M466)-1)</f>
        <v>-1.147227533460804E-2</v>
      </c>
      <c r="O478" s="33">
        <v>848</v>
      </c>
      <c r="P478" s="41">
        <f>IF(Tabela1716[[#This Row],[New House Sales]]="",#N/A,((Tabela1716[[#This Row],[New House Sales]]*1)/O477)-1)</f>
        <v>-4.3968432919954892E-2</v>
      </c>
      <c r="Q478" s="41">
        <f>IF(Tabela1716[[#This Row],[New House Sales]]="",#N/A,((Tabela1716[[#This Row],[New House Sales]]*1)/O466)-1)</f>
        <v>-5.039193729003355E-2</v>
      </c>
      <c r="R478" s="27">
        <v>4.4000000000000004</v>
      </c>
      <c r="S478" s="86">
        <v>106.52200000000001</v>
      </c>
      <c r="T478" s="41">
        <f>IF(Tabela1716[[#This Row],[S&amp;P/Case-Shiller Home Price Index]]="",#N/A,((Tabela1716[[#This Row],[S&amp;P/Case-Shiller Home Price Index]]*1)/S477)-1)</f>
        <v>7.5765458139820385E-3</v>
      </c>
      <c r="U478" s="41">
        <f>IF(Tabela1716[[#This Row],[S&amp;P/Case-Shiller Home Price Index]]="",#N/A,((Tabela1716[[#This Row],[S&amp;P/Case-Shiller Home Price Index]]*1)/S466)-1)</f>
        <v>8.8102801924471619E-2</v>
      </c>
      <c r="V478" s="37"/>
      <c r="W478" s="9"/>
      <c r="X478" s="9"/>
    </row>
    <row r="479" spans="1:24" ht="12.75">
      <c r="A479" s="12">
        <v>36770</v>
      </c>
      <c r="B479" s="26">
        <v>7.88</v>
      </c>
      <c r="C479" s="29">
        <v>60</v>
      </c>
      <c r="D479" s="33">
        <v>1570</v>
      </c>
      <c r="E479" s="41">
        <f>IF(Tabela1716[[#This Row],[Building Permits]]="",#N/A,((Tabela1716[[#This Row],[Building Permits]]*1)/D467)-1)</f>
        <v>1.2250161186331487E-2</v>
      </c>
      <c r="F479" s="33">
        <v>970</v>
      </c>
      <c r="G479" s="41">
        <f>IF(Tabela1716[[#This Row],[Houses Under Construction]]="",#N/A,((Tabela1716[[#This Row],[Houses Under Construction]]*1)/F467)-1)</f>
        <v>-1.3224821973550349E-2</v>
      </c>
      <c r="H479" s="33">
        <v>1507</v>
      </c>
      <c r="I479" s="33">
        <f>IF(Tabela1716[[#This Row],[Housing Starts]]="",#N/A,Tabela1716[[#This Row],[Housing Starts]]-H478)</f>
        <v>-34</v>
      </c>
      <c r="J479" s="41">
        <f>IF(Tabela1716[[#This Row],[Housing Starts]]="",#N/A,((Tabela1716[[#This Row],[Housing Starts]]*1)/H467)-1)</f>
        <v>-7.8287461773700273E-2</v>
      </c>
      <c r="K479" s="33">
        <v>814330</v>
      </c>
      <c r="L479" s="41">
        <f>IF(Tabela1716[[#This Row],[Total Construction Spending]]="",#N/A,((Tabela1716[[#This Row],[Total Construction Spending]]*1)/K467)-1)</f>
        <v>8.3747448103678179E-2</v>
      </c>
      <c r="M479" s="31">
        <v>5290</v>
      </c>
      <c r="N479" s="41">
        <f>IF(Tabela1716[[#This Row],[Existing Home Sales]]="",#N/A,((Tabela1716[[#This Row],[Existing Home Sales]]*1)/M467)-1)</f>
        <v>3.3203125E-2</v>
      </c>
      <c r="O479" s="33">
        <v>912</v>
      </c>
      <c r="P479" s="41">
        <f>IF(Tabela1716[[#This Row],[New House Sales]]="",#N/A,((Tabela1716[[#This Row],[New House Sales]]*1)/O478)-1)</f>
        <v>7.547169811320753E-2</v>
      </c>
      <c r="Q479" s="41">
        <f>IF(Tabela1716[[#This Row],[New House Sales]]="",#N/A,((Tabela1716[[#This Row],[New House Sales]]*1)/O467)-1)</f>
        <v>0.10411622276029053</v>
      </c>
      <c r="R479" s="27">
        <v>4</v>
      </c>
      <c r="S479" s="86">
        <v>107.13500000000001</v>
      </c>
      <c r="T479" s="41">
        <f>IF(Tabela1716[[#This Row],[S&amp;P/Case-Shiller Home Price Index]]="",#N/A,((Tabela1716[[#This Row],[S&amp;P/Case-Shiller Home Price Index]]*1)/S478)-1)</f>
        <v>5.7546797844576503E-3</v>
      </c>
      <c r="U479" s="41">
        <f>IF(Tabela1716[[#This Row],[S&amp;P/Case-Shiller Home Price Index]]="",#N/A,((Tabela1716[[#This Row],[S&amp;P/Case-Shiller Home Price Index]]*1)/S467)-1)</f>
        <v>8.8781390054776921E-2</v>
      </c>
      <c r="V479" s="39"/>
      <c r="W479" s="9"/>
      <c r="X479" s="9"/>
    </row>
    <row r="480" spans="1:24" ht="12.75">
      <c r="A480" s="12">
        <v>36800</v>
      </c>
      <c r="B480" s="26">
        <v>7.68</v>
      </c>
      <c r="C480" s="29">
        <v>62</v>
      </c>
      <c r="D480" s="33">
        <v>1577</v>
      </c>
      <c r="E480" s="41">
        <f>IF(Tabela1716[[#This Row],[Building Permits]]="",#N/A,((Tabela1716[[#This Row],[Building Permits]]*1)/D468)-1)</f>
        <v>-4.3662825955124274E-2</v>
      </c>
      <c r="F480" s="33">
        <v>972</v>
      </c>
      <c r="G480" s="41">
        <f>IF(Tabela1716[[#This Row],[Houses Under Construction]]="",#N/A,((Tabela1716[[#This Row],[Houses Under Construction]]*1)/F468)-1)</f>
        <v>-1.1190233977619535E-2</v>
      </c>
      <c r="H480" s="33">
        <v>1549</v>
      </c>
      <c r="I480" s="33">
        <f>IF(Tabela1716[[#This Row],[Housing Starts]]="",#N/A,Tabela1716[[#This Row],[Housing Starts]]-H479)</f>
        <v>42</v>
      </c>
      <c r="J480" s="41">
        <f>IF(Tabela1716[[#This Row],[Housing Starts]]="",#N/A,((Tabela1716[[#This Row],[Housing Starts]]*1)/H468)-1)</f>
        <v>-3.66915422885572E-2</v>
      </c>
      <c r="K480" s="33">
        <v>816100</v>
      </c>
      <c r="L480" s="41">
        <f>IF(Tabela1716[[#This Row],[Total Construction Spending]]="",#N/A,((Tabela1716[[#This Row],[Total Construction Spending]]*1)/K468)-1)</f>
        <v>7.3948619960889861E-2</v>
      </c>
      <c r="M480" s="31">
        <v>5250</v>
      </c>
      <c r="N480" s="41">
        <f>IF(Tabela1716[[#This Row],[Existing Home Sales]]="",#N/A,((Tabela1716[[#This Row],[Existing Home Sales]]*1)/M468)-1)</f>
        <v>2.7397260273972712E-2</v>
      </c>
      <c r="O480" s="33">
        <v>933</v>
      </c>
      <c r="P480" s="41">
        <f>IF(Tabela1716[[#This Row],[New House Sales]]="",#N/A,((Tabela1716[[#This Row],[New House Sales]]*1)/O479)-1)</f>
        <v>2.3026315789473673E-2</v>
      </c>
      <c r="Q480" s="41">
        <f>IF(Tabela1716[[#This Row],[New House Sales]]="",#N/A,((Tabela1716[[#This Row],[New House Sales]]*1)/O468)-1)</f>
        <v>6.995412844036708E-2</v>
      </c>
      <c r="R480" s="27">
        <v>4</v>
      </c>
      <c r="S480" s="86">
        <v>107.72799999999999</v>
      </c>
      <c r="T480" s="41">
        <f>IF(Tabela1716[[#This Row],[S&amp;P/Case-Shiller Home Price Index]]="",#N/A,((Tabela1716[[#This Row],[S&amp;P/Case-Shiller Home Price Index]]*1)/S479)-1)</f>
        <v>5.5350725719884863E-3</v>
      </c>
      <c r="U480" s="41">
        <f>IF(Tabela1716[[#This Row],[S&amp;P/Case-Shiller Home Price Index]]="",#N/A,((Tabela1716[[#This Row],[S&amp;P/Case-Shiller Home Price Index]]*1)/S468)-1)</f>
        <v>9.0011332361987773E-2</v>
      </c>
      <c r="V480" s="37"/>
      <c r="W480" s="9"/>
      <c r="X480" s="9"/>
    </row>
    <row r="481" spans="1:24" ht="12.75">
      <c r="A481" s="12">
        <v>36831</v>
      </c>
      <c r="B481" s="26">
        <v>7.73</v>
      </c>
      <c r="C481" s="29">
        <v>63</v>
      </c>
      <c r="D481" s="33">
        <v>1614</v>
      </c>
      <c r="E481" s="41">
        <f>IF(Tabela1716[[#This Row],[Building Permits]]="",#N/A,((Tabela1716[[#This Row],[Building Permits]]*1)/D469)-1)</f>
        <v>-3.4688995215310992E-2</v>
      </c>
      <c r="F481" s="33">
        <v>970</v>
      </c>
      <c r="G481" s="41">
        <f>IF(Tabela1716[[#This Row],[Houses Under Construction]]="",#N/A,((Tabela1716[[#This Row],[Houses Under Construction]]*1)/F469)-1)</f>
        <v>-1.3224821973550349E-2</v>
      </c>
      <c r="H481" s="33">
        <v>1551</v>
      </c>
      <c r="I481" s="33">
        <f>IF(Tabela1716[[#This Row],[Housing Starts]]="",#N/A,Tabela1716[[#This Row],[Housing Starts]]-H480)</f>
        <v>2</v>
      </c>
      <c r="J481" s="41">
        <f>IF(Tabela1716[[#This Row],[Housing Starts]]="",#N/A,((Tabela1716[[#This Row],[Housing Starts]]*1)/H469)-1)</f>
        <v>-5.885922330097082E-2</v>
      </c>
      <c r="K481" s="33">
        <v>820054</v>
      </c>
      <c r="L481" s="41">
        <f>IF(Tabela1716[[#This Row],[Total Construction Spending]]="",#N/A,((Tabela1716[[#This Row],[Total Construction Spending]]*1)/K469)-1)</f>
        <v>4.9737646873587948E-2</v>
      </c>
      <c r="M481" s="31">
        <v>5350</v>
      </c>
      <c r="N481" s="41">
        <f>IF(Tabela1716[[#This Row],[Existing Home Sales]]="",#N/A,((Tabela1716[[#This Row],[Existing Home Sales]]*1)/M469)-1)</f>
        <v>5.1080550098231869E-2</v>
      </c>
      <c r="O481" s="33">
        <v>880</v>
      </c>
      <c r="P481" s="41">
        <f>IF(Tabela1716[[#This Row],[New House Sales]]="",#N/A,((Tabela1716[[#This Row],[New House Sales]]*1)/O480)-1)</f>
        <v>-5.6806002143622747E-2</v>
      </c>
      <c r="Q481" s="41">
        <f>IF(Tabela1716[[#This Row],[New House Sales]]="",#N/A,((Tabela1716[[#This Row],[New House Sales]]*1)/O469)-1)</f>
        <v>1.9698725376593229E-2</v>
      </c>
      <c r="R481" s="27">
        <v>4.2</v>
      </c>
      <c r="S481" s="86">
        <v>108.291</v>
      </c>
      <c r="T481" s="41">
        <f>IF(Tabela1716[[#This Row],[S&amp;P/Case-Shiller Home Price Index]]="",#N/A,((Tabela1716[[#This Row],[S&amp;P/Case-Shiller Home Price Index]]*1)/S480)-1)</f>
        <v>5.2261250556957517E-3</v>
      </c>
      <c r="U481" s="41">
        <f>IF(Tabela1716[[#This Row],[S&amp;P/Case-Shiller Home Price Index]]="",#N/A,((Tabela1716[[#This Row],[S&amp;P/Case-Shiller Home Price Index]]*1)/S469)-1)</f>
        <v>9.2204661670818533E-2</v>
      </c>
      <c r="V481" s="39"/>
      <c r="W481" s="9"/>
      <c r="X481" s="9"/>
    </row>
    <row r="482" spans="1:24" ht="12.75">
      <c r="A482" s="12">
        <v>36861</v>
      </c>
      <c r="B482" s="26">
        <v>7.13</v>
      </c>
      <c r="C482" s="29">
        <v>57</v>
      </c>
      <c r="D482" s="33">
        <v>1543</v>
      </c>
      <c r="E482" s="41">
        <f>IF(Tabela1716[[#This Row],[Building Permits]]="",#N/A,((Tabela1716[[#This Row],[Building Permits]]*1)/D470)-1)</f>
        <v>-8.3184789067141995E-2</v>
      </c>
      <c r="F482" s="33">
        <v>969</v>
      </c>
      <c r="G482" s="41">
        <f>IF(Tabela1716[[#This Row],[Houses Under Construction]]="",#N/A,((Tabela1716[[#This Row],[Houses Under Construction]]*1)/F470)-1)</f>
        <v>-1.4242115971515812E-2</v>
      </c>
      <c r="H482" s="33">
        <v>1532</v>
      </c>
      <c r="I482" s="33">
        <f>IF(Tabela1716[[#This Row],[Housing Starts]]="",#N/A,Tabela1716[[#This Row],[Housing Starts]]-H481)</f>
        <v>-19</v>
      </c>
      <c r="J482" s="41">
        <f>IF(Tabela1716[[#This Row],[Housing Starts]]="",#N/A,((Tabela1716[[#This Row],[Housing Starts]]*1)/H470)-1)</f>
        <v>-0.10304449648711944</v>
      </c>
      <c r="K482" s="33">
        <v>811516</v>
      </c>
      <c r="L482" s="41">
        <f>IF(Tabela1716[[#This Row],[Total Construction Spending]]="",#N/A,((Tabela1716[[#This Row],[Total Construction Spending]]*1)/K470)-1)</f>
        <v>2.7975845894067985E-2</v>
      </c>
      <c r="M482" s="31">
        <v>5100</v>
      </c>
      <c r="N482" s="41">
        <f>IF(Tabela1716[[#This Row],[Existing Home Sales]]="",#N/A,((Tabela1716[[#This Row],[Existing Home Sales]]*1)/M470)-1)</f>
        <v>3.937007874015741E-3</v>
      </c>
      <c r="O482" s="33">
        <v>983</v>
      </c>
      <c r="P482" s="41">
        <f>IF(Tabela1716[[#This Row],[New House Sales]]="",#N/A,((Tabela1716[[#This Row],[New House Sales]]*1)/O481)-1)</f>
        <v>0.11704545454545445</v>
      </c>
      <c r="Q482" s="41">
        <f>IF(Tabela1716[[#This Row],[New House Sales]]="",#N/A,((Tabela1716[[#This Row],[New House Sales]]*1)/O470)-1)</f>
        <v>0.12600229095074456</v>
      </c>
      <c r="R482" s="27">
        <v>3.6</v>
      </c>
      <c r="S482" s="86">
        <v>108.791</v>
      </c>
      <c r="T482" s="41">
        <f>IF(Tabela1716[[#This Row],[S&amp;P/Case-Shiller Home Price Index]]="",#N/A,((Tabela1716[[#This Row],[S&amp;P/Case-Shiller Home Price Index]]*1)/S481)-1)</f>
        <v>4.6171888707280395E-3</v>
      </c>
      <c r="U482" s="41">
        <f>IF(Tabela1716[[#This Row],[S&amp;P/Case-Shiller Home Price Index]]="",#N/A,((Tabela1716[[#This Row],[S&amp;P/Case-Shiller Home Price Index]]*1)/S470)-1)</f>
        <v>9.2904573902735654E-2</v>
      </c>
      <c r="V482" s="37"/>
      <c r="W482" s="9"/>
      <c r="X482" s="9"/>
    </row>
    <row r="483" spans="1:24" ht="12.75">
      <c r="A483" s="12">
        <v>36892</v>
      </c>
      <c r="B483" s="26">
        <v>7.15</v>
      </c>
      <c r="C483" s="29">
        <v>52</v>
      </c>
      <c r="D483" s="33">
        <v>1699</v>
      </c>
      <c r="E483" s="41">
        <f>IF(Tabela1716[[#This Row],[Building Permits]]="",#N/A,((Tabela1716[[#This Row],[Building Permits]]*1)/D471)-1)</f>
        <v>-1.6213086276780531E-2</v>
      </c>
      <c r="F483" s="33">
        <v>986</v>
      </c>
      <c r="G483" s="41">
        <f>IF(Tabela1716[[#This Row],[Houses Under Construction]]="",#N/A,((Tabela1716[[#This Row],[Houses Under Construction]]*1)/F471)-1)</f>
        <v>-5.0454086781028806E-3</v>
      </c>
      <c r="H483" s="33">
        <v>1600</v>
      </c>
      <c r="I483" s="33">
        <f>IF(Tabela1716[[#This Row],[Housing Starts]]="",#N/A,Tabela1716[[#This Row],[Housing Starts]]-H482)</f>
        <v>68</v>
      </c>
      <c r="J483" s="41">
        <f>IF(Tabela1716[[#This Row],[Housing Starts]]="",#N/A,((Tabela1716[[#This Row],[Housing Starts]]*1)/H471)-1)</f>
        <v>-2.2004889975550168E-2</v>
      </c>
      <c r="K483" s="33">
        <v>814479</v>
      </c>
      <c r="L483" s="41">
        <f>IF(Tabela1716[[#This Row],[Total Construction Spending]]="",#N/A,((Tabela1716[[#This Row],[Total Construction Spending]]*1)/K471)-1)</f>
        <v>3.7632175707697391E-2</v>
      </c>
      <c r="M483" s="31">
        <v>5100</v>
      </c>
      <c r="N483" s="41">
        <f>IF(Tabela1716[[#This Row],[Existing Home Sales]]="",#N/A,((Tabela1716[[#This Row],[Existing Home Sales]]*1)/M471)-1)</f>
        <v>-2.4856596558317401E-2</v>
      </c>
      <c r="O483" s="33">
        <v>936</v>
      </c>
      <c r="P483" s="41">
        <f>IF(Tabela1716[[#This Row],[New House Sales]]="",#N/A,((Tabela1716[[#This Row],[New House Sales]]*1)/O482)-1)</f>
        <v>-4.7812817904374416E-2</v>
      </c>
      <c r="Q483" s="41">
        <f>IF(Tabela1716[[#This Row],[New House Sales]]="",#N/A,((Tabela1716[[#This Row],[New House Sales]]*1)/O471)-1)</f>
        <v>7.2164948453608213E-2</v>
      </c>
      <c r="R483" s="27">
        <v>3.8</v>
      </c>
      <c r="S483" s="86">
        <v>109.214</v>
      </c>
      <c r="T483" s="41">
        <f>IF(Tabela1716[[#This Row],[S&amp;P/Case-Shiller Home Price Index]]="",#N/A,((Tabela1716[[#This Row],[S&amp;P/Case-Shiller Home Price Index]]*1)/S482)-1)</f>
        <v>3.8881892803632745E-3</v>
      </c>
      <c r="U483" s="41">
        <f>IF(Tabela1716[[#This Row],[S&amp;P/Case-Shiller Home Price Index]]="",#N/A,((Tabela1716[[#This Row],[S&amp;P/Case-Shiller Home Price Index]]*1)/S471)-1)</f>
        <v>9.2139999999999889E-2</v>
      </c>
      <c r="V483" s="39"/>
      <c r="W483" s="9"/>
      <c r="X483" s="9"/>
    </row>
    <row r="484" spans="1:24" ht="12.75">
      <c r="A484" s="12">
        <v>36923</v>
      </c>
      <c r="B484" s="26">
        <v>7.12</v>
      </c>
      <c r="C484" s="29">
        <v>58</v>
      </c>
      <c r="D484" s="33">
        <v>1656</v>
      </c>
      <c r="E484" s="41">
        <f>IF(Tabela1716[[#This Row],[Building Permits]]="",#N/A,((Tabela1716[[#This Row],[Building Permits]]*1)/D472)-1)</f>
        <v>-2.1276595744680882E-2</v>
      </c>
      <c r="F484" s="33">
        <v>987</v>
      </c>
      <c r="G484" s="41">
        <f>IF(Tabela1716[[#This Row],[Houses Under Construction]]="",#N/A,((Tabela1716[[#This Row],[Houses Under Construction]]*1)/F472)-1)</f>
        <v>-1.1022044088176308E-2</v>
      </c>
      <c r="H484" s="33">
        <v>1625</v>
      </c>
      <c r="I484" s="33">
        <f>IF(Tabela1716[[#This Row],[Housing Starts]]="",#N/A,Tabela1716[[#This Row],[Housing Starts]]-H483)</f>
        <v>25</v>
      </c>
      <c r="J484" s="41">
        <f>IF(Tabela1716[[#This Row],[Housing Starts]]="",#N/A,((Tabela1716[[#This Row],[Housing Starts]]*1)/H472)-1)</f>
        <v>-6.44789867587795E-2</v>
      </c>
      <c r="K484" s="33">
        <v>813647</v>
      </c>
      <c r="L484" s="41">
        <f>IF(Tabela1716[[#This Row],[Total Construction Spending]]="",#N/A,((Tabela1716[[#This Row],[Total Construction Spending]]*1)/K472)-1)</f>
        <v>2.5083875389455113E-2</v>
      </c>
      <c r="M484" s="31">
        <v>5230</v>
      </c>
      <c r="N484" s="41">
        <f>IF(Tabela1716[[#This Row],[Existing Home Sales]]="",#N/A,((Tabela1716[[#This Row],[Existing Home Sales]]*1)/M472)-1)</f>
        <v>2.1484375E-2</v>
      </c>
      <c r="O484" s="33">
        <v>963</v>
      </c>
      <c r="P484" s="41">
        <f>IF(Tabela1716[[#This Row],[New House Sales]]="",#N/A,((Tabela1716[[#This Row],[New House Sales]]*1)/O483)-1)</f>
        <v>2.8846153846153744E-2</v>
      </c>
      <c r="Q484" s="41">
        <f>IF(Tabela1716[[#This Row],[New House Sales]]="",#N/A,((Tabela1716[[#This Row],[New House Sales]]*1)/O472)-1)</f>
        <v>0.125</v>
      </c>
      <c r="R484" s="27">
        <v>3.7</v>
      </c>
      <c r="S484" s="86">
        <v>109.64200000000001</v>
      </c>
      <c r="T484" s="41">
        <f>IF(Tabela1716[[#This Row],[S&amp;P/Case-Shiller Home Price Index]]="",#N/A,((Tabela1716[[#This Row],[S&amp;P/Case-Shiller Home Price Index]]*1)/S483)-1)</f>
        <v>3.9189114948634529E-3</v>
      </c>
      <c r="U484" s="41">
        <f>IF(Tabela1716[[#This Row],[S&amp;P/Case-Shiller Home Price Index]]="",#N/A,((Tabela1716[[#This Row],[S&amp;P/Case-Shiller Home Price Index]]*1)/S472)-1)</f>
        <v>9.0194986626363605E-2</v>
      </c>
      <c r="V484" s="37"/>
      <c r="W484" s="9"/>
      <c r="X484" s="9"/>
    </row>
    <row r="485" spans="1:24" ht="12.75">
      <c r="A485" s="12">
        <v>36951</v>
      </c>
      <c r="B485" s="26">
        <v>6.91</v>
      </c>
      <c r="C485" s="29">
        <v>60</v>
      </c>
      <c r="D485" s="33">
        <v>1659</v>
      </c>
      <c r="E485" s="41">
        <f>IF(Tabela1716[[#This Row],[Building Permits]]="",#N/A,((Tabela1716[[#This Row],[Building Permits]]*1)/D473)-1)</f>
        <v>4.8455481526348265E-3</v>
      </c>
      <c r="F485" s="33">
        <v>1001</v>
      </c>
      <c r="G485" s="41">
        <f>IF(Tabela1716[[#This Row],[Houses Under Construction]]="",#N/A,((Tabela1716[[#This Row],[Houses Under Construction]]*1)/F473)-1)</f>
        <v>1.3157894736842035E-2</v>
      </c>
      <c r="H485" s="33">
        <v>1590</v>
      </c>
      <c r="I485" s="33">
        <f>IF(Tabela1716[[#This Row],[Housing Starts]]="",#N/A,Tabela1716[[#This Row],[Housing Starts]]-H484)</f>
        <v>-35</v>
      </c>
      <c r="J485" s="41">
        <f>IF(Tabela1716[[#This Row],[Housing Starts]]="",#N/A,((Tabela1716[[#This Row],[Housing Starts]]*1)/H473)-1)</f>
        <v>-8.7281795511221505E-3</v>
      </c>
      <c r="K485" s="33">
        <v>828057</v>
      </c>
      <c r="L485" s="41">
        <f>IF(Tabela1716[[#This Row],[Total Construction Spending]]="",#N/A,((Tabela1716[[#This Row],[Total Construction Spending]]*1)/K473)-1)</f>
        <v>2.2975839418673427E-2</v>
      </c>
      <c r="M485" s="31">
        <v>5450</v>
      </c>
      <c r="N485" s="41">
        <f>IF(Tabela1716[[#This Row],[Existing Home Sales]]="",#N/A,((Tabela1716[[#This Row],[Existing Home Sales]]*1)/M473)-1)</f>
        <v>5.0096339113680166E-2</v>
      </c>
      <c r="O485" s="33">
        <v>939</v>
      </c>
      <c r="P485" s="41">
        <f>IF(Tabela1716[[#This Row],[New House Sales]]="",#N/A,((Tabela1716[[#This Row],[New House Sales]]*1)/O484)-1)</f>
        <v>-2.4922118380062308E-2</v>
      </c>
      <c r="Q485" s="41">
        <f>IF(Tabela1716[[#This Row],[New House Sales]]="",#N/A,((Tabela1716[[#This Row],[New House Sales]]*1)/O473)-1)</f>
        <v>4.3333333333333224E-2</v>
      </c>
      <c r="R485" s="27">
        <v>3.8</v>
      </c>
      <c r="S485" s="86">
        <v>110.39399999999999</v>
      </c>
      <c r="T485" s="41">
        <f>IF(Tabela1716[[#This Row],[S&amp;P/Case-Shiller Home Price Index]]="",#N/A,((Tabela1716[[#This Row],[S&amp;P/Case-Shiller Home Price Index]]*1)/S484)-1)</f>
        <v>6.8586855402126279E-3</v>
      </c>
      <c r="U485" s="41">
        <f>IF(Tabela1716[[#This Row],[S&amp;P/Case-Shiller Home Price Index]]="",#N/A,((Tabela1716[[#This Row],[S&amp;P/Case-Shiller Home Price Index]]*1)/S473)-1)</f>
        <v>8.7990065637750359E-2</v>
      </c>
      <c r="V485" s="39"/>
      <c r="W485" s="9"/>
      <c r="X485" s="9"/>
    </row>
    <row r="486" spans="1:24" ht="12.75">
      <c r="A486" s="12">
        <v>36982</v>
      </c>
      <c r="B486" s="26">
        <v>7.12</v>
      </c>
      <c r="C486" s="29">
        <v>59</v>
      </c>
      <c r="D486" s="33">
        <v>1666</v>
      </c>
      <c r="E486" s="41">
        <f>IF(Tabela1716[[#This Row],[Building Permits]]="",#N/A,((Tabela1716[[#This Row],[Building Permits]]*1)/D474)-1)</f>
        <v>4.3206011271133438E-2</v>
      </c>
      <c r="F486" s="33">
        <v>1007</v>
      </c>
      <c r="G486" s="41">
        <f>IF(Tabela1716[[#This Row],[Houses Under Construction]]="",#N/A,((Tabela1716[[#This Row],[Houses Under Construction]]*1)/F474)-1)</f>
        <v>1.8200202224469164E-2</v>
      </c>
      <c r="H486" s="33">
        <v>1649</v>
      </c>
      <c r="I486" s="33">
        <f>IF(Tabela1716[[#This Row],[Housing Starts]]="",#N/A,Tabela1716[[#This Row],[Housing Starts]]-H485)</f>
        <v>59</v>
      </c>
      <c r="J486" s="41">
        <f>IF(Tabela1716[[#This Row],[Housing Starts]]="",#N/A,((Tabela1716[[#This Row],[Housing Starts]]*1)/H474)-1)</f>
        <v>1.4145141451414434E-2</v>
      </c>
      <c r="K486" s="33">
        <v>842392</v>
      </c>
      <c r="L486" s="41">
        <f>IF(Tabela1716[[#This Row],[Total Construction Spending]]="",#N/A,((Tabela1716[[#This Row],[Total Construction Spending]]*1)/K474)-1)</f>
        <v>4.6753963263855614E-2</v>
      </c>
      <c r="M486" s="31">
        <v>5320</v>
      </c>
      <c r="N486" s="41">
        <f>IF(Tabela1716[[#This Row],[Existing Home Sales]]="",#N/A,((Tabela1716[[#This Row],[Existing Home Sales]]*1)/M474)-1)</f>
        <v>2.3076923076922995E-2</v>
      </c>
      <c r="O486" s="33">
        <v>909</v>
      </c>
      <c r="P486" s="41">
        <f>IF(Tabela1716[[#This Row],[New House Sales]]="",#N/A,((Tabela1716[[#This Row],[New House Sales]]*1)/O485)-1)</f>
        <v>-3.1948881789137351E-2</v>
      </c>
      <c r="Q486" s="41">
        <f>IF(Tabela1716[[#This Row],[New House Sales]]="",#N/A,((Tabela1716[[#This Row],[New House Sales]]*1)/O474)-1)</f>
        <v>8.0856123662306878E-2</v>
      </c>
      <c r="R486" s="27">
        <v>3.9</v>
      </c>
      <c r="S486" s="86">
        <v>111.24799999999999</v>
      </c>
      <c r="T486" s="41">
        <f>IF(Tabela1716[[#This Row],[S&amp;P/Case-Shiller Home Price Index]]="",#N/A,((Tabela1716[[#This Row],[S&amp;P/Case-Shiller Home Price Index]]*1)/S485)-1)</f>
        <v>7.7359276772288599E-3</v>
      </c>
      <c r="U486" s="41">
        <f>IF(Tabela1716[[#This Row],[S&amp;P/Case-Shiller Home Price Index]]="",#N/A,((Tabela1716[[#This Row],[S&amp;P/Case-Shiller Home Price Index]]*1)/S474)-1)</f>
        <v>8.4922956894870172E-2</v>
      </c>
      <c r="V486" s="37"/>
      <c r="W486" s="9"/>
      <c r="X486" s="9"/>
    </row>
    <row r="487" spans="1:24" ht="12.75">
      <c r="A487" s="12">
        <v>37012</v>
      </c>
      <c r="B487" s="26">
        <v>7.2</v>
      </c>
      <c r="C487" s="29">
        <v>58</v>
      </c>
      <c r="D487" s="33">
        <v>1665</v>
      </c>
      <c r="E487" s="41">
        <f>IF(Tabela1716[[#This Row],[Building Permits]]="",#N/A,((Tabela1716[[#This Row],[Building Permits]]*1)/D475)-1)</f>
        <v>7.9066753078418595E-2</v>
      </c>
      <c r="F487" s="33">
        <v>1015</v>
      </c>
      <c r="G487" s="41">
        <f>IF(Tabela1716[[#This Row],[Houses Under Construction]]="",#N/A,((Tabela1716[[#This Row],[Houses Under Construction]]*1)/F475)-1)</f>
        <v>3.0456852791878264E-2</v>
      </c>
      <c r="H487" s="33">
        <v>1605</v>
      </c>
      <c r="I487" s="33">
        <f>IF(Tabela1716[[#This Row],[Housing Starts]]="",#N/A,Tabela1716[[#This Row],[Housing Starts]]-H486)</f>
        <v>-44</v>
      </c>
      <c r="J487" s="41">
        <f>IF(Tabela1716[[#This Row],[Housing Starts]]="",#N/A,((Tabela1716[[#This Row],[Housing Starts]]*1)/H475)-1)</f>
        <v>1.904761904761898E-2</v>
      </c>
      <c r="K487" s="33">
        <v>848146</v>
      </c>
      <c r="L487" s="41">
        <f>IF(Tabela1716[[#This Row],[Total Construction Spending]]="",#N/A,((Tabela1716[[#This Row],[Total Construction Spending]]*1)/K475)-1)</f>
        <v>5.3590971484649197E-2</v>
      </c>
      <c r="M487" s="31">
        <v>5270</v>
      </c>
      <c r="N487" s="41">
        <f>IF(Tabela1716[[#This Row],[Existing Home Sales]]="",#N/A,((Tabela1716[[#This Row],[Existing Home Sales]]*1)/M475)-1)</f>
        <v>3.131115459882583E-2</v>
      </c>
      <c r="O487" s="33">
        <v>885</v>
      </c>
      <c r="P487" s="41">
        <f>IF(Tabela1716[[#This Row],[New House Sales]]="",#N/A,((Tabela1716[[#This Row],[New House Sales]]*1)/O486)-1)</f>
        <v>-2.6402640264026389E-2</v>
      </c>
      <c r="Q487" s="41">
        <f>IF(Tabela1716[[#This Row],[New House Sales]]="",#N/A,((Tabela1716[[#This Row],[New House Sales]]*1)/O475)-1)</f>
        <v>3.2672112018669708E-2</v>
      </c>
      <c r="R487" s="27">
        <v>4</v>
      </c>
      <c r="S487" s="86">
        <v>112.20299999999999</v>
      </c>
      <c r="T487" s="41">
        <f>IF(Tabela1716[[#This Row],[S&amp;P/Case-Shiller Home Price Index]]="",#N/A,((Tabela1716[[#This Row],[S&amp;P/Case-Shiller Home Price Index]]*1)/S486)-1)</f>
        <v>8.5844239896446517E-3</v>
      </c>
      <c r="U487" s="41">
        <f>IF(Tabela1716[[#This Row],[S&amp;P/Case-Shiller Home Price Index]]="",#N/A,((Tabela1716[[#This Row],[S&amp;P/Case-Shiller Home Price Index]]*1)/S475)-1)</f>
        <v>8.1975275308094009E-2</v>
      </c>
      <c r="V487" s="39"/>
      <c r="W487" s="9"/>
      <c r="X487" s="9"/>
    </row>
    <row r="488" spans="1:24" ht="12.75">
      <c r="A488" s="12">
        <v>37043</v>
      </c>
      <c r="B488" s="26">
        <v>7.11</v>
      </c>
      <c r="C488" s="29">
        <v>59</v>
      </c>
      <c r="D488" s="33">
        <v>1626</v>
      </c>
      <c r="E488" s="41">
        <f>IF(Tabela1716[[#This Row],[Building Permits]]="",#N/A,((Tabela1716[[#This Row],[Building Permits]]*1)/D476)-1)</f>
        <v>3.4351145038167941E-2</v>
      </c>
      <c r="F488" s="33">
        <v>1013</v>
      </c>
      <c r="G488" s="41">
        <f>IF(Tabela1716[[#This Row],[Houses Under Construction]]="",#N/A,((Tabela1716[[#This Row],[Houses Under Construction]]*1)/F476)-1)</f>
        <v>3.1568228105906204E-2</v>
      </c>
      <c r="H488" s="33">
        <v>1636</v>
      </c>
      <c r="I488" s="33">
        <f>IF(Tabela1716[[#This Row],[Housing Starts]]="",#N/A,Tabela1716[[#This Row],[Housing Starts]]-H487)</f>
        <v>31</v>
      </c>
      <c r="J488" s="41">
        <f>IF(Tabela1716[[#This Row],[Housing Starts]]="",#N/A,((Tabela1716[[#This Row],[Housing Starts]]*1)/H476)-1)</f>
        <v>4.9390635022450224E-2</v>
      </c>
      <c r="K488" s="33">
        <v>855730</v>
      </c>
      <c r="L488" s="41">
        <f>IF(Tabela1716[[#This Row],[Total Construction Spending]]="",#N/A,((Tabela1716[[#This Row],[Total Construction Spending]]*1)/K476)-1)</f>
        <v>7.5833751356217061E-2</v>
      </c>
      <c r="M488" s="31">
        <v>5430</v>
      </c>
      <c r="N488" s="41">
        <f>IF(Tabela1716[[#This Row],[Existing Home Sales]]="",#N/A,((Tabela1716[[#This Row],[Existing Home Sales]]*1)/M476)-1)</f>
        <v>5.8479532163742798E-2</v>
      </c>
      <c r="O488" s="33">
        <v>882</v>
      </c>
      <c r="P488" s="41">
        <f>IF(Tabela1716[[#This Row],[New House Sales]]="",#N/A,((Tabela1716[[#This Row],[New House Sales]]*1)/O487)-1)</f>
        <v>-3.3898305084745228E-3</v>
      </c>
      <c r="Q488" s="41">
        <f>IF(Tabela1716[[#This Row],[New House Sales]]="",#N/A,((Tabela1716[[#This Row],[New House Sales]]*1)/O476)-1)</f>
        <v>0.11223203026481721</v>
      </c>
      <c r="R488" s="27">
        <v>4.2</v>
      </c>
      <c r="S488" s="86">
        <v>113.27200000000001</v>
      </c>
      <c r="T488" s="41">
        <f>IF(Tabela1716[[#This Row],[S&amp;P/Case-Shiller Home Price Index]]="",#N/A,((Tabela1716[[#This Row],[S&amp;P/Case-Shiller Home Price Index]]*1)/S487)-1)</f>
        <v>9.5273744908783708E-3</v>
      </c>
      <c r="U488" s="41">
        <f>IF(Tabela1716[[#This Row],[S&amp;P/Case-Shiller Home Price Index]]="",#N/A,((Tabela1716[[#This Row],[S&amp;P/Case-Shiller Home Price Index]]*1)/S476)-1)</f>
        <v>8.0272757617662505E-2</v>
      </c>
      <c r="V488" s="37"/>
      <c r="W488" s="9"/>
      <c r="X488" s="9"/>
    </row>
    <row r="489" spans="1:24" ht="12.75">
      <c r="A489" s="12">
        <v>37073</v>
      </c>
      <c r="B489" s="26">
        <v>7.03</v>
      </c>
      <c r="C489" s="29">
        <v>57</v>
      </c>
      <c r="D489" s="33">
        <v>1598</v>
      </c>
      <c r="E489" s="41">
        <f>IF(Tabela1716[[#This Row],[Building Permits]]="",#N/A,((Tabela1716[[#This Row],[Building Permits]]*1)/D477)-1)</f>
        <v>3.6316472114137577E-2</v>
      </c>
      <c r="F489" s="33">
        <v>1017</v>
      </c>
      <c r="G489" s="41">
        <f>IF(Tabela1716[[#This Row],[Houses Under Construction]]="",#N/A,((Tabela1716[[#This Row],[Houses Under Construction]]*1)/F477)-1)</f>
        <v>3.8815117466802773E-2</v>
      </c>
      <c r="H489" s="33">
        <v>1670</v>
      </c>
      <c r="I489" s="33">
        <f>IF(Tabela1716[[#This Row],[Housing Starts]]="",#N/A,Tabela1716[[#This Row],[Housing Starts]]-H488)</f>
        <v>34</v>
      </c>
      <c r="J489" s="41">
        <f>IF(Tabela1716[[#This Row],[Housing Starts]]="",#N/A,((Tabela1716[[#This Row],[Housing Starts]]*1)/H477)-1)</f>
        <v>0.14149008885851</v>
      </c>
      <c r="K489" s="33">
        <v>850471</v>
      </c>
      <c r="L489" s="41">
        <f>IF(Tabela1716[[#This Row],[Total Construction Spending]]="",#N/A,((Tabela1716[[#This Row],[Total Construction Spending]]*1)/K477)-1)</f>
        <v>8.5068161955613286E-2</v>
      </c>
      <c r="M489" s="31">
        <v>5430</v>
      </c>
      <c r="N489" s="41">
        <f>IF(Tabela1716[[#This Row],[Existing Home Sales]]="",#N/A,((Tabela1716[[#This Row],[Existing Home Sales]]*1)/M477)-1)</f>
        <v>6.262230919765166E-2</v>
      </c>
      <c r="O489" s="33">
        <v>880</v>
      </c>
      <c r="P489" s="41">
        <f>IF(Tabela1716[[#This Row],[New House Sales]]="",#N/A,((Tabela1716[[#This Row],[New House Sales]]*1)/O488)-1)</f>
        <v>-2.2675736961451642E-3</v>
      </c>
      <c r="Q489" s="41">
        <f>IF(Tabela1716[[#This Row],[New House Sales]]="",#N/A,((Tabela1716[[#This Row],[New House Sales]]*1)/O477)-1)</f>
        <v>-7.8917700112739464E-3</v>
      </c>
      <c r="R489" s="27">
        <v>4.2</v>
      </c>
      <c r="S489" s="86">
        <v>114.226</v>
      </c>
      <c r="T489" s="41">
        <f>IF(Tabela1716[[#This Row],[S&amp;P/Case-Shiller Home Price Index]]="",#N/A,((Tabela1716[[#This Row],[S&amp;P/Case-Shiller Home Price Index]]*1)/S488)-1)</f>
        <v>8.4222049579771863E-3</v>
      </c>
      <c r="U489" s="41">
        <f>IF(Tabela1716[[#This Row],[S&amp;P/Case-Shiller Home Price Index]]="",#N/A,((Tabela1716[[#This Row],[S&amp;P/Case-Shiller Home Price Index]]*1)/S477)-1)</f>
        <v>8.044759319340522E-2</v>
      </c>
      <c r="V489" s="39"/>
      <c r="W489" s="9"/>
      <c r="X489" s="9"/>
    </row>
    <row r="490" spans="1:24" ht="12.75">
      <c r="A490" s="12">
        <v>37104</v>
      </c>
      <c r="B490" s="26">
        <v>6.92</v>
      </c>
      <c r="C490" s="29">
        <v>59</v>
      </c>
      <c r="D490" s="33">
        <v>1615</v>
      </c>
      <c r="E490" s="41">
        <f>IF(Tabela1716[[#This Row],[Building Permits]]="",#N/A,((Tabela1716[[#This Row],[Building Permits]]*1)/D478)-1)</f>
        <v>4.0592783505154717E-2</v>
      </c>
      <c r="F490" s="33">
        <v>1011</v>
      </c>
      <c r="G490" s="41">
        <f>IF(Tabela1716[[#This Row],[Houses Under Construction]]="",#N/A,((Tabela1716[[#This Row],[Houses Under Construction]]*1)/F478)-1)</f>
        <v>3.5860655737705027E-2</v>
      </c>
      <c r="H490" s="33">
        <v>1567</v>
      </c>
      <c r="I490" s="33">
        <f>IF(Tabela1716[[#This Row],[Housing Starts]]="",#N/A,Tabela1716[[#This Row],[Housing Starts]]-H489)</f>
        <v>-103</v>
      </c>
      <c r="J490" s="41">
        <f>IF(Tabela1716[[#This Row],[Housing Starts]]="",#N/A,((Tabela1716[[#This Row],[Housing Starts]]*1)/H478)-1)</f>
        <v>1.6872160934458202E-2</v>
      </c>
      <c r="K490" s="33">
        <v>847465</v>
      </c>
      <c r="L490" s="41">
        <f>IF(Tabela1716[[#This Row],[Total Construction Spending]]="",#N/A,((Tabela1716[[#This Row],[Total Construction Spending]]*1)/K478)-1)</f>
        <v>5.2305793446502769E-2</v>
      </c>
      <c r="M490" s="31">
        <v>5480</v>
      </c>
      <c r="N490" s="41">
        <f>IF(Tabela1716[[#This Row],[Existing Home Sales]]="",#N/A,((Tabela1716[[#This Row],[Existing Home Sales]]*1)/M478)-1)</f>
        <v>5.9961315280464111E-2</v>
      </c>
      <c r="O490" s="33">
        <v>866</v>
      </c>
      <c r="P490" s="41">
        <f>IF(Tabela1716[[#This Row],[New House Sales]]="",#N/A,((Tabela1716[[#This Row],[New House Sales]]*1)/O489)-1)</f>
        <v>-1.5909090909090873E-2</v>
      </c>
      <c r="Q490" s="41">
        <f>IF(Tabela1716[[#This Row],[New House Sales]]="",#N/A,((Tabela1716[[#This Row],[New House Sales]]*1)/O478)-1)</f>
        <v>2.1226415094339535E-2</v>
      </c>
      <c r="R490" s="27">
        <v>4.4000000000000004</v>
      </c>
      <c r="S490" s="86">
        <v>114.988</v>
      </c>
      <c r="T490" s="41">
        <f>IF(Tabela1716[[#This Row],[S&amp;P/Case-Shiller Home Price Index]]="",#N/A,((Tabela1716[[#This Row],[S&amp;P/Case-Shiller Home Price Index]]*1)/S489)-1)</f>
        <v>6.6709855899707016E-3</v>
      </c>
      <c r="U490" s="41">
        <f>IF(Tabela1716[[#This Row],[S&amp;P/Case-Shiller Home Price Index]]="",#N/A,((Tabela1716[[#This Row],[S&amp;P/Case-Shiller Home Price Index]]*1)/S478)-1)</f>
        <v>7.947654005745286E-2</v>
      </c>
      <c r="V490" s="37"/>
      <c r="W490" s="9"/>
      <c r="X490" s="9"/>
    </row>
    <row r="491" spans="1:24" ht="12.75">
      <c r="A491" s="12">
        <v>37135</v>
      </c>
      <c r="B491" s="26">
        <v>6.72</v>
      </c>
      <c r="C491" s="29">
        <v>55</v>
      </c>
      <c r="D491" s="33">
        <v>1565</v>
      </c>
      <c r="E491" s="41">
        <f>IF(Tabela1716[[#This Row],[Building Permits]]="",#N/A,((Tabela1716[[#This Row],[Building Permits]]*1)/D479)-1)</f>
        <v>-3.1847133757961776E-3</v>
      </c>
      <c r="F491" s="33">
        <v>1014</v>
      </c>
      <c r="G491" s="41">
        <f>IF(Tabela1716[[#This Row],[Houses Under Construction]]="",#N/A,((Tabela1716[[#This Row],[Houses Under Construction]]*1)/F479)-1)</f>
        <v>4.5360824742268102E-2</v>
      </c>
      <c r="H491" s="33">
        <v>1562</v>
      </c>
      <c r="I491" s="33">
        <f>IF(Tabela1716[[#This Row],[Housing Starts]]="",#N/A,Tabela1716[[#This Row],[Housing Starts]]-H490)</f>
        <v>-5</v>
      </c>
      <c r="J491" s="41">
        <f>IF(Tabela1716[[#This Row],[Housing Starts]]="",#N/A,((Tabela1716[[#This Row],[Housing Starts]]*1)/H479)-1)</f>
        <v>3.649635036496357E-2</v>
      </c>
      <c r="K491" s="33">
        <v>837412</v>
      </c>
      <c r="L491" s="41">
        <f>IF(Tabela1716[[#This Row],[Total Construction Spending]]="",#N/A,((Tabela1716[[#This Row],[Total Construction Spending]]*1)/K479)-1)</f>
        <v>2.8344774231576775E-2</v>
      </c>
      <c r="M491" s="31">
        <v>5230</v>
      </c>
      <c r="N491" s="41">
        <f>IF(Tabela1716[[#This Row],[Existing Home Sales]]="",#N/A,((Tabela1716[[#This Row],[Existing Home Sales]]*1)/M479)-1)</f>
        <v>-1.1342155009451793E-2</v>
      </c>
      <c r="O491" s="33">
        <v>853</v>
      </c>
      <c r="P491" s="41">
        <f>IF(Tabela1716[[#This Row],[New House Sales]]="",#N/A,((Tabela1716[[#This Row],[New House Sales]]*1)/O490)-1)</f>
        <v>-1.5011547344110809E-2</v>
      </c>
      <c r="Q491" s="41">
        <f>IF(Tabela1716[[#This Row],[New House Sales]]="",#N/A,((Tabela1716[[#This Row],[New House Sales]]*1)/O479)-1)</f>
        <v>-6.4692982456140302E-2</v>
      </c>
      <c r="R491" s="27">
        <v>4.4000000000000004</v>
      </c>
      <c r="S491" s="86">
        <v>115.465</v>
      </c>
      <c r="T491" s="41">
        <f>IF(Tabela1716[[#This Row],[S&amp;P/Case-Shiller Home Price Index]]="",#N/A,((Tabela1716[[#This Row],[S&amp;P/Case-Shiller Home Price Index]]*1)/S490)-1)</f>
        <v>4.1482589487598087E-3</v>
      </c>
      <c r="U491" s="41">
        <f>IF(Tabela1716[[#This Row],[S&amp;P/Case-Shiller Home Price Index]]="",#N/A,((Tabela1716[[#This Row],[S&amp;P/Case-Shiller Home Price Index]]*1)/S479)-1)</f>
        <v>7.7752368507023828E-2</v>
      </c>
      <c r="V491" s="39"/>
      <c r="W491" s="9"/>
      <c r="X491" s="9"/>
    </row>
    <row r="492" spans="1:24" ht="12.75">
      <c r="A492" s="12">
        <v>37165</v>
      </c>
      <c r="B492" s="26">
        <v>6.64</v>
      </c>
      <c r="C492" s="29">
        <v>46</v>
      </c>
      <c r="D492" s="33">
        <v>1566</v>
      </c>
      <c r="E492" s="41">
        <f>IF(Tabela1716[[#This Row],[Building Permits]]="",#N/A,((Tabela1716[[#This Row],[Building Permits]]*1)/D480)-1)</f>
        <v>-6.9752694990488084E-3</v>
      </c>
      <c r="F492" s="33">
        <v>1008</v>
      </c>
      <c r="G492" s="41">
        <f>IF(Tabela1716[[#This Row],[Houses Under Construction]]="",#N/A,((Tabela1716[[#This Row],[Houses Under Construction]]*1)/F480)-1)</f>
        <v>3.7037037037036979E-2</v>
      </c>
      <c r="H492" s="33">
        <v>1540</v>
      </c>
      <c r="I492" s="33">
        <f>IF(Tabela1716[[#This Row],[Housing Starts]]="",#N/A,Tabela1716[[#This Row],[Housing Starts]]-H491)</f>
        <v>-22</v>
      </c>
      <c r="J492" s="41">
        <f>IF(Tabela1716[[#This Row],[Housing Starts]]="",#N/A,((Tabela1716[[#This Row],[Housing Starts]]*1)/H480)-1)</f>
        <v>-5.8102001291155947E-3</v>
      </c>
      <c r="K492" s="33">
        <v>845941</v>
      </c>
      <c r="L492" s="41">
        <f>IF(Tabela1716[[#This Row],[Total Construction Spending]]="",#N/A,((Tabela1716[[#This Row],[Total Construction Spending]]*1)/K480)-1)</f>
        <v>3.6565371890699749E-2</v>
      </c>
      <c r="M492" s="31">
        <v>5250</v>
      </c>
      <c r="N492" s="41">
        <f>IF(Tabela1716[[#This Row],[Existing Home Sales]]="",#N/A,((Tabela1716[[#This Row],[Existing Home Sales]]*1)/M480)-1)</f>
        <v>0</v>
      </c>
      <c r="O492" s="33">
        <v>871</v>
      </c>
      <c r="P492" s="41">
        <f>IF(Tabela1716[[#This Row],[New House Sales]]="",#N/A,((Tabela1716[[#This Row],[New House Sales]]*1)/O491)-1)</f>
        <v>2.1101992966002348E-2</v>
      </c>
      <c r="Q492" s="41">
        <f>IF(Tabela1716[[#This Row],[New House Sales]]="",#N/A,((Tabela1716[[#This Row],[New House Sales]]*1)/O480)-1)</f>
        <v>-6.645230439442662E-2</v>
      </c>
      <c r="R492" s="27">
        <v>4.3</v>
      </c>
      <c r="S492" s="86">
        <v>115.681</v>
      </c>
      <c r="T492" s="41">
        <f>IF(Tabela1716[[#This Row],[S&amp;P/Case-Shiller Home Price Index]]="",#N/A,((Tabela1716[[#This Row],[S&amp;P/Case-Shiller Home Price Index]]*1)/S491)-1)</f>
        <v>1.8706967479322767E-3</v>
      </c>
      <c r="U492" s="41">
        <f>IF(Tabela1716[[#This Row],[S&amp;P/Case-Shiller Home Price Index]]="",#N/A,((Tabela1716[[#This Row],[S&amp;P/Case-Shiller Home Price Index]]*1)/S480)-1)</f>
        <v>7.3824818060300057E-2</v>
      </c>
      <c r="V492" s="37"/>
      <c r="W492" s="9"/>
      <c r="X492" s="9"/>
    </row>
    <row r="493" spans="1:24" ht="12.75">
      <c r="A493" s="12">
        <v>37196</v>
      </c>
      <c r="B493" s="26">
        <v>7.02</v>
      </c>
      <c r="C493" s="29">
        <v>48</v>
      </c>
      <c r="D493" s="33">
        <v>1651</v>
      </c>
      <c r="E493" s="41">
        <f>IF(Tabela1716[[#This Row],[Building Permits]]="",#N/A,((Tabela1716[[#This Row],[Building Permits]]*1)/D481)-1)</f>
        <v>2.2924411400247813E-2</v>
      </c>
      <c r="F493" s="33">
        <v>1011</v>
      </c>
      <c r="G493" s="41">
        <f>IF(Tabela1716[[#This Row],[Houses Under Construction]]="",#N/A,((Tabela1716[[#This Row],[Houses Under Construction]]*1)/F481)-1)</f>
        <v>4.2268041237113474E-2</v>
      </c>
      <c r="H493" s="33">
        <v>1602</v>
      </c>
      <c r="I493" s="33">
        <f>IF(Tabela1716[[#This Row],[Housing Starts]]="",#N/A,Tabela1716[[#This Row],[Housing Starts]]-H492)</f>
        <v>62</v>
      </c>
      <c r="J493" s="41">
        <f>IF(Tabela1716[[#This Row],[Housing Starts]]="",#N/A,((Tabela1716[[#This Row],[Housing Starts]]*1)/H481)-1)</f>
        <v>3.2882011605415817E-2</v>
      </c>
      <c r="K493" s="33">
        <v>843911</v>
      </c>
      <c r="L493" s="41">
        <f>IF(Tabela1716[[#This Row],[Total Construction Spending]]="",#N/A,((Tabela1716[[#This Row],[Total Construction Spending]]*1)/K481)-1)</f>
        <v>2.9091986625271016E-2</v>
      </c>
      <c r="M493" s="31">
        <v>5240</v>
      </c>
      <c r="N493" s="41">
        <f>IF(Tabela1716[[#This Row],[Existing Home Sales]]="",#N/A,((Tabela1716[[#This Row],[Existing Home Sales]]*1)/M481)-1)</f>
        <v>-2.0560747663551426E-2</v>
      </c>
      <c r="O493" s="33">
        <v>924</v>
      </c>
      <c r="P493" s="41">
        <f>IF(Tabela1716[[#This Row],[New House Sales]]="",#N/A,((Tabela1716[[#This Row],[New House Sales]]*1)/O492)-1)</f>
        <v>6.0849598163031038E-2</v>
      </c>
      <c r="Q493" s="41">
        <f>IF(Tabela1716[[#This Row],[New House Sales]]="",#N/A,((Tabela1716[[#This Row],[New House Sales]]*1)/O481)-1)</f>
        <v>5.0000000000000044E-2</v>
      </c>
      <c r="R493" s="27">
        <v>4.0999999999999996</v>
      </c>
      <c r="S493" s="86">
        <v>115.839</v>
      </c>
      <c r="T493" s="41">
        <f>IF(Tabela1716[[#This Row],[S&amp;P/Case-Shiller Home Price Index]]="",#N/A,((Tabela1716[[#This Row],[S&amp;P/Case-Shiller Home Price Index]]*1)/S492)-1)</f>
        <v>1.3658249842238845E-3</v>
      </c>
      <c r="U493" s="41">
        <f>IF(Tabela1716[[#This Row],[S&amp;P/Case-Shiller Home Price Index]]="",#N/A,((Tabela1716[[#This Row],[S&amp;P/Case-Shiller Home Price Index]]*1)/S481)-1)</f>
        <v>6.9701083192509117E-2</v>
      </c>
      <c r="V493" s="39"/>
      <c r="W493" s="9"/>
      <c r="X493" s="9"/>
    </row>
    <row r="494" spans="1:24" ht="12.75">
      <c r="A494" s="12">
        <v>37226</v>
      </c>
      <c r="B494" s="26">
        <v>7.16</v>
      </c>
      <c r="C494" s="29">
        <v>55</v>
      </c>
      <c r="D494" s="33">
        <v>1680</v>
      </c>
      <c r="E494" s="41">
        <f>IF(Tabela1716[[#This Row],[Building Permits]]="",#N/A,((Tabela1716[[#This Row],[Building Permits]]*1)/D482)-1)</f>
        <v>8.8788075178224179E-2</v>
      </c>
      <c r="F494" s="33">
        <v>996</v>
      </c>
      <c r="G494" s="41">
        <f>IF(Tabela1716[[#This Row],[Houses Under Construction]]="",#N/A,((Tabela1716[[#This Row],[Houses Under Construction]]*1)/F482)-1)</f>
        <v>2.7863777089783381E-2</v>
      </c>
      <c r="H494" s="33">
        <v>1568</v>
      </c>
      <c r="I494" s="33">
        <f>IF(Tabela1716[[#This Row],[Housing Starts]]="",#N/A,Tabela1716[[#This Row],[Housing Starts]]-H493)</f>
        <v>-34</v>
      </c>
      <c r="J494" s="41">
        <f>IF(Tabela1716[[#This Row],[Housing Starts]]="",#N/A,((Tabela1716[[#This Row],[Housing Starts]]*1)/H482)-1)</f>
        <v>2.3498694516971286E-2</v>
      </c>
      <c r="K494" s="33">
        <v>849689</v>
      </c>
      <c r="L494" s="41">
        <f>IF(Tabela1716[[#This Row],[Total Construction Spending]]="",#N/A,((Tabela1716[[#This Row],[Total Construction Spending]]*1)/K482)-1)</f>
        <v>4.7039121841097487E-2</v>
      </c>
      <c r="M494" s="31">
        <v>5490</v>
      </c>
      <c r="N494" s="41">
        <f>IF(Tabela1716[[#This Row],[Existing Home Sales]]="",#N/A,((Tabela1716[[#This Row],[Existing Home Sales]]*1)/M482)-1)</f>
        <v>7.6470588235294068E-2</v>
      </c>
      <c r="O494" s="33">
        <v>979</v>
      </c>
      <c r="P494" s="41">
        <f>IF(Tabela1716[[#This Row],[New House Sales]]="",#N/A,((Tabela1716[[#This Row],[New House Sales]]*1)/O493)-1)</f>
        <v>5.9523809523809534E-2</v>
      </c>
      <c r="Q494" s="41">
        <f>IF(Tabela1716[[#This Row],[New House Sales]]="",#N/A,((Tabela1716[[#This Row],[New House Sales]]*1)/O482)-1)</f>
        <v>-4.0691759918616288E-3</v>
      </c>
      <c r="R494" s="27">
        <v>3.8</v>
      </c>
      <c r="S494" s="86">
        <v>116.056</v>
      </c>
      <c r="T494" s="41">
        <f>IF(Tabela1716[[#This Row],[S&amp;P/Case-Shiller Home Price Index]]="",#N/A,((Tabela1716[[#This Row],[S&amp;P/Case-Shiller Home Price Index]]*1)/S493)-1)</f>
        <v>1.8732896520170517E-3</v>
      </c>
      <c r="U494" s="41">
        <f>IF(Tabela1716[[#This Row],[S&amp;P/Case-Shiller Home Price Index]]="",#N/A,((Tabela1716[[#This Row],[S&amp;P/Case-Shiller Home Price Index]]*1)/S482)-1)</f>
        <v>6.6779421091818225E-2</v>
      </c>
      <c r="V494" s="37"/>
      <c r="W494" s="9"/>
      <c r="X494" s="9"/>
    </row>
    <row r="495" spans="1:24" ht="12.75">
      <c r="A495" s="12">
        <v>37257</v>
      </c>
      <c r="B495" s="26">
        <v>6.96</v>
      </c>
      <c r="C495" s="29">
        <v>58</v>
      </c>
      <c r="D495" s="33">
        <v>1665</v>
      </c>
      <c r="E495" s="41">
        <f>IF(Tabela1716[[#This Row],[Building Permits]]="",#N/A,((Tabela1716[[#This Row],[Building Permits]]*1)/D483)-1)</f>
        <v>-2.0011771630370823E-2</v>
      </c>
      <c r="F495" s="33">
        <v>996</v>
      </c>
      <c r="G495" s="41">
        <f>IF(Tabela1716[[#This Row],[Houses Under Construction]]="",#N/A,((Tabela1716[[#This Row],[Houses Under Construction]]*1)/F483)-1)</f>
        <v>1.0141987829614507E-2</v>
      </c>
      <c r="H495" s="33">
        <v>1698</v>
      </c>
      <c r="I495" s="33">
        <f>IF(Tabela1716[[#This Row],[Housing Starts]]="",#N/A,Tabela1716[[#This Row],[Housing Starts]]-H494)</f>
        <v>130</v>
      </c>
      <c r="J495" s="41">
        <f>IF(Tabela1716[[#This Row],[Housing Starts]]="",#N/A,((Tabela1716[[#This Row],[Housing Starts]]*1)/H483)-1)</f>
        <v>6.1250000000000027E-2</v>
      </c>
      <c r="K495" s="33">
        <v>858654</v>
      </c>
      <c r="L495" s="41">
        <f>IF(Tabela1716[[#This Row],[Total Construction Spending]]="",#N/A,((Tabela1716[[#This Row],[Total Construction Spending]]*1)/K483)-1)</f>
        <v>5.4237125819081911E-2</v>
      </c>
      <c r="M495" s="31">
        <v>5860</v>
      </c>
      <c r="N495" s="41">
        <f>IF(Tabela1716[[#This Row],[Existing Home Sales]]="",#N/A,((Tabela1716[[#This Row],[Existing Home Sales]]*1)/M483)-1)</f>
        <v>0.14901960784313717</v>
      </c>
      <c r="O495" s="33">
        <v>880</v>
      </c>
      <c r="P495" s="41">
        <f>IF(Tabela1716[[#This Row],[New House Sales]]="",#N/A,((Tabela1716[[#This Row],[New House Sales]]*1)/O494)-1)</f>
        <v>-0.101123595505618</v>
      </c>
      <c r="Q495" s="41">
        <f>IF(Tabela1716[[#This Row],[New House Sales]]="",#N/A,((Tabela1716[[#This Row],[New House Sales]]*1)/O483)-1)</f>
        <v>-5.9829059829059839E-2</v>
      </c>
      <c r="R495" s="27">
        <v>4.2</v>
      </c>
      <c r="S495" s="86">
        <v>116.43700000000001</v>
      </c>
      <c r="T495" s="41">
        <f>IF(Tabela1716[[#This Row],[S&amp;P/Case-Shiller Home Price Index]]="",#N/A,((Tabela1716[[#This Row],[S&amp;P/Case-Shiller Home Price Index]]*1)/S494)-1)</f>
        <v>3.2828979113532775E-3</v>
      </c>
      <c r="U495" s="41">
        <f>IF(Tabela1716[[#This Row],[S&amp;P/Case-Shiller Home Price Index]]="",#N/A,((Tabela1716[[#This Row],[S&amp;P/Case-Shiller Home Price Index]]*1)/S483)-1)</f>
        <v>6.6136209643452348E-2</v>
      </c>
      <c r="V495" s="39"/>
      <c r="W495" s="9"/>
      <c r="X495" s="9"/>
    </row>
    <row r="496" spans="1:24" ht="12.75">
      <c r="A496" s="12">
        <v>37288</v>
      </c>
      <c r="B496" s="26">
        <v>6.81</v>
      </c>
      <c r="C496" s="29">
        <v>58</v>
      </c>
      <c r="D496" s="33">
        <v>1787</v>
      </c>
      <c r="E496" s="41">
        <f>IF(Tabela1716[[#This Row],[Building Permits]]="",#N/A,((Tabela1716[[#This Row],[Building Permits]]*1)/D484)-1)</f>
        <v>7.9106280193236733E-2</v>
      </c>
      <c r="F496" s="33">
        <v>1005</v>
      </c>
      <c r="G496" s="41">
        <f>IF(Tabela1716[[#This Row],[Houses Under Construction]]="",#N/A,((Tabela1716[[#This Row],[Houses Under Construction]]*1)/F484)-1)</f>
        <v>1.8237082066869359E-2</v>
      </c>
      <c r="H496" s="33">
        <v>1829</v>
      </c>
      <c r="I496" s="33">
        <f>IF(Tabela1716[[#This Row],[Housing Starts]]="",#N/A,Tabela1716[[#This Row],[Housing Starts]]-H495)</f>
        <v>131</v>
      </c>
      <c r="J496" s="41">
        <f>IF(Tabela1716[[#This Row],[Housing Starts]]="",#N/A,((Tabela1716[[#This Row],[Housing Starts]]*1)/H484)-1)</f>
        <v>0.1255384615384616</v>
      </c>
      <c r="K496" s="33">
        <v>862338</v>
      </c>
      <c r="L496" s="41">
        <f>IF(Tabela1716[[#This Row],[Total Construction Spending]]="",#N/A,((Tabela1716[[#This Row],[Total Construction Spending]]*1)/K484)-1)</f>
        <v>5.9842904846942213E-2</v>
      </c>
      <c r="M496" s="31">
        <v>5900</v>
      </c>
      <c r="N496" s="41">
        <f>IF(Tabela1716[[#This Row],[Existing Home Sales]]="",#N/A,((Tabela1716[[#This Row],[Existing Home Sales]]*1)/M484)-1)</f>
        <v>0.12810707456978965</v>
      </c>
      <c r="O496" s="33">
        <v>948</v>
      </c>
      <c r="P496" s="41">
        <f>IF(Tabela1716[[#This Row],[New House Sales]]="",#N/A,((Tabela1716[[#This Row],[New House Sales]]*1)/O495)-1)</f>
        <v>7.7272727272727382E-2</v>
      </c>
      <c r="Q496" s="41">
        <f>IF(Tabela1716[[#This Row],[New House Sales]]="",#N/A,((Tabela1716[[#This Row],[New House Sales]]*1)/O484)-1)</f>
        <v>-1.5576323987538943E-2</v>
      </c>
      <c r="R496" s="27">
        <v>4</v>
      </c>
      <c r="S496" s="86">
        <v>116.916</v>
      </c>
      <c r="T496" s="41">
        <f>IF(Tabela1716[[#This Row],[S&amp;P/Case-Shiller Home Price Index]]="",#N/A,((Tabela1716[[#This Row],[S&amp;P/Case-Shiller Home Price Index]]*1)/S495)-1)</f>
        <v>4.113812619699786E-3</v>
      </c>
      <c r="U496" s="41">
        <f>IF(Tabela1716[[#This Row],[S&amp;P/Case-Shiller Home Price Index]]="",#N/A,((Tabela1716[[#This Row],[S&amp;P/Case-Shiller Home Price Index]]*1)/S484)-1)</f>
        <v>6.6343189653599755E-2</v>
      </c>
      <c r="V496" s="37"/>
      <c r="W496" s="9"/>
      <c r="X496" s="9"/>
    </row>
    <row r="497" spans="1:24" ht="12.75">
      <c r="A497" s="12">
        <v>37316</v>
      </c>
      <c r="B497" s="26">
        <v>7.18</v>
      </c>
      <c r="C497" s="29">
        <v>62</v>
      </c>
      <c r="D497" s="33">
        <v>1691</v>
      </c>
      <c r="E497" s="41">
        <f>IF(Tabela1716[[#This Row],[Building Permits]]="",#N/A,((Tabela1716[[#This Row],[Building Permits]]*1)/D485)-1)</f>
        <v>1.9288728149487566E-2</v>
      </c>
      <c r="F497" s="33">
        <v>1013</v>
      </c>
      <c r="G497" s="41">
        <f>IF(Tabela1716[[#This Row],[Houses Under Construction]]="",#N/A,((Tabela1716[[#This Row],[Houses Under Construction]]*1)/F485)-1)</f>
        <v>1.1988011988012026E-2</v>
      </c>
      <c r="H497" s="33">
        <v>1642</v>
      </c>
      <c r="I497" s="33">
        <f>IF(Tabela1716[[#This Row],[Housing Starts]]="",#N/A,Tabela1716[[#This Row],[Housing Starts]]-H496)</f>
        <v>-187</v>
      </c>
      <c r="J497" s="41">
        <f>IF(Tabela1716[[#This Row],[Housing Starts]]="",#N/A,((Tabela1716[[#This Row],[Housing Starts]]*1)/H485)-1)</f>
        <v>3.2704402515723263E-2</v>
      </c>
      <c r="K497" s="33">
        <v>844551</v>
      </c>
      <c r="L497" s="41">
        <f>IF(Tabela1716[[#This Row],[Total Construction Spending]]="",#N/A,((Tabela1716[[#This Row],[Total Construction Spending]]*1)/K485)-1)</f>
        <v>1.9918918625167148E-2</v>
      </c>
      <c r="M497" s="31">
        <v>5630</v>
      </c>
      <c r="N497" s="41">
        <f>IF(Tabela1716[[#This Row],[Existing Home Sales]]="",#N/A,((Tabela1716[[#This Row],[Existing Home Sales]]*1)/M485)-1)</f>
        <v>3.3027522935779707E-2</v>
      </c>
      <c r="O497" s="33">
        <v>923</v>
      </c>
      <c r="P497" s="41">
        <f>IF(Tabela1716[[#This Row],[New House Sales]]="",#N/A,((Tabela1716[[#This Row],[New House Sales]]*1)/O496)-1)</f>
        <v>-2.6371308016877593E-2</v>
      </c>
      <c r="Q497" s="41">
        <f>IF(Tabela1716[[#This Row],[New House Sales]]="",#N/A,((Tabela1716[[#This Row],[New House Sales]]*1)/O485)-1)</f>
        <v>-1.7039403620873306E-2</v>
      </c>
      <c r="R497" s="27">
        <v>4.0999999999999996</v>
      </c>
      <c r="S497" s="86">
        <v>117.929</v>
      </c>
      <c r="T497" s="41">
        <f>IF(Tabela1716[[#This Row],[S&amp;P/Case-Shiller Home Price Index]]="",#N/A,((Tabela1716[[#This Row],[S&amp;P/Case-Shiller Home Price Index]]*1)/S496)-1)</f>
        <v>8.6643402100654576E-3</v>
      </c>
      <c r="U497" s="41">
        <f>IF(Tabela1716[[#This Row],[S&amp;P/Case-Shiller Home Price Index]]="",#N/A,((Tabela1716[[#This Row],[S&amp;P/Case-Shiller Home Price Index]]*1)/S485)-1)</f>
        <v>6.8255521133395058E-2</v>
      </c>
      <c r="V497" s="39"/>
      <c r="W497" s="9"/>
      <c r="X497" s="9"/>
    </row>
    <row r="498" spans="1:24" ht="12.75">
      <c r="A498" s="12">
        <v>37347</v>
      </c>
      <c r="B498" s="26">
        <v>6.88</v>
      </c>
      <c r="C498" s="29">
        <v>61</v>
      </c>
      <c r="D498" s="33">
        <v>1669</v>
      </c>
      <c r="E498" s="41">
        <f>IF(Tabela1716[[#This Row],[Building Permits]]="",#N/A,((Tabela1716[[#This Row],[Building Permits]]*1)/D486)-1)</f>
        <v>1.8007202881151763E-3</v>
      </c>
      <c r="F498" s="33">
        <v>1011</v>
      </c>
      <c r="G498" s="41">
        <f>IF(Tabela1716[[#This Row],[Houses Under Construction]]="",#N/A,((Tabela1716[[#This Row],[Houses Under Construction]]*1)/F486)-1)</f>
        <v>3.9721946375372852E-3</v>
      </c>
      <c r="H498" s="33">
        <v>1592</v>
      </c>
      <c r="I498" s="33">
        <f>IF(Tabela1716[[#This Row],[Housing Starts]]="",#N/A,Tabela1716[[#This Row],[Housing Starts]]-H497)</f>
        <v>-50</v>
      </c>
      <c r="J498" s="41">
        <f>IF(Tabela1716[[#This Row],[Housing Starts]]="",#N/A,((Tabela1716[[#This Row],[Housing Starts]]*1)/H486)-1)</f>
        <v>-3.4566403881140073E-2</v>
      </c>
      <c r="K498" s="33">
        <v>858240</v>
      </c>
      <c r="L498" s="41">
        <f>IF(Tabela1716[[#This Row],[Total Construction Spending]]="",#N/A,((Tabela1716[[#This Row],[Total Construction Spending]]*1)/K486)-1)</f>
        <v>1.881309414144483E-2</v>
      </c>
      <c r="M498" s="31">
        <v>5670</v>
      </c>
      <c r="N498" s="41">
        <f>IF(Tabela1716[[#This Row],[Existing Home Sales]]="",#N/A,((Tabela1716[[#This Row],[Existing Home Sales]]*1)/M486)-1)</f>
        <v>6.578947368421062E-2</v>
      </c>
      <c r="O498" s="33">
        <v>936</v>
      </c>
      <c r="P498" s="41">
        <f>IF(Tabela1716[[#This Row],[New House Sales]]="",#N/A,((Tabela1716[[#This Row],[New House Sales]]*1)/O497)-1)</f>
        <v>1.4084507042253502E-2</v>
      </c>
      <c r="Q498" s="41">
        <f>IF(Tabela1716[[#This Row],[New House Sales]]="",#N/A,((Tabela1716[[#This Row],[New House Sales]]*1)/O486)-1)</f>
        <v>2.9702970297029729E-2</v>
      </c>
      <c r="R498" s="27">
        <v>4.3</v>
      </c>
      <c r="S498" s="86">
        <v>119.208</v>
      </c>
      <c r="T498" s="41">
        <f>IF(Tabela1716[[#This Row],[S&amp;P/Case-Shiller Home Price Index]]="",#N/A,((Tabela1716[[#This Row],[S&amp;P/Case-Shiller Home Price Index]]*1)/S497)-1)</f>
        <v>1.0845508738308585E-2</v>
      </c>
      <c r="U498" s="41">
        <f>IF(Tabela1716[[#This Row],[S&amp;P/Case-Shiller Home Price Index]]="",#N/A,((Tabela1716[[#This Row],[S&amp;P/Case-Shiller Home Price Index]]*1)/S486)-1)</f>
        <v>7.1551848123112327E-2</v>
      </c>
      <c r="V498" s="37"/>
      <c r="W498" s="9"/>
      <c r="X498" s="9"/>
    </row>
    <row r="499" spans="1:24" ht="12.75">
      <c r="A499" s="12">
        <v>37377</v>
      </c>
      <c r="B499" s="26">
        <v>6.76</v>
      </c>
      <c r="C499" s="29">
        <v>61</v>
      </c>
      <c r="D499" s="33">
        <v>1716</v>
      </c>
      <c r="E499" s="41">
        <f>IF(Tabela1716[[#This Row],[Building Permits]]="",#N/A,((Tabela1716[[#This Row],[Building Permits]]*1)/D487)-1)</f>
        <v>3.063063063063054E-2</v>
      </c>
      <c r="F499" s="33">
        <v>1019</v>
      </c>
      <c r="G499" s="41">
        <f>IF(Tabela1716[[#This Row],[Houses Under Construction]]="",#N/A,((Tabela1716[[#This Row],[Houses Under Construction]]*1)/F487)-1)</f>
        <v>3.9408866995074288E-3</v>
      </c>
      <c r="H499" s="33">
        <v>1764</v>
      </c>
      <c r="I499" s="33">
        <f>IF(Tabela1716[[#This Row],[Housing Starts]]="",#N/A,Tabela1716[[#This Row],[Housing Starts]]-H498)</f>
        <v>172</v>
      </c>
      <c r="J499" s="41">
        <f>IF(Tabela1716[[#This Row],[Housing Starts]]="",#N/A,((Tabela1716[[#This Row],[Housing Starts]]*1)/H487)-1)</f>
        <v>9.9065420560747741E-2</v>
      </c>
      <c r="K499" s="33">
        <v>850935</v>
      </c>
      <c r="L499" s="41">
        <f>IF(Tabela1716[[#This Row],[Total Construction Spending]]="",#N/A,((Tabela1716[[#This Row],[Total Construction Spending]]*1)/K487)-1)</f>
        <v>3.2883489399231358E-3</v>
      </c>
      <c r="M499" s="31">
        <v>5640</v>
      </c>
      <c r="N499" s="41">
        <f>IF(Tabela1716[[#This Row],[Existing Home Sales]]="",#N/A,((Tabela1716[[#This Row],[Existing Home Sales]]*1)/M487)-1)</f>
        <v>7.0208728652751518E-2</v>
      </c>
      <c r="O499" s="33">
        <v>978</v>
      </c>
      <c r="P499" s="41">
        <f>IF(Tabela1716[[#This Row],[New House Sales]]="",#N/A,((Tabela1716[[#This Row],[New House Sales]]*1)/O498)-1)</f>
        <v>4.4871794871794934E-2</v>
      </c>
      <c r="Q499" s="41">
        <f>IF(Tabela1716[[#This Row],[New House Sales]]="",#N/A,((Tabela1716[[#This Row],[New House Sales]]*1)/O487)-1)</f>
        <v>0.10508474576271176</v>
      </c>
      <c r="R499" s="27">
        <v>4</v>
      </c>
      <c r="S499" s="86">
        <v>120.788</v>
      </c>
      <c r="T499" s="41">
        <f>IF(Tabela1716[[#This Row],[S&amp;P/Case-Shiller Home Price Index]]="",#N/A,((Tabela1716[[#This Row],[S&amp;P/Case-Shiller Home Price Index]]*1)/S498)-1)</f>
        <v>1.3254144017180058E-2</v>
      </c>
      <c r="U499" s="41">
        <f>IF(Tabela1716[[#This Row],[S&amp;P/Case-Shiller Home Price Index]]="",#N/A,((Tabela1716[[#This Row],[S&amp;P/Case-Shiller Home Price Index]]*1)/S487)-1)</f>
        <v>7.6513105710185991E-2</v>
      </c>
      <c r="V499" s="39"/>
      <c r="W499" s="9"/>
      <c r="X499" s="9"/>
    </row>
    <row r="500" spans="1:24" ht="12.75">
      <c r="A500" s="12">
        <v>37408</v>
      </c>
      <c r="B500" s="26">
        <v>6.55</v>
      </c>
      <c r="C500" s="29">
        <v>61</v>
      </c>
      <c r="D500" s="33">
        <v>1758</v>
      </c>
      <c r="E500" s="41">
        <f>IF(Tabela1716[[#This Row],[Building Permits]]="",#N/A,((Tabela1716[[#This Row],[Building Permits]]*1)/D488)-1)</f>
        <v>8.1180811808118092E-2</v>
      </c>
      <c r="F500" s="33">
        <v>1023</v>
      </c>
      <c r="G500" s="41">
        <f>IF(Tabela1716[[#This Row],[Houses Under Construction]]="",#N/A,((Tabela1716[[#This Row],[Houses Under Construction]]*1)/F488)-1)</f>
        <v>9.8716683119446369E-3</v>
      </c>
      <c r="H500" s="33">
        <v>1717</v>
      </c>
      <c r="I500" s="33">
        <f>IF(Tabela1716[[#This Row],[Housing Starts]]="",#N/A,Tabela1716[[#This Row],[Housing Starts]]-H499)</f>
        <v>-47</v>
      </c>
      <c r="J500" s="41">
        <f>IF(Tabela1716[[#This Row],[Housing Starts]]="",#N/A,((Tabela1716[[#This Row],[Housing Starts]]*1)/H488)-1)</f>
        <v>4.9511002444987851E-2</v>
      </c>
      <c r="K500" s="33">
        <v>846777</v>
      </c>
      <c r="L500" s="41">
        <f>IF(Tabela1716[[#This Row],[Total Construction Spending]]="",#N/A,((Tabela1716[[#This Row],[Total Construction Spending]]*1)/K488)-1)</f>
        <v>-1.0462412209458538E-2</v>
      </c>
      <c r="M500" s="31">
        <v>5510</v>
      </c>
      <c r="N500" s="41">
        <f>IF(Tabela1716[[#This Row],[Existing Home Sales]]="",#N/A,((Tabela1716[[#This Row],[Existing Home Sales]]*1)/M488)-1)</f>
        <v>1.4732965009208066E-2</v>
      </c>
      <c r="O500" s="33">
        <v>957</v>
      </c>
      <c r="P500" s="41">
        <f>IF(Tabela1716[[#This Row],[New House Sales]]="",#N/A,((Tabela1716[[#This Row],[New House Sales]]*1)/O499)-1)</f>
        <v>-2.1472392638036797E-2</v>
      </c>
      <c r="Q500" s="41">
        <f>IF(Tabela1716[[#This Row],[New House Sales]]="",#N/A,((Tabela1716[[#This Row],[New House Sales]]*1)/O488)-1)</f>
        <v>8.503401360544216E-2</v>
      </c>
      <c r="R500" s="27">
        <v>4.2</v>
      </c>
      <c r="S500" s="86">
        <v>122.333</v>
      </c>
      <c r="T500" s="41">
        <f>IF(Tabela1716[[#This Row],[S&amp;P/Case-Shiller Home Price Index]]="",#N/A,((Tabela1716[[#This Row],[S&amp;P/Case-Shiller Home Price Index]]*1)/S499)-1)</f>
        <v>1.2791005729045901E-2</v>
      </c>
      <c r="U500" s="41">
        <f>IF(Tabela1716[[#This Row],[S&amp;P/Case-Shiller Home Price Index]]="",#N/A,((Tabela1716[[#This Row],[S&amp;P/Case-Shiller Home Price Index]]*1)/S488)-1)</f>
        <v>7.9993290486616297E-2</v>
      </c>
      <c r="V500" s="37"/>
      <c r="W500" s="9"/>
      <c r="X500" s="9"/>
    </row>
    <row r="501" spans="1:24" ht="12.75">
      <c r="A501" s="12">
        <v>37438</v>
      </c>
      <c r="B501" s="26">
        <v>6.34</v>
      </c>
      <c r="C501" s="29">
        <v>61</v>
      </c>
      <c r="D501" s="33">
        <v>1738</v>
      </c>
      <c r="E501" s="41">
        <f>IF(Tabela1716[[#This Row],[Building Permits]]="",#N/A,((Tabela1716[[#This Row],[Building Permits]]*1)/D489)-1)</f>
        <v>8.7609511889862324E-2</v>
      </c>
      <c r="F501" s="33">
        <v>1029</v>
      </c>
      <c r="G501" s="41">
        <f>IF(Tabela1716[[#This Row],[Houses Under Construction]]="",#N/A,((Tabela1716[[#This Row],[Houses Under Construction]]*1)/F489)-1)</f>
        <v>1.1799410029498469E-2</v>
      </c>
      <c r="H501" s="33">
        <v>1655</v>
      </c>
      <c r="I501" s="33">
        <f>IF(Tabela1716[[#This Row],[Housing Starts]]="",#N/A,Tabela1716[[#This Row],[Housing Starts]]-H500)</f>
        <v>-62</v>
      </c>
      <c r="J501" s="41">
        <f>IF(Tabela1716[[#This Row],[Housing Starts]]="",#N/A,((Tabela1716[[#This Row],[Housing Starts]]*1)/H489)-1)</f>
        <v>-8.9820359281437279E-3</v>
      </c>
      <c r="K501" s="33">
        <v>847129</v>
      </c>
      <c r="L501" s="41">
        <f>IF(Tabela1716[[#This Row],[Total Construction Spending]]="",#N/A,((Tabela1716[[#This Row],[Total Construction Spending]]*1)/K489)-1)</f>
        <v>-3.9295872522402409E-3</v>
      </c>
      <c r="M501" s="31">
        <v>5410</v>
      </c>
      <c r="N501" s="41">
        <f>IF(Tabela1716[[#This Row],[Existing Home Sales]]="",#N/A,((Tabela1716[[#This Row],[Existing Home Sales]]*1)/M489)-1)</f>
        <v>-3.6832412523020164E-3</v>
      </c>
      <c r="O501" s="33">
        <v>956</v>
      </c>
      <c r="P501" s="41">
        <f>IF(Tabela1716[[#This Row],[New House Sales]]="",#N/A,((Tabela1716[[#This Row],[New House Sales]]*1)/O500)-1)</f>
        <v>-1.0449320794148065E-3</v>
      </c>
      <c r="Q501" s="41">
        <f>IF(Tabela1716[[#This Row],[New House Sales]]="",#N/A,((Tabela1716[[#This Row],[New House Sales]]*1)/O489)-1)</f>
        <v>8.636363636363642E-2</v>
      </c>
      <c r="R501" s="27">
        <v>4.2</v>
      </c>
      <c r="S501" s="86">
        <v>123.68700000000001</v>
      </c>
      <c r="T501" s="41">
        <f>IF(Tabela1716[[#This Row],[S&amp;P/Case-Shiller Home Price Index]]="",#N/A,((Tabela1716[[#This Row],[S&amp;P/Case-Shiller Home Price Index]]*1)/S500)-1)</f>
        <v>1.1068150049455383E-2</v>
      </c>
      <c r="U501" s="41">
        <f>IF(Tabela1716[[#This Row],[S&amp;P/Case-Shiller Home Price Index]]="",#N/A,((Tabela1716[[#This Row],[S&amp;P/Case-Shiller Home Price Index]]*1)/S489)-1)</f>
        <v>8.2827027121671115E-2</v>
      </c>
      <c r="V501" s="39"/>
      <c r="W501" s="9"/>
      <c r="X501" s="9"/>
    </row>
    <row r="502" spans="1:24" ht="12.75">
      <c r="A502" s="12">
        <v>37469</v>
      </c>
      <c r="B502" s="26">
        <v>6.22</v>
      </c>
      <c r="C502" s="29">
        <v>55</v>
      </c>
      <c r="D502" s="33">
        <v>1695</v>
      </c>
      <c r="E502" s="41">
        <f>IF(Tabela1716[[#This Row],[Building Permits]]="",#N/A,((Tabela1716[[#This Row],[Building Permits]]*1)/D490)-1)</f>
        <v>4.9535603715170184E-2</v>
      </c>
      <c r="F502" s="33">
        <v>1013</v>
      </c>
      <c r="G502" s="41">
        <f>IF(Tabela1716[[#This Row],[Houses Under Construction]]="",#N/A,((Tabela1716[[#This Row],[Houses Under Construction]]*1)/F490)-1)</f>
        <v>1.9782393669633969E-3</v>
      </c>
      <c r="H502" s="33">
        <v>1633</v>
      </c>
      <c r="I502" s="33">
        <f>IF(Tabela1716[[#This Row],[Housing Starts]]="",#N/A,Tabela1716[[#This Row],[Housing Starts]]-H501)</f>
        <v>-22</v>
      </c>
      <c r="J502" s="41">
        <f>IF(Tabela1716[[#This Row],[Housing Starts]]="",#N/A,((Tabela1716[[#This Row],[Housing Starts]]*1)/H490)-1)</f>
        <v>4.2118698149330003E-2</v>
      </c>
      <c r="K502" s="33">
        <v>839008</v>
      </c>
      <c r="L502" s="41">
        <f>IF(Tabela1716[[#This Row],[Total Construction Spending]]="",#N/A,((Tabela1716[[#This Row],[Total Construction Spending]]*1)/K490)-1)</f>
        <v>-9.979173181193346E-3</v>
      </c>
      <c r="M502" s="31">
        <v>5360</v>
      </c>
      <c r="N502" s="41">
        <f>IF(Tabela1716[[#This Row],[Existing Home Sales]]="",#N/A,((Tabela1716[[#This Row],[Existing Home Sales]]*1)/M490)-1)</f>
        <v>-2.1897810218978075E-2</v>
      </c>
      <c r="O502" s="33">
        <v>1014</v>
      </c>
      <c r="P502" s="41">
        <f>IF(Tabela1716[[#This Row],[New House Sales]]="",#N/A,((Tabela1716[[#This Row],[New House Sales]]*1)/O501)-1)</f>
        <v>6.0669456066945626E-2</v>
      </c>
      <c r="Q502" s="41">
        <f>IF(Tabela1716[[#This Row],[New House Sales]]="",#N/A,((Tabela1716[[#This Row],[New House Sales]]*1)/O490)-1)</f>
        <v>0.17090069284064668</v>
      </c>
      <c r="R502" s="27">
        <v>4</v>
      </c>
      <c r="S502" s="86">
        <v>124.729</v>
      </c>
      <c r="T502" s="41">
        <f>IF(Tabela1716[[#This Row],[S&amp;P/Case-Shiller Home Price Index]]="",#N/A,((Tabela1716[[#This Row],[S&amp;P/Case-Shiller Home Price Index]]*1)/S501)-1)</f>
        <v>8.4244908519084394E-3</v>
      </c>
      <c r="U502" s="41">
        <f>IF(Tabela1716[[#This Row],[S&amp;P/Case-Shiller Home Price Index]]="",#N/A,((Tabela1716[[#This Row],[S&amp;P/Case-Shiller Home Price Index]]*1)/S490)-1)</f>
        <v>8.4713187463039574E-2</v>
      </c>
      <c r="V502" s="37"/>
      <c r="W502" s="9"/>
      <c r="X502" s="9"/>
    </row>
    <row r="503" spans="1:24" ht="12.75">
      <c r="A503" s="12">
        <v>37500</v>
      </c>
      <c r="B503" s="26">
        <v>5.99</v>
      </c>
      <c r="C503" s="29">
        <v>63</v>
      </c>
      <c r="D503" s="33">
        <v>1803</v>
      </c>
      <c r="E503" s="41">
        <f>IF(Tabela1716[[#This Row],[Building Permits]]="",#N/A,((Tabela1716[[#This Row],[Building Permits]]*1)/D491)-1)</f>
        <v>0.15207667731629404</v>
      </c>
      <c r="F503" s="33">
        <v>1024</v>
      </c>
      <c r="G503" s="41">
        <f>IF(Tabela1716[[#This Row],[Houses Under Construction]]="",#N/A,((Tabela1716[[#This Row],[Houses Under Construction]]*1)/F491)-1)</f>
        <v>9.8619329388560661E-3</v>
      </c>
      <c r="H503" s="33">
        <v>1804</v>
      </c>
      <c r="I503" s="33">
        <f>IF(Tabela1716[[#This Row],[Housing Starts]]="",#N/A,Tabela1716[[#This Row],[Housing Starts]]-H502)</f>
        <v>171</v>
      </c>
      <c r="J503" s="41">
        <f>IF(Tabela1716[[#This Row],[Housing Starts]]="",#N/A,((Tabela1716[[#This Row],[Housing Starts]]*1)/H491)-1)</f>
        <v>0.15492957746478875</v>
      </c>
      <c r="K503" s="33">
        <v>832134</v>
      </c>
      <c r="L503" s="41">
        <f>IF(Tabela1716[[#This Row],[Total Construction Spending]]="",#N/A,((Tabela1716[[#This Row],[Total Construction Spending]]*1)/K491)-1)</f>
        <v>-6.3027518115336134E-3</v>
      </c>
      <c r="M503" s="31">
        <v>5520</v>
      </c>
      <c r="N503" s="41">
        <f>IF(Tabela1716[[#This Row],[Existing Home Sales]]="",#N/A,((Tabela1716[[#This Row],[Existing Home Sales]]*1)/M491)-1)</f>
        <v>5.5449330783938766E-2</v>
      </c>
      <c r="O503" s="33">
        <v>1044</v>
      </c>
      <c r="P503" s="41">
        <f>IF(Tabela1716[[#This Row],[New House Sales]]="",#N/A,((Tabela1716[[#This Row],[New House Sales]]*1)/O502)-1)</f>
        <v>2.9585798816567976E-2</v>
      </c>
      <c r="Q503" s="41">
        <f>IF(Tabela1716[[#This Row],[New House Sales]]="",#N/A,((Tabela1716[[#This Row],[New House Sales]]*1)/O491)-1)</f>
        <v>0.22391559202813593</v>
      </c>
      <c r="R503" s="27">
        <v>3.9</v>
      </c>
      <c r="S503" s="86">
        <v>125.494</v>
      </c>
      <c r="T503" s="41">
        <f>IF(Tabela1716[[#This Row],[S&amp;P/Case-Shiller Home Price Index]]="",#N/A,((Tabela1716[[#This Row],[S&amp;P/Case-Shiller Home Price Index]]*1)/S502)-1)</f>
        <v>6.1332969878697963E-3</v>
      </c>
      <c r="U503" s="41">
        <f>IF(Tabela1716[[#This Row],[S&amp;P/Case-Shiller Home Price Index]]="",#N/A,((Tabela1716[[#This Row],[S&amp;P/Case-Shiller Home Price Index]]*1)/S491)-1)</f>
        <v>8.6857489282466505E-2</v>
      </c>
      <c r="V503" s="39"/>
      <c r="W503" s="9"/>
      <c r="X503" s="9"/>
    </row>
    <row r="504" spans="1:24" ht="12.75">
      <c r="A504" s="12">
        <v>37530</v>
      </c>
      <c r="B504" s="26">
        <v>6.31</v>
      </c>
      <c r="C504" s="29">
        <v>61</v>
      </c>
      <c r="D504" s="33">
        <v>1799</v>
      </c>
      <c r="E504" s="41">
        <f>IF(Tabela1716[[#This Row],[Building Permits]]="",#N/A,((Tabela1716[[#This Row],[Building Permits]]*1)/D492)-1)</f>
        <v>0.14878671775223506</v>
      </c>
      <c r="F504" s="33">
        <v>1026</v>
      </c>
      <c r="G504" s="41">
        <f>IF(Tabela1716[[#This Row],[Houses Under Construction]]="",#N/A,((Tabela1716[[#This Row],[Houses Under Construction]]*1)/F492)-1)</f>
        <v>1.7857142857142794E-2</v>
      </c>
      <c r="H504" s="33">
        <v>1648</v>
      </c>
      <c r="I504" s="33">
        <f>IF(Tabela1716[[#This Row],[Housing Starts]]="",#N/A,Tabela1716[[#This Row],[Housing Starts]]-H503)</f>
        <v>-156</v>
      </c>
      <c r="J504" s="41">
        <f>IF(Tabela1716[[#This Row],[Housing Starts]]="",#N/A,((Tabela1716[[#This Row],[Housing Starts]]*1)/H492)-1)</f>
        <v>7.0129870129870042E-2</v>
      </c>
      <c r="K504" s="33">
        <v>839690</v>
      </c>
      <c r="L504" s="41">
        <f>IF(Tabela1716[[#This Row],[Total Construction Spending]]="",#N/A,((Tabela1716[[#This Row],[Total Construction Spending]]*1)/K492)-1)</f>
        <v>-7.3894042255902015E-3</v>
      </c>
      <c r="M504" s="31">
        <v>5680</v>
      </c>
      <c r="N504" s="41">
        <f>IF(Tabela1716[[#This Row],[Existing Home Sales]]="",#N/A,((Tabela1716[[#This Row],[Existing Home Sales]]*1)/M492)-1)</f>
        <v>8.1904761904761925E-2</v>
      </c>
      <c r="O504" s="33">
        <v>1006</v>
      </c>
      <c r="P504" s="41">
        <f>IF(Tabela1716[[#This Row],[New House Sales]]="",#N/A,((Tabela1716[[#This Row],[New House Sales]]*1)/O503)-1)</f>
        <v>-3.6398467432950166E-2</v>
      </c>
      <c r="Q504" s="41">
        <f>IF(Tabela1716[[#This Row],[New House Sales]]="",#N/A,((Tabela1716[[#This Row],[New House Sales]]*1)/O492)-1)</f>
        <v>0.1549942594718714</v>
      </c>
      <c r="R504" s="27">
        <v>4</v>
      </c>
      <c r="S504" s="86">
        <v>126.13600000000001</v>
      </c>
      <c r="T504" s="41">
        <f>IF(Tabela1716[[#This Row],[S&amp;P/Case-Shiller Home Price Index]]="",#N/A,((Tabela1716[[#This Row],[S&amp;P/Case-Shiller Home Price Index]]*1)/S503)-1)</f>
        <v>5.1157824278451614E-3</v>
      </c>
      <c r="U504" s="41">
        <f>IF(Tabela1716[[#This Row],[S&amp;P/Case-Shiller Home Price Index]]="",#N/A,((Tabela1716[[#This Row],[S&amp;P/Case-Shiller Home Price Index]]*1)/S492)-1)</f>
        <v>9.0377849430762325E-2</v>
      </c>
      <c r="V504" s="37"/>
      <c r="W504" s="9"/>
      <c r="X504" s="9"/>
    </row>
    <row r="505" spans="1:24" ht="12.75">
      <c r="A505" s="12">
        <v>37561</v>
      </c>
      <c r="B505" s="26">
        <v>6.13</v>
      </c>
      <c r="C505" s="29">
        <v>62</v>
      </c>
      <c r="D505" s="33">
        <v>1771</v>
      </c>
      <c r="E505" s="41">
        <f>IF(Tabela1716[[#This Row],[Building Permits]]="",#N/A,((Tabela1716[[#This Row],[Building Permits]]*1)/D493)-1)</f>
        <v>7.268322228952151E-2</v>
      </c>
      <c r="F505" s="33">
        <v>1031</v>
      </c>
      <c r="G505" s="41">
        <f>IF(Tabela1716[[#This Row],[Houses Under Construction]]="",#N/A,((Tabela1716[[#This Row],[Houses Under Construction]]*1)/F493)-1)</f>
        <v>1.9782393669633969E-2</v>
      </c>
      <c r="H505" s="33">
        <v>1753</v>
      </c>
      <c r="I505" s="33">
        <f>IF(Tabela1716[[#This Row],[Housing Starts]]="",#N/A,Tabela1716[[#This Row],[Housing Starts]]-H504)</f>
        <v>105</v>
      </c>
      <c r="J505" s="41">
        <f>IF(Tabela1716[[#This Row],[Housing Starts]]="",#N/A,((Tabela1716[[#This Row],[Housing Starts]]*1)/H493)-1)</f>
        <v>9.4257178526841345E-2</v>
      </c>
      <c r="K505" s="33">
        <v>844697</v>
      </c>
      <c r="L505" s="41">
        <f>IF(Tabela1716[[#This Row],[Total Construction Spending]]="",#N/A,((Tabela1716[[#This Row],[Total Construction Spending]]*1)/K493)-1)</f>
        <v>9.3137783486652026E-4</v>
      </c>
      <c r="M505" s="31">
        <v>5730</v>
      </c>
      <c r="N505" s="41">
        <f>IF(Tabela1716[[#This Row],[Existing Home Sales]]="",#N/A,((Tabela1716[[#This Row],[Existing Home Sales]]*1)/M493)-1)</f>
        <v>9.3511450381679406E-2</v>
      </c>
      <c r="O505" s="33">
        <v>1024</v>
      </c>
      <c r="P505" s="41">
        <f>IF(Tabela1716[[#This Row],[New House Sales]]="",#N/A,((Tabela1716[[#This Row],[New House Sales]]*1)/O504)-1)</f>
        <v>1.7892644135188762E-2</v>
      </c>
      <c r="Q505" s="41">
        <f>IF(Tabela1716[[#This Row],[New House Sales]]="",#N/A,((Tabela1716[[#This Row],[New House Sales]]*1)/O493)-1)</f>
        <v>0.10822510822510822</v>
      </c>
      <c r="R505" s="27">
        <v>4</v>
      </c>
      <c r="S505" s="86">
        <v>126.64200000000001</v>
      </c>
      <c r="T505" s="41">
        <f>IF(Tabela1716[[#This Row],[S&amp;P/Case-Shiller Home Price Index]]="",#N/A,((Tabela1716[[#This Row],[S&amp;P/Case-Shiller Home Price Index]]*1)/S504)-1)</f>
        <v>4.0115430963405529E-3</v>
      </c>
      <c r="U505" s="41">
        <f>IF(Tabela1716[[#This Row],[S&amp;P/Case-Shiller Home Price Index]]="",#N/A,((Tabela1716[[#This Row],[S&amp;P/Case-Shiller Home Price Index]]*1)/S493)-1)</f>
        <v>9.3258747054101088E-2</v>
      </c>
      <c r="V505" s="39"/>
      <c r="W505" s="9"/>
      <c r="X505" s="9"/>
    </row>
    <row r="506" spans="1:24" ht="12.75">
      <c r="A506" s="12">
        <v>37591</v>
      </c>
      <c r="B506" s="26">
        <v>5.93</v>
      </c>
      <c r="C506" s="29">
        <v>63</v>
      </c>
      <c r="D506" s="33">
        <v>1896</v>
      </c>
      <c r="E506" s="41">
        <f>IF(Tabela1716[[#This Row],[Building Permits]]="",#N/A,((Tabela1716[[#This Row],[Building Permits]]*1)/D494)-1)</f>
        <v>0.12857142857142856</v>
      </c>
      <c r="F506" s="33">
        <v>1033</v>
      </c>
      <c r="G506" s="41">
        <f>IF(Tabela1716[[#This Row],[Houses Under Construction]]="",#N/A,((Tabela1716[[#This Row],[Houses Under Construction]]*1)/F494)-1)</f>
        <v>3.7148594377510058E-2</v>
      </c>
      <c r="H506" s="33">
        <v>1788</v>
      </c>
      <c r="I506" s="33">
        <f>IF(Tabela1716[[#This Row],[Housing Starts]]="",#N/A,Tabela1716[[#This Row],[Housing Starts]]-H505)</f>
        <v>35</v>
      </c>
      <c r="J506" s="41">
        <f>IF(Tabela1716[[#This Row],[Housing Starts]]="",#N/A,((Tabela1716[[#This Row],[Housing Starts]]*1)/H494)-1)</f>
        <v>0.14030612244897966</v>
      </c>
      <c r="K506" s="33">
        <v>855921</v>
      </c>
      <c r="L506" s="41">
        <f>IF(Tabela1716[[#This Row],[Total Construction Spending]]="",#N/A,((Tabela1716[[#This Row],[Total Construction Spending]]*1)/K494)-1)</f>
        <v>7.3344482510659947E-3</v>
      </c>
      <c r="M506" s="31">
        <v>5970</v>
      </c>
      <c r="N506" s="41">
        <f>IF(Tabela1716[[#This Row],[Existing Home Sales]]="",#N/A,((Tabela1716[[#This Row],[Existing Home Sales]]*1)/M494)-1)</f>
        <v>8.7431693989071135E-2</v>
      </c>
      <c r="O506" s="33">
        <v>1048</v>
      </c>
      <c r="P506" s="41">
        <f>IF(Tabela1716[[#This Row],[New House Sales]]="",#N/A,((Tabela1716[[#This Row],[New House Sales]]*1)/O505)-1)</f>
        <v>2.34375E-2</v>
      </c>
      <c r="Q506" s="41">
        <f>IF(Tabela1716[[#This Row],[New House Sales]]="",#N/A,((Tabela1716[[#This Row],[New House Sales]]*1)/O494)-1)</f>
        <v>7.0480081716036702E-2</v>
      </c>
      <c r="R506" s="27">
        <v>4</v>
      </c>
      <c r="S506" s="86">
        <v>127.15100000000001</v>
      </c>
      <c r="T506" s="41">
        <f>IF(Tabela1716[[#This Row],[S&amp;P/Case-Shiller Home Price Index]]="",#N/A,((Tabela1716[[#This Row],[S&amp;P/Case-Shiller Home Price Index]]*1)/S505)-1)</f>
        <v>4.0192037396755698E-3</v>
      </c>
      <c r="U506" s="41">
        <f>IF(Tabela1716[[#This Row],[S&amp;P/Case-Shiller Home Price Index]]="",#N/A,((Tabela1716[[#This Row],[S&amp;P/Case-Shiller Home Price Index]]*1)/S494)-1)</f>
        <v>9.5600399806989866E-2</v>
      </c>
      <c r="V506" s="37"/>
      <c r="W506" s="9"/>
      <c r="X506" s="9"/>
    </row>
    <row r="507" spans="1:24" ht="12.75">
      <c r="A507" s="12">
        <v>37622</v>
      </c>
      <c r="B507" s="26">
        <v>5.9</v>
      </c>
      <c r="C507" s="29">
        <v>62</v>
      </c>
      <c r="D507" s="33">
        <v>1808</v>
      </c>
      <c r="E507" s="41">
        <f>IF(Tabela1716[[#This Row],[Building Permits]]="",#N/A,((Tabela1716[[#This Row],[Building Permits]]*1)/D495)-1)</f>
        <v>8.5885885885885971E-2</v>
      </c>
      <c r="F507" s="33">
        <v>1049</v>
      </c>
      <c r="G507" s="41">
        <f>IF(Tabela1716[[#This Row],[Houses Under Construction]]="",#N/A,((Tabela1716[[#This Row],[Houses Under Construction]]*1)/F495)-1)</f>
        <v>5.3212851405622486E-2</v>
      </c>
      <c r="H507" s="33">
        <v>1853</v>
      </c>
      <c r="I507" s="33">
        <f>IF(Tabela1716[[#This Row],[Housing Starts]]="",#N/A,Tabela1716[[#This Row],[Housing Starts]]-H506)</f>
        <v>65</v>
      </c>
      <c r="J507" s="41">
        <f>IF(Tabela1716[[#This Row],[Housing Starts]]="",#N/A,((Tabela1716[[#This Row],[Housing Starts]]*1)/H495)-1)</f>
        <v>9.1283863368669005E-2</v>
      </c>
      <c r="K507" s="33">
        <v>863855</v>
      </c>
      <c r="L507" s="41">
        <f>IF(Tabela1716[[#This Row],[Total Construction Spending]]="",#N/A,((Tabela1716[[#This Row],[Total Construction Spending]]*1)/K495)-1)</f>
        <v>6.0571545698266949E-3</v>
      </c>
      <c r="M507" s="31">
        <v>6030</v>
      </c>
      <c r="N507" s="41">
        <f>IF(Tabela1716[[#This Row],[Existing Home Sales]]="",#N/A,((Tabela1716[[#This Row],[Existing Home Sales]]*1)/M495)-1)</f>
        <v>2.9010238907849928E-2</v>
      </c>
      <c r="O507" s="33">
        <v>999</v>
      </c>
      <c r="P507" s="41">
        <f>IF(Tabela1716[[#This Row],[New House Sales]]="",#N/A,((Tabela1716[[#This Row],[New House Sales]]*1)/O506)-1)</f>
        <v>-4.6755725190839703E-2</v>
      </c>
      <c r="Q507" s="41">
        <f>IF(Tabela1716[[#This Row],[New House Sales]]="",#N/A,((Tabela1716[[#This Row],[New House Sales]]*1)/O495)-1)</f>
        <v>0.13522727272727275</v>
      </c>
      <c r="R507" s="27">
        <v>4</v>
      </c>
      <c r="S507" s="86">
        <v>127.652</v>
      </c>
      <c r="T507" s="41">
        <f>IF(Tabela1716[[#This Row],[S&amp;P/Case-Shiller Home Price Index]]="",#N/A,((Tabela1716[[#This Row],[S&amp;P/Case-Shiller Home Price Index]]*1)/S506)-1)</f>
        <v>3.9401970885009074E-3</v>
      </c>
      <c r="U507" s="41">
        <f>IF(Tabela1716[[#This Row],[S&amp;P/Case-Shiller Home Price Index]]="",#N/A,((Tabela1716[[#This Row],[S&amp;P/Case-Shiller Home Price Index]]*1)/S495)-1)</f>
        <v>9.6318180647045004E-2</v>
      </c>
      <c r="V507" s="39"/>
      <c r="W507" s="9"/>
      <c r="X507" s="9"/>
    </row>
    <row r="508" spans="1:24" ht="12.75">
      <c r="A508" s="12">
        <v>37653</v>
      </c>
      <c r="B508" s="26">
        <v>5.79</v>
      </c>
      <c r="C508" s="29">
        <v>63</v>
      </c>
      <c r="D508" s="33">
        <v>1854</v>
      </c>
      <c r="E508" s="41">
        <f>IF(Tabela1716[[#This Row],[Building Permits]]="",#N/A,((Tabela1716[[#This Row],[Building Permits]]*1)/D496)-1)</f>
        <v>3.7493005036373761E-2</v>
      </c>
      <c r="F508" s="33">
        <v>1044</v>
      </c>
      <c r="G508" s="41">
        <f>IF(Tabela1716[[#This Row],[Houses Under Construction]]="",#N/A,((Tabela1716[[#This Row],[Houses Under Construction]]*1)/F496)-1)</f>
        <v>3.8805970149253799E-2</v>
      </c>
      <c r="H508" s="33">
        <v>1629</v>
      </c>
      <c r="I508" s="33">
        <f>IF(Tabela1716[[#This Row],[Housing Starts]]="",#N/A,Tabela1716[[#This Row],[Housing Starts]]-H507)</f>
        <v>-224</v>
      </c>
      <c r="J508" s="41">
        <f>IF(Tabela1716[[#This Row],[Housing Starts]]="",#N/A,((Tabela1716[[#This Row],[Housing Starts]]*1)/H496)-1)</f>
        <v>-0.10934937124111532</v>
      </c>
      <c r="K508" s="33">
        <v>859225</v>
      </c>
      <c r="L508" s="41">
        <f>IF(Tabela1716[[#This Row],[Total Construction Spending]]="",#N/A,((Tabela1716[[#This Row],[Total Construction Spending]]*1)/K496)-1)</f>
        <v>-3.6099534057411065E-3</v>
      </c>
      <c r="M508" s="31">
        <v>6020</v>
      </c>
      <c r="N508" s="41">
        <f>IF(Tabela1716[[#This Row],[Existing Home Sales]]="",#N/A,((Tabela1716[[#This Row],[Existing Home Sales]]*1)/M496)-1)</f>
        <v>2.0338983050847359E-2</v>
      </c>
      <c r="O508" s="33">
        <v>936</v>
      </c>
      <c r="P508" s="41">
        <f>IF(Tabela1716[[#This Row],[New House Sales]]="",#N/A,((Tabela1716[[#This Row],[New House Sales]]*1)/O507)-1)</f>
        <v>-6.3063063063063085E-2</v>
      </c>
      <c r="Q508" s="41">
        <f>IF(Tabela1716[[#This Row],[New House Sales]]="",#N/A,((Tabela1716[[#This Row],[New House Sales]]*1)/O496)-1)</f>
        <v>-1.2658227848101222E-2</v>
      </c>
      <c r="R508" s="27">
        <v>4.5</v>
      </c>
      <c r="S508" s="86">
        <v>128.32599999999999</v>
      </c>
      <c r="T508" s="41">
        <f>IF(Tabela1716[[#This Row],[S&amp;P/Case-Shiller Home Price Index]]="",#N/A,((Tabela1716[[#This Row],[S&amp;P/Case-Shiller Home Price Index]]*1)/S507)-1)</f>
        <v>5.2799799454767982E-3</v>
      </c>
      <c r="U508" s="41">
        <f>IF(Tabela1716[[#This Row],[S&amp;P/Case-Shiller Home Price Index]]="",#N/A,((Tabela1716[[#This Row],[S&amp;P/Case-Shiller Home Price Index]]*1)/S496)-1)</f>
        <v>9.7591433165691521E-2</v>
      </c>
      <c r="V508" s="37"/>
      <c r="W508" s="9"/>
      <c r="X508" s="9"/>
    </row>
    <row r="509" spans="1:24" ht="12.75">
      <c r="A509" s="12">
        <v>37681</v>
      </c>
      <c r="B509" s="26">
        <v>5.91</v>
      </c>
      <c r="C509" s="29">
        <v>56</v>
      </c>
      <c r="D509" s="33">
        <v>1757</v>
      </c>
      <c r="E509" s="41">
        <f>IF(Tabela1716[[#This Row],[Building Permits]]="",#N/A,((Tabela1716[[#This Row],[Building Permits]]*1)/D497)-1)</f>
        <v>3.9030159668834941E-2</v>
      </c>
      <c r="F509" s="33">
        <v>1044</v>
      </c>
      <c r="G509" s="41">
        <f>IF(Tabela1716[[#This Row],[Houses Under Construction]]="",#N/A,((Tabela1716[[#This Row],[Houses Under Construction]]*1)/F497)-1)</f>
        <v>3.0602171767028619E-2</v>
      </c>
      <c r="H509" s="33">
        <v>1726</v>
      </c>
      <c r="I509" s="33">
        <f>IF(Tabela1716[[#This Row],[Housing Starts]]="",#N/A,Tabela1716[[#This Row],[Housing Starts]]-H508)</f>
        <v>97</v>
      </c>
      <c r="J509" s="41">
        <f>IF(Tabela1716[[#This Row],[Housing Starts]]="",#N/A,((Tabela1716[[#This Row],[Housing Starts]]*1)/H497)-1)</f>
        <v>5.1157125456759989E-2</v>
      </c>
      <c r="K509" s="33">
        <v>851132</v>
      </c>
      <c r="L509" s="41">
        <f>IF(Tabela1716[[#This Row],[Total Construction Spending]]="",#N/A,((Tabela1716[[#This Row],[Total Construction Spending]]*1)/K497)-1)</f>
        <v>7.7923062076772354E-3</v>
      </c>
      <c r="M509" s="31">
        <v>5860</v>
      </c>
      <c r="N509" s="41">
        <f>IF(Tabela1716[[#This Row],[Existing Home Sales]]="",#N/A,((Tabela1716[[#This Row],[Existing Home Sales]]*1)/M497)-1)</f>
        <v>4.0852575488454779E-2</v>
      </c>
      <c r="O509" s="33">
        <v>999</v>
      </c>
      <c r="P509" s="41">
        <f>IF(Tabela1716[[#This Row],[New House Sales]]="",#N/A,((Tabela1716[[#This Row],[New House Sales]]*1)/O508)-1)</f>
        <v>6.7307692307692291E-2</v>
      </c>
      <c r="Q509" s="41">
        <f>IF(Tabela1716[[#This Row],[New House Sales]]="",#N/A,((Tabela1716[[#This Row],[New House Sales]]*1)/O497)-1)</f>
        <v>8.234019501625145E-2</v>
      </c>
      <c r="R509" s="27">
        <v>4.0999999999999996</v>
      </c>
      <c r="S509" s="86">
        <v>129.30799999999999</v>
      </c>
      <c r="T509" s="41">
        <f>IF(Tabela1716[[#This Row],[S&amp;P/Case-Shiller Home Price Index]]="",#N/A,((Tabela1716[[#This Row],[S&amp;P/Case-Shiller Home Price Index]]*1)/S508)-1)</f>
        <v>7.652385331109901E-3</v>
      </c>
      <c r="U509" s="41">
        <f>IF(Tabela1716[[#This Row],[S&amp;P/Case-Shiller Home Price Index]]="",#N/A,((Tabela1716[[#This Row],[S&amp;P/Case-Shiller Home Price Index]]*1)/S497)-1)</f>
        <v>9.6490261089299478E-2</v>
      </c>
      <c r="V509" s="39"/>
      <c r="W509" s="9"/>
      <c r="X509" s="9"/>
    </row>
    <row r="510" spans="1:24" ht="12.75">
      <c r="A510" s="12">
        <v>37712</v>
      </c>
      <c r="B510" s="26">
        <v>5.79</v>
      </c>
      <c r="C510" s="29">
        <v>55</v>
      </c>
      <c r="D510" s="33">
        <v>1803</v>
      </c>
      <c r="E510" s="41">
        <f>IF(Tabela1716[[#This Row],[Building Permits]]="",#N/A,((Tabela1716[[#This Row],[Building Permits]]*1)/D498)-1)</f>
        <v>8.0287597363690733E-2</v>
      </c>
      <c r="F510" s="33">
        <v>1043</v>
      </c>
      <c r="G510" s="41">
        <f>IF(Tabela1716[[#This Row],[Houses Under Construction]]="",#N/A,((Tabela1716[[#This Row],[Houses Under Construction]]*1)/F498)-1)</f>
        <v>3.165182987141435E-2</v>
      </c>
      <c r="H510" s="33">
        <v>1643</v>
      </c>
      <c r="I510" s="33">
        <f>IF(Tabela1716[[#This Row],[Housing Starts]]="",#N/A,Tabela1716[[#This Row],[Housing Starts]]-H509)</f>
        <v>-83</v>
      </c>
      <c r="J510" s="41">
        <f>IF(Tabela1716[[#This Row],[Housing Starts]]="",#N/A,((Tabela1716[[#This Row],[Housing Starts]]*1)/H498)-1)</f>
        <v>3.2035175879397082E-2</v>
      </c>
      <c r="K510" s="33">
        <v>859459</v>
      </c>
      <c r="L510" s="41">
        <f>IF(Tabela1716[[#This Row],[Total Construction Spending]]="",#N/A,((Tabela1716[[#This Row],[Total Construction Spending]]*1)/K498)-1)</f>
        <v>1.4203486204324989E-3</v>
      </c>
      <c r="M510" s="31">
        <v>5840</v>
      </c>
      <c r="N510" s="41">
        <f>IF(Tabela1716[[#This Row],[Existing Home Sales]]="",#N/A,((Tabela1716[[#This Row],[Existing Home Sales]]*1)/M498)-1)</f>
        <v>2.9982363315696592E-2</v>
      </c>
      <c r="O510" s="33">
        <v>1012</v>
      </c>
      <c r="P510" s="41">
        <f>IF(Tabela1716[[#This Row],[New House Sales]]="",#N/A,((Tabela1716[[#This Row],[New House Sales]]*1)/O509)-1)</f>
        <v>1.3013013013013053E-2</v>
      </c>
      <c r="Q510" s="41">
        <f>IF(Tabela1716[[#This Row],[New House Sales]]="",#N/A,((Tabela1716[[#This Row],[New House Sales]]*1)/O498)-1)</f>
        <v>8.119658119658113E-2</v>
      </c>
      <c r="R510" s="27">
        <v>4.0999999999999996</v>
      </c>
      <c r="S510" s="86">
        <v>130.488</v>
      </c>
      <c r="T510" s="41">
        <f>IF(Tabela1716[[#This Row],[S&amp;P/Case-Shiller Home Price Index]]="",#N/A,((Tabela1716[[#This Row],[S&amp;P/Case-Shiller Home Price Index]]*1)/S509)-1)</f>
        <v>9.1254988090452294E-3</v>
      </c>
      <c r="U510" s="41">
        <f>IF(Tabela1716[[#This Row],[S&amp;P/Case-Shiller Home Price Index]]="",#N/A,((Tabela1716[[#This Row],[S&amp;P/Case-Shiller Home Price Index]]*1)/S498)-1)</f>
        <v>9.4624521844171472E-2</v>
      </c>
      <c r="V510" s="37"/>
      <c r="W510" s="9"/>
      <c r="X510" s="9"/>
    </row>
    <row r="511" spans="1:24" ht="12.75">
      <c r="A511" s="12">
        <v>37742</v>
      </c>
      <c r="B511" s="26">
        <v>5.31</v>
      </c>
      <c r="C511" s="29">
        <v>60</v>
      </c>
      <c r="D511" s="33">
        <v>1835</v>
      </c>
      <c r="E511" s="41">
        <f>IF(Tabela1716[[#This Row],[Building Permits]]="",#N/A,((Tabela1716[[#This Row],[Building Permits]]*1)/D499)-1)</f>
        <v>6.9347319347319303E-2</v>
      </c>
      <c r="F511" s="33">
        <v>1047</v>
      </c>
      <c r="G511" s="41">
        <f>IF(Tabela1716[[#This Row],[Houses Under Construction]]="",#N/A,((Tabela1716[[#This Row],[Houses Under Construction]]*1)/F499)-1)</f>
        <v>2.7477919528949846E-2</v>
      </c>
      <c r="H511" s="33">
        <v>1751</v>
      </c>
      <c r="I511" s="33">
        <f>IF(Tabela1716[[#This Row],[Housing Starts]]="",#N/A,Tabela1716[[#This Row],[Housing Starts]]-H510)</f>
        <v>108</v>
      </c>
      <c r="J511" s="41">
        <f>IF(Tabela1716[[#This Row],[Housing Starts]]="",#N/A,((Tabela1716[[#This Row],[Housing Starts]]*1)/H499)-1)</f>
        <v>-7.369614512471645E-3</v>
      </c>
      <c r="K511" s="33">
        <v>866814</v>
      </c>
      <c r="L511" s="41">
        <f>IF(Tabela1716[[#This Row],[Total Construction Spending]]="",#N/A,((Tabela1716[[#This Row],[Total Construction Spending]]*1)/K499)-1)</f>
        <v>1.8660649755856795E-2</v>
      </c>
      <c r="M511" s="31">
        <v>5940</v>
      </c>
      <c r="N511" s="41">
        <f>IF(Tabela1716[[#This Row],[Existing Home Sales]]="",#N/A,((Tabela1716[[#This Row],[Existing Home Sales]]*1)/M499)-1)</f>
        <v>5.3191489361702038E-2</v>
      </c>
      <c r="O511" s="33">
        <v>1078</v>
      </c>
      <c r="P511" s="41">
        <f>IF(Tabela1716[[#This Row],[New House Sales]]="",#N/A,((Tabela1716[[#This Row],[New House Sales]]*1)/O510)-1)</f>
        <v>6.5217391304347894E-2</v>
      </c>
      <c r="Q511" s="41">
        <f>IF(Tabela1716[[#This Row],[New House Sales]]="",#N/A,((Tabela1716[[#This Row],[New House Sales]]*1)/O499)-1)</f>
        <v>0.10224948875255624</v>
      </c>
      <c r="R511" s="27">
        <v>3.9</v>
      </c>
      <c r="S511" s="86">
        <v>131.839</v>
      </c>
      <c r="T511" s="41">
        <f>IF(Tabela1716[[#This Row],[S&amp;P/Case-Shiller Home Price Index]]="",#N/A,((Tabela1716[[#This Row],[S&amp;P/Case-Shiller Home Price Index]]*1)/S510)-1)</f>
        <v>1.0353442462142093E-2</v>
      </c>
      <c r="U511" s="41">
        <f>IF(Tabela1716[[#This Row],[S&amp;P/Case-Shiller Home Price Index]]="",#N/A,((Tabela1716[[#This Row],[S&amp;P/Case-Shiller Home Price Index]]*1)/S499)-1)</f>
        <v>9.1490876577143387E-2</v>
      </c>
      <c r="V511" s="39"/>
      <c r="W511" s="9"/>
      <c r="X511" s="9"/>
    </row>
    <row r="512" spans="1:24" ht="12.75">
      <c r="A512" s="12">
        <v>37773</v>
      </c>
      <c r="B512" s="26">
        <v>5.24</v>
      </c>
      <c r="C512" s="29">
        <v>63</v>
      </c>
      <c r="D512" s="33">
        <v>1875</v>
      </c>
      <c r="E512" s="41">
        <f>IF(Tabela1716[[#This Row],[Building Permits]]="",#N/A,((Tabela1716[[#This Row],[Building Permits]]*1)/D500)-1)</f>
        <v>6.6552901023890776E-2</v>
      </c>
      <c r="F512" s="33">
        <v>1064</v>
      </c>
      <c r="G512" s="41">
        <f>IF(Tabela1716[[#This Row],[Houses Under Construction]]="",#N/A,((Tabela1716[[#This Row],[Houses Under Construction]]*1)/F500)-1)</f>
        <v>4.0078201368523914E-2</v>
      </c>
      <c r="H512" s="33">
        <v>1867</v>
      </c>
      <c r="I512" s="33">
        <f>IF(Tabela1716[[#This Row],[Housing Starts]]="",#N/A,Tabela1716[[#This Row],[Housing Starts]]-H511)</f>
        <v>116</v>
      </c>
      <c r="J512" s="41">
        <f>IF(Tabela1716[[#This Row],[Housing Starts]]="",#N/A,((Tabela1716[[#This Row],[Housing Starts]]*1)/H500)-1)</f>
        <v>8.7361677344204969E-2</v>
      </c>
      <c r="K512" s="33">
        <v>880865</v>
      </c>
      <c r="L512" s="41">
        <f>IF(Tabela1716[[#This Row],[Total Construction Spending]]="",#N/A,((Tabela1716[[#This Row],[Total Construction Spending]]*1)/K500)-1)</f>
        <v>4.0256171341451097E-2</v>
      </c>
      <c r="M512" s="31">
        <v>5940</v>
      </c>
      <c r="N512" s="41">
        <f>IF(Tabela1716[[#This Row],[Existing Home Sales]]="",#N/A,((Tabela1716[[#This Row],[Existing Home Sales]]*1)/M500)-1)</f>
        <v>7.8039927404718767E-2</v>
      </c>
      <c r="O512" s="33">
        <v>1193</v>
      </c>
      <c r="P512" s="41">
        <f>IF(Tabela1716[[#This Row],[New House Sales]]="",#N/A,((Tabela1716[[#This Row],[New House Sales]]*1)/O511)-1)</f>
        <v>0.10667903525046385</v>
      </c>
      <c r="Q512" s="41">
        <f>IF(Tabela1716[[#This Row],[New House Sales]]="",#N/A,((Tabela1716[[#This Row],[New House Sales]]*1)/O500)-1)</f>
        <v>0.24660397074190188</v>
      </c>
      <c r="R512" s="27">
        <v>3.5</v>
      </c>
      <c r="S512" s="86">
        <v>133.22499999999999</v>
      </c>
      <c r="T512" s="41">
        <f>IF(Tabela1716[[#This Row],[S&amp;P/Case-Shiller Home Price Index]]="",#N/A,((Tabela1716[[#This Row],[S&amp;P/Case-Shiller Home Price Index]]*1)/S511)-1)</f>
        <v>1.0512822457694471E-2</v>
      </c>
      <c r="U512" s="41">
        <f>IF(Tabela1716[[#This Row],[S&amp;P/Case-Shiller Home Price Index]]="",#N/A,((Tabela1716[[#This Row],[S&amp;P/Case-Shiller Home Price Index]]*1)/S500)-1)</f>
        <v>8.9035664947315851E-2</v>
      </c>
      <c r="V512" s="37"/>
      <c r="W512" s="9"/>
      <c r="X512" s="9"/>
    </row>
    <row r="513" spans="1:24" ht="12.75">
      <c r="A513" s="12">
        <v>37803</v>
      </c>
      <c r="B513" s="26">
        <v>5.94</v>
      </c>
      <c r="C513" s="29">
        <v>65</v>
      </c>
      <c r="D513" s="33">
        <v>1885</v>
      </c>
      <c r="E513" s="41">
        <f>IF(Tabela1716[[#This Row],[Building Permits]]="",#N/A,((Tabela1716[[#This Row],[Building Permits]]*1)/D501)-1)</f>
        <v>8.4579976985040384E-2</v>
      </c>
      <c r="F513" s="33">
        <v>1078</v>
      </c>
      <c r="G513" s="41">
        <f>IF(Tabela1716[[#This Row],[Houses Under Construction]]="",#N/A,((Tabela1716[[#This Row],[Houses Under Construction]]*1)/F501)-1)</f>
        <v>4.7619047619047672E-2</v>
      </c>
      <c r="H513" s="33">
        <v>1897</v>
      </c>
      <c r="I513" s="33">
        <f>IF(Tabela1716[[#This Row],[Housing Starts]]="",#N/A,Tabela1716[[#This Row],[Housing Starts]]-H512)</f>
        <v>30</v>
      </c>
      <c r="J513" s="41">
        <f>IF(Tabela1716[[#This Row],[Housing Starts]]="",#N/A,((Tabela1716[[#This Row],[Housing Starts]]*1)/H501)-1)</f>
        <v>0.14622356495468281</v>
      </c>
      <c r="K513" s="33">
        <v>891264</v>
      </c>
      <c r="L513" s="41">
        <f>IF(Tabela1716[[#This Row],[Total Construction Spending]]="",#N/A,((Tabela1716[[#This Row],[Total Construction Spending]]*1)/K501)-1)</f>
        <v>5.209950314532974E-2</v>
      </c>
      <c r="M513" s="31">
        <v>6270</v>
      </c>
      <c r="N513" s="41">
        <f>IF(Tabela1716[[#This Row],[Existing Home Sales]]="",#N/A,((Tabela1716[[#This Row],[Existing Home Sales]]*1)/M501)-1)</f>
        <v>0.15896487985212571</v>
      </c>
      <c r="O513" s="33">
        <v>1168</v>
      </c>
      <c r="P513" s="41">
        <f>IF(Tabela1716[[#This Row],[New House Sales]]="",#N/A,((Tabela1716[[#This Row],[New House Sales]]*1)/O512)-1)</f>
        <v>-2.0955574182732639E-2</v>
      </c>
      <c r="Q513" s="41">
        <f>IF(Tabela1716[[#This Row],[New House Sales]]="",#N/A,((Tabela1716[[#This Row],[New House Sales]]*1)/O501)-1)</f>
        <v>0.2217573221757323</v>
      </c>
      <c r="R513" s="27">
        <v>3.6</v>
      </c>
      <c r="S513" s="86">
        <v>134.64700000000002</v>
      </c>
      <c r="T513" s="41">
        <f>IF(Tabela1716[[#This Row],[S&amp;P/Case-Shiller Home Price Index]]="",#N/A,((Tabela1716[[#This Row],[S&amp;P/Case-Shiller Home Price Index]]*1)/S512)-1)</f>
        <v>1.0673672358791686E-2</v>
      </c>
      <c r="U513" s="41">
        <f>IF(Tabela1716[[#This Row],[S&amp;P/Case-Shiller Home Price Index]]="",#N/A,((Tabela1716[[#This Row],[S&amp;P/Case-Shiller Home Price Index]]*1)/S501)-1)</f>
        <v>8.8610767501839272E-2</v>
      </c>
      <c r="V513" s="39"/>
      <c r="W513" s="9"/>
      <c r="X513" s="9"/>
    </row>
    <row r="514" spans="1:24" ht="12.75">
      <c r="A514" s="12">
        <v>37834</v>
      </c>
      <c r="B514" s="26">
        <v>6.32</v>
      </c>
      <c r="C514" s="29">
        <v>67</v>
      </c>
      <c r="D514" s="33">
        <v>1966</v>
      </c>
      <c r="E514" s="41">
        <f>IF(Tabela1716[[#This Row],[Building Permits]]="",#N/A,((Tabela1716[[#This Row],[Building Permits]]*1)/D502)-1)</f>
        <v>0.15988200589970503</v>
      </c>
      <c r="F514" s="33">
        <v>1102</v>
      </c>
      <c r="G514" s="41">
        <f>IF(Tabela1716[[#This Row],[Houses Under Construction]]="",#N/A,((Tabela1716[[#This Row],[Houses Under Construction]]*1)/F502)-1)</f>
        <v>8.7857847976307912E-2</v>
      </c>
      <c r="H514" s="33">
        <v>1833</v>
      </c>
      <c r="I514" s="33">
        <f>IF(Tabela1716[[#This Row],[Housing Starts]]="",#N/A,Tabela1716[[#This Row],[Housing Starts]]-H513)</f>
        <v>-64</v>
      </c>
      <c r="J514" s="41">
        <f>IF(Tabela1716[[#This Row],[Housing Starts]]="",#N/A,((Tabela1716[[#This Row],[Housing Starts]]*1)/H502)-1)</f>
        <v>0.12247397428046547</v>
      </c>
      <c r="K514" s="33">
        <v>901839</v>
      </c>
      <c r="L514" s="41">
        <f>IF(Tabela1716[[#This Row],[Total Construction Spending]]="",#N/A,((Tabela1716[[#This Row],[Total Construction Spending]]*1)/K502)-1)</f>
        <v>7.4887247797398748E-2</v>
      </c>
      <c r="M514" s="31">
        <v>6520</v>
      </c>
      <c r="N514" s="41">
        <f>IF(Tabela1716[[#This Row],[Existing Home Sales]]="",#N/A,((Tabela1716[[#This Row],[Existing Home Sales]]*1)/M502)-1)</f>
        <v>0.21641791044776126</v>
      </c>
      <c r="O514" s="33">
        <v>1206</v>
      </c>
      <c r="P514" s="41">
        <f>IF(Tabela1716[[#This Row],[New House Sales]]="",#N/A,((Tabela1716[[#This Row],[New House Sales]]*1)/O513)-1)</f>
        <v>3.2534246575342429E-2</v>
      </c>
      <c r="Q514" s="41">
        <f>IF(Tabela1716[[#This Row],[New House Sales]]="",#N/A,((Tabela1716[[#This Row],[New House Sales]]*1)/O502)-1)</f>
        <v>0.18934911242603558</v>
      </c>
      <c r="R514" s="27">
        <v>3.5</v>
      </c>
      <c r="S514" s="86">
        <v>135.965</v>
      </c>
      <c r="T514" s="41">
        <f>IF(Tabela1716[[#This Row],[S&amp;P/Case-Shiller Home Price Index]]="",#N/A,((Tabela1716[[#This Row],[S&amp;P/Case-Shiller Home Price Index]]*1)/S513)-1)</f>
        <v>9.7885582300383245E-3</v>
      </c>
      <c r="U514" s="41">
        <f>IF(Tabela1716[[#This Row],[S&amp;P/Case-Shiller Home Price Index]]="",#N/A,((Tabela1716[[#This Row],[S&amp;P/Case-Shiller Home Price Index]]*1)/S502)-1)</f>
        <v>9.0083300595691584E-2</v>
      </c>
      <c r="V514" s="37"/>
      <c r="W514" s="9"/>
      <c r="X514" s="9"/>
    </row>
    <row r="515" spans="1:24" ht="12.75">
      <c r="A515" s="12">
        <v>37865</v>
      </c>
      <c r="B515" s="26">
        <v>5.98</v>
      </c>
      <c r="C515" s="29">
        <v>67</v>
      </c>
      <c r="D515" s="33">
        <v>1961</v>
      </c>
      <c r="E515" s="41">
        <f>IF(Tabela1716[[#This Row],[Building Permits]]="",#N/A,((Tabela1716[[#This Row],[Building Permits]]*1)/D503)-1)</f>
        <v>8.7631724902939467E-2</v>
      </c>
      <c r="F515" s="33">
        <v>1121</v>
      </c>
      <c r="G515" s="41">
        <f>IF(Tabela1716[[#This Row],[Houses Under Construction]]="",#N/A,((Tabela1716[[#This Row],[Houses Under Construction]]*1)/F503)-1)</f>
        <v>9.47265625E-2</v>
      </c>
      <c r="H515" s="33">
        <v>1939</v>
      </c>
      <c r="I515" s="33">
        <f>IF(Tabela1716[[#This Row],[Housing Starts]]="",#N/A,Tabela1716[[#This Row],[Housing Starts]]-H514)</f>
        <v>106</v>
      </c>
      <c r="J515" s="41">
        <f>IF(Tabela1716[[#This Row],[Housing Starts]]="",#N/A,((Tabela1716[[#This Row],[Housing Starts]]*1)/H503)-1)</f>
        <v>7.4833702882483477E-2</v>
      </c>
      <c r="K515" s="33">
        <v>911589</v>
      </c>
      <c r="L515" s="41">
        <f>IF(Tabela1716[[#This Row],[Total Construction Spending]]="",#N/A,((Tabela1716[[#This Row],[Total Construction Spending]]*1)/K503)-1)</f>
        <v>9.548341973768637E-2</v>
      </c>
      <c r="M515" s="31">
        <v>6580</v>
      </c>
      <c r="N515" s="41">
        <f>IF(Tabela1716[[#This Row],[Existing Home Sales]]="",#N/A,((Tabela1716[[#This Row],[Existing Home Sales]]*1)/M503)-1)</f>
        <v>0.19202898550724634</v>
      </c>
      <c r="O515" s="33">
        <v>1131</v>
      </c>
      <c r="P515" s="41">
        <f>IF(Tabela1716[[#This Row],[New House Sales]]="",#N/A,((Tabela1716[[#This Row],[New House Sales]]*1)/O514)-1)</f>
        <v>-6.2189054726368154E-2</v>
      </c>
      <c r="Q515" s="41">
        <f>IF(Tabela1716[[#This Row],[New House Sales]]="",#N/A,((Tabela1716[[#This Row],[New House Sales]]*1)/O503)-1)</f>
        <v>8.3333333333333259E-2</v>
      </c>
      <c r="R515" s="27">
        <v>3.8</v>
      </c>
      <c r="S515" s="86">
        <v>137.07599999999999</v>
      </c>
      <c r="T515" s="41">
        <f>IF(Tabela1716[[#This Row],[S&amp;P/Case-Shiller Home Price Index]]="",#N/A,((Tabela1716[[#This Row],[S&amp;P/Case-Shiller Home Price Index]]*1)/S514)-1)</f>
        <v>8.1712205346964328E-3</v>
      </c>
      <c r="U515" s="41">
        <f>IF(Tabela1716[[#This Row],[S&amp;P/Case-Shiller Home Price Index]]="",#N/A,((Tabela1716[[#This Row],[S&amp;P/Case-Shiller Home Price Index]]*1)/S503)-1)</f>
        <v>9.2291264921032123E-2</v>
      </c>
      <c r="V515" s="39"/>
      <c r="W515" s="9"/>
      <c r="X515" s="9"/>
    </row>
    <row r="516" spans="1:24" ht="12.75">
      <c r="A516" s="12">
        <v>37895</v>
      </c>
      <c r="B516" s="26">
        <v>5.94</v>
      </c>
      <c r="C516" s="29">
        <v>69</v>
      </c>
      <c r="D516" s="33">
        <v>2012</v>
      </c>
      <c r="E516" s="41">
        <f>IF(Tabela1716[[#This Row],[Building Permits]]="",#N/A,((Tabela1716[[#This Row],[Building Permits]]*1)/D504)-1)</f>
        <v>0.11839911061700947</v>
      </c>
      <c r="F516" s="33">
        <v>1135</v>
      </c>
      <c r="G516" s="41">
        <f>IF(Tabela1716[[#This Row],[Houses Under Construction]]="",#N/A,((Tabela1716[[#This Row],[Houses Under Construction]]*1)/F504)-1)</f>
        <v>0.10623781676413246</v>
      </c>
      <c r="H516" s="33">
        <v>1967</v>
      </c>
      <c r="I516" s="33">
        <f>IF(Tabela1716[[#This Row],[Housing Starts]]="",#N/A,Tabela1716[[#This Row],[Housing Starts]]-H515)</f>
        <v>28</v>
      </c>
      <c r="J516" s="41">
        <f>IF(Tabela1716[[#This Row],[Housing Starts]]="",#N/A,((Tabela1716[[#This Row],[Housing Starts]]*1)/H504)-1)</f>
        <v>0.19356796116504849</v>
      </c>
      <c r="K516" s="33">
        <v>925732</v>
      </c>
      <c r="L516" s="41">
        <f>IF(Tabela1716[[#This Row],[Total Construction Spending]]="",#N/A,((Tabela1716[[#This Row],[Total Construction Spending]]*1)/K504)-1)</f>
        <v>0.10246876823589668</v>
      </c>
      <c r="M516" s="31">
        <v>6390</v>
      </c>
      <c r="N516" s="41">
        <f>IF(Tabela1716[[#This Row],[Existing Home Sales]]="",#N/A,((Tabela1716[[#This Row],[Existing Home Sales]]*1)/M504)-1)</f>
        <v>0.125</v>
      </c>
      <c r="O516" s="33">
        <v>1144</v>
      </c>
      <c r="P516" s="41">
        <f>IF(Tabela1716[[#This Row],[New House Sales]]="",#N/A,((Tabela1716[[#This Row],[New House Sales]]*1)/O515)-1)</f>
        <v>1.1494252873563315E-2</v>
      </c>
      <c r="Q516" s="41">
        <f>IF(Tabela1716[[#This Row],[New House Sales]]="",#N/A,((Tabela1716[[#This Row],[New House Sales]]*1)/O504)-1)</f>
        <v>0.1371769383697814</v>
      </c>
      <c r="R516" s="27">
        <v>3.8</v>
      </c>
      <c r="S516" s="86">
        <v>137.976</v>
      </c>
      <c r="T516" s="41">
        <f>IF(Tabela1716[[#This Row],[S&amp;P/Case-Shiller Home Price Index]]="",#N/A,((Tabela1716[[#This Row],[S&amp;P/Case-Shiller Home Price Index]]*1)/S515)-1)</f>
        <v>6.5657007791297683E-3</v>
      </c>
      <c r="U516" s="41">
        <f>IF(Tabela1716[[#This Row],[S&amp;P/Case-Shiller Home Price Index]]="",#N/A,((Tabela1716[[#This Row],[S&amp;P/Case-Shiller Home Price Index]]*1)/S504)-1)</f>
        <v>9.3866937274053264E-2</v>
      </c>
      <c r="V516" s="37"/>
      <c r="W516" s="9"/>
      <c r="X516" s="9"/>
    </row>
    <row r="517" spans="1:24" ht="12.75">
      <c r="A517" s="12">
        <v>37926</v>
      </c>
      <c r="B517" s="26">
        <v>5.89</v>
      </c>
      <c r="C517" s="29">
        <v>68</v>
      </c>
      <c r="D517" s="33">
        <v>1918</v>
      </c>
      <c r="E517" s="41">
        <f>IF(Tabela1716[[#This Row],[Building Permits]]="",#N/A,((Tabela1716[[#This Row],[Building Permits]]*1)/D505)-1)</f>
        <v>8.3003952569169925E-2</v>
      </c>
      <c r="F517" s="33">
        <v>1158</v>
      </c>
      <c r="G517" s="41">
        <f>IF(Tabela1716[[#This Row],[Houses Under Construction]]="",#N/A,((Tabela1716[[#This Row],[Houses Under Construction]]*1)/F505)-1)</f>
        <v>0.1231813773035888</v>
      </c>
      <c r="H517" s="33">
        <v>2083</v>
      </c>
      <c r="I517" s="33">
        <f>IF(Tabela1716[[#This Row],[Housing Starts]]="",#N/A,Tabela1716[[#This Row],[Housing Starts]]-H516)</f>
        <v>116</v>
      </c>
      <c r="J517" s="41">
        <f>IF(Tabela1716[[#This Row],[Housing Starts]]="",#N/A,((Tabela1716[[#This Row],[Housing Starts]]*1)/H505)-1)</f>
        <v>0.18824871648602404</v>
      </c>
      <c r="K517" s="33">
        <v>925985</v>
      </c>
      <c r="L517" s="41">
        <f>IF(Tabela1716[[#This Row],[Total Construction Spending]]="",#N/A,((Tabela1716[[#This Row],[Total Construction Spending]]*1)/K505)-1)</f>
        <v>9.6233323901943502E-2</v>
      </c>
      <c r="M517" s="31">
        <v>6230</v>
      </c>
      <c r="N517" s="41">
        <f>IF(Tabela1716[[#This Row],[Existing Home Sales]]="",#N/A,((Tabela1716[[#This Row],[Existing Home Sales]]*1)/M505)-1)</f>
        <v>8.7260034904014017E-2</v>
      </c>
      <c r="O517" s="33">
        <v>1093</v>
      </c>
      <c r="P517" s="41">
        <f>IF(Tabela1716[[#This Row],[New House Sales]]="",#N/A,((Tabela1716[[#This Row],[New House Sales]]*1)/O516)-1)</f>
        <v>-4.4580419580419584E-2</v>
      </c>
      <c r="Q517" s="41">
        <f>IF(Tabela1716[[#This Row],[New House Sales]]="",#N/A,((Tabela1716[[#This Row],[New House Sales]]*1)/O505)-1)</f>
        <v>6.73828125E-2</v>
      </c>
      <c r="R517" s="27">
        <v>4.0999999999999996</v>
      </c>
      <c r="S517" s="86">
        <v>138.76499999999999</v>
      </c>
      <c r="T517" s="41">
        <f>IF(Tabela1716[[#This Row],[S&amp;P/Case-Shiller Home Price Index]]="",#N/A,((Tabela1716[[#This Row],[S&amp;P/Case-Shiller Home Price Index]]*1)/S516)-1)</f>
        <v>5.7183858062270776E-3</v>
      </c>
      <c r="U517" s="41">
        <f>IF(Tabela1716[[#This Row],[S&amp;P/Case-Shiller Home Price Index]]="",#N/A,((Tabela1716[[#This Row],[S&amp;P/Case-Shiller Home Price Index]]*1)/S505)-1)</f>
        <v>9.57265362202111E-2</v>
      </c>
      <c r="V517" s="39"/>
      <c r="W517" s="9"/>
      <c r="X517" s="9"/>
    </row>
    <row r="518" spans="1:24" ht="12.75">
      <c r="A518" s="12">
        <v>37956</v>
      </c>
      <c r="B518" s="26">
        <v>5.85</v>
      </c>
      <c r="C518" s="29">
        <v>69</v>
      </c>
      <c r="D518" s="33">
        <v>1987</v>
      </c>
      <c r="E518" s="41">
        <f>IF(Tabela1716[[#This Row],[Building Permits]]="",#N/A,((Tabela1716[[#This Row],[Building Permits]]*1)/D506)-1)</f>
        <v>4.7995780590717407E-2</v>
      </c>
      <c r="F518" s="33">
        <v>1183</v>
      </c>
      <c r="G518" s="41">
        <f>IF(Tabela1716[[#This Row],[Houses Under Construction]]="",#N/A,((Tabela1716[[#This Row],[Houses Under Construction]]*1)/F506)-1)</f>
        <v>0.14520813165537261</v>
      </c>
      <c r="H518" s="33">
        <v>2057</v>
      </c>
      <c r="I518" s="33">
        <f>IF(Tabela1716[[#This Row],[Housing Starts]]="",#N/A,Tabela1716[[#This Row],[Housing Starts]]-H517)</f>
        <v>-26</v>
      </c>
      <c r="J518" s="41">
        <f>IF(Tabela1716[[#This Row],[Housing Starts]]="",#N/A,((Tabela1716[[#This Row],[Housing Starts]]*1)/H506)-1)</f>
        <v>0.15044742729306493</v>
      </c>
      <c r="K518" s="33">
        <v>948491</v>
      </c>
      <c r="L518" s="41">
        <f>IF(Tabela1716[[#This Row],[Total Construction Spending]]="",#N/A,((Tabela1716[[#This Row],[Total Construction Spending]]*1)/K506)-1)</f>
        <v>0.10815250472882432</v>
      </c>
      <c r="M518" s="31">
        <v>6490</v>
      </c>
      <c r="N518" s="41">
        <f>IF(Tabela1716[[#This Row],[Existing Home Sales]]="",#N/A,((Tabela1716[[#This Row],[Existing Home Sales]]*1)/M506)-1)</f>
        <v>8.7102177554438942E-2</v>
      </c>
      <c r="O518" s="33">
        <v>1129</v>
      </c>
      <c r="P518" s="41">
        <f>IF(Tabela1716[[#This Row],[New House Sales]]="",#N/A,((Tabela1716[[#This Row],[New House Sales]]*1)/O517)-1)</f>
        <v>3.2936870997255285E-2</v>
      </c>
      <c r="Q518" s="41">
        <f>IF(Tabela1716[[#This Row],[New House Sales]]="",#N/A,((Tabela1716[[#This Row],[New House Sales]]*1)/O506)-1)</f>
        <v>7.7290076335877922E-2</v>
      </c>
      <c r="R518" s="27">
        <v>4</v>
      </c>
      <c r="S518" s="86">
        <v>139.62799999999999</v>
      </c>
      <c r="T518" s="41">
        <f>IF(Tabela1716[[#This Row],[S&amp;P/Case-Shiller Home Price Index]]="",#N/A,((Tabela1716[[#This Row],[S&amp;P/Case-Shiller Home Price Index]]*1)/S517)-1)</f>
        <v>6.2191474795516566E-3</v>
      </c>
      <c r="U518" s="41">
        <f>IF(Tabela1716[[#This Row],[S&amp;P/Case-Shiller Home Price Index]]="",#N/A,((Tabela1716[[#This Row],[S&amp;P/Case-Shiller Home Price Index]]*1)/S506)-1)</f>
        <v>9.8127423299855909E-2</v>
      </c>
      <c r="V518" s="37"/>
      <c r="W518" s="9"/>
      <c r="X518" s="9"/>
    </row>
    <row r="519" spans="1:24" ht="12.75">
      <c r="A519" s="12">
        <v>37987</v>
      </c>
      <c r="B519" s="26">
        <v>5.68</v>
      </c>
      <c r="C519" s="29">
        <v>68</v>
      </c>
      <c r="D519" s="33">
        <v>1952</v>
      </c>
      <c r="E519" s="41">
        <f>IF(Tabela1716[[#This Row],[Building Permits]]="",#N/A,((Tabela1716[[#This Row],[Building Permits]]*1)/D507)-1)</f>
        <v>7.9646017699114946E-2</v>
      </c>
      <c r="F519" s="33">
        <v>1191</v>
      </c>
      <c r="G519" s="41">
        <f>IF(Tabela1716[[#This Row],[Houses Under Construction]]="",#N/A,((Tabela1716[[#This Row],[Houses Under Construction]]*1)/F507)-1)</f>
        <v>0.13536701620591041</v>
      </c>
      <c r="H519" s="33">
        <v>1911</v>
      </c>
      <c r="I519" s="33">
        <f>IF(Tabela1716[[#This Row],[Housing Starts]]="",#N/A,Tabela1716[[#This Row],[Housing Starts]]-H518)</f>
        <v>-146</v>
      </c>
      <c r="J519" s="41">
        <f>IF(Tabela1716[[#This Row],[Housing Starts]]="",#N/A,((Tabela1716[[#This Row],[Housing Starts]]*1)/H507)-1)</f>
        <v>3.1300593631948148E-2</v>
      </c>
      <c r="K519" s="33">
        <v>938525</v>
      </c>
      <c r="L519" s="41">
        <f>IF(Tabela1716[[#This Row],[Total Construction Spending]]="",#N/A,((Tabela1716[[#This Row],[Total Construction Spending]]*1)/K507)-1)</f>
        <v>8.6438117508146561E-2</v>
      </c>
      <c r="M519" s="31">
        <v>6230</v>
      </c>
      <c r="N519" s="41">
        <f>IF(Tabela1716[[#This Row],[Existing Home Sales]]="",#N/A,((Tabela1716[[#This Row],[Existing Home Sales]]*1)/M507)-1)</f>
        <v>3.3167495854063089E-2</v>
      </c>
      <c r="O519" s="33">
        <v>1165</v>
      </c>
      <c r="P519" s="41">
        <f>IF(Tabela1716[[#This Row],[New House Sales]]="",#N/A,((Tabela1716[[#This Row],[New House Sales]]*1)/O518)-1)</f>
        <v>3.1886625332152363E-2</v>
      </c>
      <c r="Q519" s="41">
        <f>IF(Tabela1716[[#This Row],[New House Sales]]="",#N/A,((Tabela1716[[#This Row],[New House Sales]]*1)/O507)-1)</f>
        <v>0.1661661661661662</v>
      </c>
      <c r="R519" s="27">
        <v>3.8</v>
      </c>
      <c r="S519" s="86">
        <v>140.70600000000002</v>
      </c>
      <c r="T519" s="41">
        <f>IF(Tabela1716[[#This Row],[S&amp;P/Case-Shiller Home Price Index]]="",#N/A,((Tabela1716[[#This Row],[S&amp;P/Case-Shiller Home Price Index]]*1)/S518)-1)</f>
        <v>7.7205145099839001E-3</v>
      </c>
      <c r="U519" s="41">
        <f>IF(Tabela1716[[#This Row],[S&amp;P/Case-Shiller Home Price Index]]="",#N/A,((Tabela1716[[#This Row],[S&amp;P/Case-Shiller Home Price Index]]*1)/S507)-1)</f>
        <v>0.10226240090245375</v>
      </c>
      <c r="V519" s="39"/>
      <c r="W519" s="9"/>
      <c r="X519" s="9"/>
    </row>
    <row r="520" spans="1:24" ht="12.75">
      <c r="A520" s="12">
        <v>38018</v>
      </c>
      <c r="B520" s="26">
        <v>5.58</v>
      </c>
      <c r="C520" s="29">
        <v>66</v>
      </c>
      <c r="D520" s="33">
        <v>1966</v>
      </c>
      <c r="E520" s="41">
        <f>IF(Tabela1716[[#This Row],[Building Permits]]="",#N/A,((Tabela1716[[#This Row],[Building Permits]]*1)/D508)-1)</f>
        <v>6.0409924487594413E-2</v>
      </c>
      <c r="F520" s="33">
        <v>1197</v>
      </c>
      <c r="G520" s="41">
        <f>IF(Tabela1716[[#This Row],[Houses Under Construction]]="",#N/A,((Tabela1716[[#This Row],[Houses Under Construction]]*1)/F508)-1)</f>
        <v>0.14655172413793105</v>
      </c>
      <c r="H520" s="33">
        <v>1846</v>
      </c>
      <c r="I520" s="33">
        <f>IF(Tabela1716[[#This Row],[Housing Starts]]="",#N/A,Tabela1716[[#This Row],[Housing Starts]]-H519)</f>
        <v>-65</v>
      </c>
      <c r="J520" s="41">
        <f>IF(Tabela1716[[#This Row],[Housing Starts]]="",#N/A,((Tabela1716[[#This Row],[Housing Starts]]*1)/H508)-1)</f>
        <v>0.13321055862492326</v>
      </c>
      <c r="K520" s="33">
        <v>937813</v>
      </c>
      <c r="L520" s="41">
        <f>IF(Tabela1716[[#This Row],[Total Construction Spending]]="",#N/A,((Tabela1716[[#This Row],[Total Construction Spending]]*1)/K508)-1)</f>
        <v>9.1463819139340652E-2</v>
      </c>
      <c r="M520" s="31">
        <v>6410</v>
      </c>
      <c r="N520" s="41">
        <f>IF(Tabela1716[[#This Row],[Existing Home Sales]]="",#N/A,((Tabela1716[[#This Row],[Existing Home Sales]]*1)/M508)-1)</f>
        <v>6.4784053156146104E-2</v>
      </c>
      <c r="O520" s="33">
        <v>1159</v>
      </c>
      <c r="P520" s="41">
        <f>IF(Tabela1716[[#This Row],[New House Sales]]="",#N/A,((Tabela1716[[#This Row],[New House Sales]]*1)/O519)-1)</f>
        <v>-5.1502145922747156E-3</v>
      </c>
      <c r="Q520" s="41">
        <f>IF(Tabela1716[[#This Row],[New House Sales]]="",#N/A,((Tabela1716[[#This Row],[New House Sales]]*1)/O508)-1)</f>
        <v>0.23824786324786329</v>
      </c>
      <c r="R520" s="27">
        <v>3.7</v>
      </c>
      <c r="S520" s="86">
        <v>142.029</v>
      </c>
      <c r="T520" s="41">
        <f>IF(Tabela1716[[#This Row],[S&amp;P/Case-Shiller Home Price Index]]="",#N/A,((Tabela1716[[#This Row],[S&amp;P/Case-Shiller Home Price Index]]*1)/S519)-1)</f>
        <v>9.4025841115517039E-3</v>
      </c>
      <c r="U520" s="41">
        <f>IF(Tabela1716[[#This Row],[S&amp;P/Case-Shiller Home Price Index]]="",#N/A,((Tabela1716[[#This Row],[S&amp;P/Case-Shiller Home Price Index]]*1)/S508)-1)</f>
        <v>0.10678272524663757</v>
      </c>
      <c r="V520" s="37"/>
      <c r="W520" s="9"/>
      <c r="X520" s="9"/>
    </row>
    <row r="521" spans="1:24" ht="12.75">
      <c r="A521" s="12">
        <v>38047</v>
      </c>
      <c r="B521" s="26">
        <v>5.4</v>
      </c>
      <c r="C521" s="29">
        <v>66</v>
      </c>
      <c r="D521" s="33">
        <v>2066</v>
      </c>
      <c r="E521" s="41">
        <f>IF(Tabela1716[[#This Row],[Building Permits]]="",#N/A,((Tabela1716[[#This Row],[Building Permits]]*1)/D509)-1)</f>
        <v>0.17586795674445077</v>
      </c>
      <c r="F521" s="33">
        <v>1219</v>
      </c>
      <c r="G521" s="41">
        <f>IF(Tabela1716[[#This Row],[Houses Under Construction]]="",#N/A,((Tabela1716[[#This Row],[Houses Under Construction]]*1)/F509)-1)</f>
        <v>0.16762452107279691</v>
      </c>
      <c r="H521" s="33">
        <v>1998</v>
      </c>
      <c r="I521" s="33">
        <f>IF(Tabela1716[[#This Row],[Housing Starts]]="",#N/A,Tabela1716[[#This Row],[Housing Starts]]-H520)</f>
        <v>152</v>
      </c>
      <c r="J521" s="41">
        <f>IF(Tabela1716[[#This Row],[Housing Starts]]="",#N/A,((Tabela1716[[#This Row],[Housing Starts]]*1)/H509)-1)</f>
        <v>0.15758980301274628</v>
      </c>
      <c r="K521" s="33">
        <v>961159</v>
      </c>
      <c r="L521" s="41">
        <f>IF(Tabela1716[[#This Row],[Total Construction Spending]]="",#N/A,((Tabela1716[[#This Row],[Total Construction Spending]]*1)/K509)-1)</f>
        <v>0.12927137036323399</v>
      </c>
      <c r="M521" s="31">
        <v>6660</v>
      </c>
      <c r="N521" s="41">
        <f>IF(Tabela1716[[#This Row],[Existing Home Sales]]="",#N/A,((Tabela1716[[#This Row],[Existing Home Sales]]*1)/M509)-1)</f>
        <v>0.13651877133105805</v>
      </c>
      <c r="O521" s="33">
        <v>1276</v>
      </c>
      <c r="P521" s="41">
        <f>IF(Tabela1716[[#This Row],[New House Sales]]="",#N/A,((Tabela1716[[#This Row],[New House Sales]]*1)/O520)-1)</f>
        <v>0.1009490940465918</v>
      </c>
      <c r="Q521" s="41">
        <f>IF(Tabela1716[[#This Row],[New House Sales]]="",#N/A,((Tabela1716[[#This Row],[New House Sales]]*1)/O509)-1)</f>
        <v>0.27727727727727736</v>
      </c>
      <c r="R521" s="27">
        <v>3.6</v>
      </c>
      <c r="S521" s="86">
        <v>144.08000000000001</v>
      </c>
      <c r="T521" s="41">
        <f>IF(Tabela1716[[#This Row],[S&amp;P/Case-Shiller Home Price Index]]="",#N/A,((Tabela1716[[#This Row],[S&amp;P/Case-Shiller Home Price Index]]*1)/S520)-1)</f>
        <v>1.4440712812172185E-2</v>
      </c>
      <c r="U521" s="41">
        <f>IF(Tabela1716[[#This Row],[S&amp;P/Case-Shiller Home Price Index]]="",#N/A,((Tabela1716[[#This Row],[S&amp;P/Case-Shiller Home Price Index]]*1)/S509)-1)</f>
        <v>0.11423887153153722</v>
      </c>
      <c r="V521" s="39"/>
      <c r="W521" s="9"/>
      <c r="X521" s="9"/>
    </row>
    <row r="522" spans="1:24" ht="12.75">
      <c r="A522" s="12">
        <v>38078</v>
      </c>
      <c r="B522" s="26">
        <v>6.01</v>
      </c>
      <c r="C522" s="29">
        <v>69</v>
      </c>
      <c r="D522" s="33">
        <v>2070</v>
      </c>
      <c r="E522" s="41">
        <f>IF(Tabela1716[[#This Row],[Building Permits]]="",#N/A,((Tabela1716[[#This Row],[Building Permits]]*1)/D510)-1)</f>
        <v>0.14808652246256249</v>
      </c>
      <c r="F522" s="33">
        <v>1222</v>
      </c>
      <c r="G522" s="41">
        <f>IF(Tabela1716[[#This Row],[Houses Under Construction]]="",#N/A,((Tabela1716[[#This Row],[Houses Under Construction]]*1)/F510)-1)</f>
        <v>0.17162032598274202</v>
      </c>
      <c r="H522" s="33">
        <v>2003</v>
      </c>
      <c r="I522" s="33">
        <f>IF(Tabela1716[[#This Row],[Housing Starts]]="",#N/A,Tabela1716[[#This Row],[Housing Starts]]-H521)</f>
        <v>5</v>
      </c>
      <c r="J522" s="41">
        <f>IF(Tabela1716[[#This Row],[Housing Starts]]="",#N/A,((Tabela1716[[#This Row],[Housing Starts]]*1)/H510)-1)</f>
        <v>0.21911138161898958</v>
      </c>
      <c r="K522" s="33">
        <v>967602</v>
      </c>
      <c r="L522" s="41">
        <f>IF(Tabela1716[[#This Row],[Total Construction Spending]]="",#N/A,((Tabela1716[[#This Row],[Total Construction Spending]]*1)/K510)-1)</f>
        <v>0.12582682827220371</v>
      </c>
      <c r="M522" s="31">
        <v>6730</v>
      </c>
      <c r="N522" s="41">
        <f>IF(Tabela1716[[#This Row],[Existing Home Sales]]="",#N/A,((Tabela1716[[#This Row],[Existing Home Sales]]*1)/M510)-1)</f>
        <v>0.15239726027397271</v>
      </c>
      <c r="O522" s="33">
        <v>1186</v>
      </c>
      <c r="P522" s="41">
        <f>IF(Tabela1716[[#This Row],[New House Sales]]="",#N/A,((Tabela1716[[#This Row],[New House Sales]]*1)/O521)-1)</f>
        <v>-7.0532915360501547E-2</v>
      </c>
      <c r="Q522" s="41">
        <f>IF(Tabela1716[[#This Row],[New House Sales]]="",#N/A,((Tabela1716[[#This Row],[New House Sales]]*1)/O510)-1)</f>
        <v>0.17193675889328053</v>
      </c>
      <c r="R522" s="27">
        <v>4</v>
      </c>
      <c r="S522" s="86">
        <v>146.18</v>
      </c>
      <c r="T522" s="41">
        <f>IF(Tabela1716[[#This Row],[S&amp;P/Case-Shiller Home Price Index]]="",#N/A,((Tabela1716[[#This Row],[S&amp;P/Case-Shiller Home Price Index]]*1)/S521)-1)</f>
        <v>1.4575235980011092E-2</v>
      </c>
      <c r="U522" s="41">
        <f>IF(Tabela1716[[#This Row],[S&amp;P/Case-Shiller Home Price Index]]="",#N/A,((Tabela1716[[#This Row],[S&amp;P/Case-Shiller Home Price Index]]*1)/S510)-1)</f>
        <v>0.12025626877567297</v>
      </c>
      <c r="V522" s="37"/>
      <c r="W522" s="9"/>
      <c r="X522" s="9"/>
    </row>
    <row r="523" spans="1:24" ht="12.75">
      <c r="A523" s="12">
        <v>38108</v>
      </c>
      <c r="B523" s="26">
        <v>6.32</v>
      </c>
      <c r="C523" s="29">
        <v>69</v>
      </c>
      <c r="D523" s="33">
        <v>2150</v>
      </c>
      <c r="E523" s="41">
        <f>IF(Tabela1716[[#This Row],[Building Permits]]="",#N/A,((Tabela1716[[#This Row],[Building Permits]]*1)/D511)-1)</f>
        <v>0.17166212534059944</v>
      </c>
      <c r="F523" s="33">
        <v>1233</v>
      </c>
      <c r="G523" s="41">
        <f>IF(Tabela1716[[#This Row],[Houses Under Construction]]="",#N/A,((Tabela1716[[#This Row],[Houses Under Construction]]*1)/F511)-1)</f>
        <v>0.17765042979942702</v>
      </c>
      <c r="H523" s="33">
        <v>1981</v>
      </c>
      <c r="I523" s="33">
        <f>IF(Tabela1716[[#This Row],[Housing Starts]]="",#N/A,Tabela1716[[#This Row],[Housing Starts]]-H522)</f>
        <v>-22</v>
      </c>
      <c r="J523" s="41">
        <f>IF(Tabela1716[[#This Row],[Housing Starts]]="",#N/A,((Tabela1716[[#This Row],[Housing Starts]]*1)/H511)-1)</f>
        <v>0.13135351227869796</v>
      </c>
      <c r="K523" s="33">
        <v>974381</v>
      </c>
      <c r="L523" s="41">
        <f>IF(Tabela1716[[#This Row],[Total Construction Spending]]="",#N/A,((Tabela1716[[#This Row],[Total Construction Spending]]*1)/K511)-1)</f>
        <v>0.12409467313633615</v>
      </c>
      <c r="M523" s="31">
        <v>6850</v>
      </c>
      <c r="N523" s="41">
        <f>IF(Tabela1716[[#This Row],[Existing Home Sales]]="",#N/A,((Tabela1716[[#This Row],[Existing Home Sales]]*1)/M511)-1)</f>
        <v>0.15319865319865311</v>
      </c>
      <c r="O523" s="33">
        <v>1241</v>
      </c>
      <c r="P523" s="41">
        <f>IF(Tabela1716[[#This Row],[New House Sales]]="",#N/A,((Tabela1716[[#This Row],[New House Sales]]*1)/O522)-1)</f>
        <v>4.637436762225966E-2</v>
      </c>
      <c r="Q523" s="41">
        <f>IF(Tabela1716[[#This Row],[New House Sales]]="",#N/A,((Tabela1716[[#This Row],[New House Sales]]*1)/O511)-1)</f>
        <v>0.15120593692022255</v>
      </c>
      <c r="R523" s="27">
        <v>3.8</v>
      </c>
      <c r="S523" s="86">
        <v>148.334</v>
      </c>
      <c r="T523" s="41">
        <f>IF(Tabela1716[[#This Row],[S&amp;P/Case-Shiller Home Price Index]]="",#N/A,((Tabela1716[[#This Row],[S&amp;P/Case-Shiller Home Price Index]]*1)/S522)-1)</f>
        <v>1.4735257901217658E-2</v>
      </c>
      <c r="U523" s="41">
        <f>IF(Tabela1716[[#This Row],[S&amp;P/Case-Shiller Home Price Index]]="",#N/A,((Tabela1716[[#This Row],[S&amp;P/Case-Shiller Home Price Index]]*1)/S511)-1)</f>
        <v>0.12511472326094708</v>
      </c>
      <c r="V523" s="39"/>
      <c r="W523" s="9"/>
      <c r="X523" s="9"/>
    </row>
    <row r="524" spans="1:24" ht="12.75">
      <c r="A524" s="12">
        <v>38139</v>
      </c>
      <c r="B524" s="26">
        <v>6.25</v>
      </c>
      <c r="C524" s="29">
        <v>68</v>
      </c>
      <c r="D524" s="33">
        <v>2020</v>
      </c>
      <c r="E524" s="41">
        <f>IF(Tabela1716[[#This Row],[Building Permits]]="",#N/A,((Tabela1716[[#This Row],[Building Permits]]*1)/D512)-1)</f>
        <v>7.7333333333333254E-2</v>
      </c>
      <c r="F524" s="33">
        <v>1229</v>
      </c>
      <c r="G524" s="41">
        <f>IF(Tabela1716[[#This Row],[Houses Under Construction]]="",#N/A,((Tabela1716[[#This Row],[Houses Under Construction]]*1)/F512)-1)</f>
        <v>0.15507518796992481</v>
      </c>
      <c r="H524" s="33">
        <v>1828</v>
      </c>
      <c r="I524" s="33">
        <f>IF(Tabela1716[[#This Row],[Housing Starts]]="",#N/A,Tabela1716[[#This Row],[Housing Starts]]-H523)</f>
        <v>-153</v>
      </c>
      <c r="J524" s="41">
        <f>IF(Tabela1716[[#This Row],[Housing Starts]]="",#N/A,((Tabela1716[[#This Row],[Housing Starts]]*1)/H512)-1)</f>
        <v>-2.0889126941617597E-2</v>
      </c>
      <c r="K524" s="33">
        <v>983087</v>
      </c>
      <c r="L524" s="41">
        <f>IF(Tabela1716[[#This Row],[Total Construction Spending]]="",#N/A,((Tabela1716[[#This Row],[Total Construction Spending]]*1)/K512)-1)</f>
        <v>0.11604729442082506</v>
      </c>
      <c r="M524" s="31">
        <v>6920</v>
      </c>
      <c r="N524" s="41">
        <f>IF(Tabela1716[[#This Row],[Existing Home Sales]]="",#N/A,((Tabela1716[[#This Row],[Existing Home Sales]]*1)/M512)-1)</f>
        <v>0.16498316498316501</v>
      </c>
      <c r="O524" s="33">
        <v>1180</v>
      </c>
      <c r="P524" s="41">
        <f>IF(Tabela1716[[#This Row],[New House Sales]]="",#N/A,((Tabela1716[[#This Row],[New House Sales]]*1)/O523)-1)</f>
        <v>-4.9153908138597879E-2</v>
      </c>
      <c r="Q524" s="41">
        <f>IF(Tabela1716[[#This Row],[New House Sales]]="",#N/A,((Tabela1716[[#This Row],[New House Sales]]*1)/O512)-1)</f>
        <v>-1.0896898575020963E-2</v>
      </c>
      <c r="R524" s="27">
        <v>3.9</v>
      </c>
      <c r="S524" s="86">
        <v>150.518</v>
      </c>
      <c r="T524" s="41">
        <f>IF(Tabela1716[[#This Row],[S&amp;P/Case-Shiller Home Price Index]]="",#N/A,((Tabela1716[[#This Row],[S&amp;P/Case-Shiller Home Price Index]]*1)/S523)-1)</f>
        <v>1.4723529332452356E-2</v>
      </c>
      <c r="U524" s="41">
        <f>IF(Tabela1716[[#This Row],[S&amp;P/Case-Shiller Home Price Index]]="",#N/A,((Tabela1716[[#This Row],[S&amp;P/Case-Shiller Home Price Index]]*1)/S512)-1)</f>
        <v>0.12980296490898868</v>
      </c>
      <c r="V524" s="37"/>
      <c r="W524" s="9"/>
      <c r="X524" s="9"/>
    </row>
    <row r="525" spans="1:24" ht="12.75">
      <c r="A525" s="12">
        <v>38169</v>
      </c>
      <c r="B525" s="26">
        <v>6.08</v>
      </c>
      <c r="C525" s="29">
        <v>67</v>
      </c>
      <c r="D525" s="33">
        <v>2112</v>
      </c>
      <c r="E525" s="41">
        <f>IF(Tabela1716[[#This Row],[Building Permits]]="",#N/A,((Tabela1716[[#This Row],[Building Permits]]*1)/D513)-1)</f>
        <v>0.12042440318302394</v>
      </c>
      <c r="F525" s="33">
        <v>1247</v>
      </c>
      <c r="G525" s="41">
        <f>IF(Tabela1716[[#This Row],[Houses Under Construction]]="",#N/A,((Tabela1716[[#This Row],[Houses Under Construction]]*1)/F513)-1)</f>
        <v>0.15677179962894239</v>
      </c>
      <c r="H525" s="33">
        <v>2002</v>
      </c>
      <c r="I525" s="33">
        <f>IF(Tabela1716[[#This Row],[Housing Starts]]="",#N/A,Tabela1716[[#This Row],[Housing Starts]]-H524)</f>
        <v>174</v>
      </c>
      <c r="J525" s="41">
        <f>IF(Tabela1716[[#This Row],[Housing Starts]]="",#N/A,((Tabela1716[[#This Row],[Housing Starts]]*1)/H513)-1)</f>
        <v>5.5350553505534972E-2</v>
      </c>
      <c r="K525" s="33">
        <v>1006184</v>
      </c>
      <c r="L525" s="41">
        <f>IF(Tabela1716[[#This Row],[Total Construction Spending]]="",#N/A,((Tabela1716[[#This Row],[Total Construction Spending]]*1)/K513)-1)</f>
        <v>0.12894047106132422</v>
      </c>
      <c r="M525" s="31">
        <v>6840</v>
      </c>
      <c r="N525" s="41">
        <f>IF(Tabela1716[[#This Row],[Existing Home Sales]]="",#N/A,((Tabela1716[[#This Row],[Existing Home Sales]]*1)/M513)-1)</f>
        <v>9.0909090909090828E-2</v>
      </c>
      <c r="O525" s="33">
        <v>1088</v>
      </c>
      <c r="P525" s="41">
        <f>IF(Tabela1716[[#This Row],[New House Sales]]="",#N/A,((Tabela1716[[#This Row],[New House Sales]]*1)/O524)-1)</f>
        <v>-7.7966101694915246E-2</v>
      </c>
      <c r="Q525" s="41">
        <f>IF(Tabela1716[[#This Row],[New House Sales]]="",#N/A,((Tabela1716[[#This Row],[New House Sales]]*1)/O513)-1)</f>
        <v>-6.8493150684931559E-2</v>
      </c>
      <c r="R525" s="27">
        <v>4.5</v>
      </c>
      <c r="S525" s="86">
        <v>152.33700000000002</v>
      </c>
      <c r="T525" s="41">
        <f>IF(Tabela1716[[#This Row],[S&amp;P/Case-Shiller Home Price Index]]="",#N/A,((Tabela1716[[#This Row],[S&amp;P/Case-Shiller Home Price Index]]*1)/S524)-1)</f>
        <v>1.2084933363451622E-2</v>
      </c>
      <c r="U525" s="41">
        <f>IF(Tabela1716[[#This Row],[S&amp;P/Case-Shiller Home Price Index]]="",#N/A,((Tabela1716[[#This Row],[S&amp;P/Case-Shiller Home Price Index]]*1)/S513)-1)</f>
        <v>0.13138057290544913</v>
      </c>
      <c r="V525" s="39"/>
      <c r="W525" s="9"/>
      <c r="X525" s="9"/>
    </row>
    <row r="526" spans="1:24" ht="12.75">
      <c r="A526" s="12">
        <v>38200</v>
      </c>
      <c r="B526" s="26">
        <v>5.82</v>
      </c>
      <c r="C526" s="29">
        <v>70</v>
      </c>
      <c r="D526" s="33">
        <v>2056</v>
      </c>
      <c r="E526" s="41">
        <f>IF(Tabela1716[[#This Row],[Building Permits]]="",#N/A,((Tabela1716[[#This Row],[Building Permits]]*1)/D514)-1)</f>
        <v>4.5778229908443491E-2</v>
      </c>
      <c r="F526" s="33">
        <v>1238</v>
      </c>
      <c r="G526" s="41">
        <f>IF(Tabela1716[[#This Row],[Houses Under Construction]]="",#N/A,((Tabela1716[[#This Row],[Houses Under Construction]]*1)/F514)-1)</f>
        <v>0.12341197822141559</v>
      </c>
      <c r="H526" s="33">
        <v>2024</v>
      </c>
      <c r="I526" s="33">
        <f>IF(Tabela1716[[#This Row],[Housing Starts]]="",#N/A,Tabela1716[[#This Row],[Housing Starts]]-H525)</f>
        <v>22</v>
      </c>
      <c r="J526" s="41">
        <f>IF(Tabela1716[[#This Row],[Housing Starts]]="",#N/A,((Tabela1716[[#This Row],[Housing Starts]]*1)/H514)-1)</f>
        <v>0.1042007637752318</v>
      </c>
      <c r="K526" s="33">
        <v>1013616</v>
      </c>
      <c r="L526" s="41">
        <f>IF(Tabela1716[[#This Row],[Total Construction Spending]]="",#N/A,((Tabela1716[[#This Row],[Total Construction Spending]]*1)/K514)-1)</f>
        <v>0.12394340896767608</v>
      </c>
      <c r="M526" s="31">
        <v>6700</v>
      </c>
      <c r="N526" s="41">
        <f>IF(Tabela1716[[#This Row],[Existing Home Sales]]="",#N/A,((Tabela1716[[#This Row],[Existing Home Sales]]*1)/M514)-1)</f>
        <v>2.7607361963190247E-2</v>
      </c>
      <c r="O526" s="33">
        <v>1175</v>
      </c>
      <c r="P526" s="41">
        <f>IF(Tabela1716[[#This Row],[New House Sales]]="",#N/A,((Tabela1716[[#This Row],[New House Sales]]*1)/O525)-1)</f>
        <v>7.9963235294117752E-2</v>
      </c>
      <c r="Q526" s="41">
        <f>IF(Tabela1716[[#This Row],[New House Sales]]="",#N/A,((Tabela1716[[#This Row],[New House Sales]]*1)/O514)-1)</f>
        <v>-2.5704809286898889E-2</v>
      </c>
      <c r="R526" s="27">
        <v>4.3</v>
      </c>
      <c r="S526" s="86">
        <v>153.81299999999999</v>
      </c>
      <c r="T526" s="41">
        <f>IF(Tabela1716[[#This Row],[S&amp;P/Case-Shiller Home Price Index]]="",#N/A,((Tabela1716[[#This Row],[S&amp;P/Case-Shiller Home Price Index]]*1)/S525)-1)</f>
        <v>9.6890446838258093E-3</v>
      </c>
      <c r="U526" s="41">
        <f>IF(Tabela1716[[#This Row],[S&amp;P/Case-Shiller Home Price Index]]="",#N/A,((Tabela1716[[#This Row],[S&amp;P/Case-Shiller Home Price Index]]*1)/S514)-1)</f>
        <v>0.13126907660059572</v>
      </c>
      <c r="V526" s="37"/>
      <c r="W526" s="9"/>
      <c r="X526" s="9"/>
    </row>
    <row r="527" spans="1:24" ht="12.75">
      <c r="A527" s="12">
        <v>38231</v>
      </c>
      <c r="B527" s="26">
        <v>5.72</v>
      </c>
      <c r="C527" s="29">
        <v>67</v>
      </c>
      <c r="D527" s="33">
        <v>2041</v>
      </c>
      <c r="E527" s="41">
        <f>IF(Tabela1716[[#This Row],[Building Permits]]="",#N/A,((Tabela1716[[#This Row],[Building Permits]]*1)/D515)-1)</f>
        <v>4.0795512493625674E-2</v>
      </c>
      <c r="F527" s="33">
        <v>1247</v>
      </c>
      <c r="G527" s="41">
        <f>IF(Tabela1716[[#This Row],[Houses Under Construction]]="",#N/A,((Tabela1716[[#This Row],[Houses Under Construction]]*1)/F515)-1)</f>
        <v>0.11239964317573592</v>
      </c>
      <c r="H527" s="33">
        <v>1905</v>
      </c>
      <c r="I527" s="33">
        <f>IF(Tabela1716[[#This Row],[Housing Starts]]="",#N/A,Tabela1716[[#This Row],[Housing Starts]]-H526)</f>
        <v>-119</v>
      </c>
      <c r="J527" s="41">
        <f>IF(Tabela1716[[#This Row],[Housing Starts]]="",#N/A,((Tabela1716[[#This Row],[Housing Starts]]*1)/H515)-1)</f>
        <v>-1.7534811758638469E-2</v>
      </c>
      <c r="K527" s="33">
        <v>1012080</v>
      </c>
      <c r="L527" s="41">
        <f>IF(Tabela1716[[#This Row],[Total Construction Spending]]="",#N/A,((Tabela1716[[#This Row],[Total Construction Spending]]*1)/K515)-1)</f>
        <v>0.11023717925512488</v>
      </c>
      <c r="M527" s="31">
        <v>6680</v>
      </c>
      <c r="N527" s="41">
        <f>IF(Tabela1716[[#This Row],[Existing Home Sales]]="",#N/A,((Tabela1716[[#This Row],[Existing Home Sales]]*1)/M515)-1)</f>
        <v>1.5197568389057725E-2</v>
      </c>
      <c r="O527" s="33">
        <v>1214</v>
      </c>
      <c r="P527" s="41">
        <f>IF(Tabela1716[[#This Row],[New House Sales]]="",#N/A,((Tabela1716[[#This Row],[New House Sales]]*1)/O526)-1)</f>
        <v>3.319148936170202E-2</v>
      </c>
      <c r="Q527" s="41">
        <f>IF(Tabela1716[[#This Row],[New House Sales]]="",#N/A,((Tabela1716[[#This Row],[New House Sales]]*1)/O515)-1)</f>
        <v>7.3386383731211424E-2</v>
      </c>
      <c r="R527" s="27">
        <v>4.0999999999999996</v>
      </c>
      <c r="S527" s="86">
        <v>155.107</v>
      </c>
      <c r="T527" s="41">
        <f>IF(Tabela1716[[#This Row],[S&amp;P/Case-Shiller Home Price Index]]="",#N/A,((Tabela1716[[#This Row],[S&amp;P/Case-Shiller Home Price Index]]*1)/S526)-1)</f>
        <v>8.4128129611931168E-3</v>
      </c>
      <c r="U527" s="41">
        <f>IF(Tabela1716[[#This Row],[S&amp;P/Case-Shiller Home Price Index]]="",#N/A,((Tabela1716[[#This Row],[S&amp;P/Case-Shiller Home Price Index]]*1)/S515)-1)</f>
        <v>0.13154016749832209</v>
      </c>
      <c r="V527" s="39"/>
      <c r="W527" s="9"/>
      <c r="X527" s="9"/>
    </row>
    <row r="528" spans="1:24" ht="12.75">
      <c r="A528" s="12">
        <v>38261</v>
      </c>
      <c r="B528" s="26">
        <v>5.64</v>
      </c>
      <c r="C528" s="29">
        <v>69</v>
      </c>
      <c r="D528" s="33">
        <v>2097</v>
      </c>
      <c r="E528" s="41">
        <f>IF(Tabela1716[[#This Row],[Building Permits]]="",#N/A,((Tabela1716[[#This Row],[Building Permits]]*1)/D516)-1)</f>
        <v>4.2246520874751559E-2</v>
      </c>
      <c r="F528" s="33">
        <v>1264</v>
      </c>
      <c r="G528" s="41">
        <f>IF(Tabela1716[[#This Row],[Houses Under Construction]]="",#N/A,((Tabela1716[[#This Row],[Houses Under Construction]]*1)/F516)-1)</f>
        <v>0.11365638766519814</v>
      </c>
      <c r="H528" s="33">
        <v>2072</v>
      </c>
      <c r="I528" s="33">
        <f>IF(Tabela1716[[#This Row],[Housing Starts]]="",#N/A,Tabela1716[[#This Row],[Housing Starts]]-H527)</f>
        <v>167</v>
      </c>
      <c r="J528" s="41">
        <f>IF(Tabela1716[[#This Row],[Housing Starts]]="",#N/A,((Tabela1716[[#This Row],[Housing Starts]]*1)/H516)-1)</f>
        <v>5.3380782918149405E-2</v>
      </c>
      <c r="K528" s="33">
        <v>1015719</v>
      </c>
      <c r="L528" s="41">
        <f>IF(Tabela1716[[#This Row],[Total Construction Spending]]="",#N/A,((Tabela1716[[#This Row],[Total Construction Spending]]*1)/K516)-1)</f>
        <v>9.7206318891428722E-2</v>
      </c>
      <c r="M528" s="31">
        <v>6850</v>
      </c>
      <c r="N528" s="41">
        <f>IF(Tabela1716[[#This Row],[Existing Home Sales]]="",#N/A,((Tabela1716[[#This Row],[Existing Home Sales]]*1)/M516)-1)</f>
        <v>7.1987480438184592E-2</v>
      </c>
      <c r="O528" s="33">
        <v>1305</v>
      </c>
      <c r="P528" s="41">
        <f>IF(Tabela1716[[#This Row],[New House Sales]]="",#N/A,((Tabela1716[[#This Row],[New House Sales]]*1)/O527)-1)</f>
        <v>7.4958813838550187E-2</v>
      </c>
      <c r="Q528" s="41">
        <f>IF(Tabela1716[[#This Row],[New House Sales]]="",#N/A,((Tabela1716[[#This Row],[New House Sales]]*1)/O516)-1)</f>
        <v>0.14073426573426584</v>
      </c>
      <c r="R528" s="27">
        <v>3.9</v>
      </c>
      <c r="S528" s="86">
        <v>156.298</v>
      </c>
      <c r="T528" s="41">
        <f>IF(Tabela1716[[#This Row],[S&amp;P/Case-Shiller Home Price Index]]="",#N/A,((Tabela1716[[#This Row],[S&amp;P/Case-Shiller Home Price Index]]*1)/S527)-1)</f>
        <v>7.6785702772925735E-3</v>
      </c>
      <c r="U528" s="41">
        <f>IF(Tabela1716[[#This Row],[S&amp;P/Case-Shiller Home Price Index]]="",#N/A,((Tabela1716[[#This Row],[S&amp;P/Case-Shiller Home Price Index]]*1)/S516)-1)</f>
        <v>0.13279121006551864</v>
      </c>
      <c r="V528" s="37"/>
      <c r="W528" s="9"/>
      <c r="X528" s="9"/>
    </row>
    <row r="529" spans="1:24" ht="12.75">
      <c r="A529" s="12">
        <v>38292</v>
      </c>
      <c r="B529" s="26">
        <v>5.72</v>
      </c>
      <c r="C529" s="29">
        <v>70</v>
      </c>
      <c r="D529" s="33">
        <v>2079</v>
      </c>
      <c r="E529" s="41">
        <f>IF(Tabela1716[[#This Row],[Building Permits]]="",#N/A,((Tabela1716[[#This Row],[Building Permits]]*1)/D517)-1)</f>
        <v>8.3941605839416011E-2</v>
      </c>
      <c r="F529" s="33">
        <v>1268</v>
      </c>
      <c r="G529" s="41">
        <f>IF(Tabela1716[[#This Row],[Houses Under Construction]]="",#N/A,((Tabela1716[[#This Row],[Houses Under Construction]]*1)/F517)-1)</f>
        <v>9.4991364421416202E-2</v>
      </c>
      <c r="H529" s="33">
        <v>1782</v>
      </c>
      <c r="I529" s="33">
        <f>IF(Tabela1716[[#This Row],[Housing Starts]]="",#N/A,Tabela1716[[#This Row],[Housing Starts]]-H528)</f>
        <v>-290</v>
      </c>
      <c r="J529" s="41">
        <f>IF(Tabela1716[[#This Row],[Housing Starts]]="",#N/A,((Tabela1716[[#This Row],[Housing Starts]]*1)/H517)-1)</f>
        <v>-0.14450312049927994</v>
      </c>
      <c r="K529" s="33">
        <v>1022994</v>
      </c>
      <c r="L529" s="41">
        <f>IF(Tabela1716[[#This Row],[Total Construction Spending]]="",#N/A,((Tabela1716[[#This Row],[Total Construction Spending]]*1)/K517)-1)</f>
        <v>0.10476303611829563</v>
      </c>
      <c r="M529" s="31">
        <v>6960</v>
      </c>
      <c r="N529" s="41">
        <f>IF(Tabela1716[[#This Row],[Existing Home Sales]]="",#N/A,((Tabela1716[[#This Row],[Existing Home Sales]]*1)/M517)-1)</f>
        <v>0.11717495987158899</v>
      </c>
      <c r="O529" s="33">
        <v>1179</v>
      </c>
      <c r="P529" s="41">
        <f>IF(Tabela1716[[#This Row],[New House Sales]]="",#N/A,((Tabela1716[[#This Row],[New House Sales]]*1)/O528)-1)</f>
        <v>-9.6551724137931005E-2</v>
      </c>
      <c r="Q529" s="41">
        <f>IF(Tabela1716[[#This Row],[New House Sales]]="",#N/A,((Tabela1716[[#This Row],[New House Sales]]*1)/O517)-1)</f>
        <v>7.8682525160109762E-2</v>
      </c>
      <c r="R529" s="27">
        <v>4.3</v>
      </c>
      <c r="S529" s="86">
        <v>157.49600000000001</v>
      </c>
      <c r="T529" s="41">
        <f>IF(Tabela1716[[#This Row],[S&amp;P/Case-Shiller Home Price Index]]="",#N/A,((Tabela1716[[#This Row],[S&amp;P/Case-Shiller Home Price Index]]*1)/S528)-1)</f>
        <v>7.6648453595056232E-3</v>
      </c>
      <c r="U529" s="41">
        <f>IF(Tabela1716[[#This Row],[S&amp;P/Case-Shiller Home Price Index]]="",#N/A,((Tabela1716[[#This Row],[S&amp;P/Case-Shiller Home Price Index]]*1)/S517)-1)</f>
        <v>0.13498360537599563</v>
      </c>
      <c r="V529" s="39"/>
      <c r="W529" s="9"/>
      <c r="X529" s="9"/>
    </row>
    <row r="530" spans="1:24" ht="12.75">
      <c r="A530" s="12">
        <v>38322</v>
      </c>
      <c r="B530" s="26">
        <v>5.81</v>
      </c>
      <c r="C530" s="29">
        <v>71</v>
      </c>
      <c r="D530" s="33">
        <v>2082</v>
      </c>
      <c r="E530" s="41">
        <f>IF(Tabela1716[[#This Row],[Building Permits]]="",#N/A,((Tabela1716[[#This Row],[Building Permits]]*1)/D518)-1)</f>
        <v>4.7810770005032754E-2</v>
      </c>
      <c r="F530" s="33">
        <v>1280</v>
      </c>
      <c r="G530" s="41">
        <f>IF(Tabela1716[[#This Row],[Houses Under Construction]]="",#N/A,((Tabela1716[[#This Row],[Houses Under Construction]]*1)/F518)-1)</f>
        <v>8.1994928148774404E-2</v>
      </c>
      <c r="H530" s="33">
        <v>2042</v>
      </c>
      <c r="I530" s="33">
        <f>IF(Tabela1716[[#This Row],[Housing Starts]]="",#N/A,Tabela1716[[#This Row],[Housing Starts]]-H529)</f>
        <v>260</v>
      </c>
      <c r="J530" s="41">
        <f>IF(Tabela1716[[#This Row],[Housing Starts]]="",#N/A,((Tabela1716[[#This Row],[Housing Starts]]*1)/H518)-1)</f>
        <v>-7.2921730675741259E-3</v>
      </c>
      <c r="K530" s="33">
        <v>1037480</v>
      </c>
      <c r="L530" s="41">
        <f>IF(Tabela1716[[#This Row],[Total Construction Spending]]="",#N/A,((Tabela1716[[#This Row],[Total Construction Spending]]*1)/K518)-1)</f>
        <v>9.3821659878691621E-2</v>
      </c>
      <c r="M530" s="31">
        <v>6890</v>
      </c>
      <c r="N530" s="41">
        <f>IF(Tabela1716[[#This Row],[Existing Home Sales]]="",#N/A,((Tabela1716[[#This Row],[Existing Home Sales]]*1)/M518)-1)</f>
        <v>6.1633281972264919E-2</v>
      </c>
      <c r="O530" s="33">
        <v>1242</v>
      </c>
      <c r="P530" s="41">
        <f>IF(Tabela1716[[#This Row],[New House Sales]]="",#N/A,((Tabela1716[[#This Row],[New House Sales]]*1)/O529)-1)</f>
        <v>5.3435114503816772E-2</v>
      </c>
      <c r="Q530" s="41">
        <f>IF(Tabela1716[[#This Row],[New House Sales]]="",#N/A,((Tabela1716[[#This Row],[New House Sales]]*1)/O518)-1)</f>
        <v>0.10008857395925608</v>
      </c>
      <c r="R530" s="27">
        <v>4.0999999999999996</v>
      </c>
      <c r="S530" s="86">
        <v>158.66899999999998</v>
      </c>
      <c r="T530" s="41">
        <f>IF(Tabela1716[[#This Row],[S&amp;P/Case-Shiller Home Price Index]]="",#N/A,((Tabela1716[[#This Row],[S&amp;P/Case-Shiller Home Price Index]]*1)/S529)-1)</f>
        <v>7.4478081983033739E-3</v>
      </c>
      <c r="U530" s="41">
        <f>IF(Tabela1716[[#This Row],[S&amp;P/Case-Shiller Home Price Index]]="",#N/A,((Tabela1716[[#This Row],[S&amp;P/Case-Shiller Home Price Index]]*1)/S518)-1)</f>
        <v>0.13636949608960958</v>
      </c>
      <c r="V530" s="37"/>
      <c r="W530" s="9"/>
      <c r="X530" s="9"/>
    </row>
    <row r="531" spans="1:24" ht="12.75">
      <c r="A531" s="12">
        <v>38353</v>
      </c>
      <c r="B531" s="26">
        <v>5.66</v>
      </c>
      <c r="C531" s="29">
        <v>70</v>
      </c>
      <c r="D531" s="33">
        <v>2139</v>
      </c>
      <c r="E531" s="41">
        <f>IF(Tabela1716[[#This Row],[Building Permits]]="",#N/A,((Tabela1716[[#This Row],[Building Permits]]*1)/D519)-1)</f>
        <v>9.5799180327868827E-2</v>
      </c>
      <c r="F531" s="33">
        <v>1302</v>
      </c>
      <c r="G531" s="41">
        <f>IF(Tabela1716[[#This Row],[Houses Under Construction]]="",#N/A,((Tabela1716[[#This Row],[Houses Under Construction]]*1)/F519)-1)</f>
        <v>9.3198992443324968E-2</v>
      </c>
      <c r="H531" s="33">
        <v>2144</v>
      </c>
      <c r="I531" s="33">
        <f>IF(Tabela1716[[#This Row],[Housing Starts]]="",#N/A,Tabela1716[[#This Row],[Housing Starts]]-H530)</f>
        <v>102</v>
      </c>
      <c r="J531" s="41">
        <f>IF(Tabela1716[[#This Row],[Housing Starts]]="",#N/A,((Tabela1716[[#This Row],[Housing Starts]]*1)/H519)-1)</f>
        <v>0.12192569335426473</v>
      </c>
      <c r="K531" s="33">
        <v>1046082</v>
      </c>
      <c r="L531" s="41">
        <f>IF(Tabela1716[[#This Row],[Total Construction Spending]]="",#N/A,((Tabela1716[[#This Row],[Total Construction Spending]]*1)/K519)-1)</f>
        <v>0.11460216829599634</v>
      </c>
      <c r="M531" s="31">
        <v>7100</v>
      </c>
      <c r="N531" s="41">
        <f>IF(Tabela1716[[#This Row],[Existing Home Sales]]="",#N/A,((Tabela1716[[#This Row],[Existing Home Sales]]*1)/M519)-1)</f>
        <v>0.1396468699839486</v>
      </c>
      <c r="O531" s="33">
        <v>1203</v>
      </c>
      <c r="P531" s="41">
        <f>IF(Tabela1716[[#This Row],[New House Sales]]="",#N/A,((Tabela1716[[#This Row],[New House Sales]]*1)/O530)-1)</f>
        <v>-3.1400966183574908E-2</v>
      </c>
      <c r="Q531" s="41">
        <f>IF(Tabela1716[[#This Row],[New House Sales]]="",#N/A,((Tabela1716[[#This Row],[New House Sales]]*1)/O519)-1)</f>
        <v>3.2618025751072866E-2</v>
      </c>
      <c r="R531" s="27">
        <v>4.4000000000000004</v>
      </c>
      <c r="S531" s="86">
        <v>160.12899999999999</v>
      </c>
      <c r="T531" s="41">
        <f>IF(Tabela1716[[#This Row],[S&amp;P/Case-Shiller Home Price Index]]="",#N/A,((Tabela1716[[#This Row],[S&amp;P/Case-Shiller Home Price Index]]*1)/S530)-1)</f>
        <v>9.2015453554255E-3</v>
      </c>
      <c r="U531" s="41">
        <f>IF(Tabela1716[[#This Row],[S&amp;P/Case-Shiller Home Price Index]]="",#N/A,((Tabela1716[[#This Row],[S&amp;P/Case-Shiller Home Price Index]]*1)/S519)-1)</f>
        <v>0.13803960030133733</v>
      </c>
      <c r="V531" s="39"/>
      <c r="W531" s="9"/>
      <c r="X531" s="9"/>
    </row>
    <row r="532" spans="1:24" ht="12.75">
      <c r="A532" s="12">
        <v>38384</v>
      </c>
      <c r="B532" s="26">
        <v>5.69</v>
      </c>
      <c r="C532" s="29">
        <v>69</v>
      </c>
      <c r="D532" s="33">
        <v>2114</v>
      </c>
      <c r="E532" s="41">
        <f>IF(Tabela1716[[#This Row],[Building Permits]]="",#N/A,((Tabela1716[[#This Row],[Building Permits]]*1)/D520)-1)</f>
        <v>7.5279755849440466E-2</v>
      </c>
      <c r="F532" s="33">
        <v>1322</v>
      </c>
      <c r="G532" s="41">
        <f>IF(Tabela1716[[#This Row],[Houses Under Construction]]="",#N/A,((Tabela1716[[#This Row],[Houses Under Construction]]*1)/F520)-1)</f>
        <v>0.10442773600668342</v>
      </c>
      <c r="H532" s="33">
        <v>2207</v>
      </c>
      <c r="I532" s="33">
        <f>IF(Tabela1716[[#This Row],[Housing Starts]]="",#N/A,Tabela1716[[#This Row],[Housing Starts]]-H531)</f>
        <v>63</v>
      </c>
      <c r="J532" s="41">
        <f>IF(Tabela1716[[#This Row],[Housing Starts]]="",#N/A,((Tabela1716[[#This Row],[Housing Starts]]*1)/H520)-1)</f>
        <v>0.19555796316359686</v>
      </c>
      <c r="K532" s="33">
        <v>1066848</v>
      </c>
      <c r="L532" s="41">
        <f>IF(Tabela1716[[#This Row],[Total Construction Spending]]="",#N/A,((Tabela1716[[#This Row],[Total Construction Spending]]*1)/K520)-1)</f>
        <v>0.1375913961525379</v>
      </c>
      <c r="M532" s="31">
        <v>6880</v>
      </c>
      <c r="N532" s="41">
        <f>IF(Tabela1716[[#This Row],[Existing Home Sales]]="",#N/A,((Tabela1716[[#This Row],[Existing Home Sales]]*1)/M520)-1)</f>
        <v>7.3322932917316619E-2</v>
      </c>
      <c r="O532" s="33">
        <v>1319</v>
      </c>
      <c r="P532" s="41">
        <f>IF(Tabela1716[[#This Row],[New House Sales]]="",#N/A,((Tabela1716[[#This Row],[New House Sales]]*1)/O531)-1)</f>
        <v>9.6425602660016541E-2</v>
      </c>
      <c r="Q532" s="41">
        <f>IF(Tabela1716[[#This Row],[New House Sales]]="",#N/A,((Tabela1716[[#This Row],[New House Sales]]*1)/O520)-1)</f>
        <v>0.1380500431406384</v>
      </c>
      <c r="R532" s="27">
        <v>4.3</v>
      </c>
      <c r="S532" s="86">
        <v>161.923</v>
      </c>
      <c r="T532" s="41">
        <f>IF(Tabela1716[[#This Row],[S&amp;P/Case-Shiller Home Price Index]]="",#N/A,((Tabela1716[[#This Row],[S&amp;P/Case-Shiller Home Price Index]]*1)/S531)-1)</f>
        <v>1.1203467204566442E-2</v>
      </c>
      <c r="U532" s="41">
        <f>IF(Tabela1716[[#This Row],[S&amp;P/Case-Shiller Home Price Index]]="",#N/A,((Tabela1716[[#This Row],[S&amp;P/Case-Shiller Home Price Index]]*1)/S520)-1)</f>
        <v>0.14006998570714435</v>
      </c>
      <c r="V532" s="37"/>
      <c r="W532" s="9"/>
      <c r="X532" s="9"/>
    </row>
    <row r="533" spans="1:24" ht="12.75">
      <c r="A533" s="12">
        <v>38412</v>
      </c>
      <c r="B533" s="26">
        <v>6.04</v>
      </c>
      <c r="C533" s="29">
        <v>70</v>
      </c>
      <c r="D533" s="33">
        <v>2062</v>
      </c>
      <c r="E533" s="41">
        <f>IF(Tabela1716[[#This Row],[Building Permits]]="",#N/A,((Tabela1716[[#This Row],[Building Permits]]*1)/D521)-1)</f>
        <v>-1.9361084220715918E-3</v>
      </c>
      <c r="F533" s="33">
        <v>1311</v>
      </c>
      <c r="G533" s="41">
        <f>IF(Tabela1716[[#This Row],[Houses Under Construction]]="",#N/A,((Tabela1716[[#This Row],[Houses Under Construction]]*1)/F521)-1)</f>
        <v>7.547169811320753E-2</v>
      </c>
      <c r="H533" s="33">
        <v>1864</v>
      </c>
      <c r="I533" s="33">
        <f>IF(Tabela1716[[#This Row],[Housing Starts]]="",#N/A,Tabela1716[[#This Row],[Housing Starts]]-H532)</f>
        <v>-343</v>
      </c>
      <c r="J533" s="41">
        <f>IF(Tabela1716[[#This Row],[Housing Starts]]="",#N/A,((Tabela1716[[#This Row],[Housing Starts]]*1)/H521)-1)</f>
        <v>-6.706706706706711E-2</v>
      </c>
      <c r="K533" s="33">
        <v>1071745</v>
      </c>
      <c r="L533" s="41">
        <f>IF(Tabela1716[[#This Row],[Total Construction Spending]]="",#N/A,((Tabela1716[[#This Row],[Total Construction Spending]]*1)/K521)-1)</f>
        <v>0.11505484524412712</v>
      </c>
      <c r="M533" s="31">
        <v>6960</v>
      </c>
      <c r="N533" s="41">
        <f>IF(Tabela1716[[#This Row],[Existing Home Sales]]="",#N/A,((Tabela1716[[#This Row],[Existing Home Sales]]*1)/M521)-1)</f>
        <v>4.5045045045045029E-2</v>
      </c>
      <c r="O533" s="33">
        <v>1328</v>
      </c>
      <c r="P533" s="41">
        <f>IF(Tabela1716[[#This Row],[New House Sales]]="",#N/A,((Tabela1716[[#This Row],[New House Sales]]*1)/O532)-1)</f>
        <v>6.8233510235027328E-3</v>
      </c>
      <c r="Q533" s="41">
        <f>IF(Tabela1716[[#This Row],[New House Sales]]="",#N/A,((Tabela1716[[#This Row],[New House Sales]]*1)/O521)-1)</f>
        <v>4.0752351097178785E-2</v>
      </c>
      <c r="R533" s="27">
        <v>4.0999999999999996</v>
      </c>
      <c r="S533" s="86">
        <v>164.57499999999999</v>
      </c>
      <c r="T533" s="41">
        <f>IF(Tabela1716[[#This Row],[S&amp;P/Case-Shiller Home Price Index]]="",#N/A,((Tabela1716[[#This Row],[S&amp;P/Case-Shiller Home Price Index]]*1)/S532)-1)</f>
        <v>1.637815504900475E-2</v>
      </c>
      <c r="U533" s="41">
        <f>IF(Tabela1716[[#This Row],[S&amp;P/Case-Shiller Home Price Index]]="",#N/A,((Tabela1716[[#This Row],[S&amp;P/Case-Shiller Home Price Index]]*1)/S521)-1)</f>
        <v>0.14224736257634629</v>
      </c>
      <c r="V533" s="39"/>
      <c r="W533" s="9"/>
      <c r="X533" s="9"/>
    </row>
    <row r="534" spans="1:24" ht="12.75">
      <c r="A534" s="12">
        <v>38443</v>
      </c>
      <c r="B534" s="26">
        <v>5.78</v>
      </c>
      <c r="C534" s="29">
        <v>67</v>
      </c>
      <c r="D534" s="33">
        <v>2150</v>
      </c>
      <c r="E534" s="41">
        <f>IF(Tabela1716[[#This Row],[Building Permits]]="",#N/A,((Tabela1716[[#This Row],[Building Permits]]*1)/D522)-1)</f>
        <v>3.8647342995169032E-2</v>
      </c>
      <c r="F534" s="33">
        <v>1324</v>
      </c>
      <c r="G534" s="41">
        <f>IF(Tabela1716[[#This Row],[Houses Under Construction]]="",#N/A,((Tabela1716[[#This Row],[Houses Under Construction]]*1)/F522)-1)</f>
        <v>8.3469721767594152E-2</v>
      </c>
      <c r="H534" s="33">
        <v>2061</v>
      </c>
      <c r="I534" s="33">
        <f>IF(Tabela1716[[#This Row],[Housing Starts]]="",#N/A,Tabela1716[[#This Row],[Housing Starts]]-H533)</f>
        <v>197</v>
      </c>
      <c r="J534" s="41">
        <f>IF(Tabela1716[[#This Row],[Housing Starts]]="",#N/A,((Tabela1716[[#This Row],[Housing Starts]]*1)/H522)-1)</f>
        <v>2.8956565152271629E-2</v>
      </c>
      <c r="K534" s="33">
        <v>1081012</v>
      </c>
      <c r="L534" s="41">
        <f>IF(Tabela1716[[#This Row],[Total Construction Spending]]="",#N/A,((Tabela1716[[#This Row],[Total Construction Spending]]*1)/K522)-1)</f>
        <v>0.11720728150623905</v>
      </c>
      <c r="M534" s="31">
        <v>7120</v>
      </c>
      <c r="N534" s="41">
        <f>IF(Tabela1716[[#This Row],[Existing Home Sales]]="",#N/A,((Tabela1716[[#This Row],[Existing Home Sales]]*1)/M522)-1)</f>
        <v>5.7949479940564652E-2</v>
      </c>
      <c r="O534" s="33">
        <v>1260</v>
      </c>
      <c r="P534" s="41">
        <f>IF(Tabela1716[[#This Row],[New House Sales]]="",#N/A,((Tabela1716[[#This Row],[New House Sales]]*1)/O533)-1)</f>
        <v>-5.1204819277108404E-2</v>
      </c>
      <c r="Q534" s="41">
        <f>IF(Tabela1716[[#This Row],[New House Sales]]="",#N/A,((Tabela1716[[#This Row],[New House Sales]]*1)/O522)-1)</f>
        <v>6.2394603709949426E-2</v>
      </c>
      <c r="R534" s="27">
        <v>4.3</v>
      </c>
      <c r="S534" s="86">
        <v>166.99900000000002</v>
      </c>
      <c r="T534" s="41">
        <f>IF(Tabela1716[[#This Row],[S&amp;P/Case-Shiller Home Price Index]]="",#N/A,((Tabela1716[[#This Row],[S&amp;P/Case-Shiller Home Price Index]]*1)/S533)-1)</f>
        <v>1.4728847030229586E-2</v>
      </c>
      <c r="U534" s="41">
        <f>IF(Tabela1716[[#This Row],[S&amp;P/Case-Shiller Home Price Index]]="",#N/A,((Tabela1716[[#This Row],[S&amp;P/Case-Shiller Home Price Index]]*1)/S522)-1)</f>
        <v>0.14242030373512127</v>
      </c>
      <c r="V534" s="37"/>
      <c r="W534" s="9"/>
      <c r="X534" s="9"/>
    </row>
    <row r="535" spans="1:24" ht="12.75">
      <c r="A535" s="12">
        <v>38473</v>
      </c>
      <c r="B535" s="26">
        <v>5.65</v>
      </c>
      <c r="C535" s="29">
        <v>70</v>
      </c>
      <c r="D535" s="33">
        <v>2085</v>
      </c>
      <c r="E535" s="41">
        <f>IF(Tabela1716[[#This Row],[Building Permits]]="",#N/A,((Tabela1716[[#This Row],[Building Permits]]*1)/D523)-1)</f>
        <v>-3.0232558139534849E-2</v>
      </c>
      <c r="F535" s="33">
        <v>1322</v>
      </c>
      <c r="G535" s="41">
        <f>IF(Tabela1716[[#This Row],[Houses Under Construction]]="",#N/A,((Tabela1716[[#This Row],[Houses Under Construction]]*1)/F523)-1)</f>
        <v>7.2181670721816804E-2</v>
      </c>
      <c r="H535" s="33">
        <v>2025</v>
      </c>
      <c r="I535" s="33">
        <f>IF(Tabela1716[[#This Row],[Housing Starts]]="",#N/A,Tabela1716[[#This Row],[Housing Starts]]-H534)</f>
        <v>-36</v>
      </c>
      <c r="J535" s="41">
        <f>IF(Tabela1716[[#This Row],[Housing Starts]]="",#N/A,((Tabela1716[[#This Row],[Housing Starts]]*1)/H523)-1)</f>
        <v>2.2211004543160051E-2</v>
      </c>
      <c r="K535" s="33">
        <v>1093341</v>
      </c>
      <c r="L535" s="41">
        <f>IF(Tabela1716[[#This Row],[Total Construction Spending]]="",#N/A,((Tabela1716[[#This Row],[Total Construction Spending]]*1)/K523)-1)</f>
        <v>0.12208776648969955</v>
      </c>
      <c r="M535" s="31">
        <v>7080</v>
      </c>
      <c r="N535" s="41">
        <f>IF(Tabela1716[[#This Row],[Existing Home Sales]]="",#N/A,((Tabela1716[[#This Row],[Existing Home Sales]]*1)/M523)-1)</f>
        <v>3.3576642335766405E-2</v>
      </c>
      <c r="O535" s="33">
        <v>1286</v>
      </c>
      <c r="P535" s="41">
        <f>IF(Tabela1716[[#This Row],[New House Sales]]="",#N/A,((Tabela1716[[#This Row],[New House Sales]]*1)/O534)-1)</f>
        <v>2.0634920634920562E-2</v>
      </c>
      <c r="Q535" s="41">
        <f>IF(Tabela1716[[#This Row],[New House Sales]]="",#N/A,((Tabela1716[[#This Row],[New House Sales]]*1)/O523)-1)</f>
        <v>3.6261079774375427E-2</v>
      </c>
      <c r="R535" s="27">
        <v>4.2</v>
      </c>
      <c r="S535" s="86">
        <v>169.54400000000001</v>
      </c>
      <c r="T535" s="41">
        <f>IF(Tabela1716[[#This Row],[S&amp;P/Case-Shiller Home Price Index]]="",#N/A,((Tabela1716[[#This Row],[S&amp;P/Case-Shiller Home Price Index]]*1)/S534)-1)</f>
        <v>1.5239612213246767E-2</v>
      </c>
      <c r="U535" s="41">
        <f>IF(Tabela1716[[#This Row],[S&amp;P/Case-Shiller Home Price Index]]="",#N/A,((Tabela1716[[#This Row],[S&amp;P/Case-Shiller Home Price Index]]*1)/S523)-1)</f>
        <v>0.1429881214017017</v>
      </c>
      <c r="V535" s="39"/>
      <c r="W535" s="9"/>
      <c r="X535" s="9"/>
    </row>
    <row r="536" spans="1:24" ht="12.75">
      <c r="A536" s="12">
        <v>38504</v>
      </c>
      <c r="B536" s="26">
        <v>5.53</v>
      </c>
      <c r="C536" s="29">
        <v>72</v>
      </c>
      <c r="D536" s="33">
        <v>2178</v>
      </c>
      <c r="E536" s="41">
        <f>IF(Tabela1716[[#This Row],[Building Permits]]="",#N/A,((Tabela1716[[#This Row],[Building Permits]]*1)/D524)-1)</f>
        <v>7.8217821782178287E-2</v>
      </c>
      <c r="F536" s="33">
        <v>1329</v>
      </c>
      <c r="G536" s="41">
        <f>IF(Tabela1716[[#This Row],[Houses Under Construction]]="",#N/A,((Tabela1716[[#This Row],[Houses Under Construction]]*1)/F524)-1)</f>
        <v>8.1366965012205084E-2</v>
      </c>
      <c r="H536" s="33">
        <v>2068</v>
      </c>
      <c r="I536" s="33">
        <f>IF(Tabela1716[[#This Row],[Housing Starts]]="",#N/A,Tabela1716[[#This Row],[Housing Starts]]-H535)</f>
        <v>43</v>
      </c>
      <c r="J536" s="41">
        <f>IF(Tabela1716[[#This Row],[Housing Starts]]="",#N/A,((Tabela1716[[#This Row],[Housing Starts]]*1)/H524)-1)</f>
        <v>0.13129102844638951</v>
      </c>
      <c r="K536" s="33">
        <v>1105896</v>
      </c>
      <c r="L536" s="41">
        <f>IF(Tabela1716[[#This Row],[Total Construction Spending]]="",#N/A,((Tabela1716[[#This Row],[Total Construction Spending]]*1)/K524)-1)</f>
        <v>0.12492180244474804</v>
      </c>
      <c r="M536" s="31">
        <v>7180</v>
      </c>
      <c r="N536" s="41">
        <f>IF(Tabela1716[[#This Row],[Existing Home Sales]]="",#N/A,((Tabela1716[[#This Row],[Existing Home Sales]]*1)/M524)-1)</f>
        <v>3.7572254335260125E-2</v>
      </c>
      <c r="O536" s="33">
        <v>1274</v>
      </c>
      <c r="P536" s="41">
        <f>IF(Tabela1716[[#This Row],[New House Sales]]="",#N/A,((Tabela1716[[#This Row],[New House Sales]]*1)/O535)-1)</f>
        <v>-9.3312597200622127E-3</v>
      </c>
      <c r="Q536" s="41">
        <f>IF(Tabela1716[[#This Row],[New House Sales]]="",#N/A,((Tabela1716[[#This Row],[New House Sales]]*1)/O524)-1)</f>
        <v>7.9661016949152508E-2</v>
      </c>
      <c r="R536" s="27">
        <v>4.3</v>
      </c>
      <c r="S536" s="86">
        <v>172.01499999999999</v>
      </c>
      <c r="T536" s="41">
        <f>IF(Tabela1716[[#This Row],[S&amp;P/Case-Shiller Home Price Index]]="",#N/A,((Tabela1716[[#This Row],[S&amp;P/Case-Shiller Home Price Index]]*1)/S535)-1)</f>
        <v>1.4574387769546338E-2</v>
      </c>
      <c r="U536" s="41">
        <f>IF(Tabela1716[[#This Row],[S&amp;P/Case-Shiller Home Price Index]]="",#N/A,((Tabela1716[[#This Row],[S&amp;P/Case-Shiller Home Price Index]]*1)/S524)-1)</f>
        <v>0.14282012782524345</v>
      </c>
      <c r="V536" s="37"/>
      <c r="W536" s="9"/>
      <c r="X536" s="9"/>
    </row>
    <row r="537" spans="1:24" ht="12.75">
      <c r="A537" s="12">
        <v>38534</v>
      </c>
      <c r="B537" s="26">
        <v>5.77</v>
      </c>
      <c r="C537" s="29">
        <v>70</v>
      </c>
      <c r="D537" s="33">
        <v>2203</v>
      </c>
      <c r="E537" s="41">
        <f>IF(Tabela1716[[#This Row],[Building Permits]]="",#N/A,((Tabela1716[[#This Row],[Building Permits]]*1)/D525)-1)</f>
        <v>4.3087121212121104E-2</v>
      </c>
      <c r="F537" s="33">
        <v>1338</v>
      </c>
      <c r="G537" s="41">
        <f>IF(Tabela1716[[#This Row],[Houses Under Construction]]="",#N/A,((Tabela1716[[#This Row],[Houses Under Construction]]*1)/F525)-1)</f>
        <v>7.2975140336808408E-2</v>
      </c>
      <c r="H537" s="33">
        <v>2054</v>
      </c>
      <c r="I537" s="33">
        <f>IF(Tabela1716[[#This Row],[Housing Starts]]="",#N/A,Tabela1716[[#This Row],[Housing Starts]]-H536)</f>
        <v>-14</v>
      </c>
      <c r="J537" s="41">
        <f>IF(Tabela1716[[#This Row],[Housing Starts]]="",#N/A,((Tabela1716[[#This Row],[Housing Starts]]*1)/H525)-1)</f>
        <v>2.5974025974025983E-2</v>
      </c>
      <c r="K537" s="33">
        <v>1119101</v>
      </c>
      <c r="L537" s="41">
        <f>IF(Tabela1716[[#This Row],[Total Construction Spending]]="",#N/A,((Tabela1716[[#This Row],[Total Construction Spending]]*1)/K525)-1)</f>
        <v>0.11222301288829883</v>
      </c>
      <c r="M537" s="31">
        <v>7140</v>
      </c>
      <c r="N537" s="41">
        <f>IF(Tabela1716[[#This Row],[Existing Home Sales]]="",#N/A,((Tabela1716[[#This Row],[Existing Home Sales]]*1)/M525)-1)</f>
        <v>4.3859649122806932E-2</v>
      </c>
      <c r="O537" s="33">
        <v>1389</v>
      </c>
      <c r="P537" s="41">
        <f>IF(Tabela1716[[#This Row],[New House Sales]]="",#N/A,((Tabela1716[[#This Row],[New House Sales]]*1)/O536)-1)</f>
        <v>9.0266875981161787E-2</v>
      </c>
      <c r="Q537" s="41">
        <f>IF(Tabela1716[[#This Row],[New House Sales]]="",#N/A,((Tabela1716[[#This Row],[New House Sales]]*1)/O525)-1)</f>
        <v>0.27665441176470584</v>
      </c>
      <c r="R537" s="27">
        <v>4.2</v>
      </c>
      <c r="S537" s="86">
        <v>174.09799999999998</v>
      </c>
      <c r="T537" s="41">
        <f>IF(Tabela1716[[#This Row],[S&amp;P/Case-Shiller Home Price Index]]="",#N/A,((Tabela1716[[#This Row],[S&amp;P/Case-Shiller Home Price Index]]*1)/S536)-1)</f>
        <v>1.2109409063163046E-2</v>
      </c>
      <c r="U537" s="41">
        <f>IF(Tabela1716[[#This Row],[S&amp;P/Case-Shiller Home Price Index]]="",#N/A,((Tabela1716[[#This Row],[S&amp;P/Case-Shiller Home Price Index]]*1)/S525)-1)</f>
        <v>0.14284776515226083</v>
      </c>
      <c r="V537" s="39"/>
      <c r="W537" s="9"/>
      <c r="X537" s="9"/>
    </row>
    <row r="538" spans="1:24" ht="12.75">
      <c r="A538" s="12">
        <v>38565</v>
      </c>
      <c r="B538" s="26">
        <v>5.77</v>
      </c>
      <c r="C538" s="30">
        <v>67</v>
      </c>
      <c r="D538" s="33">
        <v>2219</v>
      </c>
      <c r="E538" s="41">
        <f>IF(Tabela1716[[#This Row],[Building Permits]]="",#N/A,((Tabela1716[[#This Row],[Building Permits]]*1)/D526)-1)</f>
        <v>7.9280155642023287E-2</v>
      </c>
      <c r="F538" s="33">
        <v>1356</v>
      </c>
      <c r="G538" s="41">
        <f>IF(Tabela1716[[#This Row],[Houses Under Construction]]="",#N/A,((Tabela1716[[#This Row],[Houses Under Construction]]*1)/F526)-1)</f>
        <v>9.5315024232633272E-2</v>
      </c>
      <c r="H538" s="33">
        <v>2095</v>
      </c>
      <c r="I538" s="33">
        <f>IF(Tabela1716[[#This Row],[Housing Starts]]="",#N/A,Tabela1716[[#This Row],[Housing Starts]]-H537)</f>
        <v>41</v>
      </c>
      <c r="J538" s="41">
        <f>IF(Tabela1716[[#This Row],[Housing Starts]]="",#N/A,((Tabela1716[[#This Row],[Housing Starts]]*1)/H526)-1)</f>
        <v>3.5079051383399174E-2</v>
      </c>
      <c r="K538" s="33">
        <v>1129163</v>
      </c>
      <c r="L538" s="41">
        <f>IF(Tabela1716[[#This Row],[Total Construction Spending]]="",#N/A,((Tabela1716[[#This Row],[Total Construction Spending]]*1)/K526)-1)</f>
        <v>0.11399484617448818</v>
      </c>
      <c r="M538" s="31">
        <v>7230</v>
      </c>
      <c r="N538" s="41">
        <f>IF(Tabela1716[[#This Row],[Existing Home Sales]]="",#N/A,((Tabela1716[[#This Row],[Existing Home Sales]]*1)/M526)-1)</f>
        <v>7.9104477611940283E-2</v>
      </c>
      <c r="O538" s="33">
        <v>1255</v>
      </c>
      <c r="P538" s="41">
        <f>IF(Tabela1716[[#This Row],[New House Sales]]="",#N/A,((Tabela1716[[#This Row],[New House Sales]]*1)/O537)-1)</f>
        <v>-9.6472282217422656E-2</v>
      </c>
      <c r="Q538" s="41">
        <f>IF(Tabela1716[[#This Row],[New House Sales]]="",#N/A,((Tabela1716[[#This Row],[New House Sales]]*1)/O526)-1)</f>
        <v>6.8085106382978822E-2</v>
      </c>
      <c r="R538" s="27">
        <v>4.5</v>
      </c>
      <c r="S538" s="86">
        <v>175.923</v>
      </c>
      <c r="T538" s="41">
        <f>IF(Tabela1716[[#This Row],[S&amp;P/Case-Shiller Home Price Index]]="",#N/A,((Tabela1716[[#This Row],[S&amp;P/Case-Shiller Home Price Index]]*1)/S537)-1)</f>
        <v>1.0482601753035725E-2</v>
      </c>
      <c r="U538" s="41">
        <f>IF(Tabela1716[[#This Row],[S&amp;P/Case-Shiller Home Price Index]]="",#N/A,((Tabela1716[[#This Row],[S&amp;P/Case-Shiller Home Price Index]]*1)/S526)-1)</f>
        <v>0.14374597725809912</v>
      </c>
      <c r="V538" s="37"/>
      <c r="W538" s="9"/>
      <c r="X538" s="9"/>
    </row>
    <row r="539" spans="1:24" ht="12.75">
      <c r="A539" s="12">
        <v>38596</v>
      </c>
      <c r="B539" s="26">
        <v>5.91</v>
      </c>
      <c r="C539" s="29">
        <v>65</v>
      </c>
      <c r="D539" s="33">
        <v>2263</v>
      </c>
      <c r="E539" s="41">
        <f>IF(Tabela1716[[#This Row],[Building Permits]]="",#N/A,((Tabela1716[[#This Row],[Building Permits]]*1)/D527)-1)</f>
        <v>0.10877021068103865</v>
      </c>
      <c r="F539" s="33">
        <v>1377</v>
      </c>
      <c r="G539" s="41">
        <f>IF(Tabela1716[[#This Row],[Houses Under Construction]]="",#N/A,((Tabela1716[[#This Row],[Houses Under Construction]]*1)/F527)-1)</f>
        <v>0.10425020048115474</v>
      </c>
      <c r="H539" s="33">
        <v>2151</v>
      </c>
      <c r="I539" s="33">
        <f>IF(Tabela1716[[#This Row],[Housing Starts]]="",#N/A,Tabela1716[[#This Row],[Housing Starts]]-H538)</f>
        <v>56</v>
      </c>
      <c r="J539" s="41">
        <f>IF(Tabela1716[[#This Row],[Housing Starts]]="",#N/A,((Tabela1716[[#This Row],[Housing Starts]]*1)/H527)-1)</f>
        <v>0.12913385826771662</v>
      </c>
      <c r="K539" s="33">
        <v>1148438</v>
      </c>
      <c r="L539" s="41">
        <f>IF(Tabela1716[[#This Row],[Total Construction Spending]]="",#N/A,((Tabela1716[[#This Row],[Total Construction Spending]]*1)/K527)-1)</f>
        <v>0.13473045609042766</v>
      </c>
      <c r="M539" s="31">
        <v>7250</v>
      </c>
      <c r="N539" s="41">
        <f>IF(Tabela1716[[#This Row],[Existing Home Sales]]="",#N/A,((Tabela1716[[#This Row],[Existing Home Sales]]*1)/M527)-1)</f>
        <v>8.5329341317365248E-2</v>
      </c>
      <c r="O539" s="33">
        <v>1244</v>
      </c>
      <c r="P539" s="41">
        <f>IF(Tabela1716[[#This Row],[New House Sales]]="",#N/A,((Tabela1716[[#This Row],[New House Sales]]*1)/O538)-1)</f>
        <v>-8.7649402390438391E-3</v>
      </c>
      <c r="Q539" s="41">
        <f>IF(Tabela1716[[#This Row],[New House Sales]]="",#N/A,((Tabela1716[[#This Row],[New House Sales]]*1)/O527)-1)</f>
        <v>2.4711696869851751E-2</v>
      </c>
      <c r="R539" s="27">
        <v>4.7</v>
      </c>
      <c r="S539" s="86">
        <v>177.61</v>
      </c>
      <c r="T539" s="41">
        <f>IF(Tabela1716[[#This Row],[S&amp;P/Case-Shiller Home Price Index]]="",#N/A,((Tabela1716[[#This Row],[S&amp;P/Case-Shiller Home Price Index]]*1)/S538)-1)</f>
        <v>9.5894226451345155E-3</v>
      </c>
      <c r="U539" s="41">
        <f>IF(Tabela1716[[#This Row],[S&amp;P/Case-Shiller Home Price Index]]="",#N/A,((Tabela1716[[#This Row],[S&amp;P/Case-Shiller Home Price Index]]*1)/S527)-1)</f>
        <v>0.14508049282108493</v>
      </c>
      <c r="V539" s="39"/>
      <c r="W539" s="9"/>
      <c r="X539" s="9"/>
    </row>
    <row r="540" spans="1:24" ht="12.75">
      <c r="A540" s="12">
        <v>38626</v>
      </c>
      <c r="B540" s="26">
        <v>6.15</v>
      </c>
      <c r="C540" s="29">
        <v>68</v>
      </c>
      <c r="D540" s="33">
        <v>2170</v>
      </c>
      <c r="E540" s="41">
        <f>IF(Tabela1716[[#This Row],[Building Permits]]="",#N/A,((Tabela1716[[#This Row],[Building Permits]]*1)/D528)-1)</f>
        <v>3.4811635670004781E-2</v>
      </c>
      <c r="F540" s="33">
        <v>1376</v>
      </c>
      <c r="G540" s="41">
        <f>IF(Tabela1716[[#This Row],[Houses Under Construction]]="",#N/A,((Tabela1716[[#This Row],[Houses Under Construction]]*1)/F528)-1)</f>
        <v>8.8607594936708889E-2</v>
      </c>
      <c r="H540" s="33">
        <v>2065</v>
      </c>
      <c r="I540" s="33">
        <f>IF(Tabela1716[[#This Row],[Housing Starts]]="",#N/A,Tabela1716[[#This Row],[Housing Starts]]-H539)</f>
        <v>-86</v>
      </c>
      <c r="J540" s="41">
        <f>IF(Tabela1716[[#This Row],[Housing Starts]]="",#N/A,((Tabela1716[[#This Row],[Housing Starts]]*1)/H528)-1)</f>
        <v>-3.3783783783783994E-3</v>
      </c>
      <c r="K540" s="33">
        <v>1160831</v>
      </c>
      <c r="L540" s="41">
        <f>IF(Tabela1716[[#This Row],[Total Construction Spending]]="",#N/A,((Tabela1716[[#This Row],[Total Construction Spending]]*1)/K528)-1)</f>
        <v>0.14286628486815744</v>
      </c>
      <c r="M540" s="31">
        <v>7100</v>
      </c>
      <c r="N540" s="41">
        <f>IF(Tabela1716[[#This Row],[Existing Home Sales]]="",#N/A,((Tabela1716[[#This Row],[Existing Home Sales]]*1)/M528)-1)</f>
        <v>3.649635036496357E-2</v>
      </c>
      <c r="O540" s="33">
        <v>1336</v>
      </c>
      <c r="P540" s="41">
        <f>IF(Tabela1716[[#This Row],[New House Sales]]="",#N/A,((Tabela1716[[#This Row],[New House Sales]]*1)/O539)-1)</f>
        <v>7.3954983922829509E-2</v>
      </c>
      <c r="Q540" s="41">
        <f>IF(Tabela1716[[#This Row],[New House Sales]]="",#N/A,((Tabela1716[[#This Row],[New House Sales]]*1)/O528)-1)</f>
        <v>2.3754789272030674E-2</v>
      </c>
      <c r="R540" s="27">
        <v>4.5</v>
      </c>
      <c r="S540" s="86">
        <v>178.75099999999998</v>
      </c>
      <c r="T540" s="41">
        <f>IF(Tabela1716[[#This Row],[S&amp;P/Case-Shiller Home Price Index]]="",#N/A,((Tabela1716[[#This Row],[S&amp;P/Case-Shiller Home Price Index]]*1)/S539)-1)</f>
        <v>6.4241878272617292E-3</v>
      </c>
      <c r="U540" s="41">
        <f>IF(Tabela1716[[#This Row],[S&amp;P/Case-Shiller Home Price Index]]="",#N/A,((Tabela1716[[#This Row],[S&amp;P/Case-Shiller Home Price Index]]*1)/S528)-1)</f>
        <v>0.14365506916275295</v>
      </c>
      <c r="V540" s="37"/>
      <c r="W540" s="9"/>
      <c r="X540" s="9"/>
    </row>
    <row r="541" spans="1:24" ht="12.75">
      <c r="A541" s="12">
        <v>38657</v>
      </c>
      <c r="B541" s="26">
        <v>6.28</v>
      </c>
      <c r="C541" s="29">
        <v>61</v>
      </c>
      <c r="D541" s="33">
        <v>2218</v>
      </c>
      <c r="E541" s="41">
        <f>IF(Tabela1716[[#This Row],[Building Permits]]="",#N/A,((Tabela1716[[#This Row],[Building Permits]]*1)/D529)-1)</f>
        <v>6.6859066859066951E-2</v>
      </c>
      <c r="F541" s="33">
        <v>1395</v>
      </c>
      <c r="G541" s="41">
        <f>IF(Tabela1716[[#This Row],[Houses Under Construction]]="",#N/A,((Tabela1716[[#This Row],[Houses Under Construction]]*1)/F529)-1)</f>
        <v>0.10015772870662465</v>
      </c>
      <c r="H541" s="33">
        <v>2147</v>
      </c>
      <c r="I541" s="33">
        <f>IF(Tabela1716[[#This Row],[Housing Starts]]="",#N/A,Tabela1716[[#This Row],[Housing Starts]]-H540)</f>
        <v>82</v>
      </c>
      <c r="J541" s="41">
        <f>IF(Tabela1716[[#This Row],[Housing Starts]]="",#N/A,((Tabela1716[[#This Row],[Housing Starts]]*1)/H529)-1)</f>
        <v>0.20482603815937139</v>
      </c>
      <c r="K541" s="33">
        <v>1172090</v>
      </c>
      <c r="L541" s="41">
        <f>IF(Tabela1716[[#This Row],[Total Construction Spending]]="",#N/A,((Tabela1716[[#This Row],[Total Construction Spending]]*1)/K529)-1)</f>
        <v>0.14574474532597459</v>
      </c>
      <c r="M541" s="31">
        <v>7030</v>
      </c>
      <c r="N541" s="41">
        <f>IF(Tabela1716[[#This Row],[Existing Home Sales]]="",#N/A,((Tabela1716[[#This Row],[Existing Home Sales]]*1)/M529)-1)</f>
        <v>1.0057471264367734E-2</v>
      </c>
      <c r="O541" s="33">
        <v>1214</v>
      </c>
      <c r="P541" s="41">
        <f>IF(Tabela1716[[#This Row],[New House Sales]]="",#N/A,((Tabela1716[[#This Row],[New House Sales]]*1)/O540)-1)</f>
        <v>-9.1317365269461104E-2</v>
      </c>
      <c r="Q541" s="41">
        <f>IF(Tabela1716[[#This Row],[New House Sales]]="",#N/A,((Tabela1716[[#This Row],[New House Sales]]*1)/O529)-1)</f>
        <v>2.9686174724342651E-2</v>
      </c>
      <c r="R541" s="27">
        <v>5</v>
      </c>
      <c r="S541" s="86">
        <v>179.673</v>
      </c>
      <c r="T541" s="41">
        <f>IF(Tabela1716[[#This Row],[S&amp;P/Case-Shiller Home Price Index]]="",#N/A,((Tabela1716[[#This Row],[S&amp;P/Case-Shiller Home Price Index]]*1)/S540)-1)</f>
        <v>5.1580131020247943E-3</v>
      </c>
      <c r="U541" s="41">
        <f>IF(Tabela1716[[#This Row],[S&amp;P/Case-Shiller Home Price Index]]="",#N/A,((Tabela1716[[#This Row],[S&amp;P/Case-Shiller Home Price Index]]*1)/S529)-1)</f>
        <v>0.14080992533143699</v>
      </c>
      <c r="V541" s="39"/>
      <c r="W541" s="9"/>
      <c r="X541" s="9"/>
    </row>
    <row r="542" spans="1:24" ht="12.75">
      <c r="A542" s="12">
        <v>38687</v>
      </c>
      <c r="B542" s="26">
        <v>6.22</v>
      </c>
      <c r="C542" s="29">
        <v>57</v>
      </c>
      <c r="D542" s="33">
        <v>2120</v>
      </c>
      <c r="E542" s="41">
        <f>IF(Tabela1716[[#This Row],[Building Permits]]="",#N/A,((Tabela1716[[#This Row],[Building Permits]]*1)/D530)-1)</f>
        <v>1.8251681075888593E-2</v>
      </c>
      <c r="F542" s="33">
        <v>1405</v>
      </c>
      <c r="G542" s="41">
        <f>IF(Tabela1716[[#This Row],[Houses Under Construction]]="",#N/A,((Tabela1716[[#This Row],[Houses Under Construction]]*1)/F530)-1)</f>
        <v>9.765625E-2</v>
      </c>
      <c r="H542" s="33">
        <v>1994</v>
      </c>
      <c r="I542" s="33">
        <f>IF(Tabela1716[[#This Row],[Housing Starts]]="",#N/A,Tabela1716[[#This Row],[Housing Starts]]-H541)</f>
        <v>-153</v>
      </c>
      <c r="J542" s="41">
        <f>IF(Tabela1716[[#This Row],[Housing Starts]]="",#N/A,((Tabela1716[[#This Row],[Housing Starts]]*1)/H530)-1)</f>
        <v>-2.350636630754166E-2</v>
      </c>
      <c r="K542" s="33">
        <v>1184677</v>
      </c>
      <c r="L542" s="41">
        <f>IF(Tabela1716[[#This Row],[Total Construction Spending]]="",#N/A,((Tabela1716[[#This Row],[Total Construction Spending]]*1)/K530)-1)</f>
        <v>0.1418793615298608</v>
      </c>
      <c r="M542" s="31">
        <v>6840</v>
      </c>
      <c r="N542" s="41">
        <f>IF(Tabela1716[[#This Row],[Existing Home Sales]]="",#N/A,((Tabela1716[[#This Row],[Existing Home Sales]]*1)/M530)-1)</f>
        <v>-7.2568940493469292E-3</v>
      </c>
      <c r="O542" s="33">
        <v>1239</v>
      </c>
      <c r="P542" s="41">
        <f>IF(Tabela1716[[#This Row],[New House Sales]]="",#N/A,((Tabela1716[[#This Row],[New House Sales]]*1)/O541)-1)</f>
        <v>2.0593080724876422E-2</v>
      </c>
      <c r="Q542" s="41">
        <f>IF(Tabela1716[[#This Row],[New House Sales]]="",#N/A,((Tabela1716[[#This Row],[New House Sales]]*1)/O530)-1)</f>
        <v>-2.4154589371980784E-3</v>
      </c>
      <c r="R542" s="27">
        <v>4.9000000000000004</v>
      </c>
      <c r="S542" s="86">
        <v>180.10599999999999</v>
      </c>
      <c r="T542" s="41">
        <f>IF(Tabela1716[[#This Row],[S&amp;P/Case-Shiller Home Price Index]]="",#N/A,((Tabela1716[[#This Row],[S&amp;P/Case-Shiller Home Price Index]]*1)/S541)-1)</f>
        <v>2.4099336015983575E-3</v>
      </c>
      <c r="U542" s="41">
        <f>IF(Tabela1716[[#This Row],[S&amp;P/Case-Shiller Home Price Index]]="",#N/A,((Tabela1716[[#This Row],[S&amp;P/Case-Shiller Home Price Index]]*1)/S530)-1)</f>
        <v>0.13510515601661321</v>
      </c>
      <c r="V542" s="37"/>
      <c r="W542" s="9"/>
      <c r="X542" s="9"/>
    </row>
    <row r="543" spans="1:24" ht="12.75">
      <c r="A543" s="12">
        <v>38718</v>
      </c>
      <c r="B543" s="26">
        <v>6.12</v>
      </c>
      <c r="C543" s="29">
        <v>57</v>
      </c>
      <c r="D543" s="33">
        <v>2212</v>
      </c>
      <c r="E543" s="41">
        <f>IF(Tabela1716[[#This Row],[Building Permits]]="",#N/A,((Tabela1716[[#This Row],[Building Permits]]*1)/D531)-1)</f>
        <v>3.4128097241701738E-2</v>
      </c>
      <c r="F543" s="33">
        <v>1424</v>
      </c>
      <c r="G543" s="41">
        <f>IF(Tabela1716[[#This Row],[Houses Under Construction]]="",#N/A,((Tabela1716[[#This Row],[Houses Under Construction]]*1)/F531)-1)</f>
        <v>9.3701996927803455E-2</v>
      </c>
      <c r="H543" s="33">
        <v>2273</v>
      </c>
      <c r="I543" s="33">
        <f>IF(Tabela1716[[#This Row],[Housing Starts]]="",#N/A,Tabela1716[[#This Row],[Housing Starts]]-H542)</f>
        <v>279</v>
      </c>
      <c r="J543" s="41">
        <f>IF(Tabela1716[[#This Row],[Housing Starts]]="",#N/A,((Tabela1716[[#This Row],[Housing Starts]]*1)/H531)-1)</f>
        <v>6.0167910447761264E-2</v>
      </c>
      <c r="K543" s="33">
        <v>1195642</v>
      </c>
      <c r="L543" s="41">
        <f>IF(Tabela1716[[#This Row],[Total Construction Spending]]="",#N/A,((Tabela1716[[#This Row],[Total Construction Spending]]*1)/K531)-1)</f>
        <v>0.14297158348963079</v>
      </c>
      <c r="M543" s="31">
        <v>6720</v>
      </c>
      <c r="N543" s="41">
        <f>IF(Tabela1716[[#This Row],[Existing Home Sales]]="",#N/A,((Tabela1716[[#This Row],[Existing Home Sales]]*1)/M531)-1)</f>
        <v>-5.352112676056342E-2</v>
      </c>
      <c r="O543" s="33">
        <v>1174</v>
      </c>
      <c r="P543" s="41">
        <f>IF(Tabela1716[[#This Row],[New House Sales]]="",#N/A,((Tabela1716[[#This Row],[New House Sales]]*1)/O542)-1)</f>
        <v>-5.2461662631154149E-2</v>
      </c>
      <c r="Q543" s="41">
        <f>IF(Tabela1716[[#This Row],[New House Sales]]="",#N/A,((Tabela1716[[#This Row],[New House Sales]]*1)/O531)-1)</f>
        <v>-2.4106400665004135E-2</v>
      </c>
      <c r="R543" s="27">
        <v>5.3</v>
      </c>
      <c r="S543" s="86">
        <v>180.827</v>
      </c>
      <c r="T543" s="41">
        <f>IF(Tabela1716[[#This Row],[S&amp;P/Case-Shiller Home Price Index]]="",#N/A,((Tabela1716[[#This Row],[S&amp;P/Case-Shiller Home Price Index]]*1)/S542)-1)</f>
        <v>4.003198116664608E-3</v>
      </c>
      <c r="U543" s="41">
        <f>IF(Tabela1716[[#This Row],[S&amp;P/Case-Shiller Home Price Index]]="",#N/A,((Tabela1716[[#This Row],[S&amp;P/Case-Shiller Home Price Index]]*1)/S531)-1)</f>
        <v>0.12925828550730989</v>
      </c>
      <c r="V543" s="39"/>
      <c r="W543" s="9"/>
      <c r="X543" s="9"/>
    </row>
    <row r="544" spans="1:24" ht="12.75">
      <c r="A544" s="12">
        <v>38749</v>
      </c>
      <c r="B544" s="26">
        <v>6.26</v>
      </c>
      <c r="C544" s="29">
        <v>56</v>
      </c>
      <c r="D544" s="33">
        <v>2141</v>
      </c>
      <c r="E544" s="41">
        <f>IF(Tabela1716[[#This Row],[Building Permits]]="",#N/A,((Tabela1716[[#This Row],[Building Permits]]*1)/D532)-1)</f>
        <v>1.2771996215704906E-2</v>
      </c>
      <c r="F544" s="33">
        <v>1423</v>
      </c>
      <c r="G544" s="41">
        <f>IF(Tabela1716[[#This Row],[Houses Under Construction]]="",#N/A,((Tabela1716[[#This Row],[Houses Under Construction]]*1)/F532)-1)</f>
        <v>7.6399394856278446E-2</v>
      </c>
      <c r="H544" s="33">
        <v>2119</v>
      </c>
      <c r="I544" s="33">
        <f>IF(Tabela1716[[#This Row],[Housing Starts]]="",#N/A,Tabela1716[[#This Row],[Housing Starts]]-H543)</f>
        <v>-154</v>
      </c>
      <c r="J544" s="41">
        <f>IF(Tabela1716[[#This Row],[Housing Starts]]="",#N/A,((Tabela1716[[#This Row],[Housing Starts]]*1)/H532)-1)</f>
        <v>-3.9873130946986857E-2</v>
      </c>
      <c r="K544" s="33">
        <v>1205639</v>
      </c>
      <c r="L544" s="41">
        <f>IF(Tabela1716[[#This Row],[Total Construction Spending]]="",#N/A,((Tabela1716[[#This Row],[Total Construction Spending]]*1)/K532)-1)</f>
        <v>0.13009444644410451</v>
      </c>
      <c r="M544" s="31">
        <v>6840</v>
      </c>
      <c r="N544" s="41">
        <f>IF(Tabela1716[[#This Row],[Existing Home Sales]]="",#N/A,((Tabela1716[[#This Row],[Existing Home Sales]]*1)/M532)-1)</f>
        <v>-5.8139534883721034E-3</v>
      </c>
      <c r="O544" s="33">
        <v>1061</v>
      </c>
      <c r="P544" s="41">
        <f>IF(Tabela1716[[#This Row],[New House Sales]]="",#N/A,((Tabela1716[[#This Row],[New House Sales]]*1)/O543)-1)</f>
        <v>-9.625212947189099E-2</v>
      </c>
      <c r="Q544" s="41">
        <f>IF(Tabela1716[[#This Row],[New House Sales]]="",#N/A,((Tabela1716[[#This Row],[New House Sales]]*1)/O532)-1)</f>
        <v>-0.19560272934040945</v>
      </c>
      <c r="R544" s="27">
        <v>6.1</v>
      </c>
      <c r="S544" s="86">
        <v>181.49900000000002</v>
      </c>
      <c r="T544" s="41">
        <f>IF(Tabela1716[[#This Row],[S&amp;P/Case-Shiller Home Price Index]]="",#N/A,((Tabela1716[[#This Row],[S&amp;P/Case-Shiller Home Price Index]]*1)/S543)-1)</f>
        <v>3.7162591869579487E-3</v>
      </c>
      <c r="U544" s="41">
        <f>IF(Tabela1716[[#This Row],[S&amp;P/Case-Shiller Home Price Index]]="",#N/A,((Tabela1716[[#This Row],[S&amp;P/Case-Shiller Home Price Index]]*1)/S532)-1)</f>
        <v>0.12089696954725415</v>
      </c>
      <c r="V544" s="37"/>
      <c r="W544" s="9"/>
      <c r="X544" s="9"/>
    </row>
    <row r="545" spans="1:24" ht="12.75">
      <c r="A545" s="12">
        <v>38777</v>
      </c>
      <c r="B545" s="26">
        <v>6.35</v>
      </c>
      <c r="C545" s="29">
        <v>54</v>
      </c>
      <c r="D545" s="33">
        <v>2118</v>
      </c>
      <c r="E545" s="41">
        <f>IF(Tabela1716[[#This Row],[Building Permits]]="",#N/A,((Tabela1716[[#This Row],[Building Permits]]*1)/D533)-1)</f>
        <v>2.7158098933074637E-2</v>
      </c>
      <c r="F545" s="33">
        <v>1423</v>
      </c>
      <c r="G545" s="41">
        <f>IF(Tabela1716[[#This Row],[Houses Under Construction]]="",#N/A,((Tabela1716[[#This Row],[Houses Under Construction]]*1)/F533)-1)</f>
        <v>8.5430968726163181E-2</v>
      </c>
      <c r="H545" s="33">
        <v>1969</v>
      </c>
      <c r="I545" s="33">
        <f>IF(Tabela1716[[#This Row],[Housing Starts]]="",#N/A,Tabela1716[[#This Row],[Housing Starts]]-H544)</f>
        <v>-150</v>
      </c>
      <c r="J545" s="41">
        <f>IF(Tabela1716[[#This Row],[Housing Starts]]="",#N/A,((Tabela1716[[#This Row],[Housing Starts]]*1)/H533)-1)</f>
        <v>5.6330472103004237E-2</v>
      </c>
      <c r="K545" s="33">
        <v>1205169</v>
      </c>
      <c r="L545" s="41">
        <f>IF(Tabela1716[[#This Row],[Total Construction Spending]]="",#N/A,((Tabela1716[[#This Row],[Total Construction Spending]]*1)/K533)-1)</f>
        <v>0.12449229994075073</v>
      </c>
      <c r="M545" s="31">
        <v>6830</v>
      </c>
      <c r="N545" s="41">
        <f>IF(Tabela1716[[#This Row],[Existing Home Sales]]="",#N/A,((Tabela1716[[#This Row],[Existing Home Sales]]*1)/M533)-1)</f>
        <v>-1.8678160919540221E-2</v>
      </c>
      <c r="O545" s="33">
        <v>1116</v>
      </c>
      <c r="P545" s="41">
        <f>IF(Tabela1716[[#This Row],[New House Sales]]="",#N/A,((Tabela1716[[#This Row],[New House Sales]]*1)/O544)-1)</f>
        <v>5.1837888784165953E-2</v>
      </c>
      <c r="Q545" s="41">
        <f>IF(Tabela1716[[#This Row],[New House Sales]]="",#N/A,((Tabela1716[[#This Row],[New House Sales]]*1)/O533)-1)</f>
        <v>-0.15963855421686746</v>
      </c>
      <c r="R545" s="27">
        <v>5.9</v>
      </c>
      <c r="S545" s="86">
        <v>182.74900000000002</v>
      </c>
      <c r="T545" s="41">
        <f>IF(Tabela1716[[#This Row],[S&amp;P/Case-Shiller Home Price Index]]="",#N/A,((Tabela1716[[#This Row],[S&amp;P/Case-Shiller Home Price Index]]*1)/S544)-1)</f>
        <v>6.8870902869988537E-3</v>
      </c>
      <c r="U545" s="41">
        <f>IF(Tabela1716[[#This Row],[S&amp;P/Case-Shiller Home Price Index]]="",#N/A,((Tabela1716[[#This Row],[S&amp;P/Case-Shiller Home Price Index]]*1)/S533)-1)</f>
        <v>0.11042989518456658</v>
      </c>
      <c r="V545" s="39"/>
      <c r="W545" s="9"/>
      <c r="X545" s="9"/>
    </row>
    <row r="546" spans="1:24" ht="12.75">
      <c r="A546" s="12">
        <v>38808</v>
      </c>
      <c r="B546" s="26">
        <v>6.58</v>
      </c>
      <c r="C546" s="29">
        <v>51</v>
      </c>
      <c r="D546" s="33">
        <v>1998</v>
      </c>
      <c r="E546" s="41">
        <f>IF(Tabela1716[[#This Row],[Building Permits]]="",#N/A,((Tabela1716[[#This Row],[Building Permits]]*1)/D534)-1)</f>
        <v>-7.0697674418604639E-2</v>
      </c>
      <c r="F546" s="33">
        <v>1401</v>
      </c>
      <c r="G546" s="41">
        <f>IF(Tabela1716[[#This Row],[Houses Under Construction]]="",#N/A,((Tabela1716[[#This Row],[Houses Under Construction]]*1)/F534)-1)</f>
        <v>5.8157099697885295E-2</v>
      </c>
      <c r="H546" s="33">
        <v>1821</v>
      </c>
      <c r="I546" s="33">
        <f>IF(Tabela1716[[#This Row],[Housing Starts]]="",#N/A,Tabela1716[[#This Row],[Housing Starts]]-H545)</f>
        <v>-148</v>
      </c>
      <c r="J546" s="41">
        <f>IF(Tabela1716[[#This Row],[Housing Starts]]="",#N/A,((Tabela1716[[#This Row],[Housing Starts]]*1)/H534)-1)</f>
        <v>-0.11644832605531297</v>
      </c>
      <c r="K546" s="33">
        <v>1193296</v>
      </c>
      <c r="L546" s="41">
        <f>IF(Tabela1716[[#This Row],[Total Construction Spending]]="",#N/A,((Tabela1716[[#This Row],[Total Construction Spending]]*1)/K534)-1)</f>
        <v>0.10386933725065028</v>
      </c>
      <c r="M546" s="31">
        <v>6700</v>
      </c>
      <c r="N546" s="41">
        <f>IF(Tabela1716[[#This Row],[Existing Home Sales]]="",#N/A,((Tabela1716[[#This Row],[Existing Home Sales]]*1)/M534)-1)</f>
        <v>-5.8988764044943798E-2</v>
      </c>
      <c r="O546" s="33">
        <v>1123</v>
      </c>
      <c r="P546" s="41">
        <f>IF(Tabela1716[[#This Row],[New House Sales]]="",#N/A,((Tabela1716[[#This Row],[New House Sales]]*1)/O545)-1)</f>
        <v>6.2724014336916767E-3</v>
      </c>
      <c r="Q546" s="41">
        <f>IF(Tabela1716[[#This Row],[New House Sales]]="",#N/A,((Tabela1716[[#This Row],[New House Sales]]*1)/O534)-1)</f>
        <v>-0.10873015873015868</v>
      </c>
      <c r="R546" s="27">
        <v>6.3</v>
      </c>
      <c r="S546" s="86">
        <v>183.648</v>
      </c>
      <c r="T546" s="41">
        <f>IF(Tabela1716[[#This Row],[S&amp;P/Case-Shiller Home Price Index]]="",#N/A,((Tabela1716[[#This Row],[S&amp;P/Case-Shiller Home Price Index]]*1)/S545)-1)</f>
        <v>4.9193155639701835E-3</v>
      </c>
      <c r="U546" s="41">
        <f>IF(Tabela1716[[#This Row],[S&amp;P/Case-Shiller Home Price Index]]="",#N/A,((Tabela1716[[#This Row],[S&amp;P/Case-Shiller Home Price Index]]*1)/S534)-1)</f>
        <v>9.9695207755734927E-2</v>
      </c>
      <c r="V546" s="37"/>
      <c r="W546" s="9"/>
      <c r="X546" s="9"/>
    </row>
    <row r="547" spans="1:24" ht="12.75">
      <c r="A547" s="12">
        <v>38838</v>
      </c>
      <c r="B547" s="26">
        <v>6.62</v>
      </c>
      <c r="C547" s="29">
        <v>46</v>
      </c>
      <c r="D547" s="33">
        <v>1905</v>
      </c>
      <c r="E547" s="41">
        <f>IF(Tabela1716[[#This Row],[Building Permits]]="",#N/A,((Tabela1716[[#This Row],[Building Permits]]*1)/D535)-1)</f>
        <v>-8.633093525179858E-2</v>
      </c>
      <c r="F547" s="33">
        <v>1409</v>
      </c>
      <c r="G547" s="41">
        <f>IF(Tabela1716[[#This Row],[Houses Under Construction]]="",#N/A,((Tabela1716[[#This Row],[Houses Under Construction]]*1)/F535)-1)</f>
        <v>6.5809379727685302E-2</v>
      </c>
      <c r="H547" s="33">
        <v>1942</v>
      </c>
      <c r="I547" s="33">
        <f>IF(Tabela1716[[#This Row],[Housing Starts]]="",#N/A,Tabela1716[[#This Row],[Housing Starts]]-H546)</f>
        <v>121</v>
      </c>
      <c r="J547" s="41">
        <f>IF(Tabela1716[[#This Row],[Housing Starts]]="",#N/A,((Tabela1716[[#This Row],[Housing Starts]]*1)/H535)-1)</f>
        <v>-4.098765432098761E-2</v>
      </c>
      <c r="K547" s="33">
        <v>1180581</v>
      </c>
      <c r="L547" s="41">
        <f>IF(Tabela1716[[#This Row],[Total Construction Spending]]="",#N/A,((Tabela1716[[#This Row],[Total Construction Spending]]*1)/K535)-1)</f>
        <v>7.9792123408890747E-2</v>
      </c>
      <c r="M547" s="31">
        <v>6580</v>
      </c>
      <c r="N547" s="41">
        <f>IF(Tabela1716[[#This Row],[Existing Home Sales]]="",#N/A,((Tabela1716[[#This Row],[Existing Home Sales]]*1)/M535)-1)</f>
        <v>-7.0621468926553632E-2</v>
      </c>
      <c r="O547" s="33">
        <v>1086</v>
      </c>
      <c r="P547" s="41">
        <f>IF(Tabela1716[[#This Row],[New House Sales]]="",#N/A,((Tabela1716[[#This Row],[New House Sales]]*1)/O546)-1)</f>
        <v>-3.2947462154942153E-2</v>
      </c>
      <c r="Q547" s="41">
        <f>IF(Tabela1716[[#This Row],[New House Sales]]="",#N/A,((Tabela1716[[#This Row],[New House Sales]]*1)/O535)-1)</f>
        <v>-0.15552099533437014</v>
      </c>
      <c r="R547" s="27">
        <v>6.2</v>
      </c>
      <c r="S547" s="86">
        <v>184.38</v>
      </c>
      <c r="T547" s="41">
        <f>IF(Tabela1716[[#This Row],[S&amp;P/Case-Shiller Home Price Index]]="",#N/A,((Tabela1716[[#This Row],[S&amp;P/Case-Shiller Home Price Index]]*1)/S546)-1)</f>
        <v>3.9858860428645393E-3</v>
      </c>
      <c r="U547" s="41">
        <f>IF(Tabela1716[[#This Row],[S&amp;P/Case-Shiller Home Price Index]]="",#N/A,((Tabela1716[[#This Row],[S&amp;P/Case-Shiller Home Price Index]]*1)/S535)-1)</f>
        <v>8.7505308356532696E-2</v>
      </c>
      <c r="V547" s="39"/>
      <c r="W547" s="9"/>
      <c r="X547" s="9"/>
    </row>
    <row r="548" spans="1:24" ht="12.75">
      <c r="A548" s="12">
        <v>38869</v>
      </c>
      <c r="B548" s="26">
        <v>6.78</v>
      </c>
      <c r="C548" s="29">
        <v>42</v>
      </c>
      <c r="D548" s="33">
        <v>1867</v>
      </c>
      <c r="E548" s="41">
        <f>IF(Tabela1716[[#This Row],[Building Permits]]="",#N/A,((Tabela1716[[#This Row],[Building Permits]]*1)/D536)-1)</f>
        <v>-0.14279155188246095</v>
      </c>
      <c r="F548" s="33">
        <v>1383</v>
      </c>
      <c r="G548" s="41">
        <f>IF(Tabela1716[[#This Row],[Houses Under Construction]]="",#N/A,((Tabela1716[[#This Row],[Houses Under Construction]]*1)/F536)-1)</f>
        <v>4.0632054176072296E-2</v>
      </c>
      <c r="H548" s="33">
        <v>1802</v>
      </c>
      <c r="I548" s="33">
        <f>IF(Tabela1716[[#This Row],[Housing Starts]]="",#N/A,Tabela1716[[#This Row],[Housing Starts]]-H547)</f>
        <v>-140</v>
      </c>
      <c r="J548" s="41">
        <f>IF(Tabela1716[[#This Row],[Housing Starts]]="",#N/A,((Tabela1716[[#This Row],[Housing Starts]]*1)/H536)-1)</f>
        <v>-0.12862669245647973</v>
      </c>
      <c r="K548" s="33">
        <v>1172128</v>
      </c>
      <c r="L548" s="41">
        <f>IF(Tabela1716[[#This Row],[Total Construction Spending]]="",#N/A,((Tabela1716[[#This Row],[Total Construction Spending]]*1)/K536)-1)</f>
        <v>5.988989923103083E-2</v>
      </c>
      <c r="M548" s="31">
        <v>6480</v>
      </c>
      <c r="N548" s="41">
        <f>IF(Tabela1716[[#This Row],[Existing Home Sales]]="",#N/A,((Tabela1716[[#This Row],[Existing Home Sales]]*1)/M536)-1)</f>
        <v>-9.7493036211699136E-2</v>
      </c>
      <c r="O548" s="33">
        <v>1074</v>
      </c>
      <c r="P548" s="41">
        <f>IF(Tabela1716[[#This Row],[New House Sales]]="",#N/A,((Tabela1716[[#This Row],[New House Sales]]*1)/O547)-1)</f>
        <v>-1.1049723756906049E-2</v>
      </c>
      <c r="Q548" s="41">
        <f>IF(Tabela1716[[#This Row],[New House Sales]]="",#N/A,((Tabela1716[[#This Row],[New House Sales]]*1)/O536)-1)</f>
        <v>-0.15698587127158559</v>
      </c>
      <c r="R548" s="27">
        <v>6.3</v>
      </c>
      <c r="S548" s="86">
        <v>184.547</v>
      </c>
      <c r="T548" s="41">
        <f>IF(Tabela1716[[#This Row],[S&amp;P/Case-Shiller Home Price Index]]="",#N/A,((Tabela1716[[#This Row],[S&amp;P/Case-Shiller Home Price Index]]*1)/S547)-1)</f>
        <v>9.057381494739225E-4</v>
      </c>
      <c r="U548" s="41">
        <f>IF(Tabela1716[[#This Row],[S&amp;P/Case-Shiller Home Price Index]]="",#N/A,((Tabela1716[[#This Row],[S&amp;P/Case-Shiller Home Price Index]]*1)/S536)-1)</f>
        <v>7.2854111560038515E-2</v>
      </c>
      <c r="V548" s="37"/>
      <c r="W548" s="9"/>
      <c r="X548" s="9"/>
    </row>
    <row r="549" spans="1:24" ht="12.75">
      <c r="A549" s="12">
        <v>38899</v>
      </c>
      <c r="B549" s="26">
        <v>6.72</v>
      </c>
      <c r="C549" s="29">
        <v>39</v>
      </c>
      <c r="D549" s="33">
        <v>1763</v>
      </c>
      <c r="E549" s="41">
        <f>IF(Tabela1716[[#This Row],[Building Permits]]="",#N/A,((Tabela1716[[#This Row],[Building Permits]]*1)/D537)-1)</f>
        <v>-0.19972764412165234</v>
      </c>
      <c r="F549" s="33">
        <v>1363</v>
      </c>
      <c r="G549" s="41">
        <f>IF(Tabela1716[[#This Row],[Houses Under Construction]]="",#N/A,((Tabela1716[[#This Row],[Houses Under Construction]]*1)/F537)-1)</f>
        <v>1.8684603886397699E-2</v>
      </c>
      <c r="H549" s="33">
        <v>1737</v>
      </c>
      <c r="I549" s="33">
        <f>IF(Tabela1716[[#This Row],[Housing Starts]]="",#N/A,Tabela1716[[#This Row],[Housing Starts]]-H548)</f>
        <v>-65</v>
      </c>
      <c r="J549" s="41">
        <f>IF(Tabela1716[[#This Row],[Housing Starts]]="",#N/A,((Tabela1716[[#This Row],[Housing Starts]]*1)/H537)-1)</f>
        <v>-0.15433300876338851</v>
      </c>
      <c r="K549" s="33">
        <v>1157926</v>
      </c>
      <c r="L549" s="41">
        <f>IF(Tabela1716[[#This Row],[Total Construction Spending]]="",#N/A,((Tabela1716[[#This Row],[Total Construction Spending]]*1)/K537)-1)</f>
        <v>3.4693025919912523E-2</v>
      </c>
      <c r="M549" s="31">
        <v>6320</v>
      </c>
      <c r="N549" s="41">
        <f>IF(Tabela1716[[#This Row],[Existing Home Sales]]="",#N/A,((Tabela1716[[#This Row],[Existing Home Sales]]*1)/M537)-1)</f>
        <v>-0.11484593837535018</v>
      </c>
      <c r="O549" s="33">
        <v>965</v>
      </c>
      <c r="P549" s="41">
        <f>IF(Tabela1716[[#This Row],[New House Sales]]="",#N/A,((Tabela1716[[#This Row],[New House Sales]]*1)/O548)-1)</f>
        <v>-0.1014897579143389</v>
      </c>
      <c r="Q549" s="41">
        <f>IF(Tabela1716[[#This Row],[New House Sales]]="",#N/A,((Tabela1716[[#This Row],[New House Sales]]*1)/O537)-1)</f>
        <v>-0.30525557955363569</v>
      </c>
      <c r="R549" s="27">
        <v>7.3</v>
      </c>
      <c r="S549" s="87">
        <v>184.607</v>
      </c>
      <c r="T549" s="41">
        <f>IF(Tabela1716[[#This Row],[S&amp;P/Case-Shiller Home Price Index]]="",#N/A,((Tabela1716[[#This Row],[S&amp;P/Case-Shiller Home Price Index]]*1)/S548)-1)</f>
        <v>3.2512043002586033E-4</v>
      </c>
      <c r="U549" s="41">
        <f>IF(Tabela1716[[#This Row],[S&amp;P/Case-Shiller Home Price Index]]="",#N/A,((Tabela1716[[#This Row],[S&amp;P/Case-Shiller Home Price Index]]*1)/S537)-1)</f>
        <v>6.0362554423370796E-2</v>
      </c>
      <c r="V549" s="39"/>
      <c r="W549" s="9"/>
      <c r="X549" s="9"/>
    </row>
    <row r="550" spans="1:24" ht="12.75">
      <c r="A550" s="12">
        <v>38930</v>
      </c>
      <c r="B550" s="26">
        <v>6.44</v>
      </c>
      <c r="C550" s="29">
        <v>33</v>
      </c>
      <c r="D550" s="33">
        <v>1722</v>
      </c>
      <c r="E550" s="41">
        <f>IF(Tabela1716[[#This Row],[Building Permits]]="",#N/A,((Tabela1716[[#This Row],[Building Permits]]*1)/D538)-1)</f>
        <v>-0.22397476340694011</v>
      </c>
      <c r="F550" s="33">
        <v>1339</v>
      </c>
      <c r="G550" s="41">
        <f>IF(Tabela1716[[#This Row],[Houses Under Construction]]="",#N/A,((Tabela1716[[#This Row],[Houses Under Construction]]*1)/F538)-1)</f>
        <v>-1.2536873156342221E-2</v>
      </c>
      <c r="H550" s="33">
        <v>1650</v>
      </c>
      <c r="I550" s="33">
        <f>IF(Tabela1716[[#This Row],[Housing Starts]]="",#N/A,Tabela1716[[#This Row],[Housing Starts]]-H549)</f>
        <v>-87</v>
      </c>
      <c r="J550" s="41">
        <f>IF(Tabela1716[[#This Row],[Housing Starts]]="",#N/A,((Tabela1716[[#This Row],[Housing Starts]]*1)/H538)-1)</f>
        <v>-0.21241050119331739</v>
      </c>
      <c r="K550" s="33">
        <v>1145907</v>
      </c>
      <c r="L550" s="41">
        <f>IF(Tabela1716[[#This Row],[Total Construction Spending]]="",#N/A,((Tabela1716[[#This Row],[Total Construction Spending]]*1)/K538)-1)</f>
        <v>1.4828682838527341E-2</v>
      </c>
      <c r="M550" s="31">
        <v>6340</v>
      </c>
      <c r="N550" s="41">
        <f>IF(Tabela1716[[#This Row],[Existing Home Sales]]="",#N/A,((Tabela1716[[#This Row],[Existing Home Sales]]*1)/M538)-1)</f>
        <v>-0.12309820193637622</v>
      </c>
      <c r="O550" s="33">
        <v>1035</v>
      </c>
      <c r="P550" s="41">
        <f>IF(Tabela1716[[#This Row],[New House Sales]]="",#N/A,((Tabela1716[[#This Row],[New House Sales]]*1)/O549)-1)</f>
        <v>7.2538860103626979E-2</v>
      </c>
      <c r="Q550" s="41">
        <f>IF(Tabela1716[[#This Row],[New House Sales]]="",#N/A,((Tabela1716[[#This Row],[New House Sales]]*1)/O538)-1)</f>
        <v>-0.17529880478087645</v>
      </c>
      <c r="R550" s="27">
        <v>6.7</v>
      </c>
      <c r="S550" s="86">
        <v>184.40400000000002</v>
      </c>
      <c r="T550" s="41">
        <f>IF(Tabela1716[[#This Row],[S&amp;P/Case-Shiller Home Price Index]]="",#N/A,((Tabela1716[[#This Row],[S&amp;P/Case-Shiller Home Price Index]]*1)/S549)-1)</f>
        <v>-1.0996332750110582E-3</v>
      </c>
      <c r="U550" s="41">
        <f>IF(Tabela1716[[#This Row],[S&amp;P/Case-Shiller Home Price Index]]="",#N/A,((Tabela1716[[#This Row],[S&amp;P/Case-Shiller Home Price Index]]*1)/S538)-1)</f>
        <v>4.8208591258675826E-2</v>
      </c>
      <c r="V550" s="37"/>
      <c r="W550" s="9"/>
      <c r="X550" s="9"/>
    </row>
    <row r="551" spans="1:24" ht="12.75">
      <c r="A551" s="12">
        <v>38961</v>
      </c>
      <c r="B551" s="26">
        <v>6.31</v>
      </c>
      <c r="C551" s="29">
        <v>30</v>
      </c>
      <c r="D551" s="33">
        <v>1655</v>
      </c>
      <c r="E551" s="41">
        <f>IF(Tabela1716[[#This Row],[Building Permits]]="",#N/A,((Tabela1716[[#This Row],[Building Permits]]*1)/D539)-1)</f>
        <v>-0.26866990720282813</v>
      </c>
      <c r="F551" s="33">
        <v>1317</v>
      </c>
      <c r="G551" s="41">
        <f>IF(Tabela1716[[#This Row],[Houses Under Construction]]="",#N/A,((Tabela1716[[#This Row],[Houses Under Construction]]*1)/F539)-1)</f>
        <v>-4.3572984749455368E-2</v>
      </c>
      <c r="H551" s="33">
        <v>1720</v>
      </c>
      <c r="I551" s="33">
        <f>IF(Tabela1716[[#This Row],[Housing Starts]]="",#N/A,Tabela1716[[#This Row],[Housing Starts]]-H550)</f>
        <v>70</v>
      </c>
      <c r="J551" s="41">
        <f>IF(Tabela1716[[#This Row],[Housing Starts]]="",#N/A,((Tabela1716[[#This Row],[Housing Starts]]*1)/H539)-1)</f>
        <v>-0.20037192003719195</v>
      </c>
      <c r="K551" s="33">
        <v>1135753</v>
      </c>
      <c r="L551" s="41">
        <f>IF(Tabela1716[[#This Row],[Total Construction Spending]]="",#N/A,((Tabela1716[[#This Row],[Total Construction Spending]]*1)/K539)-1)</f>
        <v>-1.104543736797281E-2</v>
      </c>
      <c r="M551" s="31">
        <v>6280</v>
      </c>
      <c r="N551" s="41">
        <f>IF(Tabela1716[[#This Row],[Existing Home Sales]]="",#N/A,((Tabela1716[[#This Row],[Existing Home Sales]]*1)/M539)-1)</f>
        <v>-0.13379310344827589</v>
      </c>
      <c r="O551" s="33">
        <v>1016</v>
      </c>
      <c r="P551" s="41">
        <f>IF(Tabela1716[[#This Row],[New House Sales]]="",#N/A,((Tabela1716[[#This Row],[New House Sales]]*1)/O550)-1)</f>
        <v>-1.8357487922705307E-2</v>
      </c>
      <c r="Q551" s="41">
        <f>IF(Tabela1716[[#This Row],[New House Sales]]="",#N/A,((Tabela1716[[#This Row],[New House Sales]]*1)/O539)-1)</f>
        <v>-0.18327974276527326</v>
      </c>
      <c r="R551" s="27">
        <v>6.7</v>
      </c>
      <c r="S551" s="86">
        <v>184.197</v>
      </c>
      <c r="T551" s="41">
        <f>IF(Tabela1716[[#This Row],[S&amp;P/Case-Shiller Home Price Index]]="",#N/A,((Tabela1716[[#This Row],[S&amp;P/Case-Shiller Home Price Index]]*1)/S550)-1)</f>
        <v>-1.1225353029219454E-3</v>
      </c>
      <c r="U551" s="41">
        <f>IF(Tabela1716[[#This Row],[S&amp;P/Case-Shiller Home Price Index]]="",#N/A,((Tabela1716[[#This Row],[S&amp;P/Case-Shiller Home Price Index]]*1)/S539)-1)</f>
        <v>3.708687573897862E-2</v>
      </c>
      <c r="V551" s="39"/>
      <c r="W551" s="9"/>
      <c r="X551" s="9"/>
    </row>
    <row r="552" spans="1:24" ht="12.75">
      <c r="A552" s="12">
        <v>38991</v>
      </c>
      <c r="B552" s="26">
        <v>6.4</v>
      </c>
      <c r="C552" s="29">
        <v>31</v>
      </c>
      <c r="D552" s="33">
        <v>1570</v>
      </c>
      <c r="E552" s="41">
        <f>IF(Tabela1716[[#This Row],[Building Permits]]="",#N/A,((Tabela1716[[#This Row],[Building Permits]]*1)/D540)-1)</f>
        <v>-0.27649769585253459</v>
      </c>
      <c r="F552" s="33">
        <v>1283</v>
      </c>
      <c r="G552" s="41">
        <f>IF(Tabela1716[[#This Row],[Houses Under Construction]]="",#N/A,((Tabela1716[[#This Row],[Houses Under Construction]]*1)/F540)-1)</f>
        <v>-6.7587209302325535E-2</v>
      </c>
      <c r="H552" s="33">
        <v>1491</v>
      </c>
      <c r="I552" s="33">
        <f>IF(Tabela1716[[#This Row],[Housing Starts]]="",#N/A,Tabela1716[[#This Row],[Housing Starts]]-H551)</f>
        <v>-229</v>
      </c>
      <c r="J552" s="41">
        <f>IF(Tabela1716[[#This Row],[Housing Starts]]="",#N/A,((Tabela1716[[#This Row],[Housing Starts]]*1)/H540)-1)</f>
        <v>-0.2779661016949152</v>
      </c>
      <c r="K552" s="33">
        <v>1122914</v>
      </c>
      <c r="L552" s="41">
        <f>IF(Tabela1716[[#This Row],[Total Construction Spending]]="",#N/A,((Tabela1716[[#This Row],[Total Construction Spending]]*1)/K540)-1)</f>
        <v>-3.2663669388567351E-2</v>
      </c>
      <c r="M552" s="31">
        <v>6360</v>
      </c>
      <c r="N552" s="41">
        <f>IF(Tabela1716[[#This Row],[Existing Home Sales]]="",#N/A,((Tabela1716[[#This Row],[Existing Home Sales]]*1)/M540)-1)</f>
        <v>-0.10422535211267603</v>
      </c>
      <c r="O552" s="33">
        <v>941</v>
      </c>
      <c r="P552" s="41">
        <f>IF(Tabela1716[[#This Row],[New House Sales]]="",#N/A,((Tabela1716[[#This Row],[New House Sales]]*1)/O551)-1)</f>
        <v>-7.3818897637795255E-2</v>
      </c>
      <c r="Q552" s="41">
        <f>IF(Tabela1716[[#This Row],[New House Sales]]="",#N/A,((Tabela1716[[#This Row],[New House Sales]]*1)/O540)-1)</f>
        <v>-0.2956586826347305</v>
      </c>
      <c r="R552" s="27">
        <v>7.3</v>
      </c>
      <c r="S552" s="86">
        <v>184.053</v>
      </c>
      <c r="T552" s="41">
        <f>IF(Tabela1716[[#This Row],[S&amp;P/Case-Shiller Home Price Index]]="",#N/A,((Tabela1716[[#This Row],[S&amp;P/Case-Shiller Home Price Index]]*1)/S551)-1)</f>
        <v>-7.8177169009274738E-4</v>
      </c>
      <c r="U552" s="41">
        <f>IF(Tabela1716[[#This Row],[S&amp;P/Case-Shiller Home Price Index]]="",#N/A,((Tabela1716[[#This Row],[S&amp;P/Case-Shiller Home Price Index]]*1)/S540)-1)</f>
        <v>2.9661372523790197E-2</v>
      </c>
      <c r="V552" s="37"/>
      <c r="W552" s="9"/>
      <c r="X552" s="9"/>
    </row>
    <row r="553" spans="1:24" ht="12.75">
      <c r="A553" s="12">
        <v>39022</v>
      </c>
      <c r="B553" s="26">
        <v>6.14</v>
      </c>
      <c r="C553" s="29">
        <v>33</v>
      </c>
      <c r="D553" s="33">
        <v>1535</v>
      </c>
      <c r="E553" s="41">
        <f>IF(Tabela1716[[#This Row],[Building Permits]]="",#N/A,((Tabela1716[[#This Row],[Building Permits]]*1)/D541)-1)</f>
        <v>-0.30793507664562669</v>
      </c>
      <c r="F553" s="33">
        <v>1265</v>
      </c>
      <c r="G553" s="41">
        <f>IF(Tabela1716[[#This Row],[Houses Under Construction]]="",#N/A,((Tabela1716[[#This Row],[Houses Under Construction]]*1)/F541)-1)</f>
        <v>-9.3189964157706084E-2</v>
      </c>
      <c r="H553" s="33">
        <v>1570</v>
      </c>
      <c r="I553" s="33">
        <f>IF(Tabela1716[[#This Row],[Housing Starts]]="",#N/A,Tabela1716[[#This Row],[Housing Starts]]-H552)</f>
        <v>79</v>
      </c>
      <c r="J553" s="41">
        <f>IF(Tabela1716[[#This Row],[Housing Starts]]="",#N/A,((Tabela1716[[#This Row],[Housing Starts]]*1)/H541)-1)</f>
        <v>-0.26874708896134136</v>
      </c>
      <c r="K553" s="33">
        <v>1121749</v>
      </c>
      <c r="L553" s="41">
        <f>IF(Tabela1716[[#This Row],[Total Construction Spending]]="",#N/A,((Tabela1716[[#This Row],[Total Construction Spending]]*1)/K541)-1)</f>
        <v>-4.2949773481558595E-2</v>
      </c>
      <c r="M553" s="31">
        <v>6340</v>
      </c>
      <c r="N553" s="41">
        <f>IF(Tabela1716[[#This Row],[Existing Home Sales]]="",#N/A,((Tabela1716[[#This Row],[Existing Home Sales]]*1)/M541)-1)</f>
        <v>-9.8150782361308697E-2</v>
      </c>
      <c r="O553" s="33">
        <v>1003</v>
      </c>
      <c r="P553" s="41">
        <f>IF(Tabela1716[[#This Row],[New House Sales]]="",#N/A,((Tabela1716[[#This Row],[New House Sales]]*1)/O552)-1)</f>
        <v>6.5887353878852251E-2</v>
      </c>
      <c r="Q553" s="41">
        <f>IF(Tabela1716[[#This Row],[New House Sales]]="",#N/A,((Tabela1716[[#This Row],[New House Sales]]*1)/O541)-1)</f>
        <v>-0.17380560131795719</v>
      </c>
      <c r="R553" s="27">
        <v>6.6</v>
      </c>
      <c r="S553" s="86">
        <v>183.63</v>
      </c>
      <c r="T553" s="41">
        <f>IF(Tabela1716[[#This Row],[S&amp;P/Case-Shiller Home Price Index]]="",#N/A,((Tabela1716[[#This Row],[S&amp;P/Case-Shiller Home Price Index]]*1)/S552)-1)</f>
        <v>-2.2982510472526751E-3</v>
      </c>
      <c r="U553" s="41">
        <f>IF(Tabela1716[[#This Row],[S&amp;P/Case-Shiller Home Price Index]]="",#N/A,((Tabela1716[[#This Row],[S&amp;P/Case-Shiller Home Price Index]]*1)/S541)-1)</f>
        <v>2.2023342405369739E-2</v>
      </c>
      <c r="V553" s="39"/>
      <c r="W553" s="9"/>
      <c r="X553" s="9"/>
    </row>
    <row r="554" spans="1:24" ht="12.75">
      <c r="A554" s="12">
        <v>39052</v>
      </c>
      <c r="B554" s="26">
        <v>6.18</v>
      </c>
      <c r="C554" s="29">
        <v>33</v>
      </c>
      <c r="D554" s="33">
        <v>1638</v>
      </c>
      <c r="E554" s="41">
        <f>IF(Tabela1716[[#This Row],[Building Permits]]="",#N/A,((Tabela1716[[#This Row],[Building Permits]]*1)/D542)-1)</f>
        <v>-0.22735849056603774</v>
      </c>
      <c r="F554" s="33">
        <v>1247</v>
      </c>
      <c r="G554" s="41">
        <f>IF(Tabela1716[[#This Row],[Houses Under Construction]]="",#N/A,((Tabela1716[[#This Row],[Houses Under Construction]]*1)/F542)-1)</f>
        <v>-0.11245551601423487</v>
      </c>
      <c r="H554" s="33">
        <v>1649</v>
      </c>
      <c r="I554" s="33">
        <f>IF(Tabela1716[[#This Row],[Housing Starts]]="",#N/A,Tabela1716[[#This Row],[Housing Starts]]-H553)</f>
        <v>79</v>
      </c>
      <c r="J554" s="41">
        <f>IF(Tabela1716[[#This Row],[Housing Starts]]="",#N/A,((Tabela1716[[#This Row],[Housing Starts]]*1)/H542)-1)</f>
        <v>-0.17301905717151456</v>
      </c>
      <c r="K554" s="33">
        <v>1135406</v>
      </c>
      <c r="L554" s="41">
        <f>IF(Tabela1716[[#This Row],[Total Construction Spending]]="",#N/A,((Tabela1716[[#This Row],[Total Construction Spending]]*1)/K542)-1)</f>
        <v>-4.1590239364822645E-2</v>
      </c>
      <c r="M554" s="31">
        <v>6400</v>
      </c>
      <c r="N554" s="41">
        <f>IF(Tabela1716[[#This Row],[Existing Home Sales]]="",#N/A,((Tabela1716[[#This Row],[Existing Home Sales]]*1)/M542)-1)</f>
        <v>-6.4327485380117011E-2</v>
      </c>
      <c r="O554" s="33">
        <v>998</v>
      </c>
      <c r="P554" s="41">
        <f>IF(Tabela1716[[#This Row],[New House Sales]]="",#N/A,((Tabela1716[[#This Row],[New House Sales]]*1)/O553)-1)</f>
        <v>-4.9850448654037427E-3</v>
      </c>
      <c r="Q554" s="41">
        <f>IF(Tabela1716[[#This Row],[New House Sales]]="",#N/A,((Tabela1716[[#This Row],[New House Sales]]*1)/O542)-1)</f>
        <v>-0.19451170298627929</v>
      </c>
      <c r="R554" s="27">
        <v>6.5</v>
      </c>
      <c r="S554" s="86">
        <v>183.22799999999998</v>
      </c>
      <c r="T554" s="41">
        <f>IF(Tabela1716[[#This Row],[S&amp;P/Case-Shiller Home Price Index]]="",#N/A,((Tabela1716[[#This Row],[S&amp;P/Case-Shiller Home Price Index]]*1)/S553)-1)</f>
        <v>-2.1891847737298686E-3</v>
      </c>
      <c r="U554" s="41">
        <f>IF(Tabela1716[[#This Row],[S&amp;P/Case-Shiller Home Price Index]]="",#N/A,((Tabela1716[[#This Row],[S&amp;P/Case-Shiller Home Price Index]]*1)/S542)-1)</f>
        <v>1.7334236505169187E-2</v>
      </c>
      <c r="V554" s="37"/>
      <c r="W554" s="9"/>
      <c r="X554" s="9"/>
    </row>
    <row r="555" spans="1:24" ht="12.75">
      <c r="A555" s="12">
        <v>39083</v>
      </c>
      <c r="B555" s="26">
        <v>6.25</v>
      </c>
      <c r="C555" s="29">
        <v>35</v>
      </c>
      <c r="D555" s="33">
        <v>1626</v>
      </c>
      <c r="E555" s="41">
        <f>IF(Tabela1716[[#This Row],[Building Permits]]="",#N/A,((Tabela1716[[#This Row],[Building Permits]]*1)/D543)-1)</f>
        <v>-0.2649186256781193</v>
      </c>
      <c r="F555" s="33">
        <v>1217</v>
      </c>
      <c r="G555" s="41">
        <f>IF(Tabela1716[[#This Row],[Houses Under Construction]]="",#N/A,((Tabela1716[[#This Row],[Houses Under Construction]]*1)/F543)-1)</f>
        <v>-0.1453651685393258</v>
      </c>
      <c r="H555" s="33">
        <v>1409</v>
      </c>
      <c r="I555" s="33">
        <f>IF(Tabela1716[[#This Row],[Housing Starts]]="",#N/A,Tabela1716[[#This Row],[Housing Starts]]-H554)</f>
        <v>-240</v>
      </c>
      <c r="J555" s="41">
        <f>IF(Tabela1716[[#This Row],[Housing Starts]]="",#N/A,((Tabela1716[[#This Row],[Housing Starts]]*1)/H543)-1)</f>
        <v>-0.38011438627364713</v>
      </c>
      <c r="K555" s="33">
        <v>1137917</v>
      </c>
      <c r="L555" s="41">
        <f>IF(Tabela1716[[#This Row],[Total Construction Spending]]="",#N/A,((Tabela1716[[#This Row],[Total Construction Spending]]*1)/K543)-1)</f>
        <v>-4.8279501723760165E-2</v>
      </c>
      <c r="M555" s="31">
        <v>5740</v>
      </c>
      <c r="N555" s="41">
        <f>IF(Tabela1716[[#This Row],[Existing Home Sales]]="",#N/A,((Tabela1716[[#This Row],[Existing Home Sales]]*1)/M543)-1)</f>
        <v>-0.14583333333333337</v>
      </c>
      <c r="O555" s="33">
        <v>891</v>
      </c>
      <c r="P555" s="41">
        <f>IF(Tabela1716[[#This Row],[New House Sales]]="",#N/A,((Tabela1716[[#This Row],[New House Sales]]*1)/O554)-1)</f>
        <v>-0.10721442885771548</v>
      </c>
      <c r="Q555" s="41">
        <f>IF(Tabela1716[[#This Row],[New House Sales]]="",#N/A,((Tabela1716[[#This Row],[New House Sales]]*1)/O543)-1)</f>
        <v>-0.24105621805792166</v>
      </c>
      <c r="R555" s="27">
        <v>7.2</v>
      </c>
      <c r="S555" s="86">
        <v>182.71799999999999</v>
      </c>
      <c r="T555" s="41">
        <f>IF(Tabela1716[[#This Row],[S&amp;P/Case-Shiller Home Price Index]]="",#N/A,((Tabela1716[[#This Row],[S&amp;P/Case-Shiller Home Price Index]]*1)/S554)-1)</f>
        <v>-2.7834173816227992E-3</v>
      </c>
      <c r="U555" s="41">
        <f>IF(Tabela1716[[#This Row],[S&amp;P/Case-Shiller Home Price Index]]="",#N/A,((Tabela1716[[#This Row],[S&amp;P/Case-Shiller Home Price Index]]*1)/S543)-1)</f>
        <v>1.0457509110918028E-2</v>
      </c>
      <c r="V555" s="39"/>
      <c r="W555" s="9"/>
      <c r="X555" s="9"/>
    </row>
    <row r="556" spans="1:24" ht="12.75">
      <c r="A556" s="12">
        <v>39114</v>
      </c>
      <c r="B556" s="26">
        <v>6.22</v>
      </c>
      <c r="C556" s="29">
        <v>39</v>
      </c>
      <c r="D556" s="33">
        <v>1598</v>
      </c>
      <c r="E556" s="41">
        <f>IF(Tabela1716[[#This Row],[Building Permits]]="",#N/A,((Tabela1716[[#This Row],[Building Permits]]*1)/D544)-1)</f>
        <v>-0.25361980382998595</v>
      </c>
      <c r="F556" s="33">
        <v>1206</v>
      </c>
      <c r="G556" s="41">
        <f>IF(Tabela1716[[#This Row],[Houses Under Construction]]="",#N/A,((Tabela1716[[#This Row],[Houses Under Construction]]*1)/F544)-1)</f>
        <v>-0.15249472944483489</v>
      </c>
      <c r="H556" s="33">
        <v>1480</v>
      </c>
      <c r="I556" s="33">
        <f>IF(Tabela1716[[#This Row],[Housing Starts]]="",#N/A,Tabela1716[[#This Row],[Housing Starts]]-H555)</f>
        <v>71</v>
      </c>
      <c r="J556" s="41">
        <f>IF(Tabela1716[[#This Row],[Housing Starts]]="",#N/A,((Tabela1716[[#This Row],[Housing Starts]]*1)/H544)-1)</f>
        <v>-0.30155733836715437</v>
      </c>
      <c r="K556" s="33">
        <v>1139032</v>
      </c>
      <c r="L556" s="41">
        <f>IF(Tabela1716[[#This Row],[Total Construction Spending]]="",#N/A,((Tabela1716[[#This Row],[Total Construction Spending]]*1)/K544)-1)</f>
        <v>-5.5246222127850908E-2</v>
      </c>
      <c r="M556" s="31">
        <v>5790</v>
      </c>
      <c r="N556" s="41">
        <f>IF(Tabela1716[[#This Row],[Existing Home Sales]]="",#N/A,((Tabela1716[[#This Row],[Existing Home Sales]]*1)/M544)-1)</f>
        <v>-0.15350877192982459</v>
      </c>
      <c r="O556" s="33">
        <v>828</v>
      </c>
      <c r="P556" s="41">
        <f>IF(Tabela1716[[#This Row],[New House Sales]]="",#N/A,((Tabela1716[[#This Row],[New House Sales]]*1)/O555)-1)</f>
        <v>-7.0707070707070718E-2</v>
      </c>
      <c r="Q556" s="41">
        <f>IF(Tabela1716[[#This Row],[New House Sales]]="",#N/A,((Tabela1716[[#This Row],[New House Sales]]*1)/O544)-1)</f>
        <v>-0.21960414703110276</v>
      </c>
      <c r="R556" s="27">
        <v>7.9</v>
      </c>
      <c r="S556" s="86">
        <v>182.47</v>
      </c>
      <c r="T556" s="41">
        <f>IF(Tabela1716[[#This Row],[S&amp;P/Case-Shiller Home Price Index]]="",#N/A,((Tabela1716[[#This Row],[S&amp;P/Case-Shiller Home Price Index]]*1)/S555)-1)</f>
        <v>-1.3572828073862286E-3</v>
      </c>
      <c r="U556" s="41">
        <f>IF(Tabela1716[[#This Row],[S&amp;P/Case-Shiller Home Price Index]]="",#N/A,((Tabela1716[[#This Row],[S&amp;P/Case-Shiller Home Price Index]]*1)/S544)-1)</f>
        <v>5.3498917349406039E-3</v>
      </c>
      <c r="V556" s="37"/>
      <c r="W556" s="9"/>
      <c r="X556" s="9"/>
    </row>
    <row r="557" spans="1:24" ht="12.75">
      <c r="A557" s="12">
        <v>39142</v>
      </c>
      <c r="B557" s="26">
        <v>6.16</v>
      </c>
      <c r="C557" s="29">
        <v>36</v>
      </c>
      <c r="D557" s="33">
        <v>1596</v>
      </c>
      <c r="E557" s="41">
        <f>IF(Tabela1716[[#This Row],[Building Permits]]="",#N/A,((Tabela1716[[#This Row],[Building Permits]]*1)/D545)-1)</f>
        <v>-0.2464589235127479</v>
      </c>
      <c r="F557" s="33">
        <v>1192</v>
      </c>
      <c r="G557" s="41">
        <f>IF(Tabela1716[[#This Row],[Houses Under Construction]]="",#N/A,((Tabela1716[[#This Row],[Houses Under Construction]]*1)/F545)-1)</f>
        <v>-0.16233309908643712</v>
      </c>
      <c r="H557" s="33">
        <v>1495</v>
      </c>
      <c r="I557" s="33">
        <f>IF(Tabela1716[[#This Row],[Housing Starts]]="",#N/A,Tabela1716[[#This Row],[Housing Starts]]-H556)</f>
        <v>15</v>
      </c>
      <c r="J557" s="41">
        <f>IF(Tabela1716[[#This Row],[Housing Starts]]="",#N/A,((Tabela1716[[#This Row],[Housing Starts]]*1)/H545)-1)</f>
        <v>-0.24073133570340277</v>
      </c>
      <c r="K557" s="33">
        <v>1146624</v>
      </c>
      <c r="L557" s="41">
        <f>IF(Tabela1716[[#This Row],[Total Construction Spending]]="",#N/A,((Tabela1716[[#This Row],[Total Construction Spending]]*1)/K545)-1)</f>
        <v>-4.8578249191607137E-2</v>
      </c>
      <c r="M557" s="31">
        <v>5460</v>
      </c>
      <c r="N557" s="41">
        <f>IF(Tabela1716[[#This Row],[Existing Home Sales]]="",#N/A,((Tabela1716[[#This Row],[Existing Home Sales]]*1)/M545)-1)</f>
        <v>-0.20058565153733532</v>
      </c>
      <c r="O557" s="33">
        <v>833</v>
      </c>
      <c r="P557" s="41">
        <f>IF(Tabela1716[[#This Row],[New House Sales]]="",#N/A,((Tabela1716[[#This Row],[New House Sales]]*1)/O556)-1)</f>
        <v>6.0386473429951959E-3</v>
      </c>
      <c r="Q557" s="41">
        <f>IF(Tabela1716[[#This Row],[New House Sales]]="",#N/A,((Tabela1716[[#This Row],[New House Sales]]*1)/O545)-1)</f>
        <v>-0.25358422939068104</v>
      </c>
      <c r="R557" s="27">
        <v>7.9</v>
      </c>
      <c r="S557" s="86">
        <v>182.19299999999998</v>
      </c>
      <c r="T557" s="41">
        <f>IF(Tabela1716[[#This Row],[S&amp;P/Case-Shiller Home Price Index]]="",#N/A,((Tabela1716[[#This Row],[S&amp;P/Case-Shiller Home Price Index]]*1)/S556)-1)</f>
        <v>-1.518057762920022E-3</v>
      </c>
      <c r="U557" s="41">
        <f>IF(Tabela1716[[#This Row],[S&amp;P/Case-Shiller Home Price Index]]="",#N/A,((Tabela1716[[#This Row],[S&amp;P/Case-Shiller Home Price Index]]*1)/S545)-1)</f>
        <v>-3.0424243087515679E-3</v>
      </c>
      <c r="V557" s="39"/>
      <c r="W557" s="9"/>
      <c r="X557" s="9"/>
    </row>
    <row r="558" spans="1:24" ht="12.75">
      <c r="A558" s="12">
        <v>39173</v>
      </c>
      <c r="B558" s="26">
        <v>6.16</v>
      </c>
      <c r="C558" s="29">
        <v>33</v>
      </c>
      <c r="D558" s="33">
        <v>1470</v>
      </c>
      <c r="E558" s="41">
        <f>IF(Tabela1716[[#This Row],[Building Permits]]="",#N/A,((Tabela1716[[#This Row],[Building Permits]]*1)/D546)-1)</f>
        <v>-0.2642642642642643</v>
      </c>
      <c r="F558" s="33">
        <v>1181</v>
      </c>
      <c r="G558" s="41">
        <f>IF(Tabela1716[[#This Row],[Houses Under Construction]]="",#N/A,((Tabela1716[[#This Row],[Houses Under Construction]]*1)/F546)-1)</f>
        <v>-0.15703069236259815</v>
      </c>
      <c r="H558" s="33">
        <v>1490</v>
      </c>
      <c r="I558" s="33">
        <f>IF(Tabela1716[[#This Row],[Housing Starts]]="",#N/A,Tabela1716[[#This Row],[Housing Starts]]-H557)</f>
        <v>-5</v>
      </c>
      <c r="J558" s="41">
        <f>IF(Tabela1716[[#This Row],[Housing Starts]]="",#N/A,((Tabela1716[[#This Row],[Housing Starts]]*1)/H546)-1)</f>
        <v>-0.18176825919824269</v>
      </c>
      <c r="K558" s="33">
        <v>1150590</v>
      </c>
      <c r="L558" s="41">
        <f>IF(Tabela1716[[#This Row],[Total Construction Spending]]="",#N/A,((Tabela1716[[#This Row],[Total Construction Spending]]*1)/K546)-1)</f>
        <v>-3.5788270471031502E-2</v>
      </c>
      <c r="M558" s="31">
        <v>5290</v>
      </c>
      <c r="N558" s="41">
        <f>IF(Tabela1716[[#This Row],[Existing Home Sales]]="",#N/A,((Tabela1716[[#This Row],[Existing Home Sales]]*1)/M546)-1)</f>
        <v>-0.21044776119402986</v>
      </c>
      <c r="O558" s="33">
        <v>887</v>
      </c>
      <c r="P558" s="41">
        <f>IF(Tabela1716[[#This Row],[New House Sales]]="",#N/A,((Tabela1716[[#This Row],[New House Sales]]*1)/O557)-1)</f>
        <v>6.4825930372148788E-2</v>
      </c>
      <c r="Q558" s="41">
        <f>IF(Tabela1716[[#This Row],[New House Sales]]="",#N/A,((Tabela1716[[#This Row],[New House Sales]]*1)/O546)-1)</f>
        <v>-0.21015138023152269</v>
      </c>
      <c r="R558" s="27">
        <v>7.4</v>
      </c>
      <c r="S558" s="86">
        <v>182.13099999999997</v>
      </c>
      <c r="T558" s="41">
        <f>IF(Tabela1716[[#This Row],[S&amp;P/Case-Shiller Home Price Index]]="",#N/A,((Tabela1716[[#This Row],[S&amp;P/Case-Shiller Home Price Index]]*1)/S557)-1)</f>
        <v>-3.4029847469452257E-4</v>
      </c>
      <c r="U558" s="41">
        <f>IF(Tabela1716[[#This Row],[S&amp;P/Case-Shiller Home Price Index]]="",#N/A,((Tabela1716[[#This Row],[S&amp;P/Case-Shiller Home Price Index]]*1)/S546)-1)</f>
        <v>-8.2603676598711484E-3</v>
      </c>
      <c r="V558" s="37"/>
      <c r="W558" s="9"/>
      <c r="X558" s="9"/>
    </row>
    <row r="559" spans="1:24" ht="12.75">
      <c r="A559" s="12">
        <v>39203</v>
      </c>
      <c r="B559" s="26">
        <v>6.42</v>
      </c>
      <c r="C559" s="29">
        <v>30</v>
      </c>
      <c r="D559" s="33">
        <v>1493</v>
      </c>
      <c r="E559" s="41">
        <f>IF(Tabela1716[[#This Row],[Building Permits]]="",#N/A,((Tabela1716[[#This Row],[Building Permits]]*1)/D547)-1)</f>
        <v>-0.21627296587926514</v>
      </c>
      <c r="F559" s="33">
        <v>1164</v>
      </c>
      <c r="G559" s="41">
        <f>IF(Tabela1716[[#This Row],[Houses Under Construction]]="",#N/A,((Tabela1716[[#This Row],[Houses Under Construction]]*1)/F547)-1)</f>
        <v>-0.17388218594748051</v>
      </c>
      <c r="H559" s="33">
        <v>1415</v>
      </c>
      <c r="I559" s="33">
        <f>IF(Tabela1716[[#This Row],[Housing Starts]]="",#N/A,Tabela1716[[#This Row],[Housing Starts]]-H558)</f>
        <v>-75</v>
      </c>
      <c r="J559" s="41">
        <f>IF(Tabela1716[[#This Row],[Housing Starts]]="",#N/A,((Tabela1716[[#This Row],[Housing Starts]]*1)/H547)-1)</f>
        <v>-0.27136972193614828</v>
      </c>
      <c r="K559" s="33">
        <v>1161581</v>
      </c>
      <c r="L559" s="41">
        <f>IF(Tabela1716[[#This Row],[Total Construction Spending]]="",#N/A,((Tabela1716[[#This Row],[Total Construction Spending]]*1)/K547)-1)</f>
        <v>-1.6093770778963901E-2</v>
      </c>
      <c r="M559" s="31">
        <v>5270</v>
      </c>
      <c r="N559" s="41">
        <f>IF(Tabela1716[[#This Row],[Existing Home Sales]]="",#N/A,((Tabela1716[[#This Row],[Existing Home Sales]]*1)/M547)-1)</f>
        <v>-0.19908814589665658</v>
      </c>
      <c r="O559" s="33">
        <v>842</v>
      </c>
      <c r="P559" s="41">
        <f>IF(Tabela1716[[#This Row],[New House Sales]]="",#N/A,((Tabela1716[[#This Row],[New House Sales]]*1)/O558)-1)</f>
        <v>-5.0732807215332576E-2</v>
      </c>
      <c r="Q559" s="41">
        <f>IF(Tabela1716[[#This Row],[New House Sales]]="",#N/A,((Tabela1716[[#This Row],[New House Sales]]*1)/O547)-1)</f>
        <v>-0.22467771639042355</v>
      </c>
      <c r="R559" s="27">
        <v>7.8</v>
      </c>
      <c r="S559" s="86">
        <v>181.88400000000001</v>
      </c>
      <c r="T559" s="41">
        <f>IF(Tabela1716[[#This Row],[S&amp;P/Case-Shiller Home Price Index]]="",#N/A,((Tabela1716[[#This Row],[S&amp;P/Case-Shiller Home Price Index]]*1)/S558)-1)</f>
        <v>-1.3561667151663626E-3</v>
      </c>
      <c r="U559" s="41">
        <f>IF(Tabela1716[[#This Row],[S&amp;P/Case-Shiller Home Price Index]]="",#N/A,((Tabela1716[[#This Row],[S&amp;P/Case-Shiller Home Price Index]]*1)/S547)-1)</f>
        <v>-1.3537260006508234E-2</v>
      </c>
      <c r="V559" s="39"/>
      <c r="W559" s="9"/>
      <c r="X559" s="9"/>
    </row>
    <row r="560" spans="1:24" ht="12.75">
      <c r="A560" s="12">
        <v>39234</v>
      </c>
      <c r="B560" s="26">
        <v>6.67</v>
      </c>
      <c r="C560" s="29">
        <v>28</v>
      </c>
      <c r="D560" s="33">
        <v>1407</v>
      </c>
      <c r="E560" s="41">
        <f>IF(Tabela1716[[#This Row],[Building Permits]]="",#N/A,((Tabela1716[[#This Row],[Building Permits]]*1)/D548)-1)</f>
        <v>-0.2463845741831816</v>
      </c>
      <c r="F560" s="33">
        <v>1161</v>
      </c>
      <c r="G560" s="41">
        <f>IF(Tabela1716[[#This Row],[Houses Under Construction]]="",#N/A,((Tabela1716[[#This Row],[Houses Under Construction]]*1)/F548)-1)</f>
        <v>-0.16052060737527118</v>
      </c>
      <c r="H560" s="33">
        <v>1448</v>
      </c>
      <c r="I560" s="33">
        <f>IF(Tabela1716[[#This Row],[Housing Starts]]="",#N/A,Tabela1716[[#This Row],[Housing Starts]]-H559)</f>
        <v>33</v>
      </c>
      <c r="J560" s="41">
        <f>IF(Tabela1716[[#This Row],[Housing Starts]]="",#N/A,((Tabela1716[[#This Row],[Housing Starts]]*1)/H548)-1)</f>
        <v>-0.19644839067702558</v>
      </c>
      <c r="K560" s="33">
        <v>1163511</v>
      </c>
      <c r="L560" s="41">
        <f>IF(Tabela1716[[#This Row],[Total Construction Spending]]="",#N/A,((Tabela1716[[#This Row],[Total Construction Spending]]*1)/K548)-1)</f>
        <v>-7.3515861748887357E-3</v>
      </c>
      <c r="M560" s="31">
        <v>5120</v>
      </c>
      <c r="N560" s="41">
        <f>IF(Tabela1716[[#This Row],[Existing Home Sales]]="",#N/A,((Tabela1716[[#This Row],[Existing Home Sales]]*1)/M548)-1)</f>
        <v>-0.20987654320987659</v>
      </c>
      <c r="O560" s="33">
        <v>793</v>
      </c>
      <c r="P560" s="41">
        <f>IF(Tabela1716[[#This Row],[New House Sales]]="",#N/A,((Tabela1716[[#This Row],[New House Sales]]*1)/O559)-1)</f>
        <v>-5.8194774346793321E-2</v>
      </c>
      <c r="Q560" s="41">
        <f>IF(Tabela1716[[#This Row],[New House Sales]]="",#N/A,((Tabela1716[[#This Row],[New House Sales]]*1)/O548)-1)</f>
        <v>-0.26163873370577284</v>
      </c>
      <c r="R560" s="27">
        <v>8.1999999999999993</v>
      </c>
      <c r="S560" s="86">
        <v>181.54</v>
      </c>
      <c r="T560" s="41">
        <f>IF(Tabela1716[[#This Row],[S&amp;P/Case-Shiller Home Price Index]]="",#N/A,((Tabela1716[[#This Row],[S&amp;P/Case-Shiller Home Price Index]]*1)/S559)-1)</f>
        <v>-1.8913153438456787E-3</v>
      </c>
      <c r="U560" s="41">
        <f>IF(Tabela1716[[#This Row],[S&amp;P/Case-Shiller Home Price Index]]="",#N/A,((Tabela1716[[#This Row],[S&amp;P/Case-Shiller Home Price Index]]*1)/S548)-1)</f>
        <v>-1.6293952218134122E-2</v>
      </c>
      <c r="V560" s="37"/>
      <c r="W560" s="9"/>
      <c r="X560" s="9"/>
    </row>
    <row r="561" spans="1:24" ht="12.75">
      <c r="A561" s="12">
        <v>39264</v>
      </c>
      <c r="B561" s="26">
        <v>6.69</v>
      </c>
      <c r="C561" s="29">
        <v>24</v>
      </c>
      <c r="D561" s="33">
        <v>1361</v>
      </c>
      <c r="E561" s="41">
        <f>IF(Tabela1716[[#This Row],[Building Permits]]="",#N/A,((Tabela1716[[#This Row],[Building Permits]]*1)/D549)-1)</f>
        <v>-0.22802041973908116</v>
      </c>
      <c r="F561" s="33">
        <v>1144</v>
      </c>
      <c r="G561" s="41">
        <f>IF(Tabela1716[[#This Row],[Houses Under Construction]]="",#N/A,((Tabela1716[[#This Row],[Houses Under Construction]]*1)/F549)-1)</f>
        <v>-0.16067498165810712</v>
      </c>
      <c r="H561" s="33">
        <v>1354</v>
      </c>
      <c r="I561" s="33">
        <f>IF(Tabela1716[[#This Row],[Housing Starts]]="",#N/A,Tabela1716[[#This Row],[Housing Starts]]-H560)</f>
        <v>-94</v>
      </c>
      <c r="J561" s="41">
        <f>IF(Tabela1716[[#This Row],[Housing Starts]]="",#N/A,((Tabela1716[[#This Row],[Housing Starts]]*1)/H549)-1)</f>
        <v>-0.22049510650546922</v>
      </c>
      <c r="K561" s="33">
        <v>1155448</v>
      </c>
      <c r="L561" s="41">
        <f>IF(Tabela1716[[#This Row],[Total Construction Spending]]="",#N/A,((Tabela1716[[#This Row],[Total Construction Spending]]*1)/K549)-1)</f>
        <v>-2.1400331281964391E-3</v>
      </c>
      <c r="M561" s="31">
        <v>5070</v>
      </c>
      <c r="N561" s="41">
        <f>IF(Tabela1716[[#This Row],[Existing Home Sales]]="",#N/A,((Tabela1716[[#This Row],[Existing Home Sales]]*1)/M549)-1)</f>
        <v>-0.19778481012658233</v>
      </c>
      <c r="O561" s="33">
        <v>778</v>
      </c>
      <c r="P561" s="41">
        <f>IF(Tabela1716[[#This Row],[New House Sales]]="",#N/A,((Tabela1716[[#This Row],[New House Sales]]*1)/O560)-1)</f>
        <v>-1.8915510718789386E-2</v>
      </c>
      <c r="Q561" s="41">
        <f>IF(Tabela1716[[#This Row],[New House Sales]]="",#N/A,((Tabela1716[[#This Row],[New House Sales]]*1)/O549)-1)</f>
        <v>-0.19378238341968912</v>
      </c>
      <c r="R561" s="27">
        <v>8.3000000000000007</v>
      </c>
      <c r="S561" s="86">
        <v>180.99299999999999</v>
      </c>
      <c r="T561" s="41">
        <f>IF(Tabela1716[[#This Row],[S&amp;P/Case-Shiller Home Price Index]]="",#N/A,((Tabela1716[[#This Row],[S&amp;P/Case-Shiller Home Price Index]]*1)/S560)-1)</f>
        <v>-3.0131100583893344E-3</v>
      </c>
      <c r="U561" s="41">
        <f>IF(Tabela1716[[#This Row],[S&amp;P/Case-Shiller Home Price Index]]="",#N/A,((Tabela1716[[#This Row],[S&amp;P/Case-Shiller Home Price Index]]*1)/S549)-1)</f>
        <v>-1.9576722442810945E-2</v>
      </c>
      <c r="V561" s="39"/>
      <c r="W561" s="9"/>
      <c r="X561" s="9"/>
    </row>
    <row r="562" spans="1:24" ht="12.75">
      <c r="A562" s="12">
        <v>39295</v>
      </c>
      <c r="B562" s="26">
        <v>6.45</v>
      </c>
      <c r="C562" s="29">
        <v>22</v>
      </c>
      <c r="D562" s="33">
        <v>1321</v>
      </c>
      <c r="E562" s="41">
        <f>IF(Tabela1716[[#This Row],[Building Permits]]="",#N/A,((Tabela1716[[#This Row],[Building Permits]]*1)/D550)-1)</f>
        <v>-0.23286875725900114</v>
      </c>
      <c r="F562" s="33">
        <v>1123</v>
      </c>
      <c r="G562" s="41">
        <f>IF(Tabela1716[[#This Row],[Houses Under Construction]]="",#N/A,((Tabela1716[[#This Row],[Houses Under Construction]]*1)/F550)-1)</f>
        <v>-0.16131441374159816</v>
      </c>
      <c r="H562" s="33">
        <v>1330</v>
      </c>
      <c r="I562" s="33">
        <f>IF(Tabela1716[[#This Row],[Housing Starts]]="",#N/A,Tabela1716[[#This Row],[Housing Starts]]-H561)</f>
        <v>-24</v>
      </c>
      <c r="J562" s="41">
        <f>IF(Tabela1716[[#This Row],[Housing Starts]]="",#N/A,((Tabela1716[[#This Row],[Housing Starts]]*1)/H550)-1)</f>
        <v>-0.19393939393939397</v>
      </c>
      <c r="K562" s="33">
        <v>1159077</v>
      </c>
      <c r="L562" s="41">
        <f>IF(Tabela1716[[#This Row],[Total Construction Spending]]="",#N/A,((Tabela1716[[#This Row],[Total Construction Spending]]*1)/K550)-1)</f>
        <v>1.1493079281302832E-2</v>
      </c>
      <c r="M562" s="31">
        <v>4870</v>
      </c>
      <c r="N562" s="41">
        <f>IF(Tabela1716[[#This Row],[Existing Home Sales]]="",#N/A,((Tabela1716[[#This Row],[Existing Home Sales]]*1)/M550)-1)</f>
        <v>-0.23186119873817035</v>
      </c>
      <c r="O562" s="33">
        <v>699</v>
      </c>
      <c r="P562" s="41">
        <f>IF(Tabela1716[[#This Row],[New House Sales]]="",#N/A,((Tabela1716[[#This Row],[New House Sales]]*1)/O561)-1)</f>
        <v>-0.10154241645244211</v>
      </c>
      <c r="Q562" s="41">
        <f>IF(Tabela1716[[#This Row],[New House Sales]]="",#N/A,((Tabela1716[[#This Row],[New House Sales]]*1)/O550)-1)</f>
        <v>-0.32463768115942027</v>
      </c>
      <c r="R562" s="27">
        <v>9.1999999999999993</v>
      </c>
      <c r="S562" s="86">
        <v>180.23400000000001</v>
      </c>
      <c r="T562" s="41">
        <f>IF(Tabela1716[[#This Row],[S&amp;P/Case-Shiller Home Price Index]]="",#N/A,((Tabela1716[[#This Row],[S&amp;P/Case-Shiller Home Price Index]]*1)/S561)-1)</f>
        <v>-4.1935323465547292E-3</v>
      </c>
      <c r="U562" s="41">
        <f>IF(Tabela1716[[#This Row],[S&amp;P/Case-Shiller Home Price Index]]="",#N/A,((Tabela1716[[#This Row],[S&amp;P/Case-Shiller Home Price Index]]*1)/S550)-1)</f>
        <v>-2.2613392334222771E-2</v>
      </c>
      <c r="V562" s="37"/>
      <c r="W562" s="9"/>
      <c r="X562" s="9"/>
    </row>
    <row r="563" spans="1:24" ht="12.75">
      <c r="A563" s="12">
        <v>39326</v>
      </c>
      <c r="B563" s="26">
        <v>6.42</v>
      </c>
      <c r="C563" s="29">
        <v>20</v>
      </c>
      <c r="D563" s="33">
        <v>1261</v>
      </c>
      <c r="E563" s="41">
        <f>IF(Tabela1716[[#This Row],[Building Permits]]="",#N/A,((Tabela1716[[#This Row],[Building Permits]]*1)/D551)-1)</f>
        <v>-0.23806646525679753</v>
      </c>
      <c r="F563" s="33">
        <v>1108</v>
      </c>
      <c r="G563" s="41">
        <f>IF(Tabela1716[[#This Row],[Houses Under Construction]]="",#N/A,((Tabela1716[[#This Row],[Houses Under Construction]]*1)/F551)-1)</f>
        <v>-0.15869400151860291</v>
      </c>
      <c r="H563" s="33">
        <v>1183</v>
      </c>
      <c r="I563" s="33">
        <f>IF(Tabela1716[[#This Row],[Housing Starts]]="",#N/A,Tabela1716[[#This Row],[Housing Starts]]-H562)</f>
        <v>-147</v>
      </c>
      <c r="J563" s="41">
        <f>IF(Tabela1716[[#This Row],[Housing Starts]]="",#N/A,((Tabela1716[[#This Row],[Housing Starts]]*1)/H551)-1)</f>
        <v>-0.31220930232558142</v>
      </c>
      <c r="K563" s="33">
        <v>1158580</v>
      </c>
      <c r="L563" s="41">
        <f>IF(Tabela1716[[#This Row],[Total Construction Spending]]="",#N/A,((Tabela1716[[#This Row],[Total Construction Spending]]*1)/K551)-1)</f>
        <v>2.0098560162288726E-2</v>
      </c>
      <c r="M563" s="31">
        <v>4580</v>
      </c>
      <c r="N563" s="41">
        <f>IF(Tabela1716[[#This Row],[Existing Home Sales]]="",#N/A,((Tabela1716[[#This Row],[Existing Home Sales]]*1)/M551)-1)</f>
        <v>-0.27070063694267521</v>
      </c>
      <c r="O563" s="33">
        <v>686</v>
      </c>
      <c r="P563" s="41">
        <f>IF(Tabela1716[[#This Row],[New House Sales]]="",#N/A,((Tabela1716[[#This Row],[New House Sales]]*1)/O562)-1)</f>
        <v>-1.859799713876964E-2</v>
      </c>
      <c r="Q563" s="41">
        <f>IF(Tabela1716[[#This Row],[New House Sales]]="",#N/A,((Tabela1716[[#This Row],[New House Sales]]*1)/O551)-1)</f>
        <v>-0.32480314960629919</v>
      </c>
      <c r="R563" s="27">
        <v>9.1999999999999993</v>
      </c>
      <c r="S563" s="86">
        <v>179.12099999999998</v>
      </c>
      <c r="T563" s="41">
        <f>IF(Tabela1716[[#This Row],[S&amp;P/Case-Shiller Home Price Index]]="",#N/A,((Tabela1716[[#This Row],[S&amp;P/Case-Shiller Home Price Index]]*1)/S562)-1)</f>
        <v>-6.1753054362663207E-3</v>
      </c>
      <c r="U563" s="41">
        <f>IF(Tabela1716[[#This Row],[S&amp;P/Case-Shiller Home Price Index]]="",#N/A,((Tabela1716[[#This Row],[S&amp;P/Case-Shiller Home Price Index]]*1)/S551)-1)</f>
        <v>-2.7557452075766875E-2</v>
      </c>
      <c r="V563" s="39"/>
      <c r="W563" s="9"/>
      <c r="X563" s="9"/>
    </row>
    <row r="564" spans="1:24" ht="12.75">
      <c r="A564" s="12">
        <v>39356</v>
      </c>
      <c r="B564" s="26">
        <v>6.33</v>
      </c>
      <c r="C564" s="29">
        <v>19</v>
      </c>
      <c r="D564" s="33">
        <v>1192</v>
      </c>
      <c r="E564" s="41">
        <f>IF(Tabela1716[[#This Row],[Building Permits]]="",#N/A,((Tabela1716[[#This Row],[Building Permits]]*1)/D552)-1)</f>
        <v>-0.24076433121019103</v>
      </c>
      <c r="F564" s="33">
        <v>1096</v>
      </c>
      <c r="G564" s="41">
        <f>IF(Tabela1716[[#This Row],[Houses Under Construction]]="",#N/A,((Tabela1716[[#This Row],[Houses Under Construction]]*1)/F552)-1)</f>
        <v>-0.14575214341387377</v>
      </c>
      <c r="H564" s="33">
        <v>1264</v>
      </c>
      <c r="I564" s="33">
        <f>IF(Tabela1716[[#This Row],[Housing Starts]]="",#N/A,Tabela1716[[#This Row],[Housing Starts]]-H563)</f>
        <v>81</v>
      </c>
      <c r="J564" s="41">
        <f>IF(Tabela1716[[#This Row],[Housing Starts]]="",#N/A,((Tabela1716[[#This Row],[Housing Starts]]*1)/H552)-1)</f>
        <v>-0.15224681421864517</v>
      </c>
      <c r="K564" s="33">
        <v>1152491</v>
      </c>
      <c r="L564" s="41">
        <f>IF(Tabela1716[[#This Row],[Total Construction Spending]]="",#N/A,((Tabela1716[[#This Row],[Total Construction Spending]]*1)/K552)-1)</f>
        <v>2.6339505963947296E-2</v>
      </c>
      <c r="M564" s="31">
        <v>4430</v>
      </c>
      <c r="N564" s="41">
        <f>IF(Tabela1716[[#This Row],[Existing Home Sales]]="",#N/A,((Tabela1716[[#This Row],[Existing Home Sales]]*1)/M552)-1)</f>
        <v>-0.30345911949685533</v>
      </c>
      <c r="O564" s="33">
        <v>727</v>
      </c>
      <c r="P564" s="41">
        <f>IF(Tabela1716[[#This Row],[New House Sales]]="",#N/A,((Tabela1716[[#This Row],[New House Sales]]*1)/O563)-1)</f>
        <v>5.976676384839652E-2</v>
      </c>
      <c r="Q564" s="41">
        <f>IF(Tabela1716[[#This Row],[New House Sales]]="",#N/A,((Tabela1716[[#This Row],[New House Sales]]*1)/O552)-1)</f>
        <v>-0.22741764080765148</v>
      </c>
      <c r="R564" s="27">
        <v>8.5</v>
      </c>
      <c r="S564" s="86">
        <v>177.52900000000002</v>
      </c>
      <c r="T564" s="41">
        <f>IF(Tabela1716[[#This Row],[S&amp;P/Case-Shiller Home Price Index]]="",#N/A,((Tabela1716[[#This Row],[S&amp;P/Case-Shiller Home Price Index]]*1)/S563)-1)</f>
        <v>-8.8878467628025204E-3</v>
      </c>
      <c r="U564" s="41">
        <f>IF(Tabela1716[[#This Row],[S&amp;P/Case-Shiller Home Price Index]]="",#N/A,((Tabela1716[[#This Row],[S&amp;P/Case-Shiller Home Price Index]]*1)/S552)-1)</f>
        <v>-3.5446311660228158E-2</v>
      </c>
      <c r="V564" s="37"/>
      <c r="W564" s="9"/>
      <c r="X564" s="9"/>
    </row>
    <row r="565" spans="1:24" ht="12.75">
      <c r="A565" s="12">
        <v>39387</v>
      </c>
      <c r="B565" s="26">
        <v>6.1</v>
      </c>
      <c r="C565" s="29">
        <v>19</v>
      </c>
      <c r="D565" s="33">
        <v>1224</v>
      </c>
      <c r="E565" s="41">
        <f>IF(Tabela1716[[#This Row],[Building Permits]]="",#N/A,((Tabela1716[[#This Row],[Building Permits]]*1)/D553)-1)</f>
        <v>-0.20260586319218243</v>
      </c>
      <c r="F565" s="33">
        <v>1080</v>
      </c>
      <c r="G565" s="41">
        <f>IF(Tabela1716[[#This Row],[Houses Under Construction]]="",#N/A,((Tabela1716[[#This Row],[Houses Under Construction]]*1)/F553)-1)</f>
        <v>-0.14624505928853759</v>
      </c>
      <c r="H565" s="33">
        <v>1197</v>
      </c>
      <c r="I565" s="33">
        <f>IF(Tabela1716[[#This Row],[Housing Starts]]="",#N/A,Tabela1716[[#This Row],[Housing Starts]]-H564)</f>
        <v>-67</v>
      </c>
      <c r="J565" s="41">
        <f>IF(Tabela1716[[#This Row],[Housing Starts]]="",#N/A,((Tabela1716[[#This Row],[Housing Starts]]*1)/H553)-1)</f>
        <v>-0.23757961783439485</v>
      </c>
      <c r="K565" s="33">
        <v>1132908</v>
      </c>
      <c r="L565" s="41">
        <f>IF(Tabela1716[[#This Row],[Total Construction Spending]]="",#N/A,((Tabela1716[[#This Row],[Total Construction Spending]]*1)/K553)-1)</f>
        <v>9.9478582107048741E-3</v>
      </c>
      <c r="M565" s="31">
        <v>4460</v>
      </c>
      <c r="N565" s="41">
        <f>IF(Tabela1716[[#This Row],[Existing Home Sales]]="",#N/A,((Tabela1716[[#This Row],[Existing Home Sales]]*1)/M553)-1)</f>
        <v>-0.29652996845425872</v>
      </c>
      <c r="O565" s="33">
        <v>641</v>
      </c>
      <c r="P565" s="41">
        <f>IF(Tabela1716[[#This Row],[New House Sales]]="",#N/A,((Tabela1716[[#This Row],[New House Sales]]*1)/O564)-1)</f>
        <v>-0.1182943603851444</v>
      </c>
      <c r="Q565" s="41">
        <f>IF(Tabela1716[[#This Row],[New House Sales]]="",#N/A,((Tabela1716[[#This Row],[New House Sales]]*1)/O553)-1)</f>
        <v>-0.3609172482552343</v>
      </c>
      <c r="R565" s="27">
        <v>9.4</v>
      </c>
      <c r="S565" s="86">
        <v>175.16099999999997</v>
      </c>
      <c r="T565" s="41">
        <f>IF(Tabela1716[[#This Row],[S&amp;P/Case-Shiller Home Price Index]]="",#N/A,((Tabela1716[[#This Row],[S&amp;P/Case-Shiller Home Price Index]]*1)/S564)-1)</f>
        <v>-1.3338665795447846E-2</v>
      </c>
      <c r="U565" s="41">
        <f>IF(Tabela1716[[#This Row],[S&amp;P/Case-Shiller Home Price Index]]="",#N/A,((Tabela1716[[#This Row],[S&amp;P/Case-Shiller Home Price Index]]*1)/S553)-1)</f>
        <v>-4.61199150465611E-2</v>
      </c>
      <c r="V565" s="39"/>
      <c r="W565" s="9"/>
      <c r="X565" s="9"/>
    </row>
    <row r="566" spans="1:24" ht="12.75">
      <c r="A566" s="12">
        <v>39417</v>
      </c>
      <c r="B566" s="26">
        <v>6.17</v>
      </c>
      <c r="C566" s="29">
        <v>18</v>
      </c>
      <c r="D566" s="33">
        <v>1149</v>
      </c>
      <c r="E566" s="41">
        <f>IF(Tabela1716[[#This Row],[Building Permits]]="",#N/A,((Tabela1716[[#This Row],[Building Permits]]*1)/D554)-1)</f>
        <v>-0.29853479853479858</v>
      </c>
      <c r="F566" s="33">
        <v>1059</v>
      </c>
      <c r="G566" s="41">
        <f>IF(Tabela1716[[#This Row],[Houses Under Construction]]="",#N/A,((Tabela1716[[#This Row],[Houses Under Construction]]*1)/F554)-1)</f>
        <v>-0.15076182838813157</v>
      </c>
      <c r="H566" s="33">
        <v>1037</v>
      </c>
      <c r="I566" s="33">
        <f>IF(Tabela1716[[#This Row],[Housing Starts]]="",#N/A,Tabela1716[[#This Row],[Housing Starts]]-H565)</f>
        <v>-160</v>
      </c>
      <c r="J566" s="41">
        <f>IF(Tabela1716[[#This Row],[Housing Starts]]="",#N/A,((Tabela1716[[#This Row],[Housing Starts]]*1)/H554)-1)</f>
        <v>-0.37113402061855671</v>
      </c>
      <c r="K566" s="33">
        <v>1115141</v>
      </c>
      <c r="L566" s="41">
        <f>IF(Tabela1716[[#This Row],[Total Construction Spending]]="",#N/A,((Tabela1716[[#This Row],[Total Construction Spending]]*1)/K554)-1)</f>
        <v>-1.7848241069714277E-2</v>
      </c>
      <c r="M566" s="31">
        <v>4410</v>
      </c>
      <c r="N566" s="41">
        <f>IF(Tabela1716[[#This Row],[Existing Home Sales]]="",#N/A,((Tabela1716[[#This Row],[Existing Home Sales]]*1)/M554)-1)</f>
        <v>-0.31093749999999998</v>
      </c>
      <c r="O566" s="33">
        <v>619</v>
      </c>
      <c r="P566" s="41">
        <f>IF(Tabela1716[[#This Row],[New House Sales]]="",#N/A,((Tabela1716[[#This Row],[New House Sales]]*1)/O565)-1)</f>
        <v>-3.4321372854914212E-2</v>
      </c>
      <c r="Q566" s="41">
        <f>IF(Tabela1716[[#This Row],[New House Sales]]="",#N/A,((Tabela1716[[#This Row],[New House Sales]]*1)/O554)-1)</f>
        <v>-0.37975951903807614</v>
      </c>
      <c r="R566" s="27">
        <v>9.6</v>
      </c>
      <c r="S566" s="86">
        <v>173.33700000000002</v>
      </c>
      <c r="T566" s="41">
        <f>IF(Tabela1716[[#This Row],[S&amp;P/Case-Shiller Home Price Index]]="",#N/A,((Tabela1716[[#This Row],[S&amp;P/Case-Shiller Home Price Index]]*1)/S565)-1)</f>
        <v>-1.0413276928083026E-2</v>
      </c>
      <c r="U566" s="41">
        <f>IF(Tabela1716[[#This Row],[S&amp;P/Case-Shiller Home Price Index]]="",#N/A,((Tabela1716[[#This Row],[S&amp;P/Case-Shiller Home Price Index]]*1)/S554)-1)</f>
        <v>-5.3981924160062644E-2</v>
      </c>
      <c r="V566" s="37"/>
      <c r="W566" s="9"/>
      <c r="X566" s="9"/>
    </row>
    <row r="567" spans="1:24" ht="12.75">
      <c r="A567" s="12">
        <v>39448</v>
      </c>
      <c r="B567" s="26">
        <v>5.68</v>
      </c>
      <c r="C567" s="29">
        <v>19</v>
      </c>
      <c r="D567" s="33">
        <v>1094</v>
      </c>
      <c r="E567" s="41">
        <f>IF(Tabela1716[[#This Row],[Building Permits]]="",#N/A,((Tabela1716[[#This Row],[Building Permits]]*1)/D555)-1)</f>
        <v>-0.32718327183271834</v>
      </c>
      <c r="F567" s="33">
        <v>1041</v>
      </c>
      <c r="G567" s="41">
        <f>IF(Tabela1716[[#This Row],[Houses Under Construction]]="",#N/A,((Tabela1716[[#This Row],[Houses Under Construction]]*1)/F555)-1)</f>
        <v>-0.14461791290057513</v>
      </c>
      <c r="H567" s="33">
        <v>1084</v>
      </c>
      <c r="I567" s="33">
        <f>IF(Tabela1716[[#This Row],[Housing Starts]]="",#N/A,Tabela1716[[#This Row],[Housing Starts]]-H566)</f>
        <v>47</v>
      </c>
      <c r="J567" s="41">
        <f>IF(Tabela1716[[#This Row],[Housing Starts]]="",#N/A,((Tabela1716[[#This Row],[Housing Starts]]*1)/H555)-1)</f>
        <v>-0.23066004258339246</v>
      </c>
      <c r="K567" s="33">
        <v>1111347</v>
      </c>
      <c r="L567" s="41">
        <f>IF(Tabela1716[[#This Row],[Total Construction Spending]]="",#N/A,((Tabela1716[[#This Row],[Total Construction Spending]]*1)/K555)-1)</f>
        <v>-2.3349681918804266E-2</v>
      </c>
      <c r="M567" s="31">
        <v>4170</v>
      </c>
      <c r="N567" s="41">
        <f>IF(Tabela1716[[#This Row],[Existing Home Sales]]="",#N/A,((Tabela1716[[#This Row],[Existing Home Sales]]*1)/M555)-1)</f>
        <v>-0.27351916376306618</v>
      </c>
      <c r="O567" s="33">
        <v>627</v>
      </c>
      <c r="P567" s="41">
        <f>IF(Tabela1716[[#This Row],[New House Sales]]="",#N/A,((Tabela1716[[#This Row],[New House Sales]]*1)/O566)-1)</f>
        <v>1.292407108239102E-2</v>
      </c>
      <c r="Q567" s="41">
        <f>IF(Tabela1716[[#This Row],[New House Sales]]="",#N/A,((Tabela1716[[#This Row],[New House Sales]]*1)/O555)-1)</f>
        <v>-0.29629629629629628</v>
      </c>
      <c r="R567" s="27">
        <v>9.3000000000000007</v>
      </c>
      <c r="S567" s="86">
        <v>171.07599999999999</v>
      </c>
      <c r="T567" s="41">
        <f>IF(Tabela1716[[#This Row],[S&amp;P/Case-Shiller Home Price Index]]="",#N/A,((Tabela1716[[#This Row],[S&amp;P/Case-Shiller Home Price Index]]*1)/S566)-1)</f>
        <v>-1.3043954839417005E-2</v>
      </c>
      <c r="U567" s="41">
        <f>IF(Tabela1716[[#This Row],[S&amp;P/Case-Shiller Home Price Index]]="",#N/A,((Tabela1716[[#This Row],[S&amp;P/Case-Shiller Home Price Index]]*1)/S555)-1)</f>
        <v>-6.3715671143510733E-2</v>
      </c>
      <c r="V567" s="39"/>
      <c r="W567" s="9"/>
      <c r="X567" s="9"/>
    </row>
    <row r="568" spans="1:24" ht="12.75">
      <c r="A568" s="12">
        <v>39479</v>
      </c>
      <c r="B568" s="26">
        <v>6.24</v>
      </c>
      <c r="C568" s="29">
        <v>20</v>
      </c>
      <c r="D568" s="33">
        <v>1014</v>
      </c>
      <c r="E568" s="41">
        <f>IF(Tabela1716[[#This Row],[Building Permits]]="",#N/A,((Tabela1716[[#This Row],[Building Permits]]*1)/D556)-1)</f>
        <v>-0.36545682102628285</v>
      </c>
      <c r="F568" s="33">
        <v>1025</v>
      </c>
      <c r="G568" s="41">
        <f>IF(Tabela1716[[#This Row],[Houses Under Construction]]="",#N/A,((Tabela1716[[#This Row],[Houses Under Construction]]*1)/F556)-1)</f>
        <v>-0.1500829187396352</v>
      </c>
      <c r="H568" s="33">
        <v>1103</v>
      </c>
      <c r="I568" s="33">
        <f>IF(Tabela1716[[#This Row],[Housing Starts]]="",#N/A,Tabela1716[[#This Row],[Housing Starts]]-H567)</f>
        <v>19</v>
      </c>
      <c r="J568" s="41">
        <f>IF(Tabela1716[[#This Row],[Housing Starts]]="",#N/A,((Tabela1716[[#This Row],[Housing Starts]]*1)/H556)-1)</f>
        <v>-0.25472972972972974</v>
      </c>
      <c r="K568" s="33">
        <v>1096648</v>
      </c>
      <c r="L568" s="41">
        <f>IF(Tabela1716[[#This Row],[Total Construction Spending]]="",#N/A,((Tabela1716[[#This Row],[Total Construction Spending]]*1)/K556)-1)</f>
        <v>-3.7210543689729536E-2</v>
      </c>
      <c r="M568" s="31">
        <v>4120</v>
      </c>
      <c r="N568" s="41">
        <f>IF(Tabela1716[[#This Row],[Existing Home Sales]]="",#N/A,((Tabela1716[[#This Row],[Existing Home Sales]]*1)/M556)-1)</f>
        <v>-0.2884283246977547</v>
      </c>
      <c r="O568" s="33">
        <v>593</v>
      </c>
      <c r="P568" s="41">
        <f>IF(Tabela1716[[#This Row],[New House Sales]]="",#N/A,((Tabela1716[[#This Row],[New House Sales]]*1)/O567)-1)</f>
        <v>-5.4226475279106845E-2</v>
      </c>
      <c r="Q568" s="41">
        <f>IF(Tabela1716[[#This Row],[New House Sales]]="",#N/A,((Tabela1716[[#This Row],[New House Sales]]*1)/O556)-1)</f>
        <v>-0.28381642512077299</v>
      </c>
      <c r="R568" s="27">
        <v>9.6999999999999993</v>
      </c>
      <c r="S568" s="86">
        <v>169.19</v>
      </c>
      <c r="T568" s="41">
        <f>IF(Tabela1716[[#This Row],[S&amp;P/Case-Shiller Home Price Index]]="",#N/A,((Tabela1716[[#This Row],[S&amp;P/Case-Shiller Home Price Index]]*1)/S567)-1)</f>
        <v>-1.1024340059388793E-2</v>
      </c>
      <c r="U568" s="41">
        <f>IF(Tabela1716[[#This Row],[S&amp;P/Case-Shiller Home Price Index]]="",#N/A,((Tabela1716[[#This Row],[S&amp;P/Case-Shiller Home Price Index]]*1)/S556)-1)</f>
        <v>-7.2779086973201124E-2</v>
      </c>
      <c r="V568" s="37"/>
      <c r="W568" s="9"/>
      <c r="X568" s="9"/>
    </row>
    <row r="569" spans="1:24" ht="12.75">
      <c r="A569" s="12">
        <v>39508</v>
      </c>
      <c r="B569" s="26">
        <v>5.85</v>
      </c>
      <c r="C569" s="29">
        <v>20</v>
      </c>
      <c r="D569" s="33">
        <v>967</v>
      </c>
      <c r="E569" s="41">
        <f>IF(Tabela1716[[#This Row],[Building Permits]]="",#N/A,((Tabela1716[[#This Row],[Building Permits]]*1)/D557)-1)</f>
        <v>-0.39411027568922308</v>
      </c>
      <c r="F569" s="33">
        <v>1014</v>
      </c>
      <c r="G569" s="41">
        <f>IF(Tabela1716[[#This Row],[Houses Under Construction]]="",#N/A,((Tabela1716[[#This Row],[Houses Under Construction]]*1)/F557)-1)</f>
        <v>-0.14932885906040272</v>
      </c>
      <c r="H569" s="33">
        <v>1005</v>
      </c>
      <c r="I569" s="33">
        <f>IF(Tabela1716[[#This Row],[Housing Starts]]="",#N/A,Tabela1716[[#This Row],[Housing Starts]]-H568)</f>
        <v>-98</v>
      </c>
      <c r="J569" s="41">
        <f>IF(Tabela1716[[#This Row],[Housing Starts]]="",#N/A,((Tabela1716[[#This Row],[Housing Starts]]*1)/H557)-1)</f>
        <v>-0.32775919732441472</v>
      </c>
      <c r="K569" s="33">
        <v>1103446</v>
      </c>
      <c r="L569" s="41">
        <f>IF(Tabela1716[[#This Row],[Total Construction Spending]]="",#N/A,((Tabela1716[[#This Row],[Total Construction Spending]]*1)/K557)-1)</f>
        <v>-3.7656633735208778E-2</v>
      </c>
      <c r="M569" s="31">
        <v>4160</v>
      </c>
      <c r="N569" s="41">
        <f>IF(Tabela1716[[#This Row],[Existing Home Sales]]="",#N/A,((Tabela1716[[#This Row],[Existing Home Sales]]*1)/M557)-1)</f>
        <v>-0.23809523809523814</v>
      </c>
      <c r="O569" s="33">
        <v>535</v>
      </c>
      <c r="P569" s="41">
        <f>IF(Tabela1716[[#This Row],[New House Sales]]="",#N/A,((Tabela1716[[#This Row],[New House Sales]]*1)/O568)-1)</f>
        <v>-9.7807757166947673E-2</v>
      </c>
      <c r="Q569" s="41">
        <f>IF(Tabela1716[[#This Row],[New House Sales]]="",#N/A,((Tabela1716[[#This Row],[New House Sales]]*1)/O557)-1)</f>
        <v>-0.35774309723889552</v>
      </c>
      <c r="R569" s="27">
        <v>10.5</v>
      </c>
      <c r="S569" s="86">
        <v>167.90200000000002</v>
      </c>
      <c r="T569" s="41">
        <f>IF(Tabela1716[[#This Row],[S&amp;P/Case-Shiller Home Price Index]]="",#N/A,((Tabela1716[[#This Row],[S&amp;P/Case-Shiller Home Price Index]]*1)/S568)-1)</f>
        <v>-7.6127430699213239E-3</v>
      </c>
      <c r="U569" s="41">
        <f>IF(Tabela1716[[#This Row],[S&amp;P/Case-Shiller Home Price Index]]="",#N/A,((Tabela1716[[#This Row],[S&amp;P/Case-Shiller Home Price Index]]*1)/S557)-1)</f>
        <v>-7.8438798417063027E-2</v>
      </c>
      <c r="V569" s="39"/>
      <c r="W569" s="9"/>
      <c r="X569" s="9"/>
    </row>
    <row r="570" spans="1:24" ht="12.75">
      <c r="A570" s="12">
        <v>39539</v>
      </c>
      <c r="B570" s="26">
        <v>6.03</v>
      </c>
      <c r="C570" s="29">
        <v>20</v>
      </c>
      <c r="D570" s="33">
        <v>1008</v>
      </c>
      <c r="E570" s="41">
        <f>IF(Tabela1716[[#This Row],[Building Permits]]="",#N/A,((Tabela1716[[#This Row],[Building Permits]]*1)/D558)-1)</f>
        <v>-0.31428571428571428</v>
      </c>
      <c r="F570" s="33">
        <v>1009</v>
      </c>
      <c r="G570" s="41">
        <f>IF(Tabela1716[[#This Row],[Houses Under Construction]]="",#N/A,((Tabela1716[[#This Row],[Houses Under Construction]]*1)/F558)-1)</f>
        <v>-0.1456392887383573</v>
      </c>
      <c r="H570" s="33">
        <v>1013</v>
      </c>
      <c r="I570" s="33">
        <f>IF(Tabela1716[[#This Row],[Housing Starts]]="",#N/A,Tabela1716[[#This Row],[Housing Starts]]-H569)</f>
        <v>8</v>
      </c>
      <c r="J570" s="41">
        <f>IF(Tabela1716[[#This Row],[Housing Starts]]="",#N/A,((Tabela1716[[#This Row],[Housing Starts]]*1)/H558)-1)</f>
        <v>-0.32013422818791948</v>
      </c>
      <c r="K570" s="33">
        <v>1101252</v>
      </c>
      <c r="L570" s="41">
        <f>IF(Tabela1716[[#This Row],[Total Construction Spending]]="",#N/A,((Tabela1716[[#This Row],[Total Construction Spending]]*1)/K558)-1)</f>
        <v>-4.2880609078820409E-2</v>
      </c>
      <c r="M570" s="31">
        <v>4110</v>
      </c>
      <c r="N570" s="41">
        <f>IF(Tabela1716[[#This Row],[Existing Home Sales]]="",#N/A,((Tabela1716[[#This Row],[Existing Home Sales]]*1)/M558)-1)</f>
        <v>-0.22306238185255201</v>
      </c>
      <c r="O570" s="33">
        <v>536</v>
      </c>
      <c r="P570" s="41">
        <f>IF(Tabela1716[[#This Row],[New House Sales]]="",#N/A,((Tabela1716[[#This Row],[New House Sales]]*1)/O569)-1)</f>
        <v>1.8691588785046953E-3</v>
      </c>
      <c r="Q570" s="41">
        <f>IF(Tabela1716[[#This Row],[New House Sales]]="",#N/A,((Tabela1716[[#This Row],[New House Sales]]*1)/O558)-1)</f>
        <v>-0.39571589627959414</v>
      </c>
      <c r="R570" s="27">
        <v>10.3</v>
      </c>
      <c r="S570" s="86">
        <v>167.322</v>
      </c>
      <c r="T570" s="41">
        <f>IF(Tabela1716[[#This Row],[S&amp;P/Case-Shiller Home Price Index]]="",#N/A,((Tabela1716[[#This Row],[S&amp;P/Case-Shiller Home Price Index]]*1)/S569)-1)</f>
        <v>-3.4543960167241483E-3</v>
      </c>
      <c r="U570" s="41">
        <f>IF(Tabela1716[[#This Row],[S&amp;P/Case-Shiller Home Price Index]]="",#N/A,((Tabela1716[[#This Row],[S&amp;P/Case-Shiller Home Price Index]]*1)/S558)-1)</f>
        <v>-8.1309606821463487E-2</v>
      </c>
      <c r="V570" s="37"/>
      <c r="W570" s="9"/>
      <c r="X570" s="9"/>
    </row>
    <row r="571" spans="1:24" ht="12.75">
      <c r="A571" s="12">
        <v>39569</v>
      </c>
      <c r="B571" s="26">
        <v>6.08</v>
      </c>
      <c r="C571" s="29">
        <v>19</v>
      </c>
      <c r="D571" s="33">
        <v>995</v>
      </c>
      <c r="E571" s="41">
        <f>IF(Tabela1716[[#This Row],[Building Permits]]="",#N/A,((Tabela1716[[#This Row],[Building Permits]]*1)/D559)-1)</f>
        <v>-0.33355659745478905</v>
      </c>
      <c r="F571" s="33">
        <v>991</v>
      </c>
      <c r="G571" s="41">
        <f>IF(Tabela1716[[#This Row],[Houses Under Construction]]="",#N/A,((Tabela1716[[#This Row],[Houses Under Construction]]*1)/F559)-1)</f>
        <v>-0.14862542955326463</v>
      </c>
      <c r="H571" s="33">
        <v>973</v>
      </c>
      <c r="I571" s="33">
        <f>IF(Tabela1716[[#This Row],[Housing Starts]]="",#N/A,Tabela1716[[#This Row],[Housing Starts]]-H570)</f>
        <v>-40</v>
      </c>
      <c r="J571" s="41">
        <f>IF(Tabela1716[[#This Row],[Housing Starts]]="",#N/A,((Tabela1716[[#This Row],[Housing Starts]]*1)/H559)-1)</f>
        <v>-0.31236749116607776</v>
      </c>
      <c r="K571" s="33">
        <v>1101547</v>
      </c>
      <c r="L571" s="41">
        <f>IF(Tabela1716[[#This Row],[Total Construction Spending]]="",#N/A,((Tabela1716[[#This Row],[Total Construction Spending]]*1)/K559)-1)</f>
        <v>-5.1683007900439115E-2</v>
      </c>
      <c r="M571" s="31">
        <v>4140</v>
      </c>
      <c r="N571" s="41">
        <f>IF(Tabela1716[[#This Row],[Existing Home Sales]]="",#N/A,((Tabela1716[[#This Row],[Existing Home Sales]]*1)/M559)-1)</f>
        <v>-0.21442125237191656</v>
      </c>
      <c r="O571" s="33">
        <v>504</v>
      </c>
      <c r="P571" s="41">
        <f>IF(Tabela1716[[#This Row],[New House Sales]]="",#N/A,((Tabela1716[[#This Row],[New House Sales]]*1)/O570)-1)</f>
        <v>-5.9701492537313383E-2</v>
      </c>
      <c r="Q571" s="41">
        <f>IF(Tabela1716[[#This Row],[New House Sales]]="",#N/A,((Tabela1716[[#This Row],[New House Sales]]*1)/O559)-1)</f>
        <v>-0.40142517814726841</v>
      </c>
      <c r="R571" s="27">
        <v>10.7</v>
      </c>
      <c r="S571" s="86">
        <v>167.02</v>
      </c>
      <c r="T571" s="41">
        <f>IF(Tabela1716[[#This Row],[S&amp;P/Case-Shiller Home Price Index]]="",#N/A,((Tabela1716[[#This Row],[S&amp;P/Case-Shiller Home Price Index]]*1)/S570)-1)</f>
        <v>-1.8049031209285138E-3</v>
      </c>
      <c r="U571" s="41">
        <f>IF(Tabela1716[[#This Row],[S&amp;P/Case-Shiller Home Price Index]]="",#N/A,((Tabela1716[[#This Row],[S&amp;P/Case-Shiller Home Price Index]]*1)/S559)-1)</f>
        <v>-8.1722416485232374E-2</v>
      </c>
      <c r="V571" s="39"/>
      <c r="W571" s="9"/>
      <c r="X571" s="9"/>
    </row>
    <row r="572" spans="1:24" ht="12.75">
      <c r="A572" s="12">
        <v>39600</v>
      </c>
      <c r="B572" s="26">
        <v>6.45</v>
      </c>
      <c r="C572" s="29">
        <v>18</v>
      </c>
      <c r="D572" s="33">
        <v>1180</v>
      </c>
      <c r="E572" s="41">
        <f>IF(Tabela1716[[#This Row],[Building Permits]]="",#N/A,((Tabela1716[[#This Row],[Building Permits]]*1)/D560)-1)</f>
        <v>-0.16133617626154939</v>
      </c>
      <c r="F572" s="33">
        <v>975</v>
      </c>
      <c r="G572" s="41">
        <f>IF(Tabela1716[[#This Row],[Houses Under Construction]]="",#N/A,((Tabela1716[[#This Row],[Houses Under Construction]]*1)/F560)-1)</f>
        <v>-0.16020671834625322</v>
      </c>
      <c r="H572" s="33">
        <v>1046</v>
      </c>
      <c r="I572" s="33">
        <f>IF(Tabela1716[[#This Row],[Housing Starts]]="",#N/A,Tabela1716[[#This Row],[Housing Starts]]-H571)</f>
        <v>73</v>
      </c>
      <c r="J572" s="41">
        <f>IF(Tabela1716[[#This Row],[Housing Starts]]="",#N/A,((Tabela1716[[#This Row],[Housing Starts]]*1)/H560)-1)</f>
        <v>-0.27762430939226523</v>
      </c>
      <c r="K572" s="33">
        <v>1090098</v>
      </c>
      <c r="L572" s="41">
        <f>IF(Tabela1716[[#This Row],[Total Construction Spending]]="",#N/A,((Tabela1716[[#This Row],[Total Construction Spending]]*1)/K560)-1)</f>
        <v>-6.3096094493305221E-2</v>
      </c>
      <c r="M572" s="31">
        <v>4090</v>
      </c>
      <c r="N572" s="41">
        <f>IF(Tabela1716[[#This Row],[Existing Home Sales]]="",#N/A,((Tabela1716[[#This Row],[Existing Home Sales]]*1)/M560)-1)</f>
        <v>-0.201171875</v>
      </c>
      <c r="O572" s="33">
        <v>487</v>
      </c>
      <c r="P572" s="41">
        <f>IF(Tabela1716[[#This Row],[New House Sales]]="",#N/A,((Tabela1716[[#This Row],[New House Sales]]*1)/O571)-1)</f>
        <v>-3.3730158730158721E-2</v>
      </c>
      <c r="Q572" s="41">
        <f>IF(Tabela1716[[#This Row],[New House Sales]]="",#N/A,((Tabela1716[[#This Row],[New House Sales]]*1)/O560)-1)</f>
        <v>-0.38587641866330391</v>
      </c>
      <c r="R572" s="27">
        <v>10.7</v>
      </c>
      <c r="S572" s="86">
        <v>166.53599999999997</v>
      </c>
      <c r="T572" s="41">
        <f>IF(Tabela1716[[#This Row],[S&amp;P/Case-Shiller Home Price Index]]="",#N/A,((Tabela1716[[#This Row],[S&amp;P/Case-Shiller Home Price Index]]*1)/S571)-1)</f>
        <v>-2.8978565441266646E-3</v>
      </c>
      <c r="U572" s="41">
        <f>IF(Tabela1716[[#This Row],[S&amp;P/Case-Shiller Home Price Index]]="",#N/A,((Tabela1716[[#This Row],[S&amp;P/Case-Shiller Home Price Index]]*1)/S560)-1)</f>
        <v>-8.2648452131761752E-2</v>
      </c>
      <c r="V572" s="37"/>
      <c r="W572" s="9"/>
      <c r="X572" s="9"/>
    </row>
    <row r="573" spans="1:24" ht="12.75">
      <c r="A573" s="12">
        <v>39630</v>
      </c>
      <c r="B573" s="26">
        <v>6.52</v>
      </c>
      <c r="C573" s="29">
        <v>16</v>
      </c>
      <c r="D573" s="33">
        <v>921</v>
      </c>
      <c r="E573" s="41">
        <f>IF(Tabela1716[[#This Row],[Building Permits]]="",#N/A,((Tabela1716[[#This Row],[Building Permits]]*1)/D561)-1)</f>
        <v>-0.32329169728141072</v>
      </c>
      <c r="F573" s="33">
        <v>955</v>
      </c>
      <c r="G573" s="41">
        <f>IF(Tabela1716[[#This Row],[Houses Under Construction]]="",#N/A,((Tabela1716[[#This Row],[Houses Under Construction]]*1)/F561)-1)</f>
        <v>-0.16520979020979021</v>
      </c>
      <c r="H573" s="33">
        <v>923</v>
      </c>
      <c r="I573" s="33">
        <f>IF(Tabela1716[[#This Row],[Housing Starts]]="",#N/A,Tabela1716[[#This Row],[Housing Starts]]-H572)</f>
        <v>-123</v>
      </c>
      <c r="J573" s="41">
        <f>IF(Tabela1716[[#This Row],[Housing Starts]]="",#N/A,((Tabela1716[[#This Row],[Housing Starts]]*1)/H561)-1)</f>
        <v>-0.31831610044313141</v>
      </c>
      <c r="K573" s="33">
        <v>1086952</v>
      </c>
      <c r="L573" s="41">
        <f>IF(Tabela1716[[#This Row],[Total Construction Spending]]="",#N/A,((Tabela1716[[#This Row],[Total Construction Spending]]*1)/K561)-1)</f>
        <v>-5.9280902299367888E-2</v>
      </c>
      <c r="M573" s="31">
        <v>4150</v>
      </c>
      <c r="N573" s="41">
        <f>IF(Tabela1716[[#This Row],[Existing Home Sales]]="",#N/A,((Tabela1716[[#This Row],[Existing Home Sales]]*1)/M561)-1)</f>
        <v>-0.18145956607495073</v>
      </c>
      <c r="O573" s="33">
        <v>477</v>
      </c>
      <c r="P573" s="41">
        <f>IF(Tabela1716[[#This Row],[New House Sales]]="",#N/A,((Tabela1716[[#This Row],[New House Sales]]*1)/O572)-1)</f>
        <v>-2.0533880903490731E-2</v>
      </c>
      <c r="Q573" s="41">
        <f>IF(Tabela1716[[#This Row],[New House Sales]]="",#N/A,((Tabela1716[[#This Row],[New House Sales]]*1)/O561)-1)</f>
        <v>-0.38688946015424164</v>
      </c>
      <c r="R573" s="27">
        <v>10.5</v>
      </c>
      <c r="S573" s="86">
        <v>165.71299999999999</v>
      </c>
      <c r="T573" s="41">
        <f>IF(Tabela1716[[#This Row],[S&amp;P/Case-Shiller Home Price Index]]="",#N/A,((Tabela1716[[#This Row],[S&amp;P/Case-Shiller Home Price Index]]*1)/S572)-1)</f>
        <v>-4.9418744295526285E-3</v>
      </c>
      <c r="U573" s="41">
        <f>IF(Tabela1716[[#This Row],[S&amp;P/Case-Shiller Home Price Index]]="",#N/A,((Tabela1716[[#This Row],[S&amp;P/Case-Shiller Home Price Index]]*1)/S561)-1)</f>
        <v>-8.4423154486637619E-2</v>
      </c>
      <c r="V573" s="39"/>
      <c r="W573" s="9"/>
      <c r="X573" s="9"/>
    </row>
    <row r="574" spans="1:24" ht="12.75">
      <c r="A574" s="12">
        <v>39661</v>
      </c>
      <c r="B574" s="26">
        <v>6.4</v>
      </c>
      <c r="C574" s="29">
        <v>16</v>
      </c>
      <c r="D574" s="33">
        <v>858</v>
      </c>
      <c r="E574" s="41">
        <f>IF(Tabela1716[[#This Row],[Building Permits]]="",#N/A,((Tabela1716[[#This Row],[Building Permits]]*1)/D562)-1)</f>
        <v>-0.35049205147615448</v>
      </c>
      <c r="F574" s="33">
        <v>936</v>
      </c>
      <c r="G574" s="41">
        <f>IF(Tabela1716[[#This Row],[Houses Under Construction]]="",#N/A,((Tabela1716[[#This Row],[Houses Under Construction]]*1)/F562)-1)</f>
        <v>-0.16651825467497772</v>
      </c>
      <c r="H574" s="33">
        <v>844</v>
      </c>
      <c r="I574" s="33">
        <f>IF(Tabela1716[[#This Row],[Housing Starts]]="",#N/A,Tabela1716[[#This Row],[Housing Starts]]-H573)</f>
        <v>-79</v>
      </c>
      <c r="J574" s="41">
        <f>IF(Tabela1716[[#This Row],[Housing Starts]]="",#N/A,((Tabela1716[[#This Row],[Housing Starts]]*1)/H562)-1)</f>
        <v>-0.36541353383458641</v>
      </c>
      <c r="K574" s="33">
        <v>1070075</v>
      </c>
      <c r="L574" s="41">
        <f>IF(Tabela1716[[#This Row],[Total Construction Spending]]="",#N/A,((Tabela1716[[#This Row],[Total Construction Spending]]*1)/K562)-1)</f>
        <v>-7.6786960659214198E-2</v>
      </c>
      <c r="M574" s="31">
        <v>4190</v>
      </c>
      <c r="N574" s="41">
        <f>IF(Tabela1716[[#This Row],[Existing Home Sales]]="",#N/A,((Tabela1716[[#This Row],[Existing Home Sales]]*1)/M562)-1)</f>
        <v>-0.13963039014373713</v>
      </c>
      <c r="O574" s="33">
        <v>435</v>
      </c>
      <c r="P574" s="41">
        <f>IF(Tabela1716[[#This Row],[New House Sales]]="",#N/A,((Tabela1716[[#This Row],[New House Sales]]*1)/O573)-1)</f>
        <v>-8.8050314465408785E-2</v>
      </c>
      <c r="Q574" s="41">
        <f>IF(Tabela1716[[#This Row],[New House Sales]]="",#N/A,((Tabela1716[[#This Row],[New House Sales]]*1)/O562)-1)</f>
        <v>-0.37768240343347637</v>
      </c>
      <c r="R574" s="27">
        <v>11.3</v>
      </c>
      <c r="S574" s="86">
        <v>164.27700000000002</v>
      </c>
      <c r="T574" s="41">
        <f>IF(Tabela1716[[#This Row],[S&amp;P/Case-Shiller Home Price Index]]="",#N/A,((Tabela1716[[#This Row],[S&amp;P/Case-Shiller Home Price Index]]*1)/S573)-1)</f>
        <v>-8.6655844743621646E-3</v>
      </c>
      <c r="U574" s="41">
        <f>IF(Tabela1716[[#This Row],[S&amp;P/Case-Shiller Home Price Index]]="",#N/A,((Tabela1716[[#This Row],[S&amp;P/Case-Shiller Home Price Index]]*1)/S562)-1)</f>
        <v>-8.8534904623988719E-2</v>
      </c>
      <c r="V574" s="37"/>
      <c r="W574" s="9"/>
      <c r="X574" s="9"/>
    </row>
    <row r="575" spans="1:24" ht="12.75">
      <c r="A575" s="12">
        <v>39692</v>
      </c>
      <c r="B575" s="26">
        <v>6.09</v>
      </c>
      <c r="C575" s="29">
        <v>17</v>
      </c>
      <c r="D575" s="33">
        <v>797</v>
      </c>
      <c r="E575" s="41">
        <f>IF(Tabela1716[[#This Row],[Building Permits]]="",#N/A,((Tabela1716[[#This Row],[Building Permits]]*1)/D563)-1)</f>
        <v>-0.36796193497224428</v>
      </c>
      <c r="F575" s="33">
        <v>904</v>
      </c>
      <c r="G575" s="41">
        <f>IF(Tabela1716[[#This Row],[Houses Under Construction]]="",#N/A,((Tabela1716[[#This Row],[Houses Under Construction]]*1)/F563)-1)</f>
        <v>-0.18411552346570392</v>
      </c>
      <c r="H575" s="33">
        <v>820</v>
      </c>
      <c r="I575" s="33">
        <f>IF(Tabela1716[[#This Row],[Housing Starts]]="",#N/A,Tabela1716[[#This Row],[Housing Starts]]-H574)</f>
        <v>-24</v>
      </c>
      <c r="J575" s="41">
        <f>IF(Tabela1716[[#This Row],[Housing Starts]]="",#N/A,((Tabela1716[[#This Row],[Housing Starts]]*1)/H563)-1)</f>
        <v>-0.30684699915469149</v>
      </c>
      <c r="K575" s="33">
        <v>1059579</v>
      </c>
      <c r="L575" s="41">
        <f>IF(Tabela1716[[#This Row],[Total Construction Spending]]="",#N/A,((Tabela1716[[#This Row],[Total Construction Spending]]*1)/K563)-1)</f>
        <v>-8.5450292599561495E-2</v>
      </c>
      <c r="M575" s="31">
        <v>4270</v>
      </c>
      <c r="N575" s="41">
        <f>IF(Tabela1716[[#This Row],[Existing Home Sales]]="",#N/A,((Tabela1716[[#This Row],[Existing Home Sales]]*1)/M563)-1)</f>
        <v>-6.7685589519650646E-2</v>
      </c>
      <c r="O575" s="33">
        <v>433</v>
      </c>
      <c r="P575" s="41">
        <f>IF(Tabela1716[[#This Row],[New House Sales]]="",#N/A,((Tabela1716[[#This Row],[New House Sales]]*1)/O574)-1)</f>
        <v>-4.5977011494252595E-3</v>
      </c>
      <c r="Q575" s="41">
        <f>IF(Tabela1716[[#This Row],[New House Sales]]="",#N/A,((Tabela1716[[#This Row],[New House Sales]]*1)/O563)-1)</f>
        <v>-0.36880466472303208</v>
      </c>
      <c r="R575" s="27">
        <v>10.9</v>
      </c>
      <c r="S575" s="86">
        <v>161.91200000000001</v>
      </c>
      <c r="T575" s="41">
        <f>IF(Tabela1716[[#This Row],[S&amp;P/Case-Shiller Home Price Index]]="",#N/A,((Tabela1716[[#This Row],[S&amp;P/Case-Shiller Home Price Index]]*1)/S574)-1)</f>
        <v>-1.4396415809882157E-2</v>
      </c>
      <c r="U575" s="41">
        <f>IF(Tabela1716[[#This Row],[S&amp;P/Case-Shiller Home Price Index]]="",#N/A,((Tabela1716[[#This Row],[S&amp;P/Case-Shiller Home Price Index]]*1)/S563)-1)</f>
        <v>-9.6074720440372574E-2</v>
      </c>
      <c r="V575" s="39"/>
      <c r="W575" s="9"/>
      <c r="X575" s="9"/>
    </row>
    <row r="576" spans="1:24" ht="12.75">
      <c r="A576" s="12">
        <v>39722</v>
      </c>
      <c r="B576" s="26">
        <v>6.46</v>
      </c>
      <c r="C576" s="29">
        <v>14</v>
      </c>
      <c r="D576" s="33">
        <v>736</v>
      </c>
      <c r="E576" s="41">
        <f>IF(Tabela1716[[#This Row],[Building Permits]]="",#N/A,((Tabela1716[[#This Row],[Building Permits]]*1)/D564)-1)</f>
        <v>-0.3825503355704698</v>
      </c>
      <c r="F576" s="33">
        <v>876</v>
      </c>
      <c r="G576" s="41">
        <f>IF(Tabela1716[[#This Row],[Houses Under Construction]]="",#N/A,((Tabela1716[[#This Row],[Houses Under Construction]]*1)/F564)-1)</f>
        <v>-0.2007299270072993</v>
      </c>
      <c r="H576" s="33">
        <v>777</v>
      </c>
      <c r="I576" s="33">
        <f>IF(Tabela1716[[#This Row],[Housing Starts]]="",#N/A,Tabela1716[[#This Row],[Housing Starts]]-H575)</f>
        <v>-43</v>
      </c>
      <c r="J576" s="41">
        <f>IF(Tabela1716[[#This Row],[Housing Starts]]="",#N/A,((Tabela1716[[#This Row],[Housing Starts]]*1)/H564)-1)</f>
        <v>-0.38528481012658233</v>
      </c>
      <c r="K576" s="33">
        <v>1055959</v>
      </c>
      <c r="L576" s="41">
        <f>IF(Tabela1716[[#This Row],[Total Construction Spending]]="",#N/A,((Tabela1716[[#This Row],[Total Construction Spending]]*1)/K564)-1)</f>
        <v>-8.3759439336185681E-2</v>
      </c>
      <c r="M576" s="31">
        <v>4090</v>
      </c>
      <c r="N576" s="41">
        <f>IF(Tabela1716[[#This Row],[Existing Home Sales]]="",#N/A,((Tabela1716[[#This Row],[Existing Home Sales]]*1)/M564)-1)</f>
        <v>-7.674943566591419E-2</v>
      </c>
      <c r="O576" s="33">
        <v>393</v>
      </c>
      <c r="P576" s="41">
        <f>IF(Tabela1716[[#This Row],[New House Sales]]="",#N/A,((Tabela1716[[#This Row],[New House Sales]]*1)/O575)-1)</f>
        <v>-9.2378752886836057E-2</v>
      </c>
      <c r="Q576" s="41">
        <f>IF(Tabela1716[[#This Row],[New House Sales]]="",#N/A,((Tabela1716[[#This Row],[New House Sales]]*1)/O564)-1)</f>
        <v>-0.45942228335625857</v>
      </c>
      <c r="R576" s="27">
        <v>11.6</v>
      </c>
      <c r="S576" s="86">
        <v>159.16200000000001</v>
      </c>
      <c r="T576" s="41">
        <f>IF(Tabela1716[[#This Row],[S&amp;P/Case-Shiller Home Price Index]]="",#N/A,((Tabela1716[[#This Row],[S&amp;P/Case-Shiller Home Price Index]]*1)/S575)-1)</f>
        <v>-1.6984534809032059E-2</v>
      </c>
      <c r="U576" s="41">
        <f>IF(Tabela1716[[#This Row],[S&amp;P/Case-Shiller Home Price Index]]="",#N/A,((Tabela1716[[#This Row],[S&amp;P/Case-Shiller Home Price Index]]*1)/S564)-1)</f>
        <v>-0.10345915315244281</v>
      </c>
      <c r="V576" s="37"/>
      <c r="W576" s="9"/>
      <c r="X576" s="9"/>
    </row>
    <row r="577" spans="1:24" ht="12.75">
      <c r="A577" s="12">
        <v>39753</v>
      </c>
      <c r="B577" s="26">
        <v>5.97</v>
      </c>
      <c r="C577" s="29">
        <v>9</v>
      </c>
      <c r="D577" s="33">
        <v>626</v>
      </c>
      <c r="E577" s="41">
        <f>IF(Tabela1716[[#This Row],[Building Permits]]="",#N/A,((Tabela1716[[#This Row],[Building Permits]]*1)/D565)-1)</f>
        <v>-0.48856209150326801</v>
      </c>
      <c r="F577" s="33">
        <v>842</v>
      </c>
      <c r="G577" s="41">
        <f>IF(Tabela1716[[#This Row],[Houses Under Construction]]="",#N/A,((Tabela1716[[#This Row],[Houses Under Construction]]*1)/F565)-1)</f>
        <v>-0.22037037037037033</v>
      </c>
      <c r="H577" s="33">
        <v>652</v>
      </c>
      <c r="I577" s="33">
        <f>IF(Tabela1716[[#This Row],[Housing Starts]]="",#N/A,Tabela1716[[#This Row],[Housing Starts]]-H576)</f>
        <v>-125</v>
      </c>
      <c r="J577" s="41">
        <f>IF(Tabela1716[[#This Row],[Housing Starts]]="",#N/A,((Tabela1716[[#This Row],[Housing Starts]]*1)/H565)-1)</f>
        <v>-0.45530492898913955</v>
      </c>
      <c r="K577" s="33">
        <v>1035033</v>
      </c>
      <c r="L577" s="41">
        <f>IF(Tabela1716[[#This Row],[Total Construction Spending]]="",#N/A,((Tabela1716[[#This Row],[Total Construction Spending]]*1)/K565)-1)</f>
        <v>-8.6392716796068192E-2</v>
      </c>
      <c r="M577" s="31">
        <v>3770</v>
      </c>
      <c r="N577" s="41">
        <f>IF(Tabela1716[[#This Row],[Existing Home Sales]]="",#N/A,((Tabela1716[[#This Row],[Existing Home Sales]]*1)/M565)-1)</f>
        <v>-0.1547085201793722</v>
      </c>
      <c r="O577" s="33">
        <v>389</v>
      </c>
      <c r="P577" s="41">
        <f>IF(Tabela1716[[#This Row],[New House Sales]]="",#N/A,((Tabela1716[[#This Row],[New House Sales]]*1)/O576)-1)</f>
        <v>-1.0178117048346036E-2</v>
      </c>
      <c r="Q577" s="41">
        <f>IF(Tabela1716[[#This Row],[New House Sales]]="",#N/A,((Tabela1716[[#This Row],[New House Sales]]*1)/O565)-1)</f>
        <v>-0.3931357254290172</v>
      </c>
      <c r="R577" s="27">
        <v>11.4</v>
      </c>
      <c r="S577" s="86">
        <v>156.071</v>
      </c>
      <c r="T577" s="41">
        <f>IF(Tabela1716[[#This Row],[S&amp;P/Case-Shiller Home Price Index]]="",#N/A,((Tabela1716[[#This Row],[S&amp;P/Case-Shiller Home Price Index]]*1)/S576)-1)</f>
        <v>-1.9420464683781336E-2</v>
      </c>
      <c r="U577" s="41">
        <f>IF(Tabela1716[[#This Row],[S&amp;P/Case-Shiller Home Price Index]]="",#N/A,((Tabela1716[[#This Row],[S&amp;P/Case-Shiller Home Price Index]]*1)/S565)-1)</f>
        <v>-0.10898544767385421</v>
      </c>
      <c r="V577" s="39"/>
      <c r="W577" s="9"/>
      <c r="X577" s="9"/>
    </row>
    <row r="578" spans="1:24" ht="12.75">
      <c r="A578" s="12">
        <v>39783</v>
      </c>
      <c r="B578" s="26">
        <v>5.0999999999999996</v>
      </c>
      <c r="C578" s="29">
        <v>9</v>
      </c>
      <c r="D578" s="33">
        <v>554</v>
      </c>
      <c r="E578" s="41">
        <f>IF(Tabela1716[[#This Row],[Building Permits]]="",#N/A,((Tabela1716[[#This Row],[Building Permits]]*1)/D566)-1)</f>
        <v>-0.51784160139251523</v>
      </c>
      <c r="F578" s="33">
        <v>806</v>
      </c>
      <c r="G578" s="41">
        <f>IF(Tabela1716[[#This Row],[Houses Under Construction]]="",#N/A,((Tabela1716[[#This Row],[Houses Under Construction]]*1)/F566)-1)</f>
        <v>-0.23890462700660997</v>
      </c>
      <c r="H578" s="33">
        <v>560</v>
      </c>
      <c r="I578" s="33">
        <f>IF(Tabela1716[[#This Row],[Housing Starts]]="",#N/A,Tabela1716[[#This Row],[Housing Starts]]-H577)</f>
        <v>-92</v>
      </c>
      <c r="J578" s="41">
        <f>IF(Tabela1716[[#This Row],[Housing Starts]]="",#N/A,((Tabela1716[[#This Row],[Housing Starts]]*1)/H566)-1)</f>
        <v>-0.45998071359691417</v>
      </c>
      <c r="K578" s="33">
        <v>999139</v>
      </c>
      <c r="L578" s="41">
        <f>IF(Tabela1716[[#This Row],[Total Construction Spending]]="",#N/A,((Tabela1716[[#This Row],[Total Construction Spending]]*1)/K566)-1)</f>
        <v>-0.1040245134920158</v>
      </c>
      <c r="M578" s="31">
        <v>4010</v>
      </c>
      <c r="N578" s="41">
        <f>IF(Tabela1716[[#This Row],[Existing Home Sales]]="",#N/A,((Tabela1716[[#This Row],[Existing Home Sales]]*1)/M566)-1)</f>
        <v>-9.0702947845805015E-2</v>
      </c>
      <c r="O578" s="33">
        <v>377</v>
      </c>
      <c r="P578" s="41">
        <f>IF(Tabela1716[[#This Row],[New House Sales]]="",#N/A,((Tabela1716[[#This Row],[New House Sales]]*1)/O577)-1)</f>
        <v>-3.0848329048843159E-2</v>
      </c>
      <c r="Q578" s="41">
        <f>IF(Tabela1716[[#This Row],[New House Sales]]="",#N/A,((Tabela1716[[#This Row],[New House Sales]]*1)/O566)-1)</f>
        <v>-0.39095315024232635</v>
      </c>
      <c r="R578" s="27">
        <v>11.2</v>
      </c>
      <c r="S578" s="86">
        <v>152.54399999999998</v>
      </c>
      <c r="T578" s="41">
        <f>IF(Tabela1716[[#This Row],[S&amp;P/Case-Shiller Home Price Index]]="",#N/A,((Tabela1716[[#This Row],[S&amp;P/Case-Shiller Home Price Index]]*1)/S577)-1)</f>
        <v>-2.2598689058185184E-2</v>
      </c>
      <c r="U578" s="41">
        <f>IF(Tabela1716[[#This Row],[S&amp;P/Case-Shiller Home Price Index]]="",#N/A,((Tabela1716[[#This Row],[S&amp;P/Case-Shiller Home Price Index]]*1)/S566)-1)</f>
        <v>-0.11995707783104603</v>
      </c>
      <c r="V578" s="37"/>
      <c r="W578" s="9"/>
      <c r="X578" s="9"/>
    </row>
    <row r="579" spans="1:24" ht="12.75">
      <c r="A579" s="12">
        <v>39814</v>
      </c>
      <c r="B579" s="26">
        <v>5.0999999999999996</v>
      </c>
      <c r="C579" s="29">
        <v>8</v>
      </c>
      <c r="D579" s="33">
        <v>545</v>
      </c>
      <c r="E579" s="41">
        <f>IF(Tabela1716[[#This Row],[Building Permits]]="",#N/A,((Tabela1716[[#This Row],[Building Permits]]*1)/D567)-1)</f>
        <v>-0.5018281535648994</v>
      </c>
      <c r="F579" s="33">
        <v>783</v>
      </c>
      <c r="G579" s="41">
        <f>IF(Tabela1716[[#This Row],[Houses Under Construction]]="",#N/A,((Tabela1716[[#This Row],[Houses Under Construction]]*1)/F567)-1)</f>
        <v>-0.24783861671469742</v>
      </c>
      <c r="H579" s="33">
        <v>490</v>
      </c>
      <c r="I579" s="33">
        <f>IF(Tabela1716[[#This Row],[Housing Starts]]="",#N/A,Tabela1716[[#This Row],[Housing Starts]]-H578)</f>
        <v>-70</v>
      </c>
      <c r="J579" s="41">
        <f>IF(Tabela1716[[#This Row],[Housing Starts]]="",#N/A,((Tabela1716[[#This Row],[Housing Starts]]*1)/H567)-1)</f>
        <v>-0.54797047970479706</v>
      </c>
      <c r="K579" s="33">
        <v>975099</v>
      </c>
      <c r="L579" s="41">
        <f>IF(Tabela1716[[#This Row],[Total Construction Spending]]="",#N/A,((Tabela1716[[#This Row],[Total Construction Spending]]*1)/K567)-1)</f>
        <v>-0.12259717262025271</v>
      </c>
      <c r="M579" s="31">
        <v>3820</v>
      </c>
      <c r="N579" s="41">
        <f>IF(Tabela1716[[#This Row],[Existing Home Sales]]="",#N/A,((Tabela1716[[#This Row],[Existing Home Sales]]*1)/M567)-1)</f>
        <v>-8.3932853717026412E-2</v>
      </c>
      <c r="O579" s="33">
        <v>336</v>
      </c>
      <c r="P579" s="41">
        <f>IF(Tabela1716[[#This Row],[New House Sales]]="",#N/A,((Tabela1716[[#This Row],[New House Sales]]*1)/O578)-1)</f>
        <v>-0.10875331564986734</v>
      </c>
      <c r="Q579" s="41">
        <f>IF(Tabela1716[[#This Row],[New House Sales]]="",#N/A,((Tabela1716[[#This Row],[New House Sales]]*1)/O567)-1)</f>
        <v>-0.46411483253588515</v>
      </c>
      <c r="R579" s="27">
        <v>12.2</v>
      </c>
      <c r="S579" s="86">
        <v>149.36099999999999</v>
      </c>
      <c r="T579" s="41">
        <f>IF(Tabela1716[[#This Row],[S&amp;P/Case-Shiller Home Price Index]]="",#N/A,((Tabela1716[[#This Row],[S&amp;P/Case-Shiller Home Price Index]]*1)/S578)-1)</f>
        <v>-2.0866110761485146E-2</v>
      </c>
      <c r="U579" s="41">
        <f>IF(Tabela1716[[#This Row],[S&amp;P/Case-Shiller Home Price Index]]="",#N/A,((Tabela1716[[#This Row],[S&amp;P/Case-Shiller Home Price Index]]*1)/S567)-1)</f>
        <v>-0.12693188992026938</v>
      </c>
      <c r="V579" s="39"/>
      <c r="W579" s="9"/>
      <c r="X579" s="9"/>
    </row>
    <row r="580" spans="1:24" ht="12.75">
      <c r="A580" s="12">
        <v>39845</v>
      </c>
      <c r="B580" s="26">
        <v>5.07</v>
      </c>
      <c r="C580" s="29">
        <v>9</v>
      </c>
      <c r="D580" s="33">
        <v>558</v>
      </c>
      <c r="E580" s="41">
        <f>IF(Tabela1716[[#This Row],[Building Permits]]="",#N/A,((Tabela1716[[#This Row],[Building Permits]]*1)/D568)-1)</f>
        <v>-0.44970414201183428</v>
      </c>
      <c r="F580" s="33">
        <v>756</v>
      </c>
      <c r="G580" s="41">
        <f>IF(Tabela1716[[#This Row],[Houses Under Construction]]="",#N/A,((Tabela1716[[#This Row],[Houses Under Construction]]*1)/F568)-1)</f>
        <v>-0.26243902439024391</v>
      </c>
      <c r="H580" s="33">
        <v>582</v>
      </c>
      <c r="I580" s="33">
        <f>IF(Tabela1716[[#This Row],[Housing Starts]]="",#N/A,Tabela1716[[#This Row],[Housing Starts]]-H579)</f>
        <v>92</v>
      </c>
      <c r="J580" s="41">
        <f>IF(Tabela1716[[#This Row],[Housing Starts]]="",#N/A,((Tabela1716[[#This Row],[Housing Starts]]*1)/H568)-1)</f>
        <v>-0.47234814143245696</v>
      </c>
      <c r="K580" s="33">
        <v>971708</v>
      </c>
      <c r="L580" s="41">
        <f>IF(Tabela1716[[#This Row],[Total Construction Spending]]="",#N/A,((Tabela1716[[#This Row],[Total Construction Spending]]*1)/K568)-1)</f>
        <v>-0.11392899088859876</v>
      </c>
      <c r="M580" s="31">
        <v>3970</v>
      </c>
      <c r="N580" s="41">
        <f>IF(Tabela1716[[#This Row],[Existing Home Sales]]="",#N/A,((Tabela1716[[#This Row],[Existing Home Sales]]*1)/M568)-1)</f>
        <v>-3.6407766990291246E-2</v>
      </c>
      <c r="O580" s="33">
        <v>372</v>
      </c>
      <c r="P580" s="41">
        <f>IF(Tabela1716[[#This Row],[New House Sales]]="",#N/A,((Tabela1716[[#This Row],[New House Sales]]*1)/O579)-1)</f>
        <v>0.10714285714285721</v>
      </c>
      <c r="Q580" s="41">
        <f>IF(Tabela1716[[#This Row],[New House Sales]]="",#N/A,((Tabela1716[[#This Row],[New House Sales]]*1)/O568)-1)</f>
        <v>-0.37268128161888703</v>
      </c>
      <c r="R580" s="27">
        <v>10.5</v>
      </c>
      <c r="S580" s="86">
        <v>147.61700000000002</v>
      </c>
      <c r="T580" s="41">
        <f>IF(Tabela1716[[#This Row],[S&amp;P/Case-Shiller Home Price Index]]="",#N/A,((Tabela1716[[#This Row],[S&amp;P/Case-Shiller Home Price Index]]*1)/S579)-1)</f>
        <v>-1.1676408165451346E-2</v>
      </c>
      <c r="U580" s="41">
        <f>IF(Tabela1716[[#This Row],[S&amp;P/Case-Shiller Home Price Index]]="",#N/A,((Tabela1716[[#This Row],[S&amp;P/Case-Shiller Home Price Index]]*1)/S568)-1)</f>
        <v>-0.12750753590637731</v>
      </c>
      <c r="V580" s="37"/>
      <c r="W580" s="9"/>
      <c r="X580" s="9"/>
    </row>
    <row r="581" spans="1:24" ht="12.75">
      <c r="A581" s="12">
        <v>39873</v>
      </c>
      <c r="B581" s="26">
        <v>4.8499999999999996</v>
      </c>
      <c r="C581" s="29">
        <v>9</v>
      </c>
      <c r="D581" s="33">
        <v>513</v>
      </c>
      <c r="E581" s="41">
        <f>IF(Tabela1716[[#This Row],[Building Permits]]="",#N/A,((Tabela1716[[#This Row],[Building Permits]]*1)/D569)-1)</f>
        <v>-0.46949327817993791</v>
      </c>
      <c r="F581" s="33">
        <v>717</v>
      </c>
      <c r="G581" s="41">
        <f>IF(Tabela1716[[#This Row],[Houses Under Construction]]="",#N/A,((Tabela1716[[#This Row],[Houses Under Construction]]*1)/F569)-1)</f>
        <v>-0.29289940828402372</v>
      </c>
      <c r="H581" s="33">
        <v>505</v>
      </c>
      <c r="I581" s="33">
        <f>IF(Tabela1716[[#This Row],[Housing Starts]]="",#N/A,Tabela1716[[#This Row],[Housing Starts]]-H580)</f>
        <v>-77</v>
      </c>
      <c r="J581" s="41">
        <f>IF(Tabela1716[[#This Row],[Housing Starts]]="",#N/A,((Tabela1716[[#This Row],[Housing Starts]]*1)/H569)-1)</f>
        <v>-0.49751243781094523</v>
      </c>
      <c r="K581" s="33">
        <v>963793</v>
      </c>
      <c r="L581" s="41">
        <f>IF(Tabela1716[[#This Row],[Total Construction Spending]]="",#N/A,((Tabela1716[[#This Row],[Total Construction Spending]]*1)/K569)-1)</f>
        <v>-0.12656079228163408</v>
      </c>
      <c r="M581" s="31">
        <v>3860</v>
      </c>
      <c r="N581" s="41">
        <f>IF(Tabela1716[[#This Row],[Existing Home Sales]]="",#N/A,((Tabela1716[[#This Row],[Existing Home Sales]]*1)/M569)-1)</f>
        <v>-7.2115384615384581E-2</v>
      </c>
      <c r="O581" s="33">
        <v>339</v>
      </c>
      <c r="P581" s="41">
        <f>IF(Tabela1716[[#This Row],[New House Sales]]="",#N/A,((Tabela1716[[#This Row],[New House Sales]]*1)/O580)-1)</f>
        <v>-8.8709677419354871E-2</v>
      </c>
      <c r="Q581" s="41">
        <f>IF(Tabela1716[[#This Row],[New House Sales]]="",#N/A,((Tabela1716[[#This Row],[New House Sales]]*1)/O569)-1)</f>
        <v>-0.36635514018691584</v>
      </c>
      <c r="R581" s="27">
        <v>11</v>
      </c>
      <c r="S581" s="86">
        <v>146.51400000000001</v>
      </c>
      <c r="T581" s="41">
        <f>IF(Tabela1716[[#This Row],[S&amp;P/Case-Shiller Home Price Index]]="",#N/A,((Tabela1716[[#This Row],[S&amp;P/Case-Shiller Home Price Index]]*1)/S580)-1)</f>
        <v>-7.4720391282847576E-3</v>
      </c>
      <c r="U581" s="41">
        <f>IF(Tabela1716[[#This Row],[S&amp;P/Case-Shiller Home Price Index]]="",#N/A,((Tabela1716[[#This Row],[S&amp;P/Case-Shiller Home Price Index]]*1)/S569)-1)</f>
        <v>-0.12738383104429962</v>
      </c>
      <c r="V581" s="39"/>
      <c r="W581" s="9"/>
      <c r="X581" s="9"/>
    </row>
    <row r="582" spans="1:24" ht="12.75">
      <c r="A582" s="12">
        <v>39904</v>
      </c>
      <c r="B582" s="26">
        <v>4.78</v>
      </c>
      <c r="C582" s="29">
        <v>14</v>
      </c>
      <c r="D582" s="33">
        <v>521</v>
      </c>
      <c r="E582" s="41">
        <f>IF(Tabela1716[[#This Row],[Building Permits]]="",#N/A,((Tabela1716[[#This Row],[Building Permits]]*1)/D570)-1)</f>
        <v>-0.48313492063492058</v>
      </c>
      <c r="F582" s="33">
        <v>677</v>
      </c>
      <c r="G582" s="41">
        <f>IF(Tabela1716[[#This Row],[Houses Under Construction]]="",#N/A,((Tabela1716[[#This Row],[Houses Under Construction]]*1)/F570)-1)</f>
        <v>-0.32903865213082262</v>
      </c>
      <c r="H582" s="33">
        <v>478</v>
      </c>
      <c r="I582" s="33">
        <f>IF(Tabela1716[[#This Row],[Housing Starts]]="",#N/A,Tabela1716[[#This Row],[Housing Starts]]-H581)</f>
        <v>-27</v>
      </c>
      <c r="J582" s="41">
        <f>IF(Tabela1716[[#This Row],[Housing Starts]]="",#N/A,((Tabela1716[[#This Row],[Housing Starts]]*1)/H570)-1)</f>
        <v>-0.5281342546890424</v>
      </c>
      <c r="K582" s="33">
        <v>932482</v>
      </c>
      <c r="L582" s="41">
        <f>IF(Tabela1716[[#This Row],[Total Construction Spending]]="",#N/A,((Tabela1716[[#This Row],[Total Construction Spending]]*1)/K570)-1)</f>
        <v>-0.1532528431276402</v>
      </c>
      <c r="M582" s="31">
        <v>3900</v>
      </c>
      <c r="N582" s="41">
        <f>IF(Tabela1716[[#This Row],[Existing Home Sales]]="",#N/A,((Tabela1716[[#This Row],[Existing Home Sales]]*1)/M570)-1)</f>
        <v>-5.1094890510948954E-2</v>
      </c>
      <c r="O582" s="33">
        <v>337</v>
      </c>
      <c r="P582" s="41">
        <f>IF(Tabela1716[[#This Row],[New House Sales]]="",#N/A,((Tabela1716[[#This Row],[New House Sales]]*1)/O581)-1)</f>
        <v>-5.8997050147492347E-3</v>
      </c>
      <c r="Q582" s="41">
        <f>IF(Tabela1716[[#This Row],[New House Sales]]="",#N/A,((Tabela1716[[#This Row],[New House Sales]]*1)/O570)-1)</f>
        <v>-0.37126865671641796</v>
      </c>
      <c r="R582" s="27">
        <v>10.7</v>
      </c>
      <c r="S582" s="86">
        <v>146.94200000000001</v>
      </c>
      <c r="T582" s="41">
        <f>IF(Tabela1716[[#This Row],[S&amp;P/Case-Shiller Home Price Index]]="",#N/A,((Tabela1716[[#This Row],[S&amp;P/Case-Shiller Home Price Index]]*1)/S581)-1)</f>
        <v>2.9212225452857066E-3</v>
      </c>
      <c r="U582" s="41">
        <f>IF(Tabela1716[[#This Row],[S&amp;P/Case-Shiller Home Price Index]]="",#N/A,((Tabela1716[[#This Row],[S&amp;P/Case-Shiller Home Price Index]]*1)/S570)-1)</f>
        <v>-0.1218010781606722</v>
      </c>
      <c r="V582" s="37"/>
      <c r="W582" s="9"/>
      <c r="X582" s="9"/>
    </row>
    <row r="583" spans="1:24" ht="12.75">
      <c r="A583" s="12">
        <v>39934</v>
      </c>
      <c r="B583" s="26">
        <v>4.91</v>
      </c>
      <c r="C583" s="29">
        <v>16</v>
      </c>
      <c r="D583" s="33">
        <v>556</v>
      </c>
      <c r="E583" s="41">
        <f>IF(Tabela1716[[#This Row],[Building Permits]]="",#N/A,((Tabela1716[[#This Row],[Building Permits]]*1)/D571)-1)</f>
        <v>-0.44120603015075377</v>
      </c>
      <c r="F583" s="33">
        <v>650</v>
      </c>
      <c r="G583" s="41">
        <f>IF(Tabela1716[[#This Row],[Houses Under Construction]]="",#N/A,((Tabela1716[[#This Row],[Houses Under Construction]]*1)/F571)-1)</f>
        <v>-0.34409687184661952</v>
      </c>
      <c r="H583" s="33">
        <v>540</v>
      </c>
      <c r="I583" s="33">
        <f>IF(Tabela1716[[#This Row],[Housing Starts]]="",#N/A,Tabela1716[[#This Row],[Housing Starts]]-H582)</f>
        <v>62</v>
      </c>
      <c r="J583" s="41">
        <f>IF(Tabela1716[[#This Row],[Housing Starts]]="",#N/A,((Tabela1716[[#This Row],[Housing Starts]]*1)/H571)-1)</f>
        <v>-0.44501541623843777</v>
      </c>
      <c r="K583" s="33">
        <v>920020</v>
      </c>
      <c r="L583" s="41">
        <f>IF(Tabela1716[[#This Row],[Total Construction Spending]]="",#N/A,((Tabela1716[[#This Row],[Total Construction Spending]]*1)/K571)-1)</f>
        <v>-0.1647927868715543</v>
      </c>
      <c r="M583" s="31">
        <v>4000</v>
      </c>
      <c r="N583" s="41">
        <f>IF(Tabela1716[[#This Row],[Existing Home Sales]]="",#N/A,((Tabela1716[[#This Row],[Existing Home Sales]]*1)/M571)-1)</f>
        <v>-3.3816425120772986E-2</v>
      </c>
      <c r="O583" s="33">
        <v>376</v>
      </c>
      <c r="P583" s="41">
        <f>IF(Tabela1716[[#This Row],[New House Sales]]="",#N/A,((Tabela1716[[#This Row],[New House Sales]]*1)/O582)-1)</f>
        <v>0.11572700296735916</v>
      </c>
      <c r="Q583" s="41">
        <f>IF(Tabela1716[[#This Row],[New House Sales]]="",#N/A,((Tabela1716[[#This Row],[New House Sales]]*1)/O571)-1)</f>
        <v>-0.25396825396825395</v>
      </c>
      <c r="R583" s="27">
        <v>9.3000000000000007</v>
      </c>
      <c r="S583" s="86">
        <v>148.16899999999998</v>
      </c>
      <c r="T583" s="41">
        <f>IF(Tabela1716[[#This Row],[S&amp;P/Case-Shiller Home Price Index]]="",#N/A,((Tabela1716[[#This Row],[S&amp;P/Case-Shiller Home Price Index]]*1)/S582)-1)</f>
        <v>8.3502334254330624E-3</v>
      </c>
      <c r="U583" s="41">
        <f>IF(Tabela1716[[#This Row],[S&amp;P/Case-Shiller Home Price Index]]="",#N/A,((Tabela1716[[#This Row],[S&amp;P/Case-Shiller Home Price Index]]*1)/S571)-1)</f>
        <v>-0.11286672254819796</v>
      </c>
      <c r="V583" s="39"/>
      <c r="W583" s="9"/>
      <c r="X583" s="9"/>
    </row>
    <row r="584" spans="1:24" ht="12.75">
      <c r="A584" s="12">
        <v>39965</v>
      </c>
      <c r="B584" s="26">
        <v>5.42</v>
      </c>
      <c r="C584" s="29">
        <v>15</v>
      </c>
      <c r="D584" s="33">
        <v>601</v>
      </c>
      <c r="E584" s="41">
        <f>IF(Tabela1716[[#This Row],[Building Permits]]="",#N/A,((Tabela1716[[#This Row],[Building Permits]]*1)/D572)-1)</f>
        <v>-0.4906779661016949</v>
      </c>
      <c r="F584" s="33">
        <v>627</v>
      </c>
      <c r="G584" s="41">
        <f>IF(Tabela1716[[#This Row],[Houses Under Construction]]="",#N/A,((Tabela1716[[#This Row],[Houses Under Construction]]*1)/F572)-1)</f>
        <v>-0.3569230769230769</v>
      </c>
      <c r="H584" s="33">
        <v>585</v>
      </c>
      <c r="I584" s="33">
        <f>IF(Tabela1716[[#This Row],[Housing Starts]]="",#N/A,Tabela1716[[#This Row],[Housing Starts]]-H583)</f>
        <v>45</v>
      </c>
      <c r="J584" s="41">
        <f>IF(Tabela1716[[#This Row],[Housing Starts]]="",#N/A,((Tabela1716[[#This Row],[Housing Starts]]*1)/H572)-1)</f>
        <v>-0.44072657743785848</v>
      </c>
      <c r="K584" s="33">
        <v>912530</v>
      </c>
      <c r="L584" s="41">
        <f>IF(Tabela1716[[#This Row],[Total Construction Spending]]="",#N/A,((Tabela1716[[#This Row],[Total Construction Spending]]*1)/K572)-1)</f>
        <v>-0.1628917767026451</v>
      </c>
      <c r="M584" s="31">
        <v>4100</v>
      </c>
      <c r="N584" s="41">
        <f>IF(Tabela1716[[#This Row],[Existing Home Sales]]="",#N/A,((Tabela1716[[#This Row],[Existing Home Sales]]*1)/M572)-1)</f>
        <v>2.4449877750611915E-3</v>
      </c>
      <c r="O584" s="33">
        <v>393</v>
      </c>
      <c r="P584" s="41">
        <f>IF(Tabela1716[[#This Row],[New House Sales]]="",#N/A,((Tabela1716[[#This Row],[New House Sales]]*1)/O583)-1)</f>
        <v>4.5212765957446832E-2</v>
      </c>
      <c r="Q584" s="41">
        <f>IF(Tabela1716[[#This Row],[New House Sales]]="",#N/A,((Tabela1716[[#This Row],[New House Sales]]*1)/O572)-1)</f>
        <v>-0.19301848049281312</v>
      </c>
      <c r="R584" s="27">
        <v>8.5</v>
      </c>
      <c r="S584" s="86">
        <v>149.79599999999999</v>
      </c>
      <c r="T584" s="41">
        <f>IF(Tabela1716[[#This Row],[S&amp;P/Case-Shiller Home Price Index]]="",#N/A,((Tabela1716[[#This Row],[S&amp;P/Case-Shiller Home Price Index]]*1)/S583)-1)</f>
        <v>1.0980704465846536E-2</v>
      </c>
      <c r="U584" s="41">
        <f>IF(Tabela1716[[#This Row],[S&amp;P/Case-Shiller Home Price Index]]="",#N/A,((Tabela1716[[#This Row],[S&amp;P/Case-Shiller Home Price Index]]*1)/S572)-1)</f>
        <v>-0.10051880674448754</v>
      </c>
      <c r="V584" s="37"/>
      <c r="W584" s="9"/>
      <c r="X584" s="9"/>
    </row>
    <row r="585" spans="1:24" ht="12.75">
      <c r="A585" s="12">
        <v>39995</v>
      </c>
      <c r="B585" s="26">
        <v>5.25</v>
      </c>
      <c r="C585" s="29">
        <v>17</v>
      </c>
      <c r="D585" s="33">
        <v>595</v>
      </c>
      <c r="E585" s="41">
        <f>IF(Tabela1716[[#This Row],[Building Permits]]="",#N/A,((Tabela1716[[#This Row],[Building Permits]]*1)/D573)-1)</f>
        <v>-0.35396308360477746</v>
      </c>
      <c r="F585" s="33">
        <v>611</v>
      </c>
      <c r="G585" s="41">
        <f>IF(Tabela1716[[#This Row],[Houses Under Construction]]="",#N/A,((Tabela1716[[#This Row],[Houses Under Construction]]*1)/F573)-1)</f>
        <v>-0.36020942408376966</v>
      </c>
      <c r="H585" s="33">
        <v>594</v>
      </c>
      <c r="I585" s="33">
        <f>IF(Tabela1716[[#This Row],[Housing Starts]]="",#N/A,Tabela1716[[#This Row],[Housing Starts]]-H584)</f>
        <v>9</v>
      </c>
      <c r="J585" s="41">
        <f>IF(Tabela1716[[#This Row],[Housing Starts]]="",#N/A,((Tabela1716[[#This Row],[Housing Starts]]*1)/H573)-1)</f>
        <v>-0.35644637053087758</v>
      </c>
      <c r="K585" s="33">
        <v>911438</v>
      </c>
      <c r="L585" s="41">
        <f>IF(Tabela1716[[#This Row],[Total Construction Spending]]="",#N/A,((Tabela1716[[#This Row],[Total Construction Spending]]*1)/K573)-1)</f>
        <v>-0.16147355172997524</v>
      </c>
      <c r="M585" s="31">
        <v>4370</v>
      </c>
      <c r="N585" s="41">
        <f>IF(Tabela1716[[#This Row],[Existing Home Sales]]="",#N/A,((Tabela1716[[#This Row],[Existing Home Sales]]*1)/M573)-1)</f>
        <v>5.3012048192771166E-2</v>
      </c>
      <c r="O585" s="33">
        <v>411</v>
      </c>
      <c r="P585" s="41">
        <f>IF(Tabela1716[[#This Row],[New House Sales]]="",#N/A,((Tabela1716[[#This Row],[New House Sales]]*1)/O584)-1)</f>
        <v>4.5801526717557328E-2</v>
      </c>
      <c r="Q585" s="41">
        <f>IF(Tabela1716[[#This Row],[New House Sales]]="",#N/A,((Tabela1716[[#This Row],[New House Sales]]*1)/O573)-1)</f>
        <v>-0.13836477987421381</v>
      </c>
      <c r="R585" s="27">
        <v>7.9</v>
      </c>
      <c r="S585" s="86">
        <v>150.74799999999999</v>
      </c>
      <c r="T585" s="41">
        <f>IF(Tabela1716[[#This Row],[S&amp;P/Case-Shiller Home Price Index]]="",#N/A,((Tabela1716[[#This Row],[S&amp;P/Case-Shiller Home Price Index]]*1)/S584)-1)</f>
        <v>6.355309888114391E-3</v>
      </c>
      <c r="U585" s="41">
        <f>IF(Tabela1716[[#This Row],[S&amp;P/Case-Shiller Home Price Index]]="",#N/A,((Tabela1716[[#This Row],[S&amp;P/Case-Shiller Home Price Index]]*1)/S573)-1)</f>
        <v>-9.0306735138462324E-2</v>
      </c>
      <c r="V585" s="39"/>
      <c r="W585" s="9"/>
      <c r="X585" s="9"/>
    </row>
    <row r="586" spans="1:24" ht="12.75">
      <c r="A586" s="12">
        <v>40026</v>
      </c>
      <c r="B586" s="26">
        <v>5.14</v>
      </c>
      <c r="C586" s="29">
        <v>18</v>
      </c>
      <c r="D586" s="33">
        <v>616</v>
      </c>
      <c r="E586" s="41">
        <f>IF(Tabela1716[[#This Row],[Building Permits]]="",#N/A,((Tabela1716[[#This Row],[Building Permits]]*1)/D574)-1)</f>
        <v>-0.28205128205128205</v>
      </c>
      <c r="F586" s="33">
        <v>588</v>
      </c>
      <c r="G586" s="41">
        <f>IF(Tabela1716[[#This Row],[Houses Under Construction]]="",#N/A,((Tabela1716[[#This Row],[Houses Under Construction]]*1)/F574)-1)</f>
        <v>-0.37179487179487181</v>
      </c>
      <c r="H586" s="33">
        <v>586</v>
      </c>
      <c r="I586" s="33">
        <f>IF(Tabela1716[[#This Row],[Housing Starts]]="",#N/A,Tabela1716[[#This Row],[Housing Starts]]-H585)</f>
        <v>-8</v>
      </c>
      <c r="J586" s="41">
        <f>IF(Tabela1716[[#This Row],[Housing Starts]]="",#N/A,((Tabela1716[[#This Row],[Housing Starts]]*1)/H574)-1)</f>
        <v>-0.30568720379146919</v>
      </c>
      <c r="K586" s="33">
        <v>900112</v>
      </c>
      <c r="L586" s="41">
        <f>IF(Tabela1716[[#This Row],[Total Construction Spending]]="",#N/A,((Tabela1716[[#This Row],[Total Construction Spending]]*1)/K574)-1)</f>
        <v>-0.15883279209401213</v>
      </c>
      <c r="M586" s="31">
        <v>4450</v>
      </c>
      <c r="N586" s="41">
        <f>IF(Tabela1716[[#This Row],[Existing Home Sales]]="",#N/A,((Tabela1716[[#This Row],[Existing Home Sales]]*1)/M574)-1)</f>
        <v>6.2052505966587068E-2</v>
      </c>
      <c r="O586" s="33">
        <v>418</v>
      </c>
      <c r="P586" s="41">
        <f>IF(Tabela1716[[#This Row],[New House Sales]]="",#N/A,((Tabela1716[[#This Row],[New House Sales]]*1)/O585)-1)</f>
        <v>1.7031630170316392E-2</v>
      </c>
      <c r="Q586" s="41">
        <f>IF(Tabela1716[[#This Row],[New House Sales]]="",#N/A,((Tabela1716[[#This Row],[New House Sales]]*1)/O574)-1)</f>
        <v>-3.9080459770114984E-2</v>
      </c>
      <c r="R586" s="27">
        <v>7.5</v>
      </c>
      <c r="S586" s="86">
        <v>150.66800000000001</v>
      </c>
      <c r="T586" s="41">
        <f>IF(Tabela1716[[#This Row],[S&amp;P/Case-Shiller Home Price Index]]="",#N/A,((Tabela1716[[#This Row],[S&amp;P/Case-Shiller Home Price Index]]*1)/S585)-1)</f>
        <v>-5.3068697428815259E-4</v>
      </c>
      <c r="U586" s="41">
        <f>IF(Tabela1716[[#This Row],[S&amp;P/Case-Shiller Home Price Index]]="",#N/A,((Tabela1716[[#This Row],[S&amp;P/Case-Shiller Home Price Index]]*1)/S574)-1)</f>
        <v>-8.284178552079724E-2</v>
      </c>
      <c r="V586" s="37"/>
      <c r="W586" s="9"/>
      <c r="X586" s="9"/>
    </row>
    <row r="587" spans="1:24" ht="12.75">
      <c r="A587" s="12">
        <v>40057</v>
      </c>
      <c r="B587" s="26">
        <v>5.04</v>
      </c>
      <c r="C587" s="29">
        <v>19</v>
      </c>
      <c r="D587" s="33">
        <v>609</v>
      </c>
      <c r="E587" s="41">
        <f>IF(Tabela1716[[#This Row],[Building Permits]]="",#N/A,((Tabela1716[[#This Row],[Building Permits]]*1)/D575)-1)</f>
        <v>-0.23588456712672523</v>
      </c>
      <c r="F587" s="33">
        <v>576</v>
      </c>
      <c r="G587" s="41">
        <f>IF(Tabela1716[[#This Row],[Houses Under Construction]]="",#N/A,((Tabela1716[[#This Row],[Houses Under Construction]]*1)/F575)-1)</f>
        <v>-0.36283185840707965</v>
      </c>
      <c r="H587" s="33">
        <v>585</v>
      </c>
      <c r="I587" s="33">
        <f>IF(Tabela1716[[#This Row],[Housing Starts]]="",#N/A,Tabela1716[[#This Row],[Housing Starts]]-H586)</f>
        <v>-1</v>
      </c>
      <c r="J587" s="41">
        <f>IF(Tabela1716[[#This Row],[Housing Starts]]="",#N/A,((Tabela1716[[#This Row],[Housing Starts]]*1)/H575)-1)</f>
        <v>-0.28658536585365857</v>
      </c>
      <c r="K587" s="33">
        <v>887241</v>
      </c>
      <c r="L587" s="41">
        <f>IF(Tabela1716[[#This Row],[Total Construction Spending]]="",#N/A,((Tabela1716[[#This Row],[Total Construction Spending]]*1)/K575)-1)</f>
        <v>-0.16264761759151514</v>
      </c>
      <c r="M587" s="31">
        <v>4620</v>
      </c>
      <c r="N587" s="41">
        <f>IF(Tabela1716[[#This Row],[Existing Home Sales]]="",#N/A,((Tabela1716[[#This Row],[Existing Home Sales]]*1)/M575)-1)</f>
        <v>8.1967213114754189E-2</v>
      </c>
      <c r="O587" s="33">
        <v>386</v>
      </c>
      <c r="P587" s="41">
        <f>IF(Tabela1716[[#This Row],[New House Sales]]="",#N/A,((Tabela1716[[#This Row],[New House Sales]]*1)/O586)-1)</f>
        <v>-7.6555023923444931E-2</v>
      </c>
      <c r="Q587" s="41">
        <f>IF(Tabela1716[[#This Row],[New House Sales]]="",#N/A,((Tabela1716[[#This Row],[New House Sales]]*1)/O575)-1)</f>
        <v>-0.10854503464203236</v>
      </c>
      <c r="R587" s="27">
        <v>7.8</v>
      </c>
      <c r="S587" s="86">
        <v>149.62700000000001</v>
      </c>
      <c r="T587" s="41">
        <f>IF(Tabela1716[[#This Row],[S&amp;P/Case-Shiller Home Price Index]]="",#N/A,((Tabela1716[[#This Row],[S&amp;P/Case-Shiller Home Price Index]]*1)/S586)-1)</f>
        <v>-6.909230891761986E-3</v>
      </c>
      <c r="U587" s="41">
        <f>IF(Tabela1716[[#This Row],[S&amp;P/Case-Shiller Home Price Index]]="",#N/A,((Tabela1716[[#This Row],[S&amp;P/Case-Shiller Home Price Index]]*1)/S575)-1)</f>
        <v>-7.5874549137803227E-2</v>
      </c>
      <c r="V587" s="39"/>
      <c r="W587" s="9"/>
      <c r="X587" s="9"/>
    </row>
    <row r="588" spans="1:24" ht="12.75">
      <c r="A588" s="12">
        <v>40087</v>
      </c>
      <c r="B588" s="26">
        <v>5.03</v>
      </c>
      <c r="C588" s="29">
        <v>17</v>
      </c>
      <c r="D588" s="33">
        <v>583</v>
      </c>
      <c r="E588" s="41">
        <f>IF(Tabela1716[[#This Row],[Building Permits]]="",#N/A,((Tabela1716[[#This Row],[Building Permits]]*1)/D576)-1)</f>
        <v>-0.20788043478260865</v>
      </c>
      <c r="F588" s="33">
        <v>554</v>
      </c>
      <c r="G588" s="41">
        <f>IF(Tabela1716[[#This Row],[Houses Under Construction]]="",#N/A,((Tabela1716[[#This Row],[Houses Under Construction]]*1)/F576)-1)</f>
        <v>-0.36757990867579904</v>
      </c>
      <c r="H588" s="33">
        <v>534</v>
      </c>
      <c r="I588" s="33">
        <f>IF(Tabela1716[[#This Row],[Housing Starts]]="",#N/A,Tabela1716[[#This Row],[Housing Starts]]-H587)</f>
        <v>-51</v>
      </c>
      <c r="J588" s="41">
        <f>IF(Tabela1716[[#This Row],[Housing Starts]]="",#N/A,((Tabela1716[[#This Row],[Housing Starts]]*1)/H576)-1)</f>
        <v>-0.31274131274131278</v>
      </c>
      <c r="K588" s="33">
        <v>871391</v>
      </c>
      <c r="L588" s="41">
        <f>IF(Tabela1716[[#This Row],[Total Construction Spending]]="",#N/A,((Tabela1716[[#This Row],[Total Construction Spending]]*1)/K576)-1)</f>
        <v>-0.17478708927145847</v>
      </c>
      <c r="M588" s="31">
        <v>5020</v>
      </c>
      <c r="N588" s="41">
        <f>IF(Tabela1716[[#This Row],[Existing Home Sales]]="",#N/A,((Tabela1716[[#This Row],[Existing Home Sales]]*1)/M576)-1)</f>
        <v>0.22738386308068459</v>
      </c>
      <c r="O588" s="33">
        <v>396</v>
      </c>
      <c r="P588" s="41">
        <f>IF(Tabela1716[[#This Row],[New House Sales]]="",#N/A,((Tabela1716[[#This Row],[New House Sales]]*1)/O587)-1)</f>
        <v>2.5906735751295429E-2</v>
      </c>
      <c r="Q588" s="41">
        <f>IF(Tabela1716[[#This Row],[New House Sales]]="",#N/A,((Tabela1716[[#This Row],[New House Sales]]*1)/O576)-1)</f>
        <v>7.6335877862594437E-3</v>
      </c>
      <c r="R588" s="27">
        <v>7.4</v>
      </c>
      <c r="S588" s="86">
        <v>148.584</v>
      </c>
      <c r="T588" s="41">
        <f>IF(Tabela1716[[#This Row],[S&amp;P/Case-Shiller Home Price Index]]="",#N/A,((Tabela1716[[#This Row],[S&amp;P/Case-Shiller Home Price Index]]*1)/S587)-1)</f>
        <v>-6.9706670587528219E-3</v>
      </c>
      <c r="U588" s="41">
        <f>IF(Tabela1716[[#This Row],[S&amp;P/Case-Shiller Home Price Index]]="",#N/A,((Tabela1716[[#This Row],[S&amp;P/Case-Shiller Home Price Index]]*1)/S576)-1)</f>
        <v>-6.646058732612059E-2</v>
      </c>
      <c r="V588" s="37"/>
      <c r="W588" s="9"/>
      <c r="X588" s="9"/>
    </row>
    <row r="589" spans="1:24" ht="12.75">
      <c r="A589" s="12">
        <v>40118</v>
      </c>
      <c r="B589" s="26">
        <v>4.78</v>
      </c>
      <c r="C589" s="29">
        <v>17</v>
      </c>
      <c r="D589" s="33">
        <v>623</v>
      </c>
      <c r="E589" s="41">
        <f>IF(Tabela1716[[#This Row],[Building Permits]]="",#N/A,((Tabela1716[[#This Row],[Building Permits]]*1)/D577)-1)</f>
        <v>-4.7923322683706138E-3</v>
      </c>
      <c r="F589" s="33">
        <v>532</v>
      </c>
      <c r="G589" s="41">
        <f>IF(Tabela1716[[#This Row],[Houses Under Construction]]="",#N/A,((Tabela1716[[#This Row],[Houses Under Construction]]*1)/F577)-1)</f>
        <v>-0.36817102137767221</v>
      </c>
      <c r="H589" s="33">
        <v>588</v>
      </c>
      <c r="I589" s="33">
        <f>IF(Tabela1716[[#This Row],[Housing Starts]]="",#N/A,Tabela1716[[#This Row],[Housing Starts]]-H588)</f>
        <v>54</v>
      </c>
      <c r="J589" s="41">
        <f>IF(Tabela1716[[#This Row],[Housing Starts]]="",#N/A,((Tabela1716[[#This Row],[Housing Starts]]*1)/H577)-1)</f>
        <v>-9.8159509202453976E-2</v>
      </c>
      <c r="K589" s="33">
        <v>858493</v>
      </c>
      <c r="L589" s="41">
        <f>IF(Tabela1716[[#This Row],[Total Construction Spending]]="",#N/A,((Tabela1716[[#This Row],[Total Construction Spending]]*1)/K577)-1)</f>
        <v>-0.17056461001726519</v>
      </c>
      <c r="M589" s="31">
        <v>5440</v>
      </c>
      <c r="N589" s="41">
        <f>IF(Tabela1716[[#This Row],[Existing Home Sales]]="",#N/A,((Tabela1716[[#This Row],[Existing Home Sales]]*1)/M577)-1)</f>
        <v>0.44297082228116702</v>
      </c>
      <c r="O589" s="33">
        <v>375</v>
      </c>
      <c r="P589" s="41">
        <f>IF(Tabela1716[[#This Row],[New House Sales]]="",#N/A,((Tabela1716[[#This Row],[New House Sales]]*1)/O588)-1)</f>
        <v>-5.3030303030302983E-2</v>
      </c>
      <c r="Q589" s="41">
        <f>IF(Tabela1716[[#This Row],[New House Sales]]="",#N/A,((Tabela1716[[#This Row],[New House Sales]]*1)/O577)-1)</f>
        <v>-3.5989717223650408E-2</v>
      </c>
      <c r="R589" s="27">
        <v>7.6</v>
      </c>
      <c r="S589" s="86">
        <v>147.93899999999999</v>
      </c>
      <c r="T589" s="41">
        <f>IF(Tabela1716[[#This Row],[S&amp;P/Case-Shiller Home Price Index]]="",#N/A,((Tabela1716[[#This Row],[S&amp;P/Case-Shiller Home Price Index]]*1)/S588)-1)</f>
        <v>-4.3409788402520855E-3</v>
      </c>
      <c r="U589" s="41">
        <f>IF(Tabela1716[[#This Row],[S&amp;P/Case-Shiller Home Price Index]]="",#N/A,((Tabela1716[[#This Row],[S&amp;P/Case-Shiller Home Price Index]]*1)/S577)-1)</f>
        <v>-5.2104490904780532E-2</v>
      </c>
      <c r="V589" s="39"/>
      <c r="W589" s="9"/>
      <c r="X589" s="9"/>
    </row>
    <row r="590" spans="1:24" ht="12.75">
      <c r="A590" s="12">
        <v>40148</v>
      </c>
      <c r="B590" s="26">
        <v>5.14</v>
      </c>
      <c r="C590" s="29">
        <v>16</v>
      </c>
      <c r="D590" s="33">
        <v>664</v>
      </c>
      <c r="E590" s="41">
        <f>IF(Tabela1716[[#This Row],[Building Permits]]="",#N/A,((Tabela1716[[#This Row],[Building Permits]]*1)/D578)-1)</f>
        <v>0.1985559566787003</v>
      </c>
      <c r="F590" s="33">
        <v>517</v>
      </c>
      <c r="G590" s="41">
        <f>IF(Tabela1716[[#This Row],[Houses Under Construction]]="",#N/A,((Tabela1716[[#This Row],[Houses Under Construction]]*1)/F578)-1)</f>
        <v>-0.35856079404466501</v>
      </c>
      <c r="H590" s="33">
        <v>581</v>
      </c>
      <c r="I590" s="33">
        <f>IF(Tabela1716[[#This Row],[Housing Starts]]="",#N/A,Tabela1716[[#This Row],[Housing Starts]]-H589)</f>
        <v>-7</v>
      </c>
      <c r="J590" s="41">
        <f>IF(Tabela1716[[#This Row],[Housing Starts]]="",#N/A,((Tabela1716[[#This Row],[Housing Starts]]*1)/H578)-1)</f>
        <v>3.7500000000000089E-2</v>
      </c>
      <c r="K590" s="33">
        <v>842609</v>
      </c>
      <c r="L590" s="41">
        <f>IF(Tabela1716[[#This Row],[Total Construction Spending]]="",#N/A,((Tabela1716[[#This Row],[Total Construction Spending]]*1)/K578)-1)</f>
        <v>-0.15666488846897175</v>
      </c>
      <c r="M590" s="31">
        <v>4400</v>
      </c>
      <c r="N590" s="41">
        <f>IF(Tabela1716[[#This Row],[Existing Home Sales]]="",#N/A,((Tabela1716[[#This Row],[Existing Home Sales]]*1)/M578)-1)</f>
        <v>9.7256857855361645E-2</v>
      </c>
      <c r="O590" s="33">
        <v>352</v>
      </c>
      <c r="P590" s="41">
        <f>IF(Tabela1716[[#This Row],[New House Sales]]="",#N/A,((Tabela1716[[#This Row],[New House Sales]]*1)/O589)-1)</f>
        <v>-6.1333333333333351E-2</v>
      </c>
      <c r="Q590" s="41">
        <f>IF(Tabela1716[[#This Row],[New House Sales]]="",#N/A,((Tabela1716[[#This Row],[New House Sales]]*1)/O578)-1)</f>
        <v>-6.6312997347480085E-2</v>
      </c>
      <c r="R590" s="27">
        <v>8</v>
      </c>
      <c r="S590" s="86">
        <v>146.66399999999999</v>
      </c>
      <c r="T590" s="41">
        <f>IF(Tabela1716[[#This Row],[S&amp;P/Case-Shiller Home Price Index]]="",#N/A,((Tabela1716[[#This Row],[S&amp;P/Case-Shiller Home Price Index]]*1)/S589)-1)</f>
        <v>-8.6184170502707769E-3</v>
      </c>
      <c r="U590" s="41">
        <f>IF(Tabela1716[[#This Row],[S&amp;P/Case-Shiller Home Price Index]]="",#N/A,((Tabela1716[[#This Row],[S&amp;P/Case-Shiller Home Price Index]]*1)/S578)-1)</f>
        <v>-3.8546255506607952E-2</v>
      </c>
      <c r="V590" s="37"/>
      <c r="W590" s="9"/>
      <c r="X590" s="9"/>
    </row>
    <row r="591" spans="1:24" ht="12.75">
      <c r="A591" s="12">
        <v>40179</v>
      </c>
      <c r="B591" s="26">
        <v>4.9800000000000004</v>
      </c>
      <c r="C591" s="29">
        <v>15</v>
      </c>
      <c r="D591" s="33">
        <v>636</v>
      </c>
      <c r="E591" s="41">
        <f>IF(Tabela1716[[#This Row],[Building Permits]]="",#N/A,((Tabela1716[[#This Row],[Building Permits]]*1)/D579)-1)</f>
        <v>0.16697247706422025</v>
      </c>
      <c r="F591" s="33">
        <v>501</v>
      </c>
      <c r="G591" s="41">
        <f>IF(Tabela1716[[#This Row],[Houses Under Construction]]="",#N/A,((Tabela1716[[#This Row],[Houses Under Construction]]*1)/F579)-1)</f>
        <v>-0.36015325670498088</v>
      </c>
      <c r="H591" s="33">
        <v>614</v>
      </c>
      <c r="I591" s="33">
        <f>IF(Tabela1716[[#This Row],[Housing Starts]]="",#N/A,Tabela1716[[#This Row],[Housing Starts]]-H590)</f>
        <v>33</v>
      </c>
      <c r="J591" s="41">
        <f>IF(Tabela1716[[#This Row],[Housing Starts]]="",#N/A,((Tabela1716[[#This Row],[Housing Starts]]*1)/H579)-1)</f>
        <v>0.25306122448979584</v>
      </c>
      <c r="K591" s="33">
        <v>822114</v>
      </c>
      <c r="L591" s="41">
        <f>IF(Tabela1716[[#This Row],[Total Construction Spending]]="",#N/A,((Tabela1716[[#This Row],[Total Construction Spending]]*1)/K579)-1)</f>
        <v>-0.1568917617595752</v>
      </c>
      <c r="M591" s="31">
        <v>4190</v>
      </c>
      <c r="N591" s="41">
        <f>IF(Tabela1716[[#This Row],[Existing Home Sales]]="",#N/A,((Tabela1716[[#This Row],[Existing Home Sales]]*1)/M579)-1)</f>
        <v>9.6858638743455572E-2</v>
      </c>
      <c r="O591" s="33">
        <v>345</v>
      </c>
      <c r="P591" s="41">
        <f>IF(Tabela1716[[#This Row],[New House Sales]]="",#N/A,((Tabela1716[[#This Row],[New House Sales]]*1)/O590)-1)</f>
        <v>-1.9886363636363646E-2</v>
      </c>
      <c r="Q591" s="41">
        <f>IF(Tabela1716[[#This Row],[New House Sales]]="",#N/A,((Tabela1716[[#This Row],[New House Sales]]*1)/O579)-1)</f>
        <v>2.6785714285714191E-2</v>
      </c>
      <c r="R591" s="27">
        <v>8.1</v>
      </c>
      <c r="S591" s="86">
        <v>145.00299999999999</v>
      </c>
      <c r="T591" s="41">
        <f>IF(Tabela1716[[#This Row],[S&amp;P/Case-Shiller Home Price Index]]="",#N/A,((Tabela1716[[#This Row],[S&amp;P/Case-Shiller Home Price Index]]*1)/S590)-1)</f>
        <v>-1.1325205912834813E-2</v>
      </c>
      <c r="U591" s="41">
        <f>IF(Tabela1716[[#This Row],[S&amp;P/Case-Shiller Home Price Index]]="",#N/A,((Tabela1716[[#This Row],[S&amp;P/Case-Shiller Home Price Index]]*1)/S579)-1)</f>
        <v>-2.9177630037292235E-2</v>
      </c>
      <c r="V591" s="39"/>
      <c r="W591" s="9"/>
      <c r="X591" s="9"/>
    </row>
    <row r="592" spans="1:24" ht="12.75">
      <c r="A592" s="12">
        <v>40210</v>
      </c>
      <c r="B592" s="26">
        <v>5.05</v>
      </c>
      <c r="C592" s="29">
        <v>17</v>
      </c>
      <c r="D592" s="33">
        <v>650</v>
      </c>
      <c r="E592" s="41">
        <f>IF(Tabela1716[[#This Row],[Building Permits]]="",#N/A,((Tabela1716[[#This Row],[Building Permits]]*1)/D580)-1)</f>
        <v>0.16487455197132617</v>
      </c>
      <c r="F592" s="33">
        <v>493</v>
      </c>
      <c r="G592" s="41">
        <f>IF(Tabela1716[[#This Row],[Houses Under Construction]]="",#N/A,((Tabela1716[[#This Row],[Houses Under Construction]]*1)/F580)-1)</f>
        <v>-0.34788359788359791</v>
      </c>
      <c r="H592" s="33">
        <v>604</v>
      </c>
      <c r="I592" s="33">
        <f>IF(Tabela1716[[#This Row],[Housing Starts]]="",#N/A,Tabela1716[[#This Row],[Housing Starts]]-H591)</f>
        <v>-10</v>
      </c>
      <c r="J592" s="41">
        <f>IF(Tabela1716[[#This Row],[Housing Starts]]="",#N/A,((Tabela1716[[#This Row],[Housing Starts]]*1)/H580)-1)</f>
        <v>3.7800687285223455E-2</v>
      </c>
      <c r="K592" s="33">
        <v>814885</v>
      </c>
      <c r="L592" s="41">
        <f>IF(Tabela1716[[#This Row],[Total Construction Spending]]="",#N/A,((Tabela1716[[#This Row],[Total Construction Spending]]*1)/K580)-1)</f>
        <v>-0.16138901810008766</v>
      </c>
      <c r="M592" s="31">
        <v>4270</v>
      </c>
      <c r="N592" s="41">
        <f>IF(Tabela1716[[#This Row],[Existing Home Sales]]="",#N/A,((Tabela1716[[#This Row],[Existing Home Sales]]*1)/M580)-1)</f>
        <v>7.5566750629722845E-2</v>
      </c>
      <c r="O592" s="33">
        <v>336</v>
      </c>
      <c r="P592" s="41">
        <f>IF(Tabela1716[[#This Row],[New House Sales]]="",#N/A,((Tabela1716[[#This Row],[New House Sales]]*1)/O591)-1)</f>
        <v>-2.6086956521739091E-2</v>
      </c>
      <c r="Q592" s="41">
        <f>IF(Tabela1716[[#This Row],[New House Sales]]="",#N/A,((Tabela1716[[#This Row],[New House Sales]]*1)/O580)-1)</f>
        <v>-9.6774193548387122E-2</v>
      </c>
      <c r="R592" s="27">
        <v>8.3000000000000007</v>
      </c>
      <c r="S592" s="86">
        <v>143.054</v>
      </c>
      <c r="T592" s="41">
        <f>IF(Tabela1716[[#This Row],[S&amp;P/Case-Shiller Home Price Index]]="",#N/A,((Tabela1716[[#This Row],[S&amp;P/Case-Shiller Home Price Index]]*1)/S591)-1)</f>
        <v>-1.3441101218595319E-2</v>
      </c>
      <c r="U592" s="41">
        <f>IF(Tabela1716[[#This Row],[S&amp;P/Case-Shiller Home Price Index]]="",#N/A,((Tabela1716[[#This Row],[S&amp;P/Case-Shiller Home Price Index]]*1)/S580)-1)</f>
        <v>-3.0911073927799793E-2</v>
      </c>
      <c r="V592" s="37"/>
      <c r="W592" s="9"/>
      <c r="X592" s="9"/>
    </row>
    <row r="593" spans="1:24" ht="12.75">
      <c r="A593" s="12">
        <v>40238</v>
      </c>
      <c r="B593" s="26">
        <v>4.99</v>
      </c>
      <c r="C593" s="29">
        <v>15</v>
      </c>
      <c r="D593" s="33">
        <v>687</v>
      </c>
      <c r="E593" s="41">
        <f>IF(Tabela1716[[#This Row],[Building Permits]]="",#N/A,((Tabela1716[[#This Row],[Building Permits]]*1)/D581)-1)</f>
        <v>0.33918128654970769</v>
      </c>
      <c r="F593" s="33">
        <v>492</v>
      </c>
      <c r="G593" s="41">
        <f>IF(Tabela1716[[#This Row],[Houses Under Construction]]="",#N/A,((Tabela1716[[#This Row],[Houses Under Construction]]*1)/F581)-1)</f>
        <v>-0.31380753138075312</v>
      </c>
      <c r="H593" s="33">
        <v>636</v>
      </c>
      <c r="I593" s="33">
        <f>IF(Tabela1716[[#This Row],[Housing Starts]]="",#N/A,Tabela1716[[#This Row],[Housing Starts]]-H592)</f>
        <v>32</v>
      </c>
      <c r="J593" s="41">
        <f>IF(Tabela1716[[#This Row],[Housing Starts]]="",#N/A,((Tabela1716[[#This Row],[Housing Starts]]*1)/H581)-1)</f>
        <v>0.25940594059405941</v>
      </c>
      <c r="K593" s="33">
        <v>821849</v>
      </c>
      <c r="L593" s="41">
        <f>IF(Tabela1716[[#This Row],[Total Construction Spending]]="",#N/A,((Tabela1716[[#This Row],[Total Construction Spending]]*1)/K581)-1)</f>
        <v>-0.14727643799031531</v>
      </c>
      <c r="M593" s="31">
        <v>4490</v>
      </c>
      <c r="N593" s="41">
        <f>IF(Tabela1716[[#This Row],[Existing Home Sales]]="",#N/A,((Tabela1716[[#This Row],[Existing Home Sales]]*1)/M581)-1)</f>
        <v>0.16321243523316054</v>
      </c>
      <c r="O593" s="33">
        <v>381</v>
      </c>
      <c r="P593" s="41">
        <f>IF(Tabela1716[[#This Row],[New House Sales]]="",#N/A,((Tabela1716[[#This Row],[New House Sales]]*1)/O592)-1)</f>
        <v>0.1339285714285714</v>
      </c>
      <c r="Q593" s="41">
        <f>IF(Tabela1716[[#This Row],[New House Sales]]="",#N/A,((Tabela1716[[#This Row],[New House Sales]]*1)/O581)-1)</f>
        <v>0.12389380530973448</v>
      </c>
      <c r="R593" s="27">
        <v>7.1</v>
      </c>
      <c r="S593" s="86">
        <v>143.596</v>
      </c>
      <c r="T593" s="41">
        <f>IF(Tabela1716[[#This Row],[S&amp;P/Case-Shiller Home Price Index]]="",#N/A,((Tabela1716[[#This Row],[S&amp;P/Case-Shiller Home Price Index]]*1)/S592)-1)</f>
        <v>3.7887790624520079E-3</v>
      </c>
      <c r="U593" s="41">
        <f>IF(Tabela1716[[#This Row],[S&amp;P/Case-Shiller Home Price Index]]="",#N/A,((Tabela1716[[#This Row],[S&amp;P/Case-Shiller Home Price Index]]*1)/S581)-1)</f>
        <v>-1.9916185483981108E-2</v>
      </c>
      <c r="V593" s="39"/>
      <c r="W593" s="9"/>
      <c r="X593" s="9"/>
    </row>
    <row r="594" spans="1:24" ht="12.75">
      <c r="A594" s="12">
        <v>40269</v>
      </c>
      <c r="B594" s="26">
        <v>5.0599999999999996</v>
      </c>
      <c r="C594" s="29">
        <v>19</v>
      </c>
      <c r="D594" s="33">
        <v>637</v>
      </c>
      <c r="E594" s="41">
        <f>IF(Tabela1716[[#This Row],[Building Permits]]="",#N/A,((Tabela1716[[#This Row],[Building Permits]]*1)/D582)-1)</f>
        <v>0.22264875239923221</v>
      </c>
      <c r="F594" s="33">
        <v>488</v>
      </c>
      <c r="G594" s="41">
        <f>IF(Tabela1716[[#This Row],[Houses Under Construction]]="",#N/A,((Tabela1716[[#This Row],[Houses Under Construction]]*1)/F582)-1)</f>
        <v>-0.27917282127031018</v>
      </c>
      <c r="H594" s="33">
        <v>687</v>
      </c>
      <c r="I594" s="33">
        <f>IF(Tabela1716[[#This Row],[Housing Starts]]="",#N/A,Tabela1716[[#This Row],[Housing Starts]]-H593)</f>
        <v>51</v>
      </c>
      <c r="J594" s="41">
        <f>IF(Tabela1716[[#This Row],[Housing Starts]]="",#N/A,((Tabela1716[[#This Row],[Housing Starts]]*1)/H582)-1)</f>
        <v>0.43723849372384938</v>
      </c>
      <c r="K594" s="33">
        <v>829664</v>
      </c>
      <c r="L594" s="41">
        <f>IF(Tabela1716[[#This Row],[Total Construction Spending]]="",#N/A,((Tabela1716[[#This Row],[Total Construction Spending]]*1)/K582)-1)</f>
        <v>-0.1102627182079654</v>
      </c>
      <c r="M594" s="31">
        <v>4820</v>
      </c>
      <c r="N594" s="41">
        <f>IF(Tabela1716[[#This Row],[Existing Home Sales]]="",#N/A,((Tabela1716[[#This Row],[Existing Home Sales]]*1)/M582)-1)</f>
        <v>0.23589743589743595</v>
      </c>
      <c r="O594" s="33">
        <v>422</v>
      </c>
      <c r="P594" s="41">
        <f>IF(Tabela1716[[#This Row],[New House Sales]]="",#N/A,((Tabela1716[[#This Row],[New House Sales]]*1)/O593)-1)</f>
        <v>0.1076115485564304</v>
      </c>
      <c r="Q594" s="41">
        <f>IF(Tabela1716[[#This Row],[New House Sales]]="",#N/A,((Tabela1716[[#This Row],[New House Sales]]*1)/O582)-1)</f>
        <v>0.25222551928783377</v>
      </c>
      <c r="R594" s="27">
        <v>6.2</v>
      </c>
      <c r="S594" s="86">
        <v>145.404</v>
      </c>
      <c r="T594" s="41">
        <f>IF(Tabela1716[[#This Row],[S&amp;P/Case-Shiller Home Price Index]]="",#N/A,((Tabela1716[[#This Row],[S&amp;P/Case-Shiller Home Price Index]]*1)/S593)-1)</f>
        <v>1.2590879968801261E-2</v>
      </c>
      <c r="U594" s="41">
        <f>IF(Tabela1716[[#This Row],[S&amp;P/Case-Shiller Home Price Index]]="",#N/A,((Tabela1716[[#This Row],[S&amp;P/Case-Shiller Home Price Index]]*1)/S582)-1)</f>
        <v>-1.0466714758204043E-2</v>
      </c>
      <c r="V594" s="37"/>
      <c r="W594" s="9"/>
      <c r="X594" s="9"/>
    </row>
    <row r="595" spans="1:24" ht="12.75">
      <c r="A595" s="12">
        <v>40299</v>
      </c>
      <c r="B595" s="26">
        <v>4.78</v>
      </c>
      <c r="C595" s="29">
        <v>22</v>
      </c>
      <c r="D595" s="33">
        <v>575</v>
      </c>
      <c r="E595" s="41">
        <f>IF(Tabela1716[[#This Row],[Building Permits]]="",#N/A,((Tabela1716[[#This Row],[Building Permits]]*1)/D583)-1)</f>
        <v>3.4172661870503607E-2</v>
      </c>
      <c r="F595" s="33">
        <v>476</v>
      </c>
      <c r="G595" s="41">
        <f>IF(Tabela1716[[#This Row],[Houses Under Construction]]="",#N/A,((Tabela1716[[#This Row],[Houses Under Construction]]*1)/F583)-1)</f>
        <v>-0.26769230769230767</v>
      </c>
      <c r="H595" s="33">
        <v>583</v>
      </c>
      <c r="I595" s="33">
        <f>IF(Tabela1716[[#This Row],[Housing Starts]]="",#N/A,Tabela1716[[#This Row],[Housing Starts]]-H594)</f>
        <v>-104</v>
      </c>
      <c r="J595" s="41">
        <f>IF(Tabela1716[[#This Row],[Housing Starts]]="",#N/A,((Tabela1716[[#This Row],[Housing Starts]]*1)/H583)-1)</f>
        <v>7.9629629629629717E-2</v>
      </c>
      <c r="K595" s="33">
        <v>823447</v>
      </c>
      <c r="L595" s="41">
        <f>IF(Tabela1716[[#This Row],[Total Construction Spending]]="",#N/A,((Tabela1716[[#This Row],[Total Construction Spending]]*1)/K583)-1)</f>
        <v>-0.10496837025282058</v>
      </c>
      <c r="M595" s="31">
        <v>4880</v>
      </c>
      <c r="N595" s="41">
        <f>IF(Tabela1716[[#This Row],[Existing Home Sales]]="",#N/A,((Tabela1716[[#This Row],[Existing Home Sales]]*1)/M583)-1)</f>
        <v>0.21999999999999997</v>
      </c>
      <c r="O595" s="33">
        <v>280</v>
      </c>
      <c r="P595" s="41">
        <f>IF(Tabela1716[[#This Row],[New House Sales]]="",#N/A,((Tabela1716[[#This Row],[New House Sales]]*1)/O594)-1)</f>
        <v>-0.3364928909952607</v>
      </c>
      <c r="Q595" s="41">
        <f>IF(Tabela1716[[#This Row],[New House Sales]]="",#N/A,((Tabela1716[[#This Row],[New House Sales]]*1)/O583)-1)</f>
        <v>-0.25531914893617025</v>
      </c>
      <c r="R595" s="27">
        <v>9.3000000000000007</v>
      </c>
      <c r="S595" s="86">
        <v>147.04</v>
      </c>
      <c r="T595" s="41">
        <f>IF(Tabela1716[[#This Row],[S&amp;P/Case-Shiller Home Price Index]]="",#N/A,((Tabela1716[[#This Row],[S&amp;P/Case-Shiller Home Price Index]]*1)/S594)-1)</f>
        <v>1.1251409864928119E-2</v>
      </c>
      <c r="U595" s="41">
        <f>IF(Tabela1716[[#This Row],[S&amp;P/Case-Shiller Home Price Index]]="",#N/A,((Tabela1716[[#This Row],[S&amp;P/Case-Shiller Home Price Index]]*1)/S583)-1)</f>
        <v>-7.6196775303875031E-3</v>
      </c>
      <c r="V595" s="39"/>
      <c r="W595" s="9"/>
      <c r="X595" s="9"/>
    </row>
    <row r="596" spans="1:24" ht="12.75">
      <c r="A596" s="12">
        <v>40330</v>
      </c>
      <c r="B596" s="26">
        <v>4.6900000000000004</v>
      </c>
      <c r="C596" s="29">
        <v>16</v>
      </c>
      <c r="D596" s="33">
        <v>587</v>
      </c>
      <c r="E596" s="41">
        <f>IF(Tabela1716[[#This Row],[Building Permits]]="",#N/A,((Tabela1716[[#This Row],[Building Permits]]*1)/D584)-1)</f>
        <v>-2.3294509151414289E-2</v>
      </c>
      <c r="F596" s="33">
        <v>447</v>
      </c>
      <c r="G596" s="41">
        <f>IF(Tabela1716[[#This Row],[Houses Under Construction]]="",#N/A,((Tabela1716[[#This Row],[Houses Under Construction]]*1)/F584)-1)</f>
        <v>-0.28708133971291872</v>
      </c>
      <c r="H596" s="33">
        <v>536</v>
      </c>
      <c r="I596" s="33">
        <f>IF(Tabela1716[[#This Row],[Housing Starts]]="",#N/A,Tabela1716[[#This Row],[Housing Starts]]-H595)</f>
        <v>-47</v>
      </c>
      <c r="J596" s="41">
        <f>IF(Tabela1716[[#This Row],[Housing Starts]]="",#N/A,((Tabela1716[[#This Row],[Housing Starts]]*1)/H584)-1)</f>
        <v>-8.3760683760683796E-2</v>
      </c>
      <c r="K596" s="33">
        <v>821943</v>
      </c>
      <c r="L596" s="41">
        <f>IF(Tabela1716[[#This Row],[Total Construction Spending]]="",#N/A,((Tabela1716[[#This Row],[Total Construction Spending]]*1)/K584)-1)</f>
        <v>-9.9270160981008826E-2</v>
      </c>
      <c r="M596" s="31">
        <v>4450</v>
      </c>
      <c r="N596" s="41">
        <f>IF(Tabela1716[[#This Row],[Existing Home Sales]]="",#N/A,((Tabela1716[[#This Row],[Existing Home Sales]]*1)/M584)-1)</f>
        <v>8.5365853658536661E-2</v>
      </c>
      <c r="O596" s="33">
        <v>305</v>
      </c>
      <c r="P596" s="41">
        <f>IF(Tabela1716[[#This Row],[New House Sales]]="",#N/A,((Tabela1716[[#This Row],[New House Sales]]*1)/O595)-1)</f>
        <v>8.9285714285714191E-2</v>
      </c>
      <c r="Q596" s="41">
        <f>IF(Tabela1716[[#This Row],[New House Sales]]="",#N/A,((Tabela1716[[#This Row],[New House Sales]]*1)/O584)-1)</f>
        <v>-0.22391857506361323</v>
      </c>
      <c r="R596" s="27">
        <v>8.3000000000000007</v>
      </c>
      <c r="S596" s="86">
        <v>147.70500000000001</v>
      </c>
      <c r="T596" s="41">
        <f>IF(Tabela1716[[#This Row],[S&amp;P/Case-Shiller Home Price Index]]="",#N/A,((Tabela1716[[#This Row],[S&amp;P/Case-Shiller Home Price Index]]*1)/S595)-1)</f>
        <v>4.5225788900979946E-3</v>
      </c>
      <c r="U596" s="41">
        <f>IF(Tabela1716[[#This Row],[S&amp;P/Case-Shiller Home Price Index]]="",#N/A,((Tabela1716[[#This Row],[S&amp;P/Case-Shiller Home Price Index]]*1)/S584)-1)</f>
        <v>-1.3958984218537029E-2</v>
      </c>
      <c r="V596" s="37"/>
      <c r="W596" s="9"/>
      <c r="X596" s="9"/>
    </row>
    <row r="597" spans="1:24" ht="12.75">
      <c r="A597" s="12">
        <v>40360</v>
      </c>
      <c r="B597" s="26">
        <v>4.54</v>
      </c>
      <c r="C597" s="29">
        <v>14</v>
      </c>
      <c r="D597" s="33">
        <v>579</v>
      </c>
      <c r="E597" s="41">
        <f>IF(Tabela1716[[#This Row],[Building Permits]]="",#N/A,((Tabela1716[[#This Row],[Building Permits]]*1)/D585)-1)</f>
        <v>-2.6890756302521024E-2</v>
      </c>
      <c r="F597" s="33">
        <v>443</v>
      </c>
      <c r="G597" s="41">
        <f>IF(Tabela1716[[#This Row],[Houses Under Construction]]="",#N/A,((Tabela1716[[#This Row],[Houses Under Construction]]*1)/F585)-1)</f>
        <v>-0.27495908346972175</v>
      </c>
      <c r="H597" s="33">
        <v>546</v>
      </c>
      <c r="I597" s="33">
        <f>IF(Tabela1716[[#This Row],[Housing Starts]]="",#N/A,Tabela1716[[#This Row],[Housing Starts]]-H596)</f>
        <v>10</v>
      </c>
      <c r="J597" s="41">
        <f>IF(Tabela1716[[#This Row],[Housing Starts]]="",#N/A,((Tabela1716[[#This Row],[Housing Starts]]*1)/H585)-1)</f>
        <v>-8.0808080808080773E-2</v>
      </c>
      <c r="K597" s="33">
        <v>799694</v>
      </c>
      <c r="L597" s="41">
        <f>IF(Tabela1716[[#This Row],[Total Construction Spending]]="",#N/A,((Tabela1716[[#This Row],[Total Construction Spending]]*1)/K585)-1)</f>
        <v>-0.12260186650106752</v>
      </c>
      <c r="M597" s="31">
        <v>3450</v>
      </c>
      <c r="N597" s="41">
        <f>IF(Tabela1716[[#This Row],[Existing Home Sales]]="",#N/A,((Tabela1716[[#This Row],[Existing Home Sales]]*1)/M585)-1)</f>
        <v>-0.21052631578947367</v>
      </c>
      <c r="O597" s="33">
        <v>283</v>
      </c>
      <c r="P597" s="41">
        <f>IF(Tabela1716[[#This Row],[New House Sales]]="",#N/A,((Tabela1716[[#This Row],[New House Sales]]*1)/O596)-1)</f>
        <v>-7.2131147540983598E-2</v>
      </c>
      <c r="Q597" s="41">
        <f>IF(Tabela1716[[#This Row],[New House Sales]]="",#N/A,((Tabela1716[[#This Row],[New House Sales]]*1)/O585)-1)</f>
        <v>-0.31143552311435518</v>
      </c>
      <c r="R597" s="27">
        <v>8.9</v>
      </c>
      <c r="S597" s="86">
        <v>147.566</v>
      </c>
      <c r="T597" s="41">
        <f>IF(Tabela1716[[#This Row],[S&amp;P/Case-Shiller Home Price Index]]="",#N/A,((Tabela1716[[#This Row],[S&amp;P/Case-Shiller Home Price Index]]*1)/S596)-1)</f>
        <v>-9.4106496056334255E-4</v>
      </c>
      <c r="U597" s="41">
        <f>IF(Tabela1716[[#This Row],[S&amp;P/Case-Shiller Home Price Index]]="",#N/A,((Tabela1716[[#This Row],[S&amp;P/Case-Shiller Home Price Index]]*1)/S585)-1)</f>
        <v>-2.110807440231377E-2</v>
      </c>
      <c r="V597" s="39"/>
      <c r="W597" s="9"/>
      <c r="X597" s="9"/>
    </row>
    <row r="598" spans="1:24" ht="12.75">
      <c r="A598" s="12">
        <v>40391</v>
      </c>
      <c r="B598" s="26">
        <v>4.3600000000000003</v>
      </c>
      <c r="C598" s="29">
        <v>13</v>
      </c>
      <c r="D598" s="33">
        <v>580</v>
      </c>
      <c r="E598" s="41">
        <f>IF(Tabela1716[[#This Row],[Building Permits]]="",#N/A,((Tabela1716[[#This Row],[Building Permits]]*1)/D586)-1)</f>
        <v>-5.8441558441558406E-2</v>
      </c>
      <c r="F598" s="33">
        <v>444</v>
      </c>
      <c r="G598" s="41">
        <f>IF(Tabela1716[[#This Row],[Houses Under Construction]]="",#N/A,((Tabela1716[[#This Row],[Houses Under Construction]]*1)/F586)-1)</f>
        <v>-0.24489795918367352</v>
      </c>
      <c r="H598" s="33">
        <v>599</v>
      </c>
      <c r="I598" s="33">
        <f>IF(Tabela1716[[#This Row],[Housing Starts]]="",#N/A,Tabela1716[[#This Row],[Housing Starts]]-H597)</f>
        <v>53</v>
      </c>
      <c r="J598" s="41">
        <f>IF(Tabela1716[[#This Row],[Housing Starts]]="",#N/A,((Tabela1716[[#This Row],[Housing Starts]]*1)/H586)-1)</f>
        <v>2.2184300341296925E-2</v>
      </c>
      <c r="K598" s="33">
        <v>802030</v>
      </c>
      <c r="L598" s="41">
        <f>IF(Tabela1716[[#This Row],[Total Construction Spending]]="",#N/A,((Tabela1716[[#This Row],[Total Construction Spending]]*1)/K586)-1)</f>
        <v>-0.10896643973194442</v>
      </c>
      <c r="M598" s="31">
        <v>3680</v>
      </c>
      <c r="N598" s="41">
        <f>IF(Tabela1716[[#This Row],[Existing Home Sales]]="",#N/A,((Tabela1716[[#This Row],[Existing Home Sales]]*1)/M586)-1)</f>
        <v>-0.17303370786516858</v>
      </c>
      <c r="O598" s="33">
        <v>282</v>
      </c>
      <c r="P598" s="41">
        <f>IF(Tabela1716[[#This Row],[New House Sales]]="",#N/A,((Tabela1716[[#This Row],[New House Sales]]*1)/O597)-1)</f>
        <v>-3.5335689045936647E-3</v>
      </c>
      <c r="Q598" s="41">
        <f>IF(Tabela1716[[#This Row],[New House Sales]]="",#N/A,((Tabela1716[[#This Row],[New House Sales]]*1)/O586)-1)</f>
        <v>-0.32535885167464118</v>
      </c>
      <c r="R598" s="27">
        <v>8.8000000000000007</v>
      </c>
      <c r="S598" s="86">
        <v>146.43</v>
      </c>
      <c r="T598" s="41">
        <f>IF(Tabela1716[[#This Row],[S&amp;P/Case-Shiller Home Price Index]]="",#N/A,((Tabela1716[[#This Row],[S&amp;P/Case-Shiller Home Price Index]]*1)/S597)-1)</f>
        <v>-7.6982502744534775E-3</v>
      </c>
      <c r="U598" s="41">
        <f>IF(Tabela1716[[#This Row],[S&amp;P/Case-Shiller Home Price Index]]="",#N/A,((Tabela1716[[#This Row],[S&amp;P/Case-Shiller Home Price Index]]*1)/S586)-1)</f>
        <v>-2.812806966310033E-2</v>
      </c>
      <c r="V598" s="37"/>
      <c r="W598" s="9"/>
      <c r="X598" s="9"/>
    </row>
    <row r="599" spans="1:24" ht="12.75">
      <c r="A599" s="12">
        <v>40422</v>
      </c>
      <c r="B599" s="26">
        <v>4.32</v>
      </c>
      <c r="C599" s="29">
        <v>13</v>
      </c>
      <c r="D599" s="33">
        <v>563</v>
      </c>
      <c r="E599" s="41">
        <f>IF(Tabela1716[[#This Row],[Building Permits]]="",#N/A,((Tabela1716[[#This Row],[Building Permits]]*1)/D587)-1)</f>
        <v>-7.5533661740558311E-2</v>
      </c>
      <c r="F599" s="33">
        <v>439</v>
      </c>
      <c r="G599" s="41">
        <f>IF(Tabela1716[[#This Row],[Houses Under Construction]]="",#N/A,((Tabela1716[[#This Row],[Houses Under Construction]]*1)/F587)-1)</f>
        <v>-0.23784722222222221</v>
      </c>
      <c r="H599" s="33">
        <v>594</v>
      </c>
      <c r="I599" s="33">
        <f>IF(Tabela1716[[#This Row],[Housing Starts]]="",#N/A,Tabela1716[[#This Row],[Housing Starts]]-H598)</f>
        <v>-5</v>
      </c>
      <c r="J599" s="41">
        <f>IF(Tabela1716[[#This Row],[Housing Starts]]="",#N/A,((Tabela1716[[#This Row],[Housing Starts]]*1)/H587)-1)</f>
        <v>1.538461538461533E-2</v>
      </c>
      <c r="K599" s="33">
        <v>807728</v>
      </c>
      <c r="L599" s="41">
        <f>IF(Tabela1716[[#This Row],[Total Construction Spending]]="",#N/A,((Tabela1716[[#This Row],[Total Construction Spending]]*1)/K587)-1)</f>
        <v>-8.9618266062997498E-2</v>
      </c>
      <c r="M599" s="31">
        <v>3840</v>
      </c>
      <c r="N599" s="41">
        <f>IF(Tabela1716[[#This Row],[Existing Home Sales]]="",#N/A,((Tabela1716[[#This Row],[Existing Home Sales]]*1)/M587)-1)</f>
        <v>-0.16883116883116878</v>
      </c>
      <c r="O599" s="33">
        <v>317</v>
      </c>
      <c r="P599" s="41">
        <f>IF(Tabela1716[[#This Row],[New House Sales]]="",#N/A,((Tabela1716[[#This Row],[New House Sales]]*1)/O598)-1)</f>
        <v>0.12411347517730498</v>
      </c>
      <c r="Q599" s="41">
        <f>IF(Tabela1716[[#This Row],[New House Sales]]="",#N/A,((Tabela1716[[#This Row],[New House Sales]]*1)/O587)-1)</f>
        <v>-0.17875647668393779</v>
      </c>
      <c r="R599" s="27">
        <v>7.6</v>
      </c>
      <c r="S599" s="86">
        <v>144.61099999999999</v>
      </c>
      <c r="T599" s="41">
        <f>IF(Tabela1716[[#This Row],[S&amp;P/Case-Shiller Home Price Index]]="",#N/A,((Tabela1716[[#This Row],[S&amp;P/Case-Shiller Home Price Index]]*1)/S598)-1)</f>
        <v>-1.2422317831045637E-2</v>
      </c>
      <c r="U599" s="41">
        <f>IF(Tabela1716[[#This Row],[S&amp;P/Case-Shiller Home Price Index]]="",#N/A,((Tabela1716[[#This Row],[S&amp;P/Case-Shiller Home Price Index]]*1)/S587)-1)</f>
        <v>-3.3523361425411347E-2</v>
      </c>
      <c r="V599" s="39"/>
      <c r="W599" s="9"/>
      <c r="X599" s="9"/>
    </row>
    <row r="600" spans="1:24" ht="12.75">
      <c r="A600" s="12">
        <v>40452</v>
      </c>
      <c r="B600" s="26">
        <v>4.2300000000000004</v>
      </c>
      <c r="C600" s="29">
        <v>15</v>
      </c>
      <c r="D600" s="33">
        <v>558</v>
      </c>
      <c r="E600" s="41">
        <f>IF(Tabela1716[[#This Row],[Building Permits]]="",#N/A,((Tabela1716[[#This Row],[Building Permits]]*1)/D588)-1)</f>
        <v>-4.2881646655231531E-2</v>
      </c>
      <c r="F600" s="33">
        <v>436</v>
      </c>
      <c r="G600" s="41">
        <f>IF(Tabela1716[[#This Row],[Houses Under Construction]]="",#N/A,((Tabela1716[[#This Row],[Houses Under Construction]]*1)/F588)-1)</f>
        <v>-0.21299638989169678</v>
      </c>
      <c r="H600" s="33">
        <v>543</v>
      </c>
      <c r="I600" s="33">
        <f>IF(Tabela1716[[#This Row],[Housing Starts]]="",#N/A,Tabela1716[[#This Row],[Housing Starts]]-H599)</f>
        <v>-51</v>
      </c>
      <c r="J600" s="41">
        <f>IF(Tabela1716[[#This Row],[Housing Starts]]="",#N/A,((Tabela1716[[#This Row],[Housing Starts]]*1)/H588)-1)</f>
        <v>1.6853932584269593E-2</v>
      </c>
      <c r="K600" s="33">
        <v>801372</v>
      </c>
      <c r="L600" s="41">
        <f>IF(Tabela1716[[#This Row],[Total Construction Spending]]="",#N/A,((Tabela1716[[#This Row],[Total Construction Spending]]*1)/K588)-1)</f>
        <v>-8.0353136536870373E-2</v>
      </c>
      <c r="M600" s="31">
        <v>3830</v>
      </c>
      <c r="N600" s="41">
        <f>IF(Tabela1716[[#This Row],[Existing Home Sales]]="",#N/A,((Tabela1716[[#This Row],[Existing Home Sales]]*1)/M588)-1)</f>
        <v>-0.23705179282868527</v>
      </c>
      <c r="O600" s="33">
        <v>291</v>
      </c>
      <c r="P600" s="41">
        <f>IF(Tabela1716[[#This Row],[New House Sales]]="",#N/A,((Tabela1716[[#This Row],[New House Sales]]*1)/O599)-1)</f>
        <v>-8.2018927444794998E-2</v>
      </c>
      <c r="Q600" s="41">
        <f>IF(Tabela1716[[#This Row],[New House Sales]]="",#N/A,((Tabela1716[[#This Row],[New House Sales]]*1)/O588)-1)</f>
        <v>-0.26515151515151514</v>
      </c>
      <c r="R600" s="27">
        <v>8.1999999999999993</v>
      </c>
      <c r="S600" s="86">
        <v>143.13</v>
      </c>
      <c r="T600" s="41">
        <f>IF(Tabela1716[[#This Row],[S&amp;P/Case-Shiller Home Price Index]]="",#N/A,((Tabela1716[[#This Row],[S&amp;P/Case-Shiller Home Price Index]]*1)/S599)-1)</f>
        <v>-1.0241267953336797E-2</v>
      </c>
      <c r="U600" s="41">
        <f>IF(Tabela1716[[#This Row],[S&amp;P/Case-Shiller Home Price Index]]="",#N/A,((Tabela1716[[#This Row],[S&amp;P/Case-Shiller Home Price Index]]*1)/S588)-1)</f>
        <v>-3.6706509449200508E-2</v>
      </c>
      <c r="V600" s="37"/>
      <c r="W600" s="9"/>
      <c r="X600" s="9"/>
    </row>
    <row r="601" spans="1:24" ht="12.75">
      <c r="A601" s="12">
        <v>40483</v>
      </c>
      <c r="B601" s="26">
        <v>4.4000000000000004</v>
      </c>
      <c r="C601" s="29">
        <v>16</v>
      </c>
      <c r="D601" s="33">
        <v>560</v>
      </c>
      <c r="E601" s="41">
        <f>IF(Tabela1716[[#This Row],[Building Permits]]="",#N/A,((Tabela1716[[#This Row],[Building Permits]]*1)/D589)-1)</f>
        <v>-0.101123595505618</v>
      </c>
      <c r="F601" s="33">
        <v>431</v>
      </c>
      <c r="G601" s="41">
        <f>IF(Tabela1716[[#This Row],[Houses Under Construction]]="",#N/A,((Tabela1716[[#This Row],[Houses Under Construction]]*1)/F589)-1)</f>
        <v>-0.18984962406015038</v>
      </c>
      <c r="H601" s="33">
        <v>545</v>
      </c>
      <c r="I601" s="33">
        <f>IF(Tabela1716[[#This Row],[Housing Starts]]="",#N/A,Tabela1716[[#This Row],[Housing Starts]]-H600)</f>
        <v>2</v>
      </c>
      <c r="J601" s="41">
        <f>IF(Tabela1716[[#This Row],[Housing Starts]]="",#N/A,((Tabela1716[[#This Row],[Housing Starts]]*1)/H589)-1)</f>
        <v>-7.3129251700680298E-2</v>
      </c>
      <c r="K601" s="33">
        <v>804151</v>
      </c>
      <c r="L601" s="41">
        <f>IF(Tabela1716[[#This Row],[Total Construction Spending]]="",#N/A,((Tabela1716[[#This Row],[Total Construction Spending]]*1)/K589)-1)</f>
        <v>-6.3299293063542761E-2</v>
      </c>
      <c r="M601" s="31">
        <v>4020</v>
      </c>
      <c r="N601" s="41">
        <f>IF(Tabela1716[[#This Row],[Existing Home Sales]]="",#N/A,((Tabela1716[[#This Row],[Existing Home Sales]]*1)/M589)-1)</f>
        <v>-0.26102941176470584</v>
      </c>
      <c r="O601" s="33">
        <v>287</v>
      </c>
      <c r="P601" s="41">
        <f>IF(Tabela1716[[#This Row],[New House Sales]]="",#N/A,((Tabela1716[[#This Row],[New House Sales]]*1)/O600)-1)</f>
        <v>-1.3745704467353903E-2</v>
      </c>
      <c r="Q601" s="41">
        <f>IF(Tabela1716[[#This Row],[New House Sales]]="",#N/A,((Tabela1716[[#This Row],[New House Sales]]*1)/O589)-1)</f>
        <v>-0.23466666666666669</v>
      </c>
      <c r="R601" s="27">
        <v>8.1999999999999993</v>
      </c>
      <c r="S601" s="86">
        <v>141.81899999999999</v>
      </c>
      <c r="T601" s="41">
        <f>IF(Tabela1716[[#This Row],[S&amp;P/Case-Shiller Home Price Index]]="",#N/A,((Tabela1716[[#This Row],[S&amp;P/Case-Shiller Home Price Index]]*1)/S600)-1)</f>
        <v>-9.1595053447914854E-3</v>
      </c>
      <c r="U601" s="41">
        <f>IF(Tabela1716[[#This Row],[S&amp;P/Case-Shiller Home Price Index]]="",#N/A,((Tabela1716[[#This Row],[S&amp;P/Case-Shiller Home Price Index]]*1)/S589)-1)</f>
        <v>-4.1368401841299529E-2</v>
      </c>
      <c r="V601" s="39"/>
      <c r="W601" s="9"/>
      <c r="X601" s="9"/>
    </row>
    <row r="602" spans="1:24" ht="12.75">
      <c r="A602" s="12">
        <v>40513</v>
      </c>
      <c r="B602" s="26">
        <v>4.8600000000000003</v>
      </c>
      <c r="C602" s="29">
        <v>16</v>
      </c>
      <c r="D602" s="33">
        <v>632</v>
      </c>
      <c r="E602" s="41">
        <f>IF(Tabela1716[[#This Row],[Building Permits]]="",#N/A,((Tabela1716[[#This Row],[Building Permits]]*1)/D590)-1)</f>
        <v>-4.8192771084337394E-2</v>
      </c>
      <c r="F602" s="33">
        <v>427</v>
      </c>
      <c r="G602" s="41">
        <f>IF(Tabela1716[[#This Row],[Houses Under Construction]]="",#N/A,((Tabela1716[[#This Row],[Houses Under Construction]]*1)/F590)-1)</f>
        <v>-0.17408123791102514</v>
      </c>
      <c r="H602" s="33">
        <v>539</v>
      </c>
      <c r="I602" s="33">
        <f>IF(Tabela1716[[#This Row],[Housing Starts]]="",#N/A,Tabela1716[[#This Row],[Housing Starts]]-H601)</f>
        <v>-6</v>
      </c>
      <c r="J602" s="41">
        <f>IF(Tabela1716[[#This Row],[Housing Starts]]="",#N/A,((Tabela1716[[#This Row],[Housing Starts]]*1)/H590)-1)</f>
        <v>-7.2289156626506035E-2</v>
      </c>
      <c r="K602" s="33">
        <v>789395</v>
      </c>
      <c r="L602" s="41">
        <f>IF(Tabela1716[[#This Row],[Total Construction Spending]]="",#N/A,((Tabela1716[[#This Row],[Total Construction Spending]]*1)/K590)-1)</f>
        <v>-6.3153847158053167E-2</v>
      </c>
      <c r="M602" s="31">
        <v>4270</v>
      </c>
      <c r="N602" s="41">
        <f>IF(Tabela1716[[#This Row],[Existing Home Sales]]="",#N/A,((Tabela1716[[#This Row],[Existing Home Sales]]*1)/M590)-1)</f>
        <v>-2.9545454545454541E-2</v>
      </c>
      <c r="O602" s="33">
        <v>326</v>
      </c>
      <c r="P602" s="41">
        <f>IF(Tabela1716[[#This Row],[New House Sales]]="",#N/A,((Tabela1716[[#This Row],[New House Sales]]*1)/O601)-1)</f>
        <v>0.13588850174216027</v>
      </c>
      <c r="Q602" s="41">
        <f>IF(Tabela1716[[#This Row],[New House Sales]]="",#N/A,((Tabela1716[[#This Row],[New House Sales]]*1)/O590)-1)</f>
        <v>-7.3863636363636354E-2</v>
      </c>
      <c r="R602" s="27">
        <v>7</v>
      </c>
      <c r="S602" s="86">
        <v>140.62799999999999</v>
      </c>
      <c r="T602" s="41">
        <f>IF(Tabela1716[[#This Row],[S&amp;P/Case-Shiller Home Price Index]]="",#N/A,((Tabela1716[[#This Row],[S&amp;P/Case-Shiller Home Price Index]]*1)/S601)-1)</f>
        <v>-8.3980284729127108E-3</v>
      </c>
      <c r="U602" s="41">
        <f>IF(Tabela1716[[#This Row],[S&amp;P/Case-Shiller Home Price Index]]="",#N/A,((Tabela1716[[#This Row],[S&amp;P/Case-Shiller Home Price Index]]*1)/S590)-1)</f>
        <v>-4.1155293732613285E-2</v>
      </c>
      <c r="V602" s="37"/>
      <c r="W602" s="9"/>
      <c r="X602" s="9"/>
    </row>
    <row r="603" spans="1:24" ht="12.75">
      <c r="A603" s="12">
        <v>40544</v>
      </c>
      <c r="B603" s="26">
        <v>4.8</v>
      </c>
      <c r="C603" s="29">
        <v>16</v>
      </c>
      <c r="D603" s="33">
        <v>576</v>
      </c>
      <c r="E603" s="41">
        <f>IF(Tabela1716[[#This Row],[Building Permits]]="",#N/A,((Tabela1716[[#This Row],[Building Permits]]*1)/D591)-1)</f>
        <v>-9.4339622641509413E-2</v>
      </c>
      <c r="F603" s="33">
        <v>431</v>
      </c>
      <c r="G603" s="41">
        <f>IF(Tabela1716[[#This Row],[Houses Under Construction]]="",#N/A,((Tabela1716[[#This Row],[Houses Under Construction]]*1)/F591)-1)</f>
        <v>-0.13972055888223556</v>
      </c>
      <c r="H603" s="33">
        <v>630</v>
      </c>
      <c r="I603" s="33">
        <f>IF(Tabela1716[[#This Row],[Housing Starts]]="",#N/A,Tabela1716[[#This Row],[Housing Starts]]-H602)</f>
        <v>91</v>
      </c>
      <c r="J603" s="41">
        <f>IF(Tabela1716[[#This Row],[Housing Starts]]="",#N/A,((Tabela1716[[#This Row],[Housing Starts]]*1)/H591)-1)</f>
        <v>2.6058631921824116E-2</v>
      </c>
      <c r="K603" s="33">
        <v>759964</v>
      </c>
      <c r="L603" s="41">
        <f>IF(Tabela1716[[#This Row],[Total Construction Spending]]="",#N/A,((Tabela1716[[#This Row],[Total Construction Spending]]*1)/K591)-1)</f>
        <v>-7.5597788141304023E-2</v>
      </c>
      <c r="M603" s="31">
        <v>4420</v>
      </c>
      <c r="N603" s="41">
        <f>IF(Tabela1716[[#This Row],[Existing Home Sales]]="",#N/A,((Tabela1716[[#This Row],[Existing Home Sales]]*1)/M591)-1)</f>
        <v>5.4892601431980825E-2</v>
      </c>
      <c r="O603" s="33">
        <v>307</v>
      </c>
      <c r="P603" s="41">
        <f>IF(Tabela1716[[#This Row],[New House Sales]]="",#N/A,((Tabela1716[[#This Row],[New House Sales]]*1)/O602)-1)</f>
        <v>-5.8282208588957052E-2</v>
      </c>
      <c r="Q603" s="41">
        <f>IF(Tabela1716[[#This Row],[New House Sales]]="",#N/A,((Tabela1716[[#This Row],[New House Sales]]*1)/O591)-1)</f>
        <v>-0.11014492753623184</v>
      </c>
      <c r="R603" s="27">
        <v>7.3</v>
      </c>
      <c r="S603" s="86">
        <v>139.036</v>
      </c>
      <c r="T603" s="41">
        <f>IF(Tabela1716[[#This Row],[S&amp;P/Case-Shiller Home Price Index]]="",#N/A,((Tabela1716[[#This Row],[S&amp;P/Case-Shiller Home Price Index]]*1)/S602)-1)</f>
        <v>-1.1320647381744653E-2</v>
      </c>
      <c r="U603" s="41">
        <f>IF(Tabela1716[[#This Row],[S&amp;P/Case-Shiller Home Price Index]]="",#N/A,((Tabela1716[[#This Row],[S&amp;P/Case-Shiller Home Price Index]]*1)/S591)-1)</f>
        <v>-4.1150872740563837E-2</v>
      </c>
      <c r="V603" s="39"/>
      <c r="W603" s="9"/>
      <c r="X603" s="9"/>
    </row>
    <row r="604" spans="1:24" ht="12.75">
      <c r="A604" s="12">
        <v>40575</v>
      </c>
      <c r="B604" s="26">
        <v>4.95</v>
      </c>
      <c r="C604" s="29">
        <v>16</v>
      </c>
      <c r="D604" s="33">
        <v>542</v>
      </c>
      <c r="E604" s="41">
        <f>IF(Tabela1716[[#This Row],[Building Permits]]="",#N/A,((Tabela1716[[#This Row],[Building Permits]]*1)/D592)-1)</f>
        <v>-0.16615384615384621</v>
      </c>
      <c r="F604" s="33">
        <v>424</v>
      </c>
      <c r="G604" s="41">
        <f>IF(Tabela1716[[#This Row],[Houses Under Construction]]="",#N/A,((Tabela1716[[#This Row],[Houses Under Construction]]*1)/F592)-1)</f>
        <v>-0.13995943204868155</v>
      </c>
      <c r="H604" s="33">
        <v>517</v>
      </c>
      <c r="I604" s="33">
        <f>IF(Tabela1716[[#This Row],[Housing Starts]]="",#N/A,Tabela1716[[#This Row],[Housing Starts]]-H603)</f>
        <v>-113</v>
      </c>
      <c r="J604" s="41">
        <f>IF(Tabela1716[[#This Row],[Housing Starts]]="",#N/A,((Tabela1716[[#This Row],[Housing Starts]]*1)/H592)-1)</f>
        <v>-0.14403973509933776</v>
      </c>
      <c r="K604" s="33">
        <v>758376</v>
      </c>
      <c r="L604" s="41">
        <f>IF(Tabela1716[[#This Row],[Total Construction Spending]]="",#N/A,((Tabela1716[[#This Row],[Total Construction Spending]]*1)/K592)-1)</f>
        <v>-6.934598133478953E-2</v>
      </c>
      <c r="M604" s="31">
        <v>4160</v>
      </c>
      <c r="N604" s="41">
        <f>IF(Tabela1716[[#This Row],[Existing Home Sales]]="",#N/A,((Tabela1716[[#This Row],[Existing Home Sales]]*1)/M592)-1)</f>
        <v>-2.5761124121779888E-2</v>
      </c>
      <c r="O604" s="33">
        <v>270</v>
      </c>
      <c r="P604" s="41">
        <f>IF(Tabela1716[[#This Row],[New House Sales]]="",#N/A,((Tabela1716[[#This Row],[New House Sales]]*1)/O603)-1)</f>
        <v>-0.12052117263843654</v>
      </c>
      <c r="Q604" s="41">
        <f>IF(Tabela1716[[#This Row],[New House Sales]]="",#N/A,((Tabela1716[[#This Row],[New House Sales]]*1)/O592)-1)</f>
        <v>-0.1964285714285714</v>
      </c>
      <c r="R604" s="27">
        <v>8.1</v>
      </c>
      <c r="S604" s="86">
        <v>137.732</v>
      </c>
      <c r="T604" s="41">
        <f>IF(Tabela1716[[#This Row],[S&amp;P/Case-Shiller Home Price Index]]="",#N/A,((Tabela1716[[#This Row],[S&amp;P/Case-Shiller Home Price Index]]*1)/S603)-1)</f>
        <v>-9.3788659052331802E-3</v>
      </c>
      <c r="U604" s="41">
        <f>IF(Tabela1716[[#This Row],[S&amp;P/Case-Shiller Home Price Index]]="",#N/A,((Tabela1716[[#This Row],[S&amp;P/Case-Shiller Home Price Index]]*1)/S592)-1)</f>
        <v>-3.7202734631677559E-2</v>
      </c>
      <c r="V604" s="37"/>
      <c r="W604" s="9"/>
      <c r="X604" s="9"/>
    </row>
    <row r="605" spans="1:24" ht="12.75">
      <c r="A605" s="12">
        <v>40603</v>
      </c>
      <c r="B605" s="26">
        <v>4.8600000000000003</v>
      </c>
      <c r="C605" s="29">
        <v>17</v>
      </c>
      <c r="D605" s="33">
        <v>583</v>
      </c>
      <c r="E605" s="41">
        <f>IF(Tabela1716[[#This Row],[Building Permits]]="",#N/A,((Tabela1716[[#This Row],[Building Permits]]*1)/D593)-1)</f>
        <v>-0.15138282387190682</v>
      </c>
      <c r="F605" s="33">
        <v>420</v>
      </c>
      <c r="G605" s="41">
        <f>IF(Tabela1716[[#This Row],[Houses Under Construction]]="",#N/A,((Tabela1716[[#This Row],[Houses Under Construction]]*1)/F593)-1)</f>
        <v>-0.14634146341463417</v>
      </c>
      <c r="H605" s="33">
        <v>600</v>
      </c>
      <c r="I605" s="33">
        <f>IF(Tabela1716[[#This Row],[Housing Starts]]="",#N/A,Tabela1716[[#This Row],[Housing Starts]]-H604)</f>
        <v>83</v>
      </c>
      <c r="J605" s="41">
        <f>IF(Tabela1716[[#This Row],[Housing Starts]]="",#N/A,((Tabela1716[[#This Row],[Housing Starts]]*1)/H593)-1)</f>
        <v>-5.6603773584905648E-2</v>
      </c>
      <c r="K605" s="33">
        <v>769157</v>
      </c>
      <c r="L605" s="41">
        <f>IF(Tabela1716[[#This Row],[Total Construction Spending]]="",#N/A,((Tabela1716[[#This Row],[Total Construction Spending]]*1)/K593)-1)</f>
        <v>-6.4113967407638195E-2</v>
      </c>
      <c r="M605" s="31">
        <v>4260</v>
      </c>
      <c r="N605" s="41">
        <f>IF(Tabela1716[[#This Row],[Existing Home Sales]]="",#N/A,((Tabela1716[[#This Row],[Existing Home Sales]]*1)/M593)-1)</f>
        <v>-5.1224944320712673E-2</v>
      </c>
      <c r="O605" s="33">
        <v>300</v>
      </c>
      <c r="P605" s="41">
        <f>IF(Tabela1716[[#This Row],[New House Sales]]="",#N/A,((Tabela1716[[#This Row],[New House Sales]]*1)/O604)-1)</f>
        <v>0.11111111111111116</v>
      </c>
      <c r="Q605" s="41">
        <f>IF(Tabela1716[[#This Row],[New House Sales]]="",#N/A,((Tabela1716[[#This Row],[New House Sales]]*1)/O593)-1)</f>
        <v>-0.21259842519685035</v>
      </c>
      <c r="R605" s="27">
        <v>7.2</v>
      </c>
      <c r="S605" s="86">
        <v>137.785</v>
      </c>
      <c r="T605" s="41">
        <f>IF(Tabela1716[[#This Row],[S&amp;P/Case-Shiller Home Price Index]]="",#N/A,((Tabela1716[[#This Row],[S&amp;P/Case-Shiller Home Price Index]]*1)/S604)-1)</f>
        <v>3.8480527401030251E-4</v>
      </c>
      <c r="U605" s="41">
        <f>IF(Tabela1716[[#This Row],[S&amp;P/Case-Shiller Home Price Index]]="",#N/A,((Tabela1716[[#This Row],[S&amp;P/Case-Shiller Home Price Index]]*1)/S593)-1)</f>
        <v>-4.0467701050168614E-2</v>
      </c>
      <c r="V605" s="39"/>
      <c r="W605" s="9"/>
      <c r="X605" s="9"/>
    </row>
    <row r="606" spans="1:24" ht="12.75">
      <c r="A606" s="12">
        <v>40634</v>
      </c>
      <c r="B606" s="26">
        <v>4.78</v>
      </c>
      <c r="C606" s="29">
        <v>16</v>
      </c>
      <c r="D606" s="33">
        <v>581</v>
      </c>
      <c r="E606" s="41">
        <f>IF(Tabela1716[[#This Row],[Building Permits]]="",#N/A,((Tabela1716[[#This Row],[Building Permits]]*1)/D594)-1)</f>
        <v>-8.7912087912087933E-2</v>
      </c>
      <c r="F606" s="33">
        <v>417</v>
      </c>
      <c r="G606" s="41">
        <f>IF(Tabela1716[[#This Row],[Houses Under Construction]]="",#N/A,((Tabela1716[[#This Row],[Houses Under Construction]]*1)/F594)-1)</f>
        <v>-0.14549180327868849</v>
      </c>
      <c r="H606" s="33">
        <v>554</v>
      </c>
      <c r="I606" s="33">
        <f>IF(Tabela1716[[#This Row],[Housing Starts]]="",#N/A,Tabela1716[[#This Row],[Housing Starts]]-H605)</f>
        <v>-46</v>
      </c>
      <c r="J606" s="41">
        <f>IF(Tabela1716[[#This Row],[Housing Starts]]="",#N/A,((Tabela1716[[#This Row],[Housing Starts]]*1)/H594)-1)</f>
        <v>-0.19359534206695783</v>
      </c>
      <c r="K606" s="33">
        <v>769437</v>
      </c>
      <c r="L606" s="41">
        <f>IF(Tabela1716[[#This Row],[Total Construction Spending]]="",#N/A,((Tabela1716[[#This Row],[Total Construction Spending]]*1)/K594)-1)</f>
        <v>-7.2592037258456421E-2</v>
      </c>
      <c r="M606" s="31">
        <v>4170</v>
      </c>
      <c r="N606" s="41">
        <f>IF(Tabela1716[[#This Row],[Existing Home Sales]]="",#N/A,((Tabela1716[[#This Row],[Existing Home Sales]]*1)/M594)-1)</f>
        <v>-0.13485477178423233</v>
      </c>
      <c r="O606" s="33">
        <v>310</v>
      </c>
      <c r="P606" s="41">
        <f>IF(Tabela1716[[#This Row],[New House Sales]]="",#N/A,((Tabela1716[[#This Row],[New House Sales]]*1)/O605)-1)</f>
        <v>3.3333333333333437E-2</v>
      </c>
      <c r="Q606" s="41">
        <f>IF(Tabela1716[[#This Row],[New House Sales]]="",#N/A,((Tabela1716[[#This Row],[New House Sales]]*1)/O594)-1)</f>
        <v>-0.2654028436018957</v>
      </c>
      <c r="R606" s="27">
        <v>6.7</v>
      </c>
      <c r="S606" s="86">
        <v>139.15799999999999</v>
      </c>
      <c r="T606" s="41">
        <f>IF(Tabela1716[[#This Row],[S&amp;P/Case-Shiller Home Price Index]]="",#N/A,((Tabela1716[[#This Row],[S&amp;P/Case-Shiller Home Price Index]]*1)/S605)-1)</f>
        <v>9.9648002322458851E-3</v>
      </c>
      <c r="U606" s="41">
        <f>IF(Tabela1716[[#This Row],[S&amp;P/Case-Shiller Home Price Index]]="",#N/A,((Tabela1716[[#This Row],[S&amp;P/Case-Shiller Home Price Index]]*1)/S594)-1)</f>
        <v>-4.2956177271601947E-2</v>
      </c>
      <c r="V606" s="37"/>
      <c r="W606" s="9"/>
      <c r="X606" s="9"/>
    </row>
    <row r="607" spans="1:24" ht="12.75">
      <c r="A607" s="12">
        <v>40664</v>
      </c>
      <c r="B607" s="26">
        <v>4.5999999999999996</v>
      </c>
      <c r="C607" s="29">
        <v>16</v>
      </c>
      <c r="D607" s="33">
        <v>618</v>
      </c>
      <c r="E607" s="41">
        <f>IF(Tabela1716[[#This Row],[Building Permits]]="",#N/A,((Tabela1716[[#This Row],[Building Permits]]*1)/D595)-1)</f>
        <v>7.4782608695652231E-2</v>
      </c>
      <c r="F607" s="33">
        <v>415</v>
      </c>
      <c r="G607" s="41">
        <f>IF(Tabela1716[[#This Row],[Houses Under Construction]]="",#N/A,((Tabela1716[[#This Row],[Houses Under Construction]]*1)/F595)-1)</f>
        <v>-0.12815126050420167</v>
      </c>
      <c r="H607" s="33">
        <v>561</v>
      </c>
      <c r="I607" s="33">
        <f>IF(Tabela1716[[#This Row],[Housing Starts]]="",#N/A,Tabela1716[[#This Row],[Housing Starts]]-H606)</f>
        <v>7</v>
      </c>
      <c r="J607" s="41">
        <f>IF(Tabela1716[[#This Row],[Housing Starts]]="",#N/A,((Tabela1716[[#This Row],[Housing Starts]]*1)/H595)-1)</f>
        <v>-3.7735849056603765E-2</v>
      </c>
      <c r="K607" s="33">
        <v>775251</v>
      </c>
      <c r="L607" s="41">
        <f>IF(Tabela1716[[#This Row],[Total Construction Spending]]="",#N/A,((Tabela1716[[#This Row],[Total Construction Spending]]*1)/K595)-1)</f>
        <v>-5.8529571423540316E-2</v>
      </c>
      <c r="M607" s="31">
        <v>4140</v>
      </c>
      <c r="N607" s="41">
        <f>IF(Tabela1716[[#This Row],[Existing Home Sales]]="",#N/A,((Tabela1716[[#This Row],[Existing Home Sales]]*1)/M595)-1)</f>
        <v>-0.15163934426229508</v>
      </c>
      <c r="O607" s="33">
        <v>305</v>
      </c>
      <c r="P607" s="41">
        <f>IF(Tabela1716[[#This Row],[New House Sales]]="",#N/A,((Tabela1716[[#This Row],[New House Sales]]*1)/O606)-1)</f>
        <v>-1.6129032258064502E-2</v>
      </c>
      <c r="Q607" s="41">
        <f>IF(Tabela1716[[#This Row],[New House Sales]]="",#N/A,((Tabela1716[[#This Row],[New House Sales]]*1)/O595)-1)</f>
        <v>8.9285714285714191E-2</v>
      </c>
      <c r="R607" s="27">
        <v>6.6</v>
      </c>
      <c r="S607" s="86">
        <v>140.69299999999998</v>
      </c>
      <c r="T607" s="41">
        <f>IF(Tabela1716[[#This Row],[S&amp;P/Case-Shiller Home Price Index]]="",#N/A,((Tabela1716[[#This Row],[S&amp;P/Case-Shiller Home Price Index]]*1)/S606)-1)</f>
        <v>1.1030627057014408E-2</v>
      </c>
      <c r="U607" s="41">
        <f>IF(Tabela1716[[#This Row],[S&amp;P/Case-Shiller Home Price Index]]="",#N/A,((Tabela1716[[#This Row],[S&amp;P/Case-Shiller Home Price Index]]*1)/S595)-1)</f>
        <v>-4.3165125136017446E-2</v>
      </c>
      <c r="V607" s="39"/>
      <c r="W607" s="9"/>
      <c r="X607" s="9"/>
    </row>
    <row r="608" spans="1:24" ht="12.75">
      <c r="A608" s="12">
        <v>40695</v>
      </c>
      <c r="B608" s="26">
        <v>4.51</v>
      </c>
      <c r="C608" s="29">
        <v>13</v>
      </c>
      <c r="D608" s="33">
        <v>636</v>
      </c>
      <c r="E608" s="41">
        <f>IF(Tabela1716[[#This Row],[Building Permits]]="",#N/A,((Tabela1716[[#This Row],[Building Permits]]*1)/D596)-1)</f>
        <v>8.347529812606469E-2</v>
      </c>
      <c r="F608" s="33">
        <v>416</v>
      </c>
      <c r="G608" s="41">
        <f>IF(Tabela1716[[#This Row],[Houses Under Construction]]="",#N/A,((Tabela1716[[#This Row],[Houses Under Construction]]*1)/F596)-1)</f>
        <v>-6.9351230425055976E-2</v>
      </c>
      <c r="H608" s="33">
        <v>608</v>
      </c>
      <c r="I608" s="33">
        <f>IF(Tabela1716[[#This Row],[Housing Starts]]="",#N/A,Tabela1716[[#This Row],[Housing Starts]]-H607)</f>
        <v>47</v>
      </c>
      <c r="J608" s="41">
        <f>IF(Tabela1716[[#This Row],[Housing Starts]]="",#N/A,((Tabela1716[[#This Row],[Housing Starts]]*1)/H596)-1)</f>
        <v>0.13432835820895517</v>
      </c>
      <c r="K608" s="33">
        <v>794839</v>
      </c>
      <c r="L608" s="41">
        <f>IF(Tabela1716[[#This Row],[Total Construction Spending]]="",#N/A,((Tabela1716[[#This Row],[Total Construction Spending]]*1)/K596)-1)</f>
        <v>-3.2975522633564625E-2</v>
      </c>
      <c r="M608" s="31">
        <v>4230</v>
      </c>
      <c r="N608" s="41">
        <f>IF(Tabela1716[[#This Row],[Existing Home Sales]]="",#N/A,((Tabela1716[[#This Row],[Existing Home Sales]]*1)/M596)-1)</f>
        <v>-4.9438202247190977E-2</v>
      </c>
      <c r="O608" s="33">
        <v>301</v>
      </c>
      <c r="P608" s="41">
        <f>IF(Tabela1716[[#This Row],[New House Sales]]="",#N/A,((Tabela1716[[#This Row],[New House Sales]]*1)/O607)-1)</f>
        <v>-1.3114754098360604E-2</v>
      </c>
      <c r="Q608" s="41">
        <f>IF(Tabela1716[[#This Row],[New House Sales]]="",#N/A,((Tabela1716[[#This Row],[New House Sales]]*1)/O596)-1)</f>
        <v>-1.3114754098360604E-2</v>
      </c>
      <c r="R608" s="27">
        <v>6.6</v>
      </c>
      <c r="S608" s="86">
        <v>141.94499999999999</v>
      </c>
      <c r="T608" s="41">
        <f>IF(Tabela1716[[#This Row],[S&amp;P/Case-Shiller Home Price Index]]="",#N/A,((Tabela1716[[#This Row],[S&amp;P/Case-Shiller Home Price Index]]*1)/S607)-1)</f>
        <v>8.8988080430441041E-3</v>
      </c>
      <c r="U608" s="41">
        <f>IF(Tabela1716[[#This Row],[S&amp;P/Case-Shiller Home Price Index]]="",#N/A,((Tabela1716[[#This Row],[S&amp;P/Case-Shiller Home Price Index]]*1)/S596)-1)</f>
        <v>-3.8996648725500238E-2</v>
      </c>
      <c r="V608" s="37"/>
      <c r="W608" s="9"/>
      <c r="X608" s="9"/>
    </row>
    <row r="609" spans="1:24" ht="12.75">
      <c r="A609" s="12">
        <v>40725</v>
      </c>
      <c r="B609" s="26">
        <v>4.55</v>
      </c>
      <c r="C609" s="29">
        <v>15</v>
      </c>
      <c r="D609" s="33">
        <v>621</v>
      </c>
      <c r="E609" s="41">
        <f>IF(Tabela1716[[#This Row],[Building Permits]]="",#N/A,((Tabela1716[[#This Row],[Building Permits]]*1)/D597)-1)</f>
        <v>7.2538860103626979E-2</v>
      </c>
      <c r="F609" s="33">
        <v>417</v>
      </c>
      <c r="G609" s="41">
        <f>IF(Tabela1716[[#This Row],[Houses Under Construction]]="",#N/A,((Tabela1716[[#This Row],[Houses Under Construction]]*1)/F597)-1)</f>
        <v>-5.8690744920993243E-2</v>
      </c>
      <c r="H609" s="33">
        <v>623</v>
      </c>
      <c r="I609" s="33">
        <f>IF(Tabela1716[[#This Row],[Housing Starts]]="",#N/A,Tabela1716[[#This Row],[Housing Starts]]-H608)</f>
        <v>15</v>
      </c>
      <c r="J609" s="41">
        <f>IF(Tabela1716[[#This Row],[Housing Starts]]="",#N/A,((Tabela1716[[#This Row],[Housing Starts]]*1)/H597)-1)</f>
        <v>0.14102564102564097</v>
      </c>
      <c r="K609" s="33">
        <v>792381</v>
      </c>
      <c r="L609" s="41">
        <f>IF(Tabela1716[[#This Row],[Total Construction Spending]]="",#N/A,((Tabela1716[[#This Row],[Total Construction Spending]]*1)/K597)-1)</f>
        <v>-9.1447478660587889E-3</v>
      </c>
      <c r="M609" s="31">
        <v>4150</v>
      </c>
      <c r="N609" s="41">
        <f>IF(Tabela1716[[#This Row],[Existing Home Sales]]="",#N/A,((Tabela1716[[#This Row],[Existing Home Sales]]*1)/M597)-1)</f>
        <v>0.20289855072463769</v>
      </c>
      <c r="O609" s="33">
        <v>296</v>
      </c>
      <c r="P609" s="41">
        <f>IF(Tabela1716[[#This Row],[New House Sales]]="",#N/A,((Tabela1716[[#This Row],[New House Sales]]*1)/O608)-1)</f>
        <v>-1.6611295681063121E-2</v>
      </c>
      <c r="Q609" s="41">
        <f>IF(Tabela1716[[#This Row],[New House Sales]]="",#N/A,((Tabela1716[[#This Row],[New House Sales]]*1)/O597)-1)</f>
        <v>4.5936395759717419E-2</v>
      </c>
      <c r="R609" s="27">
        <v>6.7</v>
      </c>
      <c r="S609" s="86">
        <v>142.34299999999999</v>
      </c>
      <c r="T609" s="41">
        <f>IF(Tabela1716[[#This Row],[S&amp;P/Case-Shiller Home Price Index]]="",#N/A,((Tabela1716[[#This Row],[S&amp;P/Case-Shiller Home Price Index]]*1)/S608)-1)</f>
        <v>2.803902920145207E-3</v>
      </c>
      <c r="U609" s="41">
        <f>IF(Tabela1716[[#This Row],[S&amp;P/Case-Shiller Home Price Index]]="",#N/A,((Tabela1716[[#This Row],[S&amp;P/Case-Shiller Home Price Index]]*1)/S597)-1)</f>
        <v>-3.5394332027702924E-2</v>
      </c>
      <c r="V609" s="39"/>
      <c r="W609" s="9"/>
      <c r="X609" s="9"/>
    </row>
    <row r="610" spans="1:24" ht="12.75">
      <c r="A610" s="12">
        <v>40756</v>
      </c>
      <c r="B610" s="26">
        <v>4.22</v>
      </c>
      <c r="C610" s="29">
        <v>15</v>
      </c>
      <c r="D610" s="33">
        <v>647</v>
      </c>
      <c r="E610" s="41">
        <f>IF(Tabela1716[[#This Row],[Building Permits]]="",#N/A,((Tabela1716[[#This Row],[Building Permits]]*1)/D598)-1)</f>
        <v>0.11551724137931041</v>
      </c>
      <c r="F610" s="33">
        <v>414</v>
      </c>
      <c r="G610" s="41">
        <f>IF(Tabela1716[[#This Row],[Houses Under Construction]]="",#N/A,((Tabela1716[[#This Row],[Houses Under Construction]]*1)/F598)-1)</f>
        <v>-6.7567567567567544E-2</v>
      </c>
      <c r="H610" s="33">
        <v>585</v>
      </c>
      <c r="I610" s="33">
        <f>IF(Tabela1716[[#This Row],[Housing Starts]]="",#N/A,Tabela1716[[#This Row],[Housing Starts]]-H609)</f>
        <v>-38</v>
      </c>
      <c r="J610" s="41">
        <f>IF(Tabela1716[[#This Row],[Housing Starts]]="",#N/A,((Tabela1716[[#This Row],[Housing Starts]]*1)/H598)-1)</f>
        <v>-2.3372287145242088E-2</v>
      </c>
      <c r="K610" s="33">
        <v>811953</v>
      </c>
      <c r="L610" s="41">
        <f>IF(Tabela1716[[#This Row],[Total Construction Spending]]="",#N/A,((Tabela1716[[#This Row],[Total Construction Spending]]*1)/K598)-1)</f>
        <v>1.2372355148809966E-2</v>
      </c>
      <c r="M610" s="31">
        <v>4380</v>
      </c>
      <c r="N610" s="41">
        <f>IF(Tabela1716[[#This Row],[Existing Home Sales]]="",#N/A,((Tabela1716[[#This Row],[Existing Home Sales]]*1)/M598)-1)</f>
        <v>0.19021739130434789</v>
      </c>
      <c r="O610" s="33">
        <v>299</v>
      </c>
      <c r="P610" s="41">
        <f>IF(Tabela1716[[#This Row],[New House Sales]]="",#N/A,((Tabela1716[[#This Row],[New House Sales]]*1)/O609)-1)</f>
        <v>1.0135135135135087E-2</v>
      </c>
      <c r="Q610" s="41">
        <f>IF(Tabela1716[[#This Row],[New House Sales]]="",#N/A,((Tabela1716[[#This Row],[New House Sales]]*1)/O598)-1)</f>
        <v>6.0283687943262443E-2</v>
      </c>
      <c r="R610" s="27">
        <v>6.5</v>
      </c>
      <c r="S610" s="86">
        <v>141.786</v>
      </c>
      <c r="T610" s="41">
        <f>IF(Tabela1716[[#This Row],[S&amp;P/Case-Shiller Home Price Index]]="",#N/A,((Tabela1716[[#This Row],[S&amp;P/Case-Shiller Home Price Index]]*1)/S609)-1)</f>
        <v>-3.9130831863877225E-3</v>
      </c>
      <c r="U610" s="41">
        <f>IF(Tabela1716[[#This Row],[S&amp;P/Case-Shiller Home Price Index]]="",#N/A,((Tabela1716[[#This Row],[S&amp;P/Case-Shiller Home Price Index]]*1)/S598)-1)</f>
        <v>-3.171481253841435E-2</v>
      </c>
      <c r="V610" s="37"/>
      <c r="W610" s="9"/>
      <c r="X610" s="9"/>
    </row>
    <row r="611" spans="1:24" ht="12.75">
      <c r="A611" s="12">
        <v>40787</v>
      </c>
      <c r="B611" s="26">
        <v>4.01</v>
      </c>
      <c r="C611" s="29">
        <v>14</v>
      </c>
      <c r="D611" s="33">
        <v>610</v>
      </c>
      <c r="E611" s="41">
        <f>IF(Tabela1716[[#This Row],[Building Permits]]="",#N/A,((Tabela1716[[#This Row],[Building Permits]]*1)/D599)-1)</f>
        <v>8.3481349911190161E-2</v>
      </c>
      <c r="F611" s="33">
        <v>417</v>
      </c>
      <c r="G611" s="41">
        <f>IF(Tabela1716[[#This Row],[Houses Under Construction]]="",#N/A,((Tabela1716[[#This Row],[Houses Under Construction]]*1)/F599)-1)</f>
        <v>-5.0113895216400861E-2</v>
      </c>
      <c r="H611" s="33">
        <v>650</v>
      </c>
      <c r="I611" s="33">
        <f>IF(Tabela1716[[#This Row],[Housing Starts]]="",#N/A,Tabela1716[[#This Row],[Housing Starts]]-H610)</f>
        <v>65</v>
      </c>
      <c r="J611" s="41">
        <f>IF(Tabela1716[[#This Row],[Housing Starts]]="",#N/A,((Tabela1716[[#This Row],[Housing Starts]]*1)/H599)-1)</f>
        <v>9.4276094276094291E-2</v>
      </c>
      <c r="K611" s="33">
        <v>813660</v>
      </c>
      <c r="L611" s="41">
        <f>IF(Tabela1716[[#This Row],[Total Construction Spending]]="",#N/A,((Tabela1716[[#This Row],[Total Construction Spending]]*1)/K599)-1)</f>
        <v>7.3440564150308862E-3</v>
      </c>
      <c r="M611" s="31">
        <v>4330</v>
      </c>
      <c r="N611" s="41">
        <f>IF(Tabela1716[[#This Row],[Existing Home Sales]]="",#N/A,((Tabela1716[[#This Row],[Existing Home Sales]]*1)/M599)-1)</f>
        <v>0.12760416666666674</v>
      </c>
      <c r="O611" s="33">
        <v>304</v>
      </c>
      <c r="P611" s="41">
        <f>IF(Tabela1716[[#This Row],[New House Sales]]="",#N/A,((Tabela1716[[#This Row],[New House Sales]]*1)/O610)-1)</f>
        <v>1.6722408026755842E-2</v>
      </c>
      <c r="Q611" s="41">
        <f>IF(Tabela1716[[#This Row],[New House Sales]]="",#N/A,((Tabela1716[[#This Row],[New House Sales]]*1)/O599)-1)</f>
        <v>-4.1009463722397443E-2</v>
      </c>
      <c r="R611" s="27">
        <v>6.3</v>
      </c>
      <c r="S611" s="86">
        <v>140.16899999999998</v>
      </c>
      <c r="T611" s="41">
        <f>IF(Tabela1716[[#This Row],[S&amp;P/Case-Shiller Home Price Index]]="",#N/A,((Tabela1716[[#This Row],[S&amp;P/Case-Shiller Home Price Index]]*1)/S610)-1)</f>
        <v>-1.1404511023655473E-2</v>
      </c>
      <c r="U611" s="41">
        <f>IF(Tabela1716[[#This Row],[S&amp;P/Case-Shiller Home Price Index]]="",#N/A,((Tabela1716[[#This Row],[S&amp;P/Case-Shiller Home Price Index]]*1)/S599)-1)</f>
        <v>-3.0716888756733618E-2</v>
      </c>
      <c r="V611" s="39"/>
      <c r="W611" s="9"/>
      <c r="X611" s="9"/>
    </row>
    <row r="612" spans="1:24" ht="12.75">
      <c r="A612" s="12">
        <v>40817</v>
      </c>
      <c r="B612" s="26">
        <v>4.0999999999999996</v>
      </c>
      <c r="C612" s="29">
        <v>17</v>
      </c>
      <c r="D612" s="33">
        <v>671</v>
      </c>
      <c r="E612" s="41">
        <f>IF(Tabela1716[[#This Row],[Building Permits]]="",#N/A,((Tabela1716[[#This Row],[Building Permits]]*1)/D600)-1)</f>
        <v>0.20250896057347667</v>
      </c>
      <c r="F612" s="33">
        <v>422</v>
      </c>
      <c r="G612" s="41">
        <f>IF(Tabela1716[[#This Row],[Houses Under Construction]]="",#N/A,((Tabela1716[[#This Row],[Houses Under Construction]]*1)/F600)-1)</f>
        <v>-3.2110091743119296E-2</v>
      </c>
      <c r="H612" s="33">
        <v>610</v>
      </c>
      <c r="I612" s="33">
        <f>IF(Tabela1716[[#This Row],[Housing Starts]]="",#N/A,Tabela1716[[#This Row],[Housing Starts]]-H611)</f>
        <v>-40</v>
      </c>
      <c r="J612" s="41">
        <f>IF(Tabela1716[[#This Row],[Housing Starts]]="",#N/A,((Tabela1716[[#This Row],[Housing Starts]]*1)/H600)-1)</f>
        <v>0.12338858195211788</v>
      </c>
      <c r="K612" s="33">
        <v>808378</v>
      </c>
      <c r="L612" s="41">
        <f>IF(Tabela1716[[#This Row],[Total Construction Spending]]="",#N/A,((Tabela1716[[#This Row],[Total Construction Spending]]*1)/K600)-1)</f>
        <v>8.7425066011790342E-3</v>
      </c>
      <c r="M612" s="31">
        <v>4340</v>
      </c>
      <c r="N612" s="41">
        <f>IF(Tabela1716[[#This Row],[Existing Home Sales]]="",#N/A,((Tabela1716[[#This Row],[Existing Home Sales]]*1)/M600)-1)</f>
        <v>0.13315926892950403</v>
      </c>
      <c r="O612" s="33">
        <v>316</v>
      </c>
      <c r="P612" s="41">
        <f>IF(Tabela1716[[#This Row],[New House Sales]]="",#N/A,((Tabela1716[[#This Row],[New House Sales]]*1)/O611)-1)</f>
        <v>3.9473684210526327E-2</v>
      </c>
      <c r="Q612" s="41">
        <f>IF(Tabela1716[[#This Row],[New House Sales]]="",#N/A,((Tabela1716[[#This Row],[New House Sales]]*1)/O600)-1)</f>
        <v>8.5910652920962116E-2</v>
      </c>
      <c r="R612" s="27">
        <v>6</v>
      </c>
      <c r="S612" s="86">
        <v>138.41</v>
      </c>
      <c r="T612" s="41">
        <f>IF(Tabela1716[[#This Row],[S&amp;P/Case-Shiller Home Price Index]]="",#N/A,((Tabela1716[[#This Row],[S&amp;P/Case-Shiller Home Price Index]]*1)/S611)-1)</f>
        <v>-1.2549137113056275E-2</v>
      </c>
      <c r="U612" s="41">
        <f>IF(Tabela1716[[#This Row],[S&amp;P/Case-Shiller Home Price Index]]="",#N/A,((Tabela1716[[#This Row],[S&amp;P/Case-Shiller Home Price Index]]*1)/S600)-1)</f>
        <v>-3.297701390344443E-2</v>
      </c>
      <c r="V612" s="37"/>
      <c r="W612" s="9"/>
      <c r="X612" s="9"/>
    </row>
    <row r="613" spans="1:24" ht="12.75">
      <c r="A613" s="12">
        <v>40848</v>
      </c>
      <c r="B613" s="26">
        <v>3.98</v>
      </c>
      <c r="C613" s="29">
        <v>19</v>
      </c>
      <c r="D613" s="33">
        <v>706</v>
      </c>
      <c r="E613" s="41">
        <f>IF(Tabela1716[[#This Row],[Building Permits]]="",#N/A,((Tabela1716[[#This Row],[Building Permits]]*1)/D601)-1)</f>
        <v>0.26071428571428568</v>
      </c>
      <c r="F613" s="33">
        <v>433</v>
      </c>
      <c r="G613" s="41">
        <f>IF(Tabela1716[[#This Row],[Houses Under Construction]]="",#N/A,((Tabela1716[[#This Row],[Houses Under Construction]]*1)/F601)-1)</f>
        <v>4.6403712296982924E-3</v>
      </c>
      <c r="H613" s="33">
        <v>711</v>
      </c>
      <c r="I613" s="33">
        <f>IF(Tabela1716[[#This Row],[Housing Starts]]="",#N/A,Tabela1716[[#This Row],[Housing Starts]]-H612)</f>
        <v>101</v>
      </c>
      <c r="J613" s="41">
        <f>IF(Tabela1716[[#This Row],[Housing Starts]]="",#N/A,((Tabela1716[[#This Row],[Housing Starts]]*1)/H601)-1)</f>
        <v>0.30458715596330266</v>
      </c>
      <c r="K613" s="33">
        <v>812050</v>
      </c>
      <c r="L613" s="41">
        <f>IF(Tabela1716[[#This Row],[Total Construction Spending]]="",#N/A,((Tabela1716[[#This Row],[Total Construction Spending]]*1)/K601)-1)</f>
        <v>9.8227820396914467E-3</v>
      </c>
      <c r="M613" s="31">
        <v>4390</v>
      </c>
      <c r="N613" s="41">
        <f>IF(Tabela1716[[#This Row],[Existing Home Sales]]="",#N/A,((Tabela1716[[#This Row],[Existing Home Sales]]*1)/M601)-1)</f>
        <v>9.2039800995024956E-2</v>
      </c>
      <c r="O613" s="33">
        <v>328</v>
      </c>
      <c r="P613" s="41">
        <f>IF(Tabela1716[[#This Row],[New House Sales]]="",#N/A,((Tabela1716[[#This Row],[New House Sales]]*1)/O612)-1)</f>
        <v>3.7974683544303778E-2</v>
      </c>
      <c r="Q613" s="41">
        <f>IF(Tabela1716[[#This Row],[New House Sales]]="",#N/A,((Tabela1716[[#This Row],[New House Sales]]*1)/O601)-1)</f>
        <v>0.14285714285714279</v>
      </c>
      <c r="R613" s="27">
        <v>5.7</v>
      </c>
      <c r="S613" s="86">
        <v>136.666</v>
      </c>
      <c r="T613" s="41">
        <f>IF(Tabela1716[[#This Row],[S&amp;P/Case-Shiller Home Price Index]]="",#N/A,((Tabela1716[[#This Row],[S&amp;P/Case-Shiller Home Price Index]]*1)/S612)-1)</f>
        <v>-1.2600245646990804E-2</v>
      </c>
      <c r="U613" s="41">
        <f>IF(Tabela1716[[#This Row],[S&amp;P/Case-Shiller Home Price Index]]="",#N/A,((Tabela1716[[#This Row],[S&amp;P/Case-Shiller Home Price Index]]*1)/S601)-1)</f>
        <v>-3.6335046784986447E-2</v>
      </c>
      <c r="V613" s="39"/>
      <c r="W613" s="9"/>
      <c r="X613" s="9"/>
    </row>
    <row r="614" spans="1:24" ht="12.75">
      <c r="A614" s="12">
        <v>40878</v>
      </c>
      <c r="B614" s="26">
        <v>3.95</v>
      </c>
      <c r="C614" s="29">
        <v>21</v>
      </c>
      <c r="D614" s="33">
        <v>697</v>
      </c>
      <c r="E614" s="41">
        <f>IF(Tabela1716[[#This Row],[Building Permits]]="",#N/A,((Tabela1716[[#This Row],[Building Permits]]*1)/D602)-1)</f>
        <v>0.10284810126582289</v>
      </c>
      <c r="F614" s="33">
        <v>434</v>
      </c>
      <c r="G614" s="41">
        <f>IF(Tabela1716[[#This Row],[Houses Under Construction]]="",#N/A,((Tabela1716[[#This Row],[Houses Under Construction]]*1)/F602)-1)</f>
        <v>1.6393442622950838E-2</v>
      </c>
      <c r="H614" s="33">
        <v>694</v>
      </c>
      <c r="I614" s="33">
        <f>IF(Tabela1716[[#This Row],[Housing Starts]]="",#N/A,Tabela1716[[#This Row],[Housing Starts]]-H613)</f>
        <v>-17</v>
      </c>
      <c r="J614" s="41">
        <f>IF(Tabela1716[[#This Row],[Housing Starts]]="",#N/A,((Tabela1716[[#This Row],[Housing Starts]]*1)/H602)-1)</f>
        <v>0.28756957328385901</v>
      </c>
      <c r="K614" s="33">
        <v>821367</v>
      </c>
      <c r="L614" s="41">
        <f>IF(Tabela1716[[#This Row],[Total Construction Spending]]="",#N/A,((Tabela1716[[#This Row],[Total Construction Spending]]*1)/K602)-1)</f>
        <v>4.050190335636783E-2</v>
      </c>
      <c r="M614" s="31">
        <v>4350</v>
      </c>
      <c r="N614" s="41">
        <f>IF(Tabela1716[[#This Row],[Existing Home Sales]]="",#N/A,((Tabela1716[[#This Row],[Existing Home Sales]]*1)/M602)-1)</f>
        <v>1.87353629976581E-2</v>
      </c>
      <c r="O614" s="33">
        <v>341</v>
      </c>
      <c r="P614" s="41">
        <f>IF(Tabela1716[[#This Row],[New House Sales]]="",#N/A,((Tabela1716[[#This Row],[New House Sales]]*1)/O613)-1)</f>
        <v>3.9634146341463339E-2</v>
      </c>
      <c r="Q614" s="41">
        <f>IF(Tabela1716[[#This Row],[New House Sales]]="",#N/A,((Tabela1716[[#This Row],[New House Sales]]*1)/O602)-1)</f>
        <v>4.6012269938650263E-2</v>
      </c>
      <c r="R614" s="27">
        <v>5.3</v>
      </c>
      <c r="S614" s="86">
        <v>135.167</v>
      </c>
      <c r="T614" s="41">
        <f>IF(Tabela1716[[#This Row],[S&amp;P/Case-Shiller Home Price Index]]="",#N/A,((Tabela1716[[#This Row],[S&amp;P/Case-Shiller Home Price Index]]*1)/S613)-1)</f>
        <v>-1.0968346187054556E-2</v>
      </c>
      <c r="U614" s="41">
        <f>IF(Tabela1716[[#This Row],[S&amp;P/Case-Shiller Home Price Index]]="",#N/A,((Tabela1716[[#This Row],[S&amp;P/Case-Shiller Home Price Index]]*1)/S602)-1)</f>
        <v>-3.8832949341525036E-2</v>
      </c>
      <c r="V614" s="37"/>
      <c r="W614" s="9"/>
      <c r="X614" s="9"/>
    </row>
    <row r="615" spans="1:24" ht="12.75">
      <c r="A615" s="12">
        <v>40909</v>
      </c>
      <c r="B615" s="26">
        <v>3.98</v>
      </c>
      <c r="C615" s="29">
        <v>25</v>
      </c>
      <c r="D615" s="33">
        <v>712</v>
      </c>
      <c r="E615" s="41">
        <f>IF(Tabela1716[[#This Row],[Building Permits]]="",#N/A,((Tabela1716[[#This Row],[Building Permits]]*1)/D603)-1)</f>
        <v>0.23611111111111116</v>
      </c>
      <c r="F615" s="33">
        <v>441</v>
      </c>
      <c r="G615" s="41">
        <f>IF(Tabela1716[[#This Row],[Houses Under Construction]]="",#N/A,((Tabela1716[[#This Row],[Houses Under Construction]]*1)/F603)-1)</f>
        <v>2.3201856148491906E-2</v>
      </c>
      <c r="H615" s="33">
        <v>723</v>
      </c>
      <c r="I615" s="33">
        <f>IF(Tabela1716[[#This Row],[Housing Starts]]="",#N/A,Tabela1716[[#This Row],[Housing Starts]]-H614)</f>
        <v>29</v>
      </c>
      <c r="J615" s="41">
        <f>IF(Tabela1716[[#This Row],[Housing Starts]]="",#N/A,((Tabela1716[[#This Row],[Housing Starts]]*1)/H603)-1)</f>
        <v>0.14761904761904754</v>
      </c>
      <c r="K615" s="33">
        <v>830610</v>
      </c>
      <c r="L615" s="41">
        <f>IF(Tabela1716[[#This Row],[Total Construction Spending]]="",#N/A,((Tabela1716[[#This Row],[Total Construction Spending]]*1)/K603)-1)</f>
        <v>9.2959666510519012E-2</v>
      </c>
      <c r="M615" s="31">
        <v>4480</v>
      </c>
      <c r="N615" s="41">
        <f>IF(Tabela1716[[#This Row],[Existing Home Sales]]="",#N/A,((Tabela1716[[#This Row],[Existing Home Sales]]*1)/M603)-1)</f>
        <v>1.3574660633484115E-2</v>
      </c>
      <c r="O615" s="33">
        <v>335</v>
      </c>
      <c r="P615" s="41">
        <f>IF(Tabela1716[[#This Row],[New House Sales]]="",#N/A,((Tabela1716[[#This Row],[New House Sales]]*1)/O614)-1)</f>
        <v>-1.7595307917888547E-2</v>
      </c>
      <c r="Q615" s="41">
        <f>IF(Tabela1716[[#This Row],[New House Sales]]="",#N/A,((Tabela1716[[#This Row],[New House Sales]]*1)/O603)-1)</f>
        <v>9.1205211726384405E-2</v>
      </c>
      <c r="R615" s="27">
        <v>5.3</v>
      </c>
      <c r="S615" s="86">
        <v>134.16800000000001</v>
      </c>
      <c r="T615" s="41">
        <f>IF(Tabela1716[[#This Row],[S&amp;P/Case-Shiller Home Price Index]]="",#N/A,((Tabela1716[[#This Row],[S&amp;P/Case-Shiller Home Price Index]]*1)/S614)-1)</f>
        <v>-7.3908572358637459E-3</v>
      </c>
      <c r="U615" s="41">
        <f>IF(Tabela1716[[#This Row],[S&amp;P/Case-Shiller Home Price Index]]="",#N/A,((Tabela1716[[#This Row],[S&amp;P/Case-Shiller Home Price Index]]*1)/S603)-1)</f>
        <v>-3.5012514744382717E-2</v>
      </c>
      <c r="V615" s="39"/>
      <c r="W615" s="9"/>
      <c r="X615" s="9"/>
    </row>
    <row r="616" spans="1:24" ht="12.75">
      <c r="A616" s="12">
        <v>40940</v>
      </c>
      <c r="B616" s="26">
        <v>3.95</v>
      </c>
      <c r="C616" s="29">
        <v>28</v>
      </c>
      <c r="D616" s="33">
        <v>738</v>
      </c>
      <c r="E616" s="41">
        <f>IF(Tabela1716[[#This Row],[Building Permits]]="",#N/A,((Tabela1716[[#This Row],[Building Permits]]*1)/D604)-1)</f>
        <v>0.36162361623616235</v>
      </c>
      <c r="F616" s="33">
        <v>450</v>
      </c>
      <c r="G616" s="41">
        <f>IF(Tabela1716[[#This Row],[Houses Under Construction]]="",#N/A,((Tabela1716[[#This Row],[Houses Under Construction]]*1)/F604)-1)</f>
        <v>6.1320754716981174E-2</v>
      </c>
      <c r="H616" s="33">
        <v>704</v>
      </c>
      <c r="I616" s="33">
        <f>IF(Tabela1716[[#This Row],[Housing Starts]]="",#N/A,Tabela1716[[#This Row],[Housing Starts]]-H615)</f>
        <v>-19</v>
      </c>
      <c r="J616" s="41">
        <f>IF(Tabela1716[[#This Row],[Housing Starts]]="",#N/A,((Tabela1716[[#This Row],[Housing Starts]]*1)/H604)-1)</f>
        <v>0.36170212765957444</v>
      </c>
      <c r="K616" s="33">
        <v>824368</v>
      </c>
      <c r="L616" s="41">
        <f>IF(Tabela1716[[#This Row],[Total Construction Spending]]="",#N/A,((Tabela1716[[#This Row],[Total Construction Spending]]*1)/K604)-1)</f>
        <v>8.7017521651528984E-2</v>
      </c>
      <c r="M616" s="31">
        <v>4580</v>
      </c>
      <c r="N616" s="41">
        <f>IF(Tabela1716[[#This Row],[Existing Home Sales]]="",#N/A,((Tabela1716[[#This Row],[Existing Home Sales]]*1)/M604)-1)</f>
        <v>0.10096153846153855</v>
      </c>
      <c r="O616" s="33">
        <v>366</v>
      </c>
      <c r="P616" s="41">
        <f>IF(Tabela1716[[#This Row],[New House Sales]]="",#N/A,((Tabela1716[[#This Row],[New House Sales]]*1)/O615)-1)</f>
        <v>9.2537313432835777E-2</v>
      </c>
      <c r="Q616" s="41">
        <f>IF(Tabela1716[[#This Row],[New House Sales]]="",#N/A,((Tabela1716[[#This Row],[New House Sales]]*1)/O604)-1)</f>
        <v>0.35555555555555562</v>
      </c>
      <c r="R616" s="27">
        <v>4.8</v>
      </c>
      <c r="S616" s="88">
        <v>133.99700000000001</v>
      </c>
      <c r="T616" s="41">
        <f>IF(Tabela1716[[#This Row],[S&amp;P/Case-Shiller Home Price Index]]="",#N/A,((Tabela1716[[#This Row],[S&amp;P/Case-Shiller Home Price Index]]*1)/S615)-1)</f>
        <v>-1.2745214954384965E-3</v>
      </c>
      <c r="U616" s="41">
        <f>IF(Tabela1716[[#This Row],[S&amp;P/Case-Shiller Home Price Index]]="",#N/A,((Tabela1716[[#This Row],[S&amp;P/Case-Shiller Home Price Index]]*1)/S604)-1)</f>
        <v>-2.7117881102430741E-2</v>
      </c>
      <c r="V616" s="37"/>
      <c r="W616" s="9"/>
      <c r="X616" s="9"/>
    </row>
    <row r="617" spans="1:24" ht="12.75">
      <c r="A617" s="12">
        <v>40969</v>
      </c>
      <c r="B617" s="26">
        <v>3.99</v>
      </c>
      <c r="C617" s="29">
        <v>28</v>
      </c>
      <c r="D617" s="33">
        <v>806</v>
      </c>
      <c r="E617" s="41">
        <f>IF(Tabela1716[[#This Row],[Building Permits]]="",#N/A,((Tabela1716[[#This Row],[Building Permits]]*1)/D605)-1)</f>
        <v>0.38250428816466542</v>
      </c>
      <c r="F617" s="33">
        <v>458</v>
      </c>
      <c r="G617" s="41">
        <f>IF(Tabela1716[[#This Row],[Houses Under Construction]]="",#N/A,((Tabela1716[[#This Row],[Houses Under Construction]]*1)/F605)-1)</f>
        <v>9.0476190476190377E-2</v>
      </c>
      <c r="H617" s="33">
        <v>695</v>
      </c>
      <c r="I617" s="33">
        <f>IF(Tabela1716[[#This Row],[Housing Starts]]="",#N/A,Tabela1716[[#This Row],[Housing Starts]]-H616)</f>
        <v>-9</v>
      </c>
      <c r="J617" s="41">
        <f>IF(Tabela1716[[#This Row],[Housing Starts]]="",#N/A,((Tabela1716[[#This Row],[Housing Starts]]*1)/H605)-1)</f>
        <v>0.15833333333333344</v>
      </c>
      <c r="K617" s="33">
        <v>829288</v>
      </c>
      <c r="L617" s="41">
        <f>IF(Tabela1716[[#This Row],[Total Construction Spending]]="",#N/A,((Tabela1716[[#This Row],[Total Construction Spending]]*1)/K605)-1)</f>
        <v>7.8177797250756242E-2</v>
      </c>
      <c r="M617" s="31">
        <v>4520</v>
      </c>
      <c r="N617" s="41">
        <f>IF(Tabela1716[[#This Row],[Existing Home Sales]]="",#N/A,((Tabela1716[[#This Row],[Existing Home Sales]]*1)/M605)-1)</f>
        <v>6.1032863849765251E-2</v>
      </c>
      <c r="O617" s="33">
        <v>354</v>
      </c>
      <c r="P617" s="41">
        <f>IF(Tabela1716[[#This Row],[New House Sales]]="",#N/A,((Tabela1716[[#This Row],[New House Sales]]*1)/O616)-1)</f>
        <v>-3.2786885245901676E-2</v>
      </c>
      <c r="Q617" s="41">
        <f>IF(Tabela1716[[#This Row],[New House Sales]]="",#N/A,((Tabela1716[[#This Row],[New House Sales]]*1)/O605)-1)</f>
        <v>0.17999999999999994</v>
      </c>
      <c r="R617" s="27">
        <v>4.9000000000000004</v>
      </c>
      <c r="S617" s="86">
        <v>135.86500000000001</v>
      </c>
      <c r="T617" s="41">
        <f>IF(Tabela1716[[#This Row],[S&amp;P/Case-Shiller Home Price Index]]="",#N/A,((Tabela1716[[#This Row],[S&amp;P/Case-Shiller Home Price Index]]*1)/S616)-1)</f>
        <v>1.3940610610685189E-2</v>
      </c>
      <c r="U617" s="41">
        <f>IF(Tabela1716[[#This Row],[S&amp;P/Case-Shiller Home Price Index]]="",#N/A,((Tabela1716[[#This Row],[S&amp;P/Case-Shiller Home Price Index]]*1)/S605)-1)</f>
        <v>-1.3934753420183577E-2</v>
      </c>
      <c r="V617" s="39"/>
      <c r="W617" s="9"/>
      <c r="X617" s="9"/>
    </row>
    <row r="618" spans="1:24" ht="12.75">
      <c r="A618" s="12">
        <v>41000</v>
      </c>
      <c r="B618" s="26">
        <v>3.88</v>
      </c>
      <c r="C618" s="29">
        <v>24</v>
      </c>
      <c r="D618" s="33">
        <v>732</v>
      </c>
      <c r="E618" s="41">
        <f>IF(Tabela1716[[#This Row],[Building Permits]]="",#N/A,((Tabela1716[[#This Row],[Building Permits]]*1)/D606)-1)</f>
        <v>0.25989672977624778</v>
      </c>
      <c r="F618" s="33">
        <v>463</v>
      </c>
      <c r="G618" s="41">
        <f>IF(Tabela1716[[#This Row],[Houses Under Construction]]="",#N/A,((Tabela1716[[#This Row],[Houses Under Construction]]*1)/F606)-1)</f>
        <v>0.11031175059952036</v>
      </c>
      <c r="H618" s="33">
        <v>753</v>
      </c>
      <c r="I618" s="33">
        <f>IF(Tabela1716[[#This Row],[Housing Starts]]="",#N/A,Tabela1716[[#This Row],[Housing Starts]]-H617)</f>
        <v>58</v>
      </c>
      <c r="J618" s="41">
        <f>IF(Tabela1716[[#This Row],[Housing Starts]]="",#N/A,((Tabela1716[[#This Row],[Housing Starts]]*1)/H606)-1)</f>
        <v>0.3592057761732852</v>
      </c>
      <c r="K618" s="33">
        <v>841740</v>
      </c>
      <c r="L618" s="41">
        <f>IF(Tabela1716[[#This Row],[Total Construction Spending]]="",#N/A,((Tabela1716[[#This Row],[Total Construction Spending]]*1)/K606)-1)</f>
        <v>9.3968706989655981E-2</v>
      </c>
      <c r="M618" s="31">
        <v>4590</v>
      </c>
      <c r="N618" s="41">
        <f>IF(Tabela1716[[#This Row],[Existing Home Sales]]="",#N/A,((Tabela1716[[#This Row],[Existing Home Sales]]*1)/M606)-1)</f>
        <v>0.10071942446043169</v>
      </c>
      <c r="O618" s="33">
        <v>354</v>
      </c>
      <c r="P618" s="41">
        <f>IF(Tabela1716[[#This Row],[New House Sales]]="",#N/A,((Tabela1716[[#This Row],[New House Sales]]*1)/O617)-1)</f>
        <v>0</v>
      </c>
      <c r="Q618" s="41">
        <f>IF(Tabela1716[[#This Row],[New House Sales]]="",#N/A,((Tabela1716[[#This Row],[New House Sales]]*1)/O606)-1)</f>
        <v>0.14193548387096766</v>
      </c>
      <c r="R618" s="27">
        <v>4.9000000000000004</v>
      </c>
      <c r="S618" s="86">
        <v>138.471</v>
      </c>
      <c r="T618" s="41">
        <f>IF(Tabela1716[[#This Row],[S&amp;P/Case-Shiller Home Price Index]]="",#N/A,((Tabela1716[[#This Row],[S&amp;P/Case-Shiller Home Price Index]]*1)/S617)-1)</f>
        <v>1.9180804475030344E-2</v>
      </c>
      <c r="U618" s="41">
        <f>IF(Tabela1716[[#This Row],[S&amp;P/Case-Shiller Home Price Index]]="",#N/A,((Tabela1716[[#This Row],[S&amp;P/Case-Shiller Home Price Index]]*1)/S606)-1)</f>
        <v>-4.9368343896863953E-3</v>
      </c>
      <c r="V618" s="37"/>
      <c r="W618" s="9"/>
      <c r="X618" s="9"/>
    </row>
    <row r="619" spans="1:24" ht="12.75">
      <c r="A619" s="12">
        <v>41030</v>
      </c>
      <c r="B619" s="26">
        <v>3.75</v>
      </c>
      <c r="C619" s="29">
        <v>28</v>
      </c>
      <c r="D619" s="33">
        <v>796</v>
      </c>
      <c r="E619" s="41">
        <f>IF(Tabela1716[[#This Row],[Building Permits]]="",#N/A,((Tabela1716[[#This Row],[Building Permits]]*1)/D607)-1)</f>
        <v>0.28802588996763756</v>
      </c>
      <c r="F619" s="33">
        <v>474</v>
      </c>
      <c r="G619" s="41">
        <f>IF(Tabela1716[[#This Row],[Houses Under Construction]]="",#N/A,((Tabela1716[[#This Row],[Houses Under Construction]]*1)/F607)-1)</f>
        <v>0.14216867469879513</v>
      </c>
      <c r="H619" s="33">
        <v>708</v>
      </c>
      <c r="I619" s="33">
        <f>IF(Tabela1716[[#This Row],[Housing Starts]]="",#N/A,Tabela1716[[#This Row],[Housing Starts]]-H618)</f>
        <v>-45</v>
      </c>
      <c r="J619" s="41">
        <f>IF(Tabela1716[[#This Row],[Housing Starts]]="",#N/A,((Tabela1716[[#This Row],[Housing Starts]]*1)/H607)-1)</f>
        <v>0.26203208556149726</v>
      </c>
      <c r="K619" s="33">
        <v>850928</v>
      </c>
      <c r="L619" s="41">
        <f>IF(Tabela1716[[#This Row],[Total Construction Spending]]="",#N/A,((Tabela1716[[#This Row],[Total Construction Spending]]*1)/K607)-1)</f>
        <v>9.7616126905995637E-2</v>
      </c>
      <c r="M619" s="31">
        <v>4600</v>
      </c>
      <c r="N619" s="41">
        <f>IF(Tabela1716[[#This Row],[Existing Home Sales]]="",#N/A,((Tabela1716[[#This Row],[Existing Home Sales]]*1)/M607)-1)</f>
        <v>0.11111111111111116</v>
      </c>
      <c r="O619" s="33">
        <v>370</v>
      </c>
      <c r="P619" s="41">
        <f>IF(Tabela1716[[#This Row],[New House Sales]]="",#N/A,((Tabela1716[[#This Row],[New House Sales]]*1)/O618)-1)</f>
        <v>4.5197740112994378E-2</v>
      </c>
      <c r="Q619" s="41">
        <f>IF(Tabela1716[[#This Row],[New House Sales]]="",#N/A,((Tabela1716[[#This Row],[New House Sales]]*1)/O607)-1)</f>
        <v>0.21311475409836067</v>
      </c>
      <c r="R619" s="27">
        <v>4.7</v>
      </c>
      <c r="S619" s="86">
        <v>141.048</v>
      </c>
      <c r="T619" s="41">
        <f>IF(Tabela1716[[#This Row],[S&amp;P/Case-Shiller Home Price Index]]="",#N/A,((Tabela1716[[#This Row],[S&amp;P/Case-Shiller Home Price Index]]*1)/S618)-1)</f>
        <v>1.8610394956344534E-2</v>
      </c>
      <c r="U619" s="41">
        <f>IF(Tabela1716[[#This Row],[S&amp;P/Case-Shiller Home Price Index]]="",#N/A,((Tabela1716[[#This Row],[S&amp;P/Case-Shiller Home Price Index]]*1)/S607)-1)</f>
        <v>2.5232243253041631E-3</v>
      </c>
      <c r="V619" s="39"/>
      <c r="W619" s="9"/>
      <c r="X619" s="9"/>
    </row>
    <row r="620" spans="1:24" ht="12.75">
      <c r="A620" s="12">
        <v>41061</v>
      </c>
      <c r="B620" s="26">
        <v>3.66</v>
      </c>
      <c r="C620" s="29">
        <v>29</v>
      </c>
      <c r="D620" s="33">
        <v>794</v>
      </c>
      <c r="E620" s="41">
        <f>IF(Tabela1716[[#This Row],[Building Permits]]="",#N/A,((Tabela1716[[#This Row],[Building Permits]]*1)/D608)-1)</f>
        <v>0.2484276729559749</v>
      </c>
      <c r="F620" s="33">
        <v>486</v>
      </c>
      <c r="G620" s="41">
        <f>IF(Tabela1716[[#This Row],[Houses Under Construction]]="",#N/A,((Tabela1716[[#This Row],[Houses Under Construction]]*1)/F608)-1)</f>
        <v>0.16826923076923084</v>
      </c>
      <c r="H620" s="33">
        <v>757</v>
      </c>
      <c r="I620" s="33">
        <f>IF(Tabela1716[[#This Row],[Housing Starts]]="",#N/A,Tabela1716[[#This Row],[Housing Starts]]-H619)</f>
        <v>49</v>
      </c>
      <c r="J620" s="41">
        <f>IF(Tabela1716[[#This Row],[Housing Starts]]="",#N/A,((Tabela1716[[#This Row],[Housing Starts]]*1)/H608)-1)</f>
        <v>0.24506578947368429</v>
      </c>
      <c r="K620" s="33">
        <v>858009</v>
      </c>
      <c r="L620" s="41">
        <f>IF(Tabela1716[[#This Row],[Total Construction Spending]]="",#N/A,((Tabela1716[[#This Row],[Total Construction Spending]]*1)/K608)-1)</f>
        <v>7.947521447739736E-2</v>
      </c>
      <c r="M620" s="31">
        <v>4470</v>
      </c>
      <c r="N620" s="41">
        <f>IF(Tabela1716[[#This Row],[Existing Home Sales]]="",#N/A,((Tabela1716[[#This Row],[Existing Home Sales]]*1)/M608)-1)</f>
        <v>5.6737588652482351E-2</v>
      </c>
      <c r="O620" s="33">
        <v>360</v>
      </c>
      <c r="P620" s="41">
        <f>IF(Tabela1716[[#This Row],[New House Sales]]="",#N/A,((Tabela1716[[#This Row],[New House Sales]]*1)/O619)-1)</f>
        <v>-2.7027027027026973E-2</v>
      </c>
      <c r="Q620" s="41">
        <f>IF(Tabela1716[[#This Row],[New House Sales]]="",#N/A,((Tabela1716[[#This Row],[New House Sales]]*1)/O608)-1)</f>
        <v>0.19601328903654491</v>
      </c>
      <c r="R620" s="27">
        <v>4.8</v>
      </c>
      <c r="S620" s="86">
        <v>143.16899999999998</v>
      </c>
      <c r="T620" s="41">
        <f>IF(Tabela1716[[#This Row],[S&amp;P/Case-Shiller Home Price Index]]="",#N/A,((Tabela1716[[#This Row],[S&amp;P/Case-Shiller Home Price Index]]*1)/S619)-1)</f>
        <v>1.5037434064999022E-2</v>
      </c>
      <c r="U620" s="41">
        <f>IF(Tabela1716[[#This Row],[S&amp;P/Case-Shiller Home Price Index]]="",#N/A,((Tabela1716[[#This Row],[S&amp;P/Case-Shiller Home Price Index]]*1)/S608)-1)</f>
        <v>8.623058226777891E-3</v>
      </c>
      <c r="V620" s="37"/>
      <c r="W620" s="9"/>
      <c r="X620" s="9"/>
    </row>
    <row r="621" spans="1:24" ht="12.75">
      <c r="A621" s="12">
        <v>41091</v>
      </c>
      <c r="B621" s="26">
        <v>3.49</v>
      </c>
      <c r="C621" s="29">
        <v>35</v>
      </c>
      <c r="D621" s="33">
        <v>849</v>
      </c>
      <c r="E621" s="41">
        <f>IF(Tabela1716[[#This Row],[Building Permits]]="",#N/A,((Tabela1716[[#This Row],[Building Permits]]*1)/D609)-1)</f>
        <v>0.36714975845410636</v>
      </c>
      <c r="F621" s="33">
        <v>490</v>
      </c>
      <c r="G621" s="41">
        <f>IF(Tabela1716[[#This Row],[Houses Under Construction]]="",#N/A,((Tabela1716[[#This Row],[Houses Under Construction]]*1)/F609)-1)</f>
        <v>0.17505995203836933</v>
      </c>
      <c r="H621" s="33">
        <v>740</v>
      </c>
      <c r="I621" s="33">
        <f>IF(Tabela1716[[#This Row],[Housing Starts]]="",#N/A,Tabela1716[[#This Row],[Housing Starts]]-H620)</f>
        <v>-17</v>
      </c>
      <c r="J621" s="41">
        <f>IF(Tabela1716[[#This Row],[Housing Starts]]="",#N/A,((Tabela1716[[#This Row],[Housing Starts]]*1)/H609)-1)</f>
        <v>0.187800963081862</v>
      </c>
      <c r="K621" s="33">
        <v>858934</v>
      </c>
      <c r="L621" s="41">
        <f>IF(Tabela1716[[#This Row],[Total Construction Spending]]="",#N/A,((Tabela1716[[#This Row],[Total Construction Spending]]*1)/K609)-1)</f>
        <v>8.3991160817838972E-2</v>
      </c>
      <c r="M621" s="31">
        <v>4530</v>
      </c>
      <c r="N621" s="41">
        <f>IF(Tabela1716[[#This Row],[Existing Home Sales]]="",#N/A,((Tabela1716[[#This Row],[Existing Home Sales]]*1)/M609)-1)</f>
        <v>9.1566265060240903E-2</v>
      </c>
      <c r="O621" s="33">
        <v>369</v>
      </c>
      <c r="P621" s="41">
        <f>IF(Tabela1716[[#This Row],[New House Sales]]="",#N/A,((Tabela1716[[#This Row],[New House Sales]]*1)/O620)-1)</f>
        <v>2.4999999999999911E-2</v>
      </c>
      <c r="Q621" s="41">
        <f>IF(Tabela1716[[#This Row],[New House Sales]]="",#N/A,((Tabela1716[[#This Row],[New House Sales]]*1)/O609)-1)</f>
        <v>0.24662162162162171</v>
      </c>
      <c r="R621" s="27">
        <v>4.5999999999999996</v>
      </c>
      <c r="S621" s="86">
        <v>144.28299999999999</v>
      </c>
      <c r="T621" s="41">
        <f>IF(Tabela1716[[#This Row],[S&amp;P/Case-Shiller Home Price Index]]="",#N/A,((Tabela1716[[#This Row],[S&amp;P/Case-Shiller Home Price Index]]*1)/S620)-1)</f>
        <v>7.7810140463367983E-3</v>
      </c>
      <c r="U621" s="41">
        <f>IF(Tabela1716[[#This Row],[S&amp;P/Case-Shiller Home Price Index]]="",#N/A,((Tabela1716[[#This Row],[S&amp;P/Case-Shiller Home Price Index]]*1)/S609)-1)</f>
        <v>1.3629050954384825E-2</v>
      </c>
      <c r="V621" s="39"/>
      <c r="W621" s="9"/>
      <c r="X621" s="9"/>
    </row>
    <row r="622" spans="1:24" ht="12.75">
      <c r="A622" s="12">
        <v>41122</v>
      </c>
      <c r="B622" s="26">
        <v>3.59</v>
      </c>
      <c r="C622" s="29">
        <v>37</v>
      </c>
      <c r="D622" s="33">
        <v>840</v>
      </c>
      <c r="E622" s="41">
        <f>IF(Tabela1716[[#This Row],[Building Permits]]="",#N/A,((Tabela1716[[#This Row],[Building Permits]]*1)/D610)-1)</f>
        <v>0.29829984544049459</v>
      </c>
      <c r="F622" s="33">
        <v>495</v>
      </c>
      <c r="G622" s="41">
        <f>IF(Tabela1716[[#This Row],[Houses Under Construction]]="",#N/A,((Tabela1716[[#This Row],[Houses Under Construction]]*1)/F610)-1)</f>
        <v>0.19565217391304346</v>
      </c>
      <c r="H622" s="33">
        <v>754</v>
      </c>
      <c r="I622" s="33">
        <f>IF(Tabela1716[[#This Row],[Housing Starts]]="",#N/A,Tabela1716[[#This Row],[Housing Starts]]-H621)</f>
        <v>14</v>
      </c>
      <c r="J622" s="41">
        <f>IF(Tabela1716[[#This Row],[Housing Starts]]="",#N/A,((Tabela1716[[#This Row],[Housing Starts]]*1)/H610)-1)</f>
        <v>0.28888888888888897</v>
      </c>
      <c r="K622" s="33">
        <v>862726</v>
      </c>
      <c r="L622" s="41">
        <f>IF(Tabela1716[[#This Row],[Total Construction Spending]]="",#N/A,((Tabela1716[[#This Row],[Total Construction Spending]]*1)/K610)-1)</f>
        <v>6.2531944582999266E-2</v>
      </c>
      <c r="M622" s="31">
        <v>4760</v>
      </c>
      <c r="N622" s="41">
        <f>IF(Tabela1716[[#This Row],[Existing Home Sales]]="",#N/A,((Tabela1716[[#This Row],[Existing Home Sales]]*1)/M610)-1)</f>
        <v>8.6757990867579959E-2</v>
      </c>
      <c r="O622" s="33">
        <v>375</v>
      </c>
      <c r="P622" s="41">
        <f>IF(Tabela1716[[#This Row],[New House Sales]]="",#N/A,((Tabela1716[[#This Row],[New House Sales]]*1)/O621)-1)</f>
        <v>1.6260162601626105E-2</v>
      </c>
      <c r="Q622" s="41">
        <f>IF(Tabela1716[[#This Row],[New House Sales]]="",#N/A,((Tabela1716[[#This Row],[New House Sales]]*1)/O610)-1)</f>
        <v>0.25418060200668902</v>
      </c>
      <c r="R622" s="27">
        <v>4.5999999999999996</v>
      </c>
      <c r="S622" s="86">
        <v>144.70600000000002</v>
      </c>
      <c r="T622" s="41">
        <f>IF(Tabela1716[[#This Row],[S&amp;P/Case-Shiller Home Price Index]]="",#N/A,((Tabela1716[[#This Row],[S&amp;P/Case-Shiller Home Price Index]]*1)/S621)-1)</f>
        <v>2.9317383198299574E-3</v>
      </c>
      <c r="U622" s="41">
        <f>IF(Tabela1716[[#This Row],[S&amp;P/Case-Shiller Home Price Index]]="",#N/A,((Tabela1716[[#This Row],[S&amp;P/Case-Shiller Home Price Index]]*1)/S610)-1)</f>
        <v>2.0594416938202853E-2</v>
      </c>
      <c r="V622" s="37"/>
      <c r="W622" s="9"/>
      <c r="X622" s="9"/>
    </row>
    <row r="623" spans="1:24" ht="12.75">
      <c r="A623" s="12">
        <v>41153</v>
      </c>
      <c r="B623" s="26">
        <v>3.4</v>
      </c>
      <c r="C623" s="29">
        <v>40</v>
      </c>
      <c r="D623" s="33">
        <v>930</v>
      </c>
      <c r="E623" s="41">
        <f>IF(Tabela1716[[#This Row],[Building Permits]]="",#N/A,((Tabela1716[[#This Row],[Building Permits]]*1)/D611)-1)</f>
        <v>0.52459016393442615</v>
      </c>
      <c r="F623" s="33">
        <v>511</v>
      </c>
      <c r="G623" s="41">
        <f>IF(Tabela1716[[#This Row],[Houses Under Construction]]="",#N/A,((Tabela1716[[#This Row],[Houses Under Construction]]*1)/F611)-1)</f>
        <v>0.22541966426858506</v>
      </c>
      <c r="H623" s="33">
        <v>847</v>
      </c>
      <c r="I623" s="33">
        <f>IF(Tabela1716[[#This Row],[Housing Starts]]="",#N/A,Tabela1716[[#This Row],[Housing Starts]]-H622)</f>
        <v>93</v>
      </c>
      <c r="J623" s="41">
        <f>IF(Tabela1716[[#This Row],[Housing Starts]]="",#N/A,((Tabela1716[[#This Row],[Housing Starts]]*1)/H611)-1)</f>
        <v>0.30307692307692302</v>
      </c>
      <c r="K623" s="33">
        <v>866588</v>
      </c>
      <c r="L623" s="41">
        <f>IF(Tabela1716[[#This Row],[Total Construction Spending]]="",#N/A,((Tabela1716[[#This Row],[Total Construction Spending]]*1)/K611)-1)</f>
        <v>6.5049283484502229E-2</v>
      </c>
      <c r="M623" s="31">
        <v>4710</v>
      </c>
      <c r="N623" s="41">
        <f>IF(Tabela1716[[#This Row],[Existing Home Sales]]="",#N/A,((Tabela1716[[#This Row],[Existing Home Sales]]*1)/M611)-1)</f>
        <v>8.7759815242494321E-2</v>
      </c>
      <c r="O623" s="33">
        <v>385</v>
      </c>
      <c r="P623" s="41">
        <f>IF(Tabela1716[[#This Row],[New House Sales]]="",#N/A,((Tabela1716[[#This Row],[New House Sales]]*1)/O622)-1)</f>
        <v>2.6666666666666616E-2</v>
      </c>
      <c r="Q623" s="41">
        <f>IF(Tabela1716[[#This Row],[New House Sales]]="",#N/A,((Tabela1716[[#This Row],[New House Sales]]*1)/O611)-1)</f>
        <v>0.26644736842105265</v>
      </c>
      <c r="R623" s="27">
        <v>4.5</v>
      </c>
      <c r="S623" s="86">
        <v>144.357</v>
      </c>
      <c r="T623" s="41">
        <f>IF(Tabela1716[[#This Row],[S&amp;P/Case-Shiller Home Price Index]]="",#N/A,((Tabela1716[[#This Row],[S&amp;P/Case-Shiller Home Price Index]]*1)/S622)-1)</f>
        <v>-2.4117866570841917E-3</v>
      </c>
      <c r="U623" s="41">
        <f>IF(Tabela1716[[#This Row],[S&amp;P/Case-Shiller Home Price Index]]="",#N/A,((Tabela1716[[#This Row],[S&amp;P/Case-Shiller Home Price Index]]*1)/S611)-1)</f>
        <v>2.9878218436316217E-2</v>
      </c>
      <c r="V623" s="39"/>
      <c r="W623" s="9"/>
      <c r="X623" s="9"/>
    </row>
    <row r="624" spans="1:24" ht="12.75">
      <c r="A624" s="12">
        <v>41183</v>
      </c>
      <c r="B624" s="26">
        <v>3.41</v>
      </c>
      <c r="C624" s="29">
        <v>41</v>
      </c>
      <c r="D624" s="33">
        <v>887</v>
      </c>
      <c r="E624" s="41">
        <f>IF(Tabela1716[[#This Row],[Building Permits]]="",#N/A,((Tabela1716[[#This Row],[Building Permits]]*1)/D612)-1)</f>
        <v>0.32190760059612522</v>
      </c>
      <c r="F624" s="33">
        <v>520</v>
      </c>
      <c r="G624" s="41">
        <f>IF(Tabela1716[[#This Row],[Houses Under Construction]]="",#N/A,((Tabela1716[[#This Row],[Houses Under Construction]]*1)/F612)-1)</f>
        <v>0.23222748815165883</v>
      </c>
      <c r="H624" s="33">
        <v>915</v>
      </c>
      <c r="I624" s="33">
        <f>IF(Tabela1716[[#This Row],[Housing Starts]]="",#N/A,Tabela1716[[#This Row],[Housing Starts]]-H623)</f>
        <v>68</v>
      </c>
      <c r="J624" s="41">
        <f>IF(Tabela1716[[#This Row],[Housing Starts]]="",#N/A,((Tabela1716[[#This Row],[Housing Starts]]*1)/H612)-1)</f>
        <v>0.5</v>
      </c>
      <c r="K624" s="33">
        <v>875366</v>
      </c>
      <c r="L624" s="41">
        <f>IF(Tabela1716[[#This Row],[Total Construction Spending]]="",#N/A,((Tabela1716[[#This Row],[Total Construction Spending]]*1)/K612)-1)</f>
        <v>8.2867173525256854E-2</v>
      </c>
      <c r="M624" s="31">
        <v>4790</v>
      </c>
      <c r="N624" s="41">
        <f>IF(Tabela1716[[#This Row],[Existing Home Sales]]="",#N/A,((Tabela1716[[#This Row],[Existing Home Sales]]*1)/M612)-1)</f>
        <v>0.1036866359447004</v>
      </c>
      <c r="O624" s="33">
        <v>358</v>
      </c>
      <c r="P624" s="41">
        <f>IF(Tabela1716[[#This Row],[New House Sales]]="",#N/A,((Tabela1716[[#This Row],[New House Sales]]*1)/O623)-1)</f>
        <v>-7.0129870129870153E-2</v>
      </c>
      <c r="Q624" s="41">
        <f>IF(Tabela1716[[#This Row],[New House Sales]]="",#N/A,((Tabela1716[[#This Row],[New House Sales]]*1)/O612)-1)</f>
        <v>0.13291139240506333</v>
      </c>
      <c r="R624" s="27">
        <v>4.9000000000000004</v>
      </c>
      <c r="S624" s="86">
        <v>143.96700000000001</v>
      </c>
      <c r="T624" s="41">
        <f>IF(Tabela1716[[#This Row],[S&amp;P/Case-Shiller Home Price Index]]="",#N/A,((Tabela1716[[#This Row],[S&amp;P/Case-Shiller Home Price Index]]*1)/S623)-1)</f>
        <v>-2.7016355285852667E-3</v>
      </c>
      <c r="U624" s="41">
        <f>IF(Tabela1716[[#This Row],[S&amp;P/Case-Shiller Home Price Index]]="",#N/A,((Tabela1716[[#This Row],[S&amp;P/Case-Shiller Home Price Index]]*1)/S612)-1)</f>
        <v>4.014883317679363E-2</v>
      </c>
      <c r="V624" s="37"/>
      <c r="W624" s="9"/>
      <c r="X624" s="9"/>
    </row>
    <row r="625" spans="1:24" ht="12.75">
      <c r="A625" s="12">
        <v>41214</v>
      </c>
      <c r="B625" s="26">
        <v>3.32</v>
      </c>
      <c r="C625" s="29">
        <v>45</v>
      </c>
      <c r="D625" s="33">
        <v>917</v>
      </c>
      <c r="E625" s="41">
        <f>IF(Tabela1716[[#This Row],[Building Permits]]="",#N/A,((Tabela1716[[#This Row],[Building Permits]]*1)/D613)-1)</f>
        <v>0.29886685552407921</v>
      </c>
      <c r="F625" s="33">
        <v>534</v>
      </c>
      <c r="G625" s="41">
        <f>IF(Tabela1716[[#This Row],[Houses Under Construction]]="",#N/A,((Tabela1716[[#This Row],[Houses Under Construction]]*1)/F613)-1)</f>
        <v>0.2332563510392609</v>
      </c>
      <c r="H625" s="33">
        <v>833</v>
      </c>
      <c r="I625" s="33">
        <f>IF(Tabela1716[[#This Row],[Housing Starts]]="",#N/A,Tabela1716[[#This Row],[Housing Starts]]-H624)</f>
        <v>-82</v>
      </c>
      <c r="J625" s="41">
        <f>IF(Tabela1716[[#This Row],[Housing Starts]]="",#N/A,((Tabela1716[[#This Row],[Housing Starts]]*1)/H613)-1)</f>
        <v>0.17158931082981721</v>
      </c>
      <c r="K625" s="33">
        <v>872052</v>
      </c>
      <c r="L625" s="41">
        <f>IF(Tabela1716[[#This Row],[Total Construction Spending]]="",#N/A,((Tabela1716[[#This Row],[Total Construction Spending]]*1)/K613)-1)</f>
        <v>7.3889538821501066E-2</v>
      </c>
      <c r="M625" s="31">
        <v>4960</v>
      </c>
      <c r="N625" s="41">
        <f>IF(Tabela1716[[#This Row],[Existing Home Sales]]="",#N/A,((Tabela1716[[#This Row],[Existing Home Sales]]*1)/M613)-1)</f>
        <v>0.12984054669703871</v>
      </c>
      <c r="O625" s="33">
        <v>392</v>
      </c>
      <c r="P625" s="41">
        <f>IF(Tabela1716[[#This Row],[New House Sales]]="",#N/A,((Tabela1716[[#This Row],[New House Sales]]*1)/O624)-1)</f>
        <v>9.4972067039106101E-2</v>
      </c>
      <c r="Q625" s="41">
        <f>IF(Tabela1716[[#This Row],[New House Sales]]="",#N/A,((Tabela1716[[#This Row],[New House Sales]]*1)/O613)-1)</f>
        <v>0.19512195121951215</v>
      </c>
      <c r="R625" s="27">
        <v>4.5999999999999996</v>
      </c>
      <c r="S625" s="86">
        <v>143.959</v>
      </c>
      <c r="T625" s="41">
        <f>IF(Tabela1716[[#This Row],[S&amp;P/Case-Shiller Home Price Index]]="",#N/A,((Tabela1716[[#This Row],[S&amp;P/Case-Shiller Home Price Index]]*1)/S624)-1)</f>
        <v>-5.5568289955454375E-5</v>
      </c>
      <c r="U625" s="41">
        <f>IF(Tabela1716[[#This Row],[S&amp;P/Case-Shiller Home Price Index]]="",#N/A,((Tabela1716[[#This Row],[S&amp;P/Case-Shiller Home Price Index]]*1)/S613)-1)</f>
        <v>5.3363674944755912E-2</v>
      </c>
      <c r="V625" s="39"/>
      <c r="W625" s="9"/>
      <c r="X625" s="9"/>
    </row>
    <row r="626" spans="1:24" ht="12.75">
      <c r="A626" s="12">
        <v>41244</v>
      </c>
      <c r="B626" s="26">
        <v>3.35</v>
      </c>
      <c r="C626" s="29">
        <v>47</v>
      </c>
      <c r="D626" s="33">
        <v>941</v>
      </c>
      <c r="E626" s="41">
        <f>IF(Tabela1716[[#This Row],[Building Permits]]="",#N/A,((Tabela1716[[#This Row],[Building Permits]]*1)/D614)-1)</f>
        <v>0.35007173601147779</v>
      </c>
      <c r="F626" s="33">
        <v>551</v>
      </c>
      <c r="G626" s="41">
        <f>IF(Tabela1716[[#This Row],[Houses Under Construction]]="",#N/A,((Tabela1716[[#This Row],[Houses Under Construction]]*1)/F614)-1)</f>
        <v>0.26958525345622131</v>
      </c>
      <c r="H626" s="33">
        <v>976</v>
      </c>
      <c r="I626" s="33">
        <f>IF(Tabela1716[[#This Row],[Housing Starts]]="",#N/A,Tabela1716[[#This Row],[Housing Starts]]-H625)</f>
        <v>143</v>
      </c>
      <c r="J626" s="41">
        <f>IF(Tabela1716[[#This Row],[Housing Starts]]="",#N/A,((Tabela1716[[#This Row],[Housing Starts]]*1)/H614)-1)</f>
        <v>0.40634005763688763</v>
      </c>
      <c r="K626" s="33">
        <v>871809</v>
      </c>
      <c r="L626" s="41">
        <f>IF(Tabela1716[[#This Row],[Total Construction Spending]]="",#N/A,((Tabela1716[[#This Row],[Total Construction Spending]]*1)/K614)-1)</f>
        <v>6.1412255422971684E-2</v>
      </c>
      <c r="M626" s="31">
        <v>4890</v>
      </c>
      <c r="N626" s="41">
        <f>IF(Tabela1716[[#This Row],[Existing Home Sales]]="",#N/A,((Tabela1716[[#This Row],[Existing Home Sales]]*1)/M614)-1)</f>
        <v>0.12413793103448278</v>
      </c>
      <c r="O626" s="33">
        <v>399</v>
      </c>
      <c r="P626" s="41">
        <f>IF(Tabela1716[[#This Row],[New House Sales]]="",#N/A,((Tabela1716[[#This Row],[New House Sales]]*1)/O625)-1)</f>
        <v>1.7857142857142794E-2</v>
      </c>
      <c r="Q626" s="41">
        <f>IF(Tabela1716[[#This Row],[New House Sales]]="",#N/A,((Tabela1716[[#This Row],[New House Sales]]*1)/O614)-1)</f>
        <v>0.17008797653958951</v>
      </c>
      <c r="R626" s="27">
        <v>4.5</v>
      </c>
      <c r="S626" s="86">
        <v>143.86600000000001</v>
      </c>
      <c r="T626" s="41">
        <f>IF(Tabela1716[[#This Row],[S&amp;P/Case-Shiller Home Price Index]]="",#N/A,((Tabela1716[[#This Row],[S&amp;P/Case-Shiller Home Price Index]]*1)/S625)-1)</f>
        <v>-6.4601726880564314E-4</v>
      </c>
      <c r="U626" s="41">
        <f>IF(Tabela1716[[#This Row],[S&amp;P/Case-Shiller Home Price Index]]="",#N/A,((Tabela1716[[#This Row],[S&amp;P/Case-Shiller Home Price Index]]*1)/S614)-1)</f>
        <v>6.4357424519298378E-2</v>
      </c>
      <c r="V626" s="37"/>
      <c r="W626" s="9"/>
      <c r="X626" s="9"/>
    </row>
    <row r="627" spans="1:24" ht="12.75">
      <c r="A627" s="12">
        <v>41275</v>
      </c>
      <c r="B627" s="26">
        <v>3.53</v>
      </c>
      <c r="C627" s="29">
        <v>47</v>
      </c>
      <c r="D627" s="33">
        <v>940</v>
      </c>
      <c r="E627" s="41">
        <f>IF(Tabela1716[[#This Row],[Building Permits]]="",#N/A,((Tabela1716[[#This Row],[Building Permits]]*1)/D615)-1)</f>
        <v>0.3202247191011236</v>
      </c>
      <c r="F627" s="33">
        <v>559</v>
      </c>
      <c r="G627" s="41">
        <f>IF(Tabela1716[[#This Row],[Houses Under Construction]]="",#N/A,((Tabela1716[[#This Row],[Houses Under Construction]]*1)/F615)-1)</f>
        <v>0.26757369614512472</v>
      </c>
      <c r="H627" s="33">
        <v>888</v>
      </c>
      <c r="I627" s="33">
        <f>IF(Tabela1716[[#This Row],[Housing Starts]]="",#N/A,Tabela1716[[#This Row],[Housing Starts]]-H626)</f>
        <v>-88</v>
      </c>
      <c r="J627" s="41">
        <f>IF(Tabela1716[[#This Row],[Housing Starts]]="",#N/A,((Tabela1716[[#This Row],[Housing Starts]]*1)/H615)-1)</f>
        <v>0.22821576763485485</v>
      </c>
      <c r="K627" s="33">
        <v>862722</v>
      </c>
      <c r="L627" s="41">
        <f>IF(Tabela1716[[#This Row],[Total Construction Spending]]="",#N/A,((Tabela1716[[#This Row],[Total Construction Spending]]*1)/K615)-1)</f>
        <v>3.866074330913416E-2</v>
      </c>
      <c r="M627" s="31">
        <v>4980</v>
      </c>
      <c r="N627" s="41">
        <f>IF(Tabela1716[[#This Row],[Existing Home Sales]]="",#N/A,((Tabela1716[[#This Row],[Existing Home Sales]]*1)/M615)-1)</f>
        <v>0.11160714285714279</v>
      </c>
      <c r="O627" s="33">
        <v>446</v>
      </c>
      <c r="P627" s="41">
        <f>IF(Tabela1716[[#This Row],[New House Sales]]="",#N/A,((Tabela1716[[#This Row],[New House Sales]]*1)/O626)-1)</f>
        <v>0.1177944862155389</v>
      </c>
      <c r="Q627" s="41">
        <f>IF(Tabela1716[[#This Row],[New House Sales]]="",#N/A,((Tabela1716[[#This Row],[New House Sales]]*1)/O615)-1)</f>
        <v>0.33134328358208953</v>
      </c>
      <c r="R627" s="27">
        <v>4</v>
      </c>
      <c r="S627" s="86">
        <v>144.31</v>
      </c>
      <c r="T627" s="41">
        <f>IF(Tabela1716[[#This Row],[S&amp;P/Case-Shiller Home Price Index]]="",#N/A,((Tabela1716[[#This Row],[S&amp;P/Case-Shiller Home Price Index]]*1)/S626)-1)</f>
        <v>3.0862052187450306E-3</v>
      </c>
      <c r="U627" s="41">
        <f>IF(Tabela1716[[#This Row],[S&amp;P/Case-Shiller Home Price Index]]="",#N/A,((Tabela1716[[#This Row],[S&amp;P/Case-Shiller Home Price Index]]*1)/S615)-1)</f>
        <v>7.5591795361039882E-2</v>
      </c>
      <c r="V627" s="39"/>
      <c r="W627" s="9"/>
      <c r="X627" s="9"/>
    </row>
    <row r="628" spans="1:24" ht="12.75">
      <c r="A628" s="12">
        <v>41306</v>
      </c>
      <c r="B628" s="26">
        <v>3.51</v>
      </c>
      <c r="C628" s="29">
        <v>46</v>
      </c>
      <c r="D628" s="33">
        <v>980</v>
      </c>
      <c r="E628" s="41">
        <f>IF(Tabela1716[[#This Row],[Building Permits]]="",#N/A,((Tabela1716[[#This Row],[Building Permits]]*1)/D616)-1)</f>
        <v>0.32791327913279122</v>
      </c>
      <c r="F628" s="33">
        <v>581</v>
      </c>
      <c r="G628" s="41">
        <f>IF(Tabela1716[[#This Row],[Houses Under Construction]]="",#N/A,((Tabela1716[[#This Row],[Houses Under Construction]]*1)/F616)-1)</f>
        <v>0.2911111111111111</v>
      </c>
      <c r="H628" s="33">
        <v>962</v>
      </c>
      <c r="I628" s="33">
        <f>IF(Tabela1716[[#This Row],[Housing Starts]]="",#N/A,Tabela1716[[#This Row],[Housing Starts]]-H627)</f>
        <v>74</v>
      </c>
      <c r="J628" s="41">
        <f>IF(Tabela1716[[#This Row],[Housing Starts]]="",#N/A,((Tabela1716[[#This Row],[Housing Starts]]*1)/H616)-1)</f>
        <v>0.36647727272727271</v>
      </c>
      <c r="K628" s="33">
        <v>873583</v>
      </c>
      <c r="L628" s="41">
        <f>IF(Tabela1716[[#This Row],[Total Construction Spending]]="",#N/A,((Tabela1716[[#This Row],[Total Construction Spending]]*1)/K616)-1)</f>
        <v>5.9700279486831098E-2</v>
      </c>
      <c r="M628" s="31">
        <v>5060</v>
      </c>
      <c r="N628" s="41">
        <f>IF(Tabela1716[[#This Row],[Existing Home Sales]]="",#N/A,((Tabela1716[[#This Row],[Existing Home Sales]]*1)/M616)-1)</f>
        <v>0.10480349344978168</v>
      </c>
      <c r="O628" s="33">
        <v>447</v>
      </c>
      <c r="P628" s="41">
        <f>IF(Tabela1716[[#This Row],[New House Sales]]="",#N/A,((Tabela1716[[#This Row],[New House Sales]]*1)/O627)-1)</f>
        <v>2.2421524663676085E-3</v>
      </c>
      <c r="Q628" s="41">
        <f>IF(Tabela1716[[#This Row],[New House Sales]]="",#N/A,((Tabela1716[[#This Row],[New House Sales]]*1)/O616)-1)</f>
        <v>0.22131147540983598</v>
      </c>
      <c r="R628" s="27">
        <v>4.0999999999999996</v>
      </c>
      <c r="S628" s="86">
        <v>145.161</v>
      </c>
      <c r="T628" s="41">
        <f>IF(Tabela1716[[#This Row],[S&amp;P/Case-Shiller Home Price Index]]="",#N/A,((Tabela1716[[#This Row],[S&amp;P/Case-Shiller Home Price Index]]*1)/S627)-1)</f>
        <v>5.8970272330400864E-3</v>
      </c>
      <c r="U628" s="41">
        <f>IF(Tabela1716[[#This Row],[S&amp;P/Case-Shiller Home Price Index]]="",#N/A,((Tabela1716[[#This Row],[S&amp;P/Case-Shiller Home Price Index]]*1)/S616)-1)</f>
        <v>8.3315298103688873E-2</v>
      </c>
      <c r="V628" s="37"/>
      <c r="W628" s="9"/>
      <c r="X628" s="9"/>
    </row>
    <row r="629" spans="1:24" ht="12.75">
      <c r="A629" s="12">
        <v>41334</v>
      </c>
      <c r="B629" s="26">
        <v>3.57</v>
      </c>
      <c r="C629" s="29">
        <v>44</v>
      </c>
      <c r="D629" s="33">
        <v>936</v>
      </c>
      <c r="E629" s="41">
        <f>IF(Tabela1716[[#This Row],[Building Permits]]="",#N/A,((Tabela1716[[#This Row],[Building Permits]]*1)/D617)-1)</f>
        <v>0.16129032258064524</v>
      </c>
      <c r="F629" s="33">
        <v>596</v>
      </c>
      <c r="G629" s="41">
        <f>IF(Tabela1716[[#This Row],[Houses Under Construction]]="",#N/A,((Tabela1716[[#This Row],[Houses Under Construction]]*1)/F617)-1)</f>
        <v>0.3013100436681222</v>
      </c>
      <c r="H629" s="33">
        <v>1010</v>
      </c>
      <c r="I629" s="33">
        <f>IF(Tabela1716[[#This Row],[Housing Starts]]="",#N/A,Tabela1716[[#This Row],[Housing Starts]]-H628)</f>
        <v>48</v>
      </c>
      <c r="J629" s="41">
        <f>IF(Tabela1716[[#This Row],[Housing Starts]]="",#N/A,((Tabela1716[[#This Row],[Housing Starts]]*1)/H617)-1)</f>
        <v>0.45323741007194251</v>
      </c>
      <c r="K629" s="33">
        <v>864510</v>
      </c>
      <c r="L629" s="41">
        <f>IF(Tabela1716[[#This Row],[Total Construction Spending]]="",#N/A,((Tabela1716[[#This Row],[Total Construction Spending]]*1)/K617)-1)</f>
        <v>4.2472578886948886E-2</v>
      </c>
      <c r="M629" s="31">
        <v>5070</v>
      </c>
      <c r="N629" s="41">
        <f>IF(Tabela1716[[#This Row],[Existing Home Sales]]="",#N/A,((Tabela1716[[#This Row],[Existing Home Sales]]*1)/M617)-1)</f>
        <v>0.12168141592920345</v>
      </c>
      <c r="O629" s="33">
        <v>444</v>
      </c>
      <c r="P629" s="41">
        <f>IF(Tabela1716[[#This Row],[New House Sales]]="",#N/A,((Tabela1716[[#This Row],[New House Sales]]*1)/O628)-1)</f>
        <v>-6.7114093959731447E-3</v>
      </c>
      <c r="Q629" s="41">
        <f>IF(Tabela1716[[#This Row],[New House Sales]]="",#N/A,((Tabela1716[[#This Row],[New House Sales]]*1)/O617)-1)</f>
        <v>0.25423728813559321</v>
      </c>
      <c r="R629" s="27">
        <v>4.2</v>
      </c>
      <c r="S629" s="86">
        <v>147.96</v>
      </c>
      <c r="T629" s="41">
        <f>IF(Tabela1716[[#This Row],[S&amp;P/Case-Shiller Home Price Index]]="",#N/A,((Tabela1716[[#This Row],[S&amp;P/Case-Shiller Home Price Index]]*1)/S628)-1)</f>
        <v>1.9282038564077064E-2</v>
      </c>
      <c r="U629" s="41">
        <f>IF(Tabela1716[[#This Row],[S&amp;P/Case-Shiller Home Price Index]]="",#N/A,((Tabela1716[[#This Row],[S&amp;P/Case-Shiller Home Price Index]]*1)/S617)-1)</f>
        <v>8.9022191145622376E-2</v>
      </c>
      <c r="V629" s="39"/>
      <c r="W629" s="9"/>
      <c r="X629" s="9"/>
    </row>
    <row r="630" spans="1:24" ht="12.75">
      <c r="A630" s="12">
        <v>41365</v>
      </c>
      <c r="B630" s="26">
        <v>3.4</v>
      </c>
      <c r="C630" s="29">
        <v>41</v>
      </c>
      <c r="D630" s="33">
        <v>1012</v>
      </c>
      <c r="E630" s="41">
        <f>IF(Tabela1716[[#This Row],[Building Permits]]="",#N/A,((Tabela1716[[#This Row],[Building Permits]]*1)/D618)-1)</f>
        <v>0.38251366120218577</v>
      </c>
      <c r="F630" s="33">
        <v>606</v>
      </c>
      <c r="G630" s="41">
        <f>IF(Tabela1716[[#This Row],[Houses Under Construction]]="",#N/A,((Tabela1716[[#This Row],[Houses Under Construction]]*1)/F618)-1)</f>
        <v>0.3088552915766738</v>
      </c>
      <c r="H630" s="33">
        <v>835</v>
      </c>
      <c r="I630" s="33">
        <f>IF(Tabela1716[[#This Row],[Housing Starts]]="",#N/A,Tabela1716[[#This Row],[Housing Starts]]-H629)</f>
        <v>-175</v>
      </c>
      <c r="J630" s="41">
        <f>IF(Tabela1716[[#This Row],[Housing Starts]]="",#N/A,((Tabela1716[[#This Row],[Housing Starts]]*1)/H618)-1)</f>
        <v>0.10889774236387773</v>
      </c>
      <c r="K630" s="33">
        <v>879728</v>
      </c>
      <c r="L630" s="41">
        <f>IF(Tabela1716[[#This Row],[Total Construction Spending]]="",#N/A,((Tabela1716[[#This Row],[Total Construction Spending]]*1)/K618)-1)</f>
        <v>4.5130325278589511E-2</v>
      </c>
      <c r="M630" s="31">
        <v>5090</v>
      </c>
      <c r="N630" s="41">
        <f>IF(Tabela1716[[#This Row],[Existing Home Sales]]="",#N/A,((Tabela1716[[#This Row],[Existing Home Sales]]*1)/M618)-1)</f>
        <v>0.10893246187363825</v>
      </c>
      <c r="O630" s="33">
        <v>441</v>
      </c>
      <c r="P630" s="41">
        <f>IF(Tabela1716[[#This Row],[New House Sales]]="",#N/A,((Tabela1716[[#This Row],[New House Sales]]*1)/O629)-1)</f>
        <v>-6.7567567567567988E-3</v>
      </c>
      <c r="Q630" s="41">
        <f>IF(Tabela1716[[#This Row],[New House Sales]]="",#N/A,((Tabela1716[[#This Row],[New House Sales]]*1)/O618)-1)</f>
        <v>0.24576271186440679</v>
      </c>
      <c r="R630" s="27">
        <v>4.4000000000000004</v>
      </c>
      <c r="S630" s="86">
        <v>150.96799999999999</v>
      </c>
      <c r="T630" s="41">
        <f>IF(Tabela1716[[#This Row],[S&amp;P/Case-Shiller Home Price Index]]="",#N/A,((Tabela1716[[#This Row],[S&amp;P/Case-Shiller Home Price Index]]*1)/S629)-1)</f>
        <v>2.0329818869964766E-2</v>
      </c>
      <c r="U630" s="41">
        <f>IF(Tabela1716[[#This Row],[S&amp;P/Case-Shiller Home Price Index]]="",#N/A,((Tabela1716[[#This Row],[S&amp;P/Case-Shiller Home Price Index]]*1)/S618)-1)</f>
        <v>9.0249944031602247E-2</v>
      </c>
      <c r="V630" s="37"/>
      <c r="W630" s="9"/>
      <c r="X630" s="9"/>
    </row>
    <row r="631" spans="1:24" ht="12.75">
      <c r="A631" s="12">
        <v>41395</v>
      </c>
      <c r="B631" s="26">
        <v>3.81</v>
      </c>
      <c r="C631" s="29">
        <v>44</v>
      </c>
      <c r="D631" s="33">
        <v>1003</v>
      </c>
      <c r="E631" s="41">
        <f>IF(Tabela1716[[#This Row],[Building Permits]]="",#N/A,((Tabela1716[[#This Row],[Building Permits]]*1)/D619)-1)</f>
        <v>0.26005025125628145</v>
      </c>
      <c r="F631" s="33">
        <v>620</v>
      </c>
      <c r="G631" s="41">
        <f>IF(Tabela1716[[#This Row],[Houses Under Construction]]="",#N/A,((Tabela1716[[#This Row],[Houses Under Construction]]*1)/F619)-1)</f>
        <v>0.30801687763713081</v>
      </c>
      <c r="H631" s="33">
        <v>930</v>
      </c>
      <c r="I631" s="33">
        <f>IF(Tabela1716[[#This Row],[Housing Starts]]="",#N/A,Tabela1716[[#This Row],[Housing Starts]]-H630)</f>
        <v>95</v>
      </c>
      <c r="J631" s="41">
        <f>IF(Tabela1716[[#This Row],[Housing Starts]]="",#N/A,((Tabela1716[[#This Row],[Housing Starts]]*1)/H619)-1)</f>
        <v>0.31355932203389836</v>
      </c>
      <c r="K631" s="33">
        <v>888752</v>
      </c>
      <c r="L631" s="41">
        <f>IF(Tabela1716[[#This Row],[Total Construction Spending]]="",#N/A,((Tabela1716[[#This Row],[Total Construction Spending]]*1)/K619)-1)</f>
        <v>4.4450294266965118E-2</v>
      </c>
      <c r="M631" s="31">
        <v>5140</v>
      </c>
      <c r="N631" s="41">
        <f>IF(Tabela1716[[#This Row],[Existing Home Sales]]="",#N/A,((Tabela1716[[#This Row],[Existing Home Sales]]*1)/M619)-1)</f>
        <v>0.11739130434782608</v>
      </c>
      <c r="O631" s="33">
        <v>428</v>
      </c>
      <c r="P631" s="41">
        <f>IF(Tabela1716[[#This Row],[New House Sales]]="",#N/A,((Tabela1716[[#This Row],[New House Sales]]*1)/O630)-1)</f>
        <v>-2.947845804988658E-2</v>
      </c>
      <c r="Q631" s="41">
        <f>IF(Tabela1716[[#This Row],[New House Sales]]="",#N/A,((Tabela1716[[#This Row],[New House Sales]]*1)/O619)-1)</f>
        <v>0.15675675675675671</v>
      </c>
      <c r="R631" s="27">
        <v>4.5999999999999996</v>
      </c>
      <c r="S631" s="86">
        <v>153.85900000000001</v>
      </c>
      <c r="T631" s="41">
        <f>IF(Tabela1716[[#This Row],[S&amp;P/Case-Shiller Home Price Index]]="",#N/A,((Tabela1716[[#This Row],[S&amp;P/Case-Shiller Home Price Index]]*1)/S630)-1)</f>
        <v>1.914975359016502E-2</v>
      </c>
      <c r="U631" s="41">
        <f>IF(Tabela1716[[#This Row],[S&amp;P/Case-Shiller Home Price Index]]="",#N/A,((Tabela1716[[#This Row],[S&amp;P/Case-Shiller Home Price Index]]*1)/S619)-1)</f>
        <v>9.0827236118200982E-2</v>
      </c>
      <c r="V631" s="39"/>
      <c r="W631" s="9"/>
      <c r="X631" s="9"/>
    </row>
    <row r="632" spans="1:24" ht="12.75">
      <c r="A632" s="12">
        <v>41426</v>
      </c>
      <c r="B632" s="26">
        <v>4.46</v>
      </c>
      <c r="C632" s="29">
        <v>51</v>
      </c>
      <c r="D632" s="33">
        <v>942</v>
      </c>
      <c r="E632" s="41">
        <f>IF(Tabela1716[[#This Row],[Building Permits]]="",#N/A,((Tabela1716[[#This Row],[Building Permits]]*1)/D620)-1)</f>
        <v>0.18639798488664994</v>
      </c>
      <c r="F632" s="33">
        <v>629</v>
      </c>
      <c r="G632" s="41">
        <f>IF(Tabela1716[[#This Row],[Houses Under Construction]]="",#N/A,((Tabela1716[[#This Row],[Houses Under Construction]]*1)/F620)-1)</f>
        <v>0.29423868312757206</v>
      </c>
      <c r="H632" s="33">
        <v>839</v>
      </c>
      <c r="I632" s="33">
        <f>IF(Tabela1716[[#This Row],[Housing Starts]]="",#N/A,Tabela1716[[#This Row],[Housing Starts]]-H631)</f>
        <v>-91</v>
      </c>
      <c r="J632" s="41">
        <f>IF(Tabela1716[[#This Row],[Housing Starts]]="",#N/A,((Tabela1716[[#This Row],[Housing Starts]]*1)/H620)-1)</f>
        <v>0.10832232496697491</v>
      </c>
      <c r="K632" s="33">
        <v>899295</v>
      </c>
      <c r="L632" s="41">
        <f>IF(Tabela1716[[#This Row],[Total Construction Spending]]="",#N/A,((Tabela1716[[#This Row],[Total Construction Spending]]*1)/K620)-1)</f>
        <v>4.8118376380667405E-2</v>
      </c>
      <c r="M632" s="31">
        <v>5110</v>
      </c>
      <c r="N632" s="41">
        <f>IF(Tabela1716[[#This Row],[Existing Home Sales]]="",#N/A,((Tabela1716[[#This Row],[Existing Home Sales]]*1)/M620)-1)</f>
        <v>0.14317673378076057</v>
      </c>
      <c r="O632" s="33">
        <v>470</v>
      </c>
      <c r="P632" s="41">
        <f>IF(Tabela1716[[#This Row],[New House Sales]]="",#N/A,((Tabela1716[[#This Row],[New House Sales]]*1)/O631)-1)</f>
        <v>9.8130841121495394E-2</v>
      </c>
      <c r="Q632" s="41">
        <f>IF(Tabela1716[[#This Row],[New House Sales]]="",#N/A,((Tabela1716[[#This Row],[New House Sales]]*1)/O620)-1)</f>
        <v>0.30555555555555558</v>
      </c>
      <c r="R632" s="27">
        <v>4.0999999999999996</v>
      </c>
      <c r="S632" s="86">
        <v>156.42700000000002</v>
      </c>
      <c r="T632" s="41">
        <f>IF(Tabela1716[[#This Row],[S&amp;P/Case-Shiller Home Price Index]]="",#N/A,((Tabela1716[[#This Row],[S&amp;P/Case-Shiller Home Price Index]]*1)/S631)-1)</f>
        <v>1.669060633437125E-2</v>
      </c>
      <c r="U632" s="41">
        <f>IF(Tabela1716[[#This Row],[S&amp;P/Case-Shiller Home Price Index]]="",#N/A,((Tabela1716[[#This Row],[S&amp;P/Case-Shiller Home Price Index]]*1)/S620)-1)</f>
        <v>9.2603845804608786E-2</v>
      </c>
      <c r="V632" s="37"/>
      <c r="W632" s="9"/>
      <c r="X632" s="9"/>
    </row>
    <row r="633" spans="1:24" ht="12.75">
      <c r="A633" s="12">
        <v>41456</v>
      </c>
      <c r="B633" s="26">
        <v>4.3099999999999996</v>
      </c>
      <c r="C633" s="29">
        <v>56</v>
      </c>
      <c r="D633" s="33">
        <v>997</v>
      </c>
      <c r="E633" s="41">
        <f>IF(Tabela1716[[#This Row],[Building Permits]]="",#N/A,((Tabela1716[[#This Row],[Building Permits]]*1)/D621)-1)</f>
        <v>0.17432273262661946</v>
      </c>
      <c r="F633" s="33">
        <v>640</v>
      </c>
      <c r="G633" s="41">
        <f>IF(Tabela1716[[#This Row],[Houses Under Construction]]="",#N/A,((Tabela1716[[#This Row],[Houses Under Construction]]*1)/F621)-1)</f>
        <v>0.30612244897959173</v>
      </c>
      <c r="H633" s="33">
        <v>880</v>
      </c>
      <c r="I633" s="33">
        <f>IF(Tabela1716[[#This Row],[Housing Starts]]="",#N/A,Tabela1716[[#This Row],[Housing Starts]]-H632)</f>
        <v>41</v>
      </c>
      <c r="J633" s="41">
        <f>IF(Tabela1716[[#This Row],[Housing Starts]]="",#N/A,((Tabela1716[[#This Row],[Housing Starts]]*1)/H621)-1)</f>
        <v>0.18918918918918926</v>
      </c>
      <c r="K633" s="33">
        <v>917756</v>
      </c>
      <c r="L633" s="41">
        <f>IF(Tabela1716[[#This Row],[Total Construction Spending]]="",#N/A,((Tabela1716[[#This Row],[Total Construction Spending]]*1)/K621)-1)</f>
        <v>6.8482560941818482E-2</v>
      </c>
      <c r="M633" s="31">
        <v>5270</v>
      </c>
      <c r="N633" s="41">
        <f>IF(Tabela1716[[#This Row],[Existing Home Sales]]="",#N/A,((Tabela1716[[#This Row],[Existing Home Sales]]*1)/M621)-1)</f>
        <v>0.16335540838852092</v>
      </c>
      <c r="O633" s="33">
        <v>375</v>
      </c>
      <c r="P633" s="41">
        <f>IF(Tabela1716[[#This Row],[New House Sales]]="",#N/A,((Tabela1716[[#This Row],[New House Sales]]*1)/O632)-1)</f>
        <v>-0.2021276595744681</v>
      </c>
      <c r="Q633" s="41">
        <f>IF(Tabela1716[[#This Row],[New House Sales]]="",#N/A,((Tabela1716[[#This Row],[New House Sales]]*1)/O621)-1)</f>
        <v>1.6260162601626105E-2</v>
      </c>
      <c r="R633" s="27">
        <v>5.5</v>
      </c>
      <c r="S633" s="86">
        <v>158.286</v>
      </c>
      <c r="T633" s="41">
        <f>IF(Tabela1716[[#This Row],[S&amp;P/Case-Shiller Home Price Index]]="",#N/A,((Tabela1716[[#This Row],[S&amp;P/Case-Shiller Home Price Index]]*1)/S632)-1)</f>
        <v>1.1884137648871196E-2</v>
      </c>
      <c r="U633" s="41">
        <f>IF(Tabela1716[[#This Row],[S&amp;P/Case-Shiller Home Price Index]]="",#N/A,((Tabela1716[[#This Row],[S&amp;P/Case-Shiller Home Price Index]]*1)/S621)-1)</f>
        <v>9.7052320786232826E-2</v>
      </c>
      <c r="V633" s="39"/>
      <c r="W633" s="9"/>
      <c r="X633" s="9"/>
    </row>
    <row r="634" spans="1:24" ht="12.75">
      <c r="A634" s="12">
        <v>41487</v>
      </c>
      <c r="B634" s="26">
        <v>4.51</v>
      </c>
      <c r="C634" s="29">
        <v>58</v>
      </c>
      <c r="D634" s="33">
        <v>964</v>
      </c>
      <c r="E634" s="41">
        <f>IF(Tabela1716[[#This Row],[Building Permits]]="",#N/A,((Tabela1716[[#This Row],[Building Permits]]*1)/D622)-1)</f>
        <v>0.14761904761904754</v>
      </c>
      <c r="F634" s="33">
        <v>654</v>
      </c>
      <c r="G634" s="41">
        <f>IF(Tabela1716[[#This Row],[Houses Under Construction]]="",#N/A,((Tabela1716[[#This Row],[Houses Under Construction]]*1)/F622)-1)</f>
        <v>0.32121212121212128</v>
      </c>
      <c r="H634" s="33">
        <v>917</v>
      </c>
      <c r="I634" s="33">
        <f>IF(Tabela1716[[#This Row],[Housing Starts]]="",#N/A,Tabela1716[[#This Row],[Housing Starts]]-H633)</f>
        <v>37</v>
      </c>
      <c r="J634" s="41">
        <f>IF(Tabela1716[[#This Row],[Housing Starts]]="",#N/A,((Tabela1716[[#This Row],[Housing Starts]]*1)/H622)-1)</f>
        <v>0.21618037135278523</v>
      </c>
      <c r="K634" s="33">
        <v>929061</v>
      </c>
      <c r="L634" s="41">
        <f>IF(Tabela1716[[#This Row],[Total Construction Spending]]="",#N/A,((Tabela1716[[#This Row],[Total Construction Spending]]*1)/K622)-1)</f>
        <v>7.6889997519490549E-2</v>
      </c>
      <c r="M634" s="31">
        <v>5260</v>
      </c>
      <c r="N634" s="41">
        <f>IF(Tabela1716[[#This Row],[Existing Home Sales]]="",#N/A,((Tabela1716[[#This Row],[Existing Home Sales]]*1)/M622)-1)</f>
        <v>0.10504201680672276</v>
      </c>
      <c r="O634" s="33">
        <v>381</v>
      </c>
      <c r="P634" s="41">
        <f>IF(Tabela1716[[#This Row],[New House Sales]]="",#N/A,((Tabela1716[[#This Row],[New House Sales]]*1)/O633)-1)</f>
        <v>1.6000000000000014E-2</v>
      </c>
      <c r="Q634" s="41">
        <f>IF(Tabela1716[[#This Row],[New House Sales]]="",#N/A,((Tabela1716[[#This Row],[New House Sales]]*1)/O622)-1)</f>
        <v>1.6000000000000014E-2</v>
      </c>
      <c r="R634" s="27">
        <v>5.5</v>
      </c>
      <c r="S634" s="86">
        <v>159.39400000000001</v>
      </c>
      <c r="T634" s="41">
        <f>IF(Tabela1716[[#This Row],[S&amp;P/Case-Shiller Home Price Index]]="",#N/A,((Tabela1716[[#This Row],[S&amp;P/Case-Shiller Home Price Index]]*1)/S633)-1)</f>
        <v>6.9999873646438004E-3</v>
      </c>
      <c r="U634" s="41">
        <f>IF(Tabela1716[[#This Row],[S&amp;P/Case-Shiller Home Price Index]]="",#N/A,((Tabela1716[[#This Row],[S&amp;P/Case-Shiller Home Price Index]]*1)/S622)-1)</f>
        <v>0.10150235650214912</v>
      </c>
      <c r="V634" s="37"/>
      <c r="W634" s="9"/>
      <c r="X634" s="9"/>
    </row>
    <row r="635" spans="1:24" ht="12.75">
      <c r="A635" s="12">
        <v>41518</v>
      </c>
      <c r="B635" s="26">
        <v>4.32</v>
      </c>
      <c r="C635" s="29">
        <v>57</v>
      </c>
      <c r="D635" s="33">
        <v>1004</v>
      </c>
      <c r="E635" s="41">
        <f>IF(Tabela1716[[#This Row],[Building Permits]]="",#N/A,((Tabela1716[[#This Row],[Building Permits]]*1)/D623)-1)</f>
        <v>7.9569892473118298E-2</v>
      </c>
      <c r="F635" s="33">
        <v>661</v>
      </c>
      <c r="G635" s="41">
        <f>IF(Tabela1716[[#This Row],[Houses Under Construction]]="",#N/A,((Tabela1716[[#This Row],[Houses Under Construction]]*1)/F623)-1)</f>
        <v>0.29354207436399227</v>
      </c>
      <c r="H635" s="33">
        <v>850</v>
      </c>
      <c r="I635" s="33">
        <f>IF(Tabela1716[[#This Row],[Housing Starts]]="",#N/A,Tabela1716[[#This Row],[Housing Starts]]-H634)</f>
        <v>-67</v>
      </c>
      <c r="J635" s="41">
        <f>IF(Tabela1716[[#This Row],[Housing Starts]]="",#N/A,((Tabela1716[[#This Row],[Housing Starts]]*1)/H623)-1)</f>
        <v>3.5419126328217754E-3</v>
      </c>
      <c r="K635" s="33">
        <v>938121</v>
      </c>
      <c r="L635" s="41">
        <f>IF(Tabela1716[[#This Row],[Total Construction Spending]]="",#N/A,((Tabela1716[[#This Row],[Total Construction Spending]]*1)/K623)-1)</f>
        <v>8.2545569520925843E-2</v>
      </c>
      <c r="M635" s="31">
        <v>5140</v>
      </c>
      <c r="N635" s="41">
        <f>IF(Tabela1716[[#This Row],[Existing Home Sales]]="",#N/A,((Tabela1716[[#This Row],[Existing Home Sales]]*1)/M623)-1)</f>
        <v>9.1295116772823759E-2</v>
      </c>
      <c r="O635" s="33">
        <v>403</v>
      </c>
      <c r="P635" s="41">
        <f>IF(Tabela1716[[#This Row],[New House Sales]]="",#N/A,((Tabela1716[[#This Row],[New House Sales]]*1)/O634)-1)</f>
        <v>5.7742782152230943E-2</v>
      </c>
      <c r="Q635" s="41">
        <f>IF(Tabela1716[[#This Row],[New House Sales]]="",#N/A,((Tabela1716[[#This Row],[New House Sales]]*1)/O623)-1)</f>
        <v>4.6753246753246769E-2</v>
      </c>
      <c r="R635" s="27">
        <v>5.4</v>
      </c>
      <c r="S635" s="86">
        <v>159.672</v>
      </c>
      <c r="T635" s="41">
        <f>IF(Tabela1716[[#This Row],[S&amp;P/Case-Shiller Home Price Index]]="",#N/A,((Tabela1716[[#This Row],[S&amp;P/Case-Shiller Home Price Index]]*1)/S634)-1)</f>
        <v>1.7441058007201526E-3</v>
      </c>
      <c r="U635" s="41">
        <f>IF(Tabela1716[[#This Row],[S&amp;P/Case-Shiller Home Price Index]]="",#N/A,((Tabela1716[[#This Row],[S&amp;P/Case-Shiller Home Price Index]]*1)/S623)-1)</f>
        <v>0.10609114902637207</v>
      </c>
      <c r="V635" s="39"/>
      <c r="W635" s="9"/>
      <c r="X635" s="9"/>
    </row>
    <row r="636" spans="1:24" ht="12.75">
      <c r="A636" s="12">
        <v>41548</v>
      </c>
      <c r="B636" s="26">
        <v>4.0999999999999996</v>
      </c>
      <c r="C636" s="29">
        <v>54</v>
      </c>
      <c r="D636" s="33">
        <v>1044</v>
      </c>
      <c r="E636" s="41">
        <f>IF(Tabela1716[[#This Row],[Building Permits]]="",#N/A,((Tabela1716[[#This Row],[Building Permits]]*1)/D624)-1)</f>
        <v>0.17700112739571594</v>
      </c>
      <c r="F636" s="33">
        <v>670</v>
      </c>
      <c r="G636" s="41">
        <f>IF(Tabela1716[[#This Row],[Houses Under Construction]]="",#N/A,((Tabela1716[[#This Row],[Houses Under Construction]]*1)/F624)-1)</f>
        <v>0.28846153846153855</v>
      </c>
      <c r="H636" s="33">
        <v>925</v>
      </c>
      <c r="I636" s="33">
        <f>IF(Tabela1716[[#This Row],[Housing Starts]]="",#N/A,Tabela1716[[#This Row],[Housing Starts]]-H635)</f>
        <v>75</v>
      </c>
      <c r="J636" s="41">
        <f>IF(Tabela1716[[#This Row],[Housing Starts]]="",#N/A,((Tabela1716[[#This Row],[Housing Starts]]*1)/H624)-1)</f>
        <v>1.0928961748633892E-2</v>
      </c>
      <c r="K636" s="33">
        <v>951214</v>
      </c>
      <c r="L636" s="41">
        <f>IF(Tabela1716[[#This Row],[Total Construction Spending]]="",#N/A,((Tabela1716[[#This Row],[Total Construction Spending]]*1)/K624)-1)</f>
        <v>8.6647185291637951E-2</v>
      </c>
      <c r="M636" s="31">
        <v>5040</v>
      </c>
      <c r="N636" s="41">
        <f>IF(Tabela1716[[#This Row],[Existing Home Sales]]="",#N/A,((Tabela1716[[#This Row],[Existing Home Sales]]*1)/M624)-1)</f>
        <v>5.2192066805845538E-2</v>
      </c>
      <c r="O636" s="33">
        <v>444</v>
      </c>
      <c r="P636" s="41">
        <f>IF(Tabela1716[[#This Row],[New House Sales]]="",#N/A,((Tabela1716[[#This Row],[New House Sales]]*1)/O635)-1)</f>
        <v>0.1017369727047146</v>
      </c>
      <c r="Q636" s="41">
        <f>IF(Tabela1716[[#This Row],[New House Sales]]="",#N/A,((Tabela1716[[#This Row],[New House Sales]]*1)/O624)-1)</f>
        <v>0.24022346368715075</v>
      </c>
      <c r="R636" s="27">
        <v>4.9000000000000004</v>
      </c>
      <c r="S636" s="86">
        <v>159.55600000000001</v>
      </c>
      <c r="T636" s="41">
        <f>IF(Tabela1716[[#This Row],[S&amp;P/Case-Shiller Home Price Index]]="",#N/A,((Tabela1716[[#This Row],[S&amp;P/Case-Shiller Home Price Index]]*1)/S635)-1)</f>
        <v>-7.264893030711761E-4</v>
      </c>
      <c r="U636" s="41">
        <f>IF(Tabela1716[[#This Row],[S&amp;P/Case-Shiller Home Price Index]]="",#N/A,((Tabela1716[[#This Row],[S&amp;P/Case-Shiller Home Price Index]]*1)/S624)-1)</f>
        <v>0.10828175901421844</v>
      </c>
      <c r="V636" s="37"/>
      <c r="W636" s="9"/>
      <c r="X636" s="9"/>
    </row>
    <row r="637" spans="1:24" ht="12.75">
      <c r="A637" s="12">
        <v>41579</v>
      </c>
      <c r="B637" s="26">
        <v>4.29</v>
      </c>
      <c r="C637" s="29">
        <v>54</v>
      </c>
      <c r="D637" s="33">
        <v>1029</v>
      </c>
      <c r="E637" s="41">
        <f>IF(Tabela1716[[#This Row],[Building Permits]]="",#N/A,((Tabela1716[[#This Row],[Building Permits]]*1)/D625)-1)</f>
        <v>0.12213740458015265</v>
      </c>
      <c r="F637" s="33">
        <v>687</v>
      </c>
      <c r="G637" s="41">
        <f>IF(Tabela1716[[#This Row],[Houses Under Construction]]="",#N/A,((Tabela1716[[#This Row],[Houses Under Construction]]*1)/F625)-1)</f>
        <v>0.28651685393258419</v>
      </c>
      <c r="H637" s="33">
        <v>1100</v>
      </c>
      <c r="I637" s="33">
        <f>IF(Tabela1716[[#This Row],[Housing Starts]]="",#N/A,Tabela1716[[#This Row],[Housing Starts]]-H636)</f>
        <v>175</v>
      </c>
      <c r="J637" s="41">
        <f>IF(Tabela1716[[#This Row],[Housing Starts]]="",#N/A,((Tabela1716[[#This Row],[Housing Starts]]*1)/H625)-1)</f>
        <v>0.32052821128451381</v>
      </c>
      <c r="K637" s="33">
        <v>964122</v>
      </c>
      <c r="L637" s="41">
        <f>IF(Tabela1716[[#This Row],[Total Construction Spending]]="",#N/A,((Tabela1716[[#This Row],[Total Construction Spending]]*1)/K625)-1)</f>
        <v>0.10557856641576424</v>
      </c>
      <c r="M637" s="31">
        <v>4920</v>
      </c>
      <c r="N637" s="41">
        <f>IF(Tabela1716[[#This Row],[Existing Home Sales]]="",#N/A,((Tabela1716[[#This Row],[Existing Home Sales]]*1)/M625)-1)</f>
        <v>-8.0645161290322509E-3</v>
      </c>
      <c r="O637" s="33">
        <v>446</v>
      </c>
      <c r="P637" s="41">
        <f>IF(Tabela1716[[#This Row],[New House Sales]]="",#N/A,((Tabela1716[[#This Row],[New House Sales]]*1)/O636)-1)</f>
        <v>4.5045045045044585E-3</v>
      </c>
      <c r="Q637" s="41">
        <f>IF(Tabela1716[[#This Row],[New House Sales]]="",#N/A,((Tabela1716[[#This Row],[New House Sales]]*1)/O625)-1)</f>
        <v>0.13775510204081631</v>
      </c>
      <c r="R637" s="27">
        <v>5</v>
      </c>
      <c r="S637" s="86">
        <v>159.364</v>
      </c>
      <c r="T637" s="41">
        <f>IF(Tabela1716[[#This Row],[S&amp;P/Case-Shiller Home Price Index]]="",#N/A,((Tabela1716[[#This Row],[S&amp;P/Case-Shiller Home Price Index]]*1)/S636)-1)</f>
        <v>-1.2033392664644316E-3</v>
      </c>
      <c r="U637" s="41">
        <f>IF(Tabela1716[[#This Row],[S&amp;P/Case-Shiller Home Price Index]]="",#N/A,((Tabela1716[[#This Row],[S&amp;P/Case-Shiller Home Price Index]]*1)/S625)-1)</f>
        <v>0.10700963468765412</v>
      </c>
      <c r="V637" s="39"/>
      <c r="W637" s="9"/>
      <c r="X637" s="9"/>
    </row>
    <row r="638" spans="1:24" ht="12.75">
      <c r="A638" s="12">
        <v>41609</v>
      </c>
      <c r="B638" s="26">
        <v>4.4800000000000004</v>
      </c>
      <c r="C638" s="29">
        <v>57</v>
      </c>
      <c r="D638" s="33">
        <v>1005</v>
      </c>
      <c r="E638" s="41">
        <f>IF(Tabela1716[[#This Row],[Building Permits]]="",#N/A,((Tabela1716[[#This Row],[Building Permits]]*1)/D626)-1)</f>
        <v>6.8012752391073406E-2</v>
      </c>
      <c r="F638" s="33">
        <v>707</v>
      </c>
      <c r="G638" s="41">
        <f>IF(Tabela1716[[#This Row],[Houses Under Construction]]="",#N/A,((Tabela1716[[#This Row],[Houses Under Construction]]*1)/F626)-1)</f>
        <v>0.28312159709618867</v>
      </c>
      <c r="H638" s="33">
        <v>1002</v>
      </c>
      <c r="I638" s="33">
        <f>IF(Tabela1716[[#This Row],[Housing Starts]]="",#N/A,Tabela1716[[#This Row],[Housing Starts]]-H637)</f>
        <v>-98</v>
      </c>
      <c r="J638" s="41">
        <f>IF(Tabela1716[[#This Row],[Housing Starts]]="",#N/A,((Tabela1716[[#This Row],[Housing Starts]]*1)/H626)-1)</f>
        <v>2.6639344262294973E-2</v>
      </c>
      <c r="K638" s="33">
        <v>979211</v>
      </c>
      <c r="L638" s="41">
        <f>IF(Tabela1716[[#This Row],[Total Construction Spending]]="",#N/A,((Tabela1716[[#This Row],[Total Construction Spending]]*1)/K626)-1)</f>
        <v>0.12319441529050512</v>
      </c>
      <c r="M638" s="31">
        <v>4860</v>
      </c>
      <c r="N638" s="41">
        <f>IF(Tabela1716[[#This Row],[Existing Home Sales]]="",#N/A,((Tabela1716[[#This Row],[Existing Home Sales]]*1)/M626)-1)</f>
        <v>-6.1349693251533388E-3</v>
      </c>
      <c r="O638" s="33">
        <v>433</v>
      </c>
      <c r="P638" s="41">
        <f>IF(Tabela1716[[#This Row],[New House Sales]]="",#N/A,((Tabela1716[[#This Row],[New House Sales]]*1)/O637)-1)</f>
        <v>-2.9147982062780242E-2</v>
      </c>
      <c r="Q638" s="41">
        <f>IF(Tabela1716[[#This Row],[New House Sales]]="",#N/A,((Tabela1716[[#This Row],[New House Sales]]*1)/O626)-1)</f>
        <v>8.521303258145374E-2</v>
      </c>
      <c r="R638" s="27">
        <v>5.2</v>
      </c>
      <c r="S638" s="86">
        <v>159.28100000000001</v>
      </c>
      <c r="T638" s="41">
        <f>IF(Tabela1716[[#This Row],[S&amp;P/Case-Shiller Home Price Index]]="",#N/A,((Tabela1716[[#This Row],[S&amp;P/Case-Shiller Home Price Index]]*1)/S637)-1)</f>
        <v>-5.2082026053557051E-4</v>
      </c>
      <c r="U638" s="41">
        <f>IF(Tabela1716[[#This Row],[S&amp;P/Case-Shiller Home Price Index]]="",#N/A,((Tabela1716[[#This Row],[S&amp;P/Case-Shiller Home Price Index]]*1)/S626)-1)</f>
        <v>0.1071483185742288</v>
      </c>
      <c r="V638" s="37"/>
      <c r="W638" s="9"/>
      <c r="X638" s="9"/>
    </row>
    <row r="639" spans="1:24" ht="12.75">
      <c r="A639" s="12">
        <v>41640</v>
      </c>
      <c r="B639" s="26">
        <v>4.32</v>
      </c>
      <c r="C639" s="29">
        <v>56</v>
      </c>
      <c r="D639" s="33">
        <v>976</v>
      </c>
      <c r="E639" s="41">
        <f>IF(Tabela1716[[#This Row],[Building Permits]]="",#N/A,((Tabela1716[[#This Row],[Building Permits]]*1)/D627)-1)</f>
        <v>3.8297872340425476E-2</v>
      </c>
      <c r="F639" s="33">
        <v>713</v>
      </c>
      <c r="G639" s="41">
        <f>IF(Tabela1716[[#This Row],[Houses Under Construction]]="",#N/A,((Tabela1716[[#This Row],[Houses Under Construction]]*1)/F627)-1)</f>
        <v>0.27549194991055459</v>
      </c>
      <c r="H639" s="33">
        <v>888</v>
      </c>
      <c r="I639" s="33">
        <f>IF(Tabela1716[[#This Row],[Housing Starts]]="",#N/A,Tabela1716[[#This Row],[Housing Starts]]-H638)</f>
        <v>-114</v>
      </c>
      <c r="J639" s="41">
        <f>IF(Tabela1716[[#This Row],[Housing Starts]]="",#N/A,((Tabela1716[[#This Row],[Housing Starts]]*1)/H627)-1)</f>
        <v>0</v>
      </c>
      <c r="K639" s="33">
        <v>986587</v>
      </c>
      <c r="L639" s="41">
        <f>IF(Tabela1716[[#This Row],[Total Construction Spending]]="",#N/A,((Tabela1716[[#This Row],[Total Construction Spending]]*1)/K627)-1)</f>
        <v>0.14357463933920767</v>
      </c>
      <c r="M639" s="31">
        <v>4760</v>
      </c>
      <c r="N639" s="41">
        <f>IF(Tabela1716[[#This Row],[Existing Home Sales]]="",#N/A,((Tabela1716[[#This Row],[Existing Home Sales]]*1)/M627)-1)</f>
        <v>-4.4176706827309231E-2</v>
      </c>
      <c r="O639" s="33">
        <v>443</v>
      </c>
      <c r="P639" s="41">
        <f>IF(Tabela1716[[#This Row],[New House Sales]]="",#N/A,((Tabela1716[[#This Row],[New House Sales]]*1)/O638)-1)</f>
        <v>2.3094688221708903E-2</v>
      </c>
      <c r="Q639" s="41">
        <f>IF(Tabela1716[[#This Row],[New House Sales]]="",#N/A,((Tabela1716[[#This Row],[New House Sales]]*1)/O627)-1)</f>
        <v>-6.7264573991031584E-3</v>
      </c>
      <c r="R639" s="27">
        <v>5.0999999999999996</v>
      </c>
      <c r="S639" s="86">
        <v>159.36799999999999</v>
      </c>
      <c r="T639" s="41">
        <f>IF(Tabela1716[[#This Row],[S&amp;P/Case-Shiller Home Price Index]]="",#N/A,((Tabela1716[[#This Row],[S&amp;P/Case-Shiller Home Price Index]]*1)/S638)-1)</f>
        <v>5.4620450650100238E-4</v>
      </c>
      <c r="U639" s="41">
        <f>IF(Tabela1716[[#This Row],[S&amp;P/Case-Shiller Home Price Index]]="",#N/A,((Tabela1716[[#This Row],[S&amp;P/Case-Shiller Home Price Index]]*1)/S627)-1)</f>
        <v>0.10434481324925504</v>
      </c>
      <c r="V639" s="39"/>
      <c r="W639" s="9"/>
      <c r="X639" s="9"/>
    </row>
    <row r="640" spans="1:24" ht="12.75">
      <c r="A640" s="12">
        <v>41671</v>
      </c>
      <c r="B640" s="26">
        <v>4.37</v>
      </c>
      <c r="C640" s="29">
        <v>46</v>
      </c>
      <c r="D640" s="33">
        <v>1039</v>
      </c>
      <c r="E640" s="41">
        <f>IF(Tabela1716[[#This Row],[Building Permits]]="",#N/A,((Tabela1716[[#This Row],[Building Permits]]*1)/D628)-1)</f>
        <v>6.0204081632653006E-2</v>
      </c>
      <c r="F640" s="33">
        <v>714</v>
      </c>
      <c r="G640" s="41">
        <f>IF(Tabela1716[[#This Row],[Houses Under Construction]]="",#N/A,((Tabela1716[[#This Row],[Houses Under Construction]]*1)/F628)-1)</f>
        <v>0.22891566265060237</v>
      </c>
      <c r="H640" s="33">
        <v>944</v>
      </c>
      <c r="I640" s="33">
        <f>IF(Tabela1716[[#This Row],[Housing Starts]]="",#N/A,Tabela1716[[#This Row],[Housing Starts]]-H639)</f>
        <v>56</v>
      </c>
      <c r="J640" s="41">
        <f>IF(Tabela1716[[#This Row],[Housing Starts]]="",#N/A,((Tabela1716[[#This Row],[Housing Starts]]*1)/H628)-1)</f>
        <v>-1.8711018711018657E-2</v>
      </c>
      <c r="K640" s="33">
        <v>987538</v>
      </c>
      <c r="L640" s="41">
        <f>IF(Tabela1716[[#This Row],[Total Construction Spending]]="",#N/A,((Tabela1716[[#This Row],[Total Construction Spending]]*1)/K628)-1)</f>
        <v>0.13044553293733974</v>
      </c>
      <c r="M640" s="31">
        <v>4780</v>
      </c>
      <c r="N640" s="41">
        <f>IF(Tabela1716[[#This Row],[Existing Home Sales]]="",#N/A,((Tabela1716[[#This Row],[Existing Home Sales]]*1)/M628)-1)</f>
        <v>-5.5335968379446654E-2</v>
      </c>
      <c r="O640" s="33">
        <v>420</v>
      </c>
      <c r="P640" s="41">
        <f>IF(Tabela1716[[#This Row],[New House Sales]]="",#N/A,((Tabela1716[[#This Row],[New House Sales]]*1)/O639)-1)</f>
        <v>-5.191873589164786E-2</v>
      </c>
      <c r="Q640" s="41">
        <f>IF(Tabela1716[[#This Row],[New House Sales]]="",#N/A,((Tabela1716[[#This Row],[New House Sales]]*1)/O628)-1)</f>
        <v>-6.0402684563758413E-2</v>
      </c>
      <c r="R640" s="27">
        <v>5.3</v>
      </c>
      <c r="S640" s="86">
        <v>159.87100000000001</v>
      </c>
      <c r="T640" s="41">
        <f>IF(Tabela1716[[#This Row],[S&amp;P/Case-Shiller Home Price Index]]="",#N/A,((Tabela1716[[#This Row],[S&amp;P/Case-Shiller Home Price Index]]*1)/S639)-1)</f>
        <v>3.1562170573766757E-3</v>
      </c>
      <c r="U640" s="41">
        <f>IF(Tabela1716[[#This Row],[S&amp;P/Case-Shiller Home Price Index]]="",#N/A,((Tabela1716[[#This Row],[S&amp;P/Case-Shiller Home Price Index]]*1)/S628)-1)</f>
        <v>0.10133575822707197</v>
      </c>
      <c r="V640" s="37"/>
      <c r="W640" s="9"/>
      <c r="X640" s="9"/>
    </row>
    <row r="641" spans="1:24" ht="12.75">
      <c r="A641" s="12">
        <v>41699</v>
      </c>
      <c r="B641" s="26">
        <v>4.4000000000000004</v>
      </c>
      <c r="C641" s="29">
        <v>46</v>
      </c>
      <c r="D641" s="33">
        <v>1067</v>
      </c>
      <c r="E641" s="41">
        <f>IF(Tabela1716[[#This Row],[Building Permits]]="",#N/A,((Tabela1716[[#This Row],[Building Permits]]*1)/D629)-1)</f>
        <v>0.1399572649572649</v>
      </c>
      <c r="F641" s="33">
        <v>726</v>
      </c>
      <c r="G641" s="41">
        <f>IF(Tabela1716[[#This Row],[Houses Under Construction]]="",#N/A,((Tabela1716[[#This Row],[Houses Under Construction]]*1)/F629)-1)</f>
        <v>0.21812080536912748</v>
      </c>
      <c r="H641" s="33">
        <v>970</v>
      </c>
      <c r="I641" s="33">
        <f>IF(Tabela1716[[#This Row],[Housing Starts]]="",#N/A,Tabela1716[[#This Row],[Housing Starts]]-H640)</f>
        <v>26</v>
      </c>
      <c r="J641" s="41">
        <f>IF(Tabela1716[[#This Row],[Housing Starts]]="",#N/A,((Tabela1716[[#This Row],[Housing Starts]]*1)/H629)-1)</f>
        <v>-3.9603960396039639E-2</v>
      </c>
      <c r="K641" s="33">
        <v>991157</v>
      </c>
      <c r="L641" s="41">
        <f>IF(Tabela1716[[#This Row],[Total Construction Spending]]="",#N/A,((Tabela1716[[#This Row],[Total Construction Spending]]*1)/K629)-1)</f>
        <v>0.14649570276804202</v>
      </c>
      <c r="M641" s="31">
        <v>4750</v>
      </c>
      <c r="N641" s="41">
        <f>IF(Tabela1716[[#This Row],[Existing Home Sales]]="",#N/A,((Tabela1716[[#This Row],[Existing Home Sales]]*1)/M629)-1)</f>
        <v>-6.311637080867849E-2</v>
      </c>
      <c r="O641" s="33">
        <v>405</v>
      </c>
      <c r="P641" s="41">
        <f>IF(Tabela1716[[#This Row],[New House Sales]]="",#N/A,((Tabela1716[[#This Row],[New House Sales]]*1)/O640)-1)</f>
        <v>-3.5714285714285698E-2</v>
      </c>
      <c r="Q641" s="41">
        <f>IF(Tabela1716[[#This Row],[New House Sales]]="",#N/A,((Tabela1716[[#This Row],[New House Sales]]*1)/O629)-1)</f>
        <v>-8.7837837837837829E-2</v>
      </c>
      <c r="R641" s="27">
        <v>5.6</v>
      </c>
      <c r="S641" s="86">
        <v>161.18799999999999</v>
      </c>
      <c r="T641" s="41">
        <f>IF(Tabela1716[[#This Row],[S&amp;P/Case-Shiller Home Price Index]]="",#N/A,((Tabela1716[[#This Row],[S&amp;P/Case-Shiller Home Price Index]]*1)/S640)-1)</f>
        <v>8.2378918002639079E-3</v>
      </c>
      <c r="U641" s="41">
        <f>IF(Tabela1716[[#This Row],[S&amp;P/Case-Shiller Home Price Index]]="",#N/A,((Tabela1716[[#This Row],[S&amp;P/Case-Shiller Home Price Index]]*1)/S629)-1)</f>
        <v>8.9402541227358689E-2</v>
      </c>
      <c r="V641" s="39"/>
      <c r="W641" s="9"/>
      <c r="X641" s="9"/>
    </row>
    <row r="642" spans="1:24" ht="12.75">
      <c r="A642" s="12">
        <v>41730</v>
      </c>
      <c r="B642" s="26">
        <v>4.33</v>
      </c>
      <c r="C642" s="29">
        <v>46</v>
      </c>
      <c r="D642" s="33">
        <v>1090</v>
      </c>
      <c r="E642" s="41">
        <f>IF(Tabela1716[[#This Row],[Building Permits]]="",#N/A,((Tabela1716[[#This Row],[Building Permits]]*1)/D630)-1)</f>
        <v>7.7075098814229248E-2</v>
      </c>
      <c r="F642" s="33">
        <v>743</v>
      </c>
      <c r="G642" s="41">
        <f>IF(Tabela1716[[#This Row],[Houses Under Construction]]="",#N/A,((Tabela1716[[#This Row],[Houses Under Construction]]*1)/F630)-1)</f>
        <v>0.22607260726072598</v>
      </c>
      <c r="H642" s="33">
        <v>1043</v>
      </c>
      <c r="I642" s="33">
        <f>IF(Tabela1716[[#This Row],[Housing Starts]]="",#N/A,Tabela1716[[#This Row],[Housing Starts]]-H641)</f>
        <v>73</v>
      </c>
      <c r="J642" s="41">
        <f>IF(Tabela1716[[#This Row],[Housing Starts]]="",#N/A,((Tabela1716[[#This Row],[Housing Starts]]*1)/H630)-1)</f>
        <v>0.24910179640718555</v>
      </c>
      <c r="K642" s="33">
        <v>1006901</v>
      </c>
      <c r="L642" s="41">
        <f>IF(Tabela1716[[#This Row],[Total Construction Spending]]="",#N/A,((Tabela1716[[#This Row],[Total Construction Spending]]*1)/K630)-1)</f>
        <v>0.1445594547405562</v>
      </c>
      <c r="M642" s="31">
        <v>4790</v>
      </c>
      <c r="N642" s="41">
        <f>IF(Tabela1716[[#This Row],[Existing Home Sales]]="",#N/A,((Tabela1716[[#This Row],[Existing Home Sales]]*1)/M630)-1)</f>
        <v>-5.8939096267190516E-2</v>
      </c>
      <c r="O642" s="33">
        <v>403</v>
      </c>
      <c r="P642" s="41">
        <f>IF(Tabela1716[[#This Row],[New House Sales]]="",#N/A,((Tabela1716[[#This Row],[New House Sales]]*1)/O641)-1)</f>
        <v>-4.9382716049383157E-3</v>
      </c>
      <c r="Q642" s="41">
        <f>IF(Tabela1716[[#This Row],[New House Sales]]="",#N/A,((Tabela1716[[#This Row],[New House Sales]]*1)/O630)-1)</f>
        <v>-8.6167800453514687E-2</v>
      </c>
      <c r="R642" s="27">
        <v>5.7</v>
      </c>
      <c r="S642" s="86">
        <v>162.96799999999999</v>
      </c>
      <c r="T642" s="41">
        <f>IF(Tabela1716[[#This Row],[S&amp;P/Case-Shiller Home Price Index]]="",#N/A,((Tabela1716[[#This Row],[S&amp;P/Case-Shiller Home Price Index]]*1)/S641)-1)</f>
        <v>1.1043005682805251E-2</v>
      </c>
      <c r="U642" s="41">
        <f>IF(Tabela1716[[#This Row],[S&amp;P/Case-Shiller Home Price Index]]="",#N/A,((Tabela1716[[#This Row],[S&amp;P/Case-Shiller Home Price Index]]*1)/S630)-1)</f>
        <v>7.9487043611891295E-2</v>
      </c>
      <c r="V642" s="37"/>
      <c r="W642" s="9"/>
      <c r="X642" s="9"/>
    </row>
    <row r="643" spans="1:24" ht="12.75">
      <c r="A643" s="12">
        <v>41760</v>
      </c>
      <c r="B643" s="26">
        <v>4.12</v>
      </c>
      <c r="C643" s="29">
        <v>45</v>
      </c>
      <c r="D643" s="33">
        <v>1018</v>
      </c>
      <c r="E643" s="41">
        <f>IF(Tabela1716[[#This Row],[Building Permits]]="",#N/A,((Tabela1716[[#This Row],[Building Permits]]*1)/D631)-1)</f>
        <v>1.4955134596211339E-2</v>
      </c>
      <c r="F643" s="33">
        <v>754</v>
      </c>
      <c r="G643" s="41">
        <f>IF(Tabela1716[[#This Row],[Houses Under Construction]]="",#N/A,((Tabela1716[[#This Row],[Houses Under Construction]]*1)/F631)-1)</f>
        <v>0.21612903225806446</v>
      </c>
      <c r="H643" s="33">
        <v>1007</v>
      </c>
      <c r="I643" s="33">
        <f>IF(Tabela1716[[#This Row],[Housing Starts]]="",#N/A,Tabela1716[[#This Row],[Housing Starts]]-H642)</f>
        <v>-36</v>
      </c>
      <c r="J643" s="41">
        <f>IF(Tabela1716[[#This Row],[Housing Starts]]="",#N/A,((Tabela1716[[#This Row],[Housing Starts]]*1)/H631)-1)</f>
        <v>8.2795698924731154E-2</v>
      </c>
      <c r="K643" s="33">
        <v>1007147</v>
      </c>
      <c r="L643" s="41">
        <f>IF(Tabela1716[[#This Row],[Total Construction Spending]]="",#N/A,((Tabela1716[[#This Row],[Total Construction Spending]]*1)/K631)-1)</f>
        <v>0.1332148900930743</v>
      </c>
      <c r="M643" s="31">
        <v>4900</v>
      </c>
      <c r="N643" s="41">
        <f>IF(Tabela1716[[#This Row],[Existing Home Sales]]="",#N/A,((Tabela1716[[#This Row],[Existing Home Sales]]*1)/M631)-1)</f>
        <v>-4.6692607003890996E-2</v>
      </c>
      <c r="O643" s="33">
        <v>451</v>
      </c>
      <c r="P643" s="41">
        <f>IF(Tabela1716[[#This Row],[New House Sales]]="",#N/A,((Tabela1716[[#This Row],[New House Sales]]*1)/O642)-1)</f>
        <v>0.11910669975186106</v>
      </c>
      <c r="Q643" s="41">
        <f>IF(Tabela1716[[#This Row],[New House Sales]]="",#N/A,((Tabela1716[[#This Row],[New House Sales]]*1)/O631)-1)</f>
        <v>5.3738317757009435E-2</v>
      </c>
      <c r="R643" s="27">
        <v>5.2</v>
      </c>
      <c r="S643" s="86">
        <v>164.68299999999999</v>
      </c>
      <c r="T643" s="41">
        <f>IF(Tabela1716[[#This Row],[S&amp;P/Case-Shiller Home Price Index]]="",#N/A,((Tabela1716[[#This Row],[S&amp;P/Case-Shiller Home Price Index]]*1)/S642)-1)</f>
        <v>1.052353836335973E-2</v>
      </c>
      <c r="U643" s="41">
        <f>IF(Tabela1716[[#This Row],[S&amp;P/Case-Shiller Home Price Index]]="",#N/A,((Tabela1716[[#This Row],[S&amp;P/Case-Shiller Home Price Index]]*1)/S631)-1)</f>
        <v>7.0350125764498506E-2</v>
      </c>
      <c r="V643" s="39"/>
      <c r="W643" s="9"/>
      <c r="X643" s="9"/>
    </row>
    <row r="644" spans="1:24" ht="12.75">
      <c r="A644" s="12">
        <v>41791</v>
      </c>
      <c r="B644" s="26">
        <v>4.1399999999999997</v>
      </c>
      <c r="C644" s="29">
        <v>49</v>
      </c>
      <c r="D644" s="33">
        <v>1010</v>
      </c>
      <c r="E644" s="41">
        <f>IF(Tabela1716[[#This Row],[Building Permits]]="",#N/A,((Tabela1716[[#This Row],[Building Permits]]*1)/D632)-1)</f>
        <v>7.2186836518046693E-2</v>
      </c>
      <c r="F644" s="33">
        <v>771</v>
      </c>
      <c r="G644" s="41">
        <f>IF(Tabela1716[[#This Row],[Houses Under Construction]]="",#N/A,((Tabela1716[[#This Row],[Houses Under Construction]]*1)/F632)-1)</f>
        <v>0.22575516693163755</v>
      </c>
      <c r="H644" s="33">
        <v>911</v>
      </c>
      <c r="I644" s="33">
        <f>IF(Tabela1716[[#This Row],[Housing Starts]]="",#N/A,Tabela1716[[#This Row],[Housing Starts]]-H643)</f>
        <v>-96</v>
      </c>
      <c r="J644" s="41">
        <f>IF(Tabela1716[[#This Row],[Housing Starts]]="",#N/A,((Tabela1716[[#This Row],[Housing Starts]]*1)/H632)-1)</f>
        <v>8.5816448152562508E-2</v>
      </c>
      <c r="K644" s="33">
        <v>1006424</v>
      </c>
      <c r="L644" s="41">
        <f>IF(Tabela1716[[#This Row],[Total Construction Spending]]="",#N/A,((Tabela1716[[#This Row],[Total Construction Spending]]*1)/K632)-1)</f>
        <v>0.11912553722638286</v>
      </c>
      <c r="M644" s="31">
        <v>4940</v>
      </c>
      <c r="N644" s="41">
        <f>IF(Tabela1716[[#This Row],[Existing Home Sales]]="",#N/A,((Tabela1716[[#This Row],[Existing Home Sales]]*1)/M632)-1)</f>
        <v>-3.32681017612525E-2</v>
      </c>
      <c r="O644" s="33">
        <v>418</v>
      </c>
      <c r="P644" s="41">
        <f>IF(Tabela1716[[#This Row],[New House Sales]]="",#N/A,((Tabela1716[[#This Row],[New House Sales]]*1)/O643)-1)</f>
        <v>-7.3170731707317027E-2</v>
      </c>
      <c r="Q644" s="41">
        <f>IF(Tabela1716[[#This Row],[New House Sales]]="",#N/A,((Tabela1716[[#This Row],[New House Sales]]*1)/O632)-1)</f>
        <v>-0.11063829787234047</v>
      </c>
      <c r="R644" s="27">
        <v>5.7</v>
      </c>
      <c r="S644" s="86">
        <v>166.21200000000002</v>
      </c>
      <c r="T644" s="41">
        <f>IF(Tabela1716[[#This Row],[S&amp;P/Case-Shiller Home Price Index]]="",#N/A,((Tabela1716[[#This Row],[S&amp;P/Case-Shiller Home Price Index]]*1)/S643)-1)</f>
        <v>9.2845041686149266E-3</v>
      </c>
      <c r="U644" s="41">
        <f>IF(Tabela1716[[#This Row],[S&amp;P/Case-Shiller Home Price Index]]="",#N/A,((Tabela1716[[#This Row],[S&amp;P/Case-Shiller Home Price Index]]*1)/S632)-1)</f>
        <v>6.2553139803230851E-2</v>
      </c>
      <c r="V644" s="37"/>
      <c r="W644" s="9"/>
      <c r="X644" s="9"/>
    </row>
    <row r="645" spans="1:24" ht="12.75">
      <c r="A645" s="12">
        <v>41821</v>
      </c>
      <c r="B645" s="26">
        <v>4.12</v>
      </c>
      <c r="C645" s="29">
        <v>53</v>
      </c>
      <c r="D645" s="33">
        <v>1076</v>
      </c>
      <c r="E645" s="41">
        <f>IF(Tabela1716[[#This Row],[Building Permits]]="",#N/A,((Tabela1716[[#This Row],[Building Permits]]*1)/D633)-1)</f>
        <v>7.9237713139418187E-2</v>
      </c>
      <c r="F645" s="33">
        <v>790</v>
      </c>
      <c r="G645" s="41">
        <f>IF(Tabela1716[[#This Row],[Houses Under Construction]]="",#N/A,((Tabela1716[[#This Row],[Houses Under Construction]]*1)/F633)-1)</f>
        <v>0.234375</v>
      </c>
      <c r="H645" s="33">
        <v>1085</v>
      </c>
      <c r="I645" s="33">
        <f>IF(Tabela1716[[#This Row],[Housing Starts]]="",#N/A,Tabela1716[[#This Row],[Housing Starts]]-H644)</f>
        <v>174</v>
      </c>
      <c r="J645" s="41">
        <f>IF(Tabela1716[[#This Row],[Housing Starts]]="",#N/A,((Tabela1716[[#This Row],[Housing Starts]]*1)/H633)-1)</f>
        <v>0.23295454545454541</v>
      </c>
      <c r="K645" s="33">
        <v>1014935</v>
      </c>
      <c r="L645" s="41">
        <f>IF(Tabela1716[[#This Row],[Total Construction Spending]]="",#N/A,((Tabela1716[[#This Row],[Total Construction Spending]]*1)/K633)-1)</f>
        <v>0.10588762154646769</v>
      </c>
      <c r="M645" s="31">
        <v>4980</v>
      </c>
      <c r="N645" s="41">
        <f>IF(Tabela1716[[#This Row],[Existing Home Sales]]="",#N/A,((Tabela1716[[#This Row],[Existing Home Sales]]*1)/M633)-1)</f>
        <v>-5.502846299810249E-2</v>
      </c>
      <c r="O645" s="33">
        <v>402</v>
      </c>
      <c r="P645" s="41">
        <f>IF(Tabela1716[[#This Row],[New House Sales]]="",#N/A,((Tabela1716[[#This Row],[New House Sales]]*1)/O644)-1)</f>
        <v>-3.8277511961722466E-2</v>
      </c>
      <c r="Q645" s="41">
        <f>IF(Tabela1716[[#This Row],[New House Sales]]="",#N/A,((Tabela1716[[#This Row],[New House Sales]]*1)/O633)-1)</f>
        <v>7.2000000000000064E-2</v>
      </c>
      <c r="R645" s="27">
        <v>6.2</v>
      </c>
      <c r="S645" s="86">
        <v>167.136</v>
      </c>
      <c r="T645" s="41">
        <f>IF(Tabela1716[[#This Row],[S&amp;P/Case-Shiller Home Price Index]]="",#N/A,((Tabela1716[[#This Row],[S&amp;P/Case-Shiller Home Price Index]]*1)/S644)-1)</f>
        <v>5.559165403219879E-3</v>
      </c>
      <c r="U645" s="41">
        <f>IF(Tabela1716[[#This Row],[S&amp;P/Case-Shiller Home Price Index]]="",#N/A,((Tabela1716[[#This Row],[S&amp;P/Case-Shiller Home Price Index]]*1)/S633)-1)</f>
        <v>5.5911451423372949E-2</v>
      </c>
      <c r="V645" s="39"/>
      <c r="W645" s="9"/>
      <c r="X645" s="9"/>
    </row>
    <row r="646" spans="1:24" ht="12.75">
      <c r="A646" s="12">
        <v>41852</v>
      </c>
      <c r="B646" s="26">
        <v>4.0999999999999996</v>
      </c>
      <c r="C646" s="29">
        <v>55</v>
      </c>
      <c r="D646" s="33">
        <v>1047</v>
      </c>
      <c r="E646" s="41">
        <f>IF(Tabela1716[[#This Row],[Building Permits]]="",#N/A,((Tabela1716[[#This Row],[Building Permits]]*1)/D634)-1)</f>
        <v>8.609958506224058E-2</v>
      </c>
      <c r="F646" s="33">
        <v>793</v>
      </c>
      <c r="G646" s="41">
        <f>IF(Tabela1716[[#This Row],[Houses Under Construction]]="",#N/A,((Tabela1716[[#This Row],[Houses Under Construction]]*1)/F634)-1)</f>
        <v>0.21253822629969421</v>
      </c>
      <c r="H646" s="33">
        <v>984</v>
      </c>
      <c r="I646" s="33">
        <f>IF(Tabela1716[[#This Row],[Housing Starts]]="",#N/A,Tabela1716[[#This Row],[Housing Starts]]-H645)</f>
        <v>-101</v>
      </c>
      <c r="J646" s="41">
        <f>IF(Tabela1716[[#This Row],[Housing Starts]]="",#N/A,((Tabela1716[[#This Row],[Housing Starts]]*1)/H634)-1)</f>
        <v>7.3064340239912706E-2</v>
      </c>
      <c r="K646" s="33">
        <v>1015096</v>
      </c>
      <c r="L646" s="41">
        <f>IF(Tabela1716[[#This Row],[Total Construction Spending]]="",#N/A,((Tabela1716[[#This Row],[Total Construction Spending]]*1)/K634)-1)</f>
        <v>9.2604253111475021E-2</v>
      </c>
      <c r="M646" s="31">
        <v>4970</v>
      </c>
      <c r="N646" s="41">
        <f>IF(Tabela1716[[#This Row],[Existing Home Sales]]="",#N/A,((Tabela1716[[#This Row],[Existing Home Sales]]*1)/M634)-1)</f>
        <v>-5.5133079847908717E-2</v>
      </c>
      <c r="O646" s="33">
        <v>456</v>
      </c>
      <c r="P646" s="41">
        <f>IF(Tabela1716[[#This Row],[New House Sales]]="",#N/A,((Tabela1716[[#This Row],[New House Sales]]*1)/O645)-1)</f>
        <v>0.13432835820895517</v>
      </c>
      <c r="Q646" s="41">
        <f>IF(Tabela1716[[#This Row],[New House Sales]]="",#N/A,((Tabela1716[[#This Row],[New House Sales]]*1)/O634)-1)</f>
        <v>0.1968503937007875</v>
      </c>
      <c r="R646" s="27">
        <v>5.4</v>
      </c>
      <c r="S646" s="86">
        <v>167.45099999999999</v>
      </c>
      <c r="T646" s="41">
        <f>IF(Tabela1716[[#This Row],[S&amp;P/Case-Shiller Home Price Index]]="",#N/A,((Tabela1716[[#This Row],[S&amp;P/Case-Shiller Home Price Index]]*1)/S645)-1)</f>
        <v>1.8846927053417506E-3</v>
      </c>
      <c r="U646" s="41">
        <f>IF(Tabela1716[[#This Row],[S&amp;P/Case-Shiller Home Price Index]]="",#N/A,((Tabela1716[[#This Row],[S&amp;P/Case-Shiller Home Price Index]]*1)/S634)-1)</f>
        <v>5.0547699411521041E-2</v>
      </c>
      <c r="V646" s="37"/>
      <c r="W646" s="9"/>
      <c r="X646" s="9"/>
    </row>
    <row r="647" spans="1:24" ht="12.75">
      <c r="A647" s="12">
        <v>41883</v>
      </c>
      <c r="B647" s="26">
        <v>4.2</v>
      </c>
      <c r="C647" s="29">
        <v>59</v>
      </c>
      <c r="D647" s="33">
        <v>1077</v>
      </c>
      <c r="E647" s="41">
        <f>IF(Tabela1716[[#This Row],[Building Permits]]="",#N/A,((Tabela1716[[#This Row],[Building Permits]]*1)/D635)-1)</f>
        <v>7.2709163346613481E-2</v>
      </c>
      <c r="F647" s="33">
        <v>797</v>
      </c>
      <c r="G647" s="41">
        <f>IF(Tabela1716[[#This Row],[Houses Under Construction]]="",#N/A,((Tabela1716[[#This Row],[Houses Under Construction]]*1)/F635)-1)</f>
        <v>0.20574886535552195</v>
      </c>
      <c r="H647" s="33">
        <v>1023</v>
      </c>
      <c r="I647" s="33">
        <f>IF(Tabela1716[[#This Row],[Housing Starts]]="",#N/A,Tabela1716[[#This Row],[Housing Starts]]-H646)</f>
        <v>39</v>
      </c>
      <c r="J647" s="41">
        <f>IF(Tabela1716[[#This Row],[Housing Starts]]="",#N/A,((Tabela1716[[#This Row],[Housing Starts]]*1)/H635)-1)</f>
        <v>0.20352941176470596</v>
      </c>
      <c r="K647" s="33">
        <v>1021890</v>
      </c>
      <c r="L647" s="41">
        <f>IF(Tabela1716[[#This Row],[Total Construction Spending]]="",#N/A,((Tabela1716[[#This Row],[Total Construction Spending]]*1)/K635)-1)</f>
        <v>8.9294451355422133E-2</v>
      </c>
      <c r="M647" s="31">
        <v>5000</v>
      </c>
      <c r="N647" s="41">
        <f>IF(Tabela1716[[#This Row],[Existing Home Sales]]="",#N/A,((Tabela1716[[#This Row],[Existing Home Sales]]*1)/M635)-1)</f>
        <v>-2.7237354085603127E-2</v>
      </c>
      <c r="O647" s="33">
        <v>470</v>
      </c>
      <c r="P647" s="41">
        <f>IF(Tabela1716[[#This Row],[New House Sales]]="",#N/A,((Tabela1716[[#This Row],[New House Sales]]*1)/O646)-1)</f>
        <v>3.0701754385964897E-2</v>
      </c>
      <c r="Q647" s="41">
        <f>IF(Tabela1716[[#This Row],[New House Sales]]="",#N/A,((Tabela1716[[#This Row],[New House Sales]]*1)/O635)-1)</f>
        <v>0.16625310173697261</v>
      </c>
      <c r="R647" s="27">
        <v>5.4</v>
      </c>
      <c r="S647" s="86">
        <v>167.24099999999999</v>
      </c>
      <c r="T647" s="41">
        <f>IF(Tabela1716[[#This Row],[S&amp;P/Case-Shiller Home Price Index]]="",#N/A,((Tabela1716[[#This Row],[S&amp;P/Case-Shiller Home Price Index]]*1)/S646)-1)</f>
        <v>-1.2540982138058432E-3</v>
      </c>
      <c r="U647" s="41">
        <f>IF(Tabela1716[[#This Row],[S&amp;P/Case-Shiller Home Price Index]]="",#N/A,((Tabela1716[[#This Row],[S&amp;P/Case-Shiller Home Price Index]]*1)/S635)-1)</f>
        <v>4.7403427025402012E-2</v>
      </c>
      <c r="V647" s="39"/>
      <c r="W647" s="9"/>
      <c r="X647" s="9"/>
    </row>
    <row r="648" spans="1:24" ht="12.75">
      <c r="A648" s="12">
        <v>41913</v>
      </c>
      <c r="B648" s="26">
        <v>3.98</v>
      </c>
      <c r="C648" s="29">
        <v>54</v>
      </c>
      <c r="D648" s="33">
        <v>1094</v>
      </c>
      <c r="E648" s="41">
        <f>IF(Tabela1716[[#This Row],[Building Permits]]="",#N/A,((Tabela1716[[#This Row],[Building Permits]]*1)/D636)-1)</f>
        <v>4.789272030651337E-2</v>
      </c>
      <c r="F648" s="33">
        <v>806</v>
      </c>
      <c r="G648" s="41">
        <f>IF(Tabela1716[[#This Row],[Houses Under Construction]]="",#N/A,((Tabela1716[[#This Row],[Houses Under Construction]]*1)/F636)-1)</f>
        <v>0.20298507462686577</v>
      </c>
      <c r="H648" s="33">
        <v>1074</v>
      </c>
      <c r="I648" s="33">
        <f>IF(Tabela1716[[#This Row],[Housing Starts]]="",#N/A,Tabela1716[[#This Row],[Housing Starts]]-H647)</f>
        <v>51</v>
      </c>
      <c r="J648" s="41">
        <f>IF(Tabela1716[[#This Row],[Housing Starts]]="",#N/A,((Tabela1716[[#This Row],[Housing Starts]]*1)/H636)-1)</f>
        <v>0.16108108108108099</v>
      </c>
      <c r="K648" s="33">
        <v>1046402</v>
      </c>
      <c r="L648" s="41">
        <f>IF(Tabela1716[[#This Row],[Total Construction Spending]]="",#N/A,((Tabela1716[[#This Row],[Total Construction Spending]]*1)/K636)-1)</f>
        <v>0.10007001579034802</v>
      </c>
      <c r="M648" s="31">
        <v>5120</v>
      </c>
      <c r="N648" s="41">
        <f>IF(Tabela1716[[#This Row],[Existing Home Sales]]="",#N/A,((Tabela1716[[#This Row],[Existing Home Sales]]*1)/M636)-1)</f>
        <v>1.5873015873015817E-2</v>
      </c>
      <c r="O648" s="33">
        <v>476</v>
      </c>
      <c r="P648" s="41">
        <f>IF(Tabela1716[[#This Row],[New House Sales]]="",#N/A,((Tabela1716[[#This Row],[New House Sales]]*1)/O647)-1)</f>
        <v>1.2765957446808418E-2</v>
      </c>
      <c r="Q648" s="41">
        <f>IF(Tabela1716[[#This Row],[New House Sales]]="",#N/A,((Tabela1716[[#This Row],[New House Sales]]*1)/O636)-1)</f>
        <v>7.2072072072072002E-2</v>
      </c>
      <c r="R648" s="27">
        <v>5.3</v>
      </c>
      <c r="S648" s="86">
        <v>166.91</v>
      </c>
      <c r="T648" s="41">
        <f>IF(Tabela1716[[#This Row],[S&amp;P/Case-Shiller Home Price Index]]="",#N/A,((Tabela1716[[#This Row],[S&amp;P/Case-Shiller Home Price Index]]*1)/S647)-1)</f>
        <v>-1.9791797465931182E-3</v>
      </c>
      <c r="U648" s="41">
        <f>IF(Tabela1716[[#This Row],[S&amp;P/Case-Shiller Home Price Index]]="",#N/A,((Tabela1716[[#This Row],[S&amp;P/Case-Shiller Home Price Index]]*1)/S636)-1)</f>
        <v>4.6090400862393022E-2</v>
      </c>
      <c r="V648" s="37"/>
      <c r="W648" s="9"/>
      <c r="X648" s="9"/>
    </row>
    <row r="649" spans="1:24" ht="12.75">
      <c r="A649" s="12">
        <v>41944</v>
      </c>
      <c r="B649" s="26">
        <v>3.97</v>
      </c>
      <c r="C649" s="29">
        <v>58</v>
      </c>
      <c r="D649" s="33">
        <v>1059</v>
      </c>
      <c r="E649" s="41">
        <f>IF(Tabela1716[[#This Row],[Building Permits]]="",#N/A,((Tabela1716[[#This Row],[Building Permits]]*1)/D637)-1)</f>
        <v>2.9154518950437414E-2</v>
      </c>
      <c r="F649" s="33">
        <v>814</v>
      </c>
      <c r="G649" s="41">
        <f>IF(Tabela1716[[#This Row],[Houses Under Construction]]="",#N/A,((Tabela1716[[#This Row],[Houses Under Construction]]*1)/F637)-1)</f>
        <v>0.18486171761280934</v>
      </c>
      <c r="H649" s="33">
        <v>1001</v>
      </c>
      <c r="I649" s="33">
        <f>IF(Tabela1716[[#This Row],[Housing Starts]]="",#N/A,Tabela1716[[#This Row],[Housing Starts]]-H648)</f>
        <v>-73</v>
      </c>
      <c r="J649" s="41">
        <f>IF(Tabela1716[[#This Row],[Housing Starts]]="",#N/A,((Tabela1716[[#This Row],[Housing Starts]]*1)/H637)-1)</f>
        <v>-8.9999999999999969E-2</v>
      </c>
      <c r="K649" s="33">
        <v>1044893</v>
      </c>
      <c r="L649" s="41">
        <f>IF(Tabela1716[[#This Row],[Total Construction Spending]]="",#N/A,((Tabela1716[[#This Row],[Total Construction Spending]]*1)/K637)-1)</f>
        <v>8.3776741947595879E-2</v>
      </c>
      <c r="M649" s="31">
        <v>4990</v>
      </c>
      <c r="N649" s="41">
        <f>IF(Tabela1716[[#This Row],[Existing Home Sales]]="",#N/A,((Tabela1716[[#This Row],[Existing Home Sales]]*1)/M637)-1)</f>
        <v>1.4227642276422703E-2</v>
      </c>
      <c r="O649" s="33">
        <v>442</v>
      </c>
      <c r="P649" s="41">
        <f>IF(Tabela1716[[#This Row],[New House Sales]]="",#N/A,((Tabela1716[[#This Row],[New House Sales]]*1)/O648)-1)</f>
        <v>-7.1428571428571397E-2</v>
      </c>
      <c r="Q649" s="41">
        <f>IF(Tabela1716[[#This Row],[New House Sales]]="",#N/A,((Tabela1716[[#This Row],[New House Sales]]*1)/O637)-1)</f>
        <v>-8.9686098654708779E-3</v>
      </c>
      <c r="R649" s="27">
        <v>5.7</v>
      </c>
      <c r="S649" s="86">
        <v>166.65700000000001</v>
      </c>
      <c r="T649" s="41">
        <f>IF(Tabela1716[[#This Row],[S&amp;P/Case-Shiller Home Price Index]]="",#N/A,((Tabela1716[[#This Row],[S&amp;P/Case-Shiller Home Price Index]]*1)/S648)-1)</f>
        <v>-1.5157869510513677E-3</v>
      </c>
      <c r="U649" s="41">
        <f>IF(Tabela1716[[#This Row],[S&amp;P/Case-Shiller Home Price Index]]="",#N/A,((Tabela1716[[#This Row],[S&amp;P/Case-Shiller Home Price Index]]*1)/S637)-1)</f>
        <v>4.5763158555257144E-2</v>
      </c>
      <c r="V649" s="39"/>
      <c r="W649" s="9"/>
      <c r="X649" s="9"/>
    </row>
    <row r="650" spans="1:24" ht="12.75">
      <c r="A650" s="12">
        <v>41974</v>
      </c>
      <c r="B650" s="26">
        <v>3.87</v>
      </c>
      <c r="C650" s="29">
        <v>58</v>
      </c>
      <c r="D650" s="33">
        <v>1072</v>
      </c>
      <c r="E650" s="41">
        <f>IF(Tabela1716[[#This Row],[Building Permits]]="",#N/A,((Tabela1716[[#This Row],[Building Permits]]*1)/D638)-1)</f>
        <v>6.6666666666666652E-2</v>
      </c>
      <c r="F650" s="33">
        <v>826</v>
      </c>
      <c r="G650" s="41">
        <f>IF(Tabela1716[[#This Row],[Houses Under Construction]]="",#N/A,((Tabela1716[[#This Row],[Houses Under Construction]]*1)/F638)-1)</f>
        <v>0.16831683168316824</v>
      </c>
      <c r="H650" s="33">
        <v>1073</v>
      </c>
      <c r="I650" s="33">
        <f>IF(Tabela1716[[#This Row],[Housing Starts]]="",#N/A,Tabela1716[[#This Row],[Housing Starts]]-H649)</f>
        <v>72</v>
      </c>
      <c r="J650" s="41">
        <f>IF(Tabela1716[[#This Row],[Housing Starts]]="",#N/A,((Tabela1716[[#This Row],[Housing Starts]]*1)/H638)-1)</f>
        <v>7.0858283433133717E-2</v>
      </c>
      <c r="K650" s="33">
        <v>1056429</v>
      </c>
      <c r="L650" s="41">
        <f>IF(Tabela1716[[#This Row],[Total Construction Spending]]="",#N/A,((Tabela1716[[#This Row],[Total Construction Spending]]*1)/K638)-1)</f>
        <v>7.8857365777140975E-2</v>
      </c>
      <c r="M650" s="31">
        <v>5090</v>
      </c>
      <c r="N650" s="41">
        <f>IF(Tabela1716[[#This Row],[Existing Home Sales]]="",#N/A,((Tabela1716[[#This Row],[Existing Home Sales]]*1)/M638)-1)</f>
        <v>4.7325102880658498E-2</v>
      </c>
      <c r="O650" s="33">
        <v>497</v>
      </c>
      <c r="P650" s="41">
        <f>IF(Tabela1716[[#This Row],[New House Sales]]="",#N/A,((Tabela1716[[#This Row],[New House Sales]]*1)/O649)-1)</f>
        <v>0.1244343891402715</v>
      </c>
      <c r="Q650" s="41">
        <f>IF(Tabela1716[[#This Row],[New House Sales]]="",#N/A,((Tabela1716[[#This Row],[New House Sales]]*1)/O638)-1)</f>
        <v>0.14780600461893756</v>
      </c>
      <c r="R650" s="27">
        <v>5.0999999999999996</v>
      </c>
      <c r="S650" s="86">
        <v>166.459</v>
      </c>
      <c r="T650" s="41">
        <f>IF(Tabela1716[[#This Row],[S&amp;P/Case-Shiller Home Price Index]]="",#N/A,((Tabela1716[[#This Row],[S&amp;P/Case-Shiller Home Price Index]]*1)/S649)-1)</f>
        <v>-1.1880689079967199E-3</v>
      </c>
      <c r="U650" s="41">
        <f>IF(Tabela1716[[#This Row],[S&amp;P/Case-Shiller Home Price Index]]="",#N/A,((Tabela1716[[#This Row],[S&amp;P/Case-Shiller Home Price Index]]*1)/S638)-1)</f>
        <v>4.5065010892699098E-2</v>
      </c>
      <c r="V650" s="37"/>
      <c r="W650" s="9"/>
      <c r="X650" s="9"/>
    </row>
    <row r="651" spans="1:24" ht="12.75">
      <c r="A651" s="12">
        <v>42005</v>
      </c>
      <c r="B651" s="26">
        <v>3.66</v>
      </c>
      <c r="C651" s="29">
        <v>57</v>
      </c>
      <c r="D651" s="33">
        <v>1049</v>
      </c>
      <c r="E651" s="41">
        <f>IF(Tabela1716[[#This Row],[Building Permits]]="",#N/A,((Tabela1716[[#This Row],[Building Permits]]*1)/D639)-1)</f>
        <v>7.4795081967213184E-2</v>
      </c>
      <c r="F651" s="33">
        <v>830</v>
      </c>
      <c r="G651" s="41">
        <f>IF(Tabela1716[[#This Row],[Houses Under Construction]]="",#N/A,((Tabela1716[[#This Row],[Houses Under Construction]]*1)/F639)-1)</f>
        <v>0.16409537166900412</v>
      </c>
      <c r="H651" s="33">
        <v>1085</v>
      </c>
      <c r="I651" s="33">
        <f>IF(Tabela1716[[#This Row],[Housing Starts]]="",#N/A,Tabela1716[[#This Row],[Housing Starts]]-H650)</f>
        <v>12</v>
      </c>
      <c r="J651" s="41">
        <f>IF(Tabela1716[[#This Row],[Housing Starts]]="",#N/A,((Tabela1716[[#This Row],[Housing Starts]]*1)/H639)-1)</f>
        <v>0.22184684684684686</v>
      </c>
      <c r="K651" s="33">
        <v>1061241</v>
      </c>
      <c r="L651" s="41">
        <f>IF(Tabela1716[[#This Row],[Total Construction Spending]]="",#N/A,((Tabela1716[[#This Row],[Total Construction Spending]]*1)/K639)-1)</f>
        <v>7.5668947594079494E-2</v>
      </c>
      <c r="M651" s="31">
        <v>4920</v>
      </c>
      <c r="N651" s="41">
        <f>IF(Tabela1716[[#This Row],[Existing Home Sales]]="",#N/A,((Tabela1716[[#This Row],[Existing Home Sales]]*1)/M639)-1)</f>
        <v>3.3613445378151363E-2</v>
      </c>
      <c r="O651" s="33">
        <v>515</v>
      </c>
      <c r="P651" s="41">
        <f>IF(Tabela1716[[#This Row],[New House Sales]]="",#N/A,((Tabela1716[[#This Row],[New House Sales]]*1)/O650)-1)</f>
        <v>3.6217303822937641E-2</v>
      </c>
      <c r="Q651" s="41">
        <f>IF(Tabela1716[[#This Row],[New House Sales]]="",#N/A,((Tabela1716[[#This Row],[New House Sales]]*1)/O639)-1)</f>
        <v>0.16252821670428896</v>
      </c>
      <c r="R651" s="27">
        <v>4.8</v>
      </c>
      <c r="S651" s="86">
        <v>166.24900000000002</v>
      </c>
      <c r="T651" s="41">
        <f>IF(Tabela1716[[#This Row],[S&amp;P/Case-Shiller Home Price Index]]="",#N/A,((Tabela1716[[#This Row],[S&amp;P/Case-Shiller Home Price Index]]*1)/S650)-1)</f>
        <v>-1.2615719186104268E-3</v>
      </c>
      <c r="U651" s="41">
        <f>IF(Tabela1716[[#This Row],[S&amp;P/Case-Shiller Home Price Index]]="",#N/A,((Tabela1716[[#This Row],[S&amp;P/Case-Shiller Home Price Index]]*1)/S639)-1)</f>
        <v>4.3176798353496526E-2</v>
      </c>
      <c r="V651" s="39"/>
      <c r="W651" s="9"/>
      <c r="X651" s="9"/>
    </row>
    <row r="652" spans="1:24" ht="12.75">
      <c r="A652" s="12">
        <v>42036</v>
      </c>
      <c r="B652" s="26">
        <v>3.8</v>
      </c>
      <c r="C652" s="29">
        <v>55</v>
      </c>
      <c r="D652" s="33">
        <v>1127</v>
      </c>
      <c r="E652" s="41">
        <f>IF(Tabela1716[[#This Row],[Building Permits]]="",#N/A,((Tabela1716[[#This Row],[Building Permits]]*1)/D640)-1)</f>
        <v>8.469682386910482E-2</v>
      </c>
      <c r="F652" s="33">
        <v>830</v>
      </c>
      <c r="G652" s="41">
        <f>IF(Tabela1716[[#This Row],[Houses Under Construction]]="",#N/A,((Tabela1716[[#This Row],[Houses Under Construction]]*1)/F640)-1)</f>
        <v>0.16246498599439785</v>
      </c>
      <c r="H652" s="33">
        <v>886</v>
      </c>
      <c r="I652" s="33">
        <f>IF(Tabela1716[[#This Row],[Housing Starts]]="",#N/A,Tabela1716[[#This Row],[Housing Starts]]-H651)</f>
        <v>-199</v>
      </c>
      <c r="J652" s="41">
        <f>IF(Tabela1716[[#This Row],[Housing Starts]]="",#N/A,((Tabela1716[[#This Row],[Housing Starts]]*1)/H640)-1)</f>
        <v>-6.1440677966101642E-2</v>
      </c>
      <c r="K652" s="33">
        <v>1072895</v>
      </c>
      <c r="L652" s="41">
        <f>IF(Tabela1716[[#This Row],[Total Construction Spending]]="",#N/A,((Tabela1716[[#This Row],[Total Construction Spending]]*1)/K640)-1)</f>
        <v>8.643414228110724E-2</v>
      </c>
      <c r="M652" s="31">
        <v>5080</v>
      </c>
      <c r="N652" s="41">
        <f>IF(Tabela1716[[#This Row],[Existing Home Sales]]="",#N/A,((Tabela1716[[#This Row],[Existing Home Sales]]*1)/M640)-1)</f>
        <v>6.2761506276150625E-2</v>
      </c>
      <c r="O652" s="33">
        <v>540</v>
      </c>
      <c r="P652" s="41">
        <f>IF(Tabela1716[[#This Row],[New House Sales]]="",#N/A,((Tabela1716[[#This Row],[New House Sales]]*1)/O651)-1)</f>
        <v>4.8543689320388328E-2</v>
      </c>
      <c r="Q652" s="41">
        <f>IF(Tabela1716[[#This Row],[New House Sales]]="",#N/A,((Tabela1716[[#This Row],[New House Sales]]*1)/O640)-1)</f>
        <v>0.28571428571428581</v>
      </c>
      <c r="R652" s="27">
        <v>4.5</v>
      </c>
      <c r="S652" s="86">
        <v>166.63</v>
      </c>
      <c r="T652" s="41">
        <f>IF(Tabela1716[[#This Row],[S&amp;P/Case-Shiller Home Price Index]]="",#N/A,((Tabela1716[[#This Row],[S&amp;P/Case-Shiller Home Price Index]]*1)/S651)-1)</f>
        <v>2.2917431082289941E-3</v>
      </c>
      <c r="U652" s="41">
        <f>IF(Tabela1716[[#This Row],[S&amp;P/Case-Shiller Home Price Index]]="",#N/A,((Tabela1716[[#This Row],[S&amp;P/Case-Shiller Home Price Index]]*1)/S640)-1)</f>
        <v>4.227783650568262E-2</v>
      </c>
      <c r="V652" s="37"/>
      <c r="W652" s="9"/>
      <c r="X652" s="9"/>
    </row>
    <row r="653" spans="1:24" ht="12.75">
      <c r="A653" s="12">
        <v>42064</v>
      </c>
      <c r="B653" s="26">
        <v>3.69</v>
      </c>
      <c r="C653" s="29">
        <v>52</v>
      </c>
      <c r="D653" s="33">
        <v>1072</v>
      </c>
      <c r="E653" s="41">
        <f>IF(Tabela1716[[#This Row],[Building Permits]]="",#N/A,((Tabela1716[[#This Row],[Building Permits]]*1)/D641)-1)</f>
        <v>4.6860356138707093E-3</v>
      </c>
      <c r="F653" s="33">
        <v>843</v>
      </c>
      <c r="G653" s="41">
        <f>IF(Tabela1716[[#This Row],[Houses Under Construction]]="",#N/A,((Tabela1716[[#This Row],[Houses Under Construction]]*1)/F641)-1)</f>
        <v>0.16115702479338845</v>
      </c>
      <c r="H653" s="33">
        <v>960</v>
      </c>
      <c r="I653" s="33">
        <f>IF(Tabela1716[[#This Row],[Housing Starts]]="",#N/A,Tabela1716[[#This Row],[Housing Starts]]-H652)</f>
        <v>74</v>
      </c>
      <c r="J653" s="41">
        <f>IF(Tabela1716[[#This Row],[Housing Starts]]="",#N/A,((Tabela1716[[#This Row],[Housing Starts]]*1)/H641)-1)</f>
        <v>-1.0309278350515427E-2</v>
      </c>
      <c r="K653" s="33">
        <v>1086748</v>
      </c>
      <c r="L653" s="41">
        <f>IF(Tabela1716[[#This Row],[Total Construction Spending]]="",#N/A,((Tabela1716[[#This Row],[Total Construction Spending]]*1)/K641)-1)</f>
        <v>9.6443852992008416E-2</v>
      </c>
      <c r="M653" s="31">
        <v>5250</v>
      </c>
      <c r="N653" s="41">
        <f>IF(Tabela1716[[#This Row],[Existing Home Sales]]="",#N/A,((Tabela1716[[#This Row],[Existing Home Sales]]*1)/M641)-1)</f>
        <v>0.10526315789473695</v>
      </c>
      <c r="O653" s="33">
        <v>480</v>
      </c>
      <c r="P653" s="41">
        <f>IF(Tabela1716[[#This Row],[New House Sales]]="",#N/A,((Tabela1716[[#This Row],[New House Sales]]*1)/O652)-1)</f>
        <v>-0.11111111111111116</v>
      </c>
      <c r="Q653" s="41">
        <f>IF(Tabela1716[[#This Row],[New House Sales]]="",#N/A,((Tabela1716[[#This Row],[New House Sales]]*1)/O641)-1)</f>
        <v>0.18518518518518512</v>
      </c>
      <c r="R653" s="27">
        <v>5.0999999999999996</v>
      </c>
      <c r="S653" s="86">
        <v>168.08799999999999</v>
      </c>
      <c r="T653" s="41">
        <f>IF(Tabela1716[[#This Row],[S&amp;P/Case-Shiller Home Price Index]]="",#N/A,((Tabela1716[[#This Row],[S&amp;P/Case-Shiller Home Price Index]]*1)/S652)-1)</f>
        <v>8.7499249834963599E-3</v>
      </c>
      <c r="U653" s="41">
        <f>IF(Tabela1716[[#This Row],[S&amp;P/Case-Shiller Home Price Index]]="",#N/A,((Tabela1716[[#This Row],[S&amp;P/Case-Shiller Home Price Index]]*1)/S641)-1)</f>
        <v>4.2807156860312112E-2</v>
      </c>
      <c r="V653" s="39"/>
      <c r="W653" s="9"/>
      <c r="X653" s="9"/>
    </row>
    <row r="654" spans="1:24" ht="12.75">
      <c r="A654" s="12">
        <v>42095</v>
      </c>
      <c r="B654" s="26">
        <v>3.68</v>
      </c>
      <c r="C654" s="29">
        <v>56</v>
      </c>
      <c r="D654" s="33">
        <v>1166</v>
      </c>
      <c r="E654" s="41">
        <f>IF(Tabela1716[[#This Row],[Building Permits]]="",#N/A,((Tabela1716[[#This Row],[Building Permits]]*1)/D642)-1)</f>
        <v>6.9724770642201728E-2</v>
      </c>
      <c r="F654" s="33">
        <v>868</v>
      </c>
      <c r="G654" s="41">
        <f>IF(Tabela1716[[#This Row],[Houses Under Construction]]="",#N/A,((Tabela1716[[#This Row],[Houses Under Construction]]*1)/F642)-1)</f>
        <v>0.16823687752355321</v>
      </c>
      <c r="H654" s="33">
        <v>1190</v>
      </c>
      <c r="I654" s="33">
        <f>IF(Tabela1716[[#This Row],[Housing Starts]]="",#N/A,Tabela1716[[#This Row],[Housing Starts]]-H653)</f>
        <v>230</v>
      </c>
      <c r="J654" s="41">
        <f>IF(Tabela1716[[#This Row],[Housing Starts]]="",#N/A,((Tabela1716[[#This Row],[Housing Starts]]*1)/H642)-1)</f>
        <v>0.14093959731543615</v>
      </c>
      <c r="K654" s="33">
        <v>1115619</v>
      </c>
      <c r="L654" s="41">
        <f>IF(Tabela1716[[#This Row],[Total Construction Spending]]="",#N/A,((Tabela1716[[#This Row],[Total Construction Spending]]*1)/K642)-1)</f>
        <v>0.10797287916091047</v>
      </c>
      <c r="M654" s="31">
        <v>5170</v>
      </c>
      <c r="N654" s="41">
        <f>IF(Tabela1716[[#This Row],[Existing Home Sales]]="",#N/A,((Tabela1716[[#This Row],[Existing Home Sales]]*1)/M642)-1)</f>
        <v>7.9331941544885209E-2</v>
      </c>
      <c r="O654" s="33">
        <v>502</v>
      </c>
      <c r="P654" s="41">
        <f>IF(Tabela1716[[#This Row],[New House Sales]]="",#N/A,((Tabela1716[[#This Row],[New House Sales]]*1)/O653)-1)</f>
        <v>4.5833333333333393E-2</v>
      </c>
      <c r="Q654" s="41">
        <f>IF(Tabela1716[[#This Row],[New House Sales]]="",#N/A,((Tabela1716[[#This Row],[New House Sales]]*1)/O642)-1)</f>
        <v>0.24565756823821339</v>
      </c>
      <c r="R654" s="27">
        <v>4.9000000000000004</v>
      </c>
      <c r="S654" s="86">
        <v>169.96900000000002</v>
      </c>
      <c r="T654" s="41">
        <f>IF(Tabela1716[[#This Row],[S&amp;P/Case-Shiller Home Price Index]]="",#N/A,((Tabela1716[[#This Row],[S&amp;P/Case-Shiller Home Price Index]]*1)/S653)-1)</f>
        <v>1.1190566845937999E-2</v>
      </c>
      <c r="U654" s="41">
        <f>IF(Tabela1716[[#This Row],[S&amp;P/Case-Shiller Home Price Index]]="",#N/A,((Tabela1716[[#This Row],[S&amp;P/Case-Shiller Home Price Index]]*1)/S642)-1)</f>
        <v>4.2959353983604398E-2</v>
      </c>
      <c r="V654" s="37"/>
      <c r="W654" s="9"/>
      <c r="X654" s="9"/>
    </row>
    <row r="655" spans="1:24" ht="12.75">
      <c r="A655" s="12">
        <v>42125</v>
      </c>
      <c r="B655" s="26">
        <v>3.87</v>
      </c>
      <c r="C655" s="29">
        <v>54</v>
      </c>
      <c r="D655" s="33">
        <v>1272</v>
      </c>
      <c r="E655" s="41">
        <f>IF(Tabela1716[[#This Row],[Building Permits]]="",#N/A,((Tabela1716[[#This Row],[Building Permits]]*1)/D643)-1)</f>
        <v>0.24950884086444014</v>
      </c>
      <c r="F655" s="33">
        <v>878</v>
      </c>
      <c r="G655" s="41">
        <f>IF(Tabela1716[[#This Row],[Houses Under Construction]]="",#N/A,((Tabela1716[[#This Row],[Houses Under Construction]]*1)/F643)-1)</f>
        <v>0.16445623342175075</v>
      </c>
      <c r="H655" s="33">
        <v>1079</v>
      </c>
      <c r="I655" s="33">
        <f>IF(Tabela1716[[#This Row],[Housing Starts]]="",#N/A,Tabela1716[[#This Row],[Housing Starts]]-H654)</f>
        <v>-111</v>
      </c>
      <c r="J655" s="41">
        <f>IF(Tabela1716[[#This Row],[Housing Starts]]="",#N/A,((Tabela1716[[#This Row],[Housing Starts]]*1)/H643)-1)</f>
        <v>7.1499503475670245E-2</v>
      </c>
      <c r="K655" s="33">
        <v>1135433</v>
      </c>
      <c r="L655" s="41">
        <f>IF(Tabela1716[[#This Row],[Total Construction Spending]]="",#N/A,((Tabela1716[[#This Row],[Total Construction Spending]]*1)/K643)-1)</f>
        <v>0.12737564625620679</v>
      </c>
      <c r="M655" s="31">
        <v>5250</v>
      </c>
      <c r="N655" s="41">
        <f>IF(Tabela1716[[#This Row],[Existing Home Sales]]="",#N/A,((Tabela1716[[#This Row],[Existing Home Sales]]*1)/M643)-1)</f>
        <v>7.1428571428571397E-2</v>
      </c>
      <c r="O655" s="33">
        <v>502</v>
      </c>
      <c r="P655" s="41">
        <f>IF(Tabela1716[[#This Row],[New House Sales]]="",#N/A,((Tabela1716[[#This Row],[New House Sales]]*1)/O654)-1)</f>
        <v>0</v>
      </c>
      <c r="Q655" s="41">
        <f>IF(Tabela1716[[#This Row],[New House Sales]]="",#N/A,((Tabela1716[[#This Row],[New House Sales]]*1)/O643)-1)</f>
        <v>0.11308203991130816</v>
      </c>
      <c r="R655" s="27">
        <v>5</v>
      </c>
      <c r="S655" s="86">
        <v>171.85</v>
      </c>
      <c r="T655" s="41">
        <f>IF(Tabela1716[[#This Row],[S&amp;P/Case-Shiller Home Price Index]]="",#N/A,((Tabela1716[[#This Row],[S&amp;P/Case-Shiller Home Price Index]]*1)/S654)-1)</f>
        <v>1.1066723932011024E-2</v>
      </c>
      <c r="U655" s="41">
        <f>IF(Tabela1716[[#This Row],[S&amp;P/Case-Shiller Home Price Index]]="",#N/A,((Tabela1716[[#This Row],[S&amp;P/Case-Shiller Home Price Index]]*1)/S643)-1)</f>
        <v>4.3519974739347767E-2</v>
      </c>
      <c r="V655" s="39"/>
      <c r="W655" s="9"/>
      <c r="X655" s="9"/>
    </row>
    <row r="656" spans="1:24" ht="12.75">
      <c r="A656" s="12">
        <v>42156</v>
      </c>
      <c r="B656" s="26">
        <v>4.0199999999999996</v>
      </c>
      <c r="C656" s="29">
        <v>60</v>
      </c>
      <c r="D656" s="33">
        <v>1379</v>
      </c>
      <c r="E656" s="41">
        <f>IF(Tabela1716[[#This Row],[Building Permits]]="",#N/A,((Tabela1716[[#This Row],[Building Permits]]*1)/D644)-1)</f>
        <v>0.36534653465346545</v>
      </c>
      <c r="F656" s="33">
        <v>896</v>
      </c>
      <c r="G656" s="41">
        <f>IF(Tabela1716[[#This Row],[Houses Under Construction]]="",#N/A,((Tabela1716[[#This Row],[Houses Under Construction]]*1)/F644)-1)</f>
        <v>0.16212710765239957</v>
      </c>
      <c r="H656" s="33">
        <v>1205</v>
      </c>
      <c r="I656" s="33">
        <f>IF(Tabela1716[[#This Row],[Housing Starts]]="",#N/A,Tabela1716[[#This Row],[Housing Starts]]-H655)</f>
        <v>126</v>
      </c>
      <c r="J656" s="41">
        <f>IF(Tabela1716[[#This Row],[Housing Starts]]="",#N/A,((Tabela1716[[#This Row],[Housing Starts]]*1)/H644)-1)</f>
        <v>0.32272228320526897</v>
      </c>
      <c r="K656" s="33">
        <v>1158193</v>
      </c>
      <c r="L656" s="41">
        <f>IF(Tabela1716[[#This Row],[Total Construction Spending]]="",#N/A,((Tabela1716[[#This Row],[Total Construction Spending]]*1)/K644)-1)</f>
        <v>0.15080025913531481</v>
      </c>
      <c r="M656" s="31">
        <v>5360</v>
      </c>
      <c r="N656" s="41">
        <f>IF(Tabela1716[[#This Row],[Existing Home Sales]]="",#N/A,((Tabela1716[[#This Row],[Existing Home Sales]]*1)/M644)-1)</f>
        <v>8.5020242914979782E-2</v>
      </c>
      <c r="O656" s="33">
        <v>480</v>
      </c>
      <c r="P656" s="41">
        <f>IF(Tabela1716[[#This Row],[New House Sales]]="",#N/A,((Tabela1716[[#This Row],[New House Sales]]*1)/O655)-1)</f>
        <v>-4.3824701195219085E-2</v>
      </c>
      <c r="Q656" s="41">
        <f>IF(Tabela1716[[#This Row],[New House Sales]]="",#N/A,((Tabela1716[[#This Row],[New House Sales]]*1)/O644)-1)</f>
        <v>0.14832535885167464</v>
      </c>
      <c r="R656" s="27">
        <v>5.4</v>
      </c>
      <c r="S656" s="86">
        <v>173.45</v>
      </c>
      <c r="T656" s="41">
        <f>IF(Tabela1716[[#This Row],[S&amp;P/Case-Shiller Home Price Index]]="",#N/A,((Tabela1716[[#This Row],[S&amp;P/Case-Shiller Home Price Index]]*1)/S655)-1)</f>
        <v>9.3104451556589307E-3</v>
      </c>
      <c r="U656" s="41">
        <f>IF(Tabela1716[[#This Row],[S&amp;P/Case-Shiller Home Price Index]]="",#N/A,((Tabela1716[[#This Row],[S&amp;P/Case-Shiller Home Price Index]]*1)/S644)-1)</f>
        <v>4.3546795658556459E-2</v>
      </c>
      <c r="V656" s="37"/>
      <c r="W656" s="9"/>
      <c r="X656" s="9"/>
    </row>
    <row r="657" spans="1:24" ht="12.75">
      <c r="A657" s="12">
        <v>42186</v>
      </c>
      <c r="B657" s="26">
        <v>3.98</v>
      </c>
      <c r="C657" s="29">
        <v>60</v>
      </c>
      <c r="D657" s="33">
        <v>1140</v>
      </c>
      <c r="E657" s="41">
        <f>IF(Tabela1716[[#This Row],[Building Permits]]="",#N/A,((Tabela1716[[#This Row],[Building Permits]]*1)/D645)-1)</f>
        <v>5.9479553903345694E-2</v>
      </c>
      <c r="F657" s="33">
        <v>908</v>
      </c>
      <c r="G657" s="41">
        <f>IF(Tabela1716[[#This Row],[Houses Under Construction]]="",#N/A,((Tabela1716[[#This Row],[Houses Under Construction]]*1)/F645)-1)</f>
        <v>0.14936708860759484</v>
      </c>
      <c r="H657" s="33">
        <v>1146</v>
      </c>
      <c r="I657" s="33">
        <f>IF(Tabela1716[[#This Row],[Housing Starts]]="",#N/A,Tabela1716[[#This Row],[Housing Starts]]-H656)</f>
        <v>-59</v>
      </c>
      <c r="J657" s="41">
        <f>IF(Tabela1716[[#This Row],[Housing Starts]]="",#N/A,((Tabela1716[[#This Row],[Housing Starts]]*1)/H645)-1)</f>
        <v>5.6221198156682028E-2</v>
      </c>
      <c r="K657" s="33">
        <v>1154561</v>
      </c>
      <c r="L657" s="41">
        <f>IF(Tabela1716[[#This Row],[Total Construction Spending]]="",#N/A,((Tabela1716[[#This Row],[Total Construction Spending]]*1)/K645)-1)</f>
        <v>0.13757137156566679</v>
      </c>
      <c r="M657" s="31">
        <v>5440</v>
      </c>
      <c r="N657" s="41">
        <f>IF(Tabela1716[[#This Row],[Existing Home Sales]]="",#N/A,((Tabela1716[[#This Row],[Existing Home Sales]]*1)/M645)-1)</f>
        <v>9.2369477911646625E-2</v>
      </c>
      <c r="O657" s="33">
        <v>506</v>
      </c>
      <c r="P657" s="41">
        <f>IF(Tabela1716[[#This Row],[New House Sales]]="",#N/A,((Tabela1716[[#This Row],[New House Sales]]*1)/O656)-1)</f>
        <v>5.4166666666666696E-2</v>
      </c>
      <c r="Q657" s="41">
        <f>IF(Tabela1716[[#This Row],[New House Sales]]="",#N/A,((Tabela1716[[#This Row],[New House Sales]]*1)/O645)-1)</f>
        <v>0.25870646766169147</v>
      </c>
      <c r="R657" s="27">
        <v>5.2</v>
      </c>
      <c r="S657" s="86">
        <v>174.49599999999998</v>
      </c>
      <c r="T657" s="41">
        <f>IF(Tabela1716[[#This Row],[S&amp;P/Case-Shiller Home Price Index]]="",#N/A,((Tabela1716[[#This Row],[S&amp;P/Case-Shiller Home Price Index]]*1)/S656)-1)</f>
        <v>6.0305563562985665E-3</v>
      </c>
      <c r="U657" s="41">
        <f>IF(Tabela1716[[#This Row],[S&amp;P/Case-Shiller Home Price Index]]="",#N/A,((Tabela1716[[#This Row],[S&amp;P/Case-Shiller Home Price Index]]*1)/S645)-1)</f>
        <v>4.4035994639096243E-2</v>
      </c>
      <c r="V657" s="39"/>
      <c r="W657" s="9"/>
      <c r="X657" s="9"/>
    </row>
    <row r="658" spans="1:24" ht="12.75">
      <c r="A658" s="12">
        <v>42217</v>
      </c>
      <c r="B658" s="26">
        <v>3.84</v>
      </c>
      <c r="C658" s="29">
        <v>61</v>
      </c>
      <c r="D658" s="33">
        <v>1165</v>
      </c>
      <c r="E658" s="41">
        <f>IF(Tabela1716[[#This Row],[Building Permits]]="",#N/A,((Tabela1716[[#This Row],[Building Permits]]*1)/D646)-1)</f>
        <v>0.11270296084049658</v>
      </c>
      <c r="F658" s="33">
        <v>921</v>
      </c>
      <c r="G658" s="41">
        <f>IF(Tabela1716[[#This Row],[Houses Under Construction]]="",#N/A,((Tabela1716[[#This Row],[Houses Under Construction]]*1)/F646)-1)</f>
        <v>0.16141235813366972</v>
      </c>
      <c r="H658" s="33">
        <v>1130</v>
      </c>
      <c r="I658" s="33">
        <f>IF(Tabela1716[[#This Row],[Housing Starts]]="",#N/A,Tabela1716[[#This Row],[Housing Starts]]-H657)</f>
        <v>-16</v>
      </c>
      <c r="J658" s="41">
        <f>IF(Tabela1716[[#This Row],[Housing Starts]]="",#N/A,((Tabela1716[[#This Row],[Housing Starts]]*1)/H646)-1)</f>
        <v>0.14837398373983746</v>
      </c>
      <c r="K658" s="33">
        <v>1164377</v>
      </c>
      <c r="L658" s="41">
        <f>IF(Tabela1716[[#This Row],[Total Construction Spending]]="",#N/A,((Tabela1716[[#This Row],[Total Construction Spending]]*1)/K646)-1)</f>
        <v>0.147060967632618</v>
      </c>
      <c r="M658" s="31">
        <v>5360</v>
      </c>
      <c r="N658" s="41">
        <f>IF(Tabela1716[[#This Row],[Existing Home Sales]]="",#N/A,((Tabela1716[[#This Row],[Existing Home Sales]]*1)/M646)-1)</f>
        <v>7.8470824949698148E-2</v>
      </c>
      <c r="O658" s="33">
        <v>518</v>
      </c>
      <c r="P658" s="41">
        <f>IF(Tabela1716[[#This Row],[New House Sales]]="",#N/A,((Tabela1716[[#This Row],[New House Sales]]*1)/O657)-1)</f>
        <v>2.3715415019762931E-2</v>
      </c>
      <c r="Q658" s="41">
        <f>IF(Tabela1716[[#This Row],[New House Sales]]="",#N/A,((Tabela1716[[#This Row],[New House Sales]]*1)/O646)-1)</f>
        <v>0.13596491228070184</v>
      </c>
      <c r="R658" s="27">
        <v>5</v>
      </c>
      <c r="S658" s="86">
        <v>174.93799999999999</v>
      </c>
      <c r="T658" s="41">
        <f>IF(Tabela1716[[#This Row],[S&amp;P/Case-Shiller Home Price Index]]="",#N/A,((Tabela1716[[#This Row],[S&amp;P/Case-Shiller Home Price Index]]*1)/S657)-1)</f>
        <v>2.5330093526498842E-3</v>
      </c>
      <c r="U658" s="41">
        <f>IF(Tabela1716[[#This Row],[S&amp;P/Case-Shiller Home Price Index]]="",#N/A,((Tabela1716[[#This Row],[S&amp;P/Case-Shiller Home Price Index]]*1)/S646)-1)</f>
        <v>4.4711587270305886E-2</v>
      </c>
      <c r="V658" s="37"/>
      <c r="W658" s="9"/>
      <c r="X658" s="9"/>
    </row>
    <row r="659" spans="1:24" ht="12.75">
      <c r="A659" s="12">
        <v>42248</v>
      </c>
      <c r="B659" s="26">
        <v>3.86</v>
      </c>
      <c r="C659" s="29">
        <v>61</v>
      </c>
      <c r="D659" s="33">
        <v>1144</v>
      </c>
      <c r="E659" s="41">
        <f>IF(Tabela1716[[#This Row],[Building Permits]]="",#N/A,((Tabela1716[[#This Row],[Building Permits]]*1)/D647)-1)</f>
        <v>6.2209842154131945E-2</v>
      </c>
      <c r="F659" s="33">
        <v>939</v>
      </c>
      <c r="G659" s="41">
        <f>IF(Tabela1716[[#This Row],[Houses Under Construction]]="",#N/A,((Tabela1716[[#This Row],[Houses Under Construction]]*1)/F647)-1)</f>
        <v>0.178168130489335</v>
      </c>
      <c r="H659" s="33">
        <v>1224</v>
      </c>
      <c r="I659" s="33">
        <f>IF(Tabela1716[[#This Row],[Housing Starts]]="",#N/A,Tabela1716[[#This Row],[Housing Starts]]-H658)</f>
        <v>94</v>
      </c>
      <c r="J659" s="41">
        <f>IF(Tabela1716[[#This Row],[Housing Starts]]="",#N/A,((Tabela1716[[#This Row],[Housing Starts]]*1)/H647)-1)</f>
        <v>0.19648093841642233</v>
      </c>
      <c r="K659" s="33">
        <v>1163937</v>
      </c>
      <c r="L659" s="41">
        <f>IF(Tabela1716[[#This Row],[Total Construction Spending]]="",#N/A,((Tabela1716[[#This Row],[Total Construction Spending]]*1)/K647)-1)</f>
        <v>0.13900419810351416</v>
      </c>
      <c r="M659" s="31">
        <v>5410</v>
      </c>
      <c r="N659" s="41">
        <f>IF(Tabela1716[[#This Row],[Existing Home Sales]]="",#N/A,((Tabela1716[[#This Row],[Existing Home Sales]]*1)/M647)-1)</f>
        <v>8.2000000000000073E-2</v>
      </c>
      <c r="O659" s="33">
        <v>456</v>
      </c>
      <c r="P659" s="41">
        <f>IF(Tabela1716[[#This Row],[New House Sales]]="",#N/A,((Tabela1716[[#This Row],[New House Sales]]*1)/O658)-1)</f>
        <v>-0.11969111969111967</v>
      </c>
      <c r="Q659" s="41">
        <f>IF(Tabela1716[[#This Row],[New House Sales]]="",#N/A,((Tabela1716[[#This Row],[New House Sales]]*1)/O647)-1)</f>
        <v>-2.9787234042553234E-2</v>
      </c>
      <c r="R659" s="27">
        <v>5.9</v>
      </c>
      <c r="S659" s="86">
        <v>175.04400000000001</v>
      </c>
      <c r="T659" s="41">
        <f>IF(Tabela1716[[#This Row],[S&amp;P/Case-Shiller Home Price Index]]="",#N/A,((Tabela1716[[#This Row],[S&amp;P/Case-Shiller Home Price Index]]*1)/S658)-1)</f>
        <v>6.0592895768807331E-4</v>
      </c>
      <c r="U659" s="41">
        <f>IF(Tabela1716[[#This Row],[S&amp;P/Case-Shiller Home Price Index]]="",#N/A,((Tabela1716[[#This Row],[S&amp;P/Case-Shiller Home Price Index]]*1)/S647)-1)</f>
        <v>4.6657219222559165E-2</v>
      </c>
      <c r="V659" s="39"/>
      <c r="W659" s="9"/>
      <c r="X659" s="9"/>
    </row>
    <row r="660" spans="1:24" ht="12.75">
      <c r="A660" s="12">
        <v>42278</v>
      </c>
      <c r="B660" s="26">
        <v>3.76</v>
      </c>
      <c r="C660" s="29">
        <v>65</v>
      </c>
      <c r="D660" s="33">
        <v>1160</v>
      </c>
      <c r="E660" s="41">
        <f>IF(Tabela1716[[#This Row],[Building Permits]]="",#N/A,((Tabela1716[[#This Row],[Building Permits]]*1)/D648)-1)</f>
        <v>6.0329067641681888E-2</v>
      </c>
      <c r="F660" s="33">
        <v>943</v>
      </c>
      <c r="G660" s="41">
        <f>IF(Tabela1716[[#This Row],[Houses Under Construction]]="",#N/A,((Tabela1716[[#This Row],[Houses Under Construction]]*1)/F648)-1)</f>
        <v>0.16997518610421847</v>
      </c>
      <c r="H660" s="33">
        <v>1058</v>
      </c>
      <c r="I660" s="33">
        <f>IF(Tabela1716[[#This Row],[Housing Starts]]="",#N/A,Tabela1716[[#This Row],[Housing Starts]]-H659)</f>
        <v>-166</v>
      </c>
      <c r="J660" s="41">
        <f>IF(Tabela1716[[#This Row],[Housing Starts]]="",#N/A,((Tabela1716[[#This Row],[Housing Starts]]*1)/H648)-1)</f>
        <v>-1.4897579143389184E-2</v>
      </c>
      <c r="K660" s="33">
        <v>1151533</v>
      </c>
      <c r="L660" s="41">
        <f>IF(Tabela1716[[#This Row],[Total Construction Spending]]="",#N/A,((Tabela1716[[#This Row],[Total Construction Spending]]*1)/K648)-1)</f>
        <v>0.10046903580077249</v>
      </c>
      <c r="M660" s="31">
        <v>5280</v>
      </c>
      <c r="N660" s="41">
        <f>IF(Tabela1716[[#This Row],[Existing Home Sales]]="",#N/A,((Tabela1716[[#This Row],[Existing Home Sales]]*1)/M648)-1)</f>
        <v>3.125E-2</v>
      </c>
      <c r="O660" s="33">
        <v>482</v>
      </c>
      <c r="P660" s="41">
        <f>IF(Tabela1716[[#This Row],[New House Sales]]="",#N/A,((Tabela1716[[#This Row],[New House Sales]]*1)/O659)-1)</f>
        <v>5.7017543859649189E-2</v>
      </c>
      <c r="Q660" s="41">
        <f>IF(Tabela1716[[#This Row],[New House Sales]]="",#N/A,((Tabela1716[[#This Row],[New House Sales]]*1)/O648)-1)</f>
        <v>1.2605042016806678E-2</v>
      </c>
      <c r="R660" s="27">
        <v>5.6</v>
      </c>
      <c r="S660" s="86">
        <v>175.04900000000001</v>
      </c>
      <c r="T660" s="41">
        <f>IF(Tabela1716[[#This Row],[S&amp;P/Case-Shiller Home Price Index]]="",#N/A,((Tabela1716[[#This Row],[S&amp;P/Case-Shiller Home Price Index]]*1)/S659)-1)</f>
        <v>2.8564246703721707E-5</v>
      </c>
      <c r="U660" s="41">
        <f>IF(Tabela1716[[#This Row],[S&amp;P/Case-Shiller Home Price Index]]="",#N/A,((Tabela1716[[#This Row],[S&amp;P/Case-Shiller Home Price Index]]*1)/S648)-1)</f>
        <v>4.8762806302798056E-2</v>
      </c>
      <c r="V660" s="37"/>
      <c r="W660" s="9"/>
      <c r="X660" s="9"/>
    </row>
    <row r="661" spans="1:24" ht="12.75">
      <c r="A661" s="12">
        <v>42309</v>
      </c>
      <c r="B661" s="26">
        <v>3.95</v>
      </c>
      <c r="C661" s="29">
        <v>62</v>
      </c>
      <c r="D661" s="33">
        <v>1244</v>
      </c>
      <c r="E661" s="41">
        <f>IF(Tabela1716[[#This Row],[Building Permits]]="",#N/A,((Tabela1716[[#This Row],[Building Permits]]*1)/D649)-1)</f>
        <v>0.17469310670443816</v>
      </c>
      <c r="F661" s="33">
        <v>962</v>
      </c>
      <c r="G661" s="41">
        <f>IF(Tabela1716[[#This Row],[Houses Under Construction]]="",#N/A,((Tabela1716[[#This Row],[Houses Under Construction]]*1)/F649)-1)</f>
        <v>0.18181818181818188</v>
      </c>
      <c r="H661" s="33">
        <v>1172</v>
      </c>
      <c r="I661" s="33">
        <f>IF(Tabela1716[[#This Row],[Housing Starts]]="",#N/A,Tabela1716[[#This Row],[Housing Starts]]-H660)</f>
        <v>114</v>
      </c>
      <c r="J661" s="41">
        <f>IF(Tabela1716[[#This Row],[Housing Starts]]="",#N/A,((Tabela1716[[#This Row],[Housing Starts]]*1)/H649)-1)</f>
        <v>0.17082917082917093</v>
      </c>
      <c r="K661" s="33">
        <v>1145510</v>
      </c>
      <c r="L661" s="41">
        <f>IF(Tabela1716[[#This Row],[Total Construction Spending]]="",#N/A,((Tabela1716[[#This Row],[Total Construction Spending]]*1)/K649)-1)</f>
        <v>9.6294070301935264E-2</v>
      </c>
      <c r="M661" s="31">
        <v>4780</v>
      </c>
      <c r="N661" s="41">
        <f>IF(Tabela1716[[#This Row],[Existing Home Sales]]="",#N/A,((Tabela1716[[#This Row],[Existing Home Sales]]*1)/M649)-1)</f>
        <v>-4.2084168336673389E-2</v>
      </c>
      <c r="O661" s="33">
        <v>504</v>
      </c>
      <c r="P661" s="41">
        <f>IF(Tabela1716[[#This Row],[New House Sales]]="",#N/A,((Tabela1716[[#This Row],[New House Sales]]*1)/O660)-1)</f>
        <v>4.5643153526971014E-2</v>
      </c>
      <c r="Q661" s="41">
        <f>IF(Tabela1716[[#This Row],[New House Sales]]="",#N/A,((Tabela1716[[#This Row],[New House Sales]]*1)/O649)-1)</f>
        <v>0.14027149321266963</v>
      </c>
      <c r="R661" s="27">
        <v>5.5</v>
      </c>
      <c r="S661" s="86">
        <v>175.14099999999999</v>
      </c>
      <c r="T661" s="41">
        <f>IF(Tabela1716[[#This Row],[S&amp;P/Case-Shiller Home Price Index]]="",#N/A,((Tabela1716[[#This Row],[S&amp;P/Case-Shiller Home Price Index]]*1)/S660)-1)</f>
        <v>5.2556712691864682E-4</v>
      </c>
      <c r="U661" s="41">
        <f>IF(Tabela1716[[#This Row],[S&amp;P/Case-Shiller Home Price Index]]="",#N/A,((Tabela1716[[#This Row],[S&amp;P/Case-Shiller Home Price Index]]*1)/S649)-1)</f>
        <v>5.0906952603250843E-2</v>
      </c>
      <c r="V661" s="39"/>
      <c r="W661" s="9"/>
      <c r="X661" s="9"/>
    </row>
    <row r="662" spans="1:24" ht="12.75">
      <c r="A662" s="12">
        <v>42339</v>
      </c>
      <c r="B662" s="26">
        <v>4.01</v>
      </c>
      <c r="C662" s="29">
        <v>60</v>
      </c>
      <c r="D662" s="33">
        <v>1211</v>
      </c>
      <c r="E662" s="41">
        <f>IF(Tabela1716[[#This Row],[Building Permits]]="",#N/A,((Tabela1716[[#This Row],[Building Permits]]*1)/D650)-1)</f>
        <v>0.12966417910447769</v>
      </c>
      <c r="F662" s="33">
        <v>970</v>
      </c>
      <c r="G662" s="41">
        <f>IF(Tabela1716[[#This Row],[Houses Under Construction]]="",#N/A,((Tabela1716[[#This Row],[Houses Under Construction]]*1)/F650)-1)</f>
        <v>0.17433414043583539</v>
      </c>
      <c r="H662" s="33">
        <v>1146</v>
      </c>
      <c r="I662" s="33">
        <f>IF(Tabela1716[[#This Row],[Housing Starts]]="",#N/A,Tabela1716[[#This Row],[Housing Starts]]-H661)</f>
        <v>-26</v>
      </c>
      <c r="J662" s="41">
        <f>IF(Tabela1716[[#This Row],[Housing Starts]]="",#N/A,((Tabela1716[[#This Row],[Housing Starts]]*1)/H650)-1)</f>
        <v>6.8033550792171438E-2</v>
      </c>
      <c r="K662" s="33">
        <v>1156354</v>
      </c>
      <c r="L662" s="41">
        <f>IF(Tabela1716[[#This Row],[Total Construction Spending]]="",#N/A,((Tabela1716[[#This Row],[Total Construction Spending]]*1)/K650)-1)</f>
        <v>9.4587520789376267E-2</v>
      </c>
      <c r="M662" s="31">
        <v>5440</v>
      </c>
      <c r="N662" s="41">
        <f>IF(Tabela1716[[#This Row],[Existing Home Sales]]="",#N/A,((Tabela1716[[#This Row],[Existing Home Sales]]*1)/M650)-1)</f>
        <v>6.8762278978389046E-2</v>
      </c>
      <c r="O662" s="33">
        <v>546</v>
      </c>
      <c r="P662" s="41">
        <f>IF(Tabela1716[[#This Row],[New House Sales]]="",#N/A,((Tabela1716[[#This Row],[New House Sales]]*1)/O661)-1)</f>
        <v>8.3333333333333259E-2</v>
      </c>
      <c r="Q662" s="41">
        <f>IF(Tabela1716[[#This Row],[New House Sales]]="",#N/A,((Tabela1716[[#This Row],[New House Sales]]*1)/O650)-1)</f>
        <v>9.8591549295774739E-2</v>
      </c>
      <c r="R662" s="27">
        <v>5.0999999999999996</v>
      </c>
      <c r="S662" s="86">
        <v>175.114</v>
      </c>
      <c r="T662" s="41">
        <f>IF(Tabela1716[[#This Row],[S&amp;P/Case-Shiller Home Price Index]]="",#N/A,((Tabela1716[[#This Row],[S&amp;P/Case-Shiller Home Price Index]]*1)/S661)-1)</f>
        <v>-1.5416150415947794E-4</v>
      </c>
      <c r="U662" s="41">
        <f>IF(Tabela1716[[#This Row],[S&amp;P/Case-Shiller Home Price Index]]="",#N/A,((Tabela1716[[#This Row],[S&amp;P/Case-Shiller Home Price Index]]*1)/S650)-1)</f>
        <v>5.1994785502736507E-2</v>
      </c>
      <c r="V662" s="37"/>
      <c r="W662" s="9"/>
      <c r="X662" s="9"/>
    </row>
    <row r="663" spans="1:24" ht="12.75">
      <c r="A663" s="12">
        <v>42370</v>
      </c>
      <c r="B663" s="26">
        <v>3.79</v>
      </c>
      <c r="C663" s="29">
        <v>61</v>
      </c>
      <c r="D663" s="33">
        <v>1171</v>
      </c>
      <c r="E663" s="41">
        <f>IF(Tabela1716[[#This Row],[Building Permits]]="",#N/A,((Tabela1716[[#This Row],[Building Permits]]*1)/D651)-1)</f>
        <v>0.11630123927550051</v>
      </c>
      <c r="F663" s="33">
        <v>968</v>
      </c>
      <c r="G663" s="41">
        <f>IF(Tabela1716[[#This Row],[Houses Under Construction]]="",#N/A,((Tabela1716[[#This Row],[Houses Under Construction]]*1)/F651)-1)</f>
        <v>0.16626506024096388</v>
      </c>
      <c r="H663" s="33">
        <v>1092</v>
      </c>
      <c r="I663" s="33">
        <f>IF(Tabela1716[[#This Row],[Housing Starts]]="",#N/A,Tabela1716[[#This Row],[Housing Starts]]-H662)</f>
        <v>-54</v>
      </c>
      <c r="J663" s="41">
        <f>IF(Tabela1716[[#This Row],[Housing Starts]]="",#N/A,((Tabela1716[[#This Row],[Housing Starts]]*1)/H651)-1)</f>
        <v>6.4516129032257119E-3</v>
      </c>
      <c r="K663" s="33">
        <v>1160988</v>
      </c>
      <c r="L663" s="41">
        <f>IF(Tabela1716[[#This Row],[Total Construction Spending]]="",#N/A,((Tabela1716[[#This Row],[Total Construction Spending]]*1)/K651)-1)</f>
        <v>9.3990903103065238E-2</v>
      </c>
      <c r="M663" s="31">
        <v>5430</v>
      </c>
      <c r="N663" s="41">
        <f>IF(Tabela1716[[#This Row],[Existing Home Sales]]="",#N/A,((Tabela1716[[#This Row],[Existing Home Sales]]*1)/M651)-1)</f>
        <v>0.10365853658536595</v>
      </c>
      <c r="O663" s="33">
        <v>505</v>
      </c>
      <c r="P663" s="41">
        <f>IF(Tabela1716[[#This Row],[New House Sales]]="",#N/A,((Tabela1716[[#This Row],[New House Sales]]*1)/O662)-1)</f>
        <v>-7.5091575091575047E-2</v>
      </c>
      <c r="Q663" s="41">
        <f>IF(Tabela1716[[#This Row],[New House Sales]]="",#N/A,((Tabela1716[[#This Row],[New House Sales]]*1)/O651)-1)</f>
        <v>-1.9417475728155331E-2</v>
      </c>
      <c r="R663" s="27">
        <v>5.6</v>
      </c>
      <c r="S663" s="86">
        <v>175.03400000000002</v>
      </c>
      <c r="T663" s="41">
        <f>IF(Tabela1716[[#This Row],[S&amp;P/Case-Shiller Home Price Index]]="",#N/A,((Tabela1716[[#This Row],[S&amp;P/Case-Shiller Home Price Index]]*1)/S662)-1)</f>
        <v>-4.5684525509093188E-4</v>
      </c>
      <c r="U663" s="41">
        <f>IF(Tabela1716[[#This Row],[S&amp;P/Case-Shiller Home Price Index]]="",#N/A,((Tabela1716[[#This Row],[S&amp;P/Case-Shiller Home Price Index]]*1)/S651)-1)</f>
        <v>5.2842423112319459E-2</v>
      </c>
      <c r="V663" s="39"/>
      <c r="W663" s="9"/>
      <c r="X663" s="9"/>
    </row>
    <row r="664" spans="1:24" ht="12.75">
      <c r="A664" s="12">
        <v>42401</v>
      </c>
      <c r="B664" s="26">
        <v>3.62</v>
      </c>
      <c r="C664" s="29">
        <v>58</v>
      </c>
      <c r="D664" s="33">
        <v>1172</v>
      </c>
      <c r="E664" s="41">
        <f>IF(Tabela1716[[#This Row],[Building Permits]]="",#N/A,((Tabela1716[[#This Row],[Building Permits]]*1)/D652)-1)</f>
        <v>3.9929015084294583E-2</v>
      </c>
      <c r="F664" s="33">
        <v>982</v>
      </c>
      <c r="G664" s="41">
        <f>IF(Tabela1716[[#This Row],[Houses Under Construction]]="",#N/A,((Tabela1716[[#This Row],[Houses Under Construction]]*1)/F652)-1)</f>
        <v>0.18313253012048203</v>
      </c>
      <c r="H664" s="33">
        <v>1225</v>
      </c>
      <c r="I664" s="33">
        <f>IF(Tabela1716[[#This Row],[Housing Starts]]="",#N/A,Tabela1716[[#This Row],[Housing Starts]]-H663)</f>
        <v>133</v>
      </c>
      <c r="J664" s="41">
        <f>IF(Tabela1716[[#This Row],[Housing Starts]]="",#N/A,((Tabela1716[[#This Row],[Housing Starts]]*1)/H652)-1)</f>
        <v>0.38261851015801351</v>
      </c>
      <c r="K664" s="33">
        <v>1172851</v>
      </c>
      <c r="L664" s="41">
        <f>IF(Tabela1716[[#This Row],[Total Construction Spending]]="",#N/A,((Tabela1716[[#This Row],[Total Construction Spending]]*1)/K652)-1)</f>
        <v>9.3164755171754932E-2</v>
      </c>
      <c r="M664" s="31">
        <v>5260</v>
      </c>
      <c r="N664" s="41">
        <f>IF(Tabela1716[[#This Row],[Existing Home Sales]]="",#N/A,((Tabela1716[[#This Row],[Existing Home Sales]]*1)/M652)-1)</f>
        <v>3.5433070866141669E-2</v>
      </c>
      <c r="O664" s="33">
        <v>517</v>
      </c>
      <c r="P664" s="41">
        <f>IF(Tabela1716[[#This Row],[New House Sales]]="",#N/A,((Tabela1716[[#This Row],[New House Sales]]*1)/O663)-1)</f>
        <v>2.3762376237623783E-2</v>
      </c>
      <c r="Q664" s="41">
        <f>IF(Tabela1716[[#This Row],[New House Sales]]="",#N/A,((Tabela1716[[#This Row],[New House Sales]]*1)/O652)-1)</f>
        <v>-4.2592592592592626E-2</v>
      </c>
      <c r="R664" s="27">
        <v>5.5</v>
      </c>
      <c r="S664" s="86">
        <v>175.27900000000002</v>
      </c>
      <c r="T664" s="41">
        <f>IF(Tabela1716[[#This Row],[S&amp;P/Case-Shiller Home Price Index]]="",#N/A,((Tabela1716[[#This Row],[S&amp;P/Case-Shiller Home Price Index]]*1)/S663)-1)</f>
        <v>1.3997280528355027E-3</v>
      </c>
      <c r="U664" s="41">
        <f>IF(Tabela1716[[#This Row],[S&amp;P/Case-Shiller Home Price Index]]="",#N/A,((Tabela1716[[#This Row],[S&amp;P/Case-Shiller Home Price Index]]*1)/S652)-1)</f>
        <v>5.1905419192222357E-2</v>
      </c>
      <c r="V664" s="37"/>
      <c r="W664" s="9"/>
      <c r="X664" s="9"/>
    </row>
    <row r="665" spans="1:24" ht="12.75">
      <c r="A665" s="12">
        <v>42430</v>
      </c>
      <c r="B665" s="26">
        <v>3.71</v>
      </c>
      <c r="C665" s="29">
        <v>58</v>
      </c>
      <c r="D665" s="33">
        <v>1118</v>
      </c>
      <c r="E665" s="41">
        <f>IF(Tabela1716[[#This Row],[Building Permits]]="",#N/A,((Tabela1716[[#This Row],[Building Permits]]*1)/D653)-1)</f>
        <v>4.2910447761194126E-2</v>
      </c>
      <c r="F665" s="33">
        <v>987</v>
      </c>
      <c r="G665" s="41">
        <f>IF(Tabela1716[[#This Row],[Houses Under Construction]]="",#N/A,((Tabela1716[[#This Row],[Houses Under Construction]]*1)/F653)-1)</f>
        <v>0.17081850533807819</v>
      </c>
      <c r="H665" s="33">
        <v>1111</v>
      </c>
      <c r="I665" s="33">
        <f>IF(Tabela1716[[#This Row],[Housing Starts]]="",#N/A,Tabela1716[[#This Row],[Housing Starts]]-H664)</f>
        <v>-114</v>
      </c>
      <c r="J665" s="41">
        <f>IF(Tabela1716[[#This Row],[Housing Starts]]="",#N/A,((Tabela1716[[#This Row],[Housing Starts]]*1)/H653)-1)</f>
        <v>0.15729166666666661</v>
      </c>
      <c r="K665" s="33">
        <v>1188776</v>
      </c>
      <c r="L665" s="41">
        <f>IF(Tabela1716[[#This Row],[Total Construction Spending]]="",#N/A,((Tabela1716[[#This Row],[Total Construction Spending]]*1)/K653)-1)</f>
        <v>9.3883770662563926E-2</v>
      </c>
      <c r="M665" s="31">
        <v>5340</v>
      </c>
      <c r="N665" s="41">
        <f>IF(Tabela1716[[#This Row],[Existing Home Sales]]="",#N/A,((Tabela1716[[#This Row],[Existing Home Sales]]*1)/M653)-1)</f>
        <v>1.7142857142857126E-2</v>
      </c>
      <c r="O665" s="33">
        <v>532</v>
      </c>
      <c r="P665" s="41">
        <f>IF(Tabela1716[[#This Row],[New House Sales]]="",#N/A,((Tabela1716[[#This Row],[New House Sales]]*1)/O664)-1)</f>
        <v>2.9013539651837617E-2</v>
      </c>
      <c r="Q665" s="41">
        <f>IF(Tabela1716[[#This Row],[New House Sales]]="",#N/A,((Tabela1716[[#This Row],[New House Sales]]*1)/O653)-1)</f>
        <v>0.10833333333333339</v>
      </c>
      <c r="R665" s="27">
        <v>5.5</v>
      </c>
      <c r="S665" s="86">
        <v>176.6</v>
      </c>
      <c r="T665" s="41">
        <f>IF(Tabela1716[[#This Row],[S&amp;P/Case-Shiller Home Price Index]]="",#N/A,((Tabela1716[[#This Row],[S&amp;P/Case-Shiller Home Price Index]]*1)/S664)-1)</f>
        <v>7.5365560049975855E-3</v>
      </c>
      <c r="U665" s="41">
        <f>IF(Tabela1716[[#This Row],[S&amp;P/Case-Shiller Home Price Index]]="",#N/A,((Tabela1716[[#This Row],[S&amp;P/Case-Shiller Home Price Index]]*1)/S653)-1)</f>
        <v>5.0640140878587481E-2</v>
      </c>
      <c r="V665" s="39"/>
      <c r="W665" s="9"/>
      <c r="X665" s="9"/>
    </row>
    <row r="666" spans="1:24" ht="12.75">
      <c r="A666" s="12">
        <v>42461</v>
      </c>
      <c r="B666" s="26">
        <v>3.66</v>
      </c>
      <c r="C666" s="29">
        <v>58</v>
      </c>
      <c r="D666" s="33">
        <v>1160</v>
      </c>
      <c r="E666" s="41">
        <f>IF(Tabela1716[[#This Row],[Building Permits]]="",#N/A,((Tabela1716[[#This Row],[Building Permits]]*1)/D654)-1)</f>
        <v>-5.145797598627766E-3</v>
      </c>
      <c r="F666" s="33">
        <v>998</v>
      </c>
      <c r="G666" s="41">
        <f>IF(Tabela1716[[#This Row],[Houses Under Construction]]="",#N/A,((Tabela1716[[#This Row],[Houses Under Construction]]*1)/F654)-1)</f>
        <v>0.14976958525345618</v>
      </c>
      <c r="H666" s="33">
        <v>1163</v>
      </c>
      <c r="I666" s="33">
        <f>IF(Tabela1716[[#This Row],[Housing Starts]]="",#N/A,Tabela1716[[#This Row],[Housing Starts]]-H665)</f>
        <v>52</v>
      </c>
      <c r="J666" s="41">
        <f>IF(Tabela1716[[#This Row],[Housing Starts]]="",#N/A,((Tabela1716[[#This Row],[Housing Starts]]*1)/H654)-1)</f>
        <v>-2.2689075630252131E-2</v>
      </c>
      <c r="K666" s="33">
        <v>1185902</v>
      </c>
      <c r="L666" s="41">
        <f>IF(Tabela1716[[#This Row],[Total Construction Spending]]="",#N/A,((Tabela1716[[#This Row],[Total Construction Spending]]*1)/K654)-1)</f>
        <v>6.2999106325725807E-2</v>
      </c>
      <c r="M666" s="31">
        <v>5470</v>
      </c>
      <c r="N666" s="41">
        <f>IF(Tabela1716[[#This Row],[Existing Home Sales]]="",#N/A,((Tabela1716[[#This Row],[Existing Home Sales]]*1)/M654)-1)</f>
        <v>5.8027079303675011E-2</v>
      </c>
      <c r="O666" s="33">
        <v>576</v>
      </c>
      <c r="P666" s="41">
        <f>IF(Tabela1716[[#This Row],[New House Sales]]="",#N/A,((Tabela1716[[#This Row],[New House Sales]]*1)/O665)-1)</f>
        <v>8.2706766917293173E-2</v>
      </c>
      <c r="Q666" s="41">
        <f>IF(Tabela1716[[#This Row],[New House Sales]]="",#N/A,((Tabela1716[[#This Row],[New House Sales]]*1)/O654)-1)</f>
        <v>0.14741035856573714</v>
      </c>
      <c r="R666" s="27">
        <v>5</v>
      </c>
      <c r="S666" s="86">
        <v>178.49400000000003</v>
      </c>
      <c r="T666" s="41">
        <f>IF(Tabela1716[[#This Row],[S&amp;P/Case-Shiller Home Price Index]]="",#N/A,((Tabela1716[[#This Row],[S&amp;P/Case-Shiller Home Price Index]]*1)/S665)-1)</f>
        <v>1.0724801812004747E-2</v>
      </c>
      <c r="U666" s="41">
        <f>IF(Tabela1716[[#This Row],[S&amp;P/Case-Shiller Home Price Index]]="",#N/A,((Tabela1716[[#This Row],[S&amp;P/Case-Shiller Home Price Index]]*1)/S654)-1)</f>
        <v>5.0156204955021266E-2</v>
      </c>
      <c r="V666" s="37"/>
      <c r="W666" s="9"/>
      <c r="X666" s="9"/>
    </row>
    <row r="667" spans="1:24" ht="12.75">
      <c r="A667" s="12">
        <v>42491</v>
      </c>
      <c r="B667" s="26">
        <v>3.64</v>
      </c>
      <c r="C667" s="29">
        <v>58</v>
      </c>
      <c r="D667" s="33">
        <v>1205</v>
      </c>
      <c r="E667" s="41">
        <f>IF(Tabela1716[[#This Row],[Building Permits]]="",#N/A,((Tabela1716[[#This Row],[Building Permits]]*1)/D655)-1)</f>
        <v>-5.2672955974842783E-2</v>
      </c>
      <c r="F667" s="33">
        <v>1010</v>
      </c>
      <c r="G667" s="41">
        <f>IF(Tabela1716[[#This Row],[Houses Under Construction]]="",#N/A,((Tabela1716[[#This Row],[Houses Under Construction]]*1)/F655)-1)</f>
        <v>0.15034168564920281</v>
      </c>
      <c r="H667" s="33">
        <v>1148</v>
      </c>
      <c r="I667" s="33">
        <f>IF(Tabela1716[[#This Row],[Housing Starts]]="",#N/A,Tabela1716[[#This Row],[Housing Starts]]-H666)</f>
        <v>-15</v>
      </c>
      <c r="J667" s="41">
        <f>IF(Tabela1716[[#This Row],[Housing Starts]]="",#N/A,((Tabela1716[[#This Row],[Housing Starts]]*1)/H655)-1)</f>
        <v>6.3948100092678484E-2</v>
      </c>
      <c r="K667" s="33">
        <v>1190685</v>
      </c>
      <c r="L667" s="41">
        <f>IF(Tabela1716[[#This Row],[Total Construction Spending]]="",#N/A,((Tabela1716[[#This Row],[Total Construction Spending]]*1)/K655)-1)</f>
        <v>4.8661611913692893E-2</v>
      </c>
      <c r="M667" s="31">
        <v>5440</v>
      </c>
      <c r="N667" s="41">
        <f>IF(Tabela1716[[#This Row],[Existing Home Sales]]="",#N/A,((Tabela1716[[#This Row],[Existing Home Sales]]*1)/M655)-1)</f>
        <v>3.6190476190476106E-2</v>
      </c>
      <c r="O667" s="33">
        <v>571</v>
      </c>
      <c r="P667" s="41">
        <f>IF(Tabela1716[[#This Row],[New House Sales]]="",#N/A,((Tabela1716[[#This Row],[New House Sales]]*1)/O666)-1)</f>
        <v>-8.6805555555555802E-3</v>
      </c>
      <c r="Q667" s="41">
        <f>IF(Tabela1716[[#This Row],[New House Sales]]="",#N/A,((Tabela1716[[#This Row],[New House Sales]]*1)/O655)-1)</f>
        <v>0.13745019920318735</v>
      </c>
      <c r="R667" s="27">
        <v>5.0999999999999996</v>
      </c>
      <c r="S667" s="86">
        <v>180.34299999999999</v>
      </c>
      <c r="T667" s="41">
        <f>IF(Tabela1716[[#This Row],[S&amp;P/Case-Shiller Home Price Index]]="",#N/A,((Tabela1716[[#This Row],[S&amp;P/Case-Shiller Home Price Index]]*1)/S666)-1)</f>
        <v>1.0358891615404264E-2</v>
      </c>
      <c r="U667" s="41">
        <f>IF(Tabela1716[[#This Row],[S&amp;P/Case-Shiller Home Price Index]]="",#N/A,((Tabela1716[[#This Row],[S&amp;P/Case-Shiller Home Price Index]]*1)/S655)-1)</f>
        <v>4.9421006691882319E-2</v>
      </c>
      <c r="V667" s="39"/>
      <c r="W667" s="9"/>
      <c r="X667" s="9"/>
    </row>
    <row r="668" spans="1:24" ht="12.75">
      <c r="A668" s="12">
        <v>42522</v>
      </c>
      <c r="B668" s="26">
        <v>3.48</v>
      </c>
      <c r="C668" s="29">
        <v>60</v>
      </c>
      <c r="D668" s="33">
        <v>1208</v>
      </c>
      <c r="E668" s="41">
        <f>IF(Tabela1716[[#This Row],[Building Permits]]="",#N/A,((Tabela1716[[#This Row],[Building Permits]]*1)/D656)-1)</f>
        <v>-0.12400290065264685</v>
      </c>
      <c r="F668" s="33">
        <v>1016</v>
      </c>
      <c r="G668" s="41">
        <f>IF(Tabela1716[[#This Row],[Houses Under Construction]]="",#N/A,((Tabela1716[[#This Row],[Houses Under Construction]]*1)/F656)-1)</f>
        <v>0.1339285714285714</v>
      </c>
      <c r="H668" s="33">
        <v>1203</v>
      </c>
      <c r="I668" s="33">
        <f>IF(Tabela1716[[#This Row],[Housing Starts]]="",#N/A,Tabela1716[[#This Row],[Housing Starts]]-H667)</f>
        <v>55</v>
      </c>
      <c r="J668" s="41">
        <f>IF(Tabela1716[[#This Row],[Housing Starts]]="",#N/A,((Tabela1716[[#This Row],[Housing Starts]]*1)/H656)-1)</f>
        <v>-1.6597510373443924E-3</v>
      </c>
      <c r="K668" s="33">
        <v>1217604</v>
      </c>
      <c r="L668" s="41">
        <f>IF(Tabela1716[[#This Row],[Total Construction Spending]]="",#N/A,((Tabela1716[[#This Row],[Total Construction Spending]]*1)/K656)-1)</f>
        <v>5.1296286542916514E-2</v>
      </c>
      <c r="M668" s="31">
        <v>5470</v>
      </c>
      <c r="N668" s="41">
        <f>IF(Tabela1716[[#This Row],[Existing Home Sales]]="",#N/A,((Tabela1716[[#This Row],[Existing Home Sales]]*1)/M656)-1)</f>
        <v>2.0522388059701413E-2</v>
      </c>
      <c r="O668" s="33">
        <v>557</v>
      </c>
      <c r="P668" s="41">
        <f>IF(Tabela1716[[#This Row],[New House Sales]]="",#N/A,((Tabela1716[[#This Row],[New House Sales]]*1)/O667)-1)</f>
        <v>-2.4518388791593737E-2</v>
      </c>
      <c r="Q668" s="41">
        <f>IF(Tabela1716[[#This Row],[New House Sales]]="",#N/A,((Tabela1716[[#This Row],[New House Sales]]*1)/O656)-1)</f>
        <v>0.16041666666666665</v>
      </c>
      <c r="R668" s="27">
        <v>5.3</v>
      </c>
      <c r="S668" s="86">
        <v>181.91400000000002</v>
      </c>
      <c r="T668" s="41">
        <f>IF(Tabela1716[[#This Row],[S&amp;P/Case-Shiller Home Price Index]]="",#N/A,((Tabela1716[[#This Row],[S&amp;P/Case-Shiller Home Price Index]]*1)/S667)-1)</f>
        <v>8.7111781438704572E-3</v>
      </c>
      <c r="U668" s="41">
        <f>IF(Tabela1716[[#This Row],[S&amp;P/Case-Shiller Home Price Index]]="",#N/A,((Tabela1716[[#This Row],[S&amp;P/Case-Shiller Home Price Index]]*1)/S656)-1)</f>
        <v>4.8797924473911847E-2</v>
      </c>
      <c r="V668" s="37"/>
      <c r="W668" s="9"/>
      <c r="X668" s="9"/>
    </row>
    <row r="669" spans="1:24" ht="12.75">
      <c r="A669" s="12">
        <v>42552</v>
      </c>
      <c r="B669" s="26">
        <v>3.48</v>
      </c>
      <c r="C669" s="29">
        <v>58</v>
      </c>
      <c r="D669" s="33">
        <v>1198</v>
      </c>
      <c r="E669" s="41">
        <f>IF(Tabela1716[[#This Row],[Building Permits]]="",#N/A,((Tabela1716[[#This Row],[Building Permits]]*1)/D657)-1)</f>
        <v>5.0877192982456076E-2</v>
      </c>
      <c r="F669" s="33">
        <v>1033</v>
      </c>
      <c r="G669" s="41">
        <f>IF(Tabela1716[[#This Row],[Houses Under Construction]]="",#N/A,((Tabela1716[[#This Row],[Houses Under Construction]]*1)/F657)-1)</f>
        <v>0.13766519823788537</v>
      </c>
      <c r="H669" s="33">
        <v>1239</v>
      </c>
      <c r="I669" s="33">
        <f>IF(Tabela1716[[#This Row],[Housing Starts]]="",#N/A,Tabela1716[[#This Row],[Housing Starts]]-H668)</f>
        <v>36</v>
      </c>
      <c r="J669" s="41">
        <f>IF(Tabela1716[[#This Row],[Housing Starts]]="",#N/A,((Tabela1716[[#This Row],[Housing Starts]]*1)/H657)-1)</f>
        <v>8.1151832460732987E-2</v>
      </c>
      <c r="K669" s="33">
        <v>1214532</v>
      </c>
      <c r="L669" s="41">
        <f>IF(Tabela1716[[#This Row],[Total Construction Spending]]="",#N/A,((Tabela1716[[#This Row],[Total Construction Spending]]*1)/K657)-1)</f>
        <v>5.1942686440993535E-2</v>
      </c>
      <c r="M669" s="31">
        <v>5370</v>
      </c>
      <c r="N669" s="41">
        <f>IF(Tabela1716[[#This Row],[Existing Home Sales]]="",#N/A,((Tabela1716[[#This Row],[Existing Home Sales]]*1)/M657)-1)</f>
        <v>-1.2867647058823484E-2</v>
      </c>
      <c r="O669" s="33">
        <v>628</v>
      </c>
      <c r="P669" s="41">
        <f>IF(Tabela1716[[#This Row],[New House Sales]]="",#N/A,((Tabela1716[[#This Row],[New House Sales]]*1)/O668)-1)</f>
        <v>0.12746858168761221</v>
      </c>
      <c r="Q669" s="41">
        <f>IF(Tabela1716[[#This Row],[New House Sales]]="",#N/A,((Tabela1716[[#This Row],[New House Sales]]*1)/O657)-1)</f>
        <v>0.24110671936758887</v>
      </c>
      <c r="R669" s="27">
        <v>4.5</v>
      </c>
      <c r="S669" s="86">
        <v>183.01599999999999</v>
      </c>
      <c r="T669" s="41">
        <f>IF(Tabela1716[[#This Row],[S&amp;P/Case-Shiller Home Price Index]]="",#N/A,((Tabela1716[[#This Row],[S&amp;P/Case-Shiller Home Price Index]]*1)/S668)-1)</f>
        <v>6.0578075354287275E-3</v>
      </c>
      <c r="U669" s="41">
        <f>IF(Tabela1716[[#This Row],[S&amp;P/Case-Shiller Home Price Index]]="",#N/A,((Tabela1716[[#This Row],[S&amp;P/Case-Shiller Home Price Index]]*1)/S657)-1)</f>
        <v>4.8826334128003079E-2</v>
      </c>
      <c r="V669" s="39"/>
      <c r="W669" s="9"/>
      <c r="X669" s="9"/>
    </row>
    <row r="670" spans="1:24" ht="12.75">
      <c r="A670" s="12">
        <v>42583</v>
      </c>
      <c r="B670" s="26">
        <v>3.43</v>
      </c>
      <c r="C670" s="29">
        <v>59</v>
      </c>
      <c r="D670" s="33">
        <v>1201</v>
      </c>
      <c r="E670" s="41">
        <f>IF(Tabela1716[[#This Row],[Building Permits]]="",#N/A,((Tabela1716[[#This Row],[Building Permits]]*1)/D658)-1)</f>
        <v>3.0901287553648071E-2</v>
      </c>
      <c r="F670" s="33">
        <v>1038</v>
      </c>
      <c r="G670" s="41">
        <f>IF(Tabela1716[[#This Row],[Houses Under Construction]]="",#N/A,((Tabela1716[[#This Row],[Houses Under Construction]]*1)/F658)-1)</f>
        <v>0.12703583061889256</v>
      </c>
      <c r="H670" s="33">
        <v>1171</v>
      </c>
      <c r="I670" s="33">
        <f>IF(Tabela1716[[#This Row],[Housing Starts]]="",#N/A,Tabela1716[[#This Row],[Housing Starts]]-H669)</f>
        <v>-68</v>
      </c>
      <c r="J670" s="41">
        <f>IF(Tabela1716[[#This Row],[Housing Starts]]="",#N/A,((Tabela1716[[#This Row],[Housing Starts]]*1)/H658)-1)</f>
        <v>3.6283185840707999E-2</v>
      </c>
      <c r="K670" s="33">
        <v>1221250</v>
      </c>
      <c r="L670" s="41">
        <f>IF(Tabela1716[[#This Row],[Total Construction Spending]]="",#N/A,((Tabela1716[[#This Row],[Total Construction Spending]]*1)/K658)-1)</f>
        <v>4.8844145839362918E-2</v>
      </c>
      <c r="M670" s="31">
        <v>5400</v>
      </c>
      <c r="N670" s="41">
        <f>IF(Tabela1716[[#This Row],[Existing Home Sales]]="",#N/A,((Tabela1716[[#This Row],[Existing Home Sales]]*1)/M658)-1)</f>
        <v>7.4626865671640896E-3</v>
      </c>
      <c r="O670" s="33">
        <v>575</v>
      </c>
      <c r="P670" s="41">
        <f>IF(Tabela1716[[#This Row],[New House Sales]]="",#N/A,((Tabela1716[[#This Row],[New House Sales]]*1)/O669)-1)</f>
        <v>-8.4394904458598763E-2</v>
      </c>
      <c r="Q670" s="41">
        <f>IF(Tabela1716[[#This Row],[New House Sales]]="",#N/A,((Tabela1716[[#This Row],[New House Sales]]*1)/O658)-1)</f>
        <v>0.11003861003860993</v>
      </c>
      <c r="R670" s="27">
        <v>5</v>
      </c>
      <c r="S670" s="86">
        <v>183.65400000000002</v>
      </c>
      <c r="T670" s="41">
        <f>IF(Tabela1716[[#This Row],[S&amp;P/Case-Shiller Home Price Index]]="",#N/A,((Tabela1716[[#This Row],[S&amp;P/Case-Shiller Home Price Index]]*1)/S669)-1)</f>
        <v>3.4860340079556629E-3</v>
      </c>
      <c r="U670" s="41">
        <f>IF(Tabela1716[[#This Row],[S&amp;P/Case-Shiller Home Price Index]]="",#N/A,((Tabela1716[[#This Row],[S&amp;P/Case-Shiller Home Price Index]]*1)/S658)-1)</f>
        <v>4.982336599252335E-2</v>
      </c>
      <c r="V670" s="37"/>
      <c r="W670" s="9"/>
      <c r="X670" s="9"/>
    </row>
    <row r="671" spans="1:24" ht="12.75">
      <c r="A671" s="12">
        <v>42614</v>
      </c>
      <c r="B671" s="26">
        <v>3.42</v>
      </c>
      <c r="C671" s="29">
        <v>65</v>
      </c>
      <c r="D671" s="33">
        <v>1303</v>
      </c>
      <c r="E671" s="41">
        <f>IF(Tabela1716[[#This Row],[Building Permits]]="",#N/A,((Tabela1716[[#This Row],[Building Permits]]*1)/D659)-1)</f>
        <v>0.13898601398601396</v>
      </c>
      <c r="F671" s="33">
        <v>1038</v>
      </c>
      <c r="G671" s="41">
        <f>IF(Tabela1716[[#This Row],[Houses Under Construction]]="",#N/A,((Tabela1716[[#This Row],[Houses Under Construction]]*1)/F659)-1)</f>
        <v>0.10543130990415328</v>
      </c>
      <c r="H671" s="33">
        <v>1068</v>
      </c>
      <c r="I671" s="33">
        <f>IF(Tabela1716[[#This Row],[Housing Starts]]="",#N/A,Tabela1716[[#This Row],[Housing Starts]]-H670)</f>
        <v>-103</v>
      </c>
      <c r="J671" s="41">
        <f>IF(Tabela1716[[#This Row],[Housing Starts]]="",#N/A,((Tabela1716[[#This Row],[Housing Starts]]*1)/H659)-1)</f>
        <v>-0.12745098039215685</v>
      </c>
      <c r="K671" s="33">
        <v>1232438</v>
      </c>
      <c r="L671" s="41">
        <f>IF(Tabela1716[[#This Row],[Total Construction Spending]]="",#N/A,((Tabela1716[[#This Row],[Total Construction Spending]]*1)/K659)-1)</f>
        <v>5.8852841691603652E-2</v>
      </c>
      <c r="M671" s="31">
        <v>5470</v>
      </c>
      <c r="N671" s="41">
        <f>IF(Tabela1716[[#This Row],[Existing Home Sales]]="",#N/A,((Tabela1716[[#This Row],[Existing Home Sales]]*1)/M659)-1)</f>
        <v>1.109057301293892E-2</v>
      </c>
      <c r="O671" s="33">
        <v>558</v>
      </c>
      <c r="P671" s="41">
        <f>IF(Tabela1716[[#This Row],[New House Sales]]="",#N/A,((Tabela1716[[#This Row],[New House Sales]]*1)/O670)-1)</f>
        <v>-2.9565217391304355E-2</v>
      </c>
      <c r="Q671" s="41">
        <f>IF(Tabela1716[[#This Row],[New House Sales]]="",#N/A,((Tabela1716[[#This Row],[New House Sales]]*1)/O659)-1)</f>
        <v>0.22368421052631571</v>
      </c>
      <c r="R671" s="27">
        <v>5.2</v>
      </c>
      <c r="S671" s="86">
        <v>183.94400000000002</v>
      </c>
      <c r="T671" s="41">
        <f>IF(Tabela1716[[#This Row],[S&amp;P/Case-Shiller Home Price Index]]="",#N/A,((Tabela1716[[#This Row],[S&amp;P/Case-Shiller Home Price Index]]*1)/S670)-1)</f>
        <v>1.5790562688533516E-3</v>
      </c>
      <c r="U671" s="41">
        <f>IF(Tabela1716[[#This Row],[S&amp;P/Case-Shiller Home Price Index]]="",#N/A,((Tabela1716[[#This Row],[S&amp;P/Case-Shiller Home Price Index]]*1)/S659)-1)</f>
        <v>5.0844359132560912E-2</v>
      </c>
      <c r="V671" s="39"/>
      <c r="W671" s="9"/>
      <c r="X671" s="9"/>
    </row>
    <row r="672" spans="1:24" ht="12.75">
      <c r="A672" s="12">
        <v>42644</v>
      </c>
      <c r="B672" s="26">
        <v>3.47</v>
      </c>
      <c r="C672" s="29">
        <v>63</v>
      </c>
      <c r="D672" s="33">
        <v>1254</v>
      </c>
      <c r="E672" s="41">
        <f>IF(Tabela1716[[#This Row],[Building Permits]]="",#N/A,((Tabela1716[[#This Row],[Building Permits]]*1)/D660)-1)</f>
        <v>8.1034482758620685E-2</v>
      </c>
      <c r="F672" s="33">
        <v>1053</v>
      </c>
      <c r="G672" s="41">
        <f>IF(Tabela1716[[#This Row],[Houses Under Construction]]="",#N/A,((Tabela1716[[#This Row],[Houses Under Construction]]*1)/F660)-1)</f>
        <v>0.11664899257688233</v>
      </c>
      <c r="H672" s="33">
        <v>1313</v>
      </c>
      <c r="I672" s="33">
        <f>IF(Tabela1716[[#This Row],[Housing Starts]]="",#N/A,Tabela1716[[#This Row],[Housing Starts]]-H671)</f>
        <v>245</v>
      </c>
      <c r="J672" s="41">
        <f>IF(Tabela1716[[#This Row],[Housing Starts]]="",#N/A,((Tabela1716[[#This Row],[Housing Starts]]*1)/H660)-1)</f>
        <v>0.24102079395085063</v>
      </c>
      <c r="K672" s="33">
        <v>1241100</v>
      </c>
      <c r="L672" s="41">
        <f>IF(Tabela1716[[#This Row],[Total Construction Spending]]="",#N/A,((Tabela1716[[#This Row],[Total Construction Spending]]*1)/K660)-1)</f>
        <v>7.778066282077889E-2</v>
      </c>
      <c r="M672" s="31">
        <v>5560</v>
      </c>
      <c r="N672" s="41">
        <f>IF(Tabela1716[[#This Row],[Existing Home Sales]]="",#N/A,((Tabela1716[[#This Row],[Existing Home Sales]]*1)/M660)-1)</f>
        <v>5.3030303030302983E-2</v>
      </c>
      <c r="O672" s="33">
        <v>575</v>
      </c>
      <c r="P672" s="41">
        <f>IF(Tabela1716[[#This Row],[New House Sales]]="",#N/A,((Tabela1716[[#This Row],[New House Sales]]*1)/O671)-1)</f>
        <v>3.0465949820788429E-2</v>
      </c>
      <c r="Q672" s="41">
        <f>IF(Tabela1716[[#This Row],[New House Sales]]="",#N/A,((Tabela1716[[#This Row],[New House Sales]]*1)/O660)-1)</f>
        <v>0.19294605809128629</v>
      </c>
      <c r="R672" s="27">
        <v>5.2</v>
      </c>
      <c r="S672" s="86">
        <v>184.018</v>
      </c>
      <c r="T672" s="41">
        <f>IF(Tabela1716[[#This Row],[S&amp;P/Case-Shiller Home Price Index]]="",#N/A,((Tabela1716[[#This Row],[S&amp;P/Case-Shiller Home Price Index]]*1)/S671)-1)</f>
        <v>4.0229635106325823E-4</v>
      </c>
      <c r="U672" s="41">
        <f>IF(Tabela1716[[#This Row],[S&amp;P/Case-Shiller Home Price Index]]="",#N/A,((Tabela1716[[#This Row],[S&amp;P/Case-Shiller Home Price Index]]*1)/S660)-1)</f>
        <v>5.1237082188415828E-2</v>
      </c>
      <c r="V672" s="37"/>
      <c r="W672" s="9"/>
      <c r="X672" s="9"/>
    </row>
    <row r="673" spans="1:24" ht="12.75">
      <c r="A673" s="12">
        <v>42675</v>
      </c>
      <c r="B673" s="26">
        <v>4.03</v>
      </c>
      <c r="C673" s="29">
        <v>63</v>
      </c>
      <c r="D673" s="33">
        <v>1230</v>
      </c>
      <c r="E673" s="41">
        <f>IF(Tabela1716[[#This Row],[Building Permits]]="",#N/A,((Tabela1716[[#This Row],[Building Permits]]*1)/D661)-1)</f>
        <v>-1.12540192926045E-2</v>
      </c>
      <c r="F673" s="33">
        <v>1042</v>
      </c>
      <c r="G673" s="41">
        <f>IF(Tabela1716[[#This Row],[Houses Under Construction]]="",#N/A,((Tabela1716[[#This Row],[Houses Under Construction]]*1)/F661)-1)</f>
        <v>8.3160083160083165E-2</v>
      </c>
      <c r="H673" s="33">
        <v>1140</v>
      </c>
      <c r="I673" s="33">
        <f>IF(Tabela1716[[#This Row],[Housing Starts]]="",#N/A,Tabela1716[[#This Row],[Housing Starts]]-H672)</f>
        <v>-173</v>
      </c>
      <c r="J673" s="41">
        <f>IF(Tabela1716[[#This Row],[Housing Starts]]="",#N/A,((Tabela1716[[#This Row],[Housing Starts]]*1)/H661)-1)</f>
        <v>-2.7303754266211566E-2</v>
      </c>
      <c r="K673" s="33">
        <v>1264881</v>
      </c>
      <c r="L673" s="41">
        <f>IF(Tabela1716[[#This Row],[Total Construction Spending]]="",#N/A,((Tabela1716[[#This Row],[Total Construction Spending]]*1)/K661)-1)</f>
        <v>0.10420773280023754</v>
      </c>
      <c r="M673" s="31">
        <v>5510</v>
      </c>
      <c r="N673" s="41">
        <f>IF(Tabela1716[[#This Row],[Existing Home Sales]]="",#N/A,((Tabela1716[[#This Row],[Existing Home Sales]]*1)/M661)-1)</f>
        <v>0.15271966527196645</v>
      </c>
      <c r="O673" s="33">
        <v>571</v>
      </c>
      <c r="P673" s="41">
        <f>IF(Tabela1716[[#This Row],[New House Sales]]="",#N/A,((Tabela1716[[#This Row],[New House Sales]]*1)/O672)-1)</f>
        <v>-6.9565217391304168E-3</v>
      </c>
      <c r="Q673" s="41">
        <f>IF(Tabela1716[[#This Row],[New House Sales]]="",#N/A,((Tabela1716[[#This Row],[New House Sales]]*1)/O661)-1)</f>
        <v>0.13293650793650791</v>
      </c>
      <c r="R673" s="27">
        <v>5.2</v>
      </c>
      <c r="S673" s="86">
        <v>184.23099999999999</v>
      </c>
      <c r="T673" s="41">
        <f>IF(Tabela1716[[#This Row],[S&amp;P/Case-Shiller Home Price Index]]="",#N/A,((Tabela1716[[#This Row],[S&amp;P/Case-Shiller Home Price Index]]*1)/S672)-1)</f>
        <v>1.1574954624002931E-3</v>
      </c>
      <c r="U673" s="41">
        <f>IF(Tabela1716[[#This Row],[S&amp;P/Case-Shiller Home Price Index]]="",#N/A,((Tabela1716[[#This Row],[S&amp;P/Case-Shiller Home Price Index]]*1)/S661)-1)</f>
        <v>5.1901039733700305E-2</v>
      </c>
      <c r="V673" s="39"/>
      <c r="W673" s="9"/>
      <c r="X673" s="9"/>
    </row>
    <row r="674" spans="1:24" ht="12.75">
      <c r="A674" s="12">
        <v>42705</v>
      </c>
      <c r="B674" s="26">
        <v>4.32</v>
      </c>
      <c r="C674" s="29">
        <v>69</v>
      </c>
      <c r="D674" s="33">
        <v>1248</v>
      </c>
      <c r="E674" s="41">
        <f>IF(Tabela1716[[#This Row],[Building Permits]]="",#N/A,((Tabela1716[[#This Row],[Building Permits]]*1)/D662)-1)</f>
        <v>3.0553261767134687E-2</v>
      </c>
      <c r="F674" s="33">
        <v>1057</v>
      </c>
      <c r="G674" s="41">
        <f>IF(Tabela1716[[#This Row],[Houses Under Construction]]="",#N/A,((Tabela1716[[#This Row],[Houses Under Construction]]*1)/F662)-1)</f>
        <v>8.9690721649484439E-2</v>
      </c>
      <c r="H674" s="33">
        <v>1252</v>
      </c>
      <c r="I674" s="33">
        <f>IF(Tabela1716[[#This Row],[Housing Starts]]="",#N/A,Tabela1716[[#This Row],[Housing Starts]]-H673)</f>
        <v>112</v>
      </c>
      <c r="J674" s="41">
        <f>IF(Tabela1716[[#This Row],[Housing Starts]]="",#N/A,((Tabela1716[[#This Row],[Housing Starts]]*1)/H662)-1)</f>
        <v>9.2495636998254804E-2</v>
      </c>
      <c r="K674" s="33">
        <v>1270443</v>
      </c>
      <c r="L674" s="41">
        <f>IF(Tabela1716[[#This Row],[Total Construction Spending]]="",#N/A,((Tabela1716[[#This Row],[Total Construction Spending]]*1)/K662)-1)</f>
        <v>9.86626932582928E-2</v>
      </c>
      <c r="M674" s="31">
        <v>5520</v>
      </c>
      <c r="N674" s="41">
        <f>IF(Tabela1716[[#This Row],[Existing Home Sales]]="",#N/A,((Tabela1716[[#This Row],[Existing Home Sales]]*1)/M662)-1)</f>
        <v>1.4705882352941124E-2</v>
      </c>
      <c r="O674" s="33">
        <v>561</v>
      </c>
      <c r="P674" s="41">
        <f>IF(Tabela1716[[#This Row],[New House Sales]]="",#N/A,((Tabela1716[[#This Row],[New House Sales]]*1)/O673)-1)</f>
        <v>-1.7513134851138368E-2</v>
      </c>
      <c r="Q674" s="41">
        <f>IF(Tabela1716[[#This Row],[New House Sales]]="",#N/A,((Tabela1716[[#This Row],[New House Sales]]*1)/O662)-1)</f>
        <v>2.7472527472527375E-2</v>
      </c>
      <c r="R674" s="27">
        <v>5.4</v>
      </c>
      <c r="S674" s="86">
        <v>184.40299999999999</v>
      </c>
      <c r="T674" s="41">
        <f>IF(Tabela1716[[#This Row],[S&amp;P/Case-Shiller Home Price Index]]="",#N/A,((Tabela1716[[#This Row],[S&amp;P/Case-Shiller Home Price Index]]*1)/S673)-1)</f>
        <v>9.3361052157336921E-4</v>
      </c>
      <c r="U674" s="41">
        <f>IF(Tabela1716[[#This Row],[S&amp;P/Case-Shiller Home Price Index]]="",#N/A,((Tabela1716[[#This Row],[S&amp;P/Case-Shiller Home Price Index]]*1)/S662)-1)</f>
        <v>5.3045444681750098E-2</v>
      </c>
      <c r="V674" s="37"/>
      <c r="W674" s="9"/>
      <c r="X674" s="9"/>
    </row>
    <row r="675" spans="1:24" ht="12.75">
      <c r="A675" s="12">
        <v>42736</v>
      </c>
      <c r="B675" s="26">
        <v>4.1900000000000004</v>
      </c>
      <c r="C675" s="29">
        <v>67</v>
      </c>
      <c r="D675" s="33">
        <v>1301</v>
      </c>
      <c r="E675" s="41">
        <f>IF(Tabela1716[[#This Row],[Building Permits]]="",#N/A,((Tabela1716[[#This Row],[Building Permits]]*1)/D663)-1)</f>
        <v>0.11101622544833467</v>
      </c>
      <c r="F675" s="33">
        <v>1063</v>
      </c>
      <c r="G675" s="41">
        <f>IF(Tabela1716[[#This Row],[Houses Under Construction]]="",#N/A,((Tabela1716[[#This Row],[Houses Under Construction]]*1)/F663)-1)</f>
        <v>9.8140495867768518E-2</v>
      </c>
      <c r="H675" s="33">
        <v>1190</v>
      </c>
      <c r="I675" s="33">
        <f>IF(Tabela1716[[#This Row],[Housing Starts]]="",#N/A,Tabela1716[[#This Row],[Housing Starts]]-H674)</f>
        <v>-62</v>
      </c>
      <c r="J675" s="41">
        <f>IF(Tabela1716[[#This Row],[Housing Starts]]="",#N/A,((Tabela1716[[#This Row],[Housing Starts]]*1)/H663)-1)</f>
        <v>8.9743589743589647E-2</v>
      </c>
      <c r="K675" s="33">
        <v>1254583</v>
      </c>
      <c r="L675" s="41">
        <f>IF(Tabela1716[[#This Row],[Total Construction Spending]]="",#N/A,((Tabela1716[[#This Row],[Total Construction Spending]]*1)/K663)-1)</f>
        <v>8.0616681653901567E-2</v>
      </c>
      <c r="M675" s="31">
        <v>5670</v>
      </c>
      <c r="N675" s="41">
        <f>IF(Tabela1716[[#This Row],[Existing Home Sales]]="",#N/A,((Tabela1716[[#This Row],[Existing Home Sales]]*1)/M663)-1)</f>
        <v>4.4198895027624419E-2</v>
      </c>
      <c r="O675" s="33">
        <v>573</v>
      </c>
      <c r="P675" s="41">
        <f>IF(Tabela1716[[#This Row],[New House Sales]]="",#N/A,((Tabela1716[[#This Row],[New House Sales]]*1)/O674)-1)</f>
        <v>2.1390374331550888E-2</v>
      </c>
      <c r="Q675" s="41">
        <f>IF(Tabela1716[[#This Row],[New House Sales]]="",#N/A,((Tabela1716[[#This Row],[New House Sales]]*1)/O663)-1)</f>
        <v>0.13465346534653455</v>
      </c>
      <c r="R675" s="27">
        <v>5.4</v>
      </c>
      <c r="S675" s="86">
        <v>184.65400000000002</v>
      </c>
      <c r="T675" s="41">
        <f>IF(Tabela1716[[#This Row],[S&amp;P/Case-Shiller Home Price Index]]="",#N/A,((Tabela1716[[#This Row],[S&amp;P/Case-Shiller Home Price Index]]*1)/S674)-1)</f>
        <v>1.3611492220844124E-3</v>
      </c>
      <c r="U675" s="41">
        <f>IF(Tabela1716[[#This Row],[S&amp;P/Case-Shiller Home Price Index]]="",#N/A,((Tabela1716[[#This Row],[S&amp;P/Case-Shiller Home Price Index]]*1)/S663)-1)</f>
        <v>5.4960750482763387E-2</v>
      </c>
      <c r="V675" s="39"/>
      <c r="W675" s="9"/>
      <c r="X675" s="9"/>
    </row>
    <row r="676" spans="1:24" ht="12.75">
      <c r="A676" s="12">
        <v>42767</v>
      </c>
      <c r="B676" s="26">
        <v>4.16</v>
      </c>
      <c r="C676" s="29">
        <v>65</v>
      </c>
      <c r="D676" s="33">
        <v>1243</v>
      </c>
      <c r="E676" s="41">
        <f>IF(Tabela1716[[#This Row],[Building Permits]]="",#N/A,((Tabela1716[[#This Row],[Building Permits]]*1)/D664)-1)</f>
        <v>6.0580204778156954E-2</v>
      </c>
      <c r="F676" s="33">
        <v>1070</v>
      </c>
      <c r="G676" s="41">
        <f>IF(Tabela1716[[#This Row],[Houses Under Construction]]="",#N/A,((Tabela1716[[#This Row],[Houses Under Construction]]*1)/F664)-1)</f>
        <v>8.9613034623218013E-2</v>
      </c>
      <c r="H676" s="33">
        <v>1271</v>
      </c>
      <c r="I676" s="33">
        <f>IF(Tabela1716[[#This Row],[Housing Starts]]="",#N/A,Tabela1716[[#This Row],[Housing Starts]]-H675)</f>
        <v>81</v>
      </c>
      <c r="J676" s="41">
        <f>IF(Tabela1716[[#This Row],[Housing Starts]]="",#N/A,((Tabela1716[[#This Row],[Housing Starts]]*1)/H664)-1)</f>
        <v>3.7551020408163271E-2</v>
      </c>
      <c r="K676" s="33">
        <v>1275911</v>
      </c>
      <c r="L676" s="41">
        <f>IF(Tabela1716[[#This Row],[Total Construction Spending]]="",#N/A,((Tabela1716[[#This Row],[Total Construction Spending]]*1)/K664)-1)</f>
        <v>8.7871349387091735E-2</v>
      </c>
      <c r="M676" s="31">
        <v>5450</v>
      </c>
      <c r="N676" s="41">
        <f>IF(Tabela1716[[#This Row],[Existing Home Sales]]="",#N/A,((Tabela1716[[#This Row],[Existing Home Sales]]*1)/M664)-1)</f>
        <v>3.6121673003802313E-2</v>
      </c>
      <c r="O676" s="33">
        <v>587</v>
      </c>
      <c r="P676" s="41">
        <f>IF(Tabela1716[[#This Row],[New House Sales]]="",#N/A,((Tabela1716[[#This Row],[New House Sales]]*1)/O675)-1)</f>
        <v>2.4432809773123898E-2</v>
      </c>
      <c r="Q676" s="41">
        <f>IF(Tabela1716[[#This Row],[New House Sales]]="",#N/A,((Tabela1716[[#This Row],[New House Sales]]*1)/O664)-1)</f>
        <v>0.13539651837524169</v>
      </c>
      <c r="R676" s="27">
        <v>5.3</v>
      </c>
      <c r="S676" s="86">
        <v>185.02</v>
      </c>
      <c r="T676" s="41">
        <f>IF(Tabela1716[[#This Row],[S&amp;P/Case-Shiller Home Price Index]]="",#N/A,((Tabela1716[[#This Row],[S&amp;P/Case-Shiller Home Price Index]]*1)/S675)-1)</f>
        <v>1.9820854138008492E-3</v>
      </c>
      <c r="U676" s="41">
        <f>IF(Tabela1716[[#This Row],[S&amp;P/Case-Shiller Home Price Index]]="",#N/A,((Tabela1716[[#This Row],[S&amp;P/Case-Shiller Home Price Index]]*1)/S664)-1)</f>
        <v>5.5574255900592728E-2</v>
      </c>
      <c r="V676" s="37"/>
      <c r="W676" s="9"/>
      <c r="X676" s="9"/>
    </row>
    <row r="677" spans="1:24" ht="12.75">
      <c r="A677" s="12">
        <v>42795</v>
      </c>
      <c r="B677" s="26">
        <v>4.1399999999999997</v>
      </c>
      <c r="C677" s="29">
        <v>71</v>
      </c>
      <c r="D677" s="33">
        <v>1290</v>
      </c>
      <c r="E677" s="41">
        <f>IF(Tabela1716[[#This Row],[Building Permits]]="",#N/A,((Tabela1716[[#This Row],[Building Permits]]*1)/D665)-1)</f>
        <v>0.15384615384615374</v>
      </c>
      <c r="F677" s="33">
        <v>1071</v>
      </c>
      <c r="G677" s="41">
        <f>IF(Tabela1716[[#This Row],[Houses Under Construction]]="",#N/A,((Tabela1716[[#This Row],[Houses Under Construction]]*1)/F665)-1)</f>
        <v>8.5106382978723305E-2</v>
      </c>
      <c r="H677" s="33">
        <v>1190</v>
      </c>
      <c r="I677" s="33">
        <f>IF(Tabela1716[[#This Row],[Housing Starts]]="",#N/A,Tabela1716[[#This Row],[Housing Starts]]-H676)</f>
        <v>-81</v>
      </c>
      <c r="J677" s="41">
        <f>IF(Tabela1716[[#This Row],[Housing Starts]]="",#N/A,((Tabela1716[[#This Row],[Housing Starts]]*1)/H665)-1)</f>
        <v>7.1107110711071009E-2</v>
      </c>
      <c r="K677" s="33">
        <v>1272724</v>
      </c>
      <c r="L677" s="41">
        <f>IF(Tabela1716[[#This Row],[Total Construction Spending]]="",#N/A,((Tabela1716[[#This Row],[Total Construction Spending]]*1)/K665)-1)</f>
        <v>7.0617172621250779E-2</v>
      </c>
      <c r="M677" s="31">
        <v>5610</v>
      </c>
      <c r="N677" s="41">
        <f>IF(Tabela1716[[#This Row],[Existing Home Sales]]="",#N/A,((Tabela1716[[#This Row],[Existing Home Sales]]*1)/M665)-1)</f>
        <v>5.0561797752809001E-2</v>
      </c>
      <c r="O677" s="33">
        <v>632</v>
      </c>
      <c r="P677" s="41">
        <f>IF(Tabela1716[[#This Row],[New House Sales]]="",#N/A,((Tabela1716[[#This Row],[New House Sales]]*1)/O676)-1)</f>
        <v>7.6660988074957359E-2</v>
      </c>
      <c r="Q677" s="41">
        <f>IF(Tabela1716[[#This Row],[New House Sales]]="",#N/A,((Tabela1716[[#This Row],[New House Sales]]*1)/O665)-1)</f>
        <v>0.18796992481203012</v>
      </c>
      <c r="R677" s="27">
        <v>5</v>
      </c>
      <c r="S677" s="86">
        <v>186.52900000000002</v>
      </c>
      <c r="T677" s="41">
        <f>IF(Tabela1716[[#This Row],[S&amp;P/Case-Shiller Home Price Index]]="",#N/A,((Tabela1716[[#This Row],[S&amp;P/Case-Shiller Home Price Index]]*1)/S676)-1)</f>
        <v>8.1558750405361646E-3</v>
      </c>
      <c r="U677" s="41">
        <f>IF(Tabela1716[[#This Row],[S&amp;P/Case-Shiller Home Price Index]]="",#N/A,((Tabela1716[[#This Row],[S&amp;P/Case-Shiller Home Price Index]]*1)/S665)-1)</f>
        <v>5.6223103057757795E-2</v>
      </c>
      <c r="V677" s="39"/>
      <c r="W677" s="9"/>
      <c r="X677" s="9"/>
    </row>
    <row r="678" spans="1:24" ht="12.75">
      <c r="A678" s="12">
        <v>42826</v>
      </c>
      <c r="B678" s="26">
        <v>4.03</v>
      </c>
      <c r="C678" s="29">
        <v>68</v>
      </c>
      <c r="D678" s="33">
        <v>1252</v>
      </c>
      <c r="E678" s="41">
        <f>IF(Tabela1716[[#This Row],[Building Permits]]="",#N/A,((Tabela1716[[#This Row],[Building Permits]]*1)/D666)-1)</f>
        <v>7.9310344827586254E-2</v>
      </c>
      <c r="F678" s="33">
        <v>1075</v>
      </c>
      <c r="G678" s="41">
        <f>IF(Tabela1716[[#This Row],[Houses Under Construction]]="",#N/A,((Tabela1716[[#This Row],[Houses Under Construction]]*1)/F666)-1)</f>
        <v>7.7154308617234379E-2</v>
      </c>
      <c r="H678" s="33">
        <v>1146</v>
      </c>
      <c r="I678" s="33">
        <f>IF(Tabela1716[[#This Row],[Housing Starts]]="",#N/A,Tabela1716[[#This Row],[Housing Starts]]-H677)</f>
        <v>-44</v>
      </c>
      <c r="J678" s="41">
        <f>IF(Tabela1716[[#This Row],[Housing Starts]]="",#N/A,((Tabela1716[[#This Row],[Housing Starts]]*1)/H666)-1)</f>
        <v>-1.4617368873602765E-2</v>
      </c>
      <c r="K678" s="33">
        <v>1269079</v>
      </c>
      <c r="L678" s="41">
        <f>IF(Tabela1716[[#This Row],[Total Construction Spending]]="",#N/A,((Tabela1716[[#This Row],[Total Construction Spending]]*1)/K666)-1)</f>
        <v>7.0138173306057316E-2</v>
      </c>
      <c r="M678" s="31">
        <v>5560</v>
      </c>
      <c r="N678" s="41">
        <f>IF(Tabela1716[[#This Row],[Existing Home Sales]]="",#N/A,((Tabela1716[[#This Row],[Existing Home Sales]]*1)/M666)-1)</f>
        <v>1.6453382084095081E-2</v>
      </c>
      <c r="O678" s="33">
        <v>598</v>
      </c>
      <c r="P678" s="41">
        <f>IF(Tabela1716[[#This Row],[New House Sales]]="",#N/A,((Tabela1716[[#This Row],[New House Sales]]*1)/O677)-1)</f>
        <v>-5.3797468354430333E-2</v>
      </c>
      <c r="Q678" s="41">
        <f>IF(Tabela1716[[#This Row],[New House Sales]]="",#N/A,((Tabela1716[[#This Row],[New House Sales]]*1)/O666)-1)</f>
        <v>3.819444444444442E-2</v>
      </c>
      <c r="R678" s="27">
        <v>5.4</v>
      </c>
      <c r="S678" s="86">
        <v>188.54300000000001</v>
      </c>
      <c r="T678" s="41">
        <f>IF(Tabela1716[[#This Row],[S&amp;P/Case-Shiller Home Price Index]]="",#N/A,((Tabela1716[[#This Row],[S&amp;P/Case-Shiller Home Price Index]]*1)/S677)-1)</f>
        <v>1.0797248685191052E-2</v>
      </c>
      <c r="U678" s="41">
        <f>IF(Tabela1716[[#This Row],[S&amp;P/Case-Shiller Home Price Index]]="",#N/A,((Tabela1716[[#This Row],[S&amp;P/Case-Shiller Home Price Index]]*1)/S666)-1)</f>
        <v>5.6298811164520846E-2</v>
      </c>
      <c r="V678" s="37"/>
      <c r="W678" s="9"/>
      <c r="X678" s="9"/>
    </row>
    <row r="679" spans="1:24" ht="12.75">
      <c r="A679" s="12">
        <v>42856</v>
      </c>
      <c r="B679" s="26">
        <v>3.95</v>
      </c>
      <c r="C679" s="29">
        <v>69</v>
      </c>
      <c r="D679" s="33">
        <v>1205</v>
      </c>
      <c r="E679" s="41">
        <f>IF(Tabela1716[[#This Row],[Building Permits]]="",#N/A,((Tabela1716[[#This Row],[Building Permits]]*1)/D667)-1)</f>
        <v>0</v>
      </c>
      <c r="F679" s="33">
        <v>1071</v>
      </c>
      <c r="G679" s="41">
        <f>IF(Tabela1716[[#This Row],[Houses Under Construction]]="",#N/A,((Tabela1716[[#This Row],[Houses Under Construction]]*1)/F667)-1)</f>
        <v>6.039603960396045E-2</v>
      </c>
      <c r="H679" s="33">
        <v>1157</v>
      </c>
      <c r="I679" s="33">
        <f>IF(Tabela1716[[#This Row],[Housing Starts]]="",#N/A,Tabela1716[[#This Row],[Housing Starts]]-H678)</f>
        <v>11</v>
      </c>
      <c r="J679" s="41">
        <f>IF(Tabela1716[[#This Row],[Housing Starts]]="",#N/A,((Tabela1716[[#This Row],[Housing Starts]]*1)/H667)-1)</f>
        <v>7.8397212543555028E-3</v>
      </c>
      <c r="K679" s="33">
        <v>1282926</v>
      </c>
      <c r="L679" s="41">
        <f>IF(Tabela1716[[#This Row],[Total Construction Spending]]="",#N/A,((Tabela1716[[#This Row],[Total Construction Spending]]*1)/K667)-1)</f>
        <v>7.7468851963365726E-2</v>
      </c>
      <c r="M679" s="31">
        <v>5590</v>
      </c>
      <c r="N679" s="41">
        <f>IF(Tabela1716[[#This Row],[Existing Home Sales]]="",#N/A,((Tabela1716[[#This Row],[Existing Home Sales]]*1)/M667)-1)</f>
        <v>2.7573529411764719E-2</v>
      </c>
      <c r="O679" s="33">
        <v>635</v>
      </c>
      <c r="P679" s="41">
        <f>IF(Tabela1716[[#This Row],[New House Sales]]="",#N/A,((Tabela1716[[#This Row],[New House Sales]]*1)/O678)-1)</f>
        <v>6.1872909698996725E-2</v>
      </c>
      <c r="Q679" s="41">
        <f>IF(Tabela1716[[#This Row],[New House Sales]]="",#N/A,((Tabela1716[[#This Row],[New House Sales]]*1)/O667)-1)</f>
        <v>0.11208406304728546</v>
      </c>
      <c r="R679" s="27">
        <v>5.0999999999999996</v>
      </c>
      <c r="S679" s="86">
        <v>190.54</v>
      </c>
      <c r="T679" s="41">
        <f>IF(Tabela1716[[#This Row],[S&amp;P/Case-Shiller Home Price Index]]="",#N/A,((Tabela1716[[#This Row],[S&amp;P/Case-Shiller Home Price Index]]*1)/S678)-1)</f>
        <v>1.0591748301448378E-2</v>
      </c>
      <c r="U679" s="41">
        <f>IF(Tabela1716[[#This Row],[S&amp;P/Case-Shiller Home Price Index]]="",#N/A,((Tabela1716[[#This Row],[S&amp;P/Case-Shiller Home Price Index]]*1)/S667)-1)</f>
        <v>5.6542255590735557E-2</v>
      </c>
      <c r="V679" s="39"/>
      <c r="W679" s="9"/>
      <c r="X679" s="9"/>
    </row>
    <row r="680" spans="1:24" ht="12.75">
      <c r="A680" s="12">
        <v>42887</v>
      </c>
      <c r="B680" s="26">
        <v>3.88</v>
      </c>
      <c r="C680" s="29">
        <v>66</v>
      </c>
      <c r="D680" s="33">
        <v>1348</v>
      </c>
      <c r="E680" s="41">
        <f>IF(Tabela1716[[#This Row],[Building Permits]]="",#N/A,((Tabela1716[[#This Row],[Building Permits]]*1)/D668)-1)</f>
        <v>0.11589403973509937</v>
      </c>
      <c r="F680" s="33">
        <v>1073</v>
      </c>
      <c r="G680" s="41">
        <f>IF(Tabela1716[[#This Row],[Houses Under Construction]]="",#N/A,((Tabela1716[[#This Row],[Houses Under Construction]]*1)/F668)-1)</f>
        <v>5.610236220472431E-2</v>
      </c>
      <c r="H680" s="33">
        <v>1249</v>
      </c>
      <c r="I680" s="33">
        <f>IF(Tabela1716[[#This Row],[Housing Starts]]="",#N/A,Tabela1716[[#This Row],[Housing Starts]]-H679)</f>
        <v>92</v>
      </c>
      <c r="J680" s="41">
        <f>IF(Tabela1716[[#This Row],[Housing Starts]]="",#N/A,((Tabela1716[[#This Row],[Housing Starts]]*1)/H668)-1)</f>
        <v>3.8237738985868575E-2</v>
      </c>
      <c r="K680" s="33">
        <v>1277352</v>
      </c>
      <c r="L680" s="41">
        <f>IF(Tabela1716[[#This Row],[Total Construction Spending]]="",#N/A,((Tabela1716[[#This Row],[Total Construction Spending]]*1)/K668)-1)</f>
        <v>4.9070141031074099E-2</v>
      </c>
      <c r="M680" s="31">
        <v>5490</v>
      </c>
      <c r="N680" s="41">
        <f>IF(Tabela1716[[#This Row],[Existing Home Sales]]="",#N/A,((Tabela1716[[#This Row],[Existing Home Sales]]*1)/M668)-1)</f>
        <v>3.6563071297988081E-3</v>
      </c>
      <c r="O680" s="33">
        <v>619</v>
      </c>
      <c r="P680" s="41">
        <f>IF(Tabela1716[[#This Row],[New House Sales]]="",#N/A,((Tabela1716[[#This Row],[New House Sales]]*1)/O679)-1)</f>
        <v>-2.5196850393700787E-2</v>
      </c>
      <c r="Q680" s="41">
        <f>IF(Tabela1716[[#This Row],[New House Sales]]="",#N/A,((Tabela1716[[#This Row],[New House Sales]]*1)/O668)-1)</f>
        <v>0.11131059245960495</v>
      </c>
      <c r="R680" s="27">
        <v>5.3</v>
      </c>
      <c r="S680" s="86">
        <v>192.267</v>
      </c>
      <c r="T680" s="41">
        <f>IF(Tabela1716[[#This Row],[S&amp;P/Case-Shiller Home Price Index]]="",#N/A,((Tabela1716[[#This Row],[S&amp;P/Case-Shiller Home Price Index]]*1)/S679)-1)</f>
        <v>9.0637136559252873E-3</v>
      </c>
      <c r="U680" s="41">
        <f>IF(Tabela1716[[#This Row],[S&amp;P/Case-Shiller Home Price Index]]="",#N/A,((Tabela1716[[#This Row],[S&amp;P/Case-Shiller Home Price Index]]*1)/S668)-1)</f>
        <v>5.6911507635476033E-2</v>
      </c>
      <c r="V680" s="37"/>
      <c r="W680" s="9"/>
      <c r="X680" s="9"/>
    </row>
    <row r="681" spans="1:24" ht="12.75">
      <c r="A681" s="12">
        <v>42917</v>
      </c>
      <c r="B681" s="26">
        <v>3.92</v>
      </c>
      <c r="C681" s="29">
        <v>64</v>
      </c>
      <c r="D681" s="33">
        <v>1254</v>
      </c>
      <c r="E681" s="41">
        <f>IF(Tabela1716[[#This Row],[Building Permits]]="",#N/A,((Tabela1716[[#This Row],[Building Permits]]*1)/D669)-1)</f>
        <v>4.6744574290484175E-2</v>
      </c>
      <c r="F681" s="33">
        <v>1075</v>
      </c>
      <c r="G681" s="41">
        <f>IF(Tabela1716[[#This Row],[Houses Under Construction]]="",#N/A,((Tabela1716[[#This Row],[Houses Under Construction]]*1)/F669)-1)</f>
        <v>4.0658276863504428E-2</v>
      </c>
      <c r="H681" s="33">
        <v>1206</v>
      </c>
      <c r="I681" s="33">
        <f>IF(Tabela1716[[#This Row],[Housing Starts]]="",#N/A,Tabela1716[[#This Row],[Housing Starts]]-H680)</f>
        <v>-43</v>
      </c>
      <c r="J681" s="41">
        <f>IF(Tabela1716[[#This Row],[Housing Starts]]="",#N/A,((Tabela1716[[#This Row],[Housing Starts]]*1)/H669)-1)</f>
        <v>-2.6634382566585901E-2</v>
      </c>
      <c r="K681" s="33">
        <v>1275888</v>
      </c>
      <c r="L681" s="41">
        <f>IF(Tabela1716[[#This Row],[Total Construction Spending]]="",#N/A,((Tabela1716[[#This Row],[Total Construction Spending]]*1)/K669)-1)</f>
        <v>5.0518224303682358E-2</v>
      </c>
      <c r="M681" s="31">
        <v>5460</v>
      </c>
      <c r="N681" s="41">
        <f>IF(Tabela1716[[#This Row],[Existing Home Sales]]="",#N/A,((Tabela1716[[#This Row],[Existing Home Sales]]*1)/M669)-1)</f>
        <v>1.6759776536312776E-2</v>
      </c>
      <c r="O681" s="33">
        <v>572</v>
      </c>
      <c r="P681" s="41">
        <f>IF(Tabela1716[[#This Row],[New House Sales]]="",#N/A,((Tabela1716[[#This Row],[New House Sales]]*1)/O680)-1)</f>
        <v>-7.5928917609046853E-2</v>
      </c>
      <c r="Q681" s="41">
        <f>IF(Tabela1716[[#This Row],[New House Sales]]="",#N/A,((Tabela1716[[#This Row],[New House Sales]]*1)/O669)-1)</f>
        <v>-8.9171974522292974E-2</v>
      </c>
      <c r="R681" s="27">
        <v>5.8</v>
      </c>
      <c r="S681" s="86">
        <v>193.512</v>
      </c>
      <c r="T681" s="41">
        <f>IF(Tabela1716[[#This Row],[S&amp;P/Case-Shiller Home Price Index]]="",#N/A,((Tabela1716[[#This Row],[S&amp;P/Case-Shiller Home Price Index]]*1)/S680)-1)</f>
        <v>6.4753701883317749E-3</v>
      </c>
      <c r="U681" s="41">
        <f>IF(Tabela1716[[#This Row],[S&amp;P/Case-Shiller Home Price Index]]="",#N/A,((Tabela1716[[#This Row],[S&amp;P/Case-Shiller Home Price Index]]*1)/S669)-1)</f>
        <v>5.7350177033701932E-2</v>
      </c>
      <c r="V681" s="39"/>
      <c r="W681" s="9"/>
      <c r="X681" s="9"/>
    </row>
    <row r="682" spans="1:24" ht="12.75">
      <c r="A682" s="12">
        <v>42948</v>
      </c>
      <c r="B682" s="26">
        <v>3.82</v>
      </c>
      <c r="C682" s="29">
        <v>67</v>
      </c>
      <c r="D682" s="33">
        <v>1322</v>
      </c>
      <c r="E682" s="41">
        <f>IF(Tabela1716[[#This Row],[Building Permits]]="",#N/A,((Tabela1716[[#This Row],[Building Permits]]*1)/D670)-1)</f>
        <v>0.10074937552039964</v>
      </c>
      <c r="F682" s="33">
        <v>1083</v>
      </c>
      <c r="G682" s="41">
        <f>IF(Tabela1716[[#This Row],[Houses Under Construction]]="",#N/A,((Tabela1716[[#This Row],[Houses Under Construction]]*1)/F670)-1)</f>
        <v>4.3352601156069426E-2</v>
      </c>
      <c r="H682" s="33">
        <v>1159</v>
      </c>
      <c r="I682" s="33">
        <f>IF(Tabela1716[[#This Row],[Housing Starts]]="",#N/A,Tabela1716[[#This Row],[Housing Starts]]-H681)</f>
        <v>-47</v>
      </c>
      <c r="J682" s="41">
        <f>IF(Tabela1716[[#This Row],[Housing Starts]]="",#N/A,((Tabela1716[[#This Row],[Housing Starts]]*1)/H670)-1)</f>
        <v>-1.0247651579846306E-2</v>
      </c>
      <c r="K682" s="33">
        <v>1274974</v>
      </c>
      <c r="L682" s="41">
        <f>IF(Tabela1716[[#This Row],[Total Construction Spending]]="",#N/A,((Tabela1716[[#This Row],[Total Construction Spending]]*1)/K670)-1)</f>
        <v>4.3990992835209797E-2</v>
      </c>
      <c r="M682" s="31">
        <v>5390</v>
      </c>
      <c r="N682" s="41">
        <f>IF(Tabela1716[[#This Row],[Existing Home Sales]]="",#N/A,((Tabela1716[[#This Row],[Existing Home Sales]]*1)/M670)-1)</f>
        <v>-1.8518518518518823E-3</v>
      </c>
      <c r="O682" s="33">
        <v>556</v>
      </c>
      <c r="P682" s="41">
        <f>IF(Tabela1716[[#This Row],[New House Sales]]="",#N/A,((Tabela1716[[#This Row],[New House Sales]]*1)/O681)-1)</f>
        <v>-2.7972027972028024E-2</v>
      </c>
      <c r="Q682" s="41">
        <f>IF(Tabela1716[[#This Row],[New House Sales]]="",#N/A,((Tabela1716[[#This Row],[New House Sales]]*1)/O670)-1)</f>
        <v>-3.3043478260869619E-2</v>
      </c>
      <c r="R682" s="27">
        <v>6.1</v>
      </c>
      <c r="S682" s="86">
        <v>194.34700000000001</v>
      </c>
      <c r="T682" s="41">
        <f>IF(Tabela1716[[#This Row],[S&amp;P/Case-Shiller Home Price Index]]="",#N/A,((Tabela1716[[#This Row],[S&amp;P/Case-Shiller Home Price Index]]*1)/S681)-1)</f>
        <v>4.3149778825086749E-3</v>
      </c>
      <c r="U682" s="41">
        <f>IF(Tabela1716[[#This Row],[S&amp;P/Case-Shiller Home Price Index]]="",#N/A,((Tabela1716[[#This Row],[S&amp;P/Case-Shiller Home Price Index]]*1)/S670)-1)</f>
        <v>5.8223616147756063E-2</v>
      </c>
      <c r="V682" s="37"/>
      <c r="W682" s="9"/>
      <c r="X682" s="9"/>
    </row>
    <row r="683" spans="1:24" ht="12.75">
      <c r="A683" s="12">
        <v>42979</v>
      </c>
      <c r="B683" s="26">
        <v>3.83</v>
      </c>
      <c r="C683" s="29">
        <v>64</v>
      </c>
      <c r="D683" s="33">
        <v>1266</v>
      </c>
      <c r="E683" s="41">
        <f>IF(Tabela1716[[#This Row],[Building Permits]]="",#N/A,((Tabela1716[[#This Row],[Building Permits]]*1)/D671)-1)</f>
        <v>-2.839600920951646E-2</v>
      </c>
      <c r="F683" s="33">
        <v>1093</v>
      </c>
      <c r="G683" s="41">
        <f>IF(Tabela1716[[#This Row],[Houses Under Construction]]="",#N/A,((Tabela1716[[#This Row],[Houses Under Construction]]*1)/F671)-1)</f>
        <v>5.2986512524084706E-2</v>
      </c>
      <c r="H683" s="33">
        <v>1181</v>
      </c>
      <c r="I683" s="33">
        <f>IF(Tabela1716[[#This Row],[Housing Starts]]="",#N/A,Tabela1716[[#This Row],[Housing Starts]]-H682)</f>
        <v>22</v>
      </c>
      <c r="J683" s="41">
        <f>IF(Tabela1716[[#This Row],[Housing Starts]]="",#N/A,((Tabela1716[[#This Row],[Housing Starts]]*1)/H671)-1)</f>
        <v>0.10580524344569286</v>
      </c>
      <c r="K683" s="33">
        <v>1281172</v>
      </c>
      <c r="L683" s="41">
        <f>IF(Tabela1716[[#This Row],[Total Construction Spending]]="",#N/A,((Tabela1716[[#This Row],[Total Construction Spending]]*1)/K671)-1)</f>
        <v>3.9542759960338847E-2</v>
      </c>
      <c r="M683" s="31">
        <v>5450</v>
      </c>
      <c r="N683" s="41">
        <f>IF(Tabela1716[[#This Row],[Existing Home Sales]]="",#N/A,((Tabela1716[[#This Row],[Existing Home Sales]]*1)/M671)-1)</f>
        <v>-3.6563071297989191E-3</v>
      </c>
      <c r="O683" s="33">
        <v>637</v>
      </c>
      <c r="P683" s="41">
        <f>IF(Tabela1716[[#This Row],[New House Sales]]="",#N/A,((Tabela1716[[#This Row],[New House Sales]]*1)/O682)-1)</f>
        <v>0.14568345323741005</v>
      </c>
      <c r="Q683" s="41">
        <f>IF(Tabela1716[[#This Row],[New House Sales]]="",#N/A,((Tabela1716[[#This Row],[New House Sales]]*1)/O671)-1)</f>
        <v>0.14157706093189959</v>
      </c>
      <c r="R683" s="27">
        <v>5.3</v>
      </c>
      <c r="S683" s="86">
        <v>194.81799999999998</v>
      </c>
      <c r="T683" s="41">
        <f>IF(Tabela1716[[#This Row],[S&amp;P/Case-Shiller Home Price Index]]="",#N/A,((Tabela1716[[#This Row],[S&amp;P/Case-Shiller Home Price Index]]*1)/S682)-1)</f>
        <v>2.423500234117304E-3</v>
      </c>
      <c r="U683" s="41">
        <f>IF(Tabela1716[[#This Row],[S&amp;P/Case-Shiller Home Price Index]]="",#N/A,((Tabela1716[[#This Row],[S&amp;P/Case-Shiller Home Price Index]]*1)/S671)-1)</f>
        <v>5.9115817857608555E-2</v>
      </c>
      <c r="V683" s="39"/>
      <c r="W683" s="9"/>
      <c r="X683" s="9"/>
    </row>
    <row r="684" spans="1:24" ht="12.75">
      <c r="A684" s="12">
        <v>43009</v>
      </c>
      <c r="B684" s="26">
        <v>3.94</v>
      </c>
      <c r="C684" s="29">
        <v>68</v>
      </c>
      <c r="D684" s="33">
        <v>1350</v>
      </c>
      <c r="E684" s="41">
        <f>IF(Tabela1716[[#This Row],[Building Permits]]="",#N/A,((Tabela1716[[#This Row],[Building Permits]]*1)/D672)-1)</f>
        <v>7.6555023923444931E-2</v>
      </c>
      <c r="F684" s="33">
        <v>1101</v>
      </c>
      <c r="G684" s="41">
        <f>IF(Tabela1716[[#This Row],[Houses Under Construction]]="",#N/A,((Tabela1716[[#This Row],[Houses Under Construction]]*1)/F672)-1)</f>
        <v>4.5584045584045496E-2</v>
      </c>
      <c r="H684" s="33">
        <v>1257</v>
      </c>
      <c r="I684" s="33">
        <f>IF(Tabela1716[[#This Row],[Housing Starts]]="",#N/A,Tabela1716[[#This Row],[Housing Starts]]-H683)</f>
        <v>76</v>
      </c>
      <c r="J684" s="41">
        <f>IF(Tabela1716[[#This Row],[Housing Starts]]="",#N/A,((Tabela1716[[#This Row],[Housing Starts]]*1)/H672)-1)</f>
        <v>-4.2650418888042663E-2</v>
      </c>
      <c r="K684" s="33">
        <v>1283266</v>
      </c>
      <c r="L684" s="41">
        <f>IF(Tabela1716[[#This Row],[Total Construction Spending]]="",#N/A,((Tabela1716[[#This Row],[Total Construction Spending]]*1)/K672)-1)</f>
        <v>3.3974699863024815E-2</v>
      </c>
      <c r="M684" s="31">
        <v>5460</v>
      </c>
      <c r="N684" s="41">
        <f>IF(Tabela1716[[#This Row],[Existing Home Sales]]="",#N/A,((Tabela1716[[#This Row],[Existing Home Sales]]*1)/M672)-1)</f>
        <v>-1.7985611510791366E-2</v>
      </c>
      <c r="O684" s="33">
        <v>626</v>
      </c>
      <c r="P684" s="41">
        <f>IF(Tabela1716[[#This Row],[New House Sales]]="",#N/A,((Tabela1716[[#This Row],[New House Sales]]*1)/O683)-1)</f>
        <v>-1.7268445839874413E-2</v>
      </c>
      <c r="Q684" s="41">
        <f>IF(Tabela1716[[#This Row],[New House Sales]]="",#N/A,((Tabela1716[[#This Row],[New House Sales]]*1)/O672)-1)</f>
        <v>8.8695652173913064E-2</v>
      </c>
      <c r="R684" s="27">
        <v>5.5</v>
      </c>
      <c r="S684" s="86">
        <v>195.08500000000001</v>
      </c>
      <c r="T684" s="41">
        <f>IF(Tabela1716[[#This Row],[S&amp;P/Case-Shiller Home Price Index]]="",#N/A,((Tabela1716[[#This Row],[S&amp;P/Case-Shiller Home Price Index]]*1)/S683)-1)</f>
        <v>1.3705099118153097E-3</v>
      </c>
      <c r="U684" s="41">
        <f>IF(Tabela1716[[#This Row],[S&amp;P/Case-Shiller Home Price Index]]="",#N/A,((Tabela1716[[#This Row],[S&amp;P/Case-Shiller Home Price Index]]*1)/S672)-1)</f>
        <v>6.0140855785847158E-2</v>
      </c>
      <c r="V684" s="37"/>
      <c r="W684" s="9"/>
      <c r="X684" s="9"/>
    </row>
    <row r="685" spans="1:24" ht="12.75">
      <c r="A685" s="12">
        <v>43040</v>
      </c>
      <c r="B685" s="26">
        <v>3.9</v>
      </c>
      <c r="C685" s="29">
        <v>69</v>
      </c>
      <c r="D685" s="33">
        <v>1290</v>
      </c>
      <c r="E685" s="41">
        <f>IF(Tabela1716[[#This Row],[Building Permits]]="",#N/A,((Tabela1716[[#This Row],[Building Permits]]*1)/D673)-1)</f>
        <v>4.8780487804878092E-2</v>
      </c>
      <c r="F685" s="33">
        <v>1107</v>
      </c>
      <c r="G685" s="41">
        <f>IF(Tabela1716[[#This Row],[Houses Under Construction]]="",#N/A,((Tabela1716[[#This Row],[Houses Under Construction]]*1)/F673)-1)</f>
        <v>6.2380038387715997E-2</v>
      </c>
      <c r="H685" s="33">
        <v>1273</v>
      </c>
      <c r="I685" s="33">
        <f>IF(Tabela1716[[#This Row],[Housing Starts]]="",#N/A,Tabela1716[[#This Row],[Housing Starts]]-H684)</f>
        <v>16</v>
      </c>
      <c r="J685" s="41">
        <f>IF(Tabela1716[[#This Row],[Housing Starts]]="",#N/A,((Tabela1716[[#This Row],[Housing Starts]]*1)/H673)-1)</f>
        <v>0.1166666666666667</v>
      </c>
      <c r="K685" s="33">
        <v>1308896</v>
      </c>
      <c r="L685" s="41">
        <f>IF(Tabela1716[[#This Row],[Total Construction Spending]]="",#N/A,((Tabela1716[[#This Row],[Total Construction Spending]]*1)/K673)-1)</f>
        <v>3.4797739866438082E-2</v>
      </c>
      <c r="M685" s="31">
        <v>5620</v>
      </c>
      <c r="N685" s="41">
        <f>IF(Tabela1716[[#This Row],[Existing Home Sales]]="",#N/A,((Tabela1716[[#This Row],[Existing Home Sales]]*1)/M673)-1)</f>
        <v>1.9963702359346636E-2</v>
      </c>
      <c r="O685" s="33">
        <v>711</v>
      </c>
      <c r="P685" s="41">
        <f>IF(Tabela1716[[#This Row],[New House Sales]]="",#N/A,((Tabela1716[[#This Row],[New House Sales]]*1)/O684)-1)</f>
        <v>0.1357827476038338</v>
      </c>
      <c r="Q685" s="41">
        <f>IF(Tabela1716[[#This Row],[New House Sales]]="",#N/A,((Tabela1716[[#This Row],[New House Sales]]*1)/O673)-1)</f>
        <v>0.24518388791593693</v>
      </c>
      <c r="R685" s="27">
        <v>4.8</v>
      </c>
      <c r="S685" s="86">
        <v>195.452</v>
      </c>
      <c r="T685" s="41">
        <f>IF(Tabela1716[[#This Row],[S&amp;P/Case-Shiller Home Price Index]]="",#N/A,((Tabela1716[[#This Row],[S&amp;P/Case-Shiller Home Price Index]]*1)/S684)-1)</f>
        <v>1.8812312581695245E-3</v>
      </c>
      <c r="U685" s="41">
        <f>IF(Tabela1716[[#This Row],[S&amp;P/Case-Shiller Home Price Index]]="",#N/A,((Tabela1716[[#This Row],[S&amp;P/Case-Shiller Home Price Index]]*1)/S673)-1)</f>
        <v>6.0907230596370932E-2</v>
      </c>
      <c r="V685" s="39"/>
      <c r="W685" s="9"/>
      <c r="X685" s="9"/>
    </row>
    <row r="686" spans="1:24" ht="12.75">
      <c r="A686" s="12">
        <v>43070</v>
      </c>
      <c r="B686" s="26">
        <v>3.99</v>
      </c>
      <c r="C686" s="29">
        <v>74</v>
      </c>
      <c r="D686" s="33">
        <v>1304</v>
      </c>
      <c r="E686" s="41">
        <f>IF(Tabela1716[[#This Row],[Building Permits]]="",#N/A,((Tabela1716[[#This Row],[Building Permits]]*1)/D674)-1)</f>
        <v>4.4871794871794934E-2</v>
      </c>
      <c r="F686" s="33">
        <v>1100</v>
      </c>
      <c r="G686" s="41">
        <f>IF(Tabela1716[[#This Row],[Houses Under Construction]]="",#N/A,((Tabela1716[[#This Row],[Houses Under Construction]]*1)/F674)-1)</f>
        <v>4.0681173131504211E-2</v>
      </c>
      <c r="H686" s="33">
        <v>1177</v>
      </c>
      <c r="I686" s="33">
        <f>IF(Tabela1716[[#This Row],[Housing Starts]]="",#N/A,Tabela1716[[#This Row],[Housing Starts]]-H685)</f>
        <v>-96</v>
      </c>
      <c r="J686" s="41">
        <f>IF(Tabela1716[[#This Row],[Housing Starts]]="",#N/A,((Tabela1716[[#This Row],[Housing Starts]]*1)/H674)-1)</f>
        <v>-5.9904153354632617E-2</v>
      </c>
      <c r="K686" s="33">
        <v>1313666</v>
      </c>
      <c r="L686" s="41">
        <f>IF(Tabela1716[[#This Row],[Total Construction Spending]]="",#N/A,((Tabela1716[[#This Row],[Total Construction Spending]]*1)/K674)-1)</f>
        <v>3.4021990754406151E-2</v>
      </c>
      <c r="M686" s="31">
        <v>5570</v>
      </c>
      <c r="N686" s="41">
        <f>IF(Tabela1716[[#This Row],[Existing Home Sales]]="",#N/A,((Tabela1716[[#This Row],[Existing Home Sales]]*1)/M674)-1)</f>
        <v>9.0579710144926828E-3</v>
      </c>
      <c r="O686" s="33">
        <v>630</v>
      </c>
      <c r="P686" s="41">
        <f>IF(Tabela1716[[#This Row],[New House Sales]]="",#N/A,((Tabela1716[[#This Row],[New House Sales]]*1)/O685)-1)</f>
        <v>-0.11392405063291144</v>
      </c>
      <c r="Q686" s="41">
        <f>IF(Tabela1716[[#This Row],[New House Sales]]="",#N/A,((Tabela1716[[#This Row],[New House Sales]]*1)/O674)-1)</f>
        <v>0.12299465240641716</v>
      </c>
      <c r="R686" s="27">
        <v>5.6</v>
      </c>
      <c r="S686" s="86">
        <v>195.84799999999998</v>
      </c>
      <c r="T686" s="41">
        <f>IF(Tabela1716[[#This Row],[S&amp;P/Case-Shiller Home Price Index]]="",#N/A,((Tabela1716[[#This Row],[S&amp;P/Case-Shiller Home Price Index]]*1)/S685)-1)</f>
        <v>2.0260728976935205E-3</v>
      </c>
      <c r="U686" s="41">
        <f>IF(Tabela1716[[#This Row],[S&amp;P/Case-Shiller Home Price Index]]="",#N/A,((Tabela1716[[#This Row],[S&amp;P/Case-Shiller Home Price Index]]*1)/S674)-1)</f>
        <v>6.2065150783880974E-2</v>
      </c>
      <c r="V686" s="37"/>
      <c r="W686" s="9"/>
      <c r="X686" s="9"/>
    </row>
    <row r="687" spans="1:24" ht="12.75">
      <c r="A687" s="12">
        <v>43101</v>
      </c>
      <c r="B687" s="26">
        <v>4.1500000000000004</v>
      </c>
      <c r="C687" s="29">
        <v>72</v>
      </c>
      <c r="D687" s="33">
        <v>1314</v>
      </c>
      <c r="E687" s="41">
        <f>IF(Tabela1716[[#This Row],[Building Permits]]="",#N/A,((Tabela1716[[#This Row],[Building Permits]]*1)/D675)-1)</f>
        <v>9.9923136049193673E-3</v>
      </c>
      <c r="F687" s="33">
        <v>1105</v>
      </c>
      <c r="G687" s="41">
        <f>IF(Tabela1716[[#This Row],[Houses Under Construction]]="",#N/A,((Tabela1716[[#This Row],[Houses Under Construction]]*1)/F675)-1)</f>
        <v>3.9510818438381889E-2</v>
      </c>
      <c r="H687" s="33">
        <v>1299</v>
      </c>
      <c r="I687" s="33">
        <f>IF(Tabela1716[[#This Row],[Housing Starts]]="",#N/A,Tabela1716[[#This Row],[Housing Starts]]-H686)</f>
        <v>122</v>
      </c>
      <c r="J687" s="41">
        <f>IF(Tabela1716[[#This Row],[Housing Starts]]="",#N/A,((Tabela1716[[#This Row],[Housing Starts]]*1)/H675)-1)</f>
        <v>9.1596638655462082E-2</v>
      </c>
      <c r="K687" s="33">
        <v>1336469</v>
      </c>
      <c r="L687" s="41">
        <f>IF(Tabela1716[[#This Row],[Total Construction Spending]]="",#N/A,((Tabela1716[[#This Row],[Total Construction Spending]]*1)/K675)-1)</f>
        <v>6.5269495920158294E-2</v>
      </c>
      <c r="M687" s="31">
        <v>5410</v>
      </c>
      <c r="N687" s="41">
        <f>IF(Tabela1716[[#This Row],[Existing Home Sales]]="",#N/A,((Tabela1716[[#This Row],[Existing Home Sales]]*1)/M675)-1)</f>
        <v>-4.585537918871252E-2</v>
      </c>
      <c r="O687" s="33">
        <v>590</v>
      </c>
      <c r="P687" s="41">
        <f>IF(Tabela1716[[#This Row],[New House Sales]]="",#N/A,((Tabela1716[[#This Row],[New House Sales]]*1)/O686)-1)</f>
        <v>-6.3492063492063489E-2</v>
      </c>
      <c r="Q687" s="41">
        <f>IF(Tabela1716[[#This Row],[New House Sales]]="",#N/A,((Tabela1716[[#This Row],[New House Sales]]*1)/O675)-1)</f>
        <v>2.9668411867364686E-2</v>
      </c>
      <c r="R687" s="27">
        <v>6</v>
      </c>
      <c r="S687" s="86">
        <v>196.114</v>
      </c>
      <c r="T687" s="41">
        <f>IF(Tabela1716[[#This Row],[S&amp;P/Case-Shiller Home Price Index]]="",#N/A,((Tabela1716[[#This Row],[S&amp;P/Case-Shiller Home Price Index]]*1)/S686)-1)</f>
        <v>1.3581961521180741E-3</v>
      </c>
      <c r="U687" s="41">
        <f>IF(Tabela1716[[#This Row],[S&amp;P/Case-Shiller Home Price Index]]="",#N/A,((Tabela1716[[#This Row],[S&amp;P/Case-Shiller Home Price Index]]*1)/S675)-1)</f>
        <v>6.206201869442296E-2</v>
      </c>
      <c r="V687" s="39"/>
      <c r="W687" s="9"/>
      <c r="X687" s="9"/>
    </row>
    <row r="688" spans="1:24" ht="12.75">
      <c r="A688" s="12">
        <v>43132</v>
      </c>
      <c r="B688" s="26">
        <v>4.4000000000000004</v>
      </c>
      <c r="C688" s="29">
        <v>71</v>
      </c>
      <c r="D688" s="33">
        <v>1342</v>
      </c>
      <c r="E688" s="41">
        <f>IF(Tabela1716[[#This Row],[Building Permits]]="",#N/A,((Tabela1716[[#This Row],[Building Permits]]*1)/D676)-1)</f>
        <v>7.9646017699114946E-2</v>
      </c>
      <c r="F688" s="33">
        <v>1109</v>
      </c>
      <c r="G688" s="41">
        <f>IF(Tabela1716[[#This Row],[Houses Under Construction]]="",#N/A,((Tabela1716[[#This Row],[Houses Under Construction]]*1)/F676)-1)</f>
        <v>3.6448598130841114E-2</v>
      </c>
      <c r="H688" s="33">
        <v>1277</v>
      </c>
      <c r="I688" s="33">
        <f>IF(Tabela1716[[#This Row],[Housing Starts]]="",#N/A,Tabela1716[[#This Row],[Housing Starts]]-H687)</f>
        <v>-22</v>
      </c>
      <c r="J688" s="41">
        <f>IF(Tabela1716[[#This Row],[Housing Starts]]="",#N/A,((Tabela1716[[#This Row],[Housing Starts]]*1)/H676)-1)</f>
        <v>4.7206923682139301E-3</v>
      </c>
      <c r="K688" s="33">
        <v>1355105</v>
      </c>
      <c r="L688" s="41">
        <f>IF(Tabela1716[[#This Row],[Total Construction Spending]]="",#N/A,((Tabela1716[[#This Row],[Total Construction Spending]]*1)/K676)-1)</f>
        <v>6.2068592558571778E-2</v>
      </c>
      <c r="M688" s="31">
        <v>5480</v>
      </c>
      <c r="N688" s="41">
        <f>IF(Tabela1716[[#This Row],[Existing Home Sales]]="",#N/A,((Tabela1716[[#This Row],[Existing Home Sales]]*1)/M676)-1)</f>
        <v>5.5045871559633586E-3</v>
      </c>
      <c r="O688" s="33">
        <v>618</v>
      </c>
      <c r="P688" s="41">
        <f>IF(Tabela1716[[#This Row],[New House Sales]]="",#N/A,((Tabela1716[[#This Row],[New House Sales]]*1)/O687)-1)</f>
        <v>4.7457627118643986E-2</v>
      </c>
      <c r="Q688" s="41">
        <f>IF(Tabela1716[[#This Row],[New House Sales]]="",#N/A,((Tabela1716[[#This Row],[New House Sales]]*1)/O676)-1)</f>
        <v>5.2810902896081702E-2</v>
      </c>
      <c r="R688" s="27">
        <v>5.7</v>
      </c>
      <c r="S688" s="86">
        <v>196.90099999999998</v>
      </c>
      <c r="T688" s="41">
        <f>IF(Tabela1716[[#This Row],[S&amp;P/Case-Shiller Home Price Index]]="",#N/A,((Tabela1716[[#This Row],[S&amp;P/Case-Shiller Home Price Index]]*1)/S687)-1)</f>
        <v>4.0129720468706775E-3</v>
      </c>
      <c r="U688" s="41">
        <f>IF(Tabela1716[[#This Row],[S&amp;P/Case-Shiller Home Price Index]]="",#N/A,((Tabela1716[[#This Row],[S&amp;P/Case-Shiller Home Price Index]]*1)/S676)-1)</f>
        <v>6.4214679494108529E-2</v>
      </c>
      <c r="V688" s="37"/>
      <c r="W688" s="9"/>
      <c r="X688" s="9"/>
    </row>
    <row r="689" spans="1:24" ht="12.75">
      <c r="A689" s="12">
        <v>43160</v>
      </c>
      <c r="B689" s="26">
        <v>4.4400000000000004</v>
      </c>
      <c r="C689" s="29">
        <v>70</v>
      </c>
      <c r="D689" s="33">
        <v>1402</v>
      </c>
      <c r="E689" s="41">
        <f>IF(Tabela1716[[#This Row],[Building Permits]]="",#N/A,((Tabela1716[[#This Row],[Building Permits]]*1)/D677)-1)</f>
        <v>8.6821705426356699E-2</v>
      </c>
      <c r="F689" s="33">
        <v>1121</v>
      </c>
      <c r="G689" s="41">
        <f>IF(Tabela1716[[#This Row],[Houses Under Construction]]="",#N/A,((Tabela1716[[#This Row],[Houses Under Construction]]*1)/F677)-1)</f>
        <v>4.6685340802987918E-2</v>
      </c>
      <c r="H689" s="33">
        <v>1318</v>
      </c>
      <c r="I689" s="33">
        <f>IF(Tabela1716[[#This Row],[Housing Starts]]="",#N/A,Tabela1716[[#This Row],[Housing Starts]]-H688)</f>
        <v>41</v>
      </c>
      <c r="J689" s="41">
        <f>IF(Tabela1716[[#This Row],[Housing Starts]]="",#N/A,((Tabela1716[[#This Row],[Housing Starts]]*1)/H677)-1)</f>
        <v>0.1075630252100841</v>
      </c>
      <c r="K689" s="33">
        <v>1344968</v>
      </c>
      <c r="L689" s="41">
        <f>IF(Tabela1716[[#This Row],[Total Construction Spending]]="",#N/A,((Tabela1716[[#This Row],[Total Construction Spending]]*1)/K677)-1)</f>
        <v>5.676328881988546E-2</v>
      </c>
      <c r="M689" s="31">
        <v>5530</v>
      </c>
      <c r="N689" s="41">
        <f>IF(Tabela1716[[#This Row],[Existing Home Sales]]="",#N/A,((Tabela1716[[#This Row],[Existing Home Sales]]*1)/M677)-1)</f>
        <v>-1.4260249554367221E-2</v>
      </c>
      <c r="O689" s="33">
        <v>679</v>
      </c>
      <c r="P689" s="41">
        <f>IF(Tabela1716[[#This Row],[New House Sales]]="",#N/A,((Tabela1716[[#This Row],[New House Sales]]*1)/O688)-1)</f>
        <v>9.8705501618123082E-2</v>
      </c>
      <c r="Q689" s="41">
        <f>IF(Tabela1716[[#This Row],[New House Sales]]="",#N/A,((Tabela1716[[#This Row],[New House Sales]]*1)/O677)-1)</f>
        <v>7.4367088607594889E-2</v>
      </c>
      <c r="R689" s="27">
        <v>5.2</v>
      </c>
      <c r="S689" s="86">
        <v>198.57</v>
      </c>
      <c r="T689" s="41">
        <f>IF(Tabela1716[[#This Row],[S&amp;P/Case-Shiller Home Price Index]]="",#N/A,((Tabela1716[[#This Row],[S&amp;P/Case-Shiller Home Price Index]]*1)/S688)-1)</f>
        <v>8.4763409022809988E-3</v>
      </c>
      <c r="U689" s="41">
        <f>IF(Tabela1716[[#This Row],[S&amp;P/Case-Shiller Home Price Index]]="",#N/A,((Tabela1716[[#This Row],[S&amp;P/Case-Shiller Home Price Index]]*1)/S677)-1)</f>
        <v>6.4552964954510905E-2</v>
      </c>
      <c r="V689" s="39"/>
      <c r="W689" s="9"/>
      <c r="X689" s="9"/>
    </row>
    <row r="690" spans="1:24" ht="12.75">
      <c r="A690" s="12">
        <v>43191</v>
      </c>
      <c r="B690" s="26">
        <v>4.58</v>
      </c>
      <c r="C690" s="29">
        <v>68</v>
      </c>
      <c r="D690" s="33">
        <v>1388</v>
      </c>
      <c r="E690" s="41">
        <f>IF(Tabela1716[[#This Row],[Building Permits]]="",#N/A,((Tabela1716[[#This Row],[Building Permits]]*1)/D678)-1)</f>
        <v>0.10862619808306717</v>
      </c>
      <c r="F690" s="33">
        <v>1124</v>
      </c>
      <c r="G690" s="41">
        <f>IF(Tabela1716[[#This Row],[Houses Under Construction]]="",#N/A,((Tabela1716[[#This Row],[Houses Under Construction]]*1)/F678)-1)</f>
        <v>4.5581395348837317E-2</v>
      </c>
      <c r="H690" s="33">
        <v>1276</v>
      </c>
      <c r="I690" s="33">
        <f>IF(Tabela1716[[#This Row],[Housing Starts]]="",#N/A,Tabela1716[[#This Row],[Housing Starts]]-H689)</f>
        <v>-42</v>
      </c>
      <c r="J690" s="41">
        <f>IF(Tabela1716[[#This Row],[Housing Starts]]="",#N/A,((Tabela1716[[#This Row],[Housing Starts]]*1)/H678)-1)</f>
        <v>0.11343804537521818</v>
      </c>
      <c r="K690" s="33">
        <v>1355101</v>
      </c>
      <c r="L690" s="41">
        <f>IF(Tabela1716[[#This Row],[Total Construction Spending]]="",#N/A,((Tabela1716[[#This Row],[Total Construction Spending]]*1)/K678)-1)</f>
        <v>6.7783014296194377E-2</v>
      </c>
      <c r="M690" s="31">
        <v>5470</v>
      </c>
      <c r="N690" s="41">
        <f>IF(Tabela1716[[#This Row],[Existing Home Sales]]="",#N/A,((Tabela1716[[#This Row],[Existing Home Sales]]*1)/M678)-1)</f>
        <v>-1.6187050359712241E-2</v>
      </c>
      <c r="O690" s="33">
        <v>642</v>
      </c>
      <c r="P690" s="41">
        <f>IF(Tabela1716[[#This Row],[New House Sales]]="",#N/A,((Tabela1716[[#This Row],[New House Sales]]*1)/O689)-1)</f>
        <v>-5.4491899852724623E-2</v>
      </c>
      <c r="Q690" s="41">
        <f>IF(Tabela1716[[#This Row],[New House Sales]]="",#N/A,((Tabela1716[[#This Row],[New House Sales]]*1)/O678)-1)</f>
        <v>7.3578595317725703E-2</v>
      </c>
      <c r="R690" s="27">
        <v>5.6</v>
      </c>
      <c r="S690" s="86">
        <v>200.61500000000001</v>
      </c>
      <c r="T690" s="41">
        <f>IF(Tabela1716[[#This Row],[S&amp;P/Case-Shiller Home Price Index]]="",#N/A,((Tabela1716[[#This Row],[S&amp;P/Case-Shiller Home Price Index]]*1)/S689)-1)</f>
        <v>1.029863524198027E-2</v>
      </c>
      <c r="U690" s="41">
        <f>IF(Tabela1716[[#This Row],[S&amp;P/Case-Shiller Home Price Index]]="",#N/A,((Tabela1716[[#This Row],[S&amp;P/Case-Shiller Home Price Index]]*1)/S678)-1)</f>
        <v>6.4027834499291947E-2</v>
      </c>
      <c r="V690" s="37"/>
      <c r="W690" s="9"/>
      <c r="X690" s="9"/>
    </row>
    <row r="691" spans="1:24" ht="12.75">
      <c r="A691" s="12">
        <v>43221</v>
      </c>
      <c r="B691" s="26">
        <v>4.5599999999999996</v>
      </c>
      <c r="C691" s="29">
        <v>70</v>
      </c>
      <c r="D691" s="33">
        <v>1339</v>
      </c>
      <c r="E691" s="41">
        <f>IF(Tabela1716[[#This Row],[Building Permits]]="",#N/A,((Tabela1716[[#This Row],[Building Permits]]*1)/D679)-1)</f>
        <v>0.11120331950207474</v>
      </c>
      <c r="F691" s="33">
        <v>1131</v>
      </c>
      <c r="G691" s="41">
        <f>IF(Tabela1716[[#This Row],[Houses Under Construction]]="",#N/A,((Tabela1716[[#This Row],[Houses Under Construction]]*1)/F679)-1)</f>
        <v>5.6022408963585457E-2</v>
      </c>
      <c r="H691" s="33">
        <v>1357</v>
      </c>
      <c r="I691" s="33">
        <f>IF(Tabela1716[[#This Row],[Housing Starts]]="",#N/A,Tabela1716[[#This Row],[Housing Starts]]-H690)</f>
        <v>81</v>
      </c>
      <c r="J691" s="41">
        <f>IF(Tabela1716[[#This Row],[Housing Starts]]="",#N/A,((Tabela1716[[#This Row],[Housing Starts]]*1)/H679)-1)</f>
        <v>0.1728608470181503</v>
      </c>
      <c r="K691" s="33">
        <v>1362364</v>
      </c>
      <c r="L691" s="41">
        <f>IF(Tabela1716[[#This Row],[Total Construction Spending]]="",#N/A,((Tabela1716[[#This Row],[Total Construction Spending]]*1)/K679)-1)</f>
        <v>6.1919393636109987E-2</v>
      </c>
      <c r="M691" s="31">
        <v>5430</v>
      </c>
      <c r="N691" s="41">
        <f>IF(Tabela1716[[#This Row],[Existing Home Sales]]="",#N/A,((Tabela1716[[#This Row],[Existing Home Sales]]*1)/M679)-1)</f>
        <v>-2.8622540250447193E-2</v>
      </c>
      <c r="O691" s="33">
        <v>662</v>
      </c>
      <c r="P691" s="41">
        <f>IF(Tabela1716[[#This Row],[New House Sales]]="",#N/A,((Tabela1716[[#This Row],[New House Sales]]*1)/O690)-1)</f>
        <v>3.1152647975077885E-2</v>
      </c>
      <c r="Q691" s="41">
        <f>IF(Tabela1716[[#This Row],[New House Sales]]="",#N/A,((Tabela1716[[#This Row],[New House Sales]]*1)/O679)-1)</f>
        <v>4.2519685039370092E-2</v>
      </c>
      <c r="R691" s="27">
        <v>5.5</v>
      </c>
      <c r="S691" s="86">
        <v>202.453</v>
      </c>
      <c r="T691" s="41">
        <f>IF(Tabela1716[[#This Row],[S&amp;P/Case-Shiller Home Price Index]]="",#N/A,((Tabela1716[[#This Row],[S&amp;P/Case-Shiller Home Price Index]]*1)/S690)-1)</f>
        <v>9.1618273808040662E-3</v>
      </c>
      <c r="U691" s="41">
        <f>IF(Tabela1716[[#This Row],[S&amp;P/Case-Shiller Home Price Index]]="",#N/A,((Tabela1716[[#This Row],[S&amp;P/Case-Shiller Home Price Index]]*1)/S679)-1)</f>
        <v>6.2522305027815639E-2</v>
      </c>
      <c r="V691" s="39"/>
      <c r="W691" s="9"/>
      <c r="X691" s="9"/>
    </row>
    <row r="692" spans="1:24" ht="12.75">
      <c r="A692" s="12">
        <v>43252</v>
      </c>
      <c r="B692" s="26">
        <v>4.55</v>
      </c>
      <c r="C692" s="29">
        <v>68</v>
      </c>
      <c r="D692" s="33">
        <v>1334</v>
      </c>
      <c r="E692" s="41">
        <f>IF(Tabela1716[[#This Row],[Building Permits]]="",#N/A,((Tabela1716[[#This Row],[Building Permits]]*1)/D680)-1)</f>
        <v>-1.0385756676557834E-2</v>
      </c>
      <c r="F692" s="33">
        <v>1126</v>
      </c>
      <c r="G692" s="41">
        <f>IF(Tabela1716[[#This Row],[Houses Under Construction]]="",#N/A,((Tabela1716[[#This Row],[Houses Under Construction]]*1)/F680)-1)</f>
        <v>4.9394221808015004E-2</v>
      </c>
      <c r="H692" s="33">
        <v>1192</v>
      </c>
      <c r="I692" s="33">
        <f>IF(Tabela1716[[#This Row],[Housing Starts]]="",#N/A,Tabela1716[[#This Row],[Housing Starts]]-H691)</f>
        <v>-165</v>
      </c>
      <c r="J692" s="41">
        <f>IF(Tabela1716[[#This Row],[Housing Starts]]="",#N/A,((Tabela1716[[#This Row],[Housing Starts]]*1)/H680)-1)</f>
        <v>-4.5636509207365838E-2</v>
      </c>
      <c r="K692" s="33">
        <v>1343214</v>
      </c>
      <c r="L692" s="41">
        <f>IF(Tabela1716[[#This Row],[Total Construction Spending]]="",#N/A,((Tabela1716[[#This Row],[Total Construction Spending]]*1)/K680)-1)</f>
        <v>5.1561355053266533E-2</v>
      </c>
      <c r="M692" s="31">
        <v>5450</v>
      </c>
      <c r="N692" s="41">
        <f>IF(Tabela1716[[#This Row],[Existing Home Sales]]="",#N/A,((Tabela1716[[#This Row],[Existing Home Sales]]*1)/M680)-1)</f>
        <v>-7.2859744990892983E-3</v>
      </c>
      <c r="O692" s="33">
        <v>636</v>
      </c>
      <c r="P692" s="41">
        <f>IF(Tabela1716[[#This Row],[New House Sales]]="",#N/A,((Tabela1716[[#This Row],[New House Sales]]*1)/O691)-1)</f>
        <v>-3.92749244712991E-2</v>
      </c>
      <c r="Q692" s="41">
        <f>IF(Tabela1716[[#This Row],[New House Sales]]="",#N/A,((Tabela1716[[#This Row],[New House Sales]]*1)/O680)-1)</f>
        <v>2.7463651050080751E-2</v>
      </c>
      <c r="R692" s="27">
        <v>5.8</v>
      </c>
      <c r="S692" s="86">
        <v>204.04300000000001</v>
      </c>
      <c r="T692" s="41">
        <f>IF(Tabela1716[[#This Row],[S&amp;P/Case-Shiller Home Price Index]]="",#N/A,((Tabela1716[[#This Row],[S&amp;P/Case-Shiller Home Price Index]]*1)/S691)-1)</f>
        <v>7.8536746800492718E-3</v>
      </c>
      <c r="U692" s="41">
        <f>IF(Tabela1716[[#This Row],[S&amp;P/Case-Shiller Home Price Index]]="",#N/A,((Tabela1716[[#This Row],[S&amp;P/Case-Shiller Home Price Index]]*1)/S680)-1)</f>
        <v>6.1248160110679573E-2</v>
      </c>
      <c r="V692" s="37"/>
      <c r="W692" s="9"/>
      <c r="X692" s="9"/>
    </row>
    <row r="693" spans="1:24" ht="12.75">
      <c r="A693" s="12">
        <v>43282</v>
      </c>
      <c r="B693" s="26">
        <v>4.54</v>
      </c>
      <c r="C693" s="29">
        <v>68</v>
      </c>
      <c r="D693" s="33">
        <v>1338</v>
      </c>
      <c r="E693" s="41">
        <f>IF(Tabela1716[[#This Row],[Building Permits]]="",#N/A,((Tabela1716[[#This Row],[Building Permits]]*1)/D681)-1)</f>
        <v>6.698564593301426E-2</v>
      </c>
      <c r="F693" s="33">
        <v>1127</v>
      </c>
      <c r="G693" s="41">
        <f>IF(Tabela1716[[#This Row],[Houses Under Construction]]="",#N/A,((Tabela1716[[#This Row],[Houses Under Construction]]*1)/F681)-1)</f>
        <v>4.8372093023255847E-2</v>
      </c>
      <c r="H693" s="33">
        <v>1208</v>
      </c>
      <c r="I693" s="33">
        <f>IF(Tabela1716[[#This Row],[Housing Starts]]="",#N/A,Tabela1716[[#This Row],[Housing Starts]]-H692)</f>
        <v>16</v>
      </c>
      <c r="J693" s="41">
        <f>IF(Tabela1716[[#This Row],[Housing Starts]]="",#N/A,((Tabela1716[[#This Row],[Housing Starts]]*1)/H681)-1)</f>
        <v>1.6583747927032544E-3</v>
      </c>
      <c r="K693" s="33">
        <v>1336631</v>
      </c>
      <c r="L693" s="41">
        <f>IF(Tabela1716[[#This Row],[Total Construction Spending]]="",#N/A,((Tabela1716[[#This Row],[Total Construction Spending]]*1)/K681)-1)</f>
        <v>4.760841076959732E-2</v>
      </c>
      <c r="M693" s="31">
        <v>5380</v>
      </c>
      <c r="N693" s="41">
        <f>IF(Tabela1716[[#This Row],[Existing Home Sales]]="",#N/A,((Tabela1716[[#This Row],[Existing Home Sales]]*1)/M681)-1)</f>
        <v>-1.46520146520146E-2</v>
      </c>
      <c r="O693" s="33">
        <v>628</v>
      </c>
      <c r="P693" s="41">
        <f>IF(Tabela1716[[#This Row],[New House Sales]]="",#N/A,((Tabela1716[[#This Row],[New House Sales]]*1)/O692)-1)</f>
        <v>-1.2578616352201255E-2</v>
      </c>
      <c r="Q693" s="41">
        <f>IF(Tabela1716[[#This Row],[New House Sales]]="",#N/A,((Tabela1716[[#This Row],[New House Sales]]*1)/O681)-1)</f>
        <v>9.7902097902097918E-2</v>
      </c>
      <c r="R693" s="27">
        <v>6</v>
      </c>
      <c r="S693" s="86">
        <v>204.95</v>
      </c>
      <c r="T693" s="41">
        <f>IF(Tabela1716[[#This Row],[S&amp;P/Case-Shiller Home Price Index]]="",#N/A,((Tabela1716[[#This Row],[S&amp;P/Case-Shiller Home Price Index]]*1)/S692)-1)</f>
        <v>4.4451414652793009E-3</v>
      </c>
      <c r="U693" s="41">
        <f>IF(Tabela1716[[#This Row],[S&amp;P/Case-Shiller Home Price Index]]="",#N/A,((Tabela1716[[#This Row],[S&amp;P/Case-Shiller Home Price Index]]*1)/S681)-1)</f>
        <v>5.910744553309355E-2</v>
      </c>
      <c r="V693" s="39"/>
      <c r="W693" s="9"/>
      <c r="X693" s="9"/>
    </row>
    <row r="694" spans="1:24" ht="12.75">
      <c r="A694" s="12">
        <v>43313</v>
      </c>
      <c r="B694" s="26">
        <v>4.5199999999999996</v>
      </c>
      <c r="C694" s="29">
        <v>67</v>
      </c>
      <c r="D694" s="33">
        <v>1275</v>
      </c>
      <c r="E694" s="41">
        <f>IF(Tabela1716[[#This Row],[Building Permits]]="",#N/A,((Tabela1716[[#This Row],[Building Permits]]*1)/D682)-1)</f>
        <v>-3.5552193645990937E-2</v>
      </c>
      <c r="F694" s="33">
        <v>1129</v>
      </c>
      <c r="G694" s="41">
        <f>IF(Tabela1716[[#This Row],[Houses Under Construction]]="",#N/A,((Tabela1716[[#This Row],[Houses Under Construction]]*1)/F682)-1)</f>
        <v>4.2474607571560519E-2</v>
      </c>
      <c r="H694" s="33">
        <v>1288</v>
      </c>
      <c r="I694" s="33">
        <f>IF(Tabela1716[[#This Row],[Housing Starts]]="",#N/A,Tabela1716[[#This Row],[Housing Starts]]-H693)</f>
        <v>80</v>
      </c>
      <c r="J694" s="41">
        <f>IF(Tabela1716[[#This Row],[Housing Starts]]="",#N/A,((Tabela1716[[#This Row],[Housing Starts]]*1)/H682)-1)</f>
        <v>0.11130284728213979</v>
      </c>
      <c r="K694" s="33">
        <v>1340449</v>
      </c>
      <c r="L694" s="41">
        <f>IF(Tabela1716[[#This Row],[Total Construction Spending]]="",#N/A,((Tabela1716[[#This Row],[Total Construction Spending]]*1)/K682)-1)</f>
        <v>5.1353988395057559E-2</v>
      </c>
      <c r="M694" s="31">
        <v>5310</v>
      </c>
      <c r="N694" s="41">
        <f>IF(Tabela1716[[#This Row],[Existing Home Sales]]="",#N/A,((Tabela1716[[#This Row],[Existing Home Sales]]*1)/M682)-1)</f>
        <v>-1.4842300556586308E-2</v>
      </c>
      <c r="O694" s="33">
        <v>593</v>
      </c>
      <c r="P694" s="41">
        <f>IF(Tabela1716[[#This Row],[New House Sales]]="",#N/A,((Tabela1716[[#This Row],[New House Sales]]*1)/O693)-1)</f>
        <v>-5.5732484076433164E-2</v>
      </c>
      <c r="Q694" s="41">
        <f>IF(Tabela1716[[#This Row],[New House Sales]]="",#N/A,((Tabela1716[[#This Row],[New House Sales]]*1)/O682)-1)</f>
        <v>6.6546762589928088E-2</v>
      </c>
      <c r="R694" s="27">
        <v>6.5</v>
      </c>
      <c r="S694" s="86">
        <v>205.327</v>
      </c>
      <c r="T694" s="41">
        <f>IF(Tabela1716[[#This Row],[S&amp;P/Case-Shiller Home Price Index]]="",#N/A,((Tabela1716[[#This Row],[S&amp;P/Case-Shiller Home Price Index]]*1)/S693)-1)</f>
        <v>1.8394730422055527E-3</v>
      </c>
      <c r="U694" s="41">
        <f>IF(Tabela1716[[#This Row],[S&amp;P/Case-Shiller Home Price Index]]="",#N/A,((Tabela1716[[#This Row],[S&amp;P/Case-Shiller Home Price Index]]*1)/S682)-1)</f>
        <v>5.6496884438658634E-2</v>
      </c>
      <c r="V694" s="37"/>
      <c r="W694" s="9"/>
      <c r="X694" s="9"/>
    </row>
    <row r="695" spans="1:24" ht="12.75">
      <c r="A695" s="12">
        <v>43344</v>
      </c>
      <c r="B695" s="26">
        <v>4.72</v>
      </c>
      <c r="C695" s="29">
        <v>67</v>
      </c>
      <c r="D695" s="33">
        <v>1301</v>
      </c>
      <c r="E695" s="41">
        <f>IF(Tabela1716[[#This Row],[Building Permits]]="",#N/A,((Tabela1716[[#This Row],[Building Permits]]*1)/D683)-1)</f>
        <v>2.7646129541864184E-2</v>
      </c>
      <c r="F695" s="33">
        <v>1135</v>
      </c>
      <c r="G695" s="41">
        <f>IF(Tabela1716[[#This Row],[Houses Under Construction]]="",#N/A,((Tabela1716[[#This Row],[Houses Under Construction]]*1)/F683)-1)</f>
        <v>3.8426349496797796E-2</v>
      </c>
      <c r="H695" s="33">
        <v>1250</v>
      </c>
      <c r="I695" s="33">
        <f>IF(Tabela1716[[#This Row],[Housing Starts]]="",#N/A,Tabela1716[[#This Row],[Housing Starts]]-H694)</f>
        <v>-38</v>
      </c>
      <c r="J695" s="41">
        <f>IF(Tabela1716[[#This Row],[Housing Starts]]="",#N/A,((Tabela1716[[#This Row],[Housing Starts]]*1)/H683)-1)</f>
        <v>5.8425063505503916E-2</v>
      </c>
      <c r="K695" s="33">
        <v>1326111</v>
      </c>
      <c r="L695" s="41">
        <f>IF(Tabela1716[[#This Row],[Total Construction Spending]]="",#N/A,((Tabela1716[[#This Row],[Total Construction Spending]]*1)/K683)-1)</f>
        <v>3.5076476850883331E-2</v>
      </c>
      <c r="M695" s="31">
        <v>5200</v>
      </c>
      <c r="N695" s="41">
        <f>IF(Tabela1716[[#This Row],[Existing Home Sales]]="",#N/A,((Tabela1716[[#This Row],[Existing Home Sales]]*1)/M683)-1)</f>
        <v>-4.587155963302747E-2</v>
      </c>
      <c r="O695" s="33">
        <v>595</v>
      </c>
      <c r="P695" s="41">
        <f>IF(Tabela1716[[#This Row],[New House Sales]]="",#N/A,((Tabela1716[[#This Row],[New House Sales]]*1)/O694)-1)</f>
        <v>3.3726812816188279E-3</v>
      </c>
      <c r="Q695" s="41">
        <f>IF(Tabela1716[[#This Row],[New House Sales]]="",#N/A,((Tabela1716[[#This Row],[New House Sales]]*1)/O683)-1)</f>
        <v>-6.5934065934065922E-2</v>
      </c>
      <c r="R695" s="27">
        <v>6.6</v>
      </c>
      <c r="S695" s="86">
        <v>205.37299999999999</v>
      </c>
      <c r="T695" s="41">
        <f>IF(Tabela1716[[#This Row],[S&amp;P/Case-Shiller Home Price Index]]="",#N/A,((Tabela1716[[#This Row],[S&amp;P/Case-Shiller Home Price Index]]*1)/S694)-1)</f>
        <v>2.2403288413119782E-4</v>
      </c>
      <c r="U695" s="41">
        <f>IF(Tabela1716[[#This Row],[S&amp;P/Case-Shiller Home Price Index]]="",#N/A,((Tabela1716[[#This Row],[S&amp;P/Case-Shiller Home Price Index]]*1)/S683)-1)</f>
        <v>5.4178771982055007E-2</v>
      </c>
      <c r="V695" s="39"/>
      <c r="W695" s="9"/>
      <c r="X695" s="9"/>
    </row>
    <row r="696" spans="1:24" ht="12.75">
      <c r="A696" s="12">
        <v>43374</v>
      </c>
      <c r="B696" s="26">
        <v>4.8600000000000003</v>
      </c>
      <c r="C696" s="29">
        <v>68</v>
      </c>
      <c r="D696" s="33">
        <v>1268</v>
      </c>
      <c r="E696" s="41">
        <f>IF(Tabela1716[[#This Row],[Building Permits]]="",#N/A,((Tabela1716[[#This Row],[Building Permits]]*1)/D684)-1)</f>
        <v>-6.0740740740740762E-2</v>
      </c>
      <c r="F696" s="33">
        <v>1141</v>
      </c>
      <c r="G696" s="41">
        <f>IF(Tabela1716[[#This Row],[Houses Under Construction]]="",#N/A,((Tabela1716[[#This Row],[Houses Under Construction]]*1)/F684)-1)</f>
        <v>3.6330608537693099E-2</v>
      </c>
      <c r="H696" s="33">
        <v>1221</v>
      </c>
      <c r="I696" s="33">
        <f>IF(Tabela1716[[#This Row],[Housing Starts]]="",#N/A,Tabela1716[[#This Row],[Housing Starts]]-H695)</f>
        <v>-29</v>
      </c>
      <c r="J696" s="41">
        <f>IF(Tabela1716[[#This Row],[Housing Starts]]="",#N/A,((Tabela1716[[#This Row],[Housing Starts]]*1)/H684)-1)</f>
        <v>-2.863961813842486E-2</v>
      </c>
      <c r="K696" s="33">
        <v>1310946</v>
      </c>
      <c r="L696" s="41">
        <f>IF(Tabela1716[[#This Row],[Total Construction Spending]]="",#N/A,((Tabela1716[[#This Row],[Total Construction Spending]]*1)/K684)-1)</f>
        <v>2.1569962891559546E-2</v>
      </c>
      <c r="M696" s="31">
        <v>5160</v>
      </c>
      <c r="N696" s="41">
        <f>IF(Tabela1716[[#This Row],[Existing Home Sales]]="",#N/A,((Tabela1716[[#This Row],[Existing Home Sales]]*1)/M684)-1)</f>
        <v>-5.4945054945054972E-2</v>
      </c>
      <c r="O696" s="33">
        <v>554</v>
      </c>
      <c r="P696" s="41">
        <f>IF(Tabela1716[[#This Row],[New House Sales]]="",#N/A,((Tabela1716[[#This Row],[New House Sales]]*1)/O695)-1)</f>
        <v>-6.8907563025210061E-2</v>
      </c>
      <c r="Q696" s="41">
        <f>IF(Tabela1716[[#This Row],[New House Sales]]="",#N/A,((Tabela1716[[#This Row],[New House Sales]]*1)/O684)-1)</f>
        <v>-0.11501597444089462</v>
      </c>
      <c r="R696" s="27">
        <v>7.2</v>
      </c>
      <c r="S696" s="86">
        <v>205.36799999999999</v>
      </c>
      <c r="T696" s="41">
        <f>IF(Tabela1716[[#This Row],[S&amp;P/Case-Shiller Home Price Index]]="",#N/A,((Tabela1716[[#This Row],[S&amp;P/Case-Shiller Home Price Index]]*1)/S695)-1)</f>
        <v>-2.434594615652319E-5</v>
      </c>
      <c r="U696" s="41">
        <f>IF(Tabela1716[[#This Row],[S&amp;P/Case-Shiller Home Price Index]]="",#N/A,((Tabela1716[[#This Row],[S&amp;P/Case-Shiller Home Price Index]]*1)/S684)-1)</f>
        <v>5.2710357023861398E-2</v>
      </c>
      <c r="V696" s="37"/>
      <c r="W696" s="9"/>
      <c r="X696" s="9"/>
    </row>
    <row r="697" spans="1:24" ht="12.75">
      <c r="A697" s="12">
        <v>43405</v>
      </c>
      <c r="B697" s="26">
        <v>4.8099999999999996</v>
      </c>
      <c r="C697" s="29">
        <v>60</v>
      </c>
      <c r="D697" s="33">
        <v>1325</v>
      </c>
      <c r="E697" s="41">
        <f>IF(Tabela1716[[#This Row],[Building Permits]]="",#N/A,((Tabela1716[[#This Row],[Building Permits]]*1)/D685)-1)</f>
        <v>2.7131782945736482E-2</v>
      </c>
      <c r="F697" s="33">
        <v>1144</v>
      </c>
      <c r="G697" s="41">
        <f>IF(Tabela1716[[#This Row],[Houses Under Construction]]="",#N/A,((Tabela1716[[#This Row],[Houses Under Construction]]*1)/F685)-1)</f>
        <v>3.342366757000903E-2</v>
      </c>
      <c r="H697" s="33">
        <v>1181</v>
      </c>
      <c r="I697" s="33">
        <f>IF(Tabela1716[[#This Row],[Housing Starts]]="",#N/A,Tabela1716[[#This Row],[Housing Starts]]-H696)</f>
        <v>-40</v>
      </c>
      <c r="J697" s="41">
        <f>IF(Tabela1716[[#This Row],[Housing Starts]]="",#N/A,((Tabela1716[[#This Row],[Housing Starts]]*1)/H685)-1)</f>
        <v>-7.2270227808326815E-2</v>
      </c>
      <c r="K697" s="33">
        <v>1300694</v>
      </c>
      <c r="L697" s="41">
        <f>IF(Tabela1716[[#This Row],[Total Construction Spending]]="",#N/A,((Tabela1716[[#This Row],[Total Construction Spending]]*1)/K685)-1)</f>
        <v>-6.2663496565044108E-3</v>
      </c>
      <c r="M697" s="31">
        <v>5180</v>
      </c>
      <c r="N697" s="41">
        <f>IF(Tabela1716[[#This Row],[Existing Home Sales]]="",#N/A,((Tabela1716[[#This Row],[Existing Home Sales]]*1)/M685)-1)</f>
        <v>-7.8291814946619187E-2</v>
      </c>
      <c r="O697" s="33">
        <v>625</v>
      </c>
      <c r="P697" s="41">
        <f>IF(Tabela1716[[#This Row],[New House Sales]]="",#N/A,((Tabela1716[[#This Row],[New House Sales]]*1)/O696)-1)</f>
        <v>0.12815884476534301</v>
      </c>
      <c r="Q697" s="41">
        <f>IF(Tabela1716[[#This Row],[New House Sales]]="",#N/A,((Tabela1716[[#This Row],[New House Sales]]*1)/O685)-1)</f>
        <v>-0.1209563994374121</v>
      </c>
      <c r="R697" s="27">
        <v>6.4</v>
      </c>
      <c r="S697" s="86">
        <v>205.10499999999999</v>
      </c>
      <c r="T697" s="41">
        <f>IF(Tabela1716[[#This Row],[S&amp;P/Case-Shiller Home Price Index]]="",#N/A,((Tabela1716[[#This Row],[S&amp;P/Case-Shiller Home Price Index]]*1)/S696)-1)</f>
        <v>-1.2806279459312009E-3</v>
      </c>
      <c r="U697" s="41">
        <f>IF(Tabela1716[[#This Row],[S&amp;P/Case-Shiller Home Price Index]]="",#N/A,((Tabela1716[[#This Row],[S&amp;P/Case-Shiller Home Price Index]]*1)/S685)-1)</f>
        <v>4.9388085054130837E-2</v>
      </c>
      <c r="V697" s="39"/>
      <c r="W697" s="9"/>
      <c r="X697" s="9"/>
    </row>
    <row r="698" spans="1:24" ht="12.75">
      <c r="A698" s="12">
        <v>43435</v>
      </c>
      <c r="B698" s="26">
        <v>4.55</v>
      </c>
      <c r="C698" s="29">
        <v>56</v>
      </c>
      <c r="D698" s="33">
        <v>1307</v>
      </c>
      <c r="E698" s="41">
        <f>IF(Tabela1716[[#This Row],[Building Permits]]="",#N/A,((Tabela1716[[#This Row],[Building Permits]]*1)/D686)-1)</f>
        <v>2.3006134969325576E-3</v>
      </c>
      <c r="F698" s="33">
        <v>1148</v>
      </c>
      <c r="G698" s="41">
        <f>IF(Tabela1716[[#This Row],[Houses Under Construction]]="",#N/A,((Tabela1716[[#This Row],[Houses Under Construction]]*1)/F686)-1)</f>
        <v>4.3636363636363695E-2</v>
      </c>
      <c r="H698" s="33">
        <v>1095</v>
      </c>
      <c r="I698" s="33">
        <f>IF(Tabela1716[[#This Row],[Housing Starts]]="",#N/A,Tabela1716[[#This Row],[Housing Starts]]-H697)</f>
        <v>-86</v>
      </c>
      <c r="J698" s="41">
        <f>IF(Tabela1716[[#This Row],[Housing Starts]]="",#N/A,((Tabela1716[[#This Row],[Housing Starts]]*1)/H686)-1)</f>
        <v>-6.9668649107901492E-2</v>
      </c>
      <c r="K698" s="33">
        <v>1289930</v>
      </c>
      <c r="L698" s="41">
        <f>IF(Tabela1716[[#This Row],[Total Construction Spending]]="",#N/A,((Tabela1716[[#This Row],[Total Construction Spending]]*1)/K686)-1)</f>
        <v>-1.8068519699832364E-2</v>
      </c>
      <c r="M698" s="31">
        <v>5010</v>
      </c>
      <c r="N698" s="41">
        <f>IF(Tabela1716[[#This Row],[Existing Home Sales]]="",#N/A,((Tabela1716[[#This Row],[Existing Home Sales]]*1)/M686)-1)</f>
        <v>-0.10053859964093359</v>
      </c>
      <c r="O698" s="33">
        <v>546</v>
      </c>
      <c r="P698" s="41">
        <f>IF(Tabela1716[[#This Row],[New House Sales]]="",#N/A,((Tabela1716[[#This Row],[New House Sales]]*1)/O697)-1)</f>
        <v>-0.12639999999999996</v>
      </c>
      <c r="Q698" s="41">
        <f>IF(Tabela1716[[#This Row],[New House Sales]]="",#N/A,((Tabela1716[[#This Row],[New House Sales]]*1)/O686)-1)</f>
        <v>-0.1333333333333333</v>
      </c>
      <c r="R698" s="27">
        <v>7.6</v>
      </c>
      <c r="S698" s="86">
        <v>204.697</v>
      </c>
      <c r="T698" s="41">
        <f>IF(Tabela1716[[#This Row],[S&amp;P/Case-Shiller Home Price Index]]="",#N/A,((Tabela1716[[#This Row],[S&amp;P/Case-Shiller Home Price Index]]*1)/S697)-1)</f>
        <v>-1.9892250310815651E-3</v>
      </c>
      <c r="U698" s="41">
        <f>IF(Tabela1716[[#This Row],[S&amp;P/Case-Shiller Home Price Index]]="",#N/A,((Tabela1716[[#This Row],[S&amp;P/Case-Shiller Home Price Index]]*1)/S686)-1)</f>
        <v>4.5182999060495943E-2</v>
      </c>
      <c r="V698" s="37"/>
      <c r="W698" s="9"/>
      <c r="X698" s="9"/>
    </row>
    <row r="699" spans="1:24" ht="12.75">
      <c r="A699" s="12">
        <v>43466</v>
      </c>
      <c r="B699" s="26">
        <v>4.46</v>
      </c>
      <c r="C699" s="29">
        <v>58</v>
      </c>
      <c r="D699" s="33">
        <v>1253</v>
      </c>
      <c r="E699" s="41">
        <f>IF(Tabela1716[[#This Row],[Building Permits]]="",#N/A,((Tabela1716[[#This Row],[Building Permits]]*1)/D687)-1)</f>
        <v>-4.642313546423138E-2</v>
      </c>
      <c r="F699" s="33">
        <v>1152</v>
      </c>
      <c r="G699" s="41">
        <f>IF(Tabela1716[[#This Row],[Houses Under Construction]]="",#N/A,((Tabela1716[[#This Row],[Houses Under Construction]]*1)/F687)-1)</f>
        <v>4.2533936651583781E-2</v>
      </c>
      <c r="H699" s="33">
        <v>1232</v>
      </c>
      <c r="I699" s="33">
        <f>IF(Tabela1716[[#This Row],[Housing Starts]]="",#N/A,Tabela1716[[#This Row],[Housing Starts]]-H698)</f>
        <v>137</v>
      </c>
      <c r="J699" s="41">
        <f>IF(Tabela1716[[#This Row],[Housing Starts]]="",#N/A,((Tabela1716[[#This Row],[Housing Starts]]*1)/H687)-1)</f>
        <v>-5.1578137028483462E-2</v>
      </c>
      <c r="K699" s="33">
        <v>1296049</v>
      </c>
      <c r="L699" s="41">
        <f>IF(Tabela1716[[#This Row],[Total Construction Spending]]="",#N/A,((Tabela1716[[#This Row],[Total Construction Spending]]*1)/K687)-1)</f>
        <v>-3.0243873969392432E-2</v>
      </c>
      <c r="M699" s="31">
        <v>4970</v>
      </c>
      <c r="N699" s="41">
        <f>IF(Tabela1716[[#This Row],[Existing Home Sales]]="",#N/A,((Tabela1716[[#This Row],[Existing Home Sales]]*1)/M687)-1)</f>
        <v>-8.133086876155271E-2</v>
      </c>
      <c r="O699" s="33">
        <v>591</v>
      </c>
      <c r="P699" s="41">
        <f>IF(Tabela1716[[#This Row],[New House Sales]]="",#N/A,((Tabela1716[[#This Row],[New House Sales]]*1)/O698)-1)</f>
        <v>8.2417582417582347E-2</v>
      </c>
      <c r="Q699" s="41">
        <f>IF(Tabela1716[[#This Row],[New House Sales]]="",#N/A,((Tabela1716[[#This Row],[New House Sales]]*1)/O687)-1)</f>
        <v>1.6949152542373724E-3</v>
      </c>
      <c r="R699" s="27">
        <v>7</v>
      </c>
      <c r="S699" s="86">
        <v>204.203</v>
      </c>
      <c r="T699" s="41">
        <f>IF(Tabela1716[[#This Row],[S&amp;P/Case-Shiller Home Price Index]]="",#N/A,((Tabela1716[[#This Row],[S&amp;P/Case-Shiller Home Price Index]]*1)/S698)-1)</f>
        <v>-2.4133231068359517E-3</v>
      </c>
      <c r="U699" s="41">
        <f>IF(Tabela1716[[#This Row],[S&amp;P/Case-Shiller Home Price Index]]="",#N/A,((Tabela1716[[#This Row],[S&amp;P/Case-Shiller Home Price Index]]*1)/S687)-1)</f>
        <v>4.1246417899792887E-2</v>
      </c>
      <c r="V699" s="39"/>
      <c r="W699" s="9"/>
      <c r="X699" s="9"/>
    </row>
    <row r="700" spans="1:24" ht="12.75">
      <c r="A700" s="12">
        <v>43497</v>
      </c>
      <c r="B700" s="26">
        <v>4.3499999999999996</v>
      </c>
      <c r="C700" s="29">
        <v>62</v>
      </c>
      <c r="D700" s="33">
        <v>1311</v>
      </c>
      <c r="E700" s="41">
        <f>IF(Tabela1716[[#This Row],[Building Permits]]="",#N/A,((Tabela1716[[#This Row],[Building Permits]]*1)/D688)-1)</f>
        <v>-2.3099850968703373E-2</v>
      </c>
      <c r="F700" s="33">
        <v>1140</v>
      </c>
      <c r="G700" s="41">
        <f>IF(Tabela1716[[#This Row],[Houses Under Construction]]="",#N/A,((Tabela1716[[#This Row],[Houses Under Construction]]*1)/F688)-1)</f>
        <v>2.7953110910730494E-2</v>
      </c>
      <c r="H700" s="33">
        <v>1128</v>
      </c>
      <c r="I700" s="33">
        <f>IF(Tabela1716[[#This Row],[Housing Starts]]="",#N/A,Tabela1716[[#This Row],[Housing Starts]]-H699)</f>
        <v>-104</v>
      </c>
      <c r="J700" s="41">
        <f>IF(Tabela1716[[#This Row],[Housing Starts]]="",#N/A,((Tabela1716[[#This Row],[Housing Starts]]*1)/H688)-1)</f>
        <v>-0.11667971808927169</v>
      </c>
      <c r="K700" s="33">
        <v>1312040</v>
      </c>
      <c r="L700" s="41">
        <f>IF(Tabela1716[[#This Row],[Total Construction Spending]]="",#N/A,((Tabela1716[[#This Row],[Total Construction Spending]]*1)/K688)-1)</f>
        <v>-3.1779825179598653E-2</v>
      </c>
      <c r="M700" s="31">
        <v>5310</v>
      </c>
      <c r="N700" s="41">
        <f>IF(Tabela1716[[#This Row],[Existing Home Sales]]="",#N/A,((Tabela1716[[#This Row],[Existing Home Sales]]*1)/M688)-1)</f>
        <v>-3.1021897810219023E-2</v>
      </c>
      <c r="O700" s="33">
        <v>638</v>
      </c>
      <c r="P700" s="41">
        <f>IF(Tabela1716[[#This Row],[New House Sales]]="",#N/A,((Tabela1716[[#This Row],[New House Sales]]*1)/O699)-1)</f>
        <v>7.9526226734348615E-2</v>
      </c>
      <c r="Q700" s="41">
        <f>IF(Tabela1716[[#This Row],[New House Sales]]="",#N/A,((Tabela1716[[#This Row],[New House Sales]]*1)/O688)-1)</f>
        <v>3.2362459546925626E-2</v>
      </c>
      <c r="R700" s="27">
        <v>6.4</v>
      </c>
      <c r="S700" s="86">
        <v>204.43200000000002</v>
      </c>
      <c r="T700" s="41">
        <f>IF(Tabela1716[[#This Row],[S&amp;P/Case-Shiller Home Price Index]]="",#N/A,((Tabela1716[[#This Row],[S&amp;P/Case-Shiller Home Price Index]]*1)/S699)-1)</f>
        <v>1.121433083745238E-3</v>
      </c>
      <c r="U700" s="41">
        <f>IF(Tabela1716[[#This Row],[S&amp;P/Case-Shiller Home Price Index]]="",#N/A,((Tabela1716[[#This Row],[S&amp;P/Case-Shiller Home Price Index]]*1)/S688)-1)</f>
        <v>3.8247647294833653E-2</v>
      </c>
      <c r="V700" s="37"/>
      <c r="W700" s="9"/>
      <c r="X700" s="9"/>
    </row>
    <row r="701" spans="1:24" ht="12.75">
      <c r="A701" s="12">
        <v>43525</v>
      </c>
      <c r="B701" s="26">
        <v>4.0599999999999996</v>
      </c>
      <c r="C701" s="29">
        <v>62</v>
      </c>
      <c r="D701" s="33">
        <v>1317</v>
      </c>
      <c r="E701" s="41">
        <f>IF(Tabela1716[[#This Row],[Building Permits]]="",#N/A,((Tabela1716[[#This Row],[Building Permits]]*1)/D689)-1)</f>
        <v>-6.0627674750356686E-2</v>
      </c>
      <c r="F701" s="33">
        <v>1125</v>
      </c>
      <c r="G701" s="41">
        <f>IF(Tabela1716[[#This Row],[Houses Under Construction]]="",#N/A,((Tabela1716[[#This Row],[Houses Under Construction]]*1)/F689)-1)</f>
        <v>3.568242640499486E-3</v>
      </c>
      <c r="H701" s="33">
        <v>1195</v>
      </c>
      <c r="I701" s="33">
        <f>IF(Tabela1716[[#This Row],[Housing Starts]]="",#N/A,Tabela1716[[#This Row],[Housing Starts]]-H700)</f>
        <v>67</v>
      </c>
      <c r="J701" s="41">
        <f>IF(Tabela1716[[#This Row],[Housing Starts]]="",#N/A,((Tabela1716[[#This Row],[Housing Starts]]*1)/H689)-1)</f>
        <v>-9.3323216995447655E-2</v>
      </c>
      <c r="K701" s="33">
        <v>1322532</v>
      </c>
      <c r="L701" s="41">
        <f>IF(Tabela1716[[#This Row],[Total Construction Spending]]="",#N/A,((Tabela1716[[#This Row],[Total Construction Spending]]*1)/K689)-1)</f>
        <v>-1.6681437773984231E-2</v>
      </c>
      <c r="M701" s="31">
        <v>5250</v>
      </c>
      <c r="N701" s="41">
        <f>IF(Tabela1716[[#This Row],[Existing Home Sales]]="",#N/A,((Tabela1716[[#This Row],[Existing Home Sales]]*1)/M689)-1)</f>
        <v>-5.0632911392405111E-2</v>
      </c>
      <c r="O701" s="33">
        <v>705</v>
      </c>
      <c r="P701" s="41">
        <f>IF(Tabela1716[[#This Row],[New House Sales]]="",#N/A,((Tabela1716[[#This Row],[New House Sales]]*1)/O700)-1)</f>
        <v>0.10501567398119116</v>
      </c>
      <c r="Q701" s="41">
        <f>IF(Tabela1716[[#This Row],[New House Sales]]="",#N/A,((Tabela1716[[#This Row],[New House Sales]]*1)/O689)-1)</f>
        <v>3.8291605301914666E-2</v>
      </c>
      <c r="R701" s="27">
        <v>5.7</v>
      </c>
      <c r="S701" s="86">
        <v>205.78099999999998</v>
      </c>
      <c r="T701" s="41">
        <f>IF(Tabela1716[[#This Row],[S&amp;P/Case-Shiller Home Price Index]]="",#N/A,((Tabela1716[[#This Row],[S&amp;P/Case-Shiller Home Price Index]]*1)/S700)-1)</f>
        <v>6.598771229552991E-3</v>
      </c>
      <c r="U701" s="41">
        <f>IF(Tabela1716[[#This Row],[S&amp;P/Case-Shiller Home Price Index]]="",#N/A,((Tabela1716[[#This Row],[S&amp;P/Case-Shiller Home Price Index]]*1)/S689)-1)</f>
        <v>3.6314649745681438E-2</v>
      </c>
      <c r="V701" s="39"/>
      <c r="W701" s="9"/>
      <c r="X701" s="9"/>
    </row>
    <row r="702" spans="1:24" ht="12.75">
      <c r="A702" s="12">
        <v>43556</v>
      </c>
      <c r="B702" s="26">
        <v>4.2</v>
      </c>
      <c r="C702" s="29">
        <v>63</v>
      </c>
      <c r="D702" s="33">
        <v>1330</v>
      </c>
      <c r="E702" s="41">
        <f>IF(Tabela1716[[#This Row],[Building Permits]]="",#N/A,((Tabela1716[[#This Row],[Building Permits]]*1)/D690)-1)</f>
        <v>-4.17867435158501E-2</v>
      </c>
      <c r="F702" s="33">
        <v>1123</v>
      </c>
      <c r="G702" s="41">
        <f>IF(Tabela1716[[#This Row],[Houses Under Construction]]="",#N/A,((Tabela1716[[#This Row],[Houses Under Construction]]*1)/F690)-1)</f>
        <v>-8.8967971530251599E-4</v>
      </c>
      <c r="H702" s="33">
        <v>1267</v>
      </c>
      <c r="I702" s="33">
        <f>IF(Tabela1716[[#This Row],[Housing Starts]]="",#N/A,Tabela1716[[#This Row],[Housing Starts]]-H701)</f>
        <v>72</v>
      </c>
      <c r="J702" s="41">
        <f>IF(Tabela1716[[#This Row],[Housing Starts]]="",#N/A,((Tabela1716[[#This Row],[Housing Starts]]*1)/H690)-1)</f>
        <v>-7.0532915360501658E-3</v>
      </c>
      <c r="K702" s="33">
        <v>1353657</v>
      </c>
      <c r="L702" s="41">
        <f>IF(Tabela1716[[#This Row],[Total Construction Spending]]="",#N/A,((Tabela1716[[#This Row],[Total Construction Spending]]*1)/K690)-1)</f>
        <v>-1.0656032280988992E-3</v>
      </c>
      <c r="M702" s="31">
        <v>5310</v>
      </c>
      <c r="N702" s="41">
        <f>IF(Tabela1716[[#This Row],[Existing Home Sales]]="",#N/A,((Tabela1716[[#This Row],[Existing Home Sales]]*1)/M690)-1)</f>
        <v>-2.9250457038391242E-2</v>
      </c>
      <c r="O702" s="33">
        <v>695</v>
      </c>
      <c r="P702" s="41">
        <f>IF(Tabela1716[[#This Row],[New House Sales]]="",#N/A,((Tabela1716[[#This Row],[New House Sales]]*1)/O701)-1)</f>
        <v>-1.4184397163120588E-2</v>
      </c>
      <c r="Q702" s="41">
        <f>IF(Tabela1716[[#This Row],[New House Sales]]="",#N/A,((Tabela1716[[#This Row],[New House Sales]]*1)/O690)-1)</f>
        <v>8.255451713395634E-2</v>
      </c>
      <c r="R702" s="27">
        <v>5.8</v>
      </c>
      <c r="S702" s="86">
        <v>207.69400000000002</v>
      </c>
      <c r="T702" s="41">
        <f>IF(Tabela1716[[#This Row],[S&amp;P/Case-Shiller Home Price Index]]="",#N/A,((Tabela1716[[#This Row],[S&amp;P/Case-Shiller Home Price Index]]*1)/S701)-1)</f>
        <v>9.2962907168301356E-3</v>
      </c>
      <c r="U702" s="41">
        <f>IF(Tabela1716[[#This Row],[S&amp;P/Case-Shiller Home Price Index]]="",#N/A,((Tabela1716[[#This Row],[S&amp;P/Case-Shiller Home Price Index]]*1)/S690)-1)</f>
        <v>3.5286494030855264E-2</v>
      </c>
      <c r="V702" s="37"/>
      <c r="W702" s="9"/>
      <c r="X702" s="9"/>
    </row>
    <row r="703" spans="1:24" ht="12.75">
      <c r="A703" s="12">
        <v>43586</v>
      </c>
      <c r="B703" s="26">
        <v>3.99</v>
      </c>
      <c r="C703" s="29">
        <v>66</v>
      </c>
      <c r="D703" s="33">
        <v>1349</v>
      </c>
      <c r="E703" s="41">
        <f>IF(Tabela1716[[#This Row],[Building Permits]]="",#N/A,((Tabela1716[[#This Row],[Building Permits]]*1)/D691)-1)</f>
        <v>7.4682598954443069E-3</v>
      </c>
      <c r="F703" s="33">
        <v>1132</v>
      </c>
      <c r="G703" s="41">
        <f>IF(Tabela1716[[#This Row],[Houses Under Construction]]="",#N/A,((Tabela1716[[#This Row],[Houses Under Construction]]*1)/F691)-1)</f>
        <v>8.8417329796630639E-4</v>
      </c>
      <c r="H703" s="33">
        <v>1307</v>
      </c>
      <c r="I703" s="33">
        <f>IF(Tabela1716[[#This Row],[Housing Starts]]="",#N/A,Tabela1716[[#This Row],[Housing Starts]]-H702)</f>
        <v>40</v>
      </c>
      <c r="J703" s="41">
        <f>IF(Tabela1716[[#This Row],[Housing Starts]]="",#N/A,((Tabela1716[[#This Row],[Housing Starts]]*1)/H691)-1)</f>
        <v>-3.6845983787767156E-2</v>
      </c>
      <c r="K703" s="33">
        <v>1364421</v>
      </c>
      <c r="L703" s="41">
        <f>IF(Tabela1716[[#This Row],[Total Construction Spending]]="",#N/A,((Tabela1716[[#This Row],[Total Construction Spending]]*1)/K691)-1)</f>
        <v>1.5098754811488924E-3</v>
      </c>
      <c r="M703" s="31">
        <v>5460</v>
      </c>
      <c r="N703" s="41">
        <f>IF(Tabela1716[[#This Row],[Existing Home Sales]]="",#N/A,((Tabela1716[[#This Row],[Existing Home Sales]]*1)/M691)-1)</f>
        <v>5.5248618784531356E-3</v>
      </c>
      <c r="O703" s="33">
        <v>602</v>
      </c>
      <c r="P703" s="41">
        <f>IF(Tabela1716[[#This Row],[New House Sales]]="",#N/A,((Tabela1716[[#This Row],[New House Sales]]*1)/O702)-1)</f>
        <v>-0.13381294964028778</v>
      </c>
      <c r="Q703" s="41">
        <f>IF(Tabela1716[[#This Row],[New House Sales]]="",#N/A,((Tabela1716[[#This Row],[New House Sales]]*1)/O691)-1)</f>
        <v>-9.0634441087613316E-2</v>
      </c>
      <c r="R703" s="27">
        <v>6.7</v>
      </c>
      <c r="S703" s="86">
        <v>209.358</v>
      </c>
      <c r="T703" s="41">
        <f>IF(Tabela1716[[#This Row],[S&amp;P/Case-Shiller Home Price Index]]="",#N/A,((Tabela1716[[#This Row],[S&amp;P/Case-Shiller Home Price Index]]*1)/S702)-1)</f>
        <v>8.0117865706279545E-3</v>
      </c>
      <c r="U703" s="41">
        <f>IF(Tabela1716[[#This Row],[S&amp;P/Case-Shiller Home Price Index]]="",#N/A,((Tabela1716[[#This Row],[S&amp;P/Case-Shiller Home Price Index]]*1)/S691)-1)</f>
        <v>3.4106681550779783E-2</v>
      </c>
      <c r="V703" s="39"/>
      <c r="W703" s="9"/>
      <c r="X703" s="9"/>
    </row>
    <row r="704" spans="1:24" ht="12.75">
      <c r="A704" s="12">
        <v>43617</v>
      </c>
      <c r="B704" s="26">
        <v>3.73</v>
      </c>
      <c r="C704" s="29">
        <v>64</v>
      </c>
      <c r="D704" s="33">
        <v>1303</v>
      </c>
      <c r="E704" s="41">
        <f>IF(Tabela1716[[#This Row],[Building Permits]]="",#N/A,((Tabela1716[[#This Row],[Building Permits]]*1)/D692)-1)</f>
        <v>-2.3238380809595172E-2</v>
      </c>
      <c r="F704" s="33">
        <v>1142</v>
      </c>
      <c r="G704" s="41">
        <f>IF(Tabela1716[[#This Row],[Houses Under Construction]]="",#N/A,((Tabela1716[[#This Row],[Houses Under Construction]]*1)/F692)-1)</f>
        <v>1.4209591474245054E-2</v>
      </c>
      <c r="H704" s="33">
        <v>1228</v>
      </c>
      <c r="I704" s="33">
        <f>IF(Tabela1716[[#This Row],[Housing Starts]]="",#N/A,Tabela1716[[#This Row],[Housing Starts]]-H703)</f>
        <v>-79</v>
      </c>
      <c r="J704" s="41">
        <f>IF(Tabela1716[[#This Row],[Housing Starts]]="",#N/A,((Tabela1716[[#This Row],[Housing Starts]]*1)/H692)-1)</f>
        <v>3.0201342281879207E-2</v>
      </c>
      <c r="K704" s="33">
        <v>1383309</v>
      </c>
      <c r="L704" s="41">
        <f>IF(Tabela1716[[#This Row],[Total Construction Spending]]="",#N/A,((Tabela1716[[#This Row],[Total Construction Spending]]*1)/K692)-1)</f>
        <v>2.9850046232394734E-2</v>
      </c>
      <c r="M704" s="31">
        <v>5390</v>
      </c>
      <c r="N704" s="41">
        <f>IF(Tabela1716[[#This Row],[Existing Home Sales]]="",#N/A,((Tabela1716[[#This Row],[Existing Home Sales]]*1)/M692)-1)</f>
        <v>-1.1009174311926606E-2</v>
      </c>
      <c r="O704" s="33">
        <v>763</v>
      </c>
      <c r="P704" s="41">
        <f>IF(Tabela1716[[#This Row],[New House Sales]]="",#N/A,((Tabela1716[[#This Row],[New House Sales]]*1)/O703)-1)</f>
        <v>0.26744186046511631</v>
      </c>
      <c r="Q704" s="41">
        <f>IF(Tabela1716[[#This Row],[New House Sales]]="",#N/A,((Tabela1716[[#This Row],[New House Sales]]*1)/O692)-1)</f>
        <v>0.19968553459119498</v>
      </c>
      <c r="R704" s="27">
        <v>5.2</v>
      </c>
      <c r="S704" s="86">
        <v>210.59299999999999</v>
      </c>
      <c r="T704" s="41">
        <f>IF(Tabela1716[[#This Row],[S&amp;P/Case-Shiller Home Price Index]]="",#N/A,((Tabela1716[[#This Row],[S&amp;P/Case-Shiller Home Price Index]]*1)/S703)-1)</f>
        <v>5.898986425166397E-3</v>
      </c>
      <c r="U704" s="41">
        <f>IF(Tabela1716[[#This Row],[S&amp;P/Case-Shiller Home Price Index]]="",#N/A,((Tabela1716[[#This Row],[S&amp;P/Case-Shiller Home Price Index]]*1)/S692)-1)</f>
        <v>3.2101076733825673E-2</v>
      </c>
      <c r="V704" s="37"/>
      <c r="W704" s="9"/>
      <c r="X704" s="9"/>
    </row>
    <row r="705" spans="1:24" ht="12.75">
      <c r="A705" s="12">
        <v>43647</v>
      </c>
      <c r="B705" s="26">
        <v>3.75</v>
      </c>
      <c r="C705" s="29">
        <v>65</v>
      </c>
      <c r="D705" s="33">
        <v>1363</v>
      </c>
      <c r="E705" s="41">
        <f>IF(Tabela1716[[#This Row],[Building Permits]]="",#N/A,((Tabela1716[[#This Row],[Building Permits]]*1)/D693)-1)</f>
        <v>1.8684603886397699E-2</v>
      </c>
      <c r="F705" s="33">
        <v>1146</v>
      </c>
      <c r="G705" s="41">
        <f>IF(Tabela1716[[#This Row],[Houses Under Construction]]="",#N/A,((Tabela1716[[#This Row],[Houses Under Construction]]*1)/F693)-1)</f>
        <v>1.685891748003554E-2</v>
      </c>
      <c r="H705" s="33">
        <v>1245</v>
      </c>
      <c r="I705" s="33">
        <f>IF(Tabela1716[[#This Row],[Housing Starts]]="",#N/A,Tabela1716[[#This Row],[Housing Starts]]-H704)</f>
        <v>17</v>
      </c>
      <c r="J705" s="41">
        <f>IF(Tabela1716[[#This Row],[Housing Starts]]="",#N/A,((Tabela1716[[#This Row],[Housing Starts]]*1)/H693)-1)</f>
        <v>3.06291390728477E-2</v>
      </c>
      <c r="K705" s="33">
        <v>1410749</v>
      </c>
      <c r="L705" s="41">
        <f>IF(Tabela1716[[#This Row],[Total Construction Spending]]="",#N/A,((Tabela1716[[#This Row],[Total Construction Spending]]*1)/K693)-1)</f>
        <v>5.5451354936403519E-2</v>
      </c>
      <c r="M705" s="31">
        <v>5430</v>
      </c>
      <c r="N705" s="41">
        <f>IF(Tabela1716[[#This Row],[Existing Home Sales]]="",#N/A,((Tabela1716[[#This Row],[Existing Home Sales]]*1)/M693)-1)</f>
        <v>9.2936802973977439E-3</v>
      </c>
      <c r="O705" s="33">
        <v>669</v>
      </c>
      <c r="P705" s="41">
        <f>IF(Tabela1716[[#This Row],[New House Sales]]="",#N/A,((Tabela1716[[#This Row],[New House Sales]]*1)/O704)-1)</f>
        <v>-0.1231979030144168</v>
      </c>
      <c r="Q705" s="41">
        <f>IF(Tabela1716[[#This Row],[New House Sales]]="",#N/A,((Tabela1716[[#This Row],[New House Sales]]*1)/O693)-1)</f>
        <v>6.5286624203821697E-2</v>
      </c>
      <c r="R705" s="27">
        <v>5.9</v>
      </c>
      <c r="S705" s="86">
        <v>211.34400000000002</v>
      </c>
      <c r="T705" s="41">
        <f>IF(Tabela1716[[#This Row],[S&amp;P/Case-Shiller Home Price Index]]="",#N/A,((Tabela1716[[#This Row],[S&amp;P/Case-Shiller Home Price Index]]*1)/S704)-1)</f>
        <v>3.5661204313535144E-3</v>
      </c>
      <c r="U705" s="41">
        <f>IF(Tabela1716[[#This Row],[S&amp;P/Case-Shiller Home Price Index]]="",#N/A,((Tabela1716[[#This Row],[S&amp;P/Case-Shiller Home Price Index]]*1)/S693)-1)</f>
        <v>3.119785313491108E-2</v>
      </c>
      <c r="V705" s="39"/>
      <c r="W705" s="9"/>
      <c r="X705" s="9"/>
    </row>
    <row r="706" spans="1:24" ht="12.75">
      <c r="A706" s="12">
        <v>43678</v>
      </c>
      <c r="B706" s="26">
        <v>3.58</v>
      </c>
      <c r="C706" s="29">
        <v>67</v>
      </c>
      <c r="D706" s="33">
        <v>1485</v>
      </c>
      <c r="E706" s="41">
        <f>IF(Tabela1716[[#This Row],[Building Permits]]="",#N/A,((Tabela1716[[#This Row],[Building Permits]]*1)/D694)-1)</f>
        <v>0.16470588235294126</v>
      </c>
      <c r="F706" s="33">
        <v>1149</v>
      </c>
      <c r="G706" s="41">
        <f>IF(Tabela1716[[#This Row],[Houses Under Construction]]="",#N/A,((Tabela1716[[#This Row],[Houses Under Construction]]*1)/F694)-1)</f>
        <v>1.7714791851195733E-2</v>
      </c>
      <c r="H706" s="33">
        <v>1367</v>
      </c>
      <c r="I706" s="33">
        <f>IF(Tabela1716[[#This Row],[Housing Starts]]="",#N/A,Tabela1716[[#This Row],[Housing Starts]]-H705)</f>
        <v>122</v>
      </c>
      <c r="J706" s="41">
        <f>IF(Tabela1716[[#This Row],[Housing Starts]]="",#N/A,((Tabela1716[[#This Row],[Housing Starts]]*1)/H694)-1)</f>
        <v>6.1335403726707982E-2</v>
      </c>
      <c r="K706" s="33">
        <v>1426091</v>
      </c>
      <c r="L706" s="41">
        <f>IF(Tabela1716[[#This Row],[Total Construction Spending]]="",#N/A,((Tabela1716[[#This Row],[Total Construction Spending]]*1)/K694)-1)</f>
        <v>6.389053220226959E-2</v>
      </c>
      <c r="M706" s="31">
        <v>5470</v>
      </c>
      <c r="N706" s="41">
        <f>IF(Tabela1716[[#This Row],[Existing Home Sales]]="",#N/A,((Tabela1716[[#This Row],[Existing Home Sales]]*1)/M694)-1)</f>
        <v>3.0131826741996326E-2</v>
      </c>
      <c r="O706" s="33">
        <v>720</v>
      </c>
      <c r="P706" s="41">
        <f>IF(Tabela1716[[#This Row],[New House Sales]]="",#N/A,((Tabela1716[[#This Row],[New House Sales]]*1)/O705)-1)</f>
        <v>7.623318385650224E-2</v>
      </c>
      <c r="Q706" s="41">
        <f>IF(Tabela1716[[#This Row],[New House Sales]]="",#N/A,((Tabela1716[[#This Row],[New House Sales]]*1)/O694)-1)</f>
        <v>0.21416526138279934</v>
      </c>
      <c r="R706" s="27">
        <v>5.4</v>
      </c>
      <c r="S706" s="86">
        <v>211.703</v>
      </c>
      <c r="T706" s="41">
        <f>IF(Tabela1716[[#This Row],[S&amp;P/Case-Shiller Home Price Index]]="",#N/A,((Tabela1716[[#This Row],[S&amp;P/Case-Shiller Home Price Index]]*1)/S705)-1)</f>
        <v>1.6986524339464015E-3</v>
      </c>
      <c r="U706" s="41">
        <f>IF(Tabela1716[[#This Row],[S&amp;P/Case-Shiller Home Price Index]]="",#N/A,((Tabela1716[[#This Row],[S&amp;P/Case-Shiller Home Price Index]]*1)/S694)-1)</f>
        <v>3.1052905852615664E-2</v>
      </c>
      <c r="V706" s="37"/>
      <c r="W706" s="9"/>
      <c r="X706" s="9"/>
    </row>
    <row r="707" spans="1:24" ht="12.75">
      <c r="A707" s="12">
        <v>43709</v>
      </c>
      <c r="B707" s="26">
        <v>3.64</v>
      </c>
      <c r="C707" s="29">
        <v>68</v>
      </c>
      <c r="D707" s="33">
        <v>1461</v>
      </c>
      <c r="E707" s="41">
        <f>IF(Tabela1716[[#This Row],[Building Permits]]="",#N/A,((Tabela1716[[#This Row],[Building Permits]]*1)/D695)-1)</f>
        <v>0.12298232129131437</v>
      </c>
      <c r="F707" s="33">
        <v>1161</v>
      </c>
      <c r="G707" s="41">
        <f>IF(Tabela1716[[#This Row],[Houses Under Construction]]="",#N/A,((Tabela1716[[#This Row],[Houses Under Construction]]*1)/F695)-1)</f>
        <v>2.2907488986784186E-2</v>
      </c>
      <c r="H707" s="33">
        <v>1300</v>
      </c>
      <c r="I707" s="33">
        <f>IF(Tabela1716[[#This Row],[Housing Starts]]="",#N/A,Tabela1716[[#This Row],[Housing Starts]]-H706)</f>
        <v>-67</v>
      </c>
      <c r="J707" s="41">
        <f>IF(Tabela1716[[#This Row],[Housing Starts]]="",#N/A,((Tabela1716[[#This Row],[Housing Starts]]*1)/H695)-1)</f>
        <v>4.0000000000000036E-2</v>
      </c>
      <c r="K707" s="33">
        <v>1438119</v>
      </c>
      <c r="L707" s="41">
        <f>IF(Tabela1716[[#This Row],[Total Construction Spending]]="",#N/A,((Tabela1716[[#This Row],[Total Construction Spending]]*1)/K695)-1)</f>
        <v>8.4463517759825635E-2</v>
      </c>
      <c r="M707" s="31">
        <v>5310</v>
      </c>
      <c r="N707" s="41">
        <f>IF(Tabela1716[[#This Row],[Existing Home Sales]]="",#N/A,((Tabela1716[[#This Row],[Existing Home Sales]]*1)/M695)-1)</f>
        <v>2.1153846153846079E-2</v>
      </c>
      <c r="O707" s="33">
        <v>715</v>
      </c>
      <c r="P707" s="41">
        <f>IF(Tabela1716[[#This Row],[New House Sales]]="",#N/A,((Tabela1716[[#This Row],[New House Sales]]*1)/O706)-1)</f>
        <v>-6.9444444444444198E-3</v>
      </c>
      <c r="Q707" s="41">
        <f>IF(Tabela1716[[#This Row],[New House Sales]]="",#N/A,((Tabela1716[[#This Row],[New House Sales]]*1)/O695)-1)</f>
        <v>0.20168067226890751</v>
      </c>
      <c r="R707" s="27">
        <v>5.4</v>
      </c>
      <c r="S707" s="86">
        <v>211.88099999999997</v>
      </c>
      <c r="T707" s="41">
        <f>IF(Tabela1716[[#This Row],[S&amp;P/Case-Shiller Home Price Index]]="",#N/A,((Tabela1716[[#This Row],[S&amp;P/Case-Shiller Home Price Index]]*1)/S706)-1)</f>
        <v>8.4080055549495825E-4</v>
      </c>
      <c r="U707" s="41">
        <f>IF(Tabela1716[[#This Row],[S&amp;P/Case-Shiller Home Price Index]]="",#N/A,((Tabela1716[[#This Row],[S&amp;P/Case-Shiller Home Price Index]]*1)/S695)-1)</f>
        <v>3.1688683517307359E-2</v>
      </c>
      <c r="V707" s="39"/>
      <c r="W707" s="9"/>
      <c r="X707" s="9"/>
    </row>
    <row r="708" spans="1:24" ht="12.75">
      <c r="A708" s="12">
        <v>43739</v>
      </c>
      <c r="B708" s="26">
        <v>3.78</v>
      </c>
      <c r="C708" s="29">
        <v>71</v>
      </c>
      <c r="D708" s="33">
        <v>1520</v>
      </c>
      <c r="E708" s="41">
        <f>IF(Tabela1716[[#This Row],[Building Permits]]="",#N/A,((Tabela1716[[#This Row],[Building Permits]]*1)/D696)-1)</f>
        <v>0.19873817034700325</v>
      </c>
      <c r="F708" s="33">
        <v>1160</v>
      </c>
      <c r="G708" s="41">
        <f>IF(Tabela1716[[#This Row],[Houses Under Construction]]="",#N/A,((Tabela1716[[#This Row],[Houses Under Construction]]*1)/F696)-1)</f>
        <v>1.6652059596844904E-2</v>
      </c>
      <c r="H708" s="33">
        <v>1332</v>
      </c>
      <c r="I708" s="33">
        <f>IF(Tabela1716[[#This Row],[Housing Starts]]="",#N/A,Tabela1716[[#This Row],[Housing Starts]]-H707)</f>
        <v>32</v>
      </c>
      <c r="J708" s="41">
        <f>IF(Tabela1716[[#This Row],[Housing Starts]]="",#N/A,((Tabela1716[[#This Row],[Housing Starts]]*1)/H696)-1)</f>
        <v>9.0909090909090828E-2</v>
      </c>
      <c r="K708" s="33">
        <v>1442150</v>
      </c>
      <c r="L708" s="41">
        <f>IF(Tabela1716[[#This Row],[Total Construction Spending]]="",#N/A,((Tabela1716[[#This Row],[Total Construction Spending]]*1)/K696)-1)</f>
        <v>0.100083451187158</v>
      </c>
      <c r="M708" s="31">
        <v>5290</v>
      </c>
      <c r="N708" s="41">
        <f>IF(Tabela1716[[#This Row],[Existing Home Sales]]="",#N/A,((Tabela1716[[#This Row],[Existing Home Sales]]*1)/M696)-1)</f>
        <v>2.5193798449612448E-2</v>
      </c>
      <c r="O708" s="33">
        <v>721</v>
      </c>
      <c r="P708" s="41">
        <f>IF(Tabela1716[[#This Row],[New House Sales]]="",#N/A,((Tabela1716[[#This Row],[New House Sales]]*1)/O707)-1)</f>
        <v>8.3916083916084627E-3</v>
      </c>
      <c r="Q708" s="41">
        <f>IF(Tabela1716[[#This Row],[New House Sales]]="",#N/A,((Tabela1716[[#This Row],[New House Sales]]*1)/O696)-1)</f>
        <v>0.3014440433212997</v>
      </c>
      <c r="R708" s="27">
        <v>5.3</v>
      </c>
      <c r="S708" s="86">
        <v>211.97400000000002</v>
      </c>
      <c r="T708" s="41">
        <f>IF(Tabela1716[[#This Row],[S&amp;P/Case-Shiller Home Price Index]]="",#N/A,((Tabela1716[[#This Row],[S&amp;P/Case-Shiller Home Price Index]]*1)/S707)-1)</f>
        <v>4.3892562334546525E-4</v>
      </c>
      <c r="U708" s="41">
        <f>IF(Tabela1716[[#This Row],[S&amp;P/Case-Shiller Home Price Index]]="",#N/A,((Tabela1716[[#This Row],[S&amp;P/Case-Shiller Home Price Index]]*1)/S696)-1)</f>
        <v>3.2166647189435738E-2</v>
      </c>
      <c r="V708" s="37"/>
      <c r="W708" s="9"/>
      <c r="X708" s="9"/>
    </row>
    <row r="709" spans="1:24" ht="12.75">
      <c r="A709" s="12">
        <v>43770</v>
      </c>
      <c r="B709" s="26">
        <v>3.68</v>
      </c>
      <c r="C709" s="29">
        <v>71</v>
      </c>
      <c r="D709" s="33">
        <v>1497</v>
      </c>
      <c r="E709" s="41">
        <f>IF(Tabela1716[[#This Row],[Building Permits]]="",#N/A,((Tabela1716[[#This Row],[Building Permits]]*1)/D697)-1)</f>
        <v>0.12981132075471691</v>
      </c>
      <c r="F709" s="33">
        <v>1165</v>
      </c>
      <c r="G709" s="41">
        <f>IF(Tabela1716[[#This Row],[Houses Under Construction]]="",#N/A,((Tabela1716[[#This Row],[Houses Under Construction]]*1)/F697)-1)</f>
        <v>1.8356643356643332E-2</v>
      </c>
      <c r="H709" s="33">
        <v>1346</v>
      </c>
      <c r="I709" s="33">
        <f>IF(Tabela1716[[#This Row],[Housing Starts]]="",#N/A,Tabela1716[[#This Row],[Housing Starts]]-H708)</f>
        <v>14</v>
      </c>
      <c r="J709" s="41">
        <f>IF(Tabela1716[[#This Row],[Housing Starts]]="",#N/A,((Tabela1716[[#This Row],[Housing Starts]]*1)/H697)-1)</f>
        <v>0.13971210838272641</v>
      </c>
      <c r="K709" s="33">
        <v>1463036</v>
      </c>
      <c r="L709" s="41">
        <f>IF(Tabela1716[[#This Row],[Total Construction Spending]]="",#N/A,((Tabela1716[[#This Row],[Total Construction Spending]]*1)/K697)-1)</f>
        <v>0.12481183122240891</v>
      </c>
      <c r="M709" s="31">
        <v>5260</v>
      </c>
      <c r="N709" s="41">
        <f>IF(Tabela1716[[#This Row],[Existing Home Sales]]="",#N/A,((Tabela1716[[#This Row],[Existing Home Sales]]*1)/M697)-1)</f>
        <v>1.5444015444015413E-2</v>
      </c>
      <c r="O709" s="33">
        <v>710</v>
      </c>
      <c r="P709" s="41">
        <f>IF(Tabela1716[[#This Row],[New House Sales]]="",#N/A,((Tabela1716[[#This Row],[New House Sales]]*1)/O708)-1)</f>
        <v>-1.5256588072122046E-2</v>
      </c>
      <c r="Q709" s="41">
        <f>IF(Tabela1716[[#This Row],[New House Sales]]="",#N/A,((Tabela1716[[#This Row],[New House Sales]]*1)/O697)-1)</f>
        <v>0.1359999999999999</v>
      </c>
      <c r="R709" s="27">
        <v>5.4</v>
      </c>
      <c r="S709" s="86">
        <v>212.11199999999999</v>
      </c>
      <c r="T709" s="41">
        <f>IF(Tabela1716[[#This Row],[S&amp;P/Case-Shiller Home Price Index]]="",#N/A,((Tabela1716[[#This Row],[S&amp;P/Case-Shiller Home Price Index]]*1)/S708)-1)</f>
        <v>6.5102323869892231E-4</v>
      </c>
      <c r="U709" s="41">
        <f>IF(Tabela1716[[#This Row],[S&amp;P/Case-Shiller Home Price Index]]="",#N/A,((Tabela1716[[#This Row],[S&amp;P/Case-Shiller Home Price Index]]*1)/S697)-1)</f>
        <v>3.4162989688208523E-2</v>
      </c>
      <c r="V709" s="39"/>
      <c r="W709" s="9"/>
      <c r="X709" s="9"/>
    </row>
    <row r="710" spans="1:24" ht="12.75">
      <c r="A710" s="12">
        <v>43800</v>
      </c>
      <c r="B710" s="26">
        <v>3.74</v>
      </c>
      <c r="C710" s="29">
        <v>76</v>
      </c>
      <c r="D710" s="33">
        <v>1439</v>
      </c>
      <c r="E710" s="41">
        <f>IF(Tabela1716[[#This Row],[Building Permits]]="",#N/A,((Tabela1716[[#This Row],[Building Permits]]*1)/D698)-1)</f>
        <v>0.10099464422341242</v>
      </c>
      <c r="F710" s="33">
        <v>1177</v>
      </c>
      <c r="G710" s="41">
        <f>IF(Tabela1716[[#This Row],[Houses Under Construction]]="",#N/A,((Tabela1716[[#This Row],[Houses Under Construction]]*1)/F698)-1)</f>
        <v>2.5261324041811806E-2</v>
      </c>
      <c r="H710" s="33">
        <v>1551</v>
      </c>
      <c r="I710" s="33">
        <f>IF(Tabela1716[[#This Row],[Housing Starts]]="",#N/A,Tabela1716[[#This Row],[Housing Starts]]-H709)</f>
        <v>205</v>
      </c>
      <c r="J710" s="41">
        <f>IF(Tabela1716[[#This Row],[Housing Starts]]="",#N/A,((Tabela1716[[#This Row],[Housing Starts]]*1)/H698)-1)</f>
        <v>0.41643835616438363</v>
      </c>
      <c r="K710" s="33">
        <v>1466415</v>
      </c>
      <c r="L710" s="41">
        <f>IF(Tabela1716[[#This Row],[Total Construction Spending]]="",#N/A,((Tabela1716[[#This Row],[Total Construction Spending]]*1)/K698)-1)</f>
        <v>0.13681750172489981</v>
      </c>
      <c r="M710" s="31">
        <v>5450</v>
      </c>
      <c r="N710" s="41">
        <f>IF(Tabela1716[[#This Row],[Existing Home Sales]]="",#N/A,((Tabela1716[[#This Row],[Existing Home Sales]]*1)/M698)-1)</f>
        <v>8.782435129740529E-2</v>
      </c>
      <c r="O710" s="33">
        <v>693</v>
      </c>
      <c r="P710" s="41">
        <f>IF(Tabela1716[[#This Row],[New House Sales]]="",#N/A,((Tabela1716[[#This Row],[New House Sales]]*1)/O709)-1)</f>
        <v>-2.3943661971830954E-2</v>
      </c>
      <c r="Q710" s="41">
        <f>IF(Tabela1716[[#This Row],[New House Sales]]="",#N/A,((Tabela1716[[#This Row],[New House Sales]]*1)/O698)-1)</f>
        <v>0.26923076923076916</v>
      </c>
      <c r="R710" s="27">
        <v>5.6</v>
      </c>
      <c r="S710" s="86">
        <v>212.24299999999999</v>
      </c>
      <c r="T710" s="41">
        <f>IF(Tabela1716[[#This Row],[S&amp;P/Case-Shiller Home Price Index]]="",#N/A,((Tabela1716[[#This Row],[S&amp;P/Case-Shiller Home Price Index]]*1)/S709)-1)</f>
        <v>6.1759824998119939E-4</v>
      </c>
      <c r="U710" s="41">
        <f>IF(Tabela1716[[#This Row],[S&amp;P/Case-Shiller Home Price Index]]="",#N/A,((Tabela1716[[#This Row],[S&amp;P/Case-Shiller Home Price Index]]*1)/S698)-1)</f>
        <v>3.6864243247336281E-2</v>
      </c>
      <c r="V710" s="37"/>
      <c r="W710" s="9"/>
      <c r="X710" s="9"/>
    </row>
    <row r="711" spans="1:24" ht="12.75">
      <c r="A711" s="12">
        <v>43831</v>
      </c>
      <c r="B711" s="26">
        <v>3.51</v>
      </c>
      <c r="C711" s="29">
        <v>75</v>
      </c>
      <c r="D711" s="33">
        <v>1493</v>
      </c>
      <c r="E711" s="41">
        <f>IF(Tabela1716[[#This Row],[Building Permits]]="",#N/A,((Tabela1716[[#This Row],[Building Permits]]*1)/D699)-1)</f>
        <v>0.19154030327214677</v>
      </c>
      <c r="F711" s="33">
        <v>1195</v>
      </c>
      <c r="G711" s="41">
        <f>IF(Tabela1716[[#This Row],[Houses Under Construction]]="",#N/A,((Tabela1716[[#This Row],[Houses Under Construction]]*1)/F699)-1)</f>
        <v>3.732638888888884E-2</v>
      </c>
      <c r="H711" s="33">
        <v>1572</v>
      </c>
      <c r="I711" s="33">
        <f>IF(Tabela1716[[#This Row],[Housing Starts]]="",#N/A,Tabela1716[[#This Row],[Housing Starts]]-H710)</f>
        <v>21</v>
      </c>
      <c r="J711" s="41">
        <f>IF(Tabela1716[[#This Row],[Housing Starts]]="",#N/A,((Tabela1716[[#This Row],[Housing Starts]]*1)/H699)-1)</f>
        <v>0.27597402597402598</v>
      </c>
      <c r="K711" s="33">
        <v>1494117</v>
      </c>
      <c r="L711" s="41">
        <f>IF(Tabela1716[[#This Row],[Total Construction Spending]]="",#N/A,((Tabela1716[[#This Row],[Total Construction Spending]]*1)/K699)-1)</f>
        <v>0.1528244688279532</v>
      </c>
      <c r="M711" s="31">
        <v>5400</v>
      </c>
      <c r="N711" s="41">
        <f>IF(Tabela1716[[#This Row],[Existing Home Sales]]="",#N/A,((Tabela1716[[#This Row],[Existing Home Sales]]*1)/M699)-1)</f>
        <v>8.6519114688128784E-2</v>
      </c>
      <c r="O711" s="33">
        <v>685</v>
      </c>
      <c r="P711" s="41">
        <f>IF(Tabela1716[[#This Row],[New House Sales]]="",#N/A,((Tabela1716[[#This Row],[New House Sales]]*1)/O710)-1)</f>
        <v>-1.1544011544011523E-2</v>
      </c>
      <c r="Q711" s="41">
        <f>IF(Tabela1716[[#This Row],[New House Sales]]="",#N/A,((Tabela1716[[#This Row],[New House Sales]]*1)/O699)-1)</f>
        <v>0.15905245346869723</v>
      </c>
      <c r="R711" s="27">
        <v>5.7</v>
      </c>
      <c r="S711" s="86">
        <v>212.40400000000002</v>
      </c>
      <c r="T711" s="41">
        <f>IF(Tabela1716[[#This Row],[S&amp;P/Case-Shiller Home Price Index]]="",#N/A,((Tabela1716[[#This Row],[S&amp;P/Case-Shiller Home Price Index]]*1)/S710)-1)</f>
        <v>7.585644756247234E-4</v>
      </c>
      <c r="U711" s="41">
        <f>IF(Tabela1716[[#This Row],[S&amp;P/Case-Shiller Home Price Index]]="",#N/A,((Tabela1716[[#This Row],[S&amp;P/Case-Shiller Home Price Index]]*1)/S699)-1)</f>
        <v>4.0161016243640102E-2</v>
      </c>
      <c r="V711" s="39"/>
      <c r="W711" s="9"/>
      <c r="X711" s="9"/>
    </row>
    <row r="712" spans="1:24" ht="12.75">
      <c r="A712" s="12">
        <v>43862</v>
      </c>
      <c r="B712" s="26">
        <v>3.45</v>
      </c>
      <c r="C712" s="29">
        <v>74</v>
      </c>
      <c r="D712" s="33">
        <v>1457</v>
      </c>
      <c r="E712" s="41">
        <f>IF(Tabela1716[[#This Row],[Building Permits]]="",#N/A,((Tabela1716[[#This Row],[Building Permits]]*1)/D700)-1)</f>
        <v>0.11136536994660573</v>
      </c>
      <c r="F712" s="33">
        <v>1213</v>
      </c>
      <c r="G712" s="41">
        <f>IF(Tabela1716[[#This Row],[Houses Under Construction]]="",#N/A,((Tabela1716[[#This Row],[Houses Under Construction]]*1)/F700)-1)</f>
        <v>6.4035087719298334E-2</v>
      </c>
      <c r="H712" s="33">
        <v>1565</v>
      </c>
      <c r="I712" s="33">
        <f>IF(Tabela1716[[#This Row],[Housing Starts]]="",#N/A,Tabela1716[[#This Row],[Housing Starts]]-H711)</f>
        <v>-7</v>
      </c>
      <c r="J712" s="41">
        <f>IF(Tabela1716[[#This Row],[Housing Starts]]="",#N/A,((Tabela1716[[#This Row],[Housing Starts]]*1)/H700)-1)</f>
        <v>0.38741134751773054</v>
      </c>
      <c r="K712" s="33">
        <v>1501790</v>
      </c>
      <c r="L712" s="41">
        <f>IF(Tabela1716[[#This Row],[Total Construction Spending]]="",#N/A,((Tabela1716[[#This Row],[Total Construction Spending]]*1)/K700)-1)</f>
        <v>0.14462211517941537</v>
      </c>
      <c r="M712" s="31">
        <v>5620</v>
      </c>
      <c r="N712" s="41">
        <f>IF(Tabela1716[[#This Row],[Existing Home Sales]]="",#N/A,((Tabela1716[[#This Row],[Existing Home Sales]]*1)/M700)-1)</f>
        <v>5.8380414312617646E-2</v>
      </c>
      <c r="O712" s="33">
        <v>699</v>
      </c>
      <c r="P712" s="41">
        <f>IF(Tabela1716[[#This Row],[New House Sales]]="",#N/A,((Tabela1716[[#This Row],[New House Sales]]*1)/O711)-1)</f>
        <v>2.0437956204379493E-2</v>
      </c>
      <c r="Q712" s="41">
        <f>IF(Tabela1716[[#This Row],[New House Sales]]="",#N/A,((Tabela1716[[#This Row],[New House Sales]]*1)/O700)-1)</f>
        <v>9.561128526645768E-2</v>
      </c>
      <c r="R712" s="27">
        <v>5.6</v>
      </c>
      <c r="S712" s="86">
        <v>213.22400000000002</v>
      </c>
      <c r="T712" s="41">
        <f>IF(Tabela1716[[#This Row],[S&amp;P/Case-Shiller Home Price Index]]="",#N/A,((Tabela1716[[#This Row],[S&amp;P/Case-Shiller Home Price Index]]*1)/S711)-1)</f>
        <v>3.8605675975968978E-3</v>
      </c>
      <c r="U712" s="41">
        <f>IF(Tabela1716[[#This Row],[S&amp;P/Case-Shiller Home Price Index]]="",#N/A,((Tabela1716[[#This Row],[S&amp;P/Case-Shiller Home Price Index]]*1)/S700)-1)</f>
        <v>4.3006965641386952E-2</v>
      </c>
      <c r="V712" s="37"/>
      <c r="W712" s="9"/>
      <c r="X712" s="9"/>
    </row>
    <row r="713" spans="1:24" ht="12.75">
      <c r="A713" s="12">
        <v>43891</v>
      </c>
      <c r="B713" s="26">
        <v>3.5</v>
      </c>
      <c r="C713" s="29">
        <v>72</v>
      </c>
      <c r="D713" s="33">
        <v>1383</v>
      </c>
      <c r="E713" s="41">
        <f>IF(Tabela1716[[#This Row],[Building Permits]]="",#N/A,((Tabela1716[[#This Row],[Building Permits]]*1)/D701)-1)</f>
        <v>5.0113895216400861E-2</v>
      </c>
      <c r="F713" s="33">
        <v>1215</v>
      </c>
      <c r="G713" s="41">
        <f>IF(Tabela1716[[#This Row],[Houses Under Construction]]="",#N/A,((Tabela1716[[#This Row],[Houses Under Construction]]*1)/F701)-1)</f>
        <v>8.0000000000000071E-2</v>
      </c>
      <c r="H713" s="33">
        <v>1267</v>
      </c>
      <c r="I713" s="33">
        <f>IF(Tabela1716[[#This Row],[Housing Starts]]="",#N/A,Tabela1716[[#This Row],[Housing Starts]]-H712)</f>
        <v>-298</v>
      </c>
      <c r="J713" s="41">
        <f>IF(Tabela1716[[#This Row],[Housing Starts]]="",#N/A,((Tabela1716[[#This Row],[Housing Starts]]*1)/H701)-1)</f>
        <v>6.0251046025104671E-2</v>
      </c>
      <c r="K713" s="33">
        <v>1506335</v>
      </c>
      <c r="L713" s="41">
        <f>IF(Tabela1716[[#This Row],[Total Construction Spending]]="",#N/A,((Tabela1716[[#This Row],[Total Construction Spending]]*1)/K701)-1)</f>
        <v>0.13897811168274199</v>
      </c>
      <c r="M713" s="31">
        <v>5380</v>
      </c>
      <c r="N713" s="41">
        <f>IF(Tabela1716[[#This Row],[Existing Home Sales]]="",#N/A,((Tabela1716[[#This Row],[Existing Home Sales]]*1)/M701)-1)</f>
        <v>2.4761904761904763E-2</v>
      </c>
      <c r="O713" s="33">
        <v>609</v>
      </c>
      <c r="P713" s="41">
        <f>IF(Tabela1716[[#This Row],[New House Sales]]="",#N/A,((Tabela1716[[#This Row],[New House Sales]]*1)/O712)-1)</f>
        <v>-0.128755364806867</v>
      </c>
      <c r="Q713" s="41">
        <f>IF(Tabela1716[[#This Row],[New House Sales]]="",#N/A,((Tabela1716[[#This Row],[New House Sales]]*1)/O701)-1)</f>
        <v>-0.13617021276595742</v>
      </c>
      <c r="R713" s="27">
        <v>6.5</v>
      </c>
      <c r="S713" s="86">
        <v>215.2</v>
      </c>
      <c r="T713" s="41">
        <f>IF(Tabela1716[[#This Row],[S&amp;P/Case-Shiller Home Price Index]]="",#N/A,((Tabela1716[[#This Row],[S&amp;P/Case-Shiller Home Price Index]]*1)/S712)-1)</f>
        <v>9.2672494653509574E-3</v>
      </c>
      <c r="U713" s="41">
        <f>IF(Tabela1716[[#This Row],[S&amp;P/Case-Shiller Home Price Index]]="",#N/A,((Tabela1716[[#This Row],[S&amp;P/Case-Shiller Home Price Index]]*1)/S701)-1)</f>
        <v>4.5771961454167398E-2</v>
      </c>
      <c r="V713" s="39"/>
      <c r="W713" s="9"/>
      <c r="X713" s="9"/>
    </row>
    <row r="714" spans="1:24" ht="12.75">
      <c r="A714" s="12">
        <v>43922</v>
      </c>
      <c r="B714" s="26">
        <v>3.23</v>
      </c>
      <c r="C714" s="29">
        <v>30</v>
      </c>
      <c r="D714" s="33">
        <v>1084</v>
      </c>
      <c r="E714" s="41">
        <f>IF(Tabela1716[[#This Row],[Building Permits]]="",#N/A,((Tabela1716[[#This Row],[Building Permits]]*1)/D702)-1)</f>
        <v>-0.18496240601503755</v>
      </c>
      <c r="F714" s="33">
        <v>1193</v>
      </c>
      <c r="G714" s="41">
        <f>IF(Tabela1716[[#This Row],[Houses Under Construction]]="",#N/A,((Tabela1716[[#This Row],[Houses Under Construction]]*1)/F702)-1)</f>
        <v>6.2333036509349959E-2</v>
      </c>
      <c r="H714" s="33">
        <v>925</v>
      </c>
      <c r="I714" s="33">
        <f>IF(Tabela1716[[#This Row],[Housing Starts]]="",#N/A,Tabela1716[[#This Row],[Housing Starts]]-H713)</f>
        <v>-342</v>
      </c>
      <c r="J714" s="41">
        <f>IF(Tabela1716[[#This Row],[Housing Starts]]="",#N/A,((Tabela1716[[#This Row],[Housing Starts]]*1)/H702)-1)</f>
        <v>-0.26992896606156269</v>
      </c>
      <c r="K714" s="33">
        <v>1460471</v>
      </c>
      <c r="L714" s="41">
        <f>IF(Tabela1716[[#This Row],[Total Construction Spending]]="",#N/A,((Tabela1716[[#This Row],[Total Construction Spending]]*1)/K702)-1)</f>
        <v>7.8907729210575539E-2</v>
      </c>
      <c r="M714" s="31">
        <v>4440</v>
      </c>
      <c r="N714" s="41">
        <f>IF(Tabela1716[[#This Row],[Existing Home Sales]]="",#N/A,((Tabela1716[[#This Row],[Existing Home Sales]]*1)/M702)-1)</f>
        <v>-0.16384180790960456</v>
      </c>
      <c r="O714" s="33">
        <v>569</v>
      </c>
      <c r="P714" s="41">
        <f>IF(Tabela1716[[#This Row],[New House Sales]]="",#N/A,((Tabela1716[[#This Row],[New House Sales]]*1)/O713)-1)</f>
        <v>-6.568144499178985E-2</v>
      </c>
      <c r="Q714" s="41">
        <f>IF(Tabela1716[[#This Row],[New House Sales]]="",#N/A,((Tabela1716[[#This Row],[New House Sales]]*1)/O702)-1)</f>
        <v>-0.18129496402877698</v>
      </c>
      <c r="R714" s="27">
        <v>6.9</v>
      </c>
      <c r="S714" s="86">
        <v>217.245</v>
      </c>
      <c r="T714" s="41">
        <f>IF(Tabela1716[[#This Row],[S&amp;P/Case-Shiller Home Price Index]]="",#N/A,((Tabela1716[[#This Row],[S&amp;P/Case-Shiller Home Price Index]]*1)/S713)-1)</f>
        <v>9.5027881040892215E-3</v>
      </c>
      <c r="U714" s="41">
        <f>IF(Tabela1716[[#This Row],[S&amp;P/Case-Shiller Home Price Index]]="",#N/A,((Tabela1716[[#This Row],[S&amp;P/Case-Shiller Home Price Index]]*1)/S702)-1)</f>
        <v>4.5985921596194412E-2</v>
      </c>
      <c r="V714" s="37"/>
      <c r="W714" s="9"/>
      <c r="X714" s="9"/>
    </row>
    <row r="715" spans="1:24" ht="12.75">
      <c r="A715" s="12">
        <v>43952</v>
      </c>
      <c r="B715" s="26">
        <v>3.15</v>
      </c>
      <c r="C715" s="29">
        <v>37</v>
      </c>
      <c r="D715" s="33">
        <v>1256</v>
      </c>
      <c r="E715" s="41">
        <f>IF(Tabela1716[[#This Row],[Building Permits]]="",#N/A,((Tabela1716[[#This Row],[Building Permits]]*1)/D703)-1)</f>
        <v>-6.8939955522609342E-2</v>
      </c>
      <c r="F715" s="33">
        <v>1180</v>
      </c>
      <c r="G715" s="41">
        <f>IF(Tabela1716[[#This Row],[Houses Under Construction]]="",#N/A,((Tabela1716[[#This Row],[Houses Under Construction]]*1)/F703)-1)</f>
        <v>4.2402826855123754E-2</v>
      </c>
      <c r="H715" s="33">
        <v>1054</v>
      </c>
      <c r="I715" s="33">
        <f>IF(Tabela1716[[#This Row],[Housing Starts]]="",#N/A,Tabela1716[[#This Row],[Housing Starts]]-H714)</f>
        <v>129</v>
      </c>
      <c r="J715" s="41">
        <f>IF(Tabela1716[[#This Row],[Housing Starts]]="",#N/A,((Tabela1716[[#This Row],[Housing Starts]]*1)/H703)-1)</f>
        <v>-0.19357306809487373</v>
      </c>
      <c r="K715" s="33">
        <v>1452086</v>
      </c>
      <c r="L715" s="41">
        <f>IF(Tabela1716[[#This Row],[Total Construction Spending]]="",#N/A,((Tabela1716[[#This Row],[Total Construction Spending]]*1)/K703)-1)</f>
        <v>6.4250696815718822E-2</v>
      </c>
      <c r="M715" s="31">
        <v>4070</v>
      </c>
      <c r="N715" s="41">
        <f>IF(Tabela1716[[#This Row],[Existing Home Sales]]="",#N/A,((Tabela1716[[#This Row],[Existing Home Sales]]*1)/M703)-1)</f>
        <v>-0.25457875457875456</v>
      </c>
      <c r="O715" s="33">
        <v>696</v>
      </c>
      <c r="P715" s="41">
        <f>IF(Tabela1716[[#This Row],[New House Sales]]="",#N/A,((Tabela1716[[#This Row],[New House Sales]]*1)/O714)-1)</f>
        <v>0.22319859402460462</v>
      </c>
      <c r="Q715" s="41">
        <f>IF(Tabela1716[[#This Row],[New House Sales]]="",#N/A,((Tabela1716[[#This Row],[New House Sales]]*1)/O703)-1)</f>
        <v>0.15614617940199338</v>
      </c>
      <c r="R715" s="27">
        <v>5.4</v>
      </c>
      <c r="S715" s="86">
        <v>218.49299999999999</v>
      </c>
      <c r="T715" s="41">
        <f>IF(Tabela1716[[#This Row],[S&amp;P/Case-Shiller Home Price Index]]="",#N/A,((Tabela1716[[#This Row],[S&amp;P/Case-Shiller Home Price Index]]*1)/S714)-1)</f>
        <v>5.744666160325762E-3</v>
      </c>
      <c r="U715" s="41">
        <f>IF(Tabela1716[[#This Row],[S&amp;P/Case-Shiller Home Price Index]]="",#N/A,((Tabela1716[[#This Row],[S&amp;P/Case-Shiller Home Price Index]]*1)/S703)-1)</f>
        <v>4.3633393517324315E-2</v>
      </c>
      <c r="V715" s="39"/>
      <c r="W715" s="9"/>
      <c r="X715" s="9"/>
    </row>
    <row r="716" spans="1:24" ht="12.75">
      <c r="A716" s="12">
        <v>43983</v>
      </c>
      <c r="B716" s="26">
        <v>3.13</v>
      </c>
      <c r="C716" s="29">
        <v>58</v>
      </c>
      <c r="D716" s="33">
        <v>1338</v>
      </c>
      <c r="E716" s="41">
        <f>IF(Tabela1716[[#This Row],[Building Permits]]="",#N/A,((Tabela1716[[#This Row],[Building Permits]]*1)/D704)-1)</f>
        <v>2.6861089792785897E-2</v>
      </c>
      <c r="F716" s="33">
        <v>1183</v>
      </c>
      <c r="G716" s="41">
        <f>IF(Tabela1716[[#This Row],[Houses Under Construction]]="",#N/A,((Tabela1716[[#This Row],[Houses Under Construction]]*1)/F704)-1)</f>
        <v>3.5901926444833698E-2</v>
      </c>
      <c r="H716" s="33">
        <v>1266</v>
      </c>
      <c r="I716" s="33">
        <f>IF(Tabela1716[[#This Row],[Housing Starts]]="",#N/A,Tabela1716[[#This Row],[Housing Starts]]-H715)</f>
        <v>212</v>
      </c>
      <c r="J716" s="41">
        <f>IF(Tabela1716[[#This Row],[Housing Starts]]="",#N/A,((Tabela1716[[#This Row],[Housing Starts]]*1)/H704)-1)</f>
        <v>3.0944625407166138E-2</v>
      </c>
      <c r="K716" s="33">
        <v>1459188</v>
      </c>
      <c r="L716" s="41">
        <f>IF(Tabela1716[[#This Row],[Total Construction Spending]]="",#N/A,((Tabela1716[[#This Row],[Total Construction Spending]]*1)/K704)-1)</f>
        <v>5.4853254045191591E-2</v>
      </c>
      <c r="M716" s="31">
        <v>4840</v>
      </c>
      <c r="N716" s="41">
        <f>IF(Tabela1716[[#This Row],[Existing Home Sales]]="",#N/A,((Tabela1716[[#This Row],[Existing Home Sales]]*1)/M704)-1)</f>
        <v>-0.10204081632653061</v>
      </c>
      <c r="O716" s="33">
        <v>936</v>
      </c>
      <c r="P716" s="41">
        <f>IF(Tabela1716[[#This Row],[New House Sales]]="",#N/A,((Tabela1716[[#This Row],[New House Sales]]*1)/O715)-1)</f>
        <v>0.34482758620689657</v>
      </c>
      <c r="Q716" s="41">
        <f>IF(Tabela1716[[#This Row],[New House Sales]]="",#N/A,((Tabela1716[[#This Row],[New House Sales]]*1)/O704)-1)</f>
        <v>0.22673656618610738</v>
      </c>
      <c r="R716" s="27">
        <v>3.8</v>
      </c>
      <c r="S716" s="86">
        <v>219.82</v>
      </c>
      <c r="T716" s="41">
        <f>IF(Tabela1716[[#This Row],[S&amp;P/Case-Shiller Home Price Index]]="",#N/A,((Tabela1716[[#This Row],[S&amp;P/Case-Shiller Home Price Index]]*1)/S715)-1)</f>
        <v>6.0734211164659158E-3</v>
      </c>
      <c r="U716" s="41">
        <f>IF(Tabela1716[[#This Row],[S&amp;P/Case-Shiller Home Price Index]]="",#N/A,((Tabela1716[[#This Row],[S&amp;P/Case-Shiller Home Price Index]]*1)/S704)-1)</f>
        <v>4.3814371797733065E-2</v>
      </c>
      <c r="V716" s="37"/>
      <c r="W716" s="9"/>
      <c r="X716" s="9"/>
    </row>
    <row r="717" spans="1:24" ht="12.75">
      <c r="A717" s="12">
        <v>44013</v>
      </c>
      <c r="B717" s="26">
        <v>2.99</v>
      </c>
      <c r="C717" s="29">
        <v>72</v>
      </c>
      <c r="D717" s="33">
        <v>1553</v>
      </c>
      <c r="E717" s="41">
        <f>IF(Tabela1716[[#This Row],[Building Permits]]="",#N/A,((Tabela1716[[#This Row],[Building Permits]]*1)/D705)-1)</f>
        <v>0.13939838591342624</v>
      </c>
      <c r="F717" s="33">
        <v>1201</v>
      </c>
      <c r="G717" s="41">
        <f>IF(Tabela1716[[#This Row],[Houses Under Construction]]="",#N/A,((Tabela1716[[#This Row],[Houses Under Construction]]*1)/F705)-1)</f>
        <v>4.7993019197207776E-2</v>
      </c>
      <c r="H717" s="33">
        <v>1529</v>
      </c>
      <c r="I717" s="33">
        <f>IF(Tabela1716[[#This Row],[Housing Starts]]="",#N/A,Tabela1716[[#This Row],[Housing Starts]]-H716)</f>
        <v>263</v>
      </c>
      <c r="J717" s="41">
        <f>IF(Tabela1716[[#This Row],[Housing Starts]]="",#N/A,((Tabela1716[[#This Row],[Housing Starts]]*1)/H705)-1)</f>
        <v>0.22811244979919687</v>
      </c>
      <c r="K717" s="33">
        <v>1470971</v>
      </c>
      <c r="L717" s="41">
        <f>IF(Tabela1716[[#This Row],[Total Construction Spending]]="",#N/A,((Tabela1716[[#This Row],[Total Construction Spending]]*1)/K705)-1)</f>
        <v>4.2687962210145036E-2</v>
      </c>
      <c r="M717" s="31">
        <v>5930</v>
      </c>
      <c r="N717" s="41">
        <f>IF(Tabela1716[[#This Row],[Existing Home Sales]]="",#N/A,((Tabela1716[[#This Row],[Existing Home Sales]]*1)/M705)-1)</f>
        <v>9.2081031307550631E-2</v>
      </c>
      <c r="O717" s="33">
        <v>1019</v>
      </c>
      <c r="P717" s="41">
        <f>IF(Tabela1716[[#This Row],[New House Sales]]="",#N/A,((Tabela1716[[#This Row],[New House Sales]]*1)/O716)-1)</f>
        <v>8.8675213675213582E-2</v>
      </c>
      <c r="Q717" s="41">
        <f>IF(Tabela1716[[#This Row],[New House Sales]]="",#N/A,((Tabela1716[[#This Row],[New House Sales]]*1)/O705)-1)</f>
        <v>0.52316890881913314</v>
      </c>
      <c r="R717" s="27">
        <v>3.4</v>
      </c>
      <c r="S717" s="86">
        <v>221.578</v>
      </c>
      <c r="T717" s="41">
        <f>IF(Tabela1716[[#This Row],[S&amp;P/Case-Shiller Home Price Index]]="",#N/A,((Tabela1716[[#This Row],[S&amp;P/Case-Shiller Home Price Index]]*1)/S716)-1)</f>
        <v>7.9974524611046149E-3</v>
      </c>
      <c r="U717" s="41">
        <f>IF(Tabela1716[[#This Row],[S&amp;P/Case-Shiller Home Price Index]]="",#N/A,((Tabela1716[[#This Row],[S&amp;P/Case-Shiller Home Price Index]]*1)/S705)-1)</f>
        <v>4.8423423423423317E-2</v>
      </c>
      <c r="V717" s="39"/>
      <c r="W717" s="9"/>
      <c r="X717" s="9"/>
    </row>
    <row r="718" spans="1:24" ht="12.75">
      <c r="A718" s="12">
        <v>44044</v>
      </c>
      <c r="B718" s="26">
        <v>2.91</v>
      </c>
      <c r="C718" s="29">
        <v>78</v>
      </c>
      <c r="D718" s="33">
        <v>1520</v>
      </c>
      <c r="E718" s="41">
        <f>IF(Tabela1716[[#This Row],[Building Permits]]="",#N/A,((Tabela1716[[#This Row],[Building Permits]]*1)/D706)-1)</f>
        <v>2.3569023569023573E-2</v>
      </c>
      <c r="F718" s="33">
        <v>1213</v>
      </c>
      <c r="G718" s="41">
        <f>IF(Tabela1716[[#This Row],[Houses Under Construction]]="",#N/A,((Tabela1716[[#This Row],[Houses Under Construction]]*1)/F706)-1)</f>
        <v>5.5700609225413311E-2</v>
      </c>
      <c r="H718" s="33">
        <v>1377</v>
      </c>
      <c r="I718" s="33">
        <f>IF(Tabela1716[[#This Row],[Housing Starts]]="",#N/A,Tabela1716[[#This Row],[Housing Starts]]-H717)</f>
        <v>-152</v>
      </c>
      <c r="J718" s="41">
        <f>IF(Tabela1716[[#This Row],[Housing Starts]]="",#N/A,((Tabela1716[[#This Row],[Housing Starts]]*1)/H706)-1)</f>
        <v>7.3152889539136456E-3</v>
      </c>
      <c r="K718" s="33">
        <v>1489640</v>
      </c>
      <c r="L718" s="41">
        <f>IF(Tabela1716[[#This Row],[Total Construction Spending]]="",#N/A,((Tabela1716[[#This Row],[Total Construction Spending]]*1)/K706)-1)</f>
        <v>4.4561672431843391E-2</v>
      </c>
      <c r="M718" s="31">
        <v>6050</v>
      </c>
      <c r="N718" s="41">
        <f>IF(Tabela1716[[#This Row],[Existing Home Sales]]="",#N/A,((Tabela1716[[#This Row],[Existing Home Sales]]*1)/M706)-1)</f>
        <v>0.1060329067641681</v>
      </c>
      <c r="O718" s="33">
        <v>1029</v>
      </c>
      <c r="P718" s="41">
        <f>IF(Tabela1716[[#This Row],[New House Sales]]="",#N/A,((Tabela1716[[#This Row],[New House Sales]]*1)/O717)-1)</f>
        <v>9.8135426889107702E-3</v>
      </c>
      <c r="Q718" s="41">
        <f>IF(Tabela1716[[#This Row],[New House Sales]]="",#N/A,((Tabela1716[[#This Row],[New House Sales]]*1)/O706)-1)</f>
        <v>0.4291666666666667</v>
      </c>
      <c r="R718" s="27">
        <v>3.3</v>
      </c>
      <c r="S718" s="86">
        <v>224.05900000000003</v>
      </c>
      <c r="T718" s="41">
        <f>IF(Tabela1716[[#This Row],[S&amp;P/Case-Shiller Home Price Index]]="",#N/A,((Tabela1716[[#This Row],[S&amp;P/Case-Shiller Home Price Index]]*1)/S717)-1)</f>
        <v>1.119695998700232E-2</v>
      </c>
      <c r="U718" s="41">
        <f>IF(Tabela1716[[#This Row],[S&amp;P/Case-Shiller Home Price Index]]="",#N/A,((Tabela1716[[#This Row],[S&amp;P/Case-Shiller Home Price Index]]*1)/S706)-1)</f>
        <v>5.8364784627520816E-2</v>
      </c>
      <c r="V718" s="37"/>
      <c r="W718" s="9"/>
      <c r="X718" s="9"/>
    </row>
    <row r="719" spans="1:24" ht="12.75">
      <c r="A719" s="12">
        <v>44075</v>
      </c>
      <c r="B719" s="26">
        <v>2.9</v>
      </c>
      <c r="C719" s="29">
        <v>83</v>
      </c>
      <c r="D719" s="33">
        <v>1614</v>
      </c>
      <c r="E719" s="41">
        <f>IF(Tabela1716[[#This Row],[Building Permits]]="",#N/A,((Tabela1716[[#This Row],[Building Permits]]*1)/D707)-1)</f>
        <v>0.10472279260780293</v>
      </c>
      <c r="F719" s="33">
        <v>1218</v>
      </c>
      <c r="G719" s="41">
        <f>IF(Tabela1716[[#This Row],[Houses Under Construction]]="",#N/A,((Tabela1716[[#This Row],[Houses Under Construction]]*1)/F707)-1)</f>
        <v>4.9095607235142058E-2</v>
      </c>
      <c r="H719" s="33">
        <v>1463</v>
      </c>
      <c r="I719" s="33">
        <f>IF(Tabela1716[[#This Row],[Housing Starts]]="",#N/A,Tabela1716[[#This Row],[Housing Starts]]-H718)</f>
        <v>86</v>
      </c>
      <c r="J719" s="41">
        <f>IF(Tabela1716[[#This Row],[Housing Starts]]="",#N/A,((Tabela1716[[#This Row],[Housing Starts]]*1)/H707)-1)</f>
        <v>0.12538461538461543</v>
      </c>
      <c r="K719" s="33">
        <v>1510182</v>
      </c>
      <c r="L719" s="41">
        <f>IF(Tabela1716[[#This Row],[Total Construction Spending]]="",#N/A,((Tabela1716[[#This Row],[Total Construction Spending]]*1)/K707)-1)</f>
        <v>5.0109205149226232E-2</v>
      </c>
      <c r="M719" s="31">
        <v>6360</v>
      </c>
      <c r="N719" s="41">
        <f>IF(Tabela1716[[#This Row],[Existing Home Sales]]="",#N/A,((Tabela1716[[#This Row],[Existing Home Sales]]*1)/M707)-1)</f>
        <v>0.19774011299435035</v>
      </c>
      <c r="O719" s="33">
        <v>988</v>
      </c>
      <c r="P719" s="41">
        <f>IF(Tabela1716[[#This Row],[New House Sales]]="",#N/A,((Tabela1716[[#This Row],[New House Sales]]*1)/O718)-1)</f>
        <v>-3.9844509232264347E-2</v>
      </c>
      <c r="Q719" s="41">
        <f>IF(Tabela1716[[#This Row],[New House Sales]]="",#N/A,((Tabela1716[[#This Row],[New House Sales]]*1)/O707)-1)</f>
        <v>0.38181818181818183</v>
      </c>
      <c r="R719" s="27">
        <v>3.4</v>
      </c>
      <c r="S719" s="86">
        <v>226.81200000000001</v>
      </c>
      <c r="T719" s="41">
        <f>IF(Tabela1716[[#This Row],[S&amp;P/Case-Shiller Home Price Index]]="",#N/A,((Tabela1716[[#This Row],[S&amp;P/Case-Shiller Home Price Index]]*1)/S718)-1)</f>
        <v>1.228694227859628E-2</v>
      </c>
      <c r="U719" s="41">
        <f>IF(Tabela1716[[#This Row],[S&amp;P/Case-Shiller Home Price Index]]="",#N/A,((Tabela1716[[#This Row],[S&amp;P/Case-Shiller Home Price Index]]*1)/S707)-1)</f>
        <v>7.0468800883515037E-2</v>
      </c>
      <c r="V719" s="39"/>
      <c r="W719" s="9"/>
      <c r="X719" s="9"/>
    </row>
    <row r="720" spans="1:24" ht="12.75">
      <c r="A720" s="12">
        <v>44105</v>
      </c>
      <c r="B720" s="26">
        <v>2.81</v>
      </c>
      <c r="C720" s="29">
        <v>85</v>
      </c>
      <c r="D720" s="33">
        <v>1599</v>
      </c>
      <c r="E720" s="41">
        <f>IF(Tabela1716[[#This Row],[Building Permits]]="",#N/A,((Tabela1716[[#This Row],[Building Permits]]*1)/D708)-1)</f>
        <v>5.1973684210526283E-2</v>
      </c>
      <c r="F720" s="33">
        <v>1228</v>
      </c>
      <c r="G720" s="41">
        <f>IF(Tabela1716[[#This Row],[Houses Under Construction]]="",#N/A,((Tabela1716[[#This Row],[Houses Under Construction]]*1)/F708)-1)</f>
        <v>5.862068965517242E-2</v>
      </c>
      <c r="H720" s="33">
        <v>1537</v>
      </c>
      <c r="I720" s="33">
        <f>IF(Tabela1716[[#This Row],[Housing Starts]]="",#N/A,Tabela1716[[#This Row],[Housing Starts]]-H719)</f>
        <v>74</v>
      </c>
      <c r="J720" s="41">
        <f>IF(Tabela1716[[#This Row],[Housing Starts]]="",#N/A,((Tabela1716[[#This Row],[Housing Starts]]*1)/H708)-1)</f>
        <v>0.15390390390390385</v>
      </c>
      <c r="K720" s="33">
        <v>1534900</v>
      </c>
      <c r="L720" s="41">
        <f>IF(Tabela1716[[#This Row],[Total Construction Spending]]="",#N/A,((Tabela1716[[#This Row],[Total Construction Spending]]*1)/K708)-1)</f>
        <v>6.4313698297680633E-2</v>
      </c>
      <c r="M720" s="31">
        <v>6580</v>
      </c>
      <c r="N720" s="41">
        <f>IF(Tabela1716[[#This Row],[Existing Home Sales]]="",#N/A,((Tabela1716[[#This Row],[Existing Home Sales]]*1)/M708)-1)</f>
        <v>0.24385633270321372</v>
      </c>
      <c r="O720" s="33">
        <v>1027</v>
      </c>
      <c r="P720" s="41">
        <f>IF(Tabela1716[[#This Row],[New House Sales]]="",#N/A,((Tabela1716[[#This Row],[New House Sales]]*1)/O719)-1)</f>
        <v>3.9473684210526327E-2</v>
      </c>
      <c r="Q720" s="41">
        <f>IF(Tabela1716[[#This Row],[New House Sales]]="",#N/A,((Tabela1716[[#This Row],[New House Sales]]*1)/O708)-1)</f>
        <v>0.42441054091539532</v>
      </c>
      <c r="R720" s="27">
        <v>3.3</v>
      </c>
      <c r="S720" s="86">
        <v>229.82400000000001</v>
      </c>
      <c r="T720" s="41">
        <f>IF(Tabela1716[[#This Row],[S&amp;P/Case-Shiller Home Price Index]]="",#N/A,((Tabela1716[[#This Row],[S&amp;P/Case-Shiller Home Price Index]]*1)/S719)-1)</f>
        <v>1.3279720649701066E-2</v>
      </c>
      <c r="U720" s="41">
        <f>IF(Tabela1716[[#This Row],[S&amp;P/Case-Shiller Home Price Index]]="",#N/A,((Tabela1716[[#This Row],[S&amp;P/Case-Shiller Home Price Index]]*1)/S708)-1)</f>
        <v>8.4208440657816519E-2</v>
      </c>
      <c r="V720" s="37"/>
      <c r="W720" s="9"/>
      <c r="X720" s="9"/>
    </row>
    <row r="721" spans="1:24" ht="12.75">
      <c r="A721" s="12">
        <v>44136</v>
      </c>
      <c r="B721" s="26">
        <v>2.72</v>
      </c>
      <c r="C721" s="30">
        <v>90</v>
      </c>
      <c r="D721" s="33">
        <v>1682</v>
      </c>
      <c r="E721" s="41">
        <f>IF(Tabela1716[[#This Row],[Building Permits]]="",#N/A,((Tabela1716[[#This Row],[Building Permits]]*1)/D709)-1)</f>
        <v>0.12358049432197737</v>
      </c>
      <c r="F721" s="33">
        <v>1248</v>
      </c>
      <c r="G721" s="41">
        <f>IF(Tabela1716[[#This Row],[Houses Under Construction]]="",#N/A,((Tabela1716[[#This Row],[Houses Under Construction]]*1)/F709)-1)</f>
        <v>7.1244635193133066E-2</v>
      </c>
      <c r="H721" s="33">
        <v>1545</v>
      </c>
      <c r="I721" s="33">
        <f>IF(Tabela1716[[#This Row],[Housing Starts]]="",#N/A,Tabela1716[[#This Row],[Housing Starts]]-H720)</f>
        <v>8</v>
      </c>
      <c r="J721" s="41">
        <f>IF(Tabela1716[[#This Row],[Housing Starts]]="",#N/A,((Tabela1716[[#This Row],[Housing Starts]]*1)/H709)-1)</f>
        <v>0.14784546805349175</v>
      </c>
      <c r="K721" s="33">
        <v>1550976</v>
      </c>
      <c r="L721" s="41">
        <f>IF(Tabela1716[[#This Row],[Total Construction Spending]]="",#N/A,((Tabela1716[[#This Row],[Total Construction Spending]]*1)/K709)-1)</f>
        <v>6.0107885246842852E-2</v>
      </c>
      <c r="M721" s="31">
        <v>6460</v>
      </c>
      <c r="N721" s="41">
        <f>IF(Tabela1716[[#This Row],[Existing Home Sales]]="",#N/A,((Tabela1716[[#This Row],[Existing Home Sales]]*1)/M709)-1)</f>
        <v>0.22813688212927752</v>
      </c>
      <c r="O721" s="33">
        <v>863</v>
      </c>
      <c r="P721" s="41">
        <f>IF(Tabela1716[[#This Row],[New House Sales]]="",#N/A,((Tabela1716[[#This Row],[New House Sales]]*1)/O720)-1)</f>
        <v>-0.15968841285296986</v>
      </c>
      <c r="Q721" s="41">
        <f>IF(Tabela1716[[#This Row],[New House Sales]]="",#N/A,((Tabela1716[[#This Row],[New House Sales]]*1)/O709)-1)</f>
        <v>0.21549295774647881</v>
      </c>
      <c r="R721" s="27">
        <v>4</v>
      </c>
      <c r="S721" s="86">
        <v>232.33</v>
      </c>
      <c r="T721" s="41">
        <f>IF(Tabela1716[[#This Row],[S&amp;P/Case-Shiller Home Price Index]]="",#N/A,((Tabela1716[[#This Row],[S&amp;P/Case-Shiller Home Price Index]]*1)/S720)-1)</f>
        <v>1.090399610136461E-2</v>
      </c>
      <c r="U721" s="41">
        <f>IF(Tabela1716[[#This Row],[S&amp;P/Case-Shiller Home Price Index]]="",#N/A,((Tabela1716[[#This Row],[S&amp;P/Case-Shiller Home Price Index]]*1)/S709)-1)</f>
        <v>9.5317568077242232E-2</v>
      </c>
      <c r="V721" s="39"/>
      <c r="W721" s="9"/>
      <c r="X721" s="9"/>
    </row>
    <row r="722" spans="1:24" ht="12.75">
      <c r="A722" s="12">
        <v>44166</v>
      </c>
      <c r="B722" s="26">
        <v>2.67</v>
      </c>
      <c r="C722" s="29">
        <v>86</v>
      </c>
      <c r="D722" s="33">
        <v>1730</v>
      </c>
      <c r="E722" s="41">
        <f>IF(Tabela1716[[#This Row],[Building Permits]]="",#N/A,((Tabela1716[[#This Row],[Building Permits]]*1)/D710)-1)</f>
        <v>0.20222376650451701</v>
      </c>
      <c r="F722" s="33">
        <v>1262</v>
      </c>
      <c r="G722" s="41">
        <f>IF(Tabela1716[[#This Row],[Houses Under Construction]]="",#N/A,((Tabela1716[[#This Row],[Houses Under Construction]]*1)/F710)-1)</f>
        <v>7.2217502124044097E-2</v>
      </c>
      <c r="H722" s="33">
        <v>1663</v>
      </c>
      <c r="I722" s="33">
        <f>IF(Tabela1716[[#This Row],[Housing Starts]]="",#N/A,Tabela1716[[#This Row],[Housing Starts]]-H721)</f>
        <v>118</v>
      </c>
      <c r="J722" s="41">
        <f>IF(Tabela1716[[#This Row],[Housing Starts]]="",#N/A,((Tabela1716[[#This Row],[Housing Starts]]*1)/H710)-1)</f>
        <v>7.2211476466795599E-2</v>
      </c>
      <c r="K722" s="33">
        <v>1572760</v>
      </c>
      <c r="L722" s="41">
        <f>IF(Tabela1716[[#This Row],[Total Construction Spending]]="",#N/A,((Tabela1716[[#This Row],[Total Construction Spending]]*1)/K710)-1)</f>
        <v>7.2520398386541229E-2</v>
      </c>
      <c r="M722" s="31">
        <v>6530</v>
      </c>
      <c r="N722" s="41">
        <f>IF(Tabela1716[[#This Row],[Existing Home Sales]]="",#N/A,((Tabela1716[[#This Row],[Existing Home Sales]]*1)/M710)-1)</f>
        <v>0.19816513761467891</v>
      </c>
      <c r="O722" s="33">
        <v>873</v>
      </c>
      <c r="P722" s="41">
        <f>IF(Tabela1716[[#This Row],[New House Sales]]="",#N/A,((Tabela1716[[#This Row],[New House Sales]]*1)/O721)-1)</f>
        <v>1.1587485515643037E-2</v>
      </c>
      <c r="Q722" s="41">
        <f>IF(Tabela1716[[#This Row],[New House Sales]]="",#N/A,((Tabela1716[[#This Row],[New House Sales]]*1)/O710)-1)</f>
        <v>0.25974025974025983</v>
      </c>
      <c r="R722" s="27">
        <v>4.0999999999999996</v>
      </c>
      <c r="S722" s="86">
        <v>234.38099999999997</v>
      </c>
      <c r="T722" s="41">
        <f>IF(Tabela1716[[#This Row],[S&amp;P/Case-Shiller Home Price Index]]="",#N/A,((Tabela1716[[#This Row],[S&amp;P/Case-Shiller Home Price Index]]*1)/S721)-1)</f>
        <v>8.8279602289844661E-3</v>
      </c>
      <c r="U722" s="41">
        <f>IF(Tabela1716[[#This Row],[S&amp;P/Case-Shiller Home Price Index]]="",#N/A,((Tabela1716[[#This Row],[S&amp;P/Case-Shiller Home Price Index]]*1)/S710)-1)</f>
        <v>0.10430497118868454</v>
      </c>
      <c r="V722" s="37"/>
      <c r="W722" s="9"/>
      <c r="X722" s="9"/>
    </row>
    <row r="723" spans="1:24" ht="12.75">
      <c r="A723" s="12">
        <v>44197</v>
      </c>
      <c r="B723" s="26">
        <v>2.73</v>
      </c>
      <c r="C723" s="29">
        <v>83</v>
      </c>
      <c r="D723" s="33">
        <v>1843</v>
      </c>
      <c r="E723" s="41">
        <f>IF(Tabela1716[[#This Row],[Building Permits]]="",#N/A,((Tabela1716[[#This Row],[Building Permits]]*1)/D711)-1)</f>
        <v>0.23442732752846607</v>
      </c>
      <c r="F723" s="33">
        <v>1282</v>
      </c>
      <c r="G723" s="41">
        <f>IF(Tabela1716[[#This Row],[Houses Under Construction]]="",#N/A,((Tabela1716[[#This Row],[Houses Under Construction]]*1)/F711)-1)</f>
        <v>7.2803347280334663E-2</v>
      </c>
      <c r="H723" s="33">
        <v>1602</v>
      </c>
      <c r="I723" s="33">
        <f>IF(Tabela1716[[#This Row],[Housing Starts]]="",#N/A,Tabela1716[[#This Row],[Housing Starts]]-H722)</f>
        <v>-61</v>
      </c>
      <c r="J723" s="41">
        <f>IF(Tabela1716[[#This Row],[Housing Starts]]="",#N/A,((Tabela1716[[#This Row],[Housing Starts]]*1)/H711)-1)</f>
        <v>1.9083969465648831E-2</v>
      </c>
      <c r="K723" s="33">
        <v>1606561</v>
      </c>
      <c r="L723" s="41">
        <f>IF(Tabela1716[[#This Row],[Total Construction Spending]]="",#N/A,((Tabela1716[[#This Row],[Total Construction Spending]]*1)/K711)-1)</f>
        <v>7.5257827867563298E-2</v>
      </c>
      <c r="M723" s="31">
        <v>6650</v>
      </c>
      <c r="N723" s="41">
        <f>IF(Tabela1716[[#This Row],[Existing Home Sales]]="",#N/A,((Tabela1716[[#This Row],[Existing Home Sales]]*1)/M711)-1)</f>
        <v>0.2314814814814814</v>
      </c>
      <c r="O723" s="33">
        <v>901</v>
      </c>
      <c r="P723" s="41">
        <f>IF(Tabela1716[[#This Row],[New House Sales]]="",#N/A,((Tabela1716[[#This Row],[New House Sales]]*1)/O722)-1)</f>
        <v>3.2073310423825996E-2</v>
      </c>
      <c r="Q723" s="41">
        <f>IF(Tabela1716[[#This Row],[New House Sales]]="",#N/A,((Tabela1716[[#This Row],[New House Sales]]*1)/O711)-1)</f>
        <v>0.31532846715328477</v>
      </c>
      <c r="R723" s="27">
        <v>4</v>
      </c>
      <c r="S723" s="86">
        <v>236.45599999999999</v>
      </c>
      <c r="T723" s="41">
        <f>IF(Tabela1716[[#This Row],[S&amp;P/Case-Shiller Home Price Index]]="",#N/A,((Tabela1716[[#This Row],[S&amp;P/Case-Shiller Home Price Index]]*1)/S722)-1)</f>
        <v>8.8531066938020153E-3</v>
      </c>
      <c r="U723" s="41">
        <f>IF(Tabela1716[[#This Row],[S&amp;P/Case-Shiller Home Price Index]]="",#N/A,((Tabela1716[[#This Row],[S&amp;P/Case-Shiller Home Price Index]]*1)/S711)-1)</f>
        <v>0.11323703885049219</v>
      </c>
      <c r="V723" s="39"/>
      <c r="W723" s="9"/>
      <c r="X723" s="9"/>
    </row>
    <row r="724" spans="1:24" ht="12.75">
      <c r="A724" s="12">
        <v>44228</v>
      </c>
      <c r="B724" s="26">
        <v>2.97</v>
      </c>
      <c r="C724" s="29">
        <v>84</v>
      </c>
      <c r="D724" s="33">
        <v>1743</v>
      </c>
      <c r="E724" s="41">
        <f>IF(Tabela1716[[#This Row],[Building Permits]]="",#N/A,((Tabela1716[[#This Row],[Building Permits]]*1)/D712)-1)</f>
        <v>0.19629375428963614</v>
      </c>
      <c r="F724" s="33">
        <v>1286</v>
      </c>
      <c r="G724" s="41">
        <f>IF(Tabela1716[[#This Row],[Houses Under Construction]]="",#N/A,((Tabela1716[[#This Row],[Houses Under Construction]]*1)/F712)-1)</f>
        <v>6.0181368507831845E-2</v>
      </c>
      <c r="H724" s="33">
        <v>1422</v>
      </c>
      <c r="I724" s="33">
        <f>IF(Tabela1716[[#This Row],[Housing Starts]]="",#N/A,Tabela1716[[#This Row],[Housing Starts]]-H723)</f>
        <v>-180</v>
      </c>
      <c r="J724" s="41">
        <f>IF(Tabela1716[[#This Row],[Housing Starts]]="",#N/A,((Tabela1716[[#This Row],[Housing Starts]]*1)/H712)-1)</f>
        <v>-9.1373801916932895E-2</v>
      </c>
      <c r="K724" s="33">
        <v>1585044</v>
      </c>
      <c r="L724" s="41">
        <f>IF(Tabela1716[[#This Row],[Total Construction Spending]]="",#N/A,((Tabela1716[[#This Row],[Total Construction Spending]]*1)/K712)-1)</f>
        <v>5.5436512428501894E-2</v>
      </c>
      <c r="M724" s="31">
        <v>6170</v>
      </c>
      <c r="N724" s="41">
        <f>IF(Tabela1716[[#This Row],[Existing Home Sales]]="",#N/A,((Tabela1716[[#This Row],[Existing Home Sales]]*1)/M712)-1)</f>
        <v>9.7864768683274095E-2</v>
      </c>
      <c r="O724" s="33">
        <v>765</v>
      </c>
      <c r="P724" s="41">
        <f>IF(Tabela1716[[#This Row],[New House Sales]]="",#N/A,((Tabela1716[[#This Row],[New House Sales]]*1)/O723)-1)</f>
        <v>-0.15094339622641506</v>
      </c>
      <c r="Q724" s="41">
        <f>IF(Tabela1716[[#This Row],[New House Sales]]="",#N/A,((Tabela1716[[#This Row],[New House Sales]]*1)/O712)-1)</f>
        <v>9.4420600858369008E-2</v>
      </c>
      <c r="R724" s="27">
        <v>4.9000000000000004</v>
      </c>
      <c r="S724" s="86">
        <v>239.238</v>
      </c>
      <c r="T724" s="41">
        <f>IF(Tabela1716[[#This Row],[S&amp;P/Case-Shiller Home Price Index]]="",#N/A,((Tabela1716[[#This Row],[S&amp;P/Case-Shiller Home Price Index]]*1)/S723)-1)</f>
        <v>1.1765402442737827E-2</v>
      </c>
      <c r="U724" s="41">
        <f>IF(Tabela1716[[#This Row],[S&amp;P/Case-Shiller Home Price Index]]="",#N/A,((Tabela1716[[#This Row],[S&amp;P/Case-Shiller Home Price Index]]*1)/S712)-1)</f>
        <v>0.1220031516152027</v>
      </c>
      <c r="V724" s="37"/>
      <c r="W724" s="9"/>
      <c r="X724" s="9"/>
    </row>
    <row r="725" spans="1:24" ht="12.75">
      <c r="A725" s="12">
        <v>44256</v>
      </c>
      <c r="B725" s="26">
        <v>3.17</v>
      </c>
      <c r="C725" s="29">
        <v>82</v>
      </c>
      <c r="D725" s="33">
        <v>1773</v>
      </c>
      <c r="E725" s="41">
        <f>IF(Tabela1716[[#This Row],[Building Permits]]="",#N/A,((Tabela1716[[#This Row],[Building Permits]]*1)/D713)-1)</f>
        <v>0.28199566160520617</v>
      </c>
      <c r="F725" s="33">
        <v>1308</v>
      </c>
      <c r="G725" s="41">
        <f>IF(Tabela1716[[#This Row],[Houses Under Construction]]="",#N/A,((Tabela1716[[#This Row],[Houses Under Construction]]*1)/F713)-1)</f>
        <v>7.6543209876543283E-2</v>
      </c>
      <c r="H725" s="33">
        <v>1700</v>
      </c>
      <c r="I725" s="33">
        <f>IF(Tabela1716[[#This Row],[Housing Starts]]="",#N/A,Tabela1716[[#This Row],[Housing Starts]]-H724)</f>
        <v>278</v>
      </c>
      <c r="J725" s="41">
        <f>IF(Tabela1716[[#This Row],[Housing Starts]]="",#N/A,((Tabela1716[[#This Row],[Housing Starts]]*1)/H713)-1)</f>
        <v>0.34175217048145234</v>
      </c>
      <c r="K725" s="33">
        <v>1613045</v>
      </c>
      <c r="L725" s="41">
        <f>IF(Tabela1716[[#This Row],[Total Construction Spending]]="",#N/A,((Tabela1716[[#This Row],[Total Construction Spending]]*1)/K713)-1)</f>
        <v>7.0840815622023046E-2</v>
      </c>
      <c r="M725" s="31">
        <v>6040</v>
      </c>
      <c r="N725" s="41">
        <f>IF(Tabela1716[[#This Row],[Existing Home Sales]]="",#N/A,((Tabela1716[[#This Row],[Existing Home Sales]]*1)/M713)-1)</f>
        <v>0.12267657992565062</v>
      </c>
      <c r="O725" s="33">
        <v>850</v>
      </c>
      <c r="P725" s="41">
        <f>IF(Tabela1716[[#This Row],[New House Sales]]="",#N/A,((Tabela1716[[#This Row],[New House Sales]]*1)/O724)-1)</f>
        <v>0.11111111111111116</v>
      </c>
      <c r="Q725" s="41">
        <f>IF(Tabela1716[[#This Row],[New House Sales]]="",#N/A,((Tabela1716[[#This Row],[New House Sales]]*1)/O713)-1)</f>
        <v>0.39573070607553373</v>
      </c>
      <c r="R725" s="27">
        <v>4.4000000000000004</v>
      </c>
      <c r="S725" s="86">
        <v>244.23400000000001</v>
      </c>
      <c r="T725" s="41">
        <f>IF(Tabela1716[[#This Row],[S&amp;P/Case-Shiller Home Price Index]]="",#N/A,((Tabela1716[[#This Row],[S&amp;P/Case-Shiller Home Price Index]]*1)/S724)-1)</f>
        <v>2.0882970096723907E-2</v>
      </c>
      <c r="U725" s="41">
        <f>IF(Tabela1716[[#This Row],[S&amp;P/Case-Shiller Home Price Index]]="",#N/A,((Tabela1716[[#This Row],[S&amp;P/Case-Shiller Home Price Index]]*1)/S713)-1)</f>
        <v>0.13491635687732351</v>
      </c>
      <c r="V725" s="39"/>
      <c r="W725" s="9"/>
      <c r="X725" s="9"/>
    </row>
    <row r="726" spans="1:24" ht="12.75">
      <c r="A726" s="12">
        <v>44287</v>
      </c>
      <c r="B726" s="26">
        <v>2.98</v>
      </c>
      <c r="C726" s="29">
        <v>83</v>
      </c>
      <c r="D726" s="33">
        <v>1765</v>
      </c>
      <c r="E726" s="41">
        <f>IF(Tabela1716[[#This Row],[Building Permits]]="",#N/A,((Tabela1716[[#This Row],[Building Permits]]*1)/D714)-1)</f>
        <v>0.62822878228782297</v>
      </c>
      <c r="F726" s="33">
        <v>1320</v>
      </c>
      <c r="G726" s="41">
        <f>IF(Tabela1716[[#This Row],[Houses Under Construction]]="",#N/A,((Tabela1716[[#This Row],[Houses Under Construction]]*1)/F714)-1)</f>
        <v>0.10645431684828166</v>
      </c>
      <c r="H726" s="33">
        <v>1484</v>
      </c>
      <c r="I726" s="33">
        <f>IF(Tabela1716[[#This Row],[Housing Starts]]="",#N/A,Tabela1716[[#This Row],[Housing Starts]]-H725)</f>
        <v>-216</v>
      </c>
      <c r="J726" s="41">
        <f>IF(Tabela1716[[#This Row],[Housing Starts]]="",#N/A,((Tabela1716[[#This Row],[Housing Starts]]*1)/H714)-1)</f>
        <v>0.60432432432432437</v>
      </c>
      <c r="K726" s="33">
        <v>1615638</v>
      </c>
      <c r="L726" s="41">
        <f>IF(Tabela1716[[#This Row],[Total Construction Spending]]="",#N/A,((Tabela1716[[#This Row],[Total Construction Spending]]*1)/K714)-1)</f>
        <v>0.10624449235897182</v>
      </c>
      <c r="M726" s="31">
        <v>5960</v>
      </c>
      <c r="N726" s="41">
        <f>IF(Tabela1716[[#This Row],[Existing Home Sales]]="",#N/A,((Tabela1716[[#This Row],[Existing Home Sales]]*1)/M714)-1)</f>
        <v>0.3423423423423424</v>
      </c>
      <c r="O726" s="33">
        <v>810</v>
      </c>
      <c r="P726" s="41">
        <f>IF(Tabela1716[[#This Row],[New House Sales]]="",#N/A,((Tabela1716[[#This Row],[New House Sales]]*1)/O725)-1)</f>
        <v>-4.705882352941182E-2</v>
      </c>
      <c r="Q726" s="41">
        <f>IF(Tabela1716[[#This Row],[New House Sales]]="",#N/A,((Tabela1716[[#This Row],[New House Sales]]*1)/O714)-1)</f>
        <v>0.42355008787346216</v>
      </c>
      <c r="R726" s="27">
        <v>4.7</v>
      </c>
      <c r="S726" s="86">
        <v>249.84099999999998</v>
      </c>
      <c r="T726" s="41">
        <f>IF(Tabela1716[[#This Row],[S&amp;P/Case-Shiller Home Price Index]]="",#N/A,((Tabela1716[[#This Row],[S&amp;P/Case-Shiller Home Price Index]]*1)/S725)-1)</f>
        <v>2.295749158593785E-2</v>
      </c>
      <c r="U726" s="41">
        <f>IF(Tabela1716[[#This Row],[S&amp;P/Case-Shiller Home Price Index]]="",#N/A,((Tabela1716[[#This Row],[S&amp;P/Case-Shiller Home Price Index]]*1)/S714)-1)</f>
        <v>0.15004257865543491</v>
      </c>
      <c r="V726" s="37"/>
      <c r="W726" s="9"/>
      <c r="X726" s="9"/>
    </row>
    <row r="727" spans="1:24" ht="12.75">
      <c r="A727" s="12">
        <v>44317</v>
      </c>
      <c r="B727" s="26">
        <v>2.95</v>
      </c>
      <c r="C727" s="29">
        <v>83</v>
      </c>
      <c r="D727" s="33">
        <v>1691</v>
      </c>
      <c r="E727" s="41">
        <f>IF(Tabela1716[[#This Row],[Building Permits]]="",#N/A,((Tabela1716[[#This Row],[Building Permits]]*1)/D715)-1)</f>
        <v>0.34633757961783429</v>
      </c>
      <c r="F727" s="33">
        <v>1338</v>
      </c>
      <c r="G727" s="41">
        <f>IF(Tabela1716[[#This Row],[Houses Under Construction]]="",#N/A,((Tabela1716[[#This Row],[Houses Under Construction]]*1)/F715)-1)</f>
        <v>0.13389830508474576</v>
      </c>
      <c r="H727" s="33">
        <v>1600</v>
      </c>
      <c r="I727" s="33">
        <f>IF(Tabela1716[[#This Row],[Housing Starts]]="",#N/A,Tabela1716[[#This Row],[Housing Starts]]-H726)</f>
        <v>116</v>
      </c>
      <c r="J727" s="41">
        <f>IF(Tabela1716[[#This Row],[Housing Starts]]="",#N/A,((Tabela1716[[#This Row],[Housing Starts]]*1)/H715)-1)</f>
        <v>0.51802656546489567</v>
      </c>
      <c r="K727" s="33">
        <v>1628281</v>
      </c>
      <c r="L727" s="41">
        <f>IF(Tabela1716[[#This Row],[Total Construction Spending]]="",#N/A,((Tabela1716[[#This Row],[Total Construction Spending]]*1)/K715)-1)</f>
        <v>0.12133923197386376</v>
      </c>
      <c r="M727" s="31">
        <v>5920</v>
      </c>
      <c r="N727" s="41">
        <f>IF(Tabela1716[[#This Row],[Existing Home Sales]]="",#N/A,((Tabela1716[[#This Row],[Existing Home Sales]]*1)/M715)-1)</f>
        <v>0.45454545454545459</v>
      </c>
      <c r="O727" s="33">
        <v>715</v>
      </c>
      <c r="P727" s="41">
        <f>IF(Tabela1716[[#This Row],[New House Sales]]="",#N/A,((Tabela1716[[#This Row],[New House Sales]]*1)/O726)-1)</f>
        <v>-0.11728395061728392</v>
      </c>
      <c r="Q727" s="41">
        <f>IF(Tabela1716[[#This Row],[New House Sales]]="",#N/A,((Tabela1716[[#This Row],[New House Sales]]*1)/O715)-1)</f>
        <v>2.7298850574712707E-2</v>
      </c>
      <c r="R727" s="27">
        <v>5.6</v>
      </c>
      <c r="S727" s="86">
        <v>255.465</v>
      </c>
      <c r="T727" s="41">
        <f>IF(Tabela1716[[#This Row],[S&amp;P/Case-Shiller Home Price Index]]="",#N/A,((Tabela1716[[#This Row],[S&amp;P/Case-Shiller Home Price Index]]*1)/S726)-1)</f>
        <v>2.2510316561333177E-2</v>
      </c>
      <c r="U727" s="41">
        <f>IF(Tabela1716[[#This Row],[S&amp;P/Case-Shiller Home Price Index]]="",#N/A,((Tabela1716[[#This Row],[S&amp;P/Case-Shiller Home Price Index]]*1)/S715)-1)</f>
        <v>0.16921365901882446</v>
      </c>
      <c r="V727" s="39"/>
      <c r="W727" s="9"/>
      <c r="X727" s="9"/>
    </row>
    <row r="728" spans="1:24" ht="12.75">
      <c r="A728" s="12">
        <v>44348</v>
      </c>
      <c r="B728" s="26">
        <v>3.02</v>
      </c>
      <c r="C728" s="29">
        <v>81</v>
      </c>
      <c r="D728" s="33">
        <v>1661</v>
      </c>
      <c r="E728" s="41">
        <f>IF(Tabela1716[[#This Row],[Building Permits]]="",#N/A,((Tabela1716[[#This Row],[Building Permits]]*1)/D716)-1)</f>
        <v>0.24140508221225709</v>
      </c>
      <c r="F728" s="33">
        <v>1372</v>
      </c>
      <c r="G728" s="41">
        <f>IF(Tabela1716[[#This Row],[Houses Under Construction]]="",#N/A,((Tabela1716[[#This Row],[Houses Under Construction]]*1)/F716)-1)</f>
        <v>0.15976331360946738</v>
      </c>
      <c r="H728" s="33">
        <v>1661</v>
      </c>
      <c r="I728" s="33">
        <f>IF(Tabela1716[[#This Row],[Housing Starts]]="",#N/A,Tabela1716[[#This Row],[Housing Starts]]-H727)</f>
        <v>61</v>
      </c>
      <c r="J728" s="41">
        <f>IF(Tabela1716[[#This Row],[Housing Starts]]="",#N/A,((Tabela1716[[#This Row],[Housing Starts]]*1)/H716)-1)</f>
        <v>0.31200631911532395</v>
      </c>
      <c r="K728" s="33">
        <v>1639779</v>
      </c>
      <c r="L728" s="41">
        <f>IF(Tabela1716[[#This Row],[Total Construction Spending]]="",#N/A,((Tabela1716[[#This Row],[Total Construction Spending]]*1)/K716)-1)</f>
        <v>0.12376129737909025</v>
      </c>
      <c r="M728" s="31">
        <v>5970</v>
      </c>
      <c r="N728" s="41">
        <f>IF(Tabela1716[[#This Row],[Existing Home Sales]]="",#N/A,((Tabela1716[[#This Row],[Existing Home Sales]]*1)/M716)-1)</f>
        <v>0.23347107438016534</v>
      </c>
      <c r="O728" s="33">
        <v>716</v>
      </c>
      <c r="P728" s="41">
        <f>IF(Tabela1716[[#This Row],[New House Sales]]="",#N/A,((Tabela1716[[#This Row],[New House Sales]]*1)/O727)-1)</f>
        <v>1.3986013986013734E-3</v>
      </c>
      <c r="Q728" s="41">
        <f>IF(Tabela1716[[#This Row],[New House Sales]]="",#N/A,((Tabela1716[[#This Row],[New House Sales]]*1)/O716)-1)</f>
        <v>-0.2350427350427351</v>
      </c>
      <c r="R728" s="27">
        <v>5.8</v>
      </c>
      <c r="S728" s="86">
        <v>261.18799999999999</v>
      </c>
      <c r="T728" s="41">
        <f>IF(Tabela1716[[#This Row],[S&amp;P/Case-Shiller Home Price Index]]="",#N/A,((Tabela1716[[#This Row],[S&amp;P/Case-Shiller Home Price Index]]*1)/S727)-1)</f>
        <v>2.2402286027439988E-2</v>
      </c>
      <c r="U728" s="41">
        <f>IF(Tabela1716[[#This Row],[S&amp;P/Case-Shiller Home Price Index]]="",#N/A,((Tabela1716[[#This Row],[S&amp;P/Case-Shiller Home Price Index]]*1)/S716)-1)</f>
        <v>0.18819033754890357</v>
      </c>
      <c r="V728" s="37"/>
      <c r="W728" s="9"/>
      <c r="X728" s="9"/>
    </row>
    <row r="729" spans="1:24" ht="12.75">
      <c r="A729" s="12">
        <v>44378</v>
      </c>
      <c r="B729" s="26">
        <v>2.8</v>
      </c>
      <c r="C729" s="29">
        <v>80</v>
      </c>
      <c r="D729" s="33">
        <v>1655</v>
      </c>
      <c r="E729" s="41">
        <f>IF(Tabela1716[[#This Row],[Building Permits]]="",#N/A,((Tabela1716[[#This Row],[Building Permits]]*1)/D717)-1)</f>
        <v>6.5679330328396679E-2</v>
      </c>
      <c r="F729" s="33">
        <v>1387</v>
      </c>
      <c r="G729" s="41">
        <f>IF(Tabela1716[[#This Row],[Houses Under Construction]]="",#N/A,((Tabela1716[[#This Row],[Houses Under Construction]]*1)/F717)-1)</f>
        <v>0.1548709408825979</v>
      </c>
      <c r="H729" s="33">
        <v>1593</v>
      </c>
      <c r="I729" s="33">
        <f>IF(Tabela1716[[#This Row],[Housing Starts]]="",#N/A,Tabela1716[[#This Row],[Housing Starts]]-H728)</f>
        <v>-68</v>
      </c>
      <c r="J729" s="41">
        <f>IF(Tabela1716[[#This Row],[Housing Starts]]="",#N/A,((Tabela1716[[#This Row],[Housing Starts]]*1)/H717)-1)</f>
        <v>4.1857423152387163E-2</v>
      </c>
      <c r="K729" s="33">
        <v>1658346</v>
      </c>
      <c r="L729" s="41">
        <f>IF(Tabela1716[[#This Row],[Total Construction Spending]]="",#N/A,((Tabela1716[[#This Row],[Total Construction Spending]]*1)/K717)-1)</f>
        <v>0.12738184505336947</v>
      </c>
      <c r="M729" s="31">
        <v>6030</v>
      </c>
      <c r="N729" s="41">
        <f>IF(Tabela1716[[#This Row],[Existing Home Sales]]="",#N/A,((Tabela1716[[#This Row],[Existing Home Sales]]*1)/M717)-1)</f>
        <v>1.6863406408094361E-2</v>
      </c>
      <c r="O729" s="33">
        <v>760</v>
      </c>
      <c r="P729" s="41">
        <f>IF(Tabela1716[[#This Row],[New House Sales]]="",#N/A,((Tabela1716[[#This Row],[New House Sales]]*1)/O728)-1)</f>
        <v>6.1452513966480549E-2</v>
      </c>
      <c r="Q729" s="41">
        <f>IF(Tabela1716[[#This Row],[New House Sales]]="",#N/A,((Tabela1716[[#This Row],[New House Sales]]*1)/O717)-1)</f>
        <v>-0.25417075564278702</v>
      </c>
      <c r="R729" s="27">
        <v>5.7</v>
      </c>
      <c r="S729" s="86">
        <v>265.524</v>
      </c>
      <c r="T729" s="41">
        <f>IF(Tabela1716[[#This Row],[S&amp;P/Case-Shiller Home Price Index]]="",#N/A,((Tabela1716[[#This Row],[S&amp;P/Case-Shiller Home Price Index]]*1)/S728)-1)</f>
        <v>1.6601068961820564E-2</v>
      </c>
      <c r="U729" s="41">
        <f>IF(Tabela1716[[#This Row],[S&amp;P/Case-Shiller Home Price Index]]="",#N/A,((Tabela1716[[#This Row],[S&amp;P/Case-Shiller Home Price Index]]*1)/S717)-1)</f>
        <v>0.19833196436469325</v>
      </c>
      <c r="V729" s="39"/>
      <c r="W729" s="9"/>
      <c r="X729" s="9"/>
    </row>
    <row r="730" spans="1:24" ht="12.75">
      <c r="A730" s="12">
        <v>44409</v>
      </c>
      <c r="B730" s="26">
        <v>2.87</v>
      </c>
      <c r="C730" s="29">
        <v>75</v>
      </c>
      <c r="D730" s="33">
        <v>1772</v>
      </c>
      <c r="E730" s="41">
        <f>IF(Tabela1716[[#This Row],[Building Permits]]="",#N/A,((Tabela1716[[#This Row],[Building Permits]]*1)/D718)-1)</f>
        <v>0.16578947368421049</v>
      </c>
      <c r="F730" s="33">
        <v>1412</v>
      </c>
      <c r="G730" s="41">
        <f>IF(Tabela1716[[#This Row],[Houses Under Construction]]="",#N/A,((Tabela1716[[#This Row],[Houses Under Construction]]*1)/F718)-1)</f>
        <v>0.16405605935696621</v>
      </c>
      <c r="H730" s="33">
        <v>1576</v>
      </c>
      <c r="I730" s="33">
        <f>IF(Tabela1716[[#This Row],[Housing Starts]]="",#N/A,Tabela1716[[#This Row],[Housing Starts]]-H729)</f>
        <v>-17</v>
      </c>
      <c r="J730" s="41">
        <f>IF(Tabela1716[[#This Row],[Housing Starts]]="",#N/A,((Tabela1716[[#This Row],[Housing Starts]]*1)/H718)-1)</f>
        <v>0.14451706608569359</v>
      </c>
      <c r="K730" s="33">
        <v>1666756</v>
      </c>
      <c r="L730" s="41">
        <f>IF(Tabela1716[[#This Row],[Total Construction Spending]]="",#N/A,((Tabela1716[[#This Row],[Total Construction Spending]]*1)/K718)-1)</f>
        <v>0.11889852581831861</v>
      </c>
      <c r="M730" s="31">
        <v>5990</v>
      </c>
      <c r="N730" s="41">
        <f>IF(Tabela1716[[#This Row],[Existing Home Sales]]="",#N/A,((Tabela1716[[#This Row],[Existing Home Sales]]*1)/M718)-1)</f>
        <v>-9.91735537190086E-3</v>
      </c>
      <c r="O730" s="33">
        <v>690</v>
      </c>
      <c r="P730" s="41">
        <f>IF(Tabela1716[[#This Row],[New House Sales]]="",#N/A,((Tabela1716[[#This Row],[New House Sales]]*1)/O729)-1)</f>
        <v>-9.210526315789469E-2</v>
      </c>
      <c r="Q730" s="41">
        <f>IF(Tabela1716[[#This Row],[New House Sales]]="",#N/A,((Tabela1716[[#This Row],[New House Sales]]*1)/O718)-1)</f>
        <v>-0.32944606413994171</v>
      </c>
      <c r="R730" s="27">
        <v>6.5</v>
      </c>
      <c r="S730" s="86">
        <v>268.8</v>
      </c>
      <c r="T730" s="41">
        <f>IF(Tabela1716[[#This Row],[S&amp;P/Case-Shiller Home Price Index]]="",#N/A,((Tabela1716[[#This Row],[S&amp;P/Case-Shiller Home Price Index]]*1)/S729)-1)</f>
        <v>1.2337867763366095E-2</v>
      </c>
      <c r="U730" s="41">
        <f>IF(Tabela1716[[#This Row],[S&amp;P/Case-Shiller Home Price Index]]="",#N/A,((Tabela1716[[#This Row],[S&amp;P/Case-Shiller Home Price Index]]*1)/S718)-1)</f>
        <v>0.19968401180046325</v>
      </c>
      <c r="V730" s="37"/>
      <c r="W730" s="9"/>
      <c r="X730" s="9"/>
    </row>
    <row r="731" spans="1:24" ht="12.75">
      <c r="A731" s="12">
        <v>44440</v>
      </c>
      <c r="B731" s="26">
        <v>3.01</v>
      </c>
      <c r="C731" s="29">
        <v>76</v>
      </c>
      <c r="D731" s="33">
        <v>1615</v>
      </c>
      <c r="E731" s="41">
        <f>IF(Tabela1716[[#This Row],[Building Permits]]="",#N/A,((Tabela1716[[#This Row],[Building Permits]]*1)/D719)-1)</f>
        <v>6.1957868649309411E-4</v>
      </c>
      <c r="F731" s="33">
        <v>1437</v>
      </c>
      <c r="G731" s="41">
        <f>IF(Tabela1716[[#This Row],[Houses Under Construction]]="",#N/A,((Tabela1716[[#This Row],[Houses Under Construction]]*1)/F719)-1)</f>
        <v>0.17980295566502469</v>
      </c>
      <c r="H731" s="33">
        <v>1560</v>
      </c>
      <c r="I731" s="33">
        <f>IF(Tabela1716[[#This Row],[Housing Starts]]="",#N/A,Tabela1716[[#This Row],[Housing Starts]]-H730)</f>
        <v>-16</v>
      </c>
      <c r="J731" s="41">
        <f>IF(Tabela1716[[#This Row],[Housing Starts]]="",#N/A,((Tabela1716[[#This Row],[Housing Starts]]*1)/H719)-1)</f>
        <v>6.6302118933697862E-2</v>
      </c>
      <c r="K731" s="33">
        <v>1667332</v>
      </c>
      <c r="L731" s="41">
        <f>IF(Tabela1716[[#This Row],[Total Construction Spending]]="",#N/A,((Tabela1716[[#This Row],[Total Construction Spending]]*1)/K719)-1)</f>
        <v>0.10406030531419397</v>
      </c>
      <c r="M731" s="31">
        <v>6180</v>
      </c>
      <c r="N731" s="41">
        <f>IF(Tabela1716[[#This Row],[Existing Home Sales]]="",#N/A,((Tabela1716[[#This Row],[Existing Home Sales]]*1)/M719)-1)</f>
        <v>-2.8301886792452824E-2</v>
      </c>
      <c r="O731" s="33">
        <v>742</v>
      </c>
      <c r="P731" s="41">
        <f>IF(Tabela1716[[#This Row],[New House Sales]]="",#N/A,((Tabela1716[[#This Row],[New House Sales]]*1)/O730)-1)</f>
        <v>7.5362318840579645E-2</v>
      </c>
      <c r="Q731" s="41">
        <f>IF(Tabela1716[[#This Row],[New House Sales]]="",#N/A,((Tabela1716[[#This Row],[New House Sales]]*1)/O719)-1)</f>
        <v>-0.24898785425101211</v>
      </c>
      <c r="R731" s="27">
        <v>6</v>
      </c>
      <c r="S731" s="86">
        <v>271.45499999999998</v>
      </c>
      <c r="T731" s="41">
        <f>IF(Tabela1716[[#This Row],[S&amp;P/Case-Shiller Home Price Index]]="",#N/A,((Tabela1716[[#This Row],[S&amp;P/Case-Shiller Home Price Index]]*1)/S730)-1)</f>
        <v>9.8772321428570731E-3</v>
      </c>
      <c r="U731" s="41">
        <f>IF(Tabela1716[[#This Row],[S&amp;P/Case-Shiller Home Price Index]]="",#N/A,((Tabela1716[[#This Row],[S&amp;P/Case-Shiller Home Price Index]]*1)/S719)-1)</f>
        <v>0.19682821014761109</v>
      </c>
      <c r="V731" s="39"/>
      <c r="W731" s="9"/>
      <c r="X731" s="9"/>
    </row>
    <row r="732" spans="1:24" ht="12.75">
      <c r="A732" s="12">
        <v>44470</v>
      </c>
      <c r="B732" s="26">
        <v>3.14</v>
      </c>
      <c r="C732" s="29">
        <v>80</v>
      </c>
      <c r="D732" s="33">
        <v>1698</v>
      </c>
      <c r="E732" s="41">
        <f>IF(Tabela1716[[#This Row],[Building Permits]]="",#N/A,((Tabela1716[[#This Row],[Building Permits]]*1)/D720)-1)</f>
        <v>6.1913696060037493E-2</v>
      </c>
      <c r="F732" s="33">
        <v>1464</v>
      </c>
      <c r="G732" s="41">
        <f>IF(Tabela1716[[#This Row],[Houses Under Construction]]="",#N/A,((Tabela1716[[#This Row],[Houses Under Construction]]*1)/F720)-1)</f>
        <v>0.19218241042345285</v>
      </c>
      <c r="H732" s="33">
        <v>1572</v>
      </c>
      <c r="I732" s="33">
        <f>IF(Tabela1716[[#This Row],[Housing Starts]]="",#N/A,Tabela1716[[#This Row],[Housing Starts]]-H731)</f>
        <v>12</v>
      </c>
      <c r="J732" s="41">
        <f>IF(Tabela1716[[#This Row],[Housing Starts]]="",#N/A,((Tabela1716[[#This Row],[Housing Starts]]*1)/H720)-1)</f>
        <v>2.2771633051398732E-2</v>
      </c>
      <c r="K732" s="33">
        <v>1685243</v>
      </c>
      <c r="L732" s="41">
        <f>IF(Tabela1716[[#This Row],[Total Construction Spending]]="",#N/A,((Tabela1716[[#This Row],[Total Construction Spending]]*1)/K720)-1)</f>
        <v>9.794970356374999E-2</v>
      </c>
      <c r="M732" s="31">
        <v>6190</v>
      </c>
      <c r="N732" s="41">
        <f>IF(Tabela1716[[#This Row],[Existing Home Sales]]="",#N/A,((Tabela1716[[#This Row],[Existing Home Sales]]*1)/M720)-1)</f>
        <v>-5.9270516717325195E-2</v>
      </c>
      <c r="O732" s="33">
        <v>680</v>
      </c>
      <c r="P732" s="41">
        <f>IF(Tabela1716[[#This Row],[New House Sales]]="",#N/A,((Tabela1716[[#This Row],[New House Sales]]*1)/O731)-1)</f>
        <v>-8.3557951482479798E-2</v>
      </c>
      <c r="Q732" s="41">
        <f>IF(Tabela1716[[#This Row],[New House Sales]]="",#N/A,((Tabela1716[[#This Row],[New House Sales]]*1)/O720)-1)</f>
        <v>-0.33787731256085685</v>
      </c>
      <c r="R732" s="27">
        <v>6.8</v>
      </c>
      <c r="S732" s="86">
        <v>273.66700000000003</v>
      </c>
      <c r="T732" s="41">
        <f>IF(Tabela1716[[#This Row],[S&amp;P/Case-Shiller Home Price Index]]="",#N/A,((Tabela1716[[#This Row],[S&amp;P/Case-Shiller Home Price Index]]*1)/S731)-1)</f>
        <v>8.1486802600800878E-3</v>
      </c>
      <c r="U732" s="41">
        <f>IF(Tabela1716[[#This Row],[S&amp;P/Case-Shiller Home Price Index]]="",#N/A,((Tabela1716[[#This Row],[S&amp;P/Case-Shiller Home Price Index]]*1)/S720)-1)</f>
        <v>0.19076771790587577</v>
      </c>
      <c r="V732" s="37"/>
      <c r="W732" s="9"/>
      <c r="X732" s="9"/>
    </row>
    <row r="733" spans="1:24" ht="12.75">
      <c r="A733" s="12">
        <v>44501</v>
      </c>
      <c r="B733" s="26">
        <v>3.1</v>
      </c>
      <c r="C733" s="29">
        <v>83</v>
      </c>
      <c r="D733" s="33">
        <v>1729</v>
      </c>
      <c r="E733" s="41">
        <f>IF(Tabela1716[[#This Row],[Building Permits]]="",#N/A,((Tabela1716[[#This Row],[Building Permits]]*1)/D721)-1)</f>
        <v>2.7942925089179615E-2</v>
      </c>
      <c r="F733" s="33">
        <v>1493</v>
      </c>
      <c r="G733" s="41">
        <f>IF(Tabela1716[[#This Row],[Houses Under Construction]]="",#N/A,((Tabela1716[[#This Row],[Houses Under Construction]]*1)/F721)-1)</f>
        <v>0.19631410256410264</v>
      </c>
      <c r="H733" s="33">
        <v>1712</v>
      </c>
      <c r="I733" s="33">
        <f>IF(Tabela1716[[#This Row],[Housing Starts]]="",#N/A,Tabela1716[[#This Row],[Housing Starts]]-H732)</f>
        <v>140</v>
      </c>
      <c r="J733" s="41">
        <f>IF(Tabela1716[[#This Row],[Housing Starts]]="",#N/A,((Tabela1716[[#This Row],[Housing Starts]]*1)/H721)-1)</f>
        <v>0.10809061488673133</v>
      </c>
      <c r="K733" s="33">
        <v>1726586</v>
      </c>
      <c r="L733" s="41">
        <f>IF(Tabela1716[[#This Row],[Total Construction Spending]]="",#N/A,((Tabela1716[[#This Row],[Total Construction Spending]]*1)/K721)-1)</f>
        <v>0.11322547866633648</v>
      </c>
      <c r="M733" s="31">
        <v>6330</v>
      </c>
      <c r="N733" s="41">
        <f>IF(Tabela1716[[#This Row],[Existing Home Sales]]="",#N/A,((Tabela1716[[#This Row],[Existing Home Sales]]*1)/M721)-1)</f>
        <v>-2.0123839009287936E-2</v>
      </c>
      <c r="O733" s="33">
        <v>772</v>
      </c>
      <c r="P733" s="41">
        <f>IF(Tabela1716[[#This Row],[New House Sales]]="",#N/A,((Tabela1716[[#This Row],[New House Sales]]*1)/O732)-1)</f>
        <v>0.13529411764705879</v>
      </c>
      <c r="Q733" s="41">
        <f>IF(Tabela1716[[#This Row],[New House Sales]]="",#N/A,((Tabela1716[[#This Row],[New House Sales]]*1)/O721)-1)</f>
        <v>-0.10544611819235228</v>
      </c>
      <c r="R733" s="27">
        <v>6</v>
      </c>
      <c r="S733" s="86">
        <v>276.03500000000003</v>
      </c>
      <c r="T733" s="41">
        <f>IF(Tabela1716[[#This Row],[S&amp;P/Case-Shiller Home Price Index]]="",#N/A,((Tabela1716[[#This Row],[S&amp;P/Case-Shiller Home Price Index]]*1)/S732)-1)</f>
        <v>8.6528518235666763E-3</v>
      </c>
      <c r="U733" s="41">
        <f>IF(Tabela1716[[#This Row],[S&amp;P/Case-Shiller Home Price Index]]="",#N/A,((Tabela1716[[#This Row],[S&amp;P/Case-Shiller Home Price Index]]*1)/S721)-1)</f>
        <v>0.18811604183704222</v>
      </c>
      <c r="V733" s="39"/>
      <c r="W733" s="9"/>
      <c r="X733" s="9"/>
    </row>
    <row r="734" spans="1:24" ht="12.75">
      <c r="A734" s="12">
        <v>44531</v>
      </c>
      <c r="B734" s="26">
        <v>3.11</v>
      </c>
      <c r="C734" s="29">
        <v>84</v>
      </c>
      <c r="D734" s="33">
        <v>1896</v>
      </c>
      <c r="E734" s="41">
        <f>IF(Tabela1716[[#This Row],[Building Permits]]="",#N/A,((Tabela1716[[#This Row],[Building Permits]]*1)/D722)-1)</f>
        <v>9.5953757225433423E-2</v>
      </c>
      <c r="F734" s="33">
        <v>1526</v>
      </c>
      <c r="G734" s="41">
        <f>IF(Tabela1716[[#This Row],[Houses Under Construction]]="",#N/A,((Tabela1716[[#This Row],[Houses Under Construction]]*1)/F722)-1)</f>
        <v>0.20919175911251986</v>
      </c>
      <c r="H734" s="33">
        <v>1787</v>
      </c>
      <c r="I734" s="33">
        <f>IF(Tabela1716[[#This Row],[Housing Starts]]="",#N/A,Tabela1716[[#This Row],[Housing Starts]]-H733)</f>
        <v>75</v>
      </c>
      <c r="J734" s="41">
        <f>IF(Tabela1716[[#This Row],[Housing Starts]]="",#N/A,((Tabela1716[[#This Row],[Housing Starts]]*1)/H722)-1)</f>
        <v>7.4564040889957939E-2</v>
      </c>
      <c r="K734" s="33">
        <v>1754426</v>
      </c>
      <c r="L734" s="41">
        <f>IF(Tabela1716[[#This Row],[Total Construction Spending]]="",#N/A,((Tabela1716[[#This Row],[Total Construction Spending]]*1)/K722)-1)</f>
        <v>0.11550776978051314</v>
      </c>
      <c r="M734" s="31">
        <v>6090</v>
      </c>
      <c r="N734" s="41">
        <f>IF(Tabela1716[[#This Row],[Existing Home Sales]]="",#N/A,((Tabela1716[[#This Row],[Existing Home Sales]]*1)/M722)-1)</f>
        <v>-6.738131699846861E-2</v>
      </c>
      <c r="O734" s="33">
        <v>830</v>
      </c>
      <c r="P734" s="41">
        <f>IF(Tabela1716[[#This Row],[New House Sales]]="",#N/A,((Tabela1716[[#This Row],[New House Sales]]*1)/O733)-1)</f>
        <v>7.5129533678756522E-2</v>
      </c>
      <c r="Q734" s="41">
        <f>IF(Tabela1716[[#This Row],[New House Sales]]="",#N/A,((Tabela1716[[#This Row],[New House Sales]]*1)/O722)-1)</f>
        <v>-4.9255441008018375E-2</v>
      </c>
      <c r="R734" s="27">
        <v>5.6</v>
      </c>
      <c r="S734" s="86">
        <v>278.613</v>
      </c>
      <c r="T734" s="41">
        <f>IF(Tabela1716[[#This Row],[S&amp;P/Case-Shiller Home Price Index]]="",#N/A,((Tabela1716[[#This Row],[S&amp;P/Case-Shiller Home Price Index]]*1)/S733)-1)</f>
        <v>9.3393953665295015E-3</v>
      </c>
      <c r="U734" s="41">
        <f>IF(Tabela1716[[#This Row],[S&amp;P/Case-Shiller Home Price Index]]="",#N/A,((Tabela1716[[#This Row],[S&amp;P/Case-Shiller Home Price Index]]*1)/S722)-1)</f>
        <v>0.18871836880975867</v>
      </c>
      <c r="V734" s="37"/>
      <c r="W734" s="9"/>
      <c r="X734" s="9"/>
    </row>
    <row r="735" spans="1:24" ht="12.75">
      <c r="A735" s="12">
        <v>44562</v>
      </c>
      <c r="B735" s="26">
        <v>3.55</v>
      </c>
      <c r="C735" s="29">
        <v>83</v>
      </c>
      <c r="D735" s="33">
        <v>1898</v>
      </c>
      <c r="E735" s="41">
        <f>IF(Tabela1716[[#This Row],[Building Permits]]="",#N/A,((Tabela1716[[#This Row],[Building Permits]]*1)/D723)-1)</f>
        <v>2.9842647856755278E-2</v>
      </c>
      <c r="F735" s="33">
        <v>1553</v>
      </c>
      <c r="G735" s="41">
        <f>IF(Tabela1716[[#This Row],[Houses Under Construction]]="",#N/A,((Tabela1716[[#This Row],[Houses Under Construction]]*1)/F723)-1)</f>
        <v>0.2113884555382215</v>
      </c>
      <c r="H735" s="33">
        <v>1669</v>
      </c>
      <c r="I735" s="33">
        <f>IF(Tabela1716[[#This Row],[Housing Starts]]="",#N/A,Tabela1716[[#This Row],[Housing Starts]]-H734)</f>
        <v>-118</v>
      </c>
      <c r="J735" s="41">
        <f>IF(Tabela1716[[#This Row],[Housing Starts]]="",#N/A,((Tabela1716[[#This Row],[Housing Starts]]*1)/H723)-1)</f>
        <v>4.1822721598002488E-2</v>
      </c>
      <c r="K735" s="33">
        <v>1796460</v>
      </c>
      <c r="L735" s="41">
        <f>IF(Tabela1716[[#This Row],[Total Construction Spending]]="",#N/A,((Tabela1716[[#This Row],[Total Construction Spending]]*1)/K723)-1)</f>
        <v>0.11820217221755036</v>
      </c>
      <c r="M735" s="31">
        <v>6490</v>
      </c>
      <c r="N735" s="41">
        <f>IF(Tabela1716[[#This Row],[Existing Home Sales]]="",#N/A,((Tabela1716[[#This Row],[Existing Home Sales]]*1)/M723)-1)</f>
        <v>-2.4060150375939893E-2</v>
      </c>
      <c r="O735" s="33">
        <v>810</v>
      </c>
      <c r="P735" s="41">
        <f>IF(Tabela1716[[#This Row],[New House Sales]]="",#N/A,((Tabela1716[[#This Row],[New House Sales]]*1)/O734)-1)</f>
        <v>-2.4096385542168641E-2</v>
      </c>
      <c r="Q735" s="41">
        <f>IF(Tabela1716[[#This Row],[New House Sales]]="",#N/A,((Tabela1716[[#This Row],[New House Sales]]*1)/O723)-1)</f>
        <v>-0.10099889012208652</v>
      </c>
      <c r="R735" s="27">
        <v>5.8</v>
      </c>
      <c r="S735" s="86">
        <v>281.99</v>
      </c>
      <c r="T735" s="41">
        <f>IF(Tabela1716[[#This Row],[S&amp;P/Case-Shiller Home Price Index]]="",#N/A,((Tabela1716[[#This Row],[S&amp;P/Case-Shiller Home Price Index]]*1)/S734)-1)</f>
        <v>1.2120755312925224E-2</v>
      </c>
      <c r="U735" s="41">
        <f>IF(Tabela1716[[#This Row],[S&amp;P/Case-Shiller Home Price Index]]="",#N/A,((Tabela1716[[#This Row],[S&amp;P/Case-Shiller Home Price Index]]*1)/S723)-1)</f>
        <v>0.19256859627161083</v>
      </c>
      <c r="V735" s="39"/>
      <c r="W735" s="9"/>
      <c r="X735" s="9"/>
    </row>
    <row r="736" spans="1:24" ht="12.75">
      <c r="A736" s="12">
        <v>44593</v>
      </c>
      <c r="B736" s="26">
        <v>3.89</v>
      </c>
      <c r="C736" s="29">
        <v>81</v>
      </c>
      <c r="D736" s="33">
        <v>1817</v>
      </c>
      <c r="E736" s="41">
        <f>IF(Tabela1716[[#This Row],[Building Permits]]="",#N/A,((Tabela1716[[#This Row],[Building Permits]]*1)/D724)-1)</f>
        <v>4.2455536431440066E-2</v>
      </c>
      <c r="F736" s="33">
        <v>1581</v>
      </c>
      <c r="G736" s="41">
        <f>IF(Tabela1716[[#This Row],[Houses Under Construction]]="",#N/A,((Tabela1716[[#This Row],[Houses Under Construction]]*1)/F724)-1)</f>
        <v>0.22939346811819594</v>
      </c>
      <c r="H736" s="33">
        <v>1771</v>
      </c>
      <c r="I736" s="33">
        <f>IF(Tabela1716[[#This Row],[Housing Starts]]="",#N/A,Tabela1716[[#This Row],[Housing Starts]]-H735)</f>
        <v>102</v>
      </c>
      <c r="J736" s="41">
        <f>IF(Tabela1716[[#This Row],[Housing Starts]]="",#N/A,((Tabela1716[[#This Row],[Housing Starts]]*1)/H724)-1)</f>
        <v>0.24542897327707447</v>
      </c>
      <c r="K736" s="33">
        <v>1823728</v>
      </c>
      <c r="L736" s="41">
        <f>IF(Tabela1716[[#This Row],[Total Construction Spending]]="",#N/A,((Tabela1716[[#This Row],[Total Construction Spending]]*1)/K724)-1)</f>
        <v>0.15058509416773291</v>
      </c>
      <c r="M736" s="31">
        <v>5930</v>
      </c>
      <c r="N736" s="41">
        <f>IF(Tabela1716[[#This Row],[Existing Home Sales]]="",#N/A,((Tabela1716[[#This Row],[Existing Home Sales]]*1)/M724)-1)</f>
        <v>-3.8897893030794162E-2</v>
      </c>
      <c r="O736" s="33">
        <v>773</v>
      </c>
      <c r="P736" s="41">
        <f>IF(Tabela1716[[#This Row],[New House Sales]]="",#N/A,((Tabela1716[[#This Row],[New House Sales]]*1)/O735)-1)</f>
        <v>-4.567901234567906E-2</v>
      </c>
      <c r="Q736" s="41">
        <f>IF(Tabela1716[[#This Row],[New House Sales]]="",#N/A,((Tabela1716[[#This Row],[New House Sales]]*1)/O724)-1)</f>
        <v>1.0457516339869244E-2</v>
      </c>
      <c r="R736" s="27">
        <v>6.2</v>
      </c>
      <c r="S736" s="86">
        <v>287.22399999999999</v>
      </c>
      <c r="T736" s="41">
        <f>IF(Tabela1716[[#This Row],[S&amp;P/Case-Shiller Home Price Index]]="",#N/A,((Tabela1716[[#This Row],[S&amp;P/Case-Shiller Home Price Index]]*1)/S735)-1)</f>
        <v>1.8560941877371562E-2</v>
      </c>
      <c r="U736" s="41">
        <f>IF(Tabela1716[[#This Row],[S&amp;P/Case-Shiller Home Price Index]]="",#N/A,((Tabela1716[[#This Row],[S&amp;P/Case-Shiller Home Price Index]]*1)/S724)-1)</f>
        <v>0.20057850341500938</v>
      </c>
      <c r="V736" s="37"/>
      <c r="W736" s="9"/>
      <c r="X736" s="9"/>
    </row>
    <row r="737" spans="1:24" ht="12.75">
      <c r="A737" s="12">
        <v>44621</v>
      </c>
      <c r="B737" s="26">
        <v>4.67</v>
      </c>
      <c r="C737" s="29">
        <v>79</v>
      </c>
      <c r="D737" s="33">
        <v>1877</v>
      </c>
      <c r="E737" s="41">
        <f>IF(Tabela1716[[#This Row],[Building Permits]]="",#N/A,((Tabela1716[[#This Row],[Building Permits]]*1)/D725)-1)</f>
        <v>5.8657642413987521E-2</v>
      </c>
      <c r="F737" s="33">
        <v>1631</v>
      </c>
      <c r="G737" s="41">
        <f>IF(Tabela1716[[#This Row],[Houses Under Construction]]="",#N/A,((Tabela1716[[#This Row],[Houses Under Construction]]*1)/F725)-1)</f>
        <v>0.24694189602446492</v>
      </c>
      <c r="H737" s="33">
        <v>1713</v>
      </c>
      <c r="I737" s="33">
        <f>IF(Tabela1716[[#This Row],[Housing Starts]]="",#N/A,Tabela1716[[#This Row],[Housing Starts]]-H736)</f>
        <v>-58</v>
      </c>
      <c r="J737" s="41">
        <f>IF(Tabela1716[[#This Row],[Housing Starts]]="",#N/A,((Tabela1716[[#This Row],[Housing Starts]]*1)/H725)-1)</f>
        <v>7.6470588235293402E-3</v>
      </c>
      <c r="K737" s="33">
        <v>1849637</v>
      </c>
      <c r="L737" s="41">
        <f>IF(Tabela1716[[#This Row],[Total Construction Spending]]="",#N/A,((Tabela1716[[#This Row],[Total Construction Spending]]*1)/K725)-1)</f>
        <v>0.14667414734244866</v>
      </c>
      <c r="M737" s="31">
        <v>5750</v>
      </c>
      <c r="N737" s="41">
        <f>IF(Tabela1716[[#This Row],[Existing Home Sales]]="",#N/A,((Tabela1716[[#This Row],[Existing Home Sales]]*1)/M725)-1)</f>
        <v>-4.801324503311255E-2</v>
      </c>
      <c r="O737" s="33">
        <v>707</v>
      </c>
      <c r="P737" s="41">
        <f>IF(Tabela1716[[#This Row],[New House Sales]]="",#N/A,((Tabela1716[[#This Row],[New House Sales]]*1)/O736)-1)</f>
        <v>-8.5381630012936638E-2</v>
      </c>
      <c r="Q737" s="41">
        <f>IF(Tabela1716[[#This Row],[New House Sales]]="",#N/A,((Tabela1716[[#This Row],[New House Sales]]*1)/O725)-1)</f>
        <v>-0.16823529411764704</v>
      </c>
      <c r="R737" s="27">
        <v>7</v>
      </c>
      <c r="S737" s="86">
        <v>295.04400000000004</v>
      </c>
      <c r="T737" s="41">
        <f>IF(Tabela1716[[#This Row],[S&amp;P/Case-Shiller Home Price Index]]="",#N/A,((Tabela1716[[#This Row],[S&amp;P/Case-Shiller Home Price Index]]*1)/S736)-1)</f>
        <v>2.7226137091608038E-2</v>
      </c>
      <c r="U737" s="41">
        <f>IF(Tabela1716[[#This Row],[S&amp;P/Case-Shiller Home Price Index]]="",#N/A,((Tabela1716[[#This Row],[S&amp;P/Case-Shiller Home Price Index]]*1)/S725)-1)</f>
        <v>0.20803819288059833</v>
      </c>
      <c r="V737" s="39">
        <v>118.8</v>
      </c>
      <c r="W737" s="9"/>
      <c r="X737" s="9"/>
    </row>
    <row r="738" spans="1:24" ht="12.75">
      <c r="A738" s="12">
        <v>44652</v>
      </c>
      <c r="B738" s="26">
        <v>5.0999999999999996</v>
      </c>
      <c r="C738" s="29">
        <v>77</v>
      </c>
      <c r="D738" s="33">
        <v>1795</v>
      </c>
      <c r="E738" s="41">
        <f>IF(Tabela1716[[#This Row],[Building Permits]]="",#N/A,((Tabela1716[[#This Row],[Building Permits]]*1)/D726)-1)</f>
        <v>1.6997167138810276E-2</v>
      </c>
      <c r="F738" s="33">
        <v>1669</v>
      </c>
      <c r="G738" s="41">
        <f>IF(Tabela1716[[#This Row],[Houses Under Construction]]="",#N/A,((Tabela1716[[#This Row],[Houses Under Construction]]*1)/F726)-1)</f>
        <v>0.2643939393939394</v>
      </c>
      <c r="H738" s="33">
        <v>1803</v>
      </c>
      <c r="I738" s="33">
        <f>IF(Tabela1716[[#This Row],[Housing Starts]]="",#N/A,Tabela1716[[#This Row],[Housing Starts]]-H737)</f>
        <v>90</v>
      </c>
      <c r="J738" s="41">
        <f>IF(Tabela1716[[#This Row],[Housing Starts]]="",#N/A,((Tabela1716[[#This Row],[Housing Starts]]*1)/H726)-1)</f>
        <v>0.21495956873315358</v>
      </c>
      <c r="K738" s="33">
        <v>1882753</v>
      </c>
      <c r="L738" s="41">
        <f>IF(Tabela1716[[#This Row],[Total Construction Spending]]="",#N/A,((Tabela1716[[#This Row],[Total Construction Spending]]*1)/K726)-1)</f>
        <v>0.16533097141810238</v>
      </c>
      <c r="M738" s="31">
        <v>5600</v>
      </c>
      <c r="N738" s="41">
        <f>IF(Tabela1716[[#This Row],[Existing Home Sales]]="",#N/A,((Tabela1716[[#This Row],[Existing Home Sales]]*1)/M726)-1)</f>
        <v>-6.0402684563758413E-2</v>
      </c>
      <c r="O738" s="33">
        <v>611</v>
      </c>
      <c r="P738" s="41">
        <f>IF(Tabela1716[[#This Row],[New House Sales]]="",#N/A,((Tabela1716[[#This Row],[New House Sales]]*1)/O737)-1)</f>
        <v>-0.13578500707213581</v>
      </c>
      <c r="Q738" s="41">
        <f>IF(Tabela1716[[#This Row],[New House Sales]]="",#N/A,((Tabela1716[[#This Row],[New House Sales]]*1)/O726)-1)</f>
        <v>-0.24567901234567902</v>
      </c>
      <c r="R738" s="27">
        <v>8.5</v>
      </c>
      <c r="S738" s="86">
        <v>301.69499999999999</v>
      </c>
      <c r="T738" s="41">
        <f>IF(Tabela1716[[#This Row],[S&amp;P/Case-Shiller Home Price Index]]="",#N/A,((Tabela1716[[#This Row],[S&amp;P/Case-Shiller Home Price Index]]*1)/S737)-1)</f>
        <v>2.2542400455525025E-2</v>
      </c>
      <c r="U738" s="41">
        <f>IF(Tabela1716[[#This Row],[S&amp;P/Case-Shiller Home Price Index]]="",#N/A,((Tabela1716[[#This Row],[S&amp;P/Case-Shiller Home Price Index]]*1)/S726)-1)</f>
        <v>0.20754800052833611</v>
      </c>
      <c r="V738" s="37">
        <v>104.1</v>
      </c>
      <c r="W738" s="9"/>
      <c r="X738" s="9"/>
    </row>
    <row r="739" spans="1:24" ht="12.75">
      <c r="A739" s="12">
        <v>44682</v>
      </c>
      <c r="B739" s="26">
        <v>5.0999999999999996</v>
      </c>
      <c r="C739" s="29">
        <v>69</v>
      </c>
      <c r="D739" s="33">
        <v>1708</v>
      </c>
      <c r="E739" s="41">
        <f>IF(Tabela1716[[#This Row],[Building Permits]]="",#N/A,((Tabela1716[[#This Row],[Building Permits]]*1)/D727)-1)</f>
        <v>1.0053222945002993E-2</v>
      </c>
      <c r="F739" s="33">
        <v>1680</v>
      </c>
      <c r="G739" s="41">
        <f>IF(Tabela1716[[#This Row],[Houses Under Construction]]="",#N/A,((Tabela1716[[#This Row],[Houses Under Construction]]*1)/F727)-1)</f>
        <v>0.25560538116591935</v>
      </c>
      <c r="H739" s="33">
        <v>1543</v>
      </c>
      <c r="I739" s="33">
        <f>IF(Tabela1716[[#This Row],[Housing Starts]]="",#N/A,Tabela1716[[#This Row],[Housing Starts]]-H738)</f>
        <v>-260</v>
      </c>
      <c r="J739" s="41">
        <f>IF(Tabela1716[[#This Row],[Housing Starts]]="",#N/A,((Tabela1716[[#This Row],[Housing Starts]]*1)/H727)-1)</f>
        <v>-3.5625000000000018E-2</v>
      </c>
      <c r="K739" s="33">
        <v>1880896</v>
      </c>
      <c r="L739" s="41">
        <f>IF(Tabela1716[[#This Row],[Total Construction Spending]]="",#N/A,((Tabela1716[[#This Row],[Total Construction Spending]]*1)/K727)-1)</f>
        <v>0.15514214069930188</v>
      </c>
      <c r="M739" s="31">
        <v>5410</v>
      </c>
      <c r="N739" s="41">
        <f>IF(Tabela1716[[#This Row],[Existing Home Sales]]="",#N/A,((Tabela1716[[#This Row],[Existing Home Sales]]*1)/M727)-1)</f>
        <v>-8.6148648648648685E-2</v>
      </c>
      <c r="O739" s="33">
        <v>636</v>
      </c>
      <c r="P739" s="41">
        <f>IF(Tabela1716[[#This Row],[New House Sales]]="",#N/A,((Tabela1716[[#This Row],[New House Sales]]*1)/O738)-1)</f>
        <v>4.0916530278232388E-2</v>
      </c>
      <c r="Q739" s="41">
        <f>IF(Tabela1716[[#This Row],[New House Sales]]="",#N/A,((Tabela1716[[#This Row],[New House Sales]]*1)/O727)-1)</f>
        <v>-0.1104895104895105</v>
      </c>
      <c r="R739" s="27">
        <v>8.3000000000000007</v>
      </c>
      <c r="S739" s="86">
        <v>306.47199999999998</v>
      </c>
      <c r="T739" s="41">
        <f>IF(Tabela1716[[#This Row],[S&amp;P/Case-Shiller Home Price Index]]="",#N/A,((Tabela1716[[#This Row],[S&amp;P/Case-Shiller Home Price Index]]*1)/S738)-1)</f>
        <v>1.5833871956777434E-2</v>
      </c>
      <c r="U739" s="41">
        <f>IF(Tabela1716[[#This Row],[S&amp;P/Case-Shiller Home Price Index]]="",#N/A,((Tabela1716[[#This Row],[S&amp;P/Case-Shiller Home Price Index]]*1)/S727)-1)</f>
        <v>0.19966335897285337</v>
      </c>
      <c r="V739" s="39">
        <v>98.3</v>
      </c>
      <c r="W739" s="9"/>
      <c r="X739" s="9"/>
    </row>
    <row r="740" spans="1:24" ht="12.75">
      <c r="A740" s="12">
        <v>44713</v>
      </c>
      <c r="B740" s="26">
        <v>5.7</v>
      </c>
      <c r="C740" s="29">
        <v>67</v>
      </c>
      <c r="D740" s="33">
        <v>1701</v>
      </c>
      <c r="E740" s="41">
        <f>IF(Tabela1716[[#This Row],[Building Permits]]="",#N/A,((Tabela1716[[#This Row],[Building Permits]]*1)/D728)-1)</f>
        <v>2.4081878386514211E-2</v>
      </c>
      <c r="F740" s="33">
        <v>1688</v>
      </c>
      <c r="G740" s="41">
        <f>IF(Tabela1716[[#This Row],[Houses Under Construction]]="",#N/A,((Tabela1716[[#This Row],[Houses Under Construction]]*1)/F728)-1)</f>
        <v>0.23032069970845481</v>
      </c>
      <c r="H740" s="33">
        <v>1561</v>
      </c>
      <c r="I740" s="33">
        <f>IF(Tabela1716[[#This Row],[Housing Starts]]="",#N/A,Tabela1716[[#This Row],[Housing Starts]]-H739)</f>
        <v>18</v>
      </c>
      <c r="J740" s="41">
        <f>IF(Tabela1716[[#This Row],[Housing Starts]]="",#N/A,((Tabela1716[[#This Row],[Housing Starts]]*1)/H728)-1)</f>
        <v>-6.0204695966285415E-2</v>
      </c>
      <c r="K740" s="33">
        <v>1873184</v>
      </c>
      <c r="L740" s="41">
        <f>IF(Tabela1716[[#This Row],[Total Construction Spending]]="",#N/A,((Tabela1716[[#This Row],[Total Construction Spending]]*1)/K728)-1)</f>
        <v>0.14233930304022668</v>
      </c>
      <c r="M740" s="31">
        <v>5110</v>
      </c>
      <c r="N740" s="41">
        <f>IF(Tabela1716[[#This Row],[Existing Home Sales]]="",#N/A,((Tabela1716[[#This Row],[Existing Home Sales]]*1)/M728)-1)</f>
        <v>-0.14405360134003353</v>
      </c>
      <c r="O740" s="33">
        <v>563</v>
      </c>
      <c r="P740" s="41">
        <f>IF(Tabela1716[[#This Row],[New House Sales]]="",#N/A,((Tabela1716[[#This Row],[New House Sales]]*1)/O739)-1)</f>
        <v>-0.11477987421383651</v>
      </c>
      <c r="Q740" s="41">
        <f>IF(Tabela1716[[#This Row],[New House Sales]]="",#N/A,((Tabela1716[[#This Row],[New House Sales]]*1)/O728)-1)</f>
        <v>-0.21368715083798884</v>
      </c>
      <c r="R740" s="27">
        <v>9.5</v>
      </c>
      <c r="S740" s="87">
        <v>308.26599999999996</v>
      </c>
      <c r="T740" s="41">
        <f>IF(Tabela1716[[#This Row],[S&amp;P/Case-Shiller Home Price Index]]="",#N/A,((Tabela1716[[#This Row],[S&amp;P/Case-Shiller Home Price Index]]*1)/S739)-1)</f>
        <v>5.8537158370095543E-3</v>
      </c>
      <c r="U740" s="41">
        <f>IF(Tabela1716[[#This Row],[S&amp;P/Case-Shiller Home Price Index]]="",#N/A,((Tabela1716[[#This Row],[S&amp;P/Case-Shiller Home Price Index]]*1)/S728)-1)</f>
        <v>0.18024564681378918</v>
      </c>
      <c r="V740" s="37">
        <v>94.5</v>
      </c>
      <c r="W740" s="9"/>
      <c r="X740" s="9"/>
    </row>
    <row r="741" spans="1:24" ht="12.75">
      <c r="A741" s="12">
        <v>44743</v>
      </c>
      <c r="B741" s="26">
        <v>5.3</v>
      </c>
      <c r="C741" s="29">
        <v>55</v>
      </c>
      <c r="D741" s="33">
        <v>1658</v>
      </c>
      <c r="E741" s="41">
        <f>IF(Tabela1716[[#This Row],[Building Permits]]="",#N/A,((Tabela1716[[#This Row],[Building Permits]]*1)/D729)-1)</f>
        <v>1.8126888217522286E-3</v>
      </c>
      <c r="F741" s="33">
        <v>1683</v>
      </c>
      <c r="G741" s="41">
        <f>IF(Tabela1716[[#This Row],[Houses Under Construction]]="",#N/A,((Tabela1716[[#This Row],[Houses Under Construction]]*1)/F729)-1)</f>
        <v>0.21341023792357605</v>
      </c>
      <c r="H741" s="33">
        <v>1371</v>
      </c>
      <c r="I741" s="33">
        <f>IF(Tabela1716[[#This Row],[Housing Starts]]="",#N/A,Tabela1716[[#This Row],[Housing Starts]]-H740)</f>
        <v>-190</v>
      </c>
      <c r="J741" s="41">
        <f>IF(Tabela1716[[#This Row],[Housing Starts]]="",#N/A,((Tabela1716[[#This Row],[Housing Starts]]*1)/H729)-1)</f>
        <v>-0.13935969868173259</v>
      </c>
      <c r="K741" s="33">
        <v>1869262</v>
      </c>
      <c r="L741" s="41">
        <f>IF(Tabela1716[[#This Row],[Total Construction Spending]]="",#N/A,((Tabela1716[[#This Row],[Total Construction Spending]]*1)/K729)-1)</f>
        <v>0.1271845561782643</v>
      </c>
      <c r="M741" s="31">
        <v>4820</v>
      </c>
      <c r="N741" s="41">
        <f>IF(Tabela1716[[#This Row],[Existing Home Sales]]="",#N/A,((Tabela1716[[#This Row],[Existing Home Sales]]*1)/M729)-1)</f>
        <v>-0.20066334991708124</v>
      </c>
      <c r="O741" s="33">
        <v>543</v>
      </c>
      <c r="P741" s="41">
        <f>IF(Tabela1716[[#This Row],[New House Sales]]="",#N/A,((Tabela1716[[#This Row],[New House Sales]]*1)/O740)-1)</f>
        <v>-3.5523978685612745E-2</v>
      </c>
      <c r="Q741" s="41">
        <f>IF(Tabela1716[[#This Row],[New House Sales]]="",#N/A,((Tabela1716[[#This Row],[New House Sales]]*1)/O729)-1)</f>
        <v>-0.28552631578947374</v>
      </c>
      <c r="R741" s="27">
        <v>10.1</v>
      </c>
      <c r="S741" s="86">
        <v>307.10400000000004</v>
      </c>
      <c r="T741" s="41">
        <f>IF(Tabela1716[[#This Row],[S&amp;P/Case-Shiller Home Price Index]]="",#N/A,((Tabela1716[[#This Row],[S&amp;P/Case-Shiller Home Price Index]]*1)/S740)-1)</f>
        <v>-3.7694718197917032E-3</v>
      </c>
      <c r="U741" s="41">
        <f>IF(Tabela1716[[#This Row],[S&amp;P/Case-Shiller Home Price Index]]="",#N/A,((Tabela1716[[#This Row],[S&amp;P/Case-Shiller Home Price Index]]*1)/S729)-1)</f>
        <v>0.15659601391964584</v>
      </c>
      <c r="V741" s="39">
        <v>99.6</v>
      </c>
      <c r="W741" s="9"/>
      <c r="X741" s="9"/>
    </row>
    <row r="742" spans="1:24" ht="12.75">
      <c r="A742" s="12">
        <v>44774</v>
      </c>
      <c r="B742" s="26">
        <v>5.55</v>
      </c>
      <c r="C742" s="29">
        <v>49</v>
      </c>
      <c r="D742" s="33">
        <v>1586</v>
      </c>
      <c r="E742" s="41">
        <f>IF(Tabela1716[[#This Row],[Building Permits]]="",#N/A,((Tabela1716[[#This Row],[Building Permits]]*1)/D730)-1)</f>
        <v>-0.10496613995485327</v>
      </c>
      <c r="F742" s="33">
        <v>1702</v>
      </c>
      <c r="G742" s="41">
        <f>IF(Tabela1716[[#This Row],[Houses Under Construction]]="",#N/A,((Tabela1716[[#This Row],[Houses Under Construction]]*1)/F730)-1)</f>
        <v>0.20538243626062314</v>
      </c>
      <c r="H742" s="33">
        <v>1505</v>
      </c>
      <c r="I742" s="33">
        <f>IF(Tabela1716[[#This Row],[Housing Starts]]="",#N/A,Tabela1716[[#This Row],[Housing Starts]]-H741)</f>
        <v>134</v>
      </c>
      <c r="J742" s="41">
        <f>IF(Tabela1716[[#This Row],[Housing Starts]]="",#N/A,((Tabela1716[[#This Row],[Housing Starts]]*1)/H730)-1)</f>
        <v>-4.5050761421319807E-2</v>
      </c>
      <c r="K742" s="33">
        <v>1847285</v>
      </c>
      <c r="L742" s="41">
        <f>IF(Tabela1716[[#This Row],[Total Construction Spending]]="",#N/A,((Tabela1716[[#This Row],[Total Construction Spending]]*1)/K730)-1)</f>
        <v>0.10831159449853489</v>
      </c>
      <c r="M742" s="31">
        <v>4780</v>
      </c>
      <c r="N742" s="41">
        <f>IF(Tabela1716[[#This Row],[Existing Home Sales]]="",#N/A,((Tabela1716[[#This Row],[Existing Home Sales]]*1)/M730)-1)</f>
        <v>-0.20200333889816358</v>
      </c>
      <c r="O742" s="33">
        <v>638</v>
      </c>
      <c r="P742" s="41">
        <f>IF(Tabela1716[[#This Row],[New House Sales]]="",#N/A,((Tabela1716[[#This Row],[New House Sales]]*1)/O741)-1)</f>
        <v>0.17495395948434633</v>
      </c>
      <c r="Q742" s="41">
        <f>IF(Tabela1716[[#This Row],[New House Sales]]="",#N/A,((Tabela1716[[#This Row],[New House Sales]]*1)/O730)-1)</f>
        <v>-7.5362318840579756E-2</v>
      </c>
      <c r="R742" s="27">
        <v>8.6999999999999993</v>
      </c>
      <c r="S742" s="86">
        <v>303.65800000000002</v>
      </c>
      <c r="T742" s="41">
        <f>IF(Tabela1716[[#This Row],[S&amp;P/Case-Shiller Home Price Index]]="",#N/A,((Tabela1716[[#This Row],[S&amp;P/Case-Shiller Home Price Index]]*1)/S741)-1)</f>
        <v>-1.1220954464937094E-2</v>
      </c>
      <c r="U742" s="41">
        <f>IF(Tabela1716[[#This Row],[S&amp;P/Case-Shiller Home Price Index]]="",#N/A,((Tabela1716[[#This Row],[S&amp;P/Case-Shiller Home Price Index]]*1)/S730)-1)</f>
        <v>0.12968005952380945</v>
      </c>
      <c r="V742" s="37">
        <v>103.8</v>
      </c>
      <c r="W742" s="9"/>
      <c r="X742" s="9"/>
    </row>
    <row r="743" spans="1:24" ht="12.75">
      <c r="A743" s="12">
        <v>44805</v>
      </c>
      <c r="B743" s="26">
        <v>6.7</v>
      </c>
      <c r="C743" s="29">
        <v>46</v>
      </c>
      <c r="D743" s="33">
        <v>1588</v>
      </c>
      <c r="E743" s="41">
        <f>IF(Tabela1716[[#This Row],[Building Permits]]="",#N/A,((Tabela1716[[#This Row],[Building Permits]]*1)/D731)-1)</f>
        <v>-1.6718266253869962E-2</v>
      </c>
      <c r="F743" s="33">
        <v>1698</v>
      </c>
      <c r="G743" s="41">
        <f>IF(Tabela1716[[#This Row],[Houses Under Construction]]="",#N/A,((Tabela1716[[#This Row],[Houses Under Construction]]*1)/F731)-1)</f>
        <v>0.18162839248434248</v>
      </c>
      <c r="H743" s="33">
        <v>1463</v>
      </c>
      <c r="I743" s="33">
        <f>IF(Tabela1716[[#This Row],[Housing Starts]]="",#N/A,Tabela1716[[#This Row],[Housing Starts]]-H742)</f>
        <v>-42</v>
      </c>
      <c r="J743" s="41">
        <f>IF(Tabela1716[[#This Row],[Housing Starts]]="",#N/A,((Tabela1716[[#This Row],[Housing Starts]]*1)/H731)-1)</f>
        <v>-6.2179487179487181E-2</v>
      </c>
      <c r="K743" s="33">
        <v>1836930</v>
      </c>
      <c r="L743" s="41">
        <f>IF(Tabela1716[[#This Row],[Total Construction Spending]]="",#N/A,((Tabela1716[[#This Row],[Total Construction Spending]]*1)/K731)-1)</f>
        <v>0.10171819409691651</v>
      </c>
      <c r="M743" s="31">
        <v>4710</v>
      </c>
      <c r="N743" s="41">
        <f>IF(Tabela1716[[#This Row],[Existing Home Sales]]="",#N/A,((Tabela1716[[#This Row],[Existing Home Sales]]*1)/M731)-1)</f>
        <v>-0.23786407766990292</v>
      </c>
      <c r="O743" s="33">
        <v>567</v>
      </c>
      <c r="P743" s="41">
        <f>IF(Tabela1716[[#This Row],[New House Sales]]="",#N/A,((Tabela1716[[#This Row],[New House Sales]]*1)/O742)-1)</f>
        <v>-0.11128526645768022</v>
      </c>
      <c r="Q743" s="41">
        <f>IF(Tabela1716[[#This Row],[New House Sales]]="",#N/A,((Tabela1716[[#This Row],[New House Sales]]*1)/O731)-1)</f>
        <v>-0.23584905660377353</v>
      </c>
      <c r="R743" s="27">
        <v>9.6999999999999993</v>
      </c>
      <c r="S743" s="86">
        <v>300.48099999999999</v>
      </c>
      <c r="T743" s="41">
        <f>IF(Tabela1716[[#This Row],[S&amp;P/Case-Shiller Home Price Index]]="",#N/A,((Tabela1716[[#This Row],[S&amp;P/Case-Shiller Home Price Index]]*1)/S742)-1)</f>
        <v>-1.0462428126379097E-2</v>
      </c>
      <c r="U743" s="41">
        <f>IF(Tabela1716[[#This Row],[S&amp;P/Case-Shiller Home Price Index]]="",#N/A,((Tabela1716[[#This Row],[S&amp;P/Case-Shiller Home Price Index]]*1)/S731)-1)</f>
        <v>0.10692748337661873</v>
      </c>
      <c r="V743" s="39">
        <v>97</v>
      </c>
      <c r="W743" s="9"/>
      <c r="X743" s="9"/>
    </row>
    <row r="744" spans="1:24" ht="12.75">
      <c r="A744" s="12">
        <v>44835</v>
      </c>
      <c r="B744" s="26">
        <v>7.08</v>
      </c>
      <c r="C744" s="29">
        <v>38</v>
      </c>
      <c r="D744" s="33">
        <v>1555</v>
      </c>
      <c r="E744" s="41">
        <f>IF(Tabela1716[[#This Row],[Building Permits]]="",#N/A,((Tabela1716[[#This Row],[Building Permits]]*1)/D732)-1)</f>
        <v>-8.4216725559481787E-2</v>
      </c>
      <c r="F744" s="33">
        <v>1710</v>
      </c>
      <c r="G744" s="41">
        <f>IF(Tabela1716[[#This Row],[Houses Under Construction]]="",#N/A,((Tabela1716[[#This Row],[Houses Under Construction]]*1)/F732)-1)</f>
        <v>0.16803278688524581</v>
      </c>
      <c r="H744" s="33">
        <v>1432</v>
      </c>
      <c r="I744" s="33">
        <f>IF(Tabela1716[[#This Row],[Housing Starts]]="",#N/A,Tabela1716[[#This Row],[Housing Starts]]-H743)</f>
        <v>-31</v>
      </c>
      <c r="J744" s="41">
        <f>IF(Tabela1716[[#This Row],[Housing Starts]]="",#N/A,((Tabela1716[[#This Row],[Housing Starts]]*1)/H732)-1)</f>
        <v>-8.9058524173027953E-2</v>
      </c>
      <c r="K744" s="33">
        <v>1830477</v>
      </c>
      <c r="L744" s="41">
        <f>IF(Tabela1716[[#This Row],[Total Construction Spending]]="",#N/A,((Tabela1716[[#This Row],[Total Construction Spending]]*1)/K732)-1)</f>
        <v>8.6179856554811307E-2</v>
      </c>
      <c r="M744" s="31">
        <v>4440</v>
      </c>
      <c r="N744" s="41">
        <f>IF(Tabela1716[[#This Row],[Existing Home Sales]]="",#N/A,((Tabela1716[[#This Row],[Existing Home Sales]]*1)/M732)-1)</f>
        <v>-0.28271405492730206</v>
      </c>
      <c r="O744" s="33">
        <v>577</v>
      </c>
      <c r="P744" s="41">
        <f>IF(Tabela1716[[#This Row],[New House Sales]]="",#N/A,((Tabela1716[[#This Row],[New House Sales]]*1)/O743)-1)</f>
        <v>1.763668430335108E-2</v>
      </c>
      <c r="Q744" s="41">
        <f>IF(Tabela1716[[#This Row],[New House Sales]]="",#N/A,((Tabela1716[[#This Row],[New House Sales]]*1)/O732)-1)</f>
        <v>-0.15147058823529413</v>
      </c>
      <c r="R744" s="27">
        <v>9.6999999999999993</v>
      </c>
      <c r="S744" s="86">
        <v>298.70699999999999</v>
      </c>
      <c r="T744" s="41">
        <f>IF(Tabela1716[[#This Row],[S&amp;P/Case-Shiller Home Price Index]]="",#N/A,((Tabela1716[[#This Row],[S&amp;P/Case-Shiller Home Price Index]]*1)/S743)-1)</f>
        <v>-5.9038674658298262E-3</v>
      </c>
      <c r="U744" s="41">
        <f>IF(Tabela1716[[#This Row],[S&amp;P/Case-Shiller Home Price Index]]="",#N/A,((Tabela1716[[#This Row],[S&amp;P/Case-Shiller Home Price Index]]*1)/S732)-1)</f>
        <v>9.1498061512714113E-2</v>
      </c>
      <c r="V744" s="37">
        <v>91.3</v>
      </c>
      <c r="W744" s="9"/>
      <c r="X744" s="9"/>
    </row>
    <row r="745" spans="1:24" ht="12.75">
      <c r="A745" s="12">
        <v>44866</v>
      </c>
      <c r="B745" s="26">
        <v>6.58</v>
      </c>
      <c r="C745" s="29">
        <v>33</v>
      </c>
      <c r="D745" s="33">
        <v>1402</v>
      </c>
      <c r="E745" s="41">
        <f>IF(Tabela1716[[#This Row],[Building Permits]]="",#N/A,((Tabela1716[[#This Row],[Building Permits]]*1)/D733)-1)</f>
        <v>-0.18912666281087331</v>
      </c>
      <c r="F745" s="33">
        <v>1695</v>
      </c>
      <c r="G745" s="41">
        <f>IF(Tabela1716[[#This Row],[Houses Under Construction]]="",#N/A,((Tabela1716[[#This Row],[Houses Under Construction]]*1)/F733)-1)</f>
        <v>0.13529805760214342</v>
      </c>
      <c r="H745" s="33">
        <v>1427</v>
      </c>
      <c r="I745" s="33">
        <f>IF(Tabela1716[[#This Row],[Housing Starts]]="",#N/A,Tabela1716[[#This Row],[Housing Starts]]-H744)</f>
        <v>-5</v>
      </c>
      <c r="J745" s="41">
        <f>IF(Tabela1716[[#This Row],[Housing Starts]]="",#N/A,((Tabela1716[[#This Row],[Housing Starts]]*1)/H733)-1)</f>
        <v>-0.1664719626168224</v>
      </c>
      <c r="K745" s="33">
        <v>1842206</v>
      </c>
      <c r="L745" s="41">
        <f>IF(Tabela1716[[#This Row],[Total Construction Spending]]="",#N/A,((Tabela1716[[#This Row],[Total Construction Spending]]*1)/K733)-1)</f>
        <v>6.6964518419586394E-2</v>
      </c>
      <c r="M745" s="31">
        <v>4120</v>
      </c>
      <c r="N745" s="41">
        <f>IF(Tabela1716[[#This Row],[Existing Home Sales]]="",#N/A,((Tabela1716[[#This Row],[Existing Home Sales]]*1)/M733)-1)</f>
        <v>-0.34913112164297</v>
      </c>
      <c r="O745" s="33">
        <v>582</v>
      </c>
      <c r="P745" s="41">
        <f>IF(Tabela1716[[#This Row],[New House Sales]]="",#N/A,((Tabela1716[[#This Row],[New House Sales]]*1)/O744)-1)</f>
        <v>8.6655112651645716E-3</v>
      </c>
      <c r="Q745" s="41">
        <f>IF(Tabela1716[[#This Row],[New House Sales]]="",#N/A,((Tabela1716[[#This Row],[New House Sales]]*1)/O733)-1)</f>
        <v>-0.24611398963730569</v>
      </c>
      <c r="R745" s="27">
        <v>9.4</v>
      </c>
      <c r="S745" s="86">
        <v>296.904</v>
      </c>
      <c r="T745" s="41">
        <f>IF(Tabela1716[[#This Row],[S&amp;P/Case-Shiller Home Price Index]]="",#N/A,((Tabela1716[[#This Row],[S&amp;P/Case-Shiller Home Price Index]]*1)/S744)-1)</f>
        <v>-6.0360152256224708E-3</v>
      </c>
      <c r="U745" s="41">
        <f>IF(Tabela1716[[#This Row],[S&amp;P/Case-Shiller Home Price Index]]="",#N/A,((Tabela1716[[#This Row],[S&amp;P/Case-Shiller Home Price Index]]*1)/S733)-1)</f>
        <v>7.5602731537667278E-2</v>
      </c>
      <c r="V745" s="39">
        <v>101.8</v>
      </c>
      <c r="W745" s="9"/>
      <c r="X745" s="9"/>
    </row>
    <row r="746" spans="1:24" ht="12.75">
      <c r="A746" s="12">
        <v>44896</v>
      </c>
      <c r="B746" s="26">
        <v>6.42</v>
      </c>
      <c r="C746" s="29">
        <v>31</v>
      </c>
      <c r="D746" s="33">
        <v>1409</v>
      </c>
      <c r="E746" s="41">
        <f>IF(Tabela1716[[#This Row],[Building Permits]]="",#N/A,((Tabela1716[[#This Row],[Building Permits]]*1)/D734)-1)</f>
        <v>-0.25685654008438819</v>
      </c>
      <c r="F746" s="33">
        <v>1696</v>
      </c>
      <c r="G746" s="41">
        <f>IF(Tabela1716[[#This Row],[Houses Under Construction]]="",#N/A,((Tabela1716[[#This Row],[Houses Under Construction]]*1)/F734)-1)</f>
        <v>0.11140235910878116</v>
      </c>
      <c r="H746" s="33">
        <v>1357</v>
      </c>
      <c r="I746" s="33">
        <f>IF(Tabela1716[[#This Row],[Housing Starts]]="",#N/A,Tabela1716[[#This Row],[Housing Starts]]-H745)</f>
        <v>-70</v>
      </c>
      <c r="J746" s="41">
        <f>IF(Tabela1716[[#This Row],[Housing Starts]]="",#N/A,((Tabela1716[[#This Row],[Housing Starts]]*1)/H734)-1)</f>
        <v>-0.2406267487409065</v>
      </c>
      <c r="K746" s="33">
        <v>1840896</v>
      </c>
      <c r="L746" s="41">
        <f>IF(Tabela1716[[#This Row],[Total Construction Spending]]="",#N/A,((Tabela1716[[#This Row],[Total Construction Spending]]*1)/K734)-1)</f>
        <v>4.9286775275788175E-2</v>
      </c>
      <c r="M746" s="31">
        <v>4030</v>
      </c>
      <c r="N746" s="41">
        <f>IF(Tabela1716[[#This Row],[Existing Home Sales]]="",#N/A,((Tabela1716[[#This Row],[Existing Home Sales]]*1)/M734)-1)</f>
        <v>-0.3382594417077176</v>
      </c>
      <c r="O746" s="33">
        <v>636</v>
      </c>
      <c r="P746" s="41">
        <f>IF(Tabela1716[[#This Row],[New House Sales]]="",#N/A,((Tabela1716[[#This Row],[New House Sales]]*1)/O745)-1)</f>
        <v>9.2783505154639068E-2</v>
      </c>
      <c r="Q746" s="41">
        <f>IF(Tabela1716[[#This Row],[New House Sales]]="",#N/A,((Tabela1716[[#This Row],[New House Sales]]*1)/O734)-1)</f>
        <v>-0.23373493975903614</v>
      </c>
      <c r="R746" s="27">
        <v>8.5</v>
      </c>
      <c r="S746" s="86">
        <v>294.392</v>
      </c>
      <c r="T746" s="41">
        <f>IF(Tabela1716[[#This Row],[S&amp;P/Case-Shiller Home Price Index]]="",#N/A,((Tabela1716[[#This Row],[S&amp;P/Case-Shiller Home Price Index]]*1)/S745)-1)</f>
        <v>-8.4606472125670074E-3</v>
      </c>
      <c r="U746" s="41">
        <f>IF(Tabela1716[[#This Row],[S&amp;P/Case-Shiller Home Price Index]]="",#N/A,((Tabela1716[[#This Row],[S&amp;P/Case-Shiller Home Price Index]]*1)/S734)-1)</f>
        <v>5.6634112550383531E-2</v>
      </c>
      <c r="V746" s="37">
        <v>109.3</v>
      </c>
      <c r="W746" s="9"/>
      <c r="X746" s="9"/>
    </row>
    <row r="747" spans="1:24" ht="12.75">
      <c r="A747" s="12">
        <v>44927</v>
      </c>
      <c r="B747" s="26">
        <v>6.13</v>
      </c>
      <c r="C747" s="29">
        <v>35</v>
      </c>
      <c r="D747" s="33">
        <v>1354</v>
      </c>
      <c r="E747" s="41">
        <f>IF(Tabela1716[[#This Row],[Building Permits]]="",#N/A,((Tabela1716[[#This Row],[Building Permits]]*1)/D735)-1)</f>
        <v>-0.2866174920969442</v>
      </c>
      <c r="F747" s="33">
        <v>1695</v>
      </c>
      <c r="G747" s="41">
        <f>IF(Tabela1716[[#This Row],[Houses Under Construction]]="",#N/A,((Tabela1716[[#This Row],[Houses Under Construction]]*1)/F735)-1)</f>
        <v>9.1435930457179682E-2</v>
      </c>
      <c r="H747" s="33">
        <v>1340</v>
      </c>
      <c r="I747" s="33">
        <f>IF(Tabela1716[[#This Row],[Housing Starts]]="",#N/A,Tabela1716[[#This Row],[Housing Starts]]-H746)</f>
        <v>-17</v>
      </c>
      <c r="J747" s="41">
        <f>IF(Tabela1716[[#This Row],[Housing Starts]]="",#N/A,((Tabela1716[[#This Row],[Housing Starts]]*1)/H735)-1)</f>
        <v>-0.19712402636309168</v>
      </c>
      <c r="K747" s="33">
        <v>1882199</v>
      </c>
      <c r="L747" s="41">
        <f>IF(Tabela1716[[#This Row],[Total Construction Spending]]="",#N/A,((Tabela1716[[#This Row],[Total Construction Spending]]*1)/K735)-1)</f>
        <v>4.7726640170112411E-2</v>
      </c>
      <c r="M747" s="31">
        <v>4000</v>
      </c>
      <c r="N747" s="41">
        <f>IF(Tabela1716[[#This Row],[Existing Home Sales]]="",#N/A,((Tabela1716[[#This Row],[Existing Home Sales]]*1)/M735)-1)</f>
        <v>-0.38366718027734981</v>
      </c>
      <c r="O747" s="33">
        <v>649</v>
      </c>
      <c r="P747" s="41">
        <f>IF(Tabela1716[[#This Row],[New House Sales]]="",#N/A,((Tabela1716[[#This Row],[New House Sales]]*1)/O746)-1)</f>
        <v>2.0440251572326984E-2</v>
      </c>
      <c r="Q747" s="41">
        <f>IF(Tabela1716[[#This Row],[New House Sales]]="",#N/A,((Tabela1716[[#This Row],[New House Sales]]*1)/O735)-1)</f>
        <v>-0.1987654320987654</v>
      </c>
      <c r="R747" s="27">
        <v>8.1</v>
      </c>
      <c r="S747" s="88">
        <v>292.82</v>
      </c>
      <c r="T747" s="41">
        <f>IF(Tabela1716[[#This Row],[S&amp;P/Case-Shiller Home Price Index]]="",#N/A,((Tabela1716[[#This Row],[S&amp;P/Case-Shiller Home Price Index]]*1)/S746)-1)</f>
        <v>-5.3398190168211235E-3</v>
      </c>
      <c r="U747" s="41">
        <f>IF(Tabela1716[[#This Row],[S&amp;P/Case-Shiller Home Price Index]]="",#N/A,((Tabela1716[[#This Row],[S&amp;P/Case-Shiller Home Price Index]]*1)/S735)-1)</f>
        <v>3.8405617220468757E-2</v>
      </c>
      <c r="V747" s="39">
        <v>109.2</v>
      </c>
      <c r="W747" s="9"/>
      <c r="X747" s="9"/>
    </row>
    <row r="748" spans="1:24" ht="12.75">
      <c r="A748" s="12">
        <v>44958</v>
      </c>
      <c r="B748" s="26">
        <v>6.5</v>
      </c>
      <c r="C748" s="29">
        <v>42</v>
      </c>
      <c r="D748" s="33">
        <v>1482</v>
      </c>
      <c r="E748" s="41">
        <f>IF(Tabela1716[[#This Row],[Building Permits]]="",#N/A,((Tabela1716[[#This Row],[Building Permits]]*1)/D736)-1)</f>
        <v>-0.18436984039625759</v>
      </c>
      <c r="F748" s="33">
        <v>1686</v>
      </c>
      <c r="G748" s="41">
        <f>IF(Tabela1716[[#This Row],[Houses Under Construction]]="",#N/A,((Tabela1716[[#This Row],[Houses Under Construction]]*1)/F736)-1)</f>
        <v>6.6413662239089177E-2</v>
      </c>
      <c r="H748" s="33">
        <v>1436</v>
      </c>
      <c r="I748" s="33">
        <f>IF(Tabela1716[[#This Row],[Housing Starts]]="",#N/A,Tabela1716[[#This Row],[Housing Starts]]-H747)</f>
        <v>96</v>
      </c>
      <c r="J748" s="41">
        <f>IF(Tabela1716[[#This Row],[Housing Starts]]="",#N/A,((Tabela1716[[#This Row],[Housing Starts]]*1)/H736)-1)</f>
        <v>-0.18915866741953702</v>
      </c>
      <c r="K748" s="33">
        <v>1889562</v>
      </c>
      <c r="L748" s="41">
        <f>IF(Tabela1716[[#This Row],[Total Construction Spending]]="",#N/A,((Tabela1716[[#This Row],[Total Construction Spending]]*1)/K736)-1)</f>
        <v>3.6098584876692152E-2</v>
      </c>
      <c r="M748" s="31">
        <v>4550</v>
      </c>
      <c r="N748" s="41">
        <f>IF(Tabela1716[[#This Row],[Existing Home Sales]]="",#N/A,((Tabela1716[[#This Row],[Existing Home Sales]]*1)/M736)-1)</f>
        <v>-0.23271500843170323</v>
      </c>
      <c r="O748" s="33">
        <v>625</v>
      </c>
      <c r="P748" s="41">
        <f>IF(Tabela1716[[#This Row],[New House Sales]]="",#N/A,((Tabela1716[[#This Row],[New House Sales]]*1)/O747)-1)</f>
        <v>-3.6979969183358996E-2</v>
      </c>
      <c r="Q748" s="41">
        <f>IF(Tabela1716[[#This Row],[New House Sales]]="",#N/A,((Tabela1716[[#This Row],[New House Sales]]*1)/O736)-1)</f>
        <v>-0.19146183699870634</v>
      </c>
      <c r="R748" s="27">
        <v>8.4</v>
      </c>
      <c r="S748" s="86">
        <v>293.435</v>
      </c>
      <c r="T748" s="41">
        <f>IF(Tabela1716[[#This Row],[S&amp;P/Case-Shiller Home Price Index]]="",#N/A,((Tabela1716[[#This Row],[S&amp;P/Case-Shiller Home Price Index]]*1)/S747)-1)</f>
        <v>2.100266375247628E-3</v>
      </c>
      <c r="U748" s="41">
        <f>IF(Tabela1716[[#This Row],[S&amp;P/Case-Shiller Home Price Index]]="",#N/A,((Tabela1716[[#This Row],[S&amp;P/Case-Shiller Home Price Index]]*1)/S736)-1)</f>
        <v>2.1624237528897305E-2</v>
      </c>
      <c r="V748" s="37">
        <v>109.3</v>
      </c>
      <c r="W748" s="9"/>
      <c r="X748" s="9"/>
    </row>
    <row r="749" spans="1:24" ht="12.75">
      <c r="A749" s="12">
        <v>44986</v>
      </c>
      <c r="B749" s="26">
        <v>6.32</v>
      </c>
      <c r="C749" s="29">
        <v>44</v>
      </c>
      <c r="D749" s="33">
        <v>1437</v>
      </c>
      <c r="E749" s="41">
        <f>IF(Tabela1716[[#This Row],[Building Permits]]="",#N/A,((Tabela1716[[#This Row],[Building Permits]]*1)/D737)-1)</f>
        <v>-0.23441662226957916</v>
      </c>
      <c r="F749" s="33">
        <v>1680</v>
      </c>
      <c r="G749" s="41">
        <f>IF(Tabela1716[[#This Row],[Houses Under Construction]]="",#N/A,((Tabela1716[[#This Row],[Houses Under Construction]]*1)/F737)-1)</f>
        <v>3.0042918454935563E-2</v>
      </c>
      <c r="H749" s="33">
        <v>1380</v>
      </c>
      <c r="I749" s="33">
        <f>IF(Tabela1716[[#This Row],[Housing Starts]]="",#N/A,Tabela1716[[#This Row],[Housing Starts]]-H748)</f>
        <v>-56</v>
      </c>
      <c r="J749" s="41">
        <f>IF(Tabela1716[[#This Row],[Housing Starts]]="",#N/A,((Tabela1716[[#This Row],[Housing Starts]]*1)/H737)-1)</f>
        <v>-0.19439579684763575</v>
      </c>
      <c r="K749" s="33">
        <v>1901401</v>
      </c>
      <c r="L749" s="41">
        <f>IF(Tabela1716[[#This Row],[Total Construction Spending]]="",#N/A,((Tabela1716[[#This Row],[Total Construction Spending]]*1)/K737)-1)</f>
        <v>2.7986031853817872E-2</v>
      </c>
      <c r="M749" s="31">
        <v>4430</v>
      </c>
      <c r="N749" s="41">
        <f>IF(Tabela1716[[#This Row],[Existing Home Sales]]="",#N/A,((Tabela1716[[#This Row],[Existing Home Sales]]*1)/M737)-1)</f>
        <v>-0.22956521739130431</v>
      </c>
      <c r="O749" s="33">
        <v>640</v>
      </c>
      <c r="P749" s="41">
        <f>IF(Tabela1716[[#This Row],[New House Sales]]="",#N/A,((Tabela1716[[#This Row],[New House Sales]]*1)/O748)-1)</f>
        <v>2.4000000000000021E-2</v>
      </c>
      <c r="Q749" s="41">
        <f>IF(Tabela1716[[#This Row],[New House Sales]]="",#N/A,((Tabela1716[[#This Row],[New House Sales]]*1)/O737)-1)</f>
        <v>-9.4766619519094819E-2</v>
      </c>
      <c r="R749" s="27">
        <v>8.1</v>
      </c>
      <c r="S749" s="86">
        <v>297.31099999999998</v>
      </c>
      <c r="T749" s="41">
        <f>IF(Tabela1716[[#This Row],[S&amp;P/Case-Shiller Home Price Index]]="",#N/A,((Tabela1716[[#This Row],[S&amp;P/Case-Shiller Home Price Index]]*1)/S748)-1)</f>
        <v>1.3209058224138204E-2</v>
      </c>
      <c r="U749" s="41">
        <f>IF(Tabela1716[[#This Row],[S&amp;P/Case-Shiller Home Price Index]]="",#N/A,((Tabela1716[[#This Row],[S&amp;P/Case-Shiller Home Price Index]]*1)/S737)-1)</f>
        <v>7.6835997342767914E-3</v>
      </c>
      <c r="V749" s="39">
        <v>103.5</v>
      </c>
      <c r="W749" s="9"/>
      <c r="X749" s="9"/>
    </row>
    <row r="750" spans="1:24" ht="12.75">
      <c r="A750" s="12">
        <v>45017</v>
      </c>
      <c r="B750" s="26">
        <v>6.43</v>
      </c>
      <c r="C750" s="29">
        <v>45</v>
      </c>
      <c r="D750" s="33">
        <v>1417</v>
      </c>
      <c r="E750" s="41">
        <f>IF(Tabela1716[[#This Row],[Building Permits]]="",#N/A,((Tabela1716[[#This Row],[Building Permits]]*1)/D738)-1)</f>
        <v>-0.21058495821727019</v>
      </c>
      <c r="F750" s="33">
        <v>1680</v>
      </c>
      <c r="G750" s="41">
        <f>IF(Tabela1716[[#This Row],[Houses Under Construction]]="",#N/A,((Tabela1716[[#This Row],[Houses Under Construction]]*1)/F738)-1)</f>
        <v>6.5907729179148777E-3</v>
      </c>
      <c r="H750" s="33">
        <v>1348</v>
      </c>
      <c r="I750" s="33">
        <f>IF(Tabela1716[[#This Row],[Housing Starts]]="",#N/A,Tabela1716[[#This Row],[Housing Starts]]-H749)</f>
        <v>-32</v>
      </c>
      <c r="J750" s="41">
        <f>IF(Tabela1716[[#This Row],[Housing Starts]]="",#N/A,((Tabela1716[[#This Row],[Housing Starts]]*1)/H738)-1)</f>
        <v>-0.25235718247365502</v>
      </c>
      <c r="K750" s="33">
        <v>1907837</v>
      </c>
      <c r="L750" s="41">
        <f>IF(Tabela1716[[#This Row],[Total Construction Spending]]="",#N/A,((Tabela1716[[#This Row],[Total Construction Spending]]*1)/K738)-1)</f>
        <v>1.3323043436924475E-2</v>
      </c>
      <c r="M750" s="31">
        <v>4290</v>
      </c>
      <c r="N750" s="41">
        <f>IF(Tabela1716[[#This Row],[Existing Home Sales]]="",#N/A,((Tabela1716[[#This Row],[Existing Home Sales]]*1)/M738)-1)</f>
        <v>-0.23392857142857137</v>
      </c>
      <c r="O750" s="33">
        <v>679</v>
      </c>
      <c r="P750" s="41">
        <f>IF(Tabela1716[[#This Row],[New House Sales]]="",#N/A,((Tabela1716[[#This Row],[New House Sales]]*1)/O749)-1)</f>
        <v>6.0937500000000089E-2</v>
      </c>
      <c r="Q750" s="41">
        <f>IF(Tabela1716[[#This Row],[New House Sales]]="",#N/A,((Tabela1716[[#This Row],[New House Sales]]*1)/O738)-1)</f>
        <v>0.1112929623567922</v>
      </c>
      <c r="R750" s="27">
        <v>7.6</v>
      </c>
      <c r="S750" s="86">
        <v>301.49</v>
      </c>
      <c r="T750" s="41">
        <f>IF(Tabela1716[[#This Row],[S&amp;P/Case-Shiller Home Price Index]]="",#N/A,((Tabela1716[[#This Row],[S&amp;P/Case-Shiller Home Price Index]]*1)/S749)-1)</f>
        <v>1.405598851034795E-2</v>
      </c>
      <c r="U750" s="41">
        <f>IF(Tabela1716[[#This Row],[S&amp;P/Case-Shiller Home Price Index]]="",#N/A,((Tabela1716[[#This Row],[S&amp;P/Case-Shiller Home Price Index]]*1)/S738)-1)</f>
        <v>-6.7949419115331811E-4</v>
      </c>
      <c r="V750" s="37">
        <v>103</v>
      </c>
      <c r="W750" s="9"/>
      <c r="X750" s="9"/>
    </row>
    <row r="751" spans="1:24" ht="12.75">
      <c r="A751" s="12">
        <v>45047</v>
      </c>
      <c r="B751" s="26">
        <v>6.57</v>
      </c>
      <c r="C751" s="29">
        <v>50</v>
      </c>
      <c r="D751" s="33">
        <v>1496</v>
      </c>
      <c r="E751" s="41">
        <f>IF(Tabela1716[[#This Row],[Building Permits]]="",#N/A,((Tabela1716[[#This Row],[Building Permits]]*1)/D739)-1)</f>
        <v>-0.1241217798594848</v>
      </c>
      <c r="F751" s="33">
        <v>1687</v>
      </c>
      <c r="G751" s="41">
        <f>IF(Tabela1716[[#This Row],[Houses Under Construction]]="",#N/A,((Tabela1716[[#This Row],[Houses Under Construction]]*1)/F739)-1)</f>
        <v>4.1666666666666519E-3</v>
      </c>
      <c r="H751" s="33">
        <v>1583</v>
      </c>
      <c r="I751" s="33">
        <f>IF(Tabela1716[[#This Row],[Housing Starts]]="",#N/A,Tabela1716[[#This Row],[Housing Starts]]-H750)</f>
        <v>235</v>
      </c>
      <c r="J751" s="41">
        <f>IF(Tabela1716[[#This Row],[Housing Starts]]="",#N/A,((Tabela1716[[#This Row],[Housing Starts]]*1)/H739)-1)</f>
        <v>2.5923525599481634E-2</v>
      </c>
      <c r="K751" s="33">
        <v>1946733</v>
      </c>
      <c r="L751" s="41">
        <f>IF(Tabela1716[[#This Row],[Total Construction Spending]]="",#N/A,((Tabela1716[[#This Row],[Total Construction Spending]]*1)/K739)-1)</f>
        <v>3.5002998570893951E-2</v>
      </c>
      <c r="M751" s="31">
        <v>4300</v>
      </c>
      <c r="N751" s="41">
        <f>IF(Tabela1716[[#This Row],[Existing Home Sales]]="",#N/A,((Tabela1716[[#This Row],[Existing Home Sales]]*1)/M739)-1)</f>
        <v>-0.20517560073937158</v>
      </c>
      <c r="O751" s="33">
        <v>710</v>
      </c>
      <c r="P751" s="41">
        <f>IF(Tabela1716[[#This Row],[New House Sales]]="",#N/A,((Tabela1716[[#This Row],[New House Sales]]*1)/O750)-1)</f>
        <v>4.5655375552282829E-2</v>
      </c>
      <c r="Q751" s="41">
        <f>IF(Tabela1716[[#This Row],[New House Sales]]="",#N/A,((Tabela1716[[#This Row],[New House Sales]]*1)/O739)-1)</f>
        <v>0.11635220125786172</v>
      </c>
      <c r="R751" s="27">
        <v>7.2</v>
      </c>
      <c r="S751" s="86">
        <v>305.36500000000001</v>
      </c>
      <c r="T751" s="41">
        <f>IF(Tabela1716[[#This Row],[S&amp;P/Case-Shiller Home Price Index]]="",#N/A,((Tabela1716[[#This Row],[S&amp;P/Case-Shiller Home Price Index]]*1)/S750)-1)</f>
        <v>1.2852830939666271E-2</v>
      </c>
      <c r="U751" s="41">
        <f>IF(Tabela1716[[#This Row],[S&amp;P/Case-Shiller Home Price Index]]="",#N/A,((Tabela1716[[#This Row],[S&amp;P/Case-Shiller Home Price Index]]*1)/S739)-1)</f>
        <v>-3.6120754913987474E-3</v>
      </c>
      <c r="V751" s="39">
        <v>99.6</v>
      </c>
      <c r="W751" s="9"/>
      <c r="X751" s="9"/>
    </row>
    <row r="752" spans="1:24" ht="12.75">
      <c r="A752" s="12">
        <v>45078</v>
      </c>
      <c r="B752" s="26">
        <v>6.71</v>
      </c>
      <c r="C752" s="29">
        <v>55</v>
      </c>
      <c r="D752" s="33">
        <v>1441</v>
      </c>
      <c r="E752" s="41">
        <f>IF(Tabela1716[[#This Row],[Building Permits]]="",#N/A,((Tabela1716[[#This Row],[Building Permits]]*1)/D740)-1)</f>
        <v>-0.15285126396237503</v>
      </c>
      <c r="F752" s="33">
        <v>1692</v>
      </c>
      <c r="G752" s="41">
        <f>IF(Tabela1716[[#This Row],[Houses Under Construction]]="",#N/A,((Tabela1716[[#This Row],[Houses Under Construction]]*1)/F740)-1)</f>
        <v>2.3696682464455776E-3</v>
      </c>
      <c r="H752" s="33">
        <v>1418</v>
      </c>
      <c r="I752" s="33">
        <f>IF(Tabela1716[[#This Row],[Housing Starts]]="",#N/A,Tabela1716[[#This Row],[Housing Starts]]-H751)</f>
        <v>-165</v>
      </c>
      <c r="J752" s="41">
        <f>IF(Tabela1716[[#This Row],[Housing Starts]]="",#N/A,((Tabela1716[[#This Row],[Housing Starts]]*1)/H740)-1)</f>
        <v>-9.1607943625880872E-2</v>
      </c>
      <c r="K752" s="33">
        <v>1956226</v>
      </c>
      <c r="L752" s="41">
        <f>IF(Tabela1716[[#This Row],[Total Construction Spending]]="",#N/A,((Tabela1716[[#This Row],[Total Construction Spending]]*1)/K740)-1)</f>
        <v>4.433200368997392E-2</v>
      </c>
      <c r="M752" s="31">
        <v>4160</v>
      </c>
      <c r="N752" s="41">
        <f>IF(Tabela1716[[#This Row],[Existing Home Sales]]="",#N/A,((Tabela1716[[#This Row],[Existing Home Sales]]*1)/M740)-1)</f>
        <v>-0.18590998043052842</v>
      </c>
      <c r="O752" s="33">
        <v>683</v>
      </c>
      <c r="P752" s="41">
        <f>IF(Tabela1716[[#This Row],[New House Sales]]="",#N/A,((Tabela1716[[#This Row],[New House Sales]]*1)/O751)-1)</f>
        <v>-3.8028169014084456E-2</v>
      </c>
      <c r="Q752" s="41">
        <f>IF(Tabela1716[[#This Row],[New House Sales]]="",#N/A,((Tabela1716[[#This Row],[New House Sales]]*1)/O740)-1)</f>
        <v>0.21314387211367669</v>
      </c>
      <c r="R752" s="27">
        <v>7.5</v>
      </c>
      <c r="S752" s="86">
        <v>308.28500000000003</v>
      </c>
      <c r="T752" s="41">
        <f>IF(Tabela1716[[#This Row],[S&amp;P/Case-Shiller Home Price Index]]="",#N/A,((Tabela1716[[#This Row],[S&amp;P/Case-Shiller Home Price Index]]*1)/S751)-1)</f>
        <v>9.5623270512337211E-3</v>
      </c>
      <c r="U752" s="41">
        <f>IF(Tabela1716[[#This Row],[S&amp;P/Case-Shiller Home Price Index]]="",#N/A,((Tabela1716[[#This Row],[S&amp;P/Case-Shiller Home Price Index]]*1)/S740)-1)</f>
        <v>6.163508139089835E-5</v>
      </c>
      <c r="V752" s="37">
        <v>93.7</v>
      </c>
      <c r="W752" s="9"/>
      <c r="X752" s="9"/>
    </row>
    <row r="753" spans="1:24" ht="12.75">
      <c r="A753" s="12">
        <v>45108</v>
      </c>
      <c r="B753" s="26">
        <v>6.81</v>
      </c>
      <c r="C753" s="29">
        <v>56</v>
      </c>
      <c r="D753" s="33">
        <v>1443</v>
      </c>
      <c r="E753" s="41">
        <f>IF(Tabela1716[[#This Row],[Building Permits]]="",#N/A,((Tabela1716[[#This Row],[Building Permits]]*1)/D741)-1)</f>
        <v>-0.12967430639324484</v>
      </c>
      <c r="F753" s="33">
        <v>1697</v>
      </c>
      <c r="G753" s="41">
        <f>IF(Tabela1716[[#This Row],[Houses Under Construction]]="",#N/A,((Tabela1716[[#This Row],[Houses Under Construction]]*1)/F741)-1)</f>
        <v>8.3184789067141107E-3</v>
      </c>
      <c r="H753" s="33">
        <v>1451</v>
      </c>
      <c r="I753" s="33">
        <f>IF(Tabela1716[[#This Row],[Housing Starts]]="",#N/A,Tabela1716[[#This Row],[Housing Starts]]-H752)</f>
        <v>33</v>
      </c>
      <c r="J753" s="41">
        <f>IF(Tabela1716[[#This Row],[Housing Starts]]="",#N/A,((Tabela1716[[#This Row],[Housing Starts]]*1)/H741)-1)</f>
        <v>5.8351568198395265E-2</v>
      </c>
      <c r="K753" s="33">
        <v>1969005</v>
      </c>
      <c r="L753" s="41">
        <f>IF(Tabela1716[[#This Row],[Total Construction Spending]]="",#N/A,((Tabela1716[[#This Row],[Total Construction Spending]]*1)/K741)-1)</f>
        <v>5.3359561153011104E-2</v>
      </c>
      <c r="M753" s="31">
        <v>4070</v>
      </c>
      <c r="N753" s="41">
        <f>IF(Tabela1716[[#This Row],[Existing Home Sales]]="",#N/A,((Tabela1716[[#This Row],[Existing Home Sales]]*1)/M741)-1)</f>
        <v>-0.15560165975103735</v>
      </c>
      <c r="O753" s="33">
        <v>728</v>
      </c>
      <c r="P753" s="41">
        <f>IF(Tabela1716[[#This Row],[New House Sales]]="",#N/A,((Tabela1716[[#This Row],[New House Sales]]*1)/O752)-1)</f>
        <v>6.5885797950219649E-2</v>
      </c>
      <c r="Q753" s="41">
        <f>IF(Tabela1716[[#This Row],[New House Sales]]="",#N/A,((Tabela1716[[#This Row],[New House Sales]]*1)/O741)-1)</f>
        <v>0.34069981583793729</v>
      </c>
      <c r="R753" s="27">
        <v>7.1</v>
      </c>
      <c r="S753" s="86">
        <v>310.14599999999996</v>
      </c>
      <c r="T753" s="41">
        <f>IF(Tabela1716[[#This Row],[S&amp;P/Case-Shiller Home Price Index]]="",#N/A,((Tabela1716[[#This Row],[S&amp;P/Case-Shiller Home Price Index]]*1)/S752)-1)</f>
        <v>6.0366219569552015E-3</v>
      </c>
      <c r="U753" s="41">
        <f>IF(Tabela1716[[#This Row],[S&amp;P/Case-Shiller Home Price Index]]="",#N/A,((Tabela1716[[#This Row],[S&amp;P/Case-Shiller Home Price Index]]*1)/S741)-1)</f>
        <v>9.9054391997497326E-3</v>
      </c>
      <c r="V753" s="37">
        <v>93.79</v>
      </c>
      <c r="W753" s="9"/>
      <c r="X753" s="9"/>
    </row>
    <row r="754" spans="1:24" ht="12.75">
      <c r="A754" s="12">
        <v>45139</v>
      </c>
      <c r="B754" s="26">
        <v>7.18</v>
      </c>
      <c r="C754" s="29">
        <v>50</v>
      </c>
      <c r="D754" s="33">
        <v>1541</v>
      </c>
      <c r="E754" s="41">
        <f>IF(Tabela1716[[#This Row],[Building Permits]]="",#N/A,((Tabela1716[[#This Row],[Building Permits]]*1)/D742)-1)</f>
        <v>-2.8373266078184134E-2</v>
      </c>
      <c r="F754" s="33">
        <v>1694</v>
      </c>
      <c r="G754" s="41">
        <f>IF(Tabela1716[[#This Row],[Houses Under Construction]]="",#N/A,((Tabela1716[[#This Row],[Houses Under Construction]]*1)/F742)-1)</f>
        <v>-4.7003525264395218E-3</v>
      </c>
      <c r="H754" s="33">
        <v>1305</v>
      </c>
      <c r="I754" s="33">
        <f>IF(Tabela1716[[#This Row],[Housing Starts]]="",#N/A,Tabela1716[[#This Row],[Housing Starts]]-H753)</f>
        <v>-146</v>
      </c>
      <c r="J754" s="41">
        <f>IF(Tabela1716[[#This Row],[Housing Starts]]="",#N/A,((Tabela1716[[#This Row],[Housing Starts]]*1)/H742)-1)</f>
        <v>-0.13289036544850497</v>
      </c>
      <c r="K754" s="33">
        <v>2010143</v>
      </c>
      <c r="L754" s="41">
        <f>IF(Tabela1716[[#This Row],[Total Construction Spending]]="",#N/A,((Tabela1716[[#This Row],[Total Construction Spending]]*1)/K742)-1)</f>
        <v>8.8160733184105222E-2</v>
      </c>
      <c r="M754" s="31">
        <v>4040</v>
      </c>
      <c r="N754" s="41">
        <f>IF(Tabela1716[[#This Row],[Existing Home Sales]]="",#N/A,((Tabela1716[[#This Row],[Existing Home Sales]]*1)/M742)-1)</f>
        <v>-0.15481171548117156</v>
      </c>
      <c r="O754" s="33">
        <v>662</v>
      </c>
      <c r="P754" s="41">
        <f>IF(Tabela1716[[#This Row],[New House Sales]]="",#N/A,((Tabela1716[[#This Row],[New House Sales]]*1)/O753)-1)</f>
        <v>-9.065934065934067E-2</v>
      </c>
      <c r="Q754" s="41">
        <f>IF(Tabela1716[[#This Row],[New House Sales]]="",#N/A,((Tabela1716[[#This Row],[New House Sales]]*1)/O742)-1)</f>
        <v>3.7617554858934144E-2</v>
      </c>
      <c r="R754" s="27">
        <v>7.9</v>
      </c>
      <c r="S754" s="87">
        <v>311.51900000000001</v>
      </c>
      <c r="T754" s="41">
        <f>IF(Tabela1716[[#This Row],[S&amp;P/Case-Shiller Home Price Index]]="",#N/A,((Tabela1716[[#This Row],[S&amp;P/Case-Shiller Home Price Index]]*1)/S753)-1)</f>
        <v>4.4269473086870903E-3</v>
      </c>
      <c r="U754" s="41">
        <f>IF(Tabela1716[[#This Row],[S&amp;P/Case-Shiller Home Price Index]]="",#N/A,((Tabela1716[[#This Row],[S&amp;P/Case-Shiller Home Price Index]]*1)/S742)-1)</f>
        <v>2.5887676267379645E-2</v>
      </c>
      <c r="V754" s="37">
        <v>92.4</v>
      </c>
      <c r="W754" s="9"/>
      <c r="X754" s="9"/>
    </row>
    <row r="755" spans="1:24" ht="12.75">
      <c r="A755" s="12">
        <v>45170</v>
      </c>
      <c r="B755" s="26">
        <v>7.31</v>
      </c>
      <c r="C755" s="29">
        <v>44</v>
      </c>
      <c r="D755" s="33">
        <v>1471</v>
      </c>
      <c r="E755" s="41">
        <f>IF(Tabela1716[[#This Row],[Building Permits]]="",#N/A,((Tabela1716[[#This Row],[Building Permits]]*1)/D743)-1)</f>
        <v>-7.367758186397988E-2</v>
      </c>
      <c r="F755" s="33">
        <v>1679</v>
      </c>
      <c r="G755" s="41">
        <f>IF(Tabela1716[[#This Row],[Houses Under Construction]]="",#N/A,((Tabela1716[[#This Row],[Houses Under Construction]]*1)/F743)-1)</f>
        <v>-1.1189634864546494E-2</v>
      </c>
      <c r="H755" s="33">
        <v>1356</v>
      </c>
      <c r="I755" s="33">
        <f>IF(Tabela1716[[#This Row],[Housing Starts]]="",#N/A,Tabela1716[[#This Row],[Housing Starts]]-H754)</f>
        <v>51</v>
      </c>
      <c r="J755" s="41">
        <f>IF(Tabela1716[[#This Row],[Housing Starts]]="",#N/A,((Tabela1716[[#This Row],[Housing Starts]]*1)/H743)-1)</f>
        <v>-7.3137388926862612E-2</v>
      </c>
      <c r="K755" s="33">
        <v>2017510</v>
      </c>
      <c r="L755" s="41">
        <f>IF(Tabela1716[[#This Row],[Total Construction Spending]]="",#N/A,((Tabela1716[[#This Row],[Total Construction Spending]]*1)/K743)-1)</f>
        <v>9.8305324644923919E-2</v>
      </c>
      <c r="M755" s="31">
        <v>3950</v>
      </c>
      <c r="N755" s="41">
        <f>IF(Tabela1716[[#This Row],[Existing Home Sales]]="",#N/A,((Tabela1716[[#This Row],[Existing Home Sales]]*1)/M743)-1)</f>
        <v>-0.16135881104033967</v>
      </c>
      <c r="O755" s="33">
        <v>719</v>
      </c>
      <c r="P755" s="41">
        <f>IF(Tabela1716[[#This Row],[New House Sales]]="",#N/A,((Tabela1716[[#This Row],[New House Sales]]*1)/O754)-1)</f>
        <v>8.6102719033232633E-2</v>
      </c>
      <c r="Q755" s="41">
        <f>IF(Tabela1716[[#This Row],[New House Sales]]="",#N/A,((Tabela1716[[#This Row],[New House Sales]]*1)/O743)-1)</f>
        <v>0.26807760141093473</v>
      </c>
      <c r="R755" s="27">
        <v>7.4</v>
      </c>
      <c r="S755" s="86">
        <v>312.41700000000003</v>
      </c>
      <c r="T755" s="41">
        <f>IF(Tabela1716[[#This Row],[S&amp;P/Case-Shiller Home Price Index]]="",#N/A,((Tabela1716[[#This Row],[S&amp;P/Case-Shiller Home Price Index]]*1)/S754)-1)</f>
        <v>2.8826492124076619E-3</v>
      </c>
      <c r="U755" s="41">
        <f>IF(Tabela1716[[#This Row],[S&amp;P/Case-Shiller Home Price Index]]="",#N/A,((Tabela1716[[#This Row],[S&amp;P/Case-Shiller Home Price Index]]*1)/S743)-1)</f>
        <v>3.9722977492753442E-2</v>
      </c>
      <c r="V755" s="37">
        <v>94.5</v>
      </c>
      <c r="W755" s="9"/>
      <c r="X755" s="9"/>
    </row>
    <row r="756" spans="1:24" ht="12.75">
      <c r="A756" s="12">
        <v>45200</v>
      </c>
      <c r="B756" s="26">
        <v>7.79</v>
      </c>
      <c r="C756" s="29">
        <v>40</v>
      </c>
      <c r="D756" s="33">
        <v>1498</v>
      </c>
      <c r="E756" s="41">
        <f>IF(Tabela1716[[#This Row],[Building Permits]]="",#N/A,((Tabela1716[[#This Row],[Building Permits]]*1)/D744)-1)</f>
        <v>-3.6655948553054651E-2</v>
      </c>
      <c r="F756" s="33">
        <v>1680</v>
      </c>
      <c r="G756" s="41">
        <f>IF(Tabela1716[[#This Row],[Houses Under Construction]]="",#N/A,((Tabela1716[[#This Row],[Houses Under Construction]]*1)/F744)-1)</f>
        <v>-1.7543859649122862E-2</v>
      </c>
      <c r="H756" s="33">
        <v>1376</v>
      </c>
      <c r="I756" s="33">
        <f>IF(Tabela1716[[#This Row],[Housing Starts]]="",#N/A,Tabela1716[[#This Row],[Housing Starts]]-H755)</f>
        <v>20</v>
      </c>
      <c r="J756" s="41">
        <f>IF(Tabela1716[[#This Row],[Housing Starts]]="",#N/A,((Tabela1716[[#This Row],[Housing Starts]]*1)/H744)-1)</f>
        <v>-3.9106145251396662E-2</v>
      </c>
      <c r="K756" s="33">
        <v>2042518</v>
      </c>
      <c r="L756" s="41">
        <f>IF(Tabela1716[[#This Row],[Total Construction Spending]]="",#N/A,((Tabela1716[[#This Row],[Total Construction Spending]]*1)/K744)-1)</f>
        <v>0.11583920475373355</v>
      </c>
      <c r="M756" s="31">
        <v>3790</v>
      </c>
      <c r="N756" s="41">
        <f>IF(Tabela1716[[#This Row],[Existing Home Sales]]="",#N/A,((Tabela1716[[#This Row],[Existing Home Sales]]*1)/M744)-1)</f>
        <v>-0.14639639639639634</v>
      </c>
      <c r="O756" s="33">
        <v>679</v>
      </c>
      <c r="P756" s="41">
        <f>IF(Tabela1716[[#This Row],[New House Sales]]="",#N/A,((Tabela1716[[#This Row],[New House Sales]]*1)/O755)-1)</f>
        <v>-5.5632823365785788E-2</v>
      </c>
      <c r="Q756" s="41">
        <f>IF(Tabela1716[[#This Row],[New House Sales]]="",#N/A,((Tabela1716[[#This Row],[New House Sales]]*1)/O744)-1)</f>
        <v>0.17677642980935881</v>
      </c>
      <c r="R756" s="27">
        <v>7.9</v>
      </c>
      <c r="S756" s="86">
        <v>312.95299999999997</v>
      </c>
      <c r="T756" s="41">
        <f>IF(Tabela1716[[#This Row],[S&amp;P/Case-Shiller Home Price Index]]="",#N/A,((Tabela1716[[#This Row],[S&amp;P/Case-Shiller Home Price Index]]*1)/S755)-1)</f>
        <v>1.7156556781479093E-3</v>
      </c>
      <c r="U756" s="41">
        <f>IF(Tabela1716[[#This Row],[S&amp;P/Case-Shiller Home Price Index]]="",#N/A,((Tabela1716[[#This Row],[S&amp;P/Case-Shiller Home Price Index]]*1)/S744)-1)</f>
        <v>4.7692220135450381E-2</v>
      </c>
      <c r="V756" s="37">
        <v>91.4</v>
      </c>
      <c r="W756" s="9"/>
      <c r="X756" s="9"/>
    </row>
    <row r="757" spans="1:24" ht="12.75">
      <c r="A757" s="12">
        <v>45231</v>
      </c>
      <c r="B757" s="26">
        <v>7.22</v>
      </c>
      <c r="C757" s="29">
        <v>34</v>
      </c>
      <c r="D757" s="33">
        <v>1467</v>
      </c>
      <c r="E757" s="41">
        <f>IF(Tabela1716[[#This Row],[Building Permits]]="",#N/A,((Tabela1716[[#This Row],[Building Permits]]*1)/D745)-1)</f>
        <v>4.636233951497859E-2</v>
      </c>
      <c r="F757" s="33">
        <v>1685</v>
      </c>
      <c r="G757" s="41">
        <f>IF(Tabela1716[[#This Row],[Houses Under Construction]]="",#N/A,((Tabela1716[[#This Row],[Houses Under Construction]]*1)/F745)-1)</f>
        <v>-5.8997050147492347E-3</v>
      </c>
      <c r="H757" s="33">
        <v>1525</v>
      </c>
      <c r="I757" s="33">
        <f>IF(Tabela1716[[#This Row],[Housing Starts]]="",#N/A,Tabela1716[[#This Row],[Housing Starts]]-H756)</f>
        <v>149</v>
      </c>
      <c r="J757" s="41">
        <f>IF(Tabela1716[[#This Row],[Housing Starts]]="",#N/A,((Tabela1716[[#This Row],[Housing Starts]]*1)/H745)-1)</f>
        <v>6.8675543097407088E-2</v>
      </c>
      <c r="K757" s="33">
        <v>2050058</v>
      </c>
      <c r="L757" s="41">
        <f>IF(Tabela1716[[#This Row],[Total Construction Spending]]="",#N/A,((Tabela1716[[#This Row],[Total Construction Spending]]*1)/K745)-1)</f>
        <v>0.11282777278979661</v>
      </c>
      <c r="M757" s="31">
        <v>3820</v>
      </c>
      <c r="N757" s="41">
        <f>IF(Tabela1716[[#This Row],[Existing Home Sales]]="",#N/A,((Tabela1716[[#This Row],[Existing Home Sales]]*1)/M745)-1)</f>
        <v>-7.2815533980582492E-2</v>
      </c>
      <c r="O757" s="33">
        <v>590</v>
      </c>
      <c r="P757" s="41">
        <f>IF(Tabela1716[[#This Row],[New House Sales]]="",#N/A,((Tabela1716[[#This Row],[New House Sales]]*1)/O756)-1)</f>
        <v>-0.13107511045655373</v>
      </c>
      <c r="Q757" s="41">
        <f>IF(Tabela1716[[#This Row],[New House Sales]]="",#N/A,((Tabela1716[[#This Row],[New House Sales]]*1)/O745)-1)</f>
        <v>1.3745704467353903E-2</v>
      </c>
      <c r="R757" s="27">
        <v>9.1999999999999993</v>
      </c>
      <c r="S757" s="86"/>
      <c r="T757" s="41" t="e">
        <f>IF(Tabela1716[[#This Row],[S&amp;P/Case-Shiller Home Price Index]]="",#N/A,((Tabela1716[[#This Row],[S&amp;P/Case-Shiller Home Price Index]]*1)/S756)-1)</f>
        <v>#N/A</v>
      </c>
      <c r="U757" s="41" t="e">
        <f>IF(Tabela1716[[#This Row],[S&amp;P/Case-Shiller Home Price Index]]="",#N/A,((Tabela1716[[#This Row],[S&amp;P/Case-Shiller Home Price Index]]*1)/S745)-1)</f>
        <v>#N/A</v>
      </c>
      <c r="V757" s="37"/>
      <c r="W757" s="9"/>
      <c r="X757" s="9"/>
    </row>
    <row r="758" spans="1:24" ht="12.75">
      <c r="A758" s="12">
        <v>45261</v>
      </c>
      <c r="B758" s="26">
        <v>6.61</v>
      </c>
      <c r="C758" s="29">
        <v>37</v>
      </c>
      <c r="D758" s="33">
        <v>1495</v>
      </c>
      <c r="E758" s="41">
        <f>IF(Tabela1716[[#This Row],[Building Permits]]="",#N/A,((Tabela1716[[#This Row],[Building Permits]]*1)/D746)-1)</f>
        <v>6.1036195883605426E-2</v>
      </c>
      <c r="F758" s="33">
        <v>1679</v>
      </c>
      <c r="G758" s="41">
        <f>IF(Tabela1716[[#This Row],[Houses Under Construction]]="",#N/A,((Tabela1716[[#This Row],[Houses Under Construction]]*1)/F746)-1)</f>
        <v>-1.0023584905660354E-2</v>
      </c>
      <c r="H758" s="33">
        <v>1460</v>
      </c>
      <c r="I758" s="33">
        <f>IF(Tabela1716[[#This Row],[Housing Starts]]="",#N/A,Tabela1716[[#This Row],[Housing Starts]]-H757)</f>
        <v>-65</v>
      </c>
      <c r="J758" s="41">
        <f>IF(Tabela1716[[#This Row],[Housing Starts]]="",#N/A,((Tabela1716[[#This Row],[Housing Starts]]*1)/H746)-1)</f>
        <v>7.5902726602800286E-2</v>
      </c>
      <c r="K758" s="33"/>
      <c r="L758" s="41" t="e">
        <f>IF(Tabela1716[[#This Row],[Total Construction Spending]]="",#N/A,((Tabela1716[[#This Row],[Total Construction Spending]]*1)/K746)-1)</f>
        <v>#N/A</v>
      </c>
      <c r="M758" s="31">
        <v>3780</v>
      </c>
      <c r="N758" s="41">
        <f>IF(Tabela1716[[#This Row],[Existing Home Sales]]="",#N/A,((Tabela1716[[#This Row],[Existing Home Sales]]*1)/M746)-1)</f>
        <v>-6.2034739454094323E-2</v>
      </c>
      <c r="O758" s="33"/>
      <c r="P758" s="41" t="e">
        <f>IF(Tabela1716[[#This Row],[New House Sales]]="",#N/A,((Tabela1716[[#This Row],[New House Sales]]*1)/O757)-1)</f>
        <v>#N/A</v>
      </c>
      <c r="Q758" s="41" t="e">
        <f>IF(Tabela1716[[#This Row],[New House Sales]]="",#N/A,((Tabela1716[[#This Row],[New House Sales]]*1)/O746)-1)</f>
        <v>#N/A</v>
      </c>
      <c r="R758" s="27"/>
      <c r="S758" s="86"/>
      <c r="T758" s="41" t="e">
        <f>IF(Tabela1716[[#This Row],[S&amp;P/Case-Shiller Home Price Index]]="",#N/A,((Tabela1716[[#This Row],[S&amp;P/Case-Shiller Home Price Index]]*1)/S757)-1)</f>
        <v>#N/A</v>
      </c>
      <c r="U758" s="41" t="e">
        <f>IF(Tabela1716[[#This Row],[S&amp;P/Case-Shiller Home Price Index]]="",#N/A,((Tabela1716[[#This Row],[S&amp;P/Case-Shiller Home Price Index]]*1)/S746)-1)</f>
        <v>#N/A</v>
      </c>
      <c r="V758" s="37"/>
      <c r="W758" s="9"/>
      <c r="X758" s="9"/>
    </row>
    <row r="759" spans="1:24" ht="12.75">
      <c r="A759" s="12">
        <v>45292</v>
      </c>
      <c r="B759" s="26">
        <v>6.6</v>
      </c>
      <c r="C759" s="29">
        <v>44</v>
      </c>
      <c r="D759" s="33"/>
      <c r="E759" s="41" t="e">
        <f>IF(Tabela1716[[#This Row],[Building Permits]]="",#N/A,((Tabela1716[[#This Row],[Building Permits]]*1)/D747)-1)</f>
        <v>#N/A</v>
      </c>
      <c r="F759" s="33"/>
      <c r="G759" s="41" t="e">
        <f>IF(Tabela1716[[#This Row],[Houses Under Construction]]="",#N/A,((Tabela1716[[#This Row],[Houses Under Construction]]*1)/F747)-1)</f>
        <v>#N/A</v>
      </c>
      <c r="H759" s="33"/>
      <c r="I759" s="33" t="e">
        <f>IF(Tabela1716[[#This Row],[Housing Starts]]="",#N/A,Tabela1716[[#This Row],[Housing Starts]]-H758)</f>
        <v>#N/A</v>
      </c>
      <c r="J759" s="41" t="e">
        <f>IF(Tabela1716[[#This Row],[Housing Starts]]="",#N/A,((Tabela1716[[#This Row],[Housing Starts]]*1)/H747)-1)</f>
        <v>#N/A</v>
      </c>
      <c r="K759" s="33"/>
      <c r="L759" s="41" t="e">
        <f>IF(Tabela1716[[#This Row],[Total Construction Spending]]="",#N/A,((Tabela1716[[#This Row],[Total Construction Spending]]*1)/K747)-1)</f>
        <v>#N/A</v>
      </c>
      <c r="M759" s="31"/>
      <c r="N759" s="41" t="e">
        <f>IF(Tabela1716[[#This Row],[Existing Home Sales]]="",#N/A,((Tabela1716[[#This Row],[Existing Home Sales]]*1)/M747)-1)</f>
        <v>#N/A</v>
      </c>
      <c r="O759" s="33"/>
      <c r="P759" s="41" t="e">
        <f>IF(Tabela1716[[#This Row],[New House Sales]]="",#N/A,((Tabela1716[[#This Row],[New House Sales]]*1)/O758)-1)</f>
        <v>#N/A</v>
      </c>
      <c r="Q759" s="41" t="e">
        <f>IF(Tabela1716[[#This Row],[New House Sales]]="",#N/A,((Tabela1716[[#This Row],[New House Sales]]*1)/O747)-1)</f>
        <v>#N/A</v>
      </c>
      <c r="R759" s="27"/>
      <c r="S759" s="86"/>
      <c r="T759" s="41" t="e">
        <f>IF(Tabela1716[[#This Row],[S&amp;P/Case-Shiller Home Price Index]]="",#N/A,((Tabela1716[[#This Row],[S&amp;P/Case-Shiller Home Price Index]]*1)/S758)-1)</f>
        <v>#N/A</v>
      </c>
      <c r="U759" s="41" t="e">
        <f>IF(Tabela1716[[#This Row],[S&amp;P/Case-Shiller Home Price Index]]="",#N/A,((Tabela1716[[#This Row],[S&amp;P/Case-Shiller Home Price Index]]*1)/S747)-1)</f>
        <v>#N/A</v>
      </c>
      <c r="V759" s="37"/>
      <c r="W759" s="9"/>
      <c r="X759" s="9"/>
    </row>
    <row r="760" spans="1:24" ht="12.75">
      <c r="A760" s="12">
        <v>45323</v>
      </c>
      <c r="B760" s="26"/>
      <c r="C760" s="29"/>
      <c r="D760" s="33"/>
      <c r="E760" s="41" t="e">
        <f>IF(Tabela1716[[#This Row],[Building Permits]]="",#N/A,((Tabela1716[[#This Row],[Building Permits]]*1)/D748)-1)</f>
        <v>#N/A</v>
      </c>
      <c r="F760" s="33"/>
      <c r="G760" s="41" t="e">
        <f>IF(Tabela1716[[#This Row],[Houses Under Construction]]="",#N/A,((Tabela1716[[#This Row],[Houses Under Construction]]*1)/F748)-1)</f>
        <v>#N/A</v>
      </c>
      <c r="H760" s="33"/>
      <c r="I760" s="33" t="e">
        <f>IF(Tabela1716[[#This Row],[Housing Starts]]="",#N/A,Tabela1716[[#This Row],[Housing Starts]]-H759)</f>
        <v>#N/A</v>
      </c>
      <c r="J760" s="41" t="e">
        <f>IF(Tabela1716[[#This Row],[Housing Starts]]="",#N/A,((Tabela1716[[#This Row],[Housing Starts]]*1)/H748)-1)</f>
        <v>#N/A</v>
      </c>
      <c r="K760" s="33"/>
      <c r="L760" s="41" t="e">
        <f>IF(Tabela1716[[#This Row],[Total Construction Spending]]="",#N/A,((Tabela1716[[#This Row],[Total Construction Spending]]*1)/K748)-1)</f>
        <v>#N/A</v>
      </c>
      <c r="M760" s="31"/>
      <c r="N760" s="41" t="e">
        <f>IF(Tabela1716[[#This Row],[Existing Home Sales]]="",#N/A,((Tabela1716[[#This Row],[Existing Home Sales]]*1)/M748)-1)</f>
        <v>#N/A</v>
      </c>
      <c r="O760" s="33"/>
      <c r="P760" s="41" t="e">
        <f>IF(Tabela1716[[#This Row],[New House Sales]]="",#N/A,((Tabela1716[[#This Row],[New House Sales]]*1)/O759)-1)</f>
        <v>#N/A</v>
      </c>
      <c r="Q760" s="41" t="e">
        <f>IF(Tabela1716[[#This Row],[New House Sales]]="",#N/A,((Tabela1716[[#This Row],[New House Sales]]*1)/O748)-1)</f>
        <v>#N/A</v>
      </c>
      <c r="R760" s="27"/>
      <c r="S760" s="86"/>
      <c r="T760" s="41" t="e">
        <f>IF(Tabela1716[[#This Row],[S&amp;P/Case-Shiller Home Price Index]]="",#N/A,((Tabela1716[[#This Row],[S&amp;P/Case-Shiller Home Price Index]]*1)/S759)-1)</f>
        <v>#N/A</v>
      </c>
      <c r="U760" s="41" t="e">
        <f>IF(Tabela1716[[#This Row],[S&amp;P/Case-Shiller Home Price Index]]="",#N/A,((Tabela1716[[#This Row],[S&amp;P/Case-Shiller Home Price Index]]*1)/S748)-1)</f>
        <v>#N/A</v>
      </c>
      <c r="V760" s="37"/>
      <c r="W760" s="9"/>
      <c r="X760" s="9"/>
    </row>
    <row r="761" spans="1:24" ht="12.75">
      <c r="A761" s="12">
        <v>45352</v>
      </c>
      <c r="B761" s="26"/>
      <c r="C761" s="29"/>
      <c r="D761" s="33"/>
      <c r="E761" s="41" t="e">
        <f>IF(Tabela1716[[#This Row],[Building Permits]]="",#N/A,((Tabela1716[[#This Row],[Building Permits]]*1)/D749)-1)</f>
        <v>#N/A</v>
      </c>
      <c r="F761" s="33"/>
      <c r="G761" s="41" t="e">
        <f>IF(Tabela1716[[#This Row],[Houses Under Construction]]="",#N/A,((Tabela1716[[#This Row],[Houses Under Construction]]*1)/F749)-1)</f>
        <v>#N/A</v>
      </c>
      <c r="H761" s="33"/>
      <c r="I761" s="33" t="e">
        <f>IF(Tabela1716[[#This Row],[Housing Starts]]="",#N/A,Tabela1716[[#This Row],[Housing Starts]]-H760)</f>
        <v>#N/A</v>
      </c>
      <c r="J761" s="41" t="e">
        <f>IF(Tabela1716[[#This Row],[Housing Starts]]="",#N/A,((Tabela1716[[#This Row],[Housing Starts]]*1)/H749)-1)</f>
        <v>#N/A</v>
      </c>
      <c r="K761" s="33"/>
      <c r="L761" s="41" t="e">
        <f>IF(Tabela1716[[#This Row],[Total Construction Spending]]="",#N/A,((Tabela1716[[#This Row],[Total Construction Spending]]*1)/K749)-1)</f>
        <v>#N/A</v>
      </c>
      <c r="M761" s="31"/>
      <c r="N761" s="41" t="e">
        <f>IF(Tabela1716[[#This Row],[Existing Home Sales]]="",#N/A,((Tabela1716[[#This Row],[Existing Home Sales]]*1)/M749)-1)</f>
        <v>#N/A</v>
      </c>
      <c r="O761" s="33"/>
      <c r="P761" s="41" t="e">
        <f>IF(Tabela1716[[#This Row],[New House Sales]]="",#N/A,((Tabela1716[[#This Row],[New House Sales]]*1)/O760)-1)</f>
        <v>#N/A</v>
      </c>
      <c r="Q761" s="41" t="e">
        <f>IF(Tabela1716[[#This Row],[New House Sales]]="",#N/A,((Tabela1716[[#This Row],[New House Sales]]*1)/O749)-1)</f>
        <v>#N/A</v>
      </c>
      <c r="R761" s="27"/>
      <c r="S761" s="86"/>
      <c r="T761" s="41" t="e">
        <f>IF(Tabela1716[[#This Row],[S&amp;P/Case-Shiller Home Price Index]]="",#N/A,((Tabela1716[[#This Row],[S&amp;P/Case-Shiller Home Price Index]]*1)/S760)-1)</f>
        <v>#N/A</v>
      </c>
      <c r="U761" s="41" t="e">
        <f>IF(Tabela1716[[#This Row],[S&amp;P/Case-Shiller Home Price Index]]="",#N/A,((Tabela1716[[#This Row],[S&amp;P/Case-Shiller Home Price Index]]*1)/S749)-1)</f>
        <v>#N/A</v>
      </c>
      <c r="V761" s="37"/>
      <c r="W761" s="9"/>
      <c r="X761" s="9"/>
    </row>
    <row r="762" spans="1:24">
      <c r="A762" s="12">
        <v>45383</v>
      </c>
      <c r="B762" s="26"/>
      <c r="C762" s="29"/>
      <c r="D762" s="33"/>
      <c r="E762" s="41" t="e">
        <f>IF(Tabela1716[[#This Row],[Building Permits]]="",#N/A,((Tabela1716[[#This Row],[Building Permits]]*1)/D750)-1)</f>
        <v>#N/A</v>
      </c>
      <c r="F762" s="33"/>
      <c r="G762" s="41" t="e">
        <f>IF(Tabela1716[[#This Row],[Houses Under Construction]]="",#N/A,((Tabela1716[[#This Row],[Houses Under Construction]]*1)/F750)-1)</f>
        <v>#N/A</v>
      </c>
      <c r="H762" s="33"/>
      <c r="I762" s="33" t="e">
        <f>IF(Tabela1716[[#This Row],[Housing Starts]]="",#N/A,Tabela1716[[#This Row],[Housing Starts]]-H761)</f>
        <v>#N/A</v>
      </c>
      <c r="J762" s="41" t="e">
        <f>IF(Tabela1716[[#This Row],[Housing Starts]]="",#N/A,((Tabela1716[[#This Row],[Housing Starts]]*1)/H750)-1)</f>
        <v>#N/A</v>
      </c>
      <c r="K762" s="33"/>
      <c r="L762" s="41" t="e">
        <f>IF(Tabela1716[[#This Row],[Total Construction Spending]]="",#N/A,((Tabela1716[[#This Row],[Total Construction Spending]]*1)/K750)-1)</f>
        <v>#N/A</v>
      </c>
      <c r="M762" s="31"/>
      <c r="N762" s="41" t="e">
        <f>IF(Tabela1716[[#This Row],[Existing Home Sales]]="",#N/A,((Tabela1716[[#This Row],[Existing Home Sales]]*1)/M750)-1)</f>
        <v>#N/A</v>
      </c>
      <c r="O762" s="33"/>
      <c r="P762" s="41" t="e">
        <f>IF(Tabela1716[[#This Row],[New House Sales]]="",#N/A,((Tabela1716[[#This Row],[New House Sales]]*1)/O761)-1)</f>
        <v>#N/A</v>
      </c>
      <c r="Q762" s="41" t="e">
        <f>IF(Tabela1716[[#This Row],[New House Sales]]="",#N/A,((Tabela1716[[#This Row],[New House Sales]]*1)/O750)-1)</f>
        <v>#N/A</v>
      </c>
      <c r="R762" s="27"/>
      <c r="S762" s="86"/>
      <c r="T762" s="41" t="e">
        <f>IF(Tabela1716[[#This Row],[S&amp;P/Case-Shiller Home Price Index]]="",#N/A,((Tabela1716[[#This Row],[S&amp;P/Case-Shiller Home Price Index]]*1)/S761)-1)</f>
        <v>#N/A</v>
      </c>
      <c r="U762" s="41" t="e">
        <f>IF(Tabela1716[[#This Row],[S&amp;P/Case-Shiller Home Price Index]]="",#N/A,((Tabela1716[[#This Row],[S&amp;P/Case-Shiller Home Price Index]]*1)/S750)-1)</f>
        <v>#N/A</v>
      </c>
      <c r="V762" s="37"/>
    </row>
    <row r="763" spans="1:24">
      <c r="A763" s="12">
        <v>45413</v>
      </c>
      <c r="B763" s="26"/>
      <c r="C763" s="29"/>
      <c r="D763" s="33"/>
      <c r="E763" s="41" t="e">
        <f>IF(Tabela1716[[#This Row],[Building Permits]]="",#N/A,((Tabela1716[[#This Row],[Building Permits]]*1)/D751)-1)</f>
        <v>#N/A</v>
      </c>
      <c r="F763" s="33"/>
      <c r="G763" s="41" t="e">
        <f>IF(Tabela1716[[#This Row],[Houses Under Construction]]="",#N/A,((Tabela1716[[#This Row],[Houses Under Construction]]*1)/F751)-1)</f>
        <v>#N/A</v>
      </c>
      <c r="H763" s="33"/>
      <c r="I763" s="33" t="e">
        <f>IF(Tabela1716[[#This Row],[Housing Starts]]="",#N/A,Tabela1716[[#This Row],[Housing Starts]]-H762)</f>
        <v>#N/A</v>
      </c>
      <c r="J763" s="41" t="e">
        <f>IF(Tabela1716[[#This Row],[Housing Starts]]="",#N/A,((Tabela1716[[#This Row],[Housing Starts]]*1)/H751)-1)</f>
        <v>#N/A</v>
      </c>
      <c r="K763" s="33"/>
      <c r="L763" s="41" t="e">
        <f>IF(Tabela1716[[#This Row],[Total Construction Spending]]="",#N/A,((Tabela1716[[#This Row],[Total Construction Spending]]*1)/K751)-1)</f>
        <v>#N/A</v>
      </c>
      <c r="M763" s="31"/>
      <c r="N763" s="41" t="e">
        <f>IF(Tabela1716[[#This Row],[Existing Home Sales]]="",#N/A,((Tabela1716[[#This Row],[Existing Home Sales]]*1)/M751)-1)</f>
        <v>#N/A</v>
      </c>
      <c r="O763" s="33"/>
      <c r="P763" s="41" t="e">
        <f>IF(Tabela1716[[#This Row],[New House Sales]]="",#N/A,((Tabela1716[[#This Row],[New House Sales]]*1)/O762)-1)</f>
        <v>#N/A</v>
      </c>
      <c r="Q763" s="41" t="e">
        <f>IF(Tabela1716[[#This Row],[New House Sales]]="",#N/A,((Tabela1716[[#This Row],[New House Sales]]*1)/O751)-1)</f>
        <v>#N/A</v>
      </c>
      <c r="R763" s="27"/>
      <c r="S763" s="86"/>
      <c r="T763" s="41" t="e">
        <f>IF(Tabela1716[[#This Row],[S&amp;P/Case-Shiller Home Price Index]]="",#N/A,((Tabela1716[[#This Row],[S&amp;P/Case-Shiller Home Price Index]]*1)/S762)-1)</f>
        <v>#N/A</v>
      </c>
      <c r="U763" s="41" t="e">
        <f>IF(Tabela1716[[#This Row],[S&amp;P/Case-Shiller Home Price Index]]="",#N/A,((Tabela1716[[#This Row],[S&amp;P/Case-Shiller Home Price Index]]*1)/S751)-1)</f>
        <v>#N/A</v>
      </c>
      <c r="V763" s="37"/>
    </row>
    <row r="764" spans="1:24">
      <c r="A764" s="12">
        <v>45444</v>
      </c>
      <c r="B764" s="26"/>
      <c r="C764" s="29"/>
      <c r="D764" s="33"/>
      <c r="E764" s="41" t="e">
        <f>IF(Tabela1716[[#This Row],[Building Permits]]="",#N/A,((Tabela1716[[#This Row],[Building Permits]]*1)/D752)-1)</f>
        <v>#N/A</v>
      </c>
      <c r="F764" s="33"/>
      <c r="G764" s="41" t="e">
        <f>IF(Tabela1716[[#This Row],[Houses Under Construction]]="",#N/A,((Tabela1716[[#This Row],[Houses Under Construction]]*1)/F752)-1)</f>
        <v>#N/A</v>
      </c>
      <c r="H764" s="33"/>
      <c r="I764" s="33" t="e">
        <f>IF(Tabela1716[[#This Row],[Housing Starts]]="",#N/A,Tabela1716[[#This Row],[Housing Starts]]-H763)</f>
        <v>#N/A</v>
      </c>
      <c r="J764" s="41" t="e">
        <f>IF(Tabela1716[[#This Row],[Housing Starts]]="",#N/A,((Tabela1716[[#This Row],[Housing Starts]]*1)/H752)-1)</f>
        <v>#N/A</v>
      </c>
      <c r="K764" s="33"/>
      <c r="L764" s="41" t="e">
        <f>IF(Tabela1716[[#This Row],[Total Construction Spending]]="",#N/A,((Tabela1716[[#This Row],[Total Construction Spending]]*1)/K752)-1)</f>
        <v>#N/A</v>
      </c>
      <c r="M764" s="31"/>
      <c r="N764" s="41" t="e">
        <f>IF(Tabela1716[[#This Row],[Existing Home Sales]]="",#N/A,((Tabela1716[[#This Row],[Existing Home Sales]]*1)/M752)-1)</f>
        <v>#N/A</v>
      </c>
      <c r="O764" s="33"/>
      <c r="P764" s="41" t="e">
        <f>IF(Tabela1716[[#This Row],[New House Sales]]="",#N/A,((Tabela1716[[#This Row],[New House Sales]]*1)/O763)-1)</f>
        <v>#N/A</v>
      </c>
      <c r="Q764" s="41" t="e">
        <f>IF(Tabela1716[[#This Row],[New House Sales]]="",#N/A,((Tabela1716[[#This Row],[New House Sales]]*1)/O752)-1)</f>
        <v>#N/A</v>
      </c>
      <c r="R764" s="27"/>
      <c r="S764" s="86"/>
      <c r="T764" s="41" t="e">
        <f>IF(Tabela1716[[#This Row],[S&amp;P/Case-Shiller Home Price Index]]="",#N/A,((Tabela1716[[#This Row],[S&amp;P/Case-Shiller Home Price Index]]*1)/S763)-1)</f>
        <v>#N/A</v>
      </c>
      <c r="U764" s="41" t="e">
        <f>IF(Tabela1716[[#This Row],[S&amp;P/Case-Shiller Home Price Index]]="",#N/A,((Tabela1716[[#This Row],[S&amp;P/Case-Shiller Home Price Index]]*1)/S752)-1)</f>
        <v>#N/A</v>
      </c>
      <c r="V764" s="37"/>
    </row>
    <row r="765" spans="1:24">
      <c r="A765" s="12">
        <v>45474</v>
      </c>
      <c r="B765" s="26"/>
      <c r="C765" s="29"/>
      <c r="D765" s="33"/>
      <c r="E765" s="41" t="e">
        <f>IF(Tabela1716[[#This Row],[Building Permits]]="",#N/A,((Tabela1716[[#This Row],[Building Permits]]*1)/D753)-1)</f>
        <v>#N/A</v>
      </c>
      <c r="F765" s="33"/>
      <c r="G765" s="41" t="e">
        <f>IF(Tabela1716[[#This Row],[Houses Under Construction]]="",#N/A,((Tabela1716[[#This Row],[Houses Under Construction]]*1)/F753)-1)</f>
        <v>#N/A</v>
      </c>
      <c r="H765" s="33"/>
      <c r="I765" s="33" t="e">
        <f>IF(Tabela1716[[#This Row],[Housing Starts]]="",#N/A,Tabela1716[[#This Row],[Housing Starts]]-H764)</f>
        <v>#N/A</v>
      </c>
      <c r="J765" s="41" t="e">
        <f>IF(Tabela1716[[#This Row],[Housing Starts]]="",#N/A,((Tabela1716[[#This Row],[Housing Starts]]*1)/H753)-1)</f>
        <v>#N/A</v>
      </c>
      <c r="K765" s="33"/>
      <c r="L765" s="41" t="e">
        <f>IF(Tabela1716[[#This Row],[Total Construction Spending]]="",#N/A,((Tabela1716[[#This Row],[Total Construction Spending]]*1)/K753)-1)</f>
        <v>#N/A</v>
      </c>
      <c r="M765" s="31"/>
      <c r="N765" s="41" t="e">
        <f>IF(Tabela1716[[#This Row],[Existing Home Sales]]="",#N/A,((Tabela1716[[#This Row],[Existing Home Sales]]*1)/M753)-1)</f>
        <v>#N/A</v>
      </c>
      <c r="O765" s="33"/>
      <c r="P765" s="41" t="e">
        <f>IF(Tabela1716[[#This Row],[New House Sales]]="",#N/A,((Tabela1716[[#This Row],[New House Sales]]*1)/O764)-1)</f>
        <v>#N/A</v>
      </c>
      <c r="Q765" s="41" t="e">
        <f>IF(Tabela1716[[#This Row],[New House Sales]]="",#N/A,((Tabela1716[[#This Row],[New House Sales]]*1)/O753)-1)</f>
        <v>#N/A</v>
      </c>
      <c r="R765" s="27"/>
      <c r="S765" s="86"/>
      <c r="T765" s="41" t="e">
        <f>IF(Tabela1716[[#This Row],[S&amp;P/Case-Shiller Home Price Index]]="",#N/A,((Tabela1716[[#This Row],[S&amp;P/Case-Shiller Home Price Index]]*1)/S764)-1)</f>
        <v>#N/A</v>
      </c>
      <c r="U765" s="41" t="e">
        <f>IF(Tabela1716[[#This Row],[S&amp;P/Case-Shiller Home Price Index]]="",#N/A,((Tabela1716[[#This Row],[S&amp;P/Case-Shiller Home Price Index]]*1)/S753)-1)</f>
        <v>#N/A</v>
      </c>
      <c r="V765" s="37"/>
    </row>
    <row r="766" spans="1:24">
      <c r="A766" s="12">
        <v>45505</v>
      </c>
      <c r="B766" s="26"/>
      <c r="C766" s="29"/>
      <c r="D766" s="33"/>
      <c r="E766" s="41" t="e">
        <f>IF(Tabela1716[[#This Row],[Building Permits]]="",#N/A,((Tabela1716[[#This Row],[Building Permits]]*1)/D754)-1)</f>
        <v>#N/A</v>
      </c>
      <c r="F766" s="33"/>
      <c r="G766" s="41" t="e">
        <f>IF(Tabela1716[[#This Row],[Houses Under Construction]]="",#N/A,((Tabela1716[[#This Row],[Houses Under Construction]]*1)/F754)-1)</f>
        <v>#N/A</v>
      </c>
      <c r="H766" s="33"/>
      <c r="I766" s="33" t="e">
        <f>IF(Tabela1716[[#This Row],[Housing Starts]]="",#N/A,Tabela1716[[#This Row],[Housing Starts]]-H765)</f>
        <v>#N/A</v>
      </c>
      <c r="J766" s="41" t="e">
        <f>IF(Tabela1716[[#This Row],[Housing Starts]]="",#N/A,((Tabela1716[[#This Row],[Housing Starts]]*1)/H754)-1)</f>
        <v>#N/A</v>
      </c>
      <c r="K766" s="33"/>
      <c r="L766" s="41" t="e">
        <f>IF(Tabela1716[[#This Row],[Total Construction Spending]]="",#N/A,((Tabela1716[[#This Row],[Total Construction Spending]]*1)/K754)-1)</f>
        <v>#N/A</v>
      </c>
      <c r="M766" s="31"/>
      <c r="N766" s="41" t="e">
        <f>IF(Tabela1716[[#This Row],[Existing Home Sales]]="",#N/A,((Tabela1716[[#This Row],[Existing Home Sales]]*1)/M754)-1)</f>
        <v>#N/A</v>
      </c>
      <c r="O766" s="33"/>
      <c r="P766" s="41" t="e">
        <f>IF(Tabela1716[[#This Row],[New House Sales]]="",#N/A,((Tabela1716[[#This Row],[New House Sales]]*1)/O765)-1)</f>
        <v>#N/A</v>
      </c>
      <c r="Q766" s="41" t="e">
        <f>IF(Tabela1716[[#This Row],[New House Sales]]="",#N/A,((Tabela1716[[#This Row],[New House Sales]]*1)/O754)-1)</f>
        <v>#N/A</v>
      </c>
      <c r="R766" s="27"/>
      <c r="S766" s="86"/>
      <c r="T766" s="41" t="e">
        <f>IF(Tabela1716[[#This Row],[S&amp;P/Case-Shiller Home Price Index]]="",#N/A,((Tabela1716[[#This Row],[S&amp;P/Case-Shiller Home Price Index]]*1)/S765)-1)</f>
        <v>#N/A</v>
      </c>
      <c r="U766" s="41" t="e">
        <f>IF(Tabela1716[[#This Row],[S&amp;P/Case-Shiller Home Price Index]]="",#N/A,((Tabela1716[[#This Row],[S&amp;P/Case-Shiller Home Price Index]]*1)/S754)-1)</f>
        <v>#N/A</v>
      </c>
      <c r="V766" s="37"/>
    </row>
    <row r="767" spans="1:24">
      <c r="A767" s="12">
        <v>45536</v>
      </c>
      <c r="B767" s="26"/>
      <c r="C767" s="29"/>
      <c r="D767" s="33"/>
      <c r="E767" s="41" t="e">
        <f>IF(Tabela1716[[#This Row],[Building Permits]]="",#N/A,((Tabela1716[[#This Row],[Building Permits]]*1)/D755)-1)</f>
        <v>#N/A</v>
      </c>
      <c r="F767" s="33"/>
      <c r="G767" s="41" t="e">
        <f>IF(Tabela1716[[#This Row],[Houses Under Construction]]="",#N/A,((Tabela1716[[#This Row],[Houses Under Construction]]*1)/F755)-1)</f>
        <v>#N/A</v>
      </c>
      <c r="H767" s="33"/>
      <c r="I767" s="33" t="e">
        <f>IF(Tabela1716[[#This Row],[Housing Starts]]="",#N/A,Tabela1716[[#This Row],[Housing Starts]]-H766)</f>
        <v>#N/A</v>
      </c>
      <c r="J767" s="41" t="e">
        <f>IF(Tabela1716[[#This Row],[Housing Starts]]="",#N/A,((Tabela1716[[#This Row],[Housing Starts]]*1)/H755)-1)</f>
        <v>#N/A</v>
      </c>
      <c r="K767" s="33"/>
      <c r="L767" s="41" t="e">
        <f>IF(Tabela1716[[#This Row],[Total Construction Spending]]="",#N/A,((Tabela1716[[#This Row],[Total Construction Spending]]*1)/K755)-1)</f>
        <v>#N/A</v>
      </c>
      <c r="M767" s="31"/>
      <c r="N767" s="41" t="e">
        <f>IF(Tabela1716[[#This Row],[Existing Home Sales]]="",#N/A,((Tabela1716[[#This Row],[Existing Home Sales]]*1)/M755)-1)</f>
        <v>#N/A</v>
      </c>
      <c r="O767" s="33"/>
      <c r="P767" s="41" t="e">
        <f>IF(Tabela1716[[#This Row],[New House Sales]]="",#N/A,((Tabela1716[[#This Row],[New House Sales]]*1)/O766)-1)</f>
        <v>#N/A</v>
      </c>
      <c r="Q767" s="41" t="e">
        <f>IF(Tabela1716[[#This Row],[New House Sales]]="",#N/A,((Tabela1716[[#This Row],[New House Sales]]*1)/O755)-1)</f>
        <v>#N/A</v>
      </c>
      <c r="R767" s="27"/>
      <c r="S767" s="86"/>
      <c r="T767" s="41" t="e">
        <f>IF(Tabela1716[[#This Row],[S&amp;P/Case-Shiller Home Price Index]]="",#N/A,((Tabela1716[[#This Row],[S&amp;P/Case-Shiller Home Price Index]]*1)/S766)-1)</f>
        <v>#N/A</v>
      </c>
      <c r="U767" s="41" t="e">
        <f>IF(Tabela1716[[#This Row],[S&amp;P/Case-Shiller Home Price Index]]="",#N/A,((Tabela1716[[#This Row],[S&amp;P/Case-Shiller Home Price Index]]*1)/S755)-1)</f>
        <v>#N/A</v>
      </c>
      <c r="V767" s="37"/>
    </row>
    <row r="768" spans="1:24">
      <c r="A768" s="12">
        <v>45566</v>
      </c>
      <c r="B768" s="26"/>
      <c r="C768" s="29"/>
      <c r="D768" s="33"/>
      <c r="E768" s="41" t="e">
        <f>IF(Tabela1716[[#This Row],[Building Permits]]="",#N/A,((Tabela1716[[#This Row],[Building Permits]]*1)/D756)-1)</f>
        <v>#N/A</v>
      </c>
      <c r="F768" s="33"/>
      <c r="G768" s="41" t="e">
        <f>IF(Tabela1716[[#This Row],[Houses Under Construction]]="",#N/A,((Tabela1716[[#This Row],[Houses Under Construction]]*1)/F756)-1)</f>
        <v>#N/A</v>
      </c>
      <c r="H768" s="33"/>
      <c r="I768" s="33" t="e">
        <f>IF(Tabela1716[[#This Row],[Housing Starts]]="",#N/A,Tabela1716[[#This Row],[Housing Starts]]-H767)</f>
        <v>#N/A</v>
      </c>
      <c r="J768" s="41" t="e">
        <f>IF(Tabela1716[[#This Row],[Housing Starts]]="",#N/A,((Tabela1716[[#This Row],[Housing Starts]]*1)/H756)-1)</f>
        <v>#N/A</v>
      </c>
      <c r="K768" s="33"/>
      <c r="L768" s="41" t="e">
        <f>IF(Tabela1716[[#This Row],[Total Construction Spending]]="",#N/A,((Tabela1716[[#This Row],[Total Construction Spending]]*1)/K756)-1)</f>
        <v>#N/A</v>
      </c>
      <c r="M768" s="31"/>
      <c r="N768" s="41" t="e">
        <f>IF(Tabela1716[[#This Row],[Existing Home Sales]]="",#N/A,((Tabela1716[[#This Row],[Existing Home Sales]]*1)/M756)-1)</f>
        <v>#N/A</v>
      </c>
      <c r="O768" s="33"/>
      <c r="P768" s="41" t="e">
        <f>IF(Tabela1716[[#This Row],[New House Sales]]="",#N/A,((Tabela1716[[#This Row],[New House Sales]]*1)/O767)-1)</f>
        <v>#N/A</v>
      </c>
      <c r="Q768" s="41" t="e">
        <f>IF(Tabela1716[[#This Row],[New House Sales]]="",#N/A,((Tabela1716[[#This Row],[New House Sales]]*1)/O756)-1)</f>
        <v>#N/A</v>
      </c>
      <c r="R768" s="27"/>
      <c r="S768" s="86"/>
      <c r="T768" s="41" t="e">
        <f>IF(Tabela1716[[#This Row],[S&amp;P/Case-Shiller Home Price Index]]="",#N/A,((Tabela1716[[#This Row],[S&amp;P/Case-Shiller Home Price Index]]*1)/S767)-1)</f>
        <v>#N/A</v>
      </c>
      <c r="U768" s="41" t="e">
        <f>IF(Tabela1716[[#This Row],[S&amp;P/Case-Shiller Home Price Index]]="",#N/A,((Tabela1716[[#This Row],[S&amp;P/Case-Shiller Home Price Index]]*1)/S756)-1)</f>
        <v>#N/A</v>
      </c>
      <c r="V768" s="37"/>
    </row>
    <row r="769" spans="1:22">
      <c r="A769" s="12">
        <v>45597</v>
      </c>
      <c r="B769" s="26"/>
      <c r="C769" s="29"/>
      <c r="D769" s="33"/>
      <c r="E769" s="41" t="e">
        <f>IF(Tabela1716[[#This Row],[Building Permits]]="",#N/A,((Tabela1716[[#This Row],[Building Permits]]*1)/D757)-1)</f>
        <v>#N/A</v>
      </c>
      <c r="F769" s="33"/>
      <c r="G769" s="41" t="e">
        <f>IF(Tabela1716[[#This Row],[Houses Under Construction]]="",#N/A,((Tabela1716[[#This Row],[Houses Under Construction]]*1)/F757)-1)</f>
        <v>#N/A</v>
      </c>
      <c r="H769" s="33"/>
      <c r="I769" s="33" t="e">
        <f>IF(Tabela1716[[#This Row],[Housing Starts]]="",#N/A,Tabela1716[[#This Row],[Housing Starts]]-H768)</f>
        <v>#N/A</v>
      </c>
      <c r="J769" s="41" t="e">
        <f>IF(Tabela1716[[#This Row],[Housing Starts]]="",#N/A,((Tabela1716[[#This Row],[Housing Starts]]*1)/H757)-1)</f>
        <v>#N/A</v>
      </c>
      <c r="K769" s="33"/>
      <c r="L769" s="41" t="e">
        <f>IF(Tabela1716[[#This Row],[Total Construction Spending]]="",#N/A,((Tabela1716[[#This Row],[Total Construction Spending]]*1)/K757)-1)</f>
        <v>#N/A</v>
      </c>
      <c r="M769" s="31"/>
      <c r="N769" s="41" t="e">
        <f>IF(Tabela1716[[#This Row],[Existing Home Sales]]="",#N/A,((Tabela1716[[#This Row],[Existing Home Sales]]*1)/M757)-1)</f>
        <v>#N/A</v>
      </c>
      <c r="O769" s="33"/>
      <c r="P769" s="41" t="e">
        <f>IF(Tabela1716[[#This Row],[New House Sales]]="",#N/A,((Tabela1716[[#This Row],[New House Sales]]*1)/O768)-1)</f>
        <v>#N/A</v>
      </c>
      <c r="Q769" s="41" t="e">
        <f>IF(Tabela1716[[#This Row],[New House Sales]]="",#N/A,((Tabela1716[[#This Row],[New House Sales]]*1)/O757)-1)</f>
        <v>#N/A</v>
      </c>
      <c r="R769" s="27"/>
      <c r="S769" s="86"/>
      <c r="T769" s="41" t="e">
        <f>IF(Tabela1716[[#This Row],[S&amp;P/Case-Shiller Home Price Index]]="",#N/A,((Tabela1716[[#This Row],[S&amp;P/Case-Shiller Home Price Index]]*1)/S768)-1)</f>
        <v>#N/A</v>
      </c>
      <c r="U769" s="41" t="e">
        <f>IF(Tabela1716[[#This Row],[S&amp;P/Case-Shiller Home Price Index]]="",#N/A,((Tabela1716[[#This Row],[S&amp;P/Case-Shiller Home Price Index]]*1)/S757)-1)</f>
        <v>#N/A</v>
      </c>
      <c r="V769" s="37"/>
    </row>
    <row r="770" spans="1:22">
      <c r="A770" s="12">
        <v>45627</v>
      </c>
      <c r="B770" s="26"/>
      <c r="C770" s="29"/>
      <c r="D770" s="33"/>
      <c r="E770" s="41" t="e">
        <f>IF(Tabela1716[[#This Row],[Building Permits]]="",#N/A,((Tabela1716[[#This Row],[Building Permits]]*1)/D758)-1)</f>
        <v>#N/A</v>
      </c>
      <c r="F770" s="33"/>
      <c r="G770" s="41" t="e">
        <f>IF(Tabela1716[[#This Row],[Houses Under Construction]]="",#N/A,((Tabela1716[[#This Row],[Houses Under Construction]]*1)/F758)-1)</f>
        <v>#N/A</v>
      </c>
      <c r="H770" s="33"/>
      <c r="I770" s="33" t="e">
        <f>IF(Tabela1716[[#This Row],[Housing Starts]]="",#N/A,Tabela1716[[#This Row],[Housing Starts]]-H769)</f>
        <v>#N/A</v>
      </c>
      <c r="J770" s="41" t="e">
        <f>IF(Tabela1716[[#This Row],[Housing Starts]]="",#N/A,((Tabela1716[[#This Row],[Housing Starts]]*1)/H758)-1)</f>
        <v>#N/A</v>
      </c>
      <c r="K770" s="33"/>
      <c r="L770" s="41" t="e">
        <f>IF(Tabela1716[[#This Row],[Total Construction Spending]]="",#N/A,((Tabela1716[[#This Row],[Total Construction Spending]]*1)/K758)-1)</f>
        <v>#N/A</v>
      </c>
      <c r="M770" s="31"/>
      <c r="N770" s="41" t="e">
        <f>IF(Tabela1716[[#This Row],[Existing Home Sales]]="",#N/A,((Tabela1716[[#This Row],[Existing Home Sales]]*1)/M758)-1)</f>
        <v>#N/A</v>
      </c>
      <c r="O770" s="33"/>
      <c r="P770" s="41" t="e">
        <f>IF(Tabela1716[[#This Row],[New House Sales]]="",#N/A,((Tabela1716[[#This Row],[New House Sales]]*1)/O769)-1)</f>
        <v>#N/A</v>
      </c>
      <c r="Q770" s="41" t="e">
        <f>IF(Tabela1716[[#This Row],[New House Sales]]="",#N/A,((Tabela1716[[#This Row],[New House Sales]]*1)/O758)-1)</f>
        <v>#N/A</v>
      </c>
      <c r="R770" s="27"/>
      <c r="S770" s="86"/>
      <c r="T770" s="41" t="e">
        <f>IF(Tabela1716[[#This Row],[S&amp;P/Case-Shiller Home Price Index]]="",#N/A,((Tabela1716[[#This Row],[S&amp;P/Case-Shiller Home Price Index]]*1)/S769)-1)</f>
        <v>#N/A</v>
      </c>
      <c r="U770" s="41" t="e">
        <f>IF(Tabela1716[[#This Row],[S&amp;P/Case-Shiller Home Price Index]]="",#N/A,((Tabela1716[[#This Row],[S&amp;P/Case-Shiller Home Price Index]]*1)/S758)-1)</f>
        <v>#N/A</v>
      </c>
      <c r="V770" s="37"/>
    </row>
    <row r="771" spans="1:22">
      <c r="A771" s="12"/>
      <c r="B771" s="26"/>
      <c r="C771" s="29"/>
      <c r="D771" s="33"/>
      <c r="E771" s="41"/>
      <c r="F771" s="33"/>
      <c r="G771" s="41"/>
      <c r="H771" s="33"/>
      <c r="I771" s="33"/>
      <c r="J771" s="41"/>
      <c r="K771" s="33"/>
      <c r="L771" s="41"/>
      <c r="M771" s="31"/>
      <c r="N771" s="41"/>
      <c r="O771" s="33"/>
      <c r="P771" s="41"/>
      <c r="Q771" s="41"/>
      <c r="R771" s="27"/>
      <c r="S771" s="34"/>
      <c r="T771" s="41"/>
      <c r="U771" s="41"/>
      <c r="V771" s="37"/>
    </row>
    <row r="772" spans="1:22">
      <c r="A772" s="12"/>
      <c r="B772" s="26"/>
      <c r="C772" s="29"/>
      <c r="D772" s="33"/>
      <c r="E772" s="41"/>
      <c r="F772" s="33"/>
      <c r="G772" s="41"/>
      <c r="H772" s="33"/>
      <c r="I772" s="33"/>
      <c r="J772" s="41"/>
      <c r="K772" s="33"/>
      <c r="L772" s="41"/>
      <c r="M772" s="31"/>
      <c r="N772" s="41"/>
      <c r="O772" s="33"/>
      <c r="P772" s="41"/>
      <c r="Q772" s="41"/>
      <c r="R772" s="27"/>
      <c r="S772" s="34"/>
      <c r="T772" s="41"/>
      <c r="U772" s="41"/>
      <c r="V772" s="37"/>
    </row>
    <row r="773" spans="1:22">
      <c r="A773" s="12"/>
      <c r="B773" s="26"/>
      <c r="C773" s="29"/>
      <c r="D773" s="33"/>
      <c r="E773" s="41"/>
      <c r="F773" s="33"/>
      <c r="G773" s="41"/>
      <c r="H773" s="33"/>
      <c r="I773" s="33"/>
      <c r="J773" s="41"/>
      <c r="K773" s="33"/>
      <c r="L773" s="41"/>
      <c r="M773" s="31"/>
      <c r="N773" s="41"/>
      <c r="O773" s="33"/>
      <c r="P773" s="41"/>
      <c r="Q773" s="41"/>
      <c r="R773" s="27"/>
      <c r="S773" s="34"/>
      <c r="T773" s="41"/>
      <c r="U773" s="41"/>
      <c r="V773" s="37"/>
    </row>
  </sheetData>
  <phoneticPr fontId="2" type="noConversion"/>
  <hyperlinks>
    <hyperlink ref="B1" r:id="rId1" xr:uid="{4EB957E7-4843-4249-9200-14284F8C1BDE}"/>
    <hyperlink ref="C1" r:id="rId2" xr:uid="{616BF0BF-37AD-47F1-AB92-6157C02AE1C8}"/>
    <hyperlink ref="D1" r:id="rId3" xr:uid="{D2C21E2F-50A4-4B3F-88C1-3B98AA0AF74A}"/>
    <hyperlink ref="F1" r:id="rId4" xr:uid="{46B11DBA-7FCE-4429-BA73-0137C7C3540A}"/>
    <hyperlink ref="K1" r:id="rId5" xr:uid="{EC599866-3317-4B3E-AAB7-787DA84C835D}"/>
    <hyperlink ref="H1" r:id="rId6" xr:uid="{26887877-B965-4F10-BEE7-5BA0C6CDD476}"/>
    <hyperlink ref="S1" r:id="rId7" xr:uid="{A9D2516C-C4BA-403B-8FB2-245E43347FB2}"/>
    <hyperlink ref="R1" r:id="rId8" xr:uid="{B7AE8326-4120-48B7-9A77-830E65E3B2A3}"/>
    <hyperlink ref="M1" r:id="rId9" xr:uid="{9361F38B-1DDE-4046-B51E-5C779D0D1D6D}"/>
    <hyperlink ref="V1" r:id="rId10" xr:uid="{3B559AAE-C37A-44E9-A10C-CACF30B81980}"/>
    <hyperlink ref="O1" r:id="rId11" xr:uid="{F488AE13-CA36-4384-9444-554D05B0A3A9}"/>
  </hyperlinks>
  <pageMargins left="0.511811024" right="0.511811024" top="0.78740157499999996" bottom="0.78740157499999996" header="0.31496062000000002" footer="0.31496062000000002"/>
  <pageSetup paperSize="9" orientation="portrait" r:id="rId12"/>
  <tableParts count="1">
    <tablePart r:id="rId1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6E57C-FBEE-46F7-A5AD-8CF163537F6E}">
  <sheetPr codeName="Planilha4"/>
  <dimension ref="B1:AJ147"/>
  <sheetViews>
    <sheetView showGridLines="0" zoomScale="85" zoomScaleNormal="85" workbookViewId="0">
      <pane xSplit="6" ySplit="3" topLeftCell="G28" activePane="bottomRight" state="frozen"/>
      <selection pane="topRight" activeCell="G1" sqref="G1"/>
      <selection pane="bottomLeft" activeCell="A4" sqref="A4"/>
      <selection pane="bottomRight" activeCell="B33" sqref="B33:F60"/>
    </sheetView>
  </sheetViews>
  <sheetFormatPr defaultRowHeight="15"/>
  <cols>
    <col min="1" max="1" width="1.7109375" customWidth="1"/>
    <col min="7" max="7" width="1.7109375" customWidth="1"/>
  </cols>
  <sheetData>
    <row r="1" spans="2:36" s="79" customFormat="1"/>
    <row r="2" spans="2:36" s="79" customFormat="1" ht="15" customHeight="1">
      <c r="B2" s="109"/>
      <c r="C2" s="80"/>
      <c r="D2" s="109" t="s">
        <v>64</v>
      </c>
      <c r="E2" s="109"/>
      <c r="F2" s="10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2:36" s="79" customFormat="1" ht="15" customHeight="1">
      <c r="B3" s="109"/>
      <c r="C3" s="80"/>
      <c r="D3" s="109"/>
      <c r="E3" s="109"/>
      <c r="F3" s="109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</row>
    <row r="4" spans="2:36" ht="15" customHeight="1">
      <c r="B4" s="94"/>
      <c r="C4" s="95"/>
      <c r="D4" s="95"/>
      <c r="E4" s="95"/>
      <c r="F4" s="96"/>
    </row>
    <row r="5" spans="2:36">
      <c r="B5" s="94"/>
      <c r="C5" s="95"/>
      <c r="D5" s="95"/>
      <c r="E5" s="95"/>
      <c r="F5" s="96"/>
    </row>
    <row r="6" spans="2:36">
      <c r="B6" s="94"/>
      <c r="C6" s="95"/>
      <c r="D6" s="95"/>
      <c r="E6" s="95"/>
      <c r="F6" s="96"/>
    </row>
    <row r="7" spans="2:36">
      <c r="B7" s="94"/>
      <c r="C7" s="95"/>
      <c r="D7" s="95"/>
      <c r="E7" s="95"/>
      <c r="F7" s="96"/>
    </row>
    <row r="8" spans="2:36">
      <c r="B8" s="94"/>
      <c r="C8" s="95"/>
      <c r="D8" s="95"/>
      <c r="E8" s="95"/>
      <c r="F8" s="96"/>
    </row>
    <row r="9" spans="2:36">
      <c r="B9" s="94"/>
      <c r="C9" s="95"/>
      <c r="D9" s="95"/>
      <c r="E9" s="95"/>
      <c r="F9" s="96"/>
    </row>
    <row r="10" spans="2:36">
      <c r="B10" s="94"/>
      <c r="C10" s="95"/>
      <c r="D10" s="95"/>
      <c r="E10" s="95"/>
      <c r="F10" s="96"/>
    </row>
    <row r="11" spans="2:36">
      <c r="B11" s="94"/>
      <c r="C11" s="95"/>
      <c r="D11" s="95"/>
      <c r="E11" s="95"/>
      <c r="F11" s="96"/>
    </row>
    <row r="12" spans="2:36">
      <c r="B12" s="94"/>
      <c r="C12" s="95"/>
      <c r="D12" s="95"/>
      <c r="E12" s="95"/>
      <c r="F12" s="96"/>
    </row>
    <row r="13" spans="2:36">
      <c r="B13" s="94"/>
      <c r="C13" s="95"/>
      <c r="D13" s="95"/>
      <c r="E13" s="95"/>
      <c r="F13" s="96"/>
    </row>
    <row r="14" spans="2:36">
      <c r="B14" s="94"/>
      <c r="C14" s="95"/>
      <c r="D14" s="95"/>
      <c r="E14" s="95"/>
      <c r="F14" s="96"/>
    </row>
    <row r="15" spans="2:36">
      <c r="B15" s="94"/>
      <c r="C15" s="95"/>
      <c r="D15" s="95"/>
      <c r="E15" s="95"/>
      <c r="F15" s="96"/>
    </row>
    <row r="16" spans="2:36">
      <c r="B16" s="94"/>
      <c r="C16" s="95"/>
      <c r="D16" s="95"/>
      <c r="E16" s="95"/>
      <c r="F16" s="96"/>
    </row>
    <row r="17" spans="2:6">
      <c r="B17" s="94"/>
      <c r="C17" s="95"/>
      <c r="D17" s="95"/>
      <c r="E17" s="95"/>
      <c r="F17" s="96"/>
    </row>
    <row r="18" spans="2:6">
      <c r="B18" s="94"/>
      <c r="C18" s="95"/>
      <c r="D18" s="95"/>
      <c r="E18" s="95"/>
      <c r="F18" s="96"/>
    </row>
    <row r="19" spans="2:6">
      <c r="B19" s="94"/>
      <c r="C19" s="95"/>
      <c r="D19" s="95"/>
      <c r="E19" s="95"/>
      <c r="F19" s="96"/>
    </row>
    <row r="20" spans="2:6">
      <c r="B20" s="94"/>
      <c r="C20" s="95"/>
      <c r="D20" s="95"/>
      <c r="E20" s="95"/>
      <c r="F20" s="96"/>
    </row>
    <row r="21" spans="2:6">
      <c r="B21" s="94"/>
      <c r="C21" s="95"/>
      <c r="D21" s="95"/>
      <c r="E21" s="95"/>
      <c r="F21" s="96"/>
    </row>
    <row r="22" spans="2:6">
      <c r="B22" s="94"/>
      <c r="C22" s="95"/>
      <c r="D22" s="95"/>
      <c r="E22" s="95"/>
      <c r="F22" s="96"/>
    </row>
    <row r="23" spans="2:6">
      <c r="B23" s="94"/>
      <c r="C23" s="95"/>
      <c r="D23" s="95"/>
      <c r="E23" s="95"/>
      <c r="F23" s="96"/>
    </row>
    <row r="24" spans="2:6">
      <c r="B24" s="94"/>
      <c r="C24" s="95"/>
      <c r="D24" s="95"/>
      <c r="E24" s="95"/>
      <c r="F24" s="96"/>
    </row>
    <row r="25" spans="2:6">
      <c r="B25" s="94"/>
      <c r="C25" s="95"/>
      <c r="D25" s="95"/>
      <c r="E25" s="95"/>
      <c r="F25" s="96"/>
    </row>
    <row r="26" spans="2:6">
      <c r="B26" s="94"/>
      <c r="C26" s="95"/>
      <c r="D26" s="95"/>
      <c r="E26" s="95"/>
      <c r="F26" s="96"/>
    </row>
    <row r="27" spans="2:6">
      <c r="B27" s="94"/>
      <c r="C27" s="95"/>
      <c r="D27" s="95"/>
      <c r="E27" s="95"/>
      <c r="F27" s="96"/>
    </row>
    <row r="28" spans="2:6">
      <c r="B28" s="94"/>
      <c r="C28" s="95"/>
      <c r="D28" s="95"/>
      <c r="E28" s="95"/>
      <c r="F28" s="96"/>
    </row>
    <row r="29" spans="2:6">
      <c r="B29" s="94"/>
      <c r="C29" s="95"/>
      <c r="D29" s="95"/>
      <c r="E29" s="95"/>
      <c r="F29" s="96"/>
    </row>
    <row r="30" spans="2:6">
      <c r="B30" s="94"/>
      <c r="C30" s="95"/>
      <c r="D30" s="95"/>
      <c r="E30" s="95"/>
      <c r="F30" s="96"/>
    </row>
    <row r="31" spans="2:6">
      <c r="B31" s="97"/>
      <c r="C31" s="98"/>
      <c r="D31" s="98"/>
      <c r="E31" s="98"/>
      <c r="F31" s="99"/>
    </row>
    <row r="33" spans="2:6" ht="15" customHeight="1">
      <c r="B33" s="91"/>
      <c r="C33" s="92"/>
      <c r="D33" s="92"/>
      <c r="E33" s="92"/>
      <c r="F33" s="93"/>
    </row>
    <row r="34" spans="2:6">
      <c r="B34" s="94"/>
      <c r="C34" s="95"/>
      <c r="D34" s="95"/>
      <c r="E34" s="95"/>
      <c r="F34" s="96"/>
    </row>
    <row r="35" spans="2:6">
      <c r="B35" s="94"/>
      <c r="C35" s="95"/>
      <c r="D35" s="95"/>
      <c r="E35" s="95"/>
      <c r="F35" s="96"/>
    </row>
    <row r="36" spans="2:6">
      <c r="B36" s="94"/>
      <c r="C36" s="95"/>
      <c r="D36" s="95"/>
      <c r="E36" s="95"/>
      <c r="F36" s="96"/>
    </row>
    <row r="37" spans="2:6">
      <c r="B37" s="94"/>
      <c r="C37" s="95"/>
      <c r="D37" s="95"/>
      <c r="E37" s="95"/>
      <c r="F37" s="96"/>
    </row>
    <row r="38" spans="2:6">
      <c r="B38" s="94"/>
      <c r="C38" s="95"/>
      <c r="D38" s="95"/>
      <c r="E38" s="95"/>
      <c r="F38" s="96"/>
    </row>
    <row r="39" spans="2:6">
      <c r="B39" s="94"/>
      <c r="C39" s="95"/>
      <c r="D39" s="95"/>
      <c r="E39" s="95"/>
      <c r="F39" s="96"/>
    </row>
    <row r="40" spans="2:6">
      <c r="B40" s="94"/>
      <c r="C40" s="95"/>
      <c r="D40" s="95"/>
      <c r="E40" s="95"/>
      <c r="F40" s="96"/>
    </row>
    <row r="41" spans="2:6">
      <c r="B41" s="94"/>
      <c r="C41" s="95"/>
      <c r="D41" s="95"/>
      <c r="E41" s="95"/>
      <c r="F41" s="96"/>
    </row>
    <row r="42" spans="2:6">
      <c r="B42" s="94"/>
      <c r="C42" s="95"/>
      <c r="D42" s="95"/>
      <c r="E42" s="95"/>
      <c r="F42" s="96"/>
    </row>
    <row r="43" spans="2:6">
      <c r="B43" s="94"/>
      <c r="C43" s="95"/>
      <c r="D43" s="95"/>
      <c r="E43" s="95"/>
      <c r="F43" s="96"/>
    </row>
    <row r="44" spans="2:6">
      <c r="B44" s="94"/>
      <c r="C44" s="95"/>
      <c r="D44" s="95"/>
      <c r="E44" s="95"/>
      <c r="F44" s="96"/>
    </row>
    <row r="45" spans="2:6">
      <c r="B45" s="94"/>
      <c r="C45" s="95"/>
      <c r="D45" s="95"/>
      <c r="E45" s="95"/>
      <c r="F45" s="96"/>
    </row>
    <row r="46" spans="2:6">
      <c r="B46" s="94"/>
      <c r="C46" s="95"/>
      <c r="D46" s="95"/>
      <c r="E46" s="95"/>
      <c r="F46" s="96"/>
    </row>
    <row r="47" spans="2:6">
      <c r="B47" s="94"/>
      <c r="C47" s="95"/>
      <c r="D47" s="95"/>
      <c r="E47" s="95"/>
      <c r="F47" s="96"/>
    </row>
    <row r="48" spans="2:6">
      <c r="B48" s="94"/>
      <c r="C48" s="95"/>
      <c r="D48" s="95"/>
      <c r="E48" s="95"/>
      <c r="F48" s="96"/>
    </row>
    <row r="49" spans="2:6">
      <c r="B49" s="94"/>
      <c r="C49" s="95"/>
      <c r="D49" s="95"/>
      <c r="E49" s="95"/>
      <c r="F49" s="96"/>
    </row>
    <row r="50" spans="2:6">
      <c r="B50" s="94"/>
      <c r="C50" s="95"/>
      <c r="D50" s="95"/>
      <c r="E50" s="95"/>
      <c r="F50" s="96"/>
    </row>
    <row r="51" spans="2:6">
      <c r="B51" s="94"/>
      <c r="C51" s="95"/>
      <c r="D51" s="95"/>
      <c r="E51" s="95"/>
      <c r="F51" s="96"/>
    </row>
    <row r="52" spans="2:6">
      <c r="B52" s="94"/>
      <c r="C52" s="95"/>
      <c r="D52" s="95"/>
      <c r="E52" s="95"/>
      <c r="F52" s="96"/>
    </row>
    <row r="53" spans="2:6">
      <c r="B53" s="94"/>
      <c r="C53" s="95"/>
      <c r="D53" s="95"/>
      <c r="E53" s="95"/>
      <c r="F53" s="96"/>
    </row>
    <row r="54" spans="2:6">
      <c r="B54" s="94"/>
      <c r="C54" s="95"/>
      <c r="D54" s="95"/>
      <c r="E54" s="95"/>
      <c r="F54" s="96"/>
    </row>
    <row r="55" spans="2:6">
      <c r="B55" s="94"/>
      <c r="C55" s="95"/>
      <c r="D55" s="95"/>
      <c r="E55" s="95"/>
      <c r="F55" s="96"/>
    </row>
    <row r="56" spans="2:6">
      <c r="B56" s="94"/>
      <c r="C56" s="95"/>
      <c r="D56" s="95"/>
      <c r="E56" s="95"/>
      <c r="F56" s="96"/>
    </row>
    <row r="57" spans="2:6">
      <c r="B57" s="94"/>
      <c r="C57" s="95"/>
      <c r="D57" s="95"/>
      <c r="E57" s="95"/>
      <c r="F57" s="96"/>
    </row>
    <row r="58" spans="2:6">
      <c r="B58" s="94"/>
      <c r="C58" s="95"/>
      <c r="D58" s="95"/>
      <c r="E58" s="95"/>
      <c r="F58" s="96"/>
    </row>
    <row r="59" spans="2:6">
      <c r="B59" s="94"/>
      <c r="C59" s="95"/>
      <c r="D59" s="95"/>
      <c r="E59" s="95"/>
      <c r="F59" s="96"/>
    </row>
    <row r="60" spans="2:6">
      <c r="B60" s="97"/>
      <c r="C60" s="98"/>
      <c r="D60" s="98"/>
      <c r="E60" s="98"/>
      <c r="F60" s="99"/>
    </row>
    <row r="62" spans="2:6">
      <c r="B62" s="91" t="s">
        <v>136</v>
      </c>
      <c r="C62" s="92"/>
      <c r="D62" s="92"/>
      <c r="E62" s="92"/>
      <c r="F62" s="93"/>
    </row>
    <row r="63" spans="2:6">
      <c r="B63" s="94"/>
      <c r="C63" s="95"/>
      <c r="D63" s="95"/>
      <c r="E63" s="95"/>
      <c r="F63" s="96"/>
    </row>
    <row r="64" spans="2:6">
      <c r="B64" s="94"/>
      <c r="C64" s="95"/>
      <c r="D64" s="95"/>
      <c r="E64" s="95"/>
      <c r="F64" s="96"/>
    </row>
    <row r="65" spans="2:6">
      <c r="B65" s="94"/>
      <c r="C65" s="95"/>
      <c r="D65" s="95"/>
      <c r="E65" s="95"/>
      <c r="F65" s="96"/>
    </row>
    <row r="66" spans="2:6">
      <c r="B66" s="94"/>
      <c r="C66" s="95"/>
      <c r="D66" s="95"/>
      <c r="E66" s="95"/>
      <c r="F66" s="96"/>
    </row>
    <row r="67" spans="2:6">
      <c r="B67" s="94"/>
      <c r="C67" s="95"/>
      <c r="D67" s="95"/>
      <c r="E67" s="95"/>
      <c r="F67" s="96"/>
    </row>
    <row r="68" spans="2:6">
      <c r="B68" s="94"/>
      <c r="C68" s="95"/>
      <c r="D68" s="95"/>
      <c r="E68" s="95"/>
      <c r="F68" s="96"/>
    </row>
    <row r="69" spans="2:6">
      <c r="B69" s="94"/>
      <c r="C69" s="95"/>
      <c r="D69" s="95"/>
      <c r="E69" s="95"/>
      <c r="F69" s="96"/>
    </row>
    <row r="70" spans="2:6">
      <c r="B70" s="94"/>
      <c r="C70" s="95"/>
      <c r="D70" s="95"/>
      <c r="E70" s="95"/>
      <c r="F70" s="96"/>
    </row>
    <row r="71" spans="2:6">
      <c r="B71" s="94"/>
      <c r="C71" s="95"/>
      <c r="D71" s="95"/>
      <c r="E71" s="95"/>
      <c r="F71" s="96"/>
    </row>
    <row r="72" spans="2:6">
      <c r="B72" s="94"/>
      <c r="C72" s="95"/>
      <c r="D72" s="95"/>
      <c r="E72" s="95"/>
      <c r="F72" s="96"/>
    </row>
    <row r="73" spans="2:6">
      <c r="B73" s="94"/>
      <c r="C73" s="95"/>
      <c r="D73" s="95"/>
      <c r="E73" s="95"/>
      <c r="F73" s="96"/>
    </row>
    <row r="74" spans="2:6">
      <c r="B74" s="94"/>
      <c r="C74" s="95"/>
      <c r="D74" s="95"/>
      <c r="E74" s="95"/>
      <c r="F74" s="96"/>
    </row>
    <row r="75" spans="2:6">
      <c r="B75" s="94"/>
      <c r="C75" s="95"/>
      <c r="D75" s="95"/>
      <c r="E75" s="95"/>
      <c r="F75" s="96"/>
    </row>
    <row r="76" spans="2:6">
      <c r="B76" s="94"/>
      <c r="C76" s="95"/>
      <c r="D76" s="95"/>
      <c r="E76" s="95"/>
      <c r="F76" s="96"/>
    </row>
    <row r="77" spans="2:6">
      <c r="B77" s="94"/>
      <c r="C77" s="95"/>
      <c r="D77" s="95"/>
      <c r="E77" s="95"/>
      <c r="F77" s="96"/>
    </row>
    <row r="78" spans="2:6">
      <c r="B78" s="94"/>
      <c r="C78" s="95"/>
      <c r="D78" s="95"/>
      <c r="E78" s="95"/>
      <c r="F78" s="96"/>
    </row>
    <row r="79" spans="2:6">
      <c r="B79" s="94"/>
      <c r="C79" s="95"/>
      <c r="D79" s="95"/>
      <c r="E79" s="95"/>
      <c r="F79" s="96"/>
    </row>
    <row r="80" spans="2:6">
      <c r="B80" s="94"/>
      <c r="C80" s="95"/>
      <c r="D80" s="95"/>
      <c r="E80" s="95"/>
      <c r="F80" s="96"/>
    </row>
    <row r="81" spans="2:6">
      <c r="B81" s="94"/>
      <c r="C81" s="95"/>
      <c r="D81" s="95"/>
      <c r="E81" s="95"/>
      <c r="F81" s="96"/>
    </row>
    <row r="82" spans="2:6">
      <c r="B82" s="94"/>
      <c r="C82" s="95"/>
      <c r="D82" s="95"/>
      <c r="E82" s="95"/>
      <c r="F82" s="96"/>
    </row>
    <row r="83" spans="2:6">
      <c r="B83" s="94"/>
      <c r="C83" s="95"/>
      <c r="D83" s="95"/>
      <c r="E83" s="95"/>
      <c r="F83" s="96"/>
    </row>
    <row r="84" spans="2:6">
      <c r="B84" s="94"/>
      <c r="C84" s="95"/>
      <c r="D84" s="95"/>
      <c r="E84" s="95"/>
      <c r="F84" s="96"/>
    </row>
    <row r="85" spans="2:6">
      <c r="B85" s="94"/>
      <c r="C85" s="95"/>
      <c r="D85" s="95"/>
      <c r="E85" s="95"/>
      <c r="F85" s="96"/>
    </row>
    <row r="86" spans="2:6">
      <c r="B86" s="94"/>
      <c r="C86" s="95"/>
      <c r="D86" s="95"/>
      <c r="E86" s="95"/>
      <c r="F86" s="96"/>
    </row>
    <row r="87" spans="2:6">
      <c r="B87" s="94"/>
      <c r="C87" s="95"/>
      <c r="D87" s="95"/>
      <c r="E87" s="95"/>
      <c r="F87" s="96"/>
    </row>
    <row r="88" spans="2:6">
      <c r="B88" s="94"/>
      <c r="C88" s="95"/>
      <c r="D88" s="95"/>
      <c r="E88" s="95"/>
      <c r="F88" s="96"/>
    </row>
    <row r="89" spans="2:6">
      <c r="B89" s="97"/>
      <c r="C89" s="98"/>
      <c r="D89" s="98"/>
      <c r="E89" s="98"/>
      <c r="F89" s="99"/>
    </row>
    <row r="91" spans="2:6">
      <c r="B91" s="91"/>
      <c r="C91" s="92"/>
      <c r="D91" s="92"/>
      <c r="E91" s="92"/>
      <c r="F91" s="93"/>
    </row>
    <row r="92" spans="2:6">
      <c r="B92" s="94"/>
      <c r="C92" s="95"/>
      <c r="D92" s="95"/>
      <c r="E92" s="95"/>
      <c r="F92" s="96"/>
    </row>
    <row r="93" spans="2:6">
      <c r="B93" s="94"/>
      <c r="C93" s="95"/>
      <c r="D93" s="95"/>
      <c r="E93" s="95"/>
      <c r="F93" s="96"/>
    </row>
    <row r="94" spans="2:6">
      <c r="B94" s="94"/>
      <c r="C94" s="95"/>
      <c r="D94" s="95"/>
      <c r="E94" s="95"/>
      <c r="F94" s="96"/>
    </row>
    <row r="95" spans="2:6">
      <c r="B95" s="94"/>
      <c r="C95" s="95"/>
      <c r="D95" s="95"/>
      <c r="E95" s="95"/>
      <c r="F95" s="96"/>
    </row>
    <row r="96" spans="2:6">
      <c r="B96" s="94"/>
      <c r="C96" s="95"/>
      <c r="D96" s="95"/>
      <c r="E96" s="95"/>
      <c r="F96" s="96"/>
    </row>
    <row r="97" spans="2:6">
      <c r="B97" s="94"/>
      <c r="C97" s="95"/>
      <c r="D97" s="95"/>
      <c r="E97" s="95"/>
      <c r="F97" s="96"/>
    </row>
    <row r="98" spans="2:6">
      <c r="B98" s="94"/>
      <c r="C98" s="95"/>
      <c r="D98" s="95"/>
      <c r="E98" s="95"/>
      <c r="F98" s="96"/>
    </row>
    <row r="99" spans="2:6">
      <c r="B99" s="94"/>
      <c r="C99" s="95"/>
      <c r="D99" s="95"/>
      <c r="E99" s="95"/>
      <c r="F99" s="96"/>
    </row>
    <row r="100" spans="2:6">
      <c r="B100" s="94"/>
      <c r="C100" s="95"/>
      <c r="D100" s="95"/>
      <c r="E100" s="95"/>
      <c r="F100" s="96"/>
    </row>
    <row r="101" spans="2:6">
      <c r="B101" s="94"/>
      <c r="C101" s="95"/>
      <c r="D101" s="95"/>
      <c r="E101" s="95"/>
      <c r="F101" s="96"/>
    </row>
    <row r="102" spans="2:6">
      <c r="B102" s="94"/>
      <c r="C102" s="95"/>
      <c r="D102" s="95"/>
      <c r="E102" s="95"/>
      <c r="F102" s="96"/>
    </row>
    <row r="103" spans="2:6">
      <c r="B103" s="94"/>
      <c r="C103" s="95"/>
      <c r="D103" s="95"/>
      <c r="E103" s="95"/>
      <c r="F103" s="96"/>
    </row>
    <row r="104" spans="2:6">
      <c r="B104" s="94"/>
      <c r="C104" s="95"/>
      <c r="D104" s="95"/>
      <c r="E104" s="95"/>
      <c r="F104" s="96"/>
    </row>
    <row r="105" spans="2:6">
      <c r="B105" s="94"/>
      <c r="C105" s="95"/>
      <c r="D105" s="95"/>
      <c r="E105" s="95"/>
      <c r="F105" s="96"/>
    </row>
    <row r="106" spans="2:6">
      <c r="B106" s="94"/>
      <c r="C106" s="95"/>
      <c r="D106" s="95"/>
      <c r="E106" s="95"/>
      <c r="F106" s="96"/>
    </row>
    <row r="107" spans="2:6">
      <c r="B107" s="94"/>
      <c r="C107" s="95"/>
      <c r="D107" s="95"/>
      <c r="E107" s="95"/>
      <c r="F107" s="96"/>
    </row>
    <row r="108" spans="2:6">
      <c r="B108" s="94"/>
      <c r="C108" s="95"/>
      <c r="D108" s="95"/>
      <c r="E108" s="95"/>
      <c r="F108" s="96"/>
    </row>
    <row r="109" spans="2:6">
      <c r="B109" s="94"/>
      <c r="C109" s="95"/>
      <c r="D109" s="95"/>
      <c r="E109" s="95"/>
      <c r="F109" s="96"/>
    </row>
    <row r="110" spans="2:6">
      <c r="B110" s="94"/>
      <c r="C110" s="95"/>
      <c r="D110" s="95"/>
      <c r="E110" s="95"/>
      <c r="F110" s="96"/>
    </row>
    <row r="111" spans="2:6">
      <c r="B111" s="94"/>
      <c r="C111" s="95"/>
      <c r="D111" s="95"/>
      <c r="E111" s="95"/>
      <c r="F111" s="96"/>
    </row>
    <row r="112" spans="2:6">
      <c r="B112" s="94"/>
      <c r="C112" s="95"/>
      <c r="D112" s="95"/>
      <c r="E112" s="95"/>
      <c r="F112" s="96"/>
    </row>
    <row r="113" spans="2:6">
      <c r="B113" s="94"/>
      <c r="C113" s="95"/>
      <c r="D113" s="95"/>
      <c r="E113" s="95"/>
      <c r="F113" s="96"/>
    </row>
    <row r="114" spans="2:6">
      <c r="B114" s="94"/>
      <c r="C114" s="95"/>
      <c r="D114" s="95"/>
      <c r="E114" s="95"/>
      <c r="F114" s="96"/>
    </row>
    <row r="115" spans="2:6">
      <c r="B115" s="94"/>
      <c r="C115" s="95"/>
      <c r="D115" s="95"/>
      <c r="E115" s="95"/>
      <c r="F115" s="96"/>
    </row>
    <row r="116" spans="2:6">
      <c r="B116" s="94"/>
      <c r="C116" s="95"/>
      <c r="D116" s="95"/>
      <c r="E116" s="95"/>
      <c r="F116" s="96"/>
    </row>
    <row r="117" spans="2:6">
      <c r="B117" s="94"/>
      <c r="C117" s="95"/>
      <c r="D117" s="95"/>
      <c r="E117" s="95"/>
      <c r="F117" s="96"/>
    </row>
    <row r="118" spans="2:6">
      <c r="B118" s="97"/>
      <c r="C118" s="98"/>
      <c r="D118" s="98"/>
      <c r="E118" s="98"/>
      <c r="F118" s="99"/>
    </row>
    <row r="120" spans="2:6">
      <c r="B120" s="100" t="s">
        <v>171</v>
      </c>
      <c r="C120" s="101"/>
      <c r="D120" s="101"/>
      <c r="E120" s="101"/>
      <c r="F120" s="102"/>
    </row>
    <row r="121" spans="2:6">
      <c r="B121" s="103"/>
      <c r="C121" s="104"/>
      <c r="D121" s="104"/>
      <c r="E121" s="104"/>
      <c r="F121" s="105"/>
    </row>
    <row r="122" spans="2:6">
      <c r="B122" s="103"/>
      <c r="C122" s="104"/>
      <c r="D122" s="104"/>
      <c r="E122" s="104"/>
      <c r="F122" s="105"/>
    </row>
    <row r="123" spans="2:6">
      <c r="B123" s="103"/>
      <c r="C123" s="104"/>
      <c r="D123" s="104"/>
      <c r="E123" s="104"/>
      <c r="F123" s="105"/>
    </row>
    <row r="124" spans="2:6">
      <c r="B124" s="103"/>
      <c r="C124" s="104"/>
      <c r="D124" s="104"/>
      <c r="E124" s="104"/>
      <c r="F124" s="105"/>
    </row>
    <row r="125" spans="2:6">
      <c r="B125" s="103"/>
      <c r="C125" s="104"/>
      <c r="D125" s="104"/>
      <c r="E125" s="104"/>
      <c r="F125" s="105"/>
    </row>
    <row r="126" spans="2:6">
      <c r="B126" s="103"/>
      <c r="C126" s="104"/>
      <c r="D126" s="104"/>
      <c r="E126" s="104"/>
      <c r="F126" s="105"/>
    </row>
    <row r="127" spans="2:6">
      <c r="B127" s="103"/>
      <c r="C127" s="104"/>
      <c r="D127" s="104"/>
      <c r="E127" s="104"/>
      <c r="F127" s="105"/>
    </row>
    <row r="128" spans="2:6">
      <c r="B128" s="103"/>
      <c r="C128" s="104"/>
      <c r="D128" s="104"/>
      <c r="E128" s="104"/>
      <c r="F128" s="105"/>
    </row>
    <row r="129" spans="2:6">
      <c r="B129" s="103"/>
      <c r="C129" s="104"/>
      <c r="D129" s="104"/>
      <c r="E129" s="104"/>
      <c r="F129" s="105"/>
    </row>
    <row r="130" spans="2:6">
      <c r="B130" s="103"/>
      <c r="C130" s="104"/>
      <c r="D130" s="104"/>
      <c r="E130" s="104"/>
      <c r="F130" s="105"/>
    </row>
    <row r="131" spans="2:6">
      <c r="B131" s="103"/>
      <c r="C131" s="104"/>
      <c r="D131" s="104"/>
      <c r="E131" s="104"/>
      <c r="F131" s="105"/>
    </row>
    <row r="132" spans="2:6">
      <c r="B132" s="103"/>
      <c r="C132" s="104"/>
      <c r="D132" s="104"/>
      <c r="E132" s="104"/>
      <c r="F132" s="105"/>
    </row>
    <row r="133" spans="2:6">
      <c r="B133" s="103"/>
      <c r="C133" s="104"/>
      <c r="D133" s="104"/>
      <c r="E133" s="104"/>
      <c r="F133" s="105"/>
    </row>
    <row r="134" spans="2:6">
      <c r="B134" s="103"/>
      <c r="C134" s="104"/>
      <c r="D134" s="104"/>
      <c r="E134" s="104"/>
      <c r="F134" s="105"/>
    </row>
    <row r="135" spans="2:6">
      <c r="B135" s="103"/>
      <c r="C135" s="104"/>
      <c r="D135" s="104"/>
      <c r="E135" s="104"/>
      <c r="F135" s="105"/>
    </row>
    <row r="136" spans="2:6">
      <c r="B136" s="103"/>
      <c r="C136" s="104"/>
      <c r="D136" s="104"/>
      <c r="E136" s="104"/>
      <c r="F136" s="105"/>
    </row>
    <row r="137" spans="2:6">
      <c r="B137" s="103"/>
      <c r="C137" s="104"/>
      <c r="D137" s="104"/>
      <c r="E137" s="104"/>
      <c r="F137" s="105"/>
    </row>
    <row r="138" spans="2:6">
      <c r="B138" s="103"/>
      <c r="C138" s="104"/>
      <c r="D138" s="104"/>
      <c r="E138" s="104"/>
      <c r="F138" s="105"/>
    </row>
    <row r="139" spans="2:6">
      <c r="B139" s="103"/>
      <c r="C139" s="104"/>
      <c r="D139" s="104"/>
      <c r="E139" s="104"/>
      <c r="F139" s="105"/>
    </row>
    <row r="140" spans="2:6">
      <c r="B140" s="103"/>
      <c r="C140" s="104"/>
      <c r="D140" s="104"/>
      <c r="E140" s="104"/>
      <c r="F140" s="105"/>
    </row>
    <row r="141" spans="2:6">
      <c r="B141" s="103"/>
      <c r="C141" s="104"/>
      <c r="D141" s="104"/>
      <c r="E141" s="104"/>
      <c r="F141" s="105"/>
    </row>
    <row r="142" spans="2:6">
      <c r="B142" s="103"/>
      <c r="C142" s="104"/>
      <c r="D142" s="104"/>
      <c r="E142" s="104"/>
      <c r="F142" s="105"/>
    </row>
    <row r="143" spans="2:6">
      <c r="B143" s="103"/>
      <c r="C143" s="104"/>
      <c r="D143" s="104"/>
      <c r="E143" s="104"/>
      <c r="F143" s="105"/>
    </row>
    <row r="144" spans="2:6">
      <c r="B144" s="103"/>
      <c r="C144" s="104"/>
      <c r="D144" s="104"/>
      <c r="E144" s="104"/>
      <c r="F144" s="105"/>
    </row>
    <row r="145" spans="2:6">
      <c r="B145" s="103"/>
      <c r="C145" s="104"/>
      <c r="D145" s="104"/>
      <c r="E145" s="104"/>
      <c r="F145" s="105"/>
    </row>
    <row r="146" spans="2:6">
      <c r="B146" s="103"/>
      <c r="C146" s="104"/>
      <c r="D146" s="104"/>
      <c r="E146" s="104"/>
      <c r="F146" s="105"/>
    </row>
    <row r="147" spans="2:6">
      <c r="B147" s="106"/>
      <c r="C147" s="107"/>
      <c r="D147" s="107"/>
      <c r="E147" s="107"/>
      <c r="F147" s="108"/>
    </row>
  </sheetData>
  <mergeCells count="7">
    <mergeCell ref="B33:F60"/>
    <mergeCell ref="B62:F89"/>
    <mergeCell ref="B120:F147"/>
    <mergeCell ref="B4:F31"/>
    <mergeCell ref="D2:F3"/>
    <mergeCell ref="B2:B3"/>
    <mergeCell ref="B91:F118"/>
  </mergeCells>
  <pageMargins left="0.511811024" right="0.511811024" top="0.78740157499999996" bottom="0.78740157499999996" header="0.31496062000000002" footer="0.31496062000000002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CD1F0-6A5C-425F-BC27-950F6CF8B540}">
  <sheetPr codeName="Planilha6">
    <tabColor rgb="FFC00000"/>
  </sheetPr>
  <dimension ref="A1:AB566"/>
  <sheetViews>
    <sheetView showGridLines="0" zoomScaleNormal="100" workbookViewId="0">
      <pane xSplit="1" ySplit="2" topLeftCell="B529" activePane="bottomRight" state="frozen"/>
      <selection activeCell="I37" sqref="I37"/>
      <selection pane="topRight" activeCell="I37" sqref="I37"/>
      <selection pane="bottomLeft" activeCell="I37" sqref="I37"/>
      <selection pane="bottomRight" activeCell="Z554" sqref="Z554"/>
    </sheetView>
  </sheetViews>
  <sheetFormatPr defaultRowHeight="12.75"/>
  <cols>
    <col min="1" max="1" width="9.85546875" style="5" customWidth="1"/>
    <col min="2" max="3" width="7.5703125" style="5" bestFit="1" customWidth="1"/>
    <col min="4" max="4" width="8.42578125" style="5" customWidth="1"/>
    <col min="5" max="5" width="9.5703125" style="5" bestFit="1" customWidth="1"/>
    <col min="6" max="6" width="14.85546875" style="5" customWidth="1"/>
    <col min="7" max="7" width="12.5703125" style="5" bestFit="1" customWidth="1"/>
    <col min="8" max="9" width="9.7109375" style="5" bestFit="1" customWidth="1"/>
    <col min="10" max="13" width="9.7109375" style="9" bestFit="1" customWidth="1"/>
    <col min="14" max="17" width="9.7109375" style="9" customWidth="1"/>
    <col min="18" max="19" width="10.28515625" style="9" bestFit="1" customWidth="1"/>
    <col min="20" max="20" width="17.28515625" style="9" bestFit="1" customWidth="1"/>
    <col min="21" max="27" width="12.85546875" style="9" customWidth="1"/>
    <col min="28" max="28" width="12.85546875" style="5" customWidth="1"/>
    <col min="29" max="29" width="31.85546875" style="5" customWidth="1"/>
    <col min="30" max="30" width="7.28515625" style="5" customWidth="1"/>
    <col min="31" max="31" width="7.85546875" style="5" customWidth="1"/>
    <col min="32" max="32" width="7.28515625" style="5" customWidth="1"/>
    <col min="33" max="33" width="7.85546875" style="5" customWidth="1"/>
    <col min="34" max="34" width="7.28515625" style="5" customWidth="1"/>
    <col min="35" max="35" width="7.85546875" style="5" customWidth="1"/>
    <col min="36" max="39" width="7.28515625" style="5" customWidth="1"/>
    <col min="40" max="40" width="7.85546875" style="5" customWidth="1"/>
    <col min="41" max="42" width="7.28515625" style="5" customWidth="1"/>
    <col min="43" max="43" width="7.85546875" style="5" customWidth="1"/>
    <col min="44" max="45" width="7.28515625" style="5" customWidth="1"/>
    <col min="46" max="46" width="7.85546875" style="5" customWidth="1"/>
    <col min="47" max="47" width="7.28515625" style="5" customWidth="1"/>
    <col min="48" max="48" width="7.85546875" style="5" customWidth="1"/>
    <col min="49" max="16384" width="9.140625" style="5"/>
  </cols>
  <sheetData>
    <row r="1" spans="1:28">
      <c r="B1" s="20" t="s">
        <v>2</v>
      </c>
      <c r="C1" s="20"/>
      <c r="D1" s="20"/>
      <c r="E1" s="20" t="s">
        <v>2</v>
      </c>
      <c r="F1" s="20"/>
      <c r="H1" s="20" t="s">
        <v>2</v>
      </c>
      <c r="I1" s="20"/>
      <c r="K1" s="20" t="s">
        <v>2</v>
      </c>
      <c r="L1" s="20"/>
      <c r="M1" s="20"/>
      <c r="N1" s="20" t="s">
        <v>2</v>
      </c>
      <c r="O1" s="20"/>
      <c r="P1" s="20"/>
      <c r="Q1" s="20" t="s">
        <v>2</v>
      </c>
      <c r="T1" s="20" t="s">
        <v>2</v>
      </c>
      <c r="U1" s="20"/>
      <c r="V1" s="20"/>
      <c r="W1" s="20"/>
      <c r="X1" s="20"/>
      <c r="Y1" s="20"/>
      <c r="Z1" s="20"/>
      <c r="AA1" s="20"/>
    </row>
    <row r="2" spans="1:28" ht="30" customHeight="1">
      <c r="A2" s="18" t="s">
        <v>23</v>
      </c>
      <c r="B2" s="18" t="s">
        <v>54</v>
      </c>
      <c r="C2" s="18" t="s">
        <v>79</v>
      </c>
      <c r="D2" s="18" t="s">
        <v>80</v>
      </c>
      <c r="E2" s="18" t="s">
        <v>9</v>
      </c>
      <c r="F2" s="18" t="s">
        <v>81</v>
      </c>
      <c r="G2" s="18" t="s">
        <v>82</v>
      </c>
      <c r="H2" s="18" t="s">
        <v>10</v>
      </c>
      <c r="I2" s="18" t="s">
        <v>83</v>
      </c>
      <c r="J2" s="18" t="s">
        <v>84</v>
      </c>
      <c r="K2" s="18" t="s">
        <v>62</v>
      </c>
      <c r="L2" s="18" t="s">
        <v>85</v>
      </c>
      <c r="M2" s="18" t="s">
        <v>86</v>
      </c>
      <c r="N2" s="18" t="s">
        <v>164</v>
      </c>
      <c r="O2" s="18" t="s">
        <v>165</v>
      </c>
      <c r="P2" s="18" t="s">
        <v>166</v>
      </c>
      <c r="Q2" s="18" t="s">
        <v>63</v>
      </c>
      <c r="R2" s="18" t="s">
        <v>87</v>
      </c>
      <c r="S2" s="18" t="s">
        <v>88</v>
      </c>
      <c r="T2" s="18" t="s">
        <v>27</v>
      </c>
      <c r="U2" s="19" t="s">
        <v>37</v>
      </c>
      <c r="V2" s="19" t="s">
        <v>139</v>
      </c>
      <c r="W2" s="19" t="s">
        <v>467</v>
      </c>
      <c r="X2" s="19" t="s">
        <v>38</v>
      </c>
      <c r="Y2" s="19" t="s">
        <v>140</v>
      </c>
      <c r="Z2" s="19" t="s">
        <v>468</v>
      </c>
      <c r="AA2" s="19" t="s">
        <v>149</v>
      </c>
      <c r="AB2" s="19" t="s">
        <v>469</v>
      </c>
    </row>
    <row r="3" spans="1:28">
      <c r="A3" s="6">
        <v>28491</v>
      </c>
      <c r="B3" s="36"/>
      <c r="C3" s="36"/>
      <c r="D3" s="35"/>
      <c r="E3" s="7">
        <v>47.760399999999997</v>
      </c>
      <c r="F3" s="8"/>
      <c r="G3" s="8"/>
      <c r="H3" s="7"/>
      <c r="I3" s="25"/>
      <c r="J3" s="25"/>
      <c r="K3" s="25"/>
      <c r="L3" s="25"/>
      <c r="M3" s="25"/>
      <c r="N3" s="25"/>
      <c r="O3" s="25"/>
      <c r="P3" s="25"/>
      <c r="Q3" s="25"/>
      <c r="R3" s="25"/>
      <c r="S3" s="25"/>
      <c r="T3" s="5">
        <v>83.7</v>
      </c>
      <c r="U3" s="5"/>
      <c r="V3" s="5"/>
      <c r="W3" s="25"/>
      <c r="X3" s="25"/>
      <c r="Y3" s="25"/>
      <c r="Z3" s="25"/>
      <c r="AA3" s="25"/>
      <c r="AB3" s="25"/>
    </row>
    <row r="4" spans="1:28">
      <c r="A4" s="6">
        <v>28522</v>
      </c>
      <c r="B4" s="36"/>
      <c r="C4" s="36"/>
      <c r="D4" s="35"/>
      <c r="E4" s="7">
        <v>48.027099999999997</v>
      </c>
      <c r="F4" s="8">
        <f>IF(Tabela1511[[#This Row],[Industrial Production]]="",#N/A,((Tabela1511[[#This Row],[Industrial Production]]*1)/E3)-1)</f>
        <v>5.5841240860630137E-3</v>
      </c>
      <c r="G4" s="8"/>
      <c r="H4" s="7"/>
      <c r="I4" s="25"/>
      <c r="J4" s="25"/>
      <c r="K4" s="25"/>
      <c r="L4" s="25"/>
      <c r="M4" s="25"/>
      <c r="N4" s="25"/>
      <c r="O4" s="25"/>
      <c r="P4" s="25"/>
      <c r="Q4" s="25"/>
      <c r="R4" s="25"/>
      <c r="S4" s="25"/>
      <c r="T4" s="5">
        <v>84.3</v>
      </c>
      <c r="U4" s="5"/>
      <c r="V4" s="5"/>
      <c r="W4" s="25"/>
      <c r="X4" s="25"/>
      <c r="Y4" s="25"/>
      <c r="Z4" s="25"/>
      <c r="AA4" s="25"/>
      <c r="AB4" s="25"/>
    </row>
    <row r="5" spans="1:28">
      <c r="A5" s="6">
        <v>28550</v>
      </c>
      <c r="B5" s="36"/>
      <c r="C5" s="36"/>
      <c r="D5" s="35"/>
      <c r="E5" s="7">
        <v>48.945900000000002</v>
      </c>
      <c r="F5" s="8">
        <f>IF(Tabela1511[[#This Row],[Industrial Production]]="",#N/A,((Tabela1511[[#This Row],[Industrial Production]]*1)/E4)-1)</f>
        <v>1.9130865698741006E-2</v>
      </c>
      <c r="G5" s="8"/>
      <c r="H5" s="7"/>
      <c r="I5" s="25"/>
      <c r="J5" s="25"/>
      <c r="K5" s="25"/>
      <c r="L5" s="25"/>
      <c r="M5" s="25"/>
      <c r="N5" s="25"/>
      <c r="O5" s="25"/>
      <c r="P5" s="25"/>
      <c r="Q5" s="25"/>
      <c r="R5" s="25"/>
      <c r="S5" s="25"/>
      <c r="T5" s="5">
        <v>78.8</v>
      </c>
      <c r="U5" s="5"/>
      <c r="V5" s="5"/>
      <c r="W5" s="25"/>
      <c r="X5" s="25"/>
      <c r="Y5" s="25"/>
      <c r="Z5" s="25"/>
      <c r="AA5" s="25"/>
      <c r="AB5" s="25"/>
    </row>
    <row r="6" spans="1:28">
      <c r="A6" s="6">
        <v>28581</v>
      </c>
      <c r="B6" s="36"/>
      <c r="C6" s="36"/>
      <c r="D6" s="35"/>
      <c r="E6" s="7">
        <v>49.919800000000002</v>
      </c>
      <c r="F6" s="8">
        <f>IF(Tabela1511[[#This Row],[Industrial Production]]="",#N/A,((Tabela1511[[#This Row],[Industrial Production]]*1)/E5)-1)</f>
        <v>1.9897478644789413E-2</v>
      </c>
      <c r="G6" s="8"/>
      <c r="H6" s="7"/>
      <c r="I6" s="25"/>
      <c r="J6" s="25"/>
      <c r="K6" s="25"/>
      <c r="L6" s="25"/>
      <c r="M6" s="25"/>
      <c r="N6" s="25"/>
      <c r="O6" s="25"/>
      <c r="P6" s="25"/>
      <c r="Q6" s="25"/>
      <c r="R6" s="25"/>
      <c r="S6" s="25"/>
      <c r="T6" s="5">
        <v>81.599999999999994</v>
      </c>
      <c r="U6" s="5"/>
      <c r="V6" s="5"/>
      <c r="W6" s="25"/>
      <c r="X6" s="25"/>
      <c r="Y6" s="25"/>
      <c r="Z6" s="25"/>
      <c r="AA6" s="25"/>
      <c r="AB6" s="25"/>
    </row>
    <row r="7" spans="1:28">
      <c r="A7" s="6">
        <v>28611</v>
      </c>
      <c r="B7" s="36"/>
      <c r="C7" s="36"/>
      <c r="D7" s="35"/>
      <c r="E7" s="7">
        <v>50.160200000000003</v>
      </c>
      <c r="F7" s="8">
        <f>IF(Tabela1511[[#This Row],[Industrial Production]]="",#N/A,((Tabela1511[[#This Row],[Industrial Production]]*1)/E6)-1)</f>
        <v>4.8157244219728668E-3</v>
      </c>
      <c r="G7" s="8"/>
      <c r="H7" s="7"/>
      <c r="I7" s="25"/>
      <c r="J7" s="25"/>
      <c r="K7" s="25"/>
      <c r="L7" s="25"/>
      <c r="M7" s="25"/>
      <c r="N7" s="25"/>
      <c r="O7" s="25"/>
      <c r="P7" s="25"/>
      <c r="Q7" s="25"/>
      <c r="R7" s="25"/>
      <c r="S7" s="25"/>
      <c r="T7" s="5">
        <v>82.9</v>
      </c>
      <c r="U7" s="5"/>
      <c r="V7" s="5"/>
      <c r="W7" s="25"/>
      <c r="X7" s="25"/>
      <c r="Y7" s="25"/>
      <c r="Z7" s="25"/>
      <c r="AA7" s="25"/>
      <c r="AB7" s="25"/>
    </row>
    <row r="8" spans="1:28">
      <c r="A8" s="6">
        <v>28642</v>
      </c>
      <c r="B8" s="36"/>
      <c r="C8" s="36"/>
      <c r="D8" s="35"/>
      <c r="E8" s="7">
        <v>50.482599999999998</v>
      </c>
      <c r="F8" s="8">
        <f>IF(Tabela1511[[#This Row],[Industrial Production]]="",#N/A,((Tabela1511[[#This Row],[Industrial Production]]*1)/E7)-1)</f>
        <v>6.4274065892877541E-3</v>
      </c>
      <c r="G8" s="8"/>
      <c r="H8" s="7"/>
      <c r="I8" s="25"/>
      <c r="J8" s="25"/>
      <c r="K8" s="25"/>
      <c r="L8" s="25"/>
      <c r="M8" s="25"/>
      <c r="N8" s="25"/>
      <c r="O8" s="25"/>
      <c r="P8" s="25"/>
      <c r="Q8" s="25"/>
      <c r="R8" s="25"/>
      <c r="S8" s="25"/>
      <c r="T8" s="5">
        <v>80</v>
      </c>
      <c r="U8" s="5"/>
      <c r="V8" s="5"/>
      <c r="W8" s="25"/>
      <c r="X8" s="25"/>
      <c r="Y8" s="25"/>
      <c r="Z8" s="25"/>
      <c r="AA8" s="25"/>
      <c r="AB8" s="25"/>
    </row>
    <row r="9" spans="1:28">
      <c r="A9" s="6">
        <v>28672</v>
      </c>
      <c r="B9" s="36"/>
      <c r="C9" s="36"/>
      <c r="D9" s="35"/>
      <c r="E9" s="7">
        <v>50.446399999999997</v>
      </c>
      <c r="F9" s="8">
        <f>IF(Tabela1511[[#This Row],[Industrial Production]]="",#N/A,((Tabela1511[[#This Row],[Industrial Production]]*1)/E8)-1)</f>
        <v>-7.1707875584858805E-4</v>
      </c>
      <c r="G9" s="8"/>
      <c r="H9" s="7"/>
      <c r="I9" s="25"/>
      <c r="J9" s="25"/>
      <c r="K9" s="25"/>
      <c r="L9" s="25"/>
      <c r="M9" s="25"/>
      <c r="N9" s="25"/>
      <c r="O9" s="25"/>
      <c r="P9" s="25"/>
      <c r="Q9" s="25"/>
      <c r="R9" s="25"/>
      <c r="S9" s="25"/>
      <c r="T9" s="5">
        <v>82.4</v>
      </c>
      <c r="U9" s="5"/>
      <c r="V9" s="5"/>
      <c r="W9" s="25"/>
      <c r="X9" s="25"/>
      <c r="Y9" s="25"/>
      <c r="Z9" s="25"/>
      <c r="AA9" s="25"/>
      <c r="AB9" s="25"/>
    </row>
    <row r="10" spans="1:28">
      <c r="A10" s="6">
        <v>28703</v>
      </c>
      <c r="B10" s="36"/>
      <c r="C10" s="36"/>
      <c r="D10" s="35"/>
      <c r="E10" s="7">
        <v>50.653100000000002</v>
      </c>
      <c r="F10" s="8">
        <f>IF(Tabela1511[[#This Row],[Industrial Production]]="",#N/A,((Tabela1511[[#This Row],[Industrial Production]]*1)/E9)-1)</f>
        <v>4.0974182498652034E-3</v>
      </c>
      <c r="G10" s="8"/>
      <c r="H10" s="7"/>
      <c r="I10" s="25"/>
      <c r="J10" s="25"/>
      <c r="K10" s="25"/>
      <c r="L10" s="25"/>
      <c r="M10" s="25"/>
      <c r="N10" s="25"/>
      <c r="O10" s="25"/>
      <c r="P10" s="25"/>
      <c r="Q10" s="25"/>
      <c r="R10" s="25"/>
      <c r="S10" s="25"/>
      <c r="T10" s="5">
        <v>78.400000000000006</v>
      </c>
      <c r="U10" s="5"/>
      <c r="V10" s="5"/>
      <c r="W10" s="25"/>
      <c r="X10" s="25"/>
      <c r="Y10" s="25"/>
      <c r="Z10" s="25"/>
      <c r="AA10" s="25"/>
      <c r="AB10" s="25"/>
    </row>
    <row r="11" spans="1:28">
      <c r="A11" s="6">
        <v>28734</v>
      </c>
      <c r="B11" s="36"/>
      <c r="C11" s="36"/>
      <c r="D11" s="35"/>
      <c r="E11" s="7">
        <v>50.772399999999998</v>
      </c>
      <c r="F11" s="8">
        <f>IF(Tabela1511[[#This Row],[Industrial Production]]="",#N/A,((Tabela1511[[#This Row],[Industrial Production]]*1)/E10)-1)</f>
        <v>2.3552359085623475E-3</v>
      </c>
      <c r="G11" s="8"/>
      <c r="H11" s="7"/>
      <c r="I11" s="25"/>
      <c r="J11" s="25"/>
      <c r="K11" s="25"/>
      <c r="L11" s="25"/>
      <c r="M11" s="25"/>
      <c r="N11" s="25"/>
      <c r="O11" s="25"/>
      <c r="P11" s="25"/>
      <c r="Q11" s="25"/>
      <c r="R11" s="25"/>
      <c r="S11" s="25"/>
      <c r="T11" s="5">
        <v>80.400000000000006</v>
      </c>
      <c r="U11" s="5"/>
      <c r="V11" s="5"/>
      <c r="W11" s="25"/>
      <c r="X11" s="25"/>
      <c r="Y11" s="25"/>
      <c r="Z11" s="25"/>
      <c r="AA11" s="25"/>
      <c r="AB11" s="25"/>
    </row>
    <row r="12" spans="1:28">
      <c r="A12" s="6">
        <v>28764</v>
      </c>
      <c r="B12" s="36"/>
      <c r="C12" s="36"/>
      <c r="D12" s="35"/>
      <c r="E12" s="7">
        <v>51.164900000000003</v>
      </c>
      <c r="F12" s="8">
        <f>IF(Tabela1511[[#This Row],[Industrial Production]]="",#N/A,((Tabela1511[[#This Row],[Industrial Production]]*1)/E11)-1)</f>
        <v>7.7305780305836347E-3</v>
      </c>
      <c r="G12" s="8"/>
      <c r="H12" s="7"/>
      <c r="I12" s="25"/>
      <c r="J12" s="25"/>
      <c r="K12" s="25"/>
      <c r="L12" s="25"/>
      <c r="M12" s="25"/>
      <c r="N12" s="25"/>
      <c r="O12" s="25"/>
      <c r="P12" s="25"/>
      <c r="Q12" s="25"/>
      <c r="R12" s="25"/>
      <c r="S12" s="25"/>
      <c r="T12" s="5">
        <v>79.3</v>
      </c>
      <c r="U12" s="5"/>
      <c r="V12" s="5"/>
      <c r="W12" s="25"/>
      <c r="X12" s="25"/>
      <c r="Y12" s="25"/>
      <c r="Z12" s="25"/>
      <c r="AA12" s="25"/>
      <c r="AB12" s="25"/>
    </row>
    <row r="13" spans="1:28">
      <c r="A13" s="6">
        <v>28795</v>
      </c>
      <c r="B13" s="36"/>
      <c r="C13" s="36"/>
      <c r="D13" s="35"/>
      <c r="E13" s="7">
        <v>51.558199999999999</v>
      </c>
      <c r="F13" s="8">
        <f>IF(Tabela1511[[#This Row],[Industrial Production]]="",#N/A,((Tabela1511[[#This Row],[Industrial Production]]*1)/E12)-1)</f>
        <v>7.6869103623773416E-3</v>
      </c>
      <c r="G13" s="8"/>
      <c r="H13" s="7"/>
      <c r="I13" s="25"/>
      <c r="J13" s="25"/>
      <c r="K13" s="25"/>
      <c r="L13" s="25"/>
      <c r="M13" s="25"/>
      <c r="N13" s="25"/>
      <c r="O13" s="25"/>
      <c r="P13" s="25"/>
      <c r="Q13" s="25"/>
      <c r="R13" s="25"/>
      <c r="S13" s="25"/>
      <c r="T13" s="5">
        <v>75</v>
      </c>
      <c r="U13" s="5"/>
      <c r="V13" s="5"/>
      <c r="W13" s="25"/>
      <c r="X13" s="25"/>
      <c r="Y13" s="25"/>
      <c r="Z13" s="25"/>
      <c r="AA13" s="25"/>
      <c r="AB13" s="25"/>
    </row>
    <row r="14" spans="1:28">
      <c r="A14" s="6">
        <v>28825</v>
      </c>
      <c r="B14" s="36"/>
      <c r="C14" s="36"/>
      <c r="D14" s="35"/>
      <c r="E14" s="7">
        <v>51.815300000000001</v>
      </c>
      <c r="F14" s="8">
        <f>IF(Tabela1511[[#This Row],[Industrial Production]]="",#N/A,((Tabela1511[[#This Row],[Industrial Production]]*1)/E13)-1)</f>
        <v>4.9865976702057058E-3</v>
      </c>
      <c r="G14" s="8"/>
      <c r="H14" s="7"/>
      <c r="I14" s="25"/>
      <c r="J14" s="25"/>
      <c r="K14" s="25"/>
      <c r="L14" s="25"/>
      <c r="M14" s="25"/>
      <c r="N14" s="25"/>
      <c r="O14" s="25"/>
      <c r="P14" s="25"/>
      <c r="Q14" s="25"/>
      <c r="R14" s="25"/>
      <c r="S14" s="25"/>
      <c r="T14" s="5">
        <v>66.099999999999994</v>
      </c>
      <c r="U14" s="5"/>
      <c r="V14" s="5"/>
      <c r="W14" s="25"/>
      <c r="X14" s="25"/>
      <c r="Y14" s="25"/>
      <c r="Z14" s="25"/>
      <c r="AA14" s="25"/>
      <c r="AB14" s="25"/>
    </row>
    <row r="15" spans="1:28">
      <c r="A15" s="6">
        <v>28856</v>
      </c>
      <c r="B15" s="36"/>
      <c r="C15" s="36"/>
      <c r="D15" s="35"/>
      <c r="E15" s="7">
        <v>51.535899999999998</v>
      </c>
      <c r="F15" s="8">
        <f>IF(Tabela1511[[#This Row],[Industrial Production]]="",#N/A,((Tabela1511[[#This Row],[Industrial Production]]*1)/E14)-1)</f>
        <v>-5.392229708213625E-3</v>
      </c>
      <c r="G15" s="8">
        <f>IF(Tabela1511[[#This Row],[Industrial Production]]="",#N/A,((Tabela1511[[#This Row],[Industrial Production]]*1)/E3)-1)</f>
        <v>7.9050845470306053E-2</v>
      </c>
      <c r="H15" s="7"/>
      <c r="I15" s="25"/>
      <c r="J15" s="25"/>
      <c r="K15" s="25"/>
      <c r="L15" s="25"/>
      <c r="M15" s="25"/>
      <c r="N15" s="25"/>
      <c r="O15" s="25"/>
      <c r="P15" s="25"/>
      <c r="Q15" s="25"/>
      <c r="R15" s="25"/>
      <c r="S15" s="25"/>
      <c r="T15" s="5">
        <v>72.099999999999994</v>
      </c>
      <c r="U15" s="5"/>
      <c r="V15" s="5"/>
      <c r="W15" s="25"/>
      <c r="X15" s="25"/>
      <c r="Y15" s="25"/>
      <c r="Z15" s="25"/>
      <c r="AA15" s="25"/>
      <c r="AB15" s="25"/>
    </row>
    <row r="16" spans="1:28">
      <c r="A16" s="6">
        <v>28887</v>
      </c>
      <c r="B16" s="36"/>
      <c r="C16" s="36"/>
      <c r="D16" s="35"/>
      <c r="E16" s="7">
        <v>51.799399999999999</v>
      </c>
      <c r="F16" s="8">
        <f>IF(Tabela1511[[#This Row],[Industrial Production]]="",#N/A,((Tabela1511[[#This Row],[Industrial Production]]*1)/E15)-1)</f>
        <v>5.1129406879475425E-3</v>
      </c>
      <c r="G16" s="8">
        <f>IF(Tabela1511[[#This Row],[Industrial Production]]="",#N/A,((Tabela1511[[#This Row],[Industrial Production]]*1)/E4)-1)</f>
        <v>7.8545238001045181E-2</v>
      </c>
      <c r="H16" s="7"/>
      <c r="I16" s="25"/>
      <c r="J16" s="25"/>
      <c r="K16" s="25"/>
      <c r="L16" s="25"/>
      <c r="M16" s="25"/>
      <c r="N16" s="25"/>
      <c r="O16" s="25"/>
      <c r="P16" s="25"/>
      <c r="Q16" s="25"/>
      <c r="R16" s="25"/>
      <c r="S16" s="25"/>
      <c r="T16" s="5">
        <v>73.900000000000006</v>
      </c>
      <c r="U16" s="5"/>
      <c r="V16" s="5"/>
      <c r="W16" s="25"/>
      <c r="X16" s="25"/>
      <c r="Y16" s="25"/>
      <c r="Z16" s="25"/>
      <c r="AA16" s="25"/>
      <c r="AB16" s="25"/>
    </row>
    <row r="17" spans="1:28">
      <c r="A17" s="6">
        <v>28915</v>
      </c>
      <c r="B17" s="36"/>
      <c r="C17" s="36"/>
      <c r="D17" s="35"/>
      <c r="E17" s="7">
        <v>51.9544</v>
      </c>
      <c r="F17" s="8">
        <f>IF(Tabela1511[[#This Row],[Industrial Production]]="",#N/A,((Tabela1511[[#This Row],[Industrial Production]]*1)/E16)-1)</f>
        <v>2.9923126522701793E-3</v>
      </c>
      <c r="G17" s="8">
        <f>IF(Tabela1511[[#This Row],[Industrial Production]]="",#N/A,((Tabela1511[[#This Row],[Industrial Production]]*1)/E5)-1)</f>
        <v>6.146582246929766E-2</v>
      </c>
      <c r="H17" s="7"/>
      <c r="I17" s="25"/>
      <c r="J17" s="25"/>
      <c r="K17" s="25"/>
      <c r="L17" s="25"/>
      <c r="M17" s="25"/>
      <c r="N17" s="25"/>
      <c r="O17" s="25"/>
      <c r="P17" s="25"/>
      <c r="Q17" s="25"/>
      <c r="R17" s="25"/>
      <c r="S17" s="25"/>
      <c r="T17" s="5">
        <v>68.400000000000006</v>
      </c>
      <c r="U17" s="5"/>
      <c r="V17" s="5"/>
      <c r="W17" s="25"/>
      <c r="X17" s="25"/>
      <c r="Y17" s="25"/>
      <c r="Z17" s="25"/>
      <c r="AA17" s="25"/>
      <c r="AB17" s="25"/>
    </row>
    <row r="18" spans="1:28">
      <c r="A18" s="6">
        <v>28946</v>
      </c>
      <c r="B18" s="36"/>
      <c r="C18" s="36"/>
      <c r="D18" s="35"/>
      <c r="E18" s="7">
        <v>51.334000000000003</v>
      </c>
      <c r="F18" s="8">
        <f>IF(Tabela1511[[#This Row],[Industrial Production]]="",#N/A,((Tabela1511[[#This Row],[Industrial Production]]*1)/E17)-1)</f>
        <v>-1.1941240780376616E-2</v>
      </c>
      <c r="G18" s="8">
        <f>IF(Tabela1511[[#This Row],[Industrial Production]]="",#N/A,((Tabela1511[[#This Row],[Industrial Production]]*1)/E6)-1)</f>
        <v>2.8329440422437679E-2</v>
      </c>
      <c r="H18" s="7"/>
      <c r="I18" s="25"/>
      <c r="J18" s="25"/>
      <c r="K18" s="25"/>
      <c r="L18" s="25"/>
      <c r="M18" s="25"/>
      <c r="N18" s="25"/>
      <c r="O18" s="25"/>
      <c r="P18" s="25"/>
      <c r="Q18" s="25"/>
      <c r="R18" s="25"/>
      <c r="S18" s="25"/>
      <c r="T18" s="5">
        <v>66</v>
      </c>
      <c r="U18" s="5"/>
      <c r="V18" s="5"/>
      <c r="W18" s="25"/>
      <c r="X18" s="25"/>
      <c r="Y18" s="25"/>
      <c r="Z18" s="25"/>
      <c r="AA18" s="25"/>
      <c r="AB18" s="25"/>
    </row>
    <row r="19" spans="1:28">
      <c r="A19" s="6">
        <v>28976</v>
      </c>
      <c r="B19" s="36"/>
      <c r="C19" s="36"/>
      <c r="D19" s="35"/>
      <c r="E19" s="7">
        <v>51.792200000000001</v>
      </c>
      <c r="F19" s="8">
        <f>IF(Tabela1511[[#This Row],[Industrial Production]]="",#N/A,((Tabela1511[[#This Row],[Industrial Production]]*1)/E18)-1)</f>
        <v>8.9258581057387598E-3</v>
      </c>
      <c r="G19" s="8">
        <f>IF(Tabela1511[[#This Row],[Industrial Production]]="",#N/A,((Tabela1511[[#This Row],[Industrial Production]]*1)/E7)-1)</f>
        <v>3.2535755439571545E-2</v>
      </c>
      <c r="H19" s="7"/>
      <c r="I19" s="25"/>
      <c r="J19" s="25"/>
      <c r="K19" s="25"/>
      <c r="L19" s="25"/>
      <c r="M19" s="25"/>
      <c r="N19" s="25"/>
      <c r="O19" s="25"/>
      <c r="P19" s="25"/>
      <c r="Q19" s="25"/>
      <c r="R19" s="25"/>
      <c r="S19" s="25"/>
      <c r="T19" s="5">
        <v>68.099999999999994</v>
      </c>
      <c r="U19" s="5"/>
      <c r="V19" s="5"/>
      <c r="W19" s="25"/>
      <c r="X19" s="25"/>
      <c r="Y19" s="25"/>
      <c r="Z19" s="25"/>
      <c r="AA19" s="25"/>
      <c r="AB19" s="25"/>
    </row>
    <row r="20" spans="1:28">
      <c r="A20" s="6">
        <v>29007</v>
      </c>
      <c r="B20" s="36"/>
      <c r="C20" s="36"/>
      <c r="D20" s="35"/>
      <c r="E20" s="7">
        <v>51.796100000000003</v>
      </c>
      <c r="F20" s="8">
        <f>IF(Tabela1511[[#This Row],[Industrial Production]]="",#N/A,((Tabela1511[[#This Row],[Industrial Production]]*1)/E19)-1)</f>
        <v>7.5300914037290667E-5</v>
      </c>
      <c r="G20" s="8">
        <f>IF(Tabela1511[[#This Row],[Industrial Production]]="",#N/A,((Tabela1511[[#This Row],[Industrial Production]]*1)/E8)-1)</f>
        <v>2.6018865906272781E-2</v>
      </c>
      <c r="H20" s="7"/>
      <c r="I20" s="25"/>
      <c r="J20" s="25"/>
      <c r="K20" s="25"/>
      <c r="L20" s="25"/>
      <c r="M20" s="25"/>
      <c r="N20" s="25"/>
      <c r="O20" s="25"/>
      <c r="P20" s="25"/>
      <c r="Q20" s="25"/>
      <c r="R20" s="25"/>
      <c r="S20" s="25"/>
      <c r="T20" s="5">
        <v>65.8</v>
      </c>
      <c r="U20" s="5"/>
      <c r="V20" s="5"/>
      <c r="W20" s="25"/>
      <c r="X20" s="25"/>
      <c r="Y20" s="25"/>
      <c r="Z20" s="25"/>
      <c r="AA20" s="25"/>
      <c r="AB20" s="25"/>
    </row>
    <row r="21" spans="1:28">
      <c r="A21" s="6">
        <v>29037</v>
      </c>
      <c r="B21" s="36"/>
      <c r="C21" s="36"/>
      <c r="D21" s="35"/>
      <c r="E21" s="7">
        <v>51.712400000000002</v>
      </c>
      <c r="F21" s="8">
        <f>IF(Tabela1511[[#This Row],[Industrial Production]]="",#N/A,((Tabela1511[[#This Row],[Industrial Production]]*1)/E20)-1)</f>
        <v>-1.6159517801533907E-3</v>
      </c>
      <c r="G21" s="8">
        <f>IF(Tabela1511[[#This Row],[Industrial Production]]="",#N/A,((Tabela1511[[#This Row],[Industrial Production]]*1)/E9)-1)</f>
        <v>2.5095943417171584E-2</v>
      </c>
      <c r="H21" s="7"/>
      <c r="I21" s="25"/>
      <c r="J21" s="25"/>
      <c r="K21" s="25"/>
      <c r="L21" s="25"/>
      <c r="M21" s="25"/>
      <c r="N21" s="25"/>
      <c r="O21" s="25"/>
      <c r="P21" s="25"/>
      <c r="Q21" s="25"/>
      <c r="R21" s="25"/>
      <c r="S21" s="25"/>
      <c r="T21" s="5">
        <v>60.4</v>
      </c>
      <c r="U21" s="5"/>
      <c r="V21" s="5"/>
      <c r="W21" s="25"/>
      <c r="X21" s="25"/>
      <c r="Y21" s="25"/>
      <c r="Z21" s="25"/>
      <c r="AA21" s="25"/>
      <c r="AB21" s="25"/>
    </row>
    <row r="22" spans="1:28">
      <c r="A22" s="6">
        <v>29068</v>
      </c>
      <c r="B22" s="36"/>
      <c r="C22" s="36"/>
      <c r="D22" s="35"/>
      <c r="E22" s="7">
        <v>51.376600000000003</v>
      </c>
      <c r="F22" s="8">
        <f>IF(Tabela1511[[#This Row],[Industrial Production]]="",#N/A,((Tabela1511[[#This Row],[Industrial Production]]*1)/E21)-1)</f>
        <v>-6.4936069492036452E-3</v>
      </c>
      <c r="G22" s="8">
        <f>IF(Tabela1511[[#This Row],[Industrial Production]]="",#N/A,((Tabela1511[[#This Row],[Industrial Production]]*1)/E10)-1)</f>
        <v>1.4283429839437201E-2</v>
      </c>
      <c r="H22" s="7"/>
      <c r="I22" s="25"/>
      <c r="J22" s="25"/>
      <c r="K22" s="25"/>
      <c r="L22" s="25"/>
      <c r="M22" s="25"/>
      <c r="N22" s="25"/>
      <c r="O22" s="25"/>
      <c r="P22" s="25"/>
      <c r="Q22" s="25"/>
      <c r="R22" s="25"/>
      <c r="S22" s="25"/>
      <c r="T22" s="5">
        <v>64.5</v>
      </c>
      <c r="U22" s="5"/>
      <c r="V22" s="5"/>
      <c r="W22" s="25"/>
      <c r="X22" s="25"/>
      <c r="Y22" s="25"/>
      <c r="Z22" s="25"/>
      <c r="AA22" s="25"/>
      <c r="AB22" s="25"/>
    </row>
    <row r="23" spans="1:28">
      <c r="A23" s="6">
        <v>29099</v>
      </c>
      <c r="B23" s="36"/>
      <c r="C23" s="36"/>
      <c r="D23" s="35"/>
      <c r="E23" s="7">
        <v>51.374099999999999</v>
      </c>
      <c r="F23" s="8">
        <f>IF(Tabela1511[[#This Row],[Industrial Production]]="",#N/A,((Tabela1511[[#This Row],[Industrial Production]]*1)/E22)-1)</f>
        <v>-4.8660285032586792E-5</v>
      </c>
      <c r="G23" s="8">
        <f>IF(Tabela1511[[#This Row],[Industrial Production]]="",#N/A,((Tabela1511[[#This Row],[Industrial Production]]*1)/E11)-1)</f>
        <v>1.1850926881534107E-2</v>
      </c>
      <c r="H23" s="7"/>
      <c r="I23" s="25"/>
      <c r="J23" s="25"/>
      <c r="K23" s="25"/>
      <c r="L23" s="25"/>
      <c r="M23" s="25"/>
      <c r="N23" s="25"/>
      <c r="O23" s="25"/>
      <c r="P23" s="25"/>
      <c r="Q23" s="25"/>
      <c r="R23" s="25"/>
      <c r="S23" s="25"/>
      <c r="T23" s="5">
        <v>66.7</v>
      </c>
      <c r="U23" s="5"/>
      <c r="V23" s="5"/>
      <c r="W23" s="25"/>
      <c r="X23" s="25"/>
      <c r="Y23" s="25"/>
      <c r="Z23" s="25"/>
      <c r="AA23" s="25"/>
      <c r="AB23" s="25"/>
    </row>
    <row r="24" spans="1:28">
      <c r="A24" s="6">
        <v>29129</v>
      </c>
      <c r="B24" s="36"/>
      <c r="C24" s="36"/>
      <c r="D24" s="35"/>
      <c r="E24" s="7">
        <v>51.726799999999997</v>
      </c>
      <c r="F24" s="8">
        <f>IF(Tabela1511[[#This Row],[Industrial Production]]="",#N/A,((Tabela1511[[#This Row],[Industrial Production]]*1)/E23)-1)</f>
        <v>6.8653270811556144E-3</v>
      </c>
      <c r="G24" s="8">
        <f>IF(Tabela1511[[#This Row],[Industrial Production]]="",#N/A,((Tabela1511[[#This Row],[Industrial Production]]*1)/E12)-1)</f>
        <v>1.0982138145486431E-2</v>
      </c>
      <c r="H24" s="7"/>
      <c r="I24" s="25"/>
      <c r="J24" s="25"/>
      <c r="K24" s="25"/>
      <c r="L24" s="25"/>
      <c r="M24" s="25"/>
      <c r="N24" s="25"/>
      <c r="O24" s="25"/>
      <c r="P24" s="25"/>
      <c r="Q24" s="25"/>
      <c r="R24" s="25"/>
      <c r="S24" s="25"/>
      <c r="T24" s="5">
        <v>62.1</v>
      </c>
      <c r="U24" s="5"/>
      <c r="V24" s="5"/>
      <c r="W24" s="25"/>
      <c r="X24" s="25"/>
      <c r="Y24" s="25"/>
      <c r="Z24" s="25"/>
      <c r="AA24" s="25"/>
      <c r="AB24" s="25"/>
    </row>
    <row r="25" spans="1:28">
      <c r="A25" s="6">
        <v>29160</v>
      </c>
      <c r="B25" s="36"/>
      <c r="C25" s="36"/>
      <c r="D25" s="35"/>
      <c r="E25" s="7">
        <v>51.642200000000003</v>
      </c>
      <c r="F25" s="8">
        <f>IF(Tabela1511[[#This Row],[Industrial Production]]="",#N/A,((Tabela1511[[#This Row],[Industrial Production]]*1)/E24)-1)</f>
        <v>-1.6355158254520719E-3</v>
      </c>
      <c r="G25" s="8">
        <f>IF(Tabela1511[[#This Row],[Industrial Production]]="",#N/A,((Tabela1511[[#This Row],[Industrial Production]]*1)/E13)-1)</f>
        <v>1.6292267767299418E-3</v>
      </c>
      <c r="H25" s="7"/>
      <c r="I25" s="25"/>
      <c r="J25" s="25"/>
      <c r="K25" s="25"/>
      <c r="L25" s="25"/>
      <c r="M25" s="25"/>
      <c r="N25" s="25"/>
      <c r="O25" s="25"/>
      <c r="P25" s="25"/>
      <c r="Q25" s="25"/>
      <c r="R25" s="25"/>
      <c r="S25" s="25"/>
      <c r="T25" s="5">
        <v>63.3</v>
      </c>
      <c r="U25" s="5"/>
      <c r="V25" s="5"/>
      <c r="W25" s="25"/>
      <c r="X25" s="25"/>
      <c r="Y25" s="25"/>
      <c r="Z25" s="25"/>
      <c r="AA25" s="25"/>
      <c r="AB25" s="25"/>
    </row>
    <row r="26" spans="1:28">
      <c r="A26" s="6">
        <v>29190</v>
      </c>
      <c r="B26" s="36"/>
      <c r="C26" s="36"/>
      <c r="D26" s="35"/>
      <c r="E26" s="7">
        <v>51.676299999999998</v>
      </c>
      <c r="F26" s="8">
        <f>IF(Tabela1511[[#This Row],[Industrial Production]]="",#N/A,((Tabela1511[[#This Row],[Industrial Production]]*1)/E25)-1)</f>
        <v>6.6031269000932369E-4</v>
      </c>
      <c r="G26" s="8">
        <f>IF(Tabela1511[[#This Row],[Industrial Production]]="",#N/A,((Tabela1511[[#This Row],[Industrial Production]]*1)/E14)-1)</f>
        <v>-2.6826053308579567E-3</v>
      </c>
      <c r="H26" s="7"/>
      <c r="I26" s="25"/>
      <c r="J26" s="25"/>
      <c r="K26" s="25"/>
      <c r="L26" s="25"/>
      <c r="M26" s="25"/>
      <c r="N26" s="25"/>
      <c r="O26" s="25"/>
      <c r="P26" s="25"/>
      <c r="Q26" s="25"/>
      <c r="R26" s="25"/>
      <c r="S26" s="25"/>
      <c r="T26" s="5">
        <v>61</v>
      </c>
      <c r="U26" s="5"/>
      <c r="V26" s="5"/>
      <c r="W26" s="25"/>
      <c r="X26" s="25"/>
      <c r="Y26" s="25"/>
      <c r="Z26" s="25"/>
      <c r="AA26" s="25"/>
      <c r="AB26" s="25"/>
    </row>
    <row r="27" spans="1:28">
      <c r="A27" s="6">
        <v>29221</v>
      </c>
      <c r="B27" s="36"/>
      <c r="C27" s="36"/>
      <c r="D27" s="35"/>
      <c r="E27" s="7">
        <v>51.954500000000003</v>
      </c>
      <c r="F27" s="8">
        <f>IF(Tabela1511[[#This Row],[Industrial Production]]="",#N/A,((Tabela1511[[#This Row],[Industrial Production]]*1)/E26)-1)</f>
        <v>5.3835123644689897E-3</v>
      </c>
      <c r="G27" s="8">
        <f>IF(Tabela1511[[#This Row],[Industrial Production]]="",#N/A,((Tabela1511[[#This Row],[Industrial Production]]*1)/E15)-1)</f>
        <v>8.1224932522767634E-3</v>
      </c>
      <c r="H27" s="7"/>
      <c r="I27" s="25"/>
      <c r="J27" s="25"/>
      <c r="K27" s="25"/>
      <c r="L27" s="25"/>
      <c r="M27" s="25"/>
      <c r="N27" s="25"/>
      <c r="O27" s="25"/>
      <c r="P27" s="25"/>
      <c r="Q27" s="25"/>
      <c r="R27" s="25"/>
      <c r="S27" s="25"/>
      <c r="T27" s="5">
        <v>67</v>
      </c>
      <c r="U27" s="5"/>
      <c r="V27" s="5"/>
      <c r="W27" s="25"/>
      <c r="X27" s="25"/>
      <c r="Y27" s="25"/>
      <c r="Z27" s="25"/>
      <c r="AA27" s="25"/>
      <c r="AB27" s="25"/>
    </row>
    <row r="28" spans="1:28">
      <c r="A28" s="6">
        <v>29252</v>
      </c>
      <c r="B28" s="36"/>
      <c r="C28" s="36"/>
      <c r="D28" s="35"/>
      <c r="E28" s="7">
        <v>51.977899999999998</v>
      </c>
      <c r="F28" s="8">
        <f>IF(Tabela1511[[#This Row],[Industrial Production]]="",#N/A,((Tabela1511[[#This Row],[Industrial Production]]*1)/E27)-1)</f>
        <v>4.5039409483282888E-4</v>
      </c>
      <c r="G28" s="8">
        <f>IF(Tabela1511[[#This Row],[Industrial Production]]="",#N/A,((Tabela1511[[#This Row],[Industrial Production]]*1)/E16)-1)</f>
        <v>3.4459858608399951E-3</v>
      </c>
      <c r="H28" s="7"/>
      <c r="I28" s="25"/>
      <c r="J28" s="25"/>
      <c r="K28" s="25"/>
      <c r="L28" s="25"/>
      <c r="M28" s="25"/>
      <c r="N28" s="25"/>
      <c r="O28" s="25"/>
      <c r="P28" s="25"/>
      <c r="Q28" s="25"/>
      <c r="R28" s="25"/>
      <c r="S28" s="25"/>
      <c r="T28" s="5">
        <v>66.900000000000006</v>
      </c>
      <c r="U28" s="5"/>
      <c r="V28" s="5"/>
      <c r="W28" s="25"/>
      <c r="X28" s="25"/>
      <c r="Y28" s="25"/>
      <c r="Z28" s="25"/>
      <c r="AA28" s="25"/>
      <c r="AB28" s="25"/>
    </row>
    <row r="29" spans="1:28">
      <c r="A29" s="6">
        <v>29281</v>
      </c>
      <c r="B29" s="36"/>
      <c r="C29" s="36"/>
      <c r="D29" s="35"/>
      <c r="E29" s="7">
        <v>51.756500000000003</v>
      </c>
      <c r="F29" s="8">
        <f>IF(Tabela1511[[#This Row],[Industrial Production]]="",#N/A,((Tabela1511[[#This Row],[Industrial Production]]*1)/E28)-1)</f>
        <v>-4.2595025962955946E-3</v>
      </c>
      <c r="G29" s="8">
        <f>IF(Tabela1511[[#This Row],[Industrial Production]]="",#N/A,((Tabela1511[[#This Row],[Industrial Production]]*1)/E17)-1)</f>
        <v>-3.8091095268157904E-3</v>
      </c>
      <c r="H29" s="7"/>
      <c r="I29" s="25"/>
      <c r="J29" s="25"/>
      <c r="K29" s="25"/>
      <c r="L29" s="25"/>
      <c r="M29" s="25"/>
      <c r="N29" s="25"/>
      <c r="O29" s="25"/>
      <c r="P29" s="25"/>
      <c r="Q29" s="25"/>
      <c r="R29" s="25"/>
      <c r="S29" s="25"/>
      <c r="T29" s="5">
        <v>56.5</v>
      </c>
      <c r="U29" s="5"/>
      <c r="V29" s="5"/>
      <c r="W29" s="25"/>
      <c r="X29" s="25"/>
      <c r="Y29" s="25"/>
      <c r="Z29" s="25"/>
      <c r="AA29" s="25"/>
      <c r="AB29" s="25"/>
    </row>
    <row r="30" spans="1:28">
      <c r="A30" s="6">
        <v>29312</v>
      </c>
      <c r="B30" s="36"/>
      <c r="C30" s="36"/>
      <c r="D30" s="35"/>
      <c r="E30" s="7">
        <v>50.736899999999999</v>
      </c>
      <c r="F30" s="8">
        <f>IF(Tabela1511[[#This Row],[Industrial Production]]="",#N/A,((Tabela1511[[#This Row],[Industrial Production]]*1)/E29)-1)</f>
        <v>-1.9699941070203786E-2</v>
      </c>
      <c r="G30" s="8">
        <f>IF(Tabela1511[[#This Row],[Industrial Production]]="",#N/A,((Tabela1511[[#This Row],[Industrial Production]]*1)/E18)-1)</f>
        <v>-1.1631667121206335E-2</v>
      </c>
      <c r="H30" s="7"/>
      <c r="I30" s="25"/>
      <c r="J30" s="25"/>
      <c r="K30" s="25"/>
      <c r="L30" s="25"/>
      <c r="M30" s="25"/>
      <c r="N30" s="25"/>
      <c r="O30" s="25"/>
      <c r="P30" s="25"/>
      <c r="Q30" s="25"/>
      <c r="R30" s="25"/>
      <c r="S30" s="25"/>
      <c r="T30" s="5">
        <v>52.7</v>
      </c>
      <c r="U30" s="5"/>
      <c r="V30" s="5"/>
      <c r="W30" s="25"/>
      <c r="X30" s="25"/>
      <c r="Y30" s="25"/>
      <c r="Z30" s="25"/>
      <c r="AA30" s="25"/>
      <c r="AB30" s="25"/>
    </row>
    <row r="31" spans="1:28">
      <c r="A31" s="6">
        <v>29342</v>
      </c>
      <c r="B31" s="36"/>
      <c r="C31" s="36"/>
      <c r="D31" s="35"/>
      <c r="E31" s="7">
        <v>49.49</v>
      </c>
      <c r="F31" s="8">
        <f>IF(Tabela1511[[#This Row],[Industrial Production]]="",#N/A,((Tabela1511[[#This Row],[Industrial Production]]*1)/E30)-1)</f>
        <v>-2.4575801832591226E-2</v>
      </c>
      <c r="G31" s="8">
        <f>IF(Tabela1511[[#This Row],[Industrial Production]]="",#N/A,((Tabela1511[[#This Row],[Industrial Production]]*1)/E19)-1)</f>
        <v>-4.4450708793988269E-2</v>
      </c>
      <c r="H31" s="7"/>
      <c r="I31" s="25"/>
      <c r="J31" s="25"/>
      <c r="K31" s="25"/>
      <c r="L31" s="25"/>
      <c r="M31" s="25"/>
      <c r="N31" s="25"/>
      <c r="O31" s="25"/>
      <c r="P31" s="25"/>
      <c r="Q31" s="25"/>
      <c r="R31" s="25"/>
      <c r="S31" s="25"/>
      <c r="T31" s="5">
        <v>51.7</v>
      </c>
      <c r="U31" s="5"/>
      <c r="V31" s="5"/>
      <c r="W31" s="25"/>
      <c r="X31" s="25"/>
      <c r="Y31" s="25"/>
      <c r="Z31" s="25"/>
      <c r="AA31" s="25"/>
      <c r="AB31" s="25"/>
    </row>
    <row r="32" spans="1:28">
      <c r="A32" s="6">
        <v>29373</v>
      </c>
      <c r="B32" s="36"/>
      <c r="C32" s="36"/>
      <c r="D32" s="35"/>
      <c r="E32" s="7">
        <v>48.850499999999997</v>
      </c>
      <c r="F32" s="8">
        <f>IF(Tabela1511[[#This Row],[Industrial Production]]="",#N/A,((Tabela1511[[#This Row],[Industrial Production]]*1)/E31)-1)</f>
        <v>-1.2921802384320169E-2</v>
      </c>
      <c r="G32" s="8">
        <f>IF(Tabela1511[[#This Row],[Industrial Production]]="",#N/A,((Tabela1511[[#This Row],[Industrial Production]]*1)/E20)-1)</f>
        <v>-5.6869146518753411E-2</v>
      </c>
      <c r="H32" s="7"/>
      <c r="I32" s="25"/>
      <c r="J32" s="25"/>
      <c r="K32" s="25"/>
      <c r="L32" s="25"/>
      <c r="M32" s="25"/>
      <c r="N32" s="25"/>
      <c r="O32" s="25"/>
      <c r="P32" s="25"/>
      <c r="Q32" s="25"/>
      <c r="R32" s="25"/>
      <c r="S32" s="25"/>
      <c r="T32" s="5">
        <v>58.7</v>
      </c>
      <c r="U32" s="5"/>
      <c r="V32" s="5"/>
      <c r="W32" s="25"/>
      <c r="X32" s="25"/>
      <c r="Y32" s="25"/>
      <c r="Z32" s="25"/>
      <c r="AA32" s="25"/>
      <c r="AB32" s="25"/>
    </row>
    <row r="33" spans="1:28">
      <c r="A33" s="6">
        <v>29403</v>
      </c>
      <c r="B33" s="36"/>
      <c r="C33" s="36"/>
      <c r="D33" s="35"/>
      <c r="E33" s="7">
        <v>48.499699999999997</v>
      </c>
      <c r="F33" s="8">
        <f>IF(Tabela1511[[#This Row],[Industrial Production]]="",#N/A,((Tabela1511[[#This Row],[Industrial Production]]*1)/E32)-1)</f>
        <v>-7.1810933357897566E-3</v>
      </c>
      <c r="G33" s="8">
        <f>IF(Tabela1511[[#This Row],[Industrial Production]]="",#N/A,((Tabela1511[[#This Row],[Industrial Production]]*1)/E21)-1)</f>
        <v>-6.2126298528012769E-2</v>
      </c>
      <c r="H33" s="7"/>
      <c r="I33" s="25"/>
      <c r="J33" s="25"/>
      <c r="K33" s="25"/>
      <c r="L33" s="25"/>
      <c r="M33" s="25"/>
      <c r="N33" s="25"/>
      <c r="O33" s="25"/>
      <c r="P33" s="25"/>
      <c r="Q33" s="25"/>
      <c r="R33" s="25"/>
      <c r="S33" s="25"/>
      <c r="T33" s="5">
        <v>62.3</v>
      </c>
      <c r="U33" s="5"/>
      <c r="V33" s="5"/>
      <c r="W33" s="25"/>
      <c r="X33" s="25"/>
      <c r="Y33" s="25"/>
      <c r="Z33" s="25"/>
      <c r="AA33" s="25"/>
      <c r="AB33" s="25"/>
    </row>
    <row r="34" spans="1:28">
      <c r="A34" s="6">
        <v>29434</v>
      </c>
      <c r="B34" s="36"/>
      <c r="C34" s="36"/>
      <c r="D34" s="35"/>
      <c r="E34" s="7">
        <v>48.6554</v>
      </c>
      <c r="F34" s="8">
        <f>IF(Tabela1511[[#This Row],[Industrial Production]]="",#N/A,((Tabela1511[[#This Row],[Industrial Production]]*1)/E33)-1)</f>
        <v>3.2103291360565667E-3</v>
      </c>
      <c r="G34" s="8">
        <f>IF(Tabela1511[[#This Row],[Industrial Production]]="",#N/A,((Tabela1511[[#This Row],[Industrial Production]]*1)/E22)-1)</f>
        <v>-5.296574705215995E-2</v>
      </c>
      <c r="H34" s="7"/>
      <c r="I34" s="25"/>
      <c r="J34" s="25"/>
      <c r="K34" s="25"/>
      <c r="L34" s="25"/>
      <c r="M34" s="25"/>
      <c r="N34" s="25"/>
      <c r="O34" s="25"/>
      <c r="P34" s="25"/>
      <c r="Q34" s="25"/>
      <c r="R34" s="25"/>
      <c r="S34" s="25"/>
      <c r="T34" s="5">
        <v>67.3</v>
      </c>
      <c r="U34" s="5"/>
      <c r="V34" s="5"/>
      <c r="W34" s="25"/>
      <c r="X34" s="25"/>
      <c r="Y34" s="25"/>
      <c r="Z34" s="25"/>
      <c r="AA34" s="25"/>
      <c r="AB34" s="25"/>
    </row>
    <row r="35" spans="1:28">
      <c r="A35" s="6">
        <v>29465</v>
      </c>
      <c r="B35" s="36"/>
      <c r="C35" s="36"/>
      <c r="D35" s="35"/>
      <c r="E35" s="7">
        <v>49.467700000000001</v>
      </c>
      <c r="F35" s="8">
        <f>IF(Tabela1511[[#This Row],[Industrial Production]]="",#N/A,((Tabela1511[[#This Row],[Industrial Production]]*1)/E34)-1)</f>
        <v>1.6694960888205657E-2</v>
      </c>
      <c r="G35" s="8">
        <f>IF(Tabela1511[[#This Row],[Industrial Production]]="",#N/A,((Tabela1511[[#This Row],[Industrial Production]]*1)/E23)-1)</f>
        <v>-3.7108192649603522E-2</v>
      </c>
      <c r="H35" s="7"/>
      <c r="I35" s="25"/>
      <c r="J35" s="25"/>
      <c r="K35" s="25"/>
      <c r="L35" s="25"/>
      <c r="M35" s="25"/>
      <c r="N35" s="25"/>
      <c r="O35" s="25"/>
      <c r="P35" s="25"/>
      <c r="Q35" s="25"/>
      <c r="R35" s="25"/>
      <c r="S35" s="25"/>
      <c r="T35" s="5">
        <v>73.7</v>
      </c>
      <c r="U35" s="5"/>
      <c r="V35" s="5"/>
      <c r="W35" s="25"/>
      <c r="X35" s="25"/>
      <c r="Y35" s="25"/>
      <c r="Z35" s="25"/>
      <c r="AA35" s="25"/>
      <c r="AB35" s="25"/>
    </row>
    <row r="36" spans="1:28">
      <c r="A36" s="6">
        <v>29495</v>
      </c>
      <c r="B36" s="36"/>
      <c r="C36" s="36"/>
      <c r="D36" s="35"/>
      <c r="E36" s="7">
        <v>50.094700000000003</v>
      </c>
      <c r="F36" s="8">
        <f>IF(Tabela1511[[#This Row],[Industrial Production]]="",#N/A,((Tabela1511[[#This Row],[Industrial Production]]*1)/E35)-1)</f>
        <v>1.2674937383383655E-2</v>
      </c>
      <c r="G36" s="8">
        <f>IF(Tabela1511[[#This Row],[Industrial Production]]="",#N/A,((Tabela1511[[#This Row],[Industrial Production]]*1)/E24)-1)</f>
        <v>-3.1552309441140625E-2</v>
      </c>
      <c r="H36" s="7"/>
      <c r="I36" s="25"/>
      <c r="J36" s="25"/>
      <c r="K36" s="25"/>
      <c r="L36" s="25"/>
      <c r="M36" s="25"/>
      <c r="N36" s="25"/>
      <c r="O36" s="25"/>
      <c r="P36" s="25"/>
      <c r="Q36" s="25"/>
      <c r="R36" s="25"/>
      <c r="S36" s="25"/>
      <c r="T36" s="5">
        <v>75</v>
      </c>
      <c r="U36" s="5"/>
      <c r="V36" s="5"/>
      <c r="W36" s="25"/>
      <c r="X36" s="25"/>
      <c r="Y36" s="25"/>
      <c r="Z36" s="25"/>
      <c r="AA36" s="25"/>
      <c r="AB36" s="25"/>
    </row>
    <row r="37" spans="1:28">
      <c r="A37" s="6">
        <v>29526</v>
      </c>
      <c r="B37" s="36"/>
      <c r="C37" s="36"/>
      <c r="D37" s="35"/>
      <c r="E37" s="7">
        <v>50.931100000000001</v>
      </c>
      <c r="F37" s="8">
        <f>IF(Tabela1511[[#This Row],[Industrial Production]]="",#N/A,((Tabela1511[[#This Row],[Industrial Production]]*1)/E36)-1)</f>
        <v>1.6696377061844903E-2</v>
      </c>
      <c r="G37" s="8">
        <f>IF(Tabela1511[[#This Row],[Industrial Production]]="",#N/A,((Tabela1511[[#This Row],[Industrial Production]]*1)/E25)-1)</f>
        <v>-1.3769746447672704E-2</v>
      </c>
      <c r="H37" s="7"/>
      <c r="I37" s="25"/>
      <c r="J37" s="25"/>
      <c r="K37" s="25"/>
      <c r="L37" s="25"/>
      <c r="M37" s="25"/>
      <c r="N37" s="25"/>
      <c r="O37" s="25"/>
      <c r="P37" s="25"/>
      <c r="Q37" s="25"/>
      <c r="R37" s="25"/>
      <c r="S37" s="25"/>
      <c r="T37" s="5">
        <v>76.7</v>
      </c>
      <c r="U37" s="5"/>
      <c r="V37" s="5"/>
      <c r="W37" s="25"/>
      <c r="X37" s="25"/>
      <c r="Y37" s="25"/>
      <c r="Z37" s="25"/>
      <c r="AA37" s="25"/>
      <c r="AB37" s="25"/>
    </row>
    <row r="38" spans="1:28">
      <c r="A38" s="6">
        <v>29556</v>
      </c>
      <c r="B38" s="36"/>
      <c r="C38" s="36"/>
      <c r="D38" s="35"/>
      <c r="E38" s="7">
        <v>51.264400000000002</v>
      </c>
      <c r="F38" s="8">
        <f>IF(Tabela1511[[#This Row],[Industrial Production]]="",#N/A,((Tabela1511[[#This Row],[Industrial Production]]*1)/E37)-1)</f>
        <v>6.5441351158721517E-3</v>
      </c>
      <c r="G38" s="8">
        <f>IF(Tabela1511[[#This Row],[Industrial Production]]="",#N/A,((Tabela1511[[#This Row],[Industrial Production]]*1)/E26)-1)</f>
        <v>-7.97077190123896E-3</v>
      </c>
      <c r="H38" s="7"/>
      <c r="I38" s="25"/>
      <c r="J38" s="25"/>
      <c r="K38" s="25"/>
      <c r="L38" s="25"/>
      <c r="M38" s="25"/>
      <c r="N38" s="25"/>
      <c r="O38" s="25"/>
      <c r="P38" s="25"/>
      <c r="Q38" s="25"/>
      <c r="R38" s="25"/>
      <c r="S38" s="25"/>
      <c r="T38" s="5">
        <v>64.5</v>
      </c>
      <c r="U38" s="5"/>
      <c r="V38" s="5"/>
      <c r="W38" s="25"/>
      <c r="X38" s="25"/>
      <c r="Y38" s="25"/>
      <c r="Z38" s="25"/>
      <c r="AA38" s="25"/>
      <c r="AB38" s="25"/>
    </row>
    <row r="39" spans="1:28">
      <c r="A39" s="6">
        <v>29587</v>
      </c>
      <c r="B39" s="36"/>
      <c r="C39" s="36"/>
      <c r="D39" s="35"/>
      <c r="E39" s="7">
        <v>50.945300000000003</v>
      </c>
      <c r="F39" s="8">
        <f>IF(Tabela1511[[#This Row],[Industrial Production]]="",#N/A,((Tabela1511[[#This Row],[Industrial Production]]*1)/E38)-1)</f>
        <v>-6.2245925047400563E-3</v>
      </c>
      <c r="G39" s="8">
        <f>IF(Tabela1511[[#This Row],[Industrial Production]]="",#N/A,((Tabela1511[[#This Row],[Industrial Production]]*1)/E27)-1)</f>
        <v>-1.9424688910488985E-2</v>
      </c>
      <c r="H39" s="7"/>
      <c r="I39" s="25"/>
      <c r="J39" s="25"/>
      <c r="K39" s="25"/>
      <c r="L39" s="25"/>
      <c r="M39" s="25"/>
      <c r="N39" s="25"/>
      <c r="O39" s="25"/>
      <c r="P39" s="25"/>
      <c r="Q39" s="25"/>
      <c r="R39" s="25"/>
      <c r="S39" s="25"/>
      <c r="T39" s="5">
        <v>71.400000000000006</v>
      </c>
      <c r="U39" s="5"/>
      <c r="V39" s="5"/>
      <c r="W39" s="25"/>
      <c r="X39" s="25"/>
      <c r="Y39" s="25"/>
      <c r="Z39" s="25"/>
      <c r="AA39" s="25"/>
      <c r="AB39" s="25"/>
    </row>
    <row r="40" spans="1:28">
      <c r="A40" s="6">
        <v>29618</v>
      </c>
      <c r="B40" s="36"/>
      <c r="C40" s="36"/>
      <c r="D40" s="35"/>
      <c r="E40" s="7">
        <v>50.733199999999997</v>
      </c>
      <c r="F40" s="8">
        <f>IF(Tabela1511[[#This Row],[Industrial Production]]="",#N/A,((Tabela1511[[#This Row],[Industrial Production]]*1)/E39)-1)</f>
        <v>-4.1632888607978646E-3</v>
      </c>
      <c r="G40" s="8">
        <f>IF(Tabela1511[[#This Row],[Industrial Production]]="",#N/A,((Tabela1511[[#This Row],[Industrial Production]]*1)/E28)-1)</f>
        <v>-2.3946715815760244E-2</v>
      </c>
      <c r="H40" s="7"/>
      <c r="I40" s="25"/>
      <c r="J40" s="25"/>
      <c r="K40" s="25"/>
      <c r="L40" s="25"/>
      <c r="M40" s="25"/>
      <c r="N40" s="25"/>
      <c r="O40" s="25"/>
      <c r="P40" s="25"/>
      <c r="Q40" s="25"/>
      <c r="R40" s="25"/>
      <c r="S40" s="25"/>
      <c r="T40" s="5">
        <v>66.900000000000006</v>
      </c>
      <c r="U40" s="5"/>
      <c r="V40" s="5"/>
      <c r="W40" s="25"/>
      <c r="X40" s="25"/>
      <c r="Y40" s="25"/>
      <c r="Z40" s="25"/>
      <c r="AA40" s="25"/>
      <c r="AB40" s="25"/>
    </row>
    <row r="41" spans="1:28">
      <c r="A41" s="6">
        <v>29646</v>
      </c>
      <c r="B41" s="36"/>
      <c r="C41" s="36"/>
      <c r="D41" s="35"/>
      <c r="E41" s="7">
        <v>50.992199999999997</v>
      </c>
      <c r="F41" s="8">
        <f>IF(Tabela1511[[#This Row],[Industrial Production]]="",#N/A,((Tabela1511[[#This Row],[Industrial Production]]*1)/E40)-1)</f>
        <v>5.1051382526630107E-3</v>
      </c>
      <c r="G41" s="8">
        <f>IF(Tabela1511[[#This Row],[Industrial Production]]="",#N/A,((Tabela1511[[#This Row],[Industrial Production]]*1)/E29)-1)</f>
        <v>-1.4767227304783082E-2</v>
      </c>
      <c r="H41" s="7"/>
      <c r="I41" s="25"/>
      <c r="J41" s="25"/>
      <c r="K41" s="25"/>
      <c r="L41" s="25"/>
      <c r="M41" s="25"/>
      <c r="N41" s="25"/>
      <c r="O41" s="25"/>
      <c r="P41" s="25"/>
      <c r="Q41" s="25"/>
      <c r="R41" s="25"/>
      <c r="S41" s="25"/>
      <c r="T41" s="5">
        <v>66.5</v>
      </c>
      <c r="U41" s="5"/>
      <c r="V41" s="5"/>
      <c r="W41" s="25"/>
      <c r="X41" s="25"/>
      <c r="Y41" s="25"/>
      <c r="Z41" s="25"/>
      <c r="AA41" s="25"/>
      <c r="AB41" s="25"/>
    </row>
    <row r="42" spans="1:28">
      <c r="A42" s="6">
        <v>29677</v>
      </c>
      <c r="B42" s="36"/>
      <c r="C42" s="36"/>
      <c r="D42" s="35"/>
      <c r="E42" s="7">
        <v>50.777999999999999</v>
      </c>
      <c r="F42" s="8">
        <f>IF(Tabela1511[[#This Row],[Industrial Production]]="",#N/A,((Tabela1511[[#This Row],[Industrial Production]]*1)/E41)-1)</f>
        <v>-4.2006424511983331E-3</v>
      </c>
      <c r="G42" s="8">
        <f>IF(Tabela1511[[#This Row],[Industrial Production]]="",#N/A,((Tabela1511[[#This Row],[Industrial Production]]*1)/E30)-1)</f>
        <v>8.1006131631999878E-4</v>
      </c>
      <c r="H42" s="7"/>
      <c r="I42" s="25"/>
      <c r="J42" s="25"/>
      <c r="K42" s="25"/>
      <c r="L42" s="25"/>
      <c r="M42" s="25"/>
      <c r="N42" s="25"/>
      <c r="O42" s="25"/>
      <c r="P42" s="25"/>
      <c r="Q42" s="25"/>
      <c r="R42" s="25"/>
      <c r="S42" s="25"/>
      <c r="T42" s="5">
        <v>72.400000000000006</v>
      </c>
      <c r="U42" s="5"/>
      <c r="V42" s="5"/>
      <c r="W42" s="25"/>
      <c r="X42" s="25"/>
      <c r="Y42" s="25"/>
      <c r="Z42" s="25"/>
      <c r="AA42" s="25"/>
      <c r="AB42" s="25"/>
    </row>
    <row r="43" spans="1:28">
      <c r="A43" s="6">
        <v>29707</v>
      </c>
      <c r="B43" s="36"/>
      <c r="C43" s="36"/>
      <c r="D43" s="35"/>
      <c r="E43" s="7">
        <v>51.066699999999997</v>
      </c>
      <c r="F43" s="8">
        <f>IF(Tabela1511[[#This Row],[Industrial Production]]="",#N/A,((Tabela1511[[#This Row],[Industrial Production]]*1)/E42)-1)</f>
        <v>5.685533104887952E-3</v>
      </c>
      <c r="G43" s="8">
        <f>IF(Tabela1511[[#This Row],[Industrial Production]]="",#N/A,((Tabela1511[[#This Row],[Industrial Production]]*1)/E31)-1)</f>
        <v>3.1858961406344699E-2</v>
      </c>
      <c r="H43" s="7"/>
      <c r="I43" s="25"/>
      <c r="J43" s="25"/>
      <c r="K43" s="25"/>
      <c r="L43" s="25"/>
      <c r="M43" s="25"/>
      <c r="N43" s="25"/>
      <c r="O43" s="25"/>
      <c r="P43" s="25"/>
      <c r="Q43" s="25"/>
      <c r="R43" s="25"/>
      <c r="S43" s="25"/>
      <c r="T43" s="5">
        <v>76.3</v>
      </c>
      <c r="U43" s="5"/>
      <c r="V43" s="5"/>
      <c r="W43" s="25"/>
      <c r="X43" s="25"/>
      <c r="Y43" s="25"/>
      <c r="Z43" s="25"/>
      <c r="AA43" s="25"/>
      <c r="AB43" s="25"/>
    </row>
    <row r="44" spans="1:28">
      <c r="A44" s="6">
        <v>29738</v>
      </c>
      <c r="B44" s="36"/>
      <c r="C44" s="36"/>
      <c r="D44" s="35"/>
      <c r="E44" s="7">
        <v>51.335500000000003</v>
      </c>
      <c r="F44" s="8">
        <f>IF(Tabela1511[[#This Row],[Industrial Production]]="",#N/A,((Tabela1511[[#This Row],[Industrial Production]]*1)/E43)-1)</f>
        <v>5.2637041359635539E-3</v>
      </c>
      <c r="G44" s="8">
        <f>IF(Tabela1511[[#This Row],[Industrial Production]]="",#N/A,((Tabela1511[[#This Row],[Industrial Production]]*1)/E32)-1)</f>
        <v>5.0869489565101844E-2</v>
      </c>
      <c r="H44" s="7"/>
      <c r="I44" s="25"/>
      <c r="J44" s="25"/>
      <c r="K44" s="25"/>
      <c r="L44" s="25"/>
      <c r="M44" s="25"/>
      <c r="N44" s="25"/>
      <c r="O44" s="25"/>
      <c r="P44" s="25"/>
      <c r="Q44" s="25"/>
      <c r="R44" s="25"/>
      <c r="S44" s="25"/>
      <c r="T44" s="5">
        <v>73.099999999999994</v>
      </c>
      <c r="U44" s="5"/>
      <c r="V44" s="5"/>
      <c r="W44" s="25"/>
      <c r="X44" s="25"/>
      <c r="Y44" s="25"/>
      <c r="Z44" s="25"/>
      <c r="AA44" s="25"/>
      <c r="AB44" s="25"/>
    </row>
    <row r="45" spans="1:28">
      <c r="A45" s="6">
        <v>29768</v>
      </c>
      <c r="B45" s="36"/>
      <c r="C45" s="36"/>
      <c r="D45" s="35"/>
      <c r="E45" s="7">
        <v>51.6646</v>
      </c>
      <c r="F45" s="8">
        <f>IF(Tabela1511[[#This Row],[Industrial Production]]="",#N/A,((Tabela1511[[#This Row],[Industrial Production]]*1)/E44)-1)</f>
        <v>6.410768376659437E-3</v>
      </c>
      <c r="G45" s="8">
        <f>IF(Tabela1511[[#This Row],[Industrial Production]]="",#N/A,((Tabela1511[[#This Row],[Industrial Production]]*1)/E33)-1)</f>
        <v>6.5256073748909849E-2</v>
      </c>
      <c r="H45" s="7"/>
      <c r="I45" s="25"/>
      <c r="J45" s="25"/>
      <c r="K45" s="25"/>
      <c r="L45" s="25"/>
      <c r="M45" s="25"/>
      <c r="N45" s="25"/>
      <c r="O45" s="25"/>
      <c r="P45" s="25"/>
      <c r="Q45" s="25"/>
      <c r="R45" s="25"/>
      <c r="S45" s="25"/>
      <c r="T45" s="5">
        <v>74.099999999999994</v>
      </c>
      <c r="U45" s="5"/>
      <c r="V45" s="5"/>
      <c r="W45" s="25"/>
      <c r="X45" s="25"/>
      <c r="Y45" s="25"/>
      <c r="Z45" s="25"/>
      <c r="AA45" s="25"/>
      <c r="AB45" s="25"/>
    </row>
    <row r="46" spans="1:28">
      <c r="A46" s="6">
        <v>29799</v>
      </c>
      <c r="B46" s="36"/>
      <c r="C46" s="36"/>
      <c r="D46" s="35"/>
      <c r="E46" s="7">
        <v>51.604900000000001</v>
      </c>
      <c r="F46" s="8">
        <f>IF(Tabela1511[[#This Row],[Industrial Production]]="",#N/A,((Tabela1511[[#This Row],[Industrial Production]]*1)/E45)-1)</f>
        <v>-1.1555300921713973E-3</v>
      </c>
      <c r="G46" s="8">
        <f>IF(Tabela1511[[#This Row],[Industrial Production]]="",#N/A,((Tabela1511[[#This Row],[Industrial Production]]*1)/E34)-1)</f>
        <v>6.0620198374692125E-2</v>
      </c>
      <c r="H46" s="7"/>
      <c r="I46" s="25"/>
      <c r="J46" s="25"/>
      <c r="K46" s="25"/>
      <c r="L46" s="25"/>
      <c r="M46" s="25"/>
      <c r="N46" s="25"/>
      <c r="O46" s="25"/>
      <c r="P46" s="25"/>
      <c r="Q46" s="25"/>
      <c r="R46" s="25"/>
      <c r="S46" s="25"/>
      <c r="T46" s="5">
        <v>77.2</v>
      </c>
      <c r="U46" s="5"/>
      <c r="V46" s="5"/>
      <c r="W46" s="25"/>
      <c r="X46" s="25"/>
      <c r="Y46" s="25"/>
      <c r="Z46" s="25"/>
      <c r="AA46" s="25"/>
      <c r="AB46" s="25"/>
    </row>
    <row r="47" spans="1:28">
      <c r="A47" s="6">
        <v>29830</v>
      </c>
      <c r="B47" s="36"/>
      <c r="C47" s="36"/>
      <c r="D47" s="35"/>
      <c r="E47" s="7">
        <v>51.352699999999999</v>
      </c>
      <c r="F47" s="8">
        <f>IF(Tabela1511[[#This Row],[Industrial Production]]="",#N/A,((Tabela1511[[#This Row],[Industrial Production]]*1)/E46)-1)</f>
        <v>-4.8871328110315915E-3</v>
      </c>
      <c r="G47" s="8">
        <f>IF(Tabela1511[[#This Row],[Industrial Production]]="",#N/A,((Tabela1511[[#This Row],[Industrial Production]]*1)/E35)-1)</f>
        <v>3.8105672994701578E-2</v>
      </c>
      <c r="H47" s="7"/>
      <c r="I47" s="25"/>
      <c r="J47" s="25"/>
      <c r="K47" s="25"/>
      <c r="L47" s="25"/>
      <c r="M47" s="25"/>
      <c r="N47" s="25"/>
      <c r="O47" s="25"/>
      <c r="P47" s="25"/>
      <c r="Q47" s="25"/>
      <c r="R47" s="25"/>
      <c r="S47" s="25"/>
      <c r="T47" s="5">
        <v>73.099999999999994</v>
      </c>
      <c r="U47" s="5"/>
      <c r="V47" s="5"/>
      <c r="W47" s="25"/>
      <c r="X47" s="25"/>
      <c r="Y47" s="25"/>
      <c r="Z47" s="25"/>
      <c r="AA47" s="25"/>
      <c r="AB47" s="25"/>
    </row>
    <row r="48" spans="1:28">
      <c r="A48" s="6">
        <v>29860</v>
      </c>
      <c r="B48" s="36"/>
      <c r="C48" s="36"/>
      <c r="D48" s="35"/>
      <c r="E48" s="7">
        <v>50.958100000000002</v>
      </c>
      <c r="F48" s="8">
        <f>IF(Tabela1511[[#This Row],[Industrial Production]]="",#N/A,((Tabela1511[[#This Row],[Industrial Production]]*1)/E47)-1)</f>
        <v>-7.6841139803748293E-3</v>
      </c>
      <c r="G48" s="8">
        <f>IF(Tabela1511[[#This Row],[Industrial Production]]="",#N/A,((Tabela1511[[#This Row],[Industrial Production]]*1)/E36)-1)</f>
        <v>1.7235356235290267E-2</v>
      </c>
      <c r="H48" s="7"/>
      <c r="I48" s="25"/>
      <c r="J48" s="25"/>
      <c r="K48" s="25"/>
      <c r="L48" s="25"/>
      <c r="M48" s="25"/>
      <c r="N48" s="25"/>
      <c r="O48" s="25"/>
      <c r="P48" s="25"/>
      <c r="Q48" s="25"/>
      <c r="R48" s="25"/>
      <c r="S48" s="25"/>
      <c r="T48" s="5">
        <v>70.3</v>
      </c>
      <c r="U48" s="5"/>
      <c r="V48" s="5"/>
      <c r="W48" s="25"/>
      <c r="X48" s="25"/>
      <c r="Y48" s="25"/>
      <c r="Z48" s="25"/>
      <c r="AA48" s="25"/>
      <c r="AB48" s="25"/>
    </row>
    <row r="49" spans="1:28">
      <c r="A49" s="6">
        <v>29891</v>
      </c>
      <c r="B49" s="36"/>
      <c r="C49" s="36"/>
      <c r="D49" s="35"/>
      <c r="E49" s="7">
        <v>50.363399999999999</v>
      </c>
      <c r="F49" s="8">
        <f>IF(Tabela1511[[#This Row],[Industrial Production]]="",#N/A,((Tabela1511[[#This Row],[Industrial Production]]*1)/E48)-1)</f>
        <v>-1.1670372325498835E-2</v>
      </c>
      <c r="G49" s="8">
        <f>IF(Tabela1511[[#This Row],[Industrial Production]]="",#N/A,((Tabela1511[[#This Row],[Industrial Production]]*1)/E37)-1)</f>
        <v>-1.114643115895797E-2</v>
      </c>
      <c r="H49" s="7"/>
      <c r="I49" s="25"/>
      <c r="J49" s="25"/>
      <c r="K49" s="25"/>
      <c r="L49" s="25"/>
      <c r="M49" s="25"/>
      <c r="N49" s="25"/>
      <c r="O49" s="25"/>
      <c r="P49" s="25"/>
      <c r="Q49" s="25"/>
      <c r="R49" s="25"/>
      <c r="S49" s="25"/>
      <c r="T49" s="5">
        <v>62.5</v>
      </c>
      <c r="U49" s="5"/>
      <c r="V49" s="5"/>
      <c r="W49" s="25"/>
      <c r="X49" s="25"/>
      <c r="Y49" s="25"/>
      <c r="Z49" s="25"/>
      <c r="AA49" s="25"/>
      <c r="AB49" s="25"/>
    </row>
    <row r="50" spans="1:28">
      <c r="A50" s="6">
        <v>29921</v>
      </c>
      <c r="B50" s="36"/>
      <c r="C50" s="36"/>
      <c r="D50" s="35"/>
      <c r="E50" s="7">
        <v>49.818100000000001</v>
      </c>
      <c r="F50" s="8">
        <f>IF(Tabela1511[[#This Row],[Industrial Production]]="",#N/A,((Tabela1511[[#This Row],[Industrial Production]]*1)/E49)-1)</f>
        <v>-1.0827307131766273E-2</v>
      </c>
      <c r="G50" s="8">
        <f>IF(Tabela1511[[#This Row],[Industrial Production]]="",#N/A,((Tabela1511[[#This Row],[Industrial Production]]*1)/E38)-1)</f>
        <v>-2.8212560763414829E-2</v>
      </c>
      <c r="H50" s="7"/>
      <c r="I50" s="25"/>
      <c r="J50" s="25"/>
      <c r="K50" s="25"/>
      <c r="L50" s="25"/>
      <c r="M50" s="25"/>
      <c r="N50" s="25"/>
      <c r="O50" s="25"/>
      <c r="P50" s="25"/>
      <c r="Q50" s="25"/>
      <c r="R50" s="25"/>
      <c r="S50" s="25"/>
      <c r="T50" s="5">
        <v>64.3</v>
      </c>
      <c r="U50" s="5"/>
      <c r="V50" s="5"/>
      <c r="W50" s="25"/>
      <c r="X50" s="25"/>
      <c r="Y50" s="25"/>
      <c r="Z50" s="25"/>
      <c r="AA50" s="25"/>
      <c r="AB50" s="25"/>
    </row>
    <row r="51" spans="1:28">
      <c r="A51" s="6">
        <v>29952</v>
      </c>
      <c r="B51" s="36"/>
      <c r="C51" s="36"/>
      <c r="D51" s="35"/>
      <c r="E51" s="7">
        <v>48.797899999999998</v>
      </c>
      <c r="F51" s="8">
        <f>IF(Tabela1511[[#This Row],[Industrial Production]]="",#N/A,((Tabela1511[[#This Row],[Industrial Production]]*1)/E50)-1)</f>
        <v>-2.0478500785859E-2</v>
      </c>
      <c r="G51" s="8">
        <f>IF(Tabela1511[[#This Row],[Industrial Production]]="",#N/A,((Tabela1511[[#This Row],[Industrial Production]]*1)/E39)-1)</f>
        <v>-4.2151091464767254E-2</v>
      </c>
      <c r="H51" s="7"/>
      <c r="I51" s="25"/>
      <c r="J51" s="25"/>
      <c r="K51" s="25"/>
      <c r="L51" s="25"/>
      <c r="M51" s="25"/>
      <c r="N51" s="25"/>
      <c r="O51" s="25"/>
      <c r="P51" s="25"/>
      <c r="Q51" s="25"/>
      <c r="R51" s="25"/>
      <c r="S51" s="25"/>
      <c r="T51" s="5">
        <v>71</v>
      </c>
      <c r="U51" s="5"/>
      <c r="V51" s="5"/>
      <c r="W51" s="25"/>
      <c r="X51" s="25"/>
      <c r="Y51" s="25"/>
      <c r="Z51" s="25"/>
      <c r="AA51" s="25"/>
      <c r="AB51" s="25"/>
    </row>
    <row r="52" spans="1:28">
      <c r="A52" s="6">
        <v>29983</v>
      </c>
      <c r="B52" s="36"/>
      <c r="C52" s="36"/>
      <c r="D52" s="35"/>
      <c r="E52" s="7">
        <v>49.794199999999996</v>
      </c>
      <c r="F52" s="8">
        <f>IF(Tabela1511[[#This Row],[Industrial Production]]="",#N/A,((Tabela1511[[#This Row],[Industrial Production]]*1)/E51)-1)</f>
        <v>2.0416862201037222E-2</v>
      </c>
      <c r="G52" s="8">
        <f>IF(Tabela1511[[#This Row],[Industrial Production]]="",#N/A,((Tabela1511[[#This Row],[Industrial Production]]*1)/E40)-1)</f>
        <v>-1.8508590035716255E-2</v>
      </c>
      <c r="H52" s="7"/>
      <c r="I52" s="25"/>
      <c r="J52" s="25"/>
      <c r="K52" s="25"/>
      <c r="L52" s="25"/>
      <c r="M52" s="25"/>
      <c r="N52" s="25"/>
      <c r="O52" s="25"/>
      <c r="P52" s="25"/>
      <c r="Q52" s="25"/>
      <c r="R52" s="25"/>
      <c r="S52" s="25"/>
      <c r="T52" s="5">
        <v>66.5</v>
      </c>
      <c r="U52" s="5"/>
      <c r="V52" s="5"/>
      <c r="W52" s="25"/>
      <c r="X52" s="25"/>
      <c r="Y52" s="25"/>
      <c r="Z52" s="25"/>
      <c r="AA52" s="25"/>
      <c r="AB52" s="25"/>
    </row>
    <row r="53" spans="1:28">
      <c r="A53" s="6">
        <v>30011</v>
      </c>
      <c r="B53" s="36"/>
      <c r="C53" s="36"/>
      <c r="D53" s="35"/>
      <c r="E53" s="7">
        <v>49.459000000000003</v>
      </c>
      <c r="F53" s="8">
        <f>IF(Tabela1511[[#This Row],[Industrial Production]]="",#N/A,((Tabela1511[[#This Row],[Industrial Production]]*1)/E52)-1)</f>
        <v>-6.7317077089298349E-3</v>
      </c>
      <c r="G53" s="8">
        <f>IF(Tabela1511[[#This Row],[Industrial Production]]="",#N/A,((Tabela1511[[#This Row],[Industrial Production]]*1)/E41)-1)</f>
        <v>-3.0067343632947607E-2</v>
      </c>
      <c r="H53" s="7"/>
      <c r="I53" s="25"/>
      <c r="J53" s="25"/>
      <c r="K53" s="25"/>
      <c r="L53" s="25"/>
      <c r="M53" s="25"/>
      <c r="N53" s="25"/>
      <c r="O53" s="25"/>
      <c r="P53" s="25"/>
      <c r="Q53" s="25"/>
      <c r="R53" s="25"/>
      <c r="S53" s="25"/>
      <c r="T53" s="5">
        <v>62</v>
      </c>
      <c r="U53" s="5"/>
      <c r="V53" s="5"/>
      <c r="W53" s="25"/>
      <c r="X53" s="25"/>
      <c r="Y53" s="25"/>
      <c r="Z53" s="25"/>
      <c r="AA53" s="25"/>
      <c r="AB53" s="25"/>
    </row>
    <row r="54" spans="1:28">
      <c r="A54" s="6">
        <v>30042</v>
      </c>
      <c r="B54" s="36"/>
      <c r="C54" s="36"/>
      <c r="D54" s="35"/>
      <c r="E54" s="7">
        <v>49.007199999999997</v>
      </c>
      <c r="F54" s="8">
        <f>IF(Tabela1511[[#This Row],[Industrial Production]]="",#N/A,((Tabela1511[[#This Row],[Industrial Production]]*1)/E53)-1)</f>
        <v>-9.1348389575205413E-3</v>
      </c>
      <c r="G54" s="8">
        <f>IF(Tabela1511[[#This Row],[Industrial Production]]="",#N/A,((Tabela1511[[#This Row],[Industrial Production]]*1)/E42)-1)</f>
        <v>-3.4873370357241362E-2</v>
      </c>
      <c r="H54" s="7"/>
      <c r="I54" s="25"/>
      <c r="J54" s="25"/>
      <c r="K54" s="25"/>
      <c r="L54" s="25"/>
      <c r="M54" s="25"/>
      <c r="N54" s="25"/>
      <c r="O54" s="25"/>
      <c r="P54" s="25"/>
      <c r="Q54" s="25"/>
      <c r="R54" s="25"/>
      <c r="S54" s="25"/>
      <c r="T54" s="5">
        <v>65.5</v>
      </c>
      <c r="U54" s="5"/>
      <c r="V54" s="5"/>
      <c r="W54" s="25"/>
      <c r="X54" s="25"/>
      <c r="Y54" s="25"/>
      <c r="Z54" s="25"/>
      <c r="AA54" s="25"/>
      <c r="AB54" s="25"/>
    </row>
    <row r="55" spans="1:28">
      <c r="A55" s="6">
        <v>30072</v>
      </c>
      <c r="B55" s="36"/>
      <c r="C55" s="36"/>
      <c r="D55" s="35"/>
      <c r="E55" s="7">
        <v>48.678400000000003</v>
      </c>
      <c r="F55" s="8">
        <f>IF(Tabela1511[[#This Row],[Industrial Production]]="",#N/A,((Tabela1511[[#This Row],[Industrial Production]]*1)/E54)-1)</f>
        <v>-6.7092182373200693E-3</v>
      </c>
      <c r="G55" s="8">
        <f>IF(Tabela1511[[#This Row],[Industrial Production]]="",#N/A,((Tabela1511[[#This Row],[Industrial Production]]*1)/E43)-1)</f>
        <v>-4.6768246234826116E-2</v>
      </c>
      <c r="H55" s="7"/>
      <c r="I55" s="25"/>
      <c r="J55" s="25"/>
      <c r="K55" s="25"/>
      <c r="L55" s="25"/>
      <c r="M55" s="25"/>
      <c r="N55" s="25"/>
      <c r="O55" s="25"/>
      <c r="P55" s="25"/>
      <c r="Q55" s="25"/>
      <c r="R55" s="25"/>
      <c r="S55" s="25"/>
      <c r="T55" s="5">
        <v>67.5</v>
      </c>
      <c r="U55" s="5"/>
      <c r="V55" s="5"/>
      <c r="W55" s="25"/>
      <c r="X55" s="25"/>
      <c r="Y55" s="25"/>
      <c r="Z55" s="25"/>
      <c r="AA55" s="25"/>
      <c r="AB55" s="25"/>
    </row>
    <row r="56" spans="1:28">
      <c r="A56" s="6">
        <v>30103</v>
      </c>
      <c r="B56" s="36"/>
      <c r="C56" s="36"/>
      <c r="D56" s="35"/>
      <c r="E56" s="7">
        <v>48.552900000000001</v>
      </c>
      <c r="F56" s="8">
        <f>IF(Tabela1511[[#This Row],[Industrial Production]]="",#N/A,((Tabela1511[[#This Row],[Industrial Production]]*1)/E55)-1)</f>
        <v>-2.5781455429924049E-3</v>
      </c>
      <c r="G56" s="8">
        <f>IF(Tabela1511[[#This Row],[Industrial Production]]="",#N/A,((Tabela1511[[#This Row],[Industrial Production]]*1)/E44)-1)</f>
        <v>-5.4204205666643968E-2</v>
      </c>
      <c r="H56" s="7"/>
      <c r="I56" s="25"/>
      <c r="J56" s="25"/>
      <c r="K56" s="25"/>
      <c r="L56" s="25"/>
      <c r="M56" s="25"/>
      <c r="N56" s="25"/>
      <c r="O56" s="25"/>
      <c r="P56" s="25"/>
      <c r="Q56" s="25"/>
      <c r="R56" s="25"/>
      <c r="S56" s="25"/>
      <c r="T56" s="5">
        <v>65.7</v>
      </c>
      <c r="U56" s="5"/>
      <c r="V56" s="5"/>
      <c r="W56" s="25"/>
      <c r="X56" s="25"/>
      <c r="Y56" s="25"/>
      <c r="Z56" s="25"/>
      <c r="AA56" s="25"/>
      <c r="AB56" s="25"/>
    </row>
    <row r="57" spans="1:28">
      <c r="A57" s="6">
        <v>30133</v>
      </c>
      <c r="B57" s="36"/>
      <c r="C57" s="36"/>
      <c r="D57" s="35"/>
      <c r="E57" s="7">
        <v>48.385899999999999</v>
      </c>
      <c r="F57" s="8">
        <f>IF(Tabela1511[[#This Row],[Industrial Production]]="",#N/A,((Tabela1511[[#This Row],[Industrial Production]]*1)/E56)-1)</f>
        <v>-3.4395473802800725E-3</v>
      </c>
      <c r="G57" s="8">
        <f>IF(Tabela1511[[#This Row],[Industrial Production]]="",#N/A,((Tabela1511[[#This Row],[Industrial Production]]*1)/E45)-1)</f>
        <v>-6.3461248127344438E-2</v>
      </c>
      <c r="H57" s="7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5">
        <v>65.400000000000006</v>
      </c>
      <c r="U57" s="5"/>
      <c r="V57" s="5"/>
      <c r="W57" s="25"/>
      <c r="X57" s="25"/>
      <c r="Y57" s="25"/>
      <c r="Z57" s="25"/>
      <c r="AA57" s="25"/>
      <c r="AB57" s="25"/>
    </row>
    <row r="58" spans="1:28">
      <c r="A58" s="6">
        <v>30164</v>
      </c>
      <c r="B58" s="36"/>
      <c r="C58" s="36"/>
      <c r="D58" s="35"/>
      <c r="E58" s="7">
        <v>47.9495</v>
      </c>
      <c r="F58" s="8">
        <f>IF(Tabela1511[[#This Row],[Industrial Production]]="",#N/A,((Tabela1511[[#This Row],[Industrial Production]]*1)/E57)-1)</f>
        <v>-9.0191564071351316E-3</v>
      </c>
      <c r="G58" s="8">
        <f>IF(Tabela1511[[#This Row],[Industrial Production]]="",#N/A,((Tabela1511[[#This Row],[Industrial Production]]*1)/E46)-1)</f>
        <v>-7.0834358752754123E-2</v>
      </c>
      <c r="H58" s="7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5">
        <v>65.400000000000006</v>
      </c>
      <c r="U58" s="5"/>
      <c r="V58" s="5"/>
      <c r="W58" s="25"/>
      <c r="X58" s="25"/>
      <c r="Y58" s="25"/>
      <c r="Z58" s="25"/>
      <c r="AA58" s="25"/>
      <c r="AB58" s="25"/>
    </row>
    <row r="59" spans="1:28">
      <c r="A59" s="6">
        <v>30195</v>
      </c>
      <c r="B59" s="36"/>
      <c r="C59" s="36"/>
      <c r="D59" s="35"/>
      <c r="E59" s="7">
        <v>47.825800000000001</v>
      </c>
      <c r="F59" s="8">
        <f>IF(Tabela1511[[#This Row],[Industrial Production]]="",#N/A,((Tabela1511[[#This Row],[Industrial Production]]*1)/E58)-1)</f>
        <v>-2.5797974952814773E-3</v>
      </c>
      <c r="G59" s="8">
        <f>IF(Tabela1511[[#This Row],[Industrial Production]]="",#N/A,((Tabela1511[[#This Row],[Industrial Production]]*1)/E47)-1)</f>
        <v>-6.867993309017828E-2</v>
      </c>
      <c r="H59" s="7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5">
        <v>69.3</v>
      </c>
      <c r="U59" s="5"/>
      <c r="V59" s="5"/>
      <c r="W59" s="25"/>
      <c r="X59" s="25"/>
      <c r="Y59" s="25"/>
      <c r="Z59" s="25"/>
      <c r="AA59" s="25"/>
      <c r="AB59" s="25"/>
    </row>
    <row r="60" spans="1:28">
      <c r="A60" s="6">
        <v>30225</v>
      </c>
      <c r="B60" s="36"/>
      <c r="C60" s="36"/>
      <c r="D60" s="35"/>
      <c r="E60" s="7">
        <v>47.365600000000001</v>
      </c>
      <c r="F60" s="8">
        <f>IF(Tabela1511[[#This Row],[Industrial Production]]="",#N/A,((Tabela1511[[#This Row],[Industrial Production]]*1)/E59)-1)</f>
        <v>-9.6224213708918649E-3</v>
      </c>
      <c r="G60" s="8">
        <f>IF(Tabela1511[[#This Row],[Industrial Production]]="",#N/A,((Tabela1511[[#This Row],[Industrial Production]]*1)/E48)-1)</f>
        <v>-7.0499096316385401E-2</v>
      </c>
      <c r="H60" s="7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5">
        <v>73.400000000000006</v>
      </c>
      <c r="U60" s="5"/>
      <c r="V60" s="5"/>
      <c r="W60" s="25"/>
      <c r="X60" s="25"/>
      <c r="Y60" s="25"/>
      <c r="Z60" s="25"/>
      <c r="AA60" s="25"/>
      <c r="AB60" s="25"/>
    </row>
    <row r="61" spans="1:28">
      <c r="A61" s="6">
        <v>30256</v>
      </c>
      <c r="B61" s="36"/>
      <c r="C61" s="36"/>
      <c r="D61" s="35"/>
      <c r="E61" s="7">
        <v>47.214799999999997</v>
      </c>
      <c r="F61" s="8">
        <f>IF(Tabela1511[[#This Row],[Industrial Production]]="",#N/A,((Tabela1511[[#This Row],[Industrial Production]]*1)/E60)-1)</f>
        <v>-3.1837451652676485E-3</v>
      </c>
      <c r="G61" s="8">
        <f>IF(Tabela1511[[#This Row],[Industrial Production]]="",#N/A,((Tabela1511[[#This Row],[Industrial Production]]*1)/E49)-1)</f>
        <v>-6.2517621923857458E-2</v>
      </c>
      <c r="H61" s="7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5">
        <v>72.099999999999994</v>
      </c>
      <c r="U61" s="5"/>
      <c r="V61" s="5"/>
      <c r="W61" s="25"/>
      <c r="X61" s="25"/>
      <c r="Y61" s="25"/>
      <c r="Z61" s="25"/>
      <c r="AA61" s="25"/>
      <c r="AB61" s="25"/>
    </row>
    <row r="62" spans="1:28">
      <c r="A62" s="6">
        <v>30286</v>
      </c>
      <c r="B62" s="36"/>
      <c r="C62" s="36"/>
      <c r="D62" s="35"/>
      <c r="E62" s="7">
        <v>46.8797</v>
      </c>
      <c r="F62" s="8">
        <f>IF(Tabela1511[[#This Row],[Industrial Production]]="",#N/A,((Tabela1511[[#This Row],[Industrial Production]]*1)/E61)-1)</f>
        <v>-7.0973508306716449E-3</v>
      </c>
      <c r="G62" s="8">
        <f>IF(Tabela1511[[#This Row],[Industrial Production]]="",#N/A,((Tabela1511[[#This Row],[Industrial Production]]*1)/E50)-1)</f>
        <v>-5.8982578621023296E-2</v>
      </c>
      <c r="H62" s="7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5">
        <v>71.900000000000006</v>
      </c>
      <c r="U62" s="5"/>
      <c r="V62" s="5"/>
      <c r="W62" s="25"/>
      <c r="X62" s="25"/>
      <c r="Y62" s="25"/>
      <c r="Z62" s="25"/>
      <c r="AA62" s="25"/>
      <c r="AB62" s="25"/>
    </row>
    <row r="63" spans="1:28">
      <c r="A63" s="6">
        <v>30317</v>
      </c>
      <c r="B63" s="36"/>
      <c r="C63" s="36"/>
      <c r="D63" s="35"/>
      <c r="E63" s="7">
        <v>47.749099999999999</v>
      </c>
      <c r="F63" s="8">
        <f>IF(Tabela1511[[#This Row],[Industrial Production]]="",#N/A,((Tabela1511[[#This Row],[Industrial Production]]*1)/E62)-1)</f>
        <v>1.8545340520523812E-2</v>
      </c>
      <c r="G63" s="8">
        <f>IF(Tabela1511[[#This Row],[Industrial Production]]="",#N/A,((Tabela1511[[#This Row],[Industrial Production]]*1)/E51)-1)</f>
        <v>-2.1492728170679487E-2</v>
      </c>
      <c r="H63" s="7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5">
        <v>70.400000000000006</v>
      </c>
      <c r="U63" s="5"/>
      <c r="V63" s="5"/>
      <c r="W63" s="25"/>
      <c r="X63" s="25"/>
      <c r="Y63" s="25"/>
      <c r="Z63" s="25"/>
      <c r="AA63" s="25"/>
      <c r="AB63" s="25"/>
    </row>
    <row r="64" spans="1:28">
      <c r="A64" s="6">
        <v>30348</v>
      </c>
      <c r="B64" s="36"/>
      <c r="C64" s="36"/>
      <c r="D64" s="35"/>
      <c r="E64" s="7">
        <v>47.454799999999999</v>
      </c>
      <c r="F64" s="8">
        <f>IF(Tabela1511[[#This Row],[Industrial Production]]="",#N/A,((Tabela1511[[#This Row],[Industrial Production]]*1)/E63)-1)</f>
        <v>-6.1634669553981558E-3</v>
      </c>
      <c r="G64" s="8">
        <f>IF(Tabela1511[[#This Row],[Industrial Production]]="",#N/A,((Tabela1511[[#This Row],[Industrial Production]]*1)/E52)-1)</f>
        <v>-4.6981375340903075E-2</v>
      </c>
      <c r="H64" s="7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5">
        <v>74.599999999999994</v>
      </c>
      <c r="U64" s="5"/>
      <c r="V64" s="5"/>
      <c r="W64" s="25"/>
      <c r="X64" s="25"/>
      <c r="Y64" s="25"/>
      <c r="Z64" s="25"/>
      <c r="AA64" s="25"/>
      <c r="AB64" s="25"/>
    </row>
    <row r="65" spans="1:28">
      <c r="A65" s="6">
        <v>30376</v>
      </c>
      <c r="B65" s="36"/>
      <c r="C65" s="36"/>
      <c r="D65" s="35"/>
      <c r="E65" s="7">
        <v>47.851599999999998</v>
      </c>
      <c r="F65" s="8">
        <f>IF(Tabela1511[[#This Row],[Industrial Production]]="",#N/A,((Tabela1511[[#This Row],[Industrial Production]]*1)/E64)-1)</f>
        <v>8.3616409720408402E-3</v>
      </c>
      <c r="G65" s="8">
        <f>IF(Tabela1511[[#This Row],[Industrial Production]]="",#N/A,((Tabela1511[[#This Row],[Industrial Production]]*1)/E53)-1)</f>
        <v>-3.2499646171576524E-2</v>
      </c>
      <c r="H65" s="7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5">
        <v>80.8</v>
      </c>
      <c r="U65" s="5"/>
      <c r="V65" s="5"/>
      <c r="W65" s="25"/>
      <c r="X65" s="25"/>
      <c r="Y65" s="25"/>
      <c r="Z65" s="25"/>
      <c r="AA65" s="25"/>
      <c r="AB65" s="25"/>
    </row>
    <row r="66" spans="1:28">
      <c r="A66" s="6">
        <v>30407</v>
      </c>
      <c r="B66" s="36"/>
      <c r="C66" s="36"/>
      <c r="D66" s="35"/>
      <c r="E66" s="7">
        <v>48.451099999999997</v>
      </c>
      <c r="F66" s="8">
        <f>IF(Tabela1511[[#This Row],[Industrial Production]]="",#N/A,((Tabela1511[[#This Row],[Industrial Production]]*1)/E65)-1)</f>
        <v>1.2528316712502763E-2</v>
      </c>
      <c r="G66" s="8">
        <f>IF(Tabela1511[[#This Row],[Industrial Production]]="",#N/A,((Tabela1511[[#This Row],[Industrial Production]]*1)/E54)-1)</f>
        <v>-1.1347312231672069E-2</v>
      </c>
      <c r="H66" s="7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5">
        <v>89.1</v>
      </c>
      <c r="U66" s="5"/>
      <c r="V66" s="5"/>
      <c r="W66" s="25"/>
      <c r="X66" s="25"/>
      <c r="Y66" s="25"/>
      <c r="Z66" s="25"/>
      <c r="AA66" s="25"/>
      <c r="AB66" s="25"/>
    </row>
    <row r="67" spans="1:28">
      <c r="A67" s="6">
        <v>30437</v>
      </c>
      <c r="B67" s="36"/>
      <c r="C67" s="36"/>
      <c r="D67" s="35"/>
      <c r="E67" s="7">
        <v>48.754199999999997</v>
      </c>
      <c r="F67" s="8">
        <f>IF(Tabela1511[[#This Row],[Industrial Production]]="",#N/A,((Tabela1511[[#This Row],[Industrial Production]]*1)/E66)-1)</f>
        <v>6.255791922164855E-3</v>
      </c>
      <c r="G67" s="8">
        <f>IF(Tabela1511[[#This Row],[Industrial Production]]="",#N/A,((Tabela1511[[#This Row],[Industrial Production]]*1)/E55)-1)</f>
        <v>1.557158821982485E-3</v>
      </c>
      <c r="H67" s="7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5">
        <v>93.3</v>
      </c>
      <c r="U67" s="5"/>
      <c r="V67" s="5"/>
      <c r="W67" s="25"/>
      <c r="X67" s="25"/>
      <c r="Y67" s="25"/>
      <c r="Z67" s="25"/>
      <c r="AA67" s="25"/>
      <c r="AB67" s="25"/>
    </row>
    <row r="68" spans="1:28">
      <c r="A68" s="6">
        <v>30468</v>
      </c>
      <c r="B68" s="36"/>
      <c r="C68" s="36"/>
      <c r="D68" s="35"/>
      <c r="E68" s="7">
        <v>49.049599999999998</v>
      </c>
      <c r="F68" s="8">
        <f>IF(Tabela1511[[#This Row],[Industrial Production]]="",#N/A,((Tabela1511[[#This Row],[Industrial Production]]*1)/E67)-1)</f>
        <v>6.0589651763336416E-3</v>
      </c>
      <c r="G68" s="8">
        <f>IF(Tabela1511[[#This Row],[Industrial Production]]="",#N/A,((Tabela1511[[#This Row],[Industrial Production]]*1)/E56)-1)</f>
        <v>1.0230078944820864E-2</v>
      </c>
      <c r="H68" s="7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5">
        <v>92.2</v>
      </c>
      <c r="U68" s="5"/>
      <c r="V68" s="5"/>
      <c r="W68" s="25"/>
      <c r="X68" s="25"/>
      <c r="Y68" s="25"/>
      <c r="Z68" s="25"/>
      <c r="AA68" s="25"/>
      <c r="AB68" s="25"/>
    </row>
    <row r="69" spans="1:28">
      <c r="A69" s="6">
        <v>30498</v>
      </c>
      <c r="B69" s="36"/>
      <c r="C69" s="36"/>
      <c r="D69" s="35"/>
      <c r="E69" s="7">
        <v>49.777299999999997</v>
      </c>
      <c r="F69" s="8">
        <f>IF(Tabela1511[[#This Row],[Industrial Production]]="",#N/A,((Tabela1511[[#This Row],[Industrial Production]]*1)/E68)-1)</f>
        <v>1.4836002740083565E-2</v>
      </c>
      <c r="G69" s="8">
        <f>IF(Tabela1511[[#This Row],[Industrial Production]]="",#N/A,((Tabela1511[[#This Row],[Industrial Production]]*1)/E57)-1)</f>
        <v>2.8756311239431342E-2</v>
      </c>
      <c r="H69" s="7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5">
        <v>92.8</v>
      </c>
      <c r="U69" s="5"/>
      <c r="V69" s="5"/>
      <c r="W69" s="25"/>
      <c r="X69" s="25"/>
      <c r="Y69" s="25"/>
      <c r="Z69" s="25"/>
      <c r="AA69" s="25"/>
      <c r="AB69" s="25"/>
    </row>
    <row r="70" spans="1:28">
      <c r="A70" s="6">
        <v>30529</v>
      </c>
      <c r="B70" s="36"/>
      <c r="C70" s="36"/>
      <c r="D70" s="35"/>
      <c r="E70" s="7">
        <v>50.372700000000002</v>
      </c>
      <c r="F70" s="8">
        <f>IF(Tabela1511[[#This Row],[Industrial Production]]="",#N/A,((Tabela1511[[#This Row],[Industrial Production]]*1)/E69)-1)</f>
        <v>1.1961275521171322E-2</v>
      </c>
      <c r="G70" s="8">
        <f>IF(Tabela1511[[#This Row],[Industrial Production]]="",#N/A,((Tabela1511[[#This Row],[Industrial Production]]*1)/E58)-1)</f>
        <v>5.0536501944754342E-2</v>
      </c>
      <c r="H70" s="7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5">
        <v>90.9</v>
      </c>
      <c r="U70" s="5"/>
      <c r="V70" s="5"/>
      <c r="W70" s="25"/>
      <c r="X70" s="25"/>
      <c r="Y70" s="25"/>
      <c r="Z70" s="25"/>
      <c r="AA70" s="25"/>
      <c r="AB70" s="25"/>
    </row>
    <row r="71" spans="1:28">
      <c r="A71" s="6">
        <v>30560</v>
      </c>
      <c r="B71" s="36"/>
      <c r="C71" s="36"/>
      <c r="D71" s="35"/>
      <c r="E71" s="7">
        <v>51.097999999999999</v>
      </c>
      <c r="F71" s="8">
        <f>IF(Tabela1511[[#This Row],[Industrial Production]]="",#N/A,((Tabela1511[[#This Row],[Industrial Production]]*1)/E70)-1)</f>
        <v>1.4398672296700443E-2</v>
      </c>
      <c r="G71" s="8">
        <f>IF(Tabela1511[[#This Row],[Industrial Production]]="",#N/A,((Tabela1511[[#This Row],[Industrial Production]]*1)/E59)-1)</f>
        <v>6.8419137787554041E-2</v>
      </c>
      <c r="H71" s="7"/>
      <c r="I71" s="25"/>
      <c r="J71" s="25"/>
      <c r="K71" s="25"/>
      <c r="L71" s="25"/>
      <c r="M71" s="25"/>
      <c r="N71" s="25"/>
      <c r="O71" s="25"/>
      <c r="P71" s="25"/>
      <c r="Q71" s="25"/>
      <c r="R71" s="25"/>
      <c r="S71" s="25"/>
      <c r="T71" s="5">
        <v>89.9</v>
      </c>
      <c r="U71" s="5"/>
      <c r="V71" s="5"/>
      <c r="W71" s="25"/>
      <c r="X71" s="25"/>
      <c r="Y71" s="25"/>
      <c r="Z71" s="25"/>
      <c r="AA71" s="25"/>
      <c r="AB71" s="25"/>
    </row>
    <row r="72" spans="1:28">
      <c r="A72" s="6">
        <v>30590</v>
      </c>
      <c r="B72" s="36"/>
      <c r="C72" s="36"/>
      <c r="D72" s="35"/>
      <c r="E72" s="7">
        <v>51.499299999999998</v>
      </c>
      <c r="F72" s="8">
        <f>IF(Tabela1511[[#This Row],[Industrial Production]]="",#N/A,((Tabela1511[[#This Row],[Industrial Production]]*1)/E71)-1)</f>
        <v>7.8535363419311999E-3</v>
      </c>
      <c r="G72" s="8">
        <f>IF(Tabela1511[[#This Row],[Industrial Production]]="",#N/A,((Tabela1511[[#This Row],[Industrial Production]]*1)/E60)-1)</f>
        <v>8.7272197544209229E-2</v>
      </c>
      <c r="H72" s="7"/>
      <c r="I72" s="25"/>
      <c r="J72" s="25"/>
      <c r="K72" s="25"/>
      <c r="L72" s="25"/>
      <c r="M72" s="25"/>
      <c r="N72" s="25"/>
      <c r="O72" s="25"/>
      <c r="P72" s="25"/>
      <c r="Q72" s="25"/>
      <c r="R72" s="25"/>
      <c r="S72" s="25"/>
      <c r="T72" s="5">
        <v>89.3</v>
      </c>
      <c r="U72" s="5"/>
      <c r="V72" s="5"/>
      <c r="W72" s="25"/>
      <c r="X72" s="25"/>
      <c r="Y72" s="25"/>
      <c r="Z72" s="25"/>
      <c r="AA72" s="25"/>
      <c r="AB72" s="25"/>
    </row>
    <row r="73" spans="1:28">
      <c r="A73" s="6">
        <v>30621</v>
      </c>
      <c r="B73" s="36"/>
      <c r="C73" s="36"/>
      <c r="D73" s="35"/>
      <c r="E73" s="7">
        <v>51.726999999999997</v>
      </c>
      <c r="F73" s="8">
        <f>IF(Tabela1511[[#This Row],[Industrial Production]]="",#N/A,((Tabela1511[[#This Row],[Industrial Production]]*1)/E72)-1)</f>
        <v>4.4214193202625207E-3</v>
      </c>
      <c r="G73" s="8">
        <f>IF(Tabela1511[[#This Row],[Industrial Production]]="",#N/A,((Tabela1511[[#This Row],[Industrial Production]]*1)/E61)-1)</f>
        <v>9.556749154925992E-2</v>
      </c>
      <c r="H73" s="7"/>
      <c r="I73" s="25"/>
      <c r="J73" s="25"/>
      <c r="K73" s="25"/>
      <c r="L73" s="25"/>
      <c r="M73" s="25"/>
      <c r="N73" s="25"/>
      <c r="O73" s="25"/>
      <c r="P73" s="25"/>
      <c r="Q73" s="25"/>
      <c r="R73" s="25"/>
      <c r="S73" s="25"/>
      <c r="T73" s="5">
        <v>91.1</v>
      </c>
      <c r="U73" s="5"/>
      <c r="V73" s="5"/>
      <c r="W73" s="25"/>
      <c r="X73" s="25"/>
      <c r="Y73" s="25"/>
      <c r="Z73" s="25"/>
      <c r="AA73" s="25"/>
      <c r="AB73" s="25"/>
    </row>
    <row r="74" spans="1:28">
      <c r="A74" s="6">
        <v>30651</v>
      </c>
      <c r="B74" s="36"/>
      <c r="C74" s="36"/>
      <c r="D74" s="35"/>
      <c r="E74" s="7">
        <v>51.988599999999998</v>
      </c>
      <c r="F74" s="8">
        <f>IF(Tabela1511[[#This Row],[Industrial Production]]="",#N/A,((Tabela1511[[#This Row],[Industrial Production]]*1)/E73)-1)</f>
        <v>5.057320161617751E-3</v>
      </c>
      <c r="G74" s="8">
        <f>IF(Tabela1511[[#This Row],[Industrial Production]]="",#N/A,((Tabela1511[[#This Row],[Industrial Production]]*1)/E62)-1)</f>
        <v>0.10897893971164496</v>
      </c>
      <c r="H74" s="7"/>
      <c r="I74" s="25"/>
      <c r="J74" s="25"/>
      <c r="K74" s="25"/>
      <c r="L74" s="25"/>
      <c r="M74" s="25"/>
      <c r="N74" s="25"/>
      <c r="O74" s="25"/>
      <c r="P74" s="25"/>
      <c r="Q74" s="25"/>
      <c r="R74" s="25"/>
      <c r="S74" s="25"/>
      <c r="T74" s="5">
        <v>94.2</v>
      </c>
      <c r="U74" s="5"/>
      <c r="V74" s="5"/>
      <c r="W74" s="25"/>
      <c r="X74" s="25"/>
      <c r="Y74" s="25"/>
      <c r="Z74" s="25"/>
      <c r="AA74" s="25"/>
      <c r="AB74" s="25"/>
    </row>
    <row r="75" spans="1:28">
      <c r="A75" s="6">
        <v>30682</v>
      </c>
      <c r="B75" s="36"/>
      <c r="C75" s="36"/>
      <c r="D75" s="35"/>
      <c r="E75" s="7">
        <v>53.017499999999998</v>
      </c>
      <c r="F75" s="8">
        <f>IF(Tabela1511[[#This Row],[Industrial Production]]="",#N/A,((Tabela1511[[#This Row],[Industrial Production]]*1)/E74)-1)</f>
        <v>1.9790877230777548E-2</v>
      </c>
      <c r="G75" s="8">
        <f>IF(Tabela1511[[#This Row],[Industrial Production]]="",#N/A,((Tabela1511[[#This Row],[Industrial Production]]*1)/E63)-1)</f>
        <v>0.11033506390696379</v>
      </c>
      <c r="H75" s="7"/>
      <c r="I75" s="25"/>
      <c r="J75" s="25"/>
      <c r="K75" s="25"/>
      <c r="L75" s="25"/>
      <c r="M75" s="25"/>
      <c r="N75" s="25"/>
      <c r="O75" s="25"/>
      <c r="P75" s="25"/>
      <c r="Q75" s="25"/>
      <c r="R75" s="25"/>
      <c r="S75" s="25"/>
      <c r="T75" s="5">
        <v>100.1</v>
      </c>
      <c r="U75" s="5"/>
      <c r="V75" s="5"/>
      <c r="W75" s="25"/>
      <c r="X75" s="25"/>
      <c r="Y75" s="25"/>
      <c r="Z75" s="25"/>
      <c r="AA75" s="25"/>
      <c r="AB75" s="25"/>
    </row>
    <row r="76" spans="1:28">
      <c r="A76" s="6">
        <v>30713</v>
      </c>
      <c r="B76" s="36"/>
      <c r="C76" s="36"/>
      <c r="D76" s="35"/>
      <c r="E76" s="7">
        <v>53.265099999999997</v>
      </c>
      <c r="F76" s="8">
        <f>IF(Tabela1511[[#This Row],[Industrial Production]]="",#N/A,((Tabela1511[[#This Row],[Industrial Production]]*1)/E75)-1)</f>
        <v>4.6701560805393338E-3</v>
      </c>
      <c r="G76" s="8">
        <f>IF(Tabela1511[[#This Row],[Industrial Production]]="",#N/A,((Tabela1511[[#This Row],[Industrial Production]]*1)/E64)-1)</f>
        <v>0.12243861527179534</v>
      </c>
      <c r="H76" s="7"/>
      <c r="I76" s="25"/>
      <c r="J76" s="25"/>
      <c r="K76" s="25"/>
      <c r="L76" s="25"/>
      <c r="M76" s="25"/>
      <c r="N76" s="25"/>
      <c r="O76" s="25"/>
      <c r="P76" s="25"/>
      <c r="Q76" s="25"/>
      <c r="R76" s="25"/>
      <c r="S76" s="25"/>
      <c r="T76" s="5">
        <v>97.4</v>
      </c>
      <c r="U76" s="5"/>
      <c r="V76" s="5"/>
      <c r="W76" s="25"/>
      <c r="X76" s="25"/>
      <c r="Y76" s="25"/>
      <c r="Z76" s="25"/>
      <c r="AA76" s="25"/>
      <c r="AB76" s="25"/>
    </row>
    <row r="77" spans="1:28">
      <c r="A77" s="6">
        <v>30742</v>
      </c>
      <c r="B77" s="36"/>
      <c r="C77" s="36"/>
      <c r="D77" s="35"/>
      <c r="E77" s="7">
        <v>53.514499999999998</v>
      </c>
      <c r="F77" s="8">
        <f>IF(Tabela1511[[#This Row],[Industrial Production]]="",#N/A,((Tabela1511[[#This Row],[Industrial Production]]*1)/E76)-1)</f>
        <v>4.6822403412365432E-3</v>
      </c>
      <c r="G77" s="8">
        <f>IF(Tabela1511[[#This Row],[Industrial Production]]="",#N/A,((Tabela1511[[#This Row],[Industrial Production]]*1)/E65)-1)</f>
        <v>0.11834296031898628</v>
      </c>
      <c r="H77" s="7"/>
      <c r="I77" s="25"/>
      <c r="J77" s="25"/>
      <c r="K77" s="25"/>
      <c r="L77" s="25"/>
      <c r="M77" s="25"/>
      <c r="N77" s="25"/>
      <c r="O77" s="25"/>
      <c r="P77" s="25"/>
      <c r="Q77" s="25"/>
      <c r="R77" s="25"/>
      <c r="S77" s="25"/>
      <c r="T77" s="5">
        <v>101</v>
      </c>
      <c r="U77" s="5"/>
      <c r="V77" s="5"/>
      <c r="W77" s="25"/>
      <c r="X77" s="25"/>
      <c r="Y77" s="25"/>
      <c r="Z77" s="25"/>
      <c r="AA77" s="25"/>
      <c r="AB77" s="25"/>
    </row>
    <row r="78" spans="1:28">
      <c r="A78" s="6">
        <v>30773</v>
      </c>
      <c r="B78" s="36"/>
      <c r="C78" s="36"/>
      <c r="D78" s="35"/>
      <c r="E78" s="7">
        <v>53.831899999999997</v>
      </c>
      <c r="F78" s="8">
        <f>IF(Tabela1511[[#This Row],[Industrial Production]]="",#N/A,((Tabela1511[[#This Row],[Industrial Production]]*1)/E77)-1)</f>
        <v>5.9311027852264608E-3</v>
      </c>
      <c r="G78" s="8">
        <f>IF(Tabela1511[[#This Row],[Industrial Production]]="",#N/A,((Tabela1511[[#This Row],[Industrial Production]]*1)/E66)-1)</f>
        <v>0.11105630212729944</v>
      </c>
      <c r="H78" s="7"/>
      <c r="I78" s="25"/>
      <c r="J78" s="25"/>
      <c r="K78" s="25"/>
      <c r="L78" s="25"/>
      <c r="M78" s="25"/>
      <c r="N78" s="25"/>
      <c r="O78" s="25"/>
      <c r="P78" s="25"/>
      <c r="Q78" s="25"/>
      <c r="R78" s="25"/>
      <c r="S78" s="25"/>
      <c r="T78" s="5">
        <v>96.1</v>
      </c>
      <c r="U78" s="5"/>
      <c r="V78" s="5"/>
      <c r="W78" s="25"/>
      <c r="X78" s="25"/>
      <c r="Y78" s="25"/>
      <c r="Z78" s="25"/>
      <c r="AA78" s="25"/>
      <c r="AB78" s="25"/>
    </row>
    <row r="79" spans="1:28">
      <c r="A79" s="6">
        <v>30803</v>
      </c>
      <c r="B79" s="36"/>
      <c r="C79" s="36"/>
      <c r="D79" s="35"/>
      <c r="E79" s="7">
        <v>54.120399999999997</v>
      </c>
      <c r="F79" s="8">
        <f>IF(Tabela1511[[#This Row],[Industrial Production]]="",#N/A,((Tabela1511[[#This Row],[Industrial Production]]*1)/E78)-1)</f>
        <v>5.3592758197276158E-3</v>
      </c>
      <c r="G79" s="8">
        <f>IF(Tabela1511[[#This Row],[Industrial Production]]="",#N/A,((Tabela1511[[#This Row],[Industrial Production]]*1)/E67)-1)</f>
        <v>0.11006641479093071</v>
      </c>
      <c r="H79" s="7"/>
      <c r="I79" s="25"/>
      <c r="J79" s="25"/>
      <c r="K79" s="25"/>
      <c r="L79" s="25"/>
      <c r="M79" s="25"/>
      <c r="N79" s="25"/>
      <c r="O79" s="25"/>
      <c r="P79" s="25"/>
      <c r="Q79" s="25"/>
      <c r="R79" s="25"/>
      <c r="S79" s="25"/>
      <c r="T79" s="5">
        <v>98.1</v>
      </c>
      <c r="U79" s="5"/>
      <c r="V79" s="5"/>
      <c r="W79" s="25"/>
      <c r="X79" s="25"/>
      <c r="Y79" s="25"/>
      <c r="Z79" s="25"/>
      <c r="AA79" s="25"/>
      <c r="AB79" s="25"/>
    </row>
    <row r="80" spans="1:28">
      <c r="A80" s="6">
        <v>30834</v>
      </c>
      <c r="B80" s="36"/>
      <c r="C80" s="36"/>
      <c r="D80" s="35"/>
      <c r="E80" s="7">
        <v>54.313299999999998</v>
      </c>
      <c r="F80" s="8">
        <f>IF(Tabela1511[[#This Row],[Industrial Production]]="",#N/A,((Tabela1511[[#This Row],[Industrial Production]]*1)/E79)-1)</f>
        <v>3.5642752086089136E-3</v>
      </c>
      <c r="G80" s="8">
        <f>IF(Tabela1511[[#This Row],[Industrial Production]]="",#N/A,((Tabela1511[[#This Row],[Industrial Production]]*1)/E68)-1)</f>
        <v>0.10731382111169108</v>
      </c>
      <c r="H80" s="7"/>
      <c r="I80" s="25"/>
      <c r="J80" s="25"/>
      <c r="K80" s="25"/>
      <c r="L80" s="25"/>
      <c r="M80" s="25"/>
      <c r="N80" s="25"/>
      <c r="O80" s="25"/>
      <c r="P80" s="25"/>
      <c r="Q80" s="25"/>
      <c r="R80" s="25"/>
      <c r="S80" s="25"/>
      <c r="T80" s="5">
        <v>95.5</v>
      </c>
      <c r="U80" s="5"/>
      <c r="V80" s="5"/>
      <c r="W80" s="25"/>
      <c r="X80" s="25"/>
      <c r="Y80" s="25"/>
      <c r="Z80" s="25"/>
      <c r="AA80" s="25"/>
      <c r="AB80" s="25"/>
    </row>
    <row r="81" spans="1:28">
      <c r="A81" s="6">
        <v>30864</v>
      </c>
      <c r="B81" s="36"/>
      <c r="C81" s="36"/>
      <c r="D81" s="35"/>
      <c r="E81" s="7">
        <v>54.464399999999998</v>
      </c>
      <c r="F81" s="8">
        <f>IF(Tabela1511[[#This Row],[Industrial Production]]="",#N/A,((Tabela1511[[#This Row],[Industrial Production]]*1)/E80)-1)</f>
        <v>2.7820073536315437E-3</v>
      </c>
      <c r="G81" s="8">
        <f>IF(Tabela1511[[#This Row],[Industrial Production]]="",#N/A,((Tabela1511[[#This Row],[Industrial Production]]*1)/E69)-1)</f>
        <v>9.416139485267383E-2</v>
      </c>
      <c r="H81" s="7"/>
      <c r="I81" s="25"/>
      <c r="J81" s="25"/>
      <c r="K81" s="25"/>
      <c r="L81" s="25"/>
      <c r="M81" s="25"/>
      <c r="N81" s="25"/>
      <c r="O81" s="25"/>
      <c r="P81" s="25"/>
      <c r="Q81" s="25"/>
      <c r="R81" s="25"/>
      <c r="S81" s="25"/>
      <c r="T81" s="5">
        <v>96.6</v>
      </c>
      <c r="U81" s="5"/>
      <c r="V81" s="5"/>
      <c r="W81" s="25"/>
      <c r="X81" s="25"/>
      <c r="Y81" s="25"/>
      <c r="Z81" s="25"/>
      <c r="AA81" s="25"/>
      <c r="AB81" s="25"/>
    </row>
    <row r="82" spans="1:28">
      <c r="A82" s="6">
        <v>30895</v>
      </c>
      <c r="B82" s="36"/>
      <c r="C82" s="36"/>
      <c r="D82" s="35"/>
      <c r="E82" s="7">
        <v>54.53</v>
      </c>
      <c r="F82" s="8">
        <f>IF(Tabela1511[[#This Row],[Industrial Production]]="",#N/A,((Tabela1511[[#This Row],[Industrial Production]]*1)/E81)-1)</f>
        <v>1.2044564890094644E-3</v>
      </c>
      <c r="G82" s="8">
        <f>IF(Tabela1511[[#This Row],[Industrial Production]]="",#N/A,((Tabela1511[[#This Row],[Industrial Production]]*1)/E70)-1)</f>
        <v>8.2530815302733318E-2</v>
      </c>
      <c r="H82" s="7"/>
      <c r="I82" s="25"/>
      <c r="J82" s="25"/>
      <c r="K82" s="25"/>
      <c r="L82" s="25"/>
      <c r="M82" s="25"/>
      <c r="N82" s="25"/>
      <c r="O82" s="25"/>
      <c r="P82" s="25"/>
      <c r="Q82" s="25"/>
      <c r="R82" s="25"/>
      <c r="S82" s="25"/>
      <c r="T82" s="5">
        <v>99.1</v>
      </c>
      <c r="U82" s="5"/>
      <c r="V82" s="5"/>
      <c r="W82" s="25"/>
      <c r="X82" s="25"/>
      <c r="Y82" s="25"/>
      <c r="Z82" s="25"/>
      <c r="AA82" s="25"/>
      <c r="AB82" s="25"/>
    </row>
    <row r="83" spans="1:28">
      <c r="A83" s="6">
        <v>30926</v>
      </c>
      <c r="B83" s="36"/>
      <c r="C83" s="36"/>
      <c r="D83" s="35"/>
      <c r="E83" s="7">
        <v>54.377499999999998</v>
      </c>
      <c r="F83" s="8">
        <f>IF(Tabela1511[[#This Row],[Industrial Production]]="",#N/A,((Tabela1511[[#This Row],[Industrial Production]]*1)/E82)-1)</f>
        <v>-2.7966257106181169E-3</v>
      </c>
      <c r="G83" s="8">
        <f>IF(Tabela1511[[#This Row],[Industrial Production]]="",#N/A,((Tabela1511[[#This Row],[Industrial Production]]*1)/E71)-1)</f>
        <v>6.4180594152412951E-2</v>
      </c>
      <c r="H83" s="7"/>
      <c r="I83" s="25"/>
      <c r="J83" s="25"/>
      <c r="K83" s="25"/>
      <c r="L83" s="25"/>
      <c r="M83" s="25"/>
      <c r="N83" s="25"/>
      <c r="O83" s="25"/>
      <c r="P83" s="25"/>
      <c r="Q83" s="25"/>
      <c r="R83" s="25"/>
      <c r="S83" s="25"/>
      <c r="T83" s="5">
        <v>100.9</v>
      </c>
      <c r="U83" s="5"/>
      <c r="V83" s="5"/>
      <c r="W83" s="25"/>
      <c r="X83" s="25"/>
      <c r="Y83" s="25"/>
      <c r="Z83" s="25"/>
      <c r="AA83" s="25"/>
      <c r="AB83" s="25"/>
    </row>
    <row r="84" spans="1:28">
      <c r="A84" s="6">
        <v>30956</v>
      </c>
      <c r="B84" s="36"/>
      <c r="C84" s="36"/>
      <c r="D84" s="35"/>
      <c r="E84" s="7">
        <v>54.352800000000002</v>
      </c>
      <c r="F84" s="8">
        <f>IF(Tabela1511[[#This Row],[Industrial Production]]="",#N/A,((Tabela1511[[#This Row],[Industrial Production]]*1)/E83)-1)</f>
        <v>-4.5423198933369768E-4</v>
      </c>
      <c r="G84" s="8">
        <f>IF(Tabela1511[[#This Row],[Industrial Production]]="",#N/A,((Tabela1511[[#This Row],[Industrial Production]]*1)/E72)-1)</f>
        <v>5.5408520115807436E-2</v>
      </c>
      <c r="H84" s="7"/>
      <c r="I84" s="25"/>
      <c r="J84" s="25"/>
      <c r="K84" s="25"/>
      <c r="L84" s="25"/>
      <c r="M84" s="25"/>
      <c r="N84" s="25"/>
      <c r="O84" s="25"/>
      <c r="P84" s="25"/>
      <c r="Q84" s="25"/>
      <c r="R84" s="25"/>
      <c r="S84" s="25"/>
      <c r="T84" s="5">
        <v>96.3</v>
      </c>
      <c r="U84" s="5"/>
      <c r="V84" s="5"/>
      <c r="W84" s="25"/>
      <c r="X84" s="25"/>
      <c r="Y84" s="25"/>
      <c r="Z84" s="25"/>
      <c r="AA84" s="25"/>
      <c r="AB84" s="25"/>
    </row>
    <row r="85" spans="1:28">
      <c r="A85" s="6">
        <v>30987</v>
      </c>
      <c r="B85" s="36"/>
      <c r="C85" s="36"/>
      <c r="D85" s="35"/>
      <c r="E85" s="7">
        <v>54.534399999999998</v>
      </c>
      <c r="F85" s="8">
        <f>IF(Tabela1511[[#This Row],[Industrial Production]]="",#N/A,((Tabela1511[[#This Row],[Industrial Production]]*1)/E84)-1)</f>
        <v>3.3411342193960802E-3</v>
      </c>
      <c r="G85" s="8">
        <f>IF(Tabela1511[[#This Row],[Industrial Production]]="",#N/A,((Tabela1511[[#This Row],[Industrial Production]]*1)/E73)-1)</f>
        <v>5.4273396872039692E-2</v>
      </c>
      <c r="H85" s="7"/>
      <c r="I85" s="25"/>
      <c r="J85" s="25"/>
      <c r="K85" s="25"/>
      <c r="L85" s="25"/>
      <c r="M85" s="25"/>
      <c r="N85" s="25"/>
      <c r="O85" s="25"/>
      <c r="P85" s="25"/>
      <c r="Q85" s="25"/>
      <c r="R85" s="25"/>
      <c r="S85" s="25"/>
      <c r="T85" s="5">
        <v>95.7</v>
      </c>
      <c r="U85" s="5"/>
      <c r="V85" s="5"/>
      <c r="W85" s="25"/>
      <c r="X85" s="25"/>
      <c r="Y85" s="25"/>
      <c r="Z85" s="25"/>
      <c r="AA85" s="25"/>
      <c r="AB85" s="25"/>
    </row>
    <row r="86" spans="1:28">
      <c r="A86" s="6">
        <v>31017</v>
      </c>
      <c r="B86" s="36"/>
      <c r="C86" s="36"/>
      <c r="D86" s="35"/>
      <c r="E86" s="7">
        <v>54.5608</v>
      </c>
      <c r="F86" s="8">
        <f>IF(Tabela1511[[#This Row],[Industrial Production]]="",#N/A,((Tabela1511[[#This Row],[Industrial Production]]*1)/E85)-1)</f>
        <v>4.8409811055050156E-4</v>
      </c>
      <c r="G86" s="8">
        <f>IF(Tabela1511[[#This Row],[Industrial Production]]="",#N/A,((Tabela1511[[#This Row],[Industrial Production]]*1)/E74)-1)</f>
        <v>4.9476231327637343E-2</v>
      </c>
      <c r="H86" s="7"/>
      <c r="I86" s="25"/>
      <c r="J86" s="25"/>
      <c r="K86" s="25"/>
      <c r="L86" s="25"/>
      <c r="M86" s="25"/>
      <c r="N86" s="25"/>
      <c r="O86" s="25"/>
      <c r="P86" s="25"/>
      <c r="Q86" s="25"/>
      <c r="R86" s="25"/>
      <c r="S86" s="25"/>
      <c r="T86" s="5">
        <v>92.9</v>
      </c>
      <c r="U86" s="5"/>
      <c r="V86" s="5"/>
      <c r="W86" s="25"/>
      <c r="X86" s="25"/>
      <c r="Y86" s="25"/>
      <c r="Z86" s="25"/>
      <c r="AA86" s="25"/>
      <c r="AB86" s="25"/>
    </row>
    <row r="87" spans="1:28">
      <c r="A87" s="6">
        <v>31048</v>
      </c>
      <c r="B87" s="36"/>
      <c r="C87" s="36"/>
      <c r="D87" s="35"/>
      <c r="E87" s="7">
        <v>54.534199999999998</v>
      </c>
      <c r="F87" s="8">
        <f>IF(Tabela1511[[#This Row],[Industrial Production]]="",#N/A,((Tabela1511[[#This Row],[Industrial Production]]*1)/E86)-1)</f>
        <v>-4.8752950836505882E-4</v>
      </c>
      <c r="G87" s="8">
        <f>IF(Tabela1511[[#This Row],[Industrial Production]]="",#N/A,((Tabela1511[[#This Row],[Industrial Production]]*1)/E75)-1)</f>
        <v>2.8607535247795468E-2</v>
      </c>
      <c r="H87" s="7"/>
      <c r="I87" s="25"/>
      <c r="J87" s="25"/>
      <c r="K87" s="25"/>
      <c r="L87" s="25"/>
      <c r="M87" s="25"/>
      <c r="N87" s="25"/>
      <c r="O87" s="25"/>
      <c r="P87" s="25"/>
      <c r="Q87" s="25"/>
      <c r="R87" s="25"/>
      <c r="S87" s="25"/>
      <c r="T87" s="5">
        <v>96</v>
      </c>
      <c r="U87" s="5"/>
      <c r="V87" s="5"/>
      <c r="W87" s="25"/>
      <c r="X87" s="25"/>
      <c r="Y87" s="25"/>
      <c r="Z87" s="25"/>
      <c r="AA87" s="25"/>
      <c r="AB87" s="25"/>
    </row>
    <row r="88" spans="1:28">
      <c r="A88" s="6">
        <v>31079</v>
      </c>
      <c r="B88" s="36"/>
      <c r="C88" s="36"/>
      <c r="D88" s="35"/>
      <c r="E88" s="7">
        <v>54.701900000000002</v>
      </c>
      <c r="F88" s="8">
        <f>IF(Tabela1511[[#This Row],[Industrial Production]]="",#N/A,((Tabela1511[[#This Row],[Industrial Production]]*1)/E87)-1)</f>
        <v>3.0751345027524302E-3</v>
      </c>
      <c r="G88" s="8">
        <f>IF(Tabela1511[[#This Row],[Industrial Production]]="",#N/A,((Tabela1511[[#This Row],[Industrial Production]]*1)/E76)-1)</f>
        <v>2.6974510514389483E-2</v>
      </c>
      <c r="H88" s="7"/>
      <c r="I88" s="25"/>
      <c r="J88" s="25"/>
      <c r="K88" s="25"/>
      <c r="L88" s="25"/>
      <c r="M88" s="25"/>
      <c r="N88" s="25"/>
      <c r="O88" s="25"/>
      <c r="P88" s="25"/>
      <c r="Q88" s="25"/>
      <c r="R88" s="25"/>
      <c r="S88" s="25"/>
      <c r="T88" s="5">
        <v>93.7</v>
      </c>
      <c r="U88" s="5"/>
      <c r="V88" s="5"/>
      <c r="W88" s="25"/>
      <c r="X88" s="25"/>
      <c r="Y88" s="25"/>
      <c r="Z88" s="25"/>
      <c r="AA88" s="25"/>
      <c r="AB88" s="25"/>
    </row>
    <row r="89" spans="1:28">
      <c r="A89" s="6">
        <v>31107</v>
      </c>
      <c r="B89" s="36"/>
      <c r="C89" s="36"/>
      <c r="D89" s="35"/>
      <c r="E89" s="7">
        <v>54.773899999999998</v>
      </c>
      <c r="F89" s="8">
        <f>IF(Tabela1511[[#This Row],[Industrial Production]]="",#N/A,((Tabela1511[[#This Row],[Industrial Production]]*1)/E88)-1)</f>
        <v>1.3162248477656124E-3</v>
      </c>
      <c r="G89" s="8">
        <f>IF(Tabela1511[[#This Row],[Industrial Production]]="",#N/A,((Tabela1511[[#This Row],[Industrial Production]]*1)/E77)-1)</f>
        <v>2.3533808593932504E-2</v>
      </c>
      <c r="H89" s="7"/>
      <c r="I89" s="25"/>
      <c r="J89" s="25"/>
      <c r="K89" s="25"/>
      <c r="L89" s="25"/>
      <c r="M89" s="25"/>
      <c r="N89" s="25"/>
      <c r="O89" s="25"/>
      <c r="P89" s="25"/>
      <c r="Q89" s="25"/>
      <c r="R89" s="25"/>
      <c r="S89" s="25"/>
      <c r="T89" s="5">
        <v>93.7</v>
      </c>
      <c r="U89" s="5"/>
      <c r="V89" s="5"/>
      <c r="W89" s="25"/>
      <c r="X89" s="25"/>
      <c r="Y89" s="25"/>
      <c r="Z89" s="25"/>
      <c r="AA89" s="25"/>
      <c r="AB89" s="25"/>
    </row>
    <row r="90" spans="1:28">
      <c r="A90" s="6">
        <v>31138</v>
      </c>
      <c r="B90" s="36"/>
      <c r="C90" s="36"/>
      <c r="D90" s="35"/>
      <c r="E90" s="7">
        <v>54.666200000000003</v>
      </c>
      <c r="F90" s="8">
        <f>IF(Tabela1511[[#This Row],[Industrial Production]]="",#N/A,((Tabela1511[[#This Row],[Industrial Production]]*1)/E89)-1)</f>
        <v>-1.9662649546589028E-3</v>
      </c>
      <c r="G90" s="8">
        <f>IF(Tabela1511[[#This Row],[Industrial Production]]="",#N/A,((Tabela1511[[#This Row],[Industrial Production]]*1)/E78)-1)</f>
        <v>1.5498245464120819E-2</v>
      </c>
      <c r="H90" s="7"/>
      <c r="I90" s="25"/>
      <c r="J90" s="25"/>
      <c r="K90" s="25"/>
      <c r="L90" s="25"/>
      <c r="M90" s="25"/>
      <c r="N90" s="25"/>
      <c r="O90" s="25"/>
      <c r="P90" s="25"/>
      <c r="Q90" s="25"/>
      <c r="R90" s="25"/>
      <c r="S90" s="25"/>
      <c r="T90" s="5">
        <v>94.6</v>
      </c>
      <c r="U90" s="5"/>
      <c r="V90" s="5"/>
      <c r="W90" s="25"/>
      <c r="X90" s="25"/>
      <c r="Y90" s="25"/>
      <c r="Z90" s="25"/>
      <c r="AA90" s="25"/>
      <c r="AB90" s="25"/>
    </row>
    <row r="91" spans="1:28">
      <c r="A91" s="6">
        <v>31168</v>
      </c>
      <c r="B91" s="36"/>
      <c r="C91" s="36"/>
      <c r="D91" s="35"/>
      <c r="E91" s="7">
        <v>54.747199999999999</v>
      </c>
      <c r="F91" s="8">
        <f>IF(Tabela1511[[#This Row],[Industrial Production]]="",#N/A,((Tabela1511[[#This Row],[Industrial Production]]*1)/E90)-1)</f>
        <v>1.481719965902073E-3</v>
      </c>
      <c r="G91" s="8">
        <f>IF(Tabela1511[[#This Row],[Industrial Production]]="",#N/A,((Tabela1511[[#This Row],[Industrial Production]]*1)/E79)-1)</f>
        <v>1.1581584762862196E-2</v>
      </c>
      <c r="H91" s="7"/>
      <c r="I91" s="25"/>
      <c r="J91" s="25"/>
      <c r="K91" s="25"/>
      <c r="L91" s="25"/>
      <c r="M91" s="25"/>
      <c r="N91" s="25"/>
      <c r="O91" s="25"/>
      <c r="P91" s="25"/>
      <c r="Q91" s="25"/>
      <c r="R91" s="25"/>
      <c r="S91" s="25"/>
      <c r="T91" s="5">
        <v>91.8</v>
      </c>
      <c r="U91" s="5"/>
      <c r="V91" s="5"/>
      <c r="W91" s="25"/>
      <c r="X91" s="25"/>
      <c r="Y91" s="25"/>
      <c r="Z91" s="25"/>
      <c r="AA91" s="25"/>
      <c r="AB91" s="25"/>
    </row>
    <row r="92" spans="1:28">
      <c r="A92" s="6">
        <v>31199</v>
      </c>
      <c r="B92" s="36"/>
      <c r="C92" s="36"/>
      <c r="D92" s="35"/>
      <c r="E92" s="7">
        <v>54.7211</v>
      </c>
      <c r="F92" s="8">
        <f>IF(Tabela1511[[#This Row],[Industrial Production]]="",#N/A,((Tabela1511[[#This Row],[Industrial Production]]*1)/E91)-1)</f>
        <v>-4.7673670982262273E-4</v>
      </c>
      <c r="G92" s="8">
        <f>IF(Tabela1511[[#This Row],[Industrial Production]]="",#N/A,((Tabela1511[[#This Row],[Industrial Production]]*1)/E80)-1)</f>
        <v>7.5082898663862974E-3</v>
      </c>
      <c r="H92" s="7"/>
      <c r="I92" s="25"/>
      <c r="J92" s="25"/>
      <c r="K92" s="25"/>
      <c r="L92" s="25"/>
      <c r="M92" s="25"/>
      <c r="N92" s="25"/>
      <c r="O92" s="25"/>
      <c r="P92" s="25"/>
      <c r="Q92" s="25"/>
      <c r="R92" s="25"/>
      <c r="S92" s="25"/>
      <c r="T92" s="5">
        <v>96.5</v>
      </c>
      <c r="U92" s="5"/>
      <c r="V92" s="5"/>
      <c r="W92" s="25"/>
      <c r="X92" s="25"/>
      <c r="Y92" s="25"/>
      <c r="Z92" s="25"/>
      <c r="AA92" s="25"/>
      <c r="AB92" s="25"/>
    </row>
    <row r="93" spans="1:28">
      <c r="A93" s="6">
        <v>31229</v>
      </c>
      <c r="B93" s="36"/>
      <c r="C93" s="36"/>
      <c r="D93" s="35"/>
      <c r="E93" s="7">
        <v>54.438099999999999</v>
      </c>
      <c r="F93" s="8">
        <f>IF(Tabela1511[[#This Row],[Industrial Production]]="",#N/A,((Tabela1511[[#This Row],[Industrial Production]]*1)/E92)-1)</f>
        <v>-5.1716796628722417E-3</v>
      </c>
      <c r="G93" s="8">
        <f>IF(Tabela1511[[#This Row],[Industrial Production]]="",#N/A,((Tabela1511[[#This Row],[Industrial Production]]*1)/E81)-1)</f>
        <v>-4.8288423263631586E-4</v>
      </c>
      <c r="H93" s="7"/>
      <c r="I93" s="25"/>
      <c r="J93" s="25"/>
      <c r="K93" s="25"/>
      <c r="L93" s="25"/>
      <c r="M93" s="25"/>
      <c r="N93" s="25"/>
      <c r="O93" s="25"/>
      <c r="P93" s="25"/>
      <c r="Q93" s="25"/>
      <c r="R93" s="25"/>
      <c r="S93" s="25"/>
      <c r="T93" s="5">
        <v>94</v>
      </c>
      <c r="U93" s="5"/>
      <c r="V93" s="5"/>
      <c r="W93" s="25"/>
      <c r="X93" s="25"/>
      <c r="Y93" s="25"/>
      <c r="Z93" s="25"/>
      <c r="AA93" s="25"/>
      <c r="AB93" s="25"/>
    </row>
    <row r="94" spans="1:28">
      <c r="A94" s="6">
        <v>31260</v>
      </c>
      <c r="B94" s="36"/>
      <c r="C94" s="36"/>
      <c r="D94" s="35"/>
      <c r="E94" s="7">
        <v>54.619</v>
      </c>
      <c r="F94" s="8">
        <f>IF(Tabela1511[[#This Row],[Industrial Production]]="",#N/A,((Tabela1511[[#This Row],[Industrial Production]]*1)/E93)-1)</f>
        <v>3.3230402971449191E-3</v>
      </c>
      <c r="G94" s="8">
        <f>IF(Tabela1511[[#This Row],[Industrial Production]]="",#N/A,((Tabela1511[[#This Row],[Industrial Production]]*1)/E82)-1)</f>
        <v>1.6321291032459495E-3</v>
      </c>
      <c r="H94" s="7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5">
        <v>92.4</v>
      </c>
      <c r="U94" s="5"/>
      <c r="V94" s="5"/>
      <c r="W94" s="25"/>
      <c r="X94" s="25"/>
      <c r="Y94" s="25"/>
      <c r="Z94" s="25"/>
      <c r="AA94" s="25"/>
      <c r="AB94" s="25"/>
    </row>
    <row r="95" spans="1:28">
      <c r="A95" s="6">
        <v>31291</v>
      </c>
      <c r="B95" s="36"/>
      <c r="C95" s="36"/>
      <c r="D95" s="35"/>
      <c r="E95" s="7">
        <v>54.82</v>
      </c>
      <c r="F95" s="8">
        <f>IF(Tabela1511[[#This Row],[Industrial Production]]="",#N/A,((Tabela1511[[#This Row],[Industrial Production]]*1)/E94)-1)</f>
        <v>3.6800380819861367E-3</v>
      </c>
      <c r="G95" s="8">
        <f>IF(Tabela1511[[#This Row],[Industrial Production]]="",#N/A,((Tabela1511[[#This Row],[Industrial Production]]*1)/E83)-1)</f>
        <v>8.1375568939359155E-3</v>
      </c>
      <c r="H95" s="7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5">
        <v>92.1</v>
      </c>
      <c r="U95" s="5"/>
      <c r="V95" s="5"/>
      <c r="W95" s="25"/>
      <c r="X95" s="25"/>
      <c r="Y95" s="25"/>
      <c r="Z95" s="25"/>
      <c r="AA95" s="25"/>
      <c r="AB95" s="25"/>
    </row>
    <row r="96" spans="1:28">
      <c r="A96" s="6">
        <v>31321</v>
      </c>
      <c r="B96" s="36"/>
      <c r="C96" s="36"/>
      <c r="D96" s="35"/>
      <c r="E96" s="7">
        <v>54.630400000000002</v>
      </c>
      <c r="F96" s="8">
        <f>IF(Tabela1511[[#This Row],[Industrial Production]]="",#N/A,((Tabela1511[[#This Row],[Industrial Production]]*1)/E95)-1)</f>
        <v>-3.458591754833984E-3</v>
      </c>
      <c r="G96" s="8">
        <f>IF(Tabela1511[[#This Row],[Industrial Production]]="",#N/A,((Tabela1511[[#This Row],[Industrial Production]]*1)/E84)-1)</f>
        <v>5.1073725732619923E-3</v>
      </c>
      <c r="H96" s="7"/>
      <c r="I96" s="25"/>
      <c r="J96" s="25"/>
      <c r="K96" s="25"/>
      <c r="L96" s="25"/>
      <c r="M96" s="25"/>
      <c r="N96" s="25"/>
      <c r="O96" s="25"/>
      <c r="P96" s="25"/>
      <c r="Q96" s="25"/>
      <c r="R96" s="25"/>
      <c r="S96" s="25"/>
      <c r="T96" s="5">
        <v>88.4</v>
      </c>
      <c r="U96" s="5"/>
      <c r="V96" s="5"/>
      <c r="W96" s="25"/>
      <c r="X96" s="25"/>
      <c r="Y96" s="25"/>
      <c r="Z96" s="25"/>
      <c r="AA96" s="25"/>
      <c r="AB96" s="25"/>
    </row>
    <row r="97" spans="1:28">
      <c r="A97" s="6">
        <v>31352</v>
      </c>
      <c r="B97" s="36"/>
      <c r="C97" s="36"/>
      <c r="D97" s="35"/>
      <c r="E97" s="7">
        <v>54.817599999999999</v>
      </c>
      <c r="F97" s="8">
        <f>IF(Tabela1511[[#This Row],[Industrial Production]]="",#N/A,((Tabela1511[[#This Row],[Industrial Production]]*1)/E96)-1)</f>
        <v>3.4266635426429826E-3</v>
      </c>
      <c r="G97" s="8">
        <f>IF(Tabela1511[[#This Row],[Industrial Production]]="",#N/A,((Tabela1511[[#This Row],[Industrial Production]]*1)/E85)-1)</f>
        <v>5.193052458631664E-3</v>
      </c>
      <c r="H97" s="7"/>
      <c r="I97" s="25"/>
      <c r="J97" s="25"/>
      <c r="K97" s="25"/>
      <c r="L97" s="25"/>
      <c r="M97" s="25"/>
      <c r="N97" s="25"/>
      <c r="O97" s="25"/>
      <c r="P97" s="25"/>
      <c r="Q97" s="25"/>
      <c r="R97" s="25"/>
      <c r="S97" s="25"/>
      <c r="T97" s="5">
        <v>90.9</v>
      </c>
      <c r="U97" s="5"/>
      <c r="V97" s="5"/>
      <c r="W97" s="25"/>
      <c r="X97" s="25"/>
      <c r="Y97" s="25"/>
      <c r="Z97" s="25"/>
      <c r="AA97" s="25"/>
      <c r="AB97" s="25"/>
    </row>
    <row r="98" spans="1:28">
      <c r="A98" s="6">
        <v>31382</v>
      </c>
      <c r="B98" s="36"/>
      <c r="C98" s="36"/>
      <c r="D98" s="35"/>
      <c r="E98" s="7">
        <v>55.3596</v>
      </c>
      <c r="F98" s="8">
        <f>IF(Tabela1511[[#This Row],[Industrial Production]]="",#N/A,((Tabela1511[[#This Row],[Industrial Production]]*1)/E97)-1)</f>
        <v>9.887335454306756E-3</v>
      </c>
      <c r="G98" s="8">
        <f>IF(Tabela1511[[#This Row],[Industrial Production]]="",#N/A,((Tabela1511[[#This Row],[Industrial Production]]*1)/E86)-1)</f>
        <v>1.4640547792554415E-2</v>
      </c>
      <c r="H98" s="7"/>
      <c r="I98" s="25"/>
      <c r="J98" s="25"/>
      <c r="K98" s="25"/>
      <c r="L98" s="25"/>
      <c r="M98" s="25"/>
      <c r="N98" s="25"/>
      <c r="O98" s="25"/>
      <c r="P98" s="25"/>
      <c r="Q98" s="25"/>
      <c r="R98" s="25"/>
      <c r="S98" s="25"/>
      <c r="T98" s="5">
        <v>93.9</v>
      </c>
      <c r="U98" s="5"/>
      <c r="V98" s="5"/>
      <c r="W98" s="25"/>
      <c r="X98" s="25"/>
      <c r="Y98" s="25"/>
      <c r="Z98" s="25"/>
      <c r="AA98" s="25"/>
      <c r="AB98" s="25"/>
    </row>
    <row r="99" spans="1:28">
      <c r="A99" s="6">
        <v>31413</v>
      </c>
      <c r="B99" s="36"/>
      <c r="C99" s="36"/>
      <c r="D99" s="35"/>
      <c r="E99" s="7">
        <v>55.6511</v>
      </c>
      <c r="F99" s="8">
        <f>IF(Tabela1511[[#This Row],[Industrial Production]]="",#N/A,((Tabela1511[[#This Row],[Industrial Production]]*1)/E98)-1)</f>
        <v>5.2655727281265552E-3</v>
      </c>
      <c r="G99" s="8">
        <f>IF(Tabela1511[[#This Row],[Industrial Production]]="",#N/A,((Tabela1511[[#This Row],[Industrial Production]]*1)/E87)-1)</f>
        <v>2.0480725856435011E-2</v>
      </c>
      <c r="H99" s="7"/>
      <c r="I99" s="25"/>
      <c r="J99" s="25"/>
      <c r="K99" s="25"/>
      <c r="L99" s="25"/>
      <c r="M99" s="25"/>
      <c r="N99" s="25"/>
      <c r="O99" s="25"/>
      <c r="P99" s="25"/>
      <c r="Q99" s="25"/>
      <c r="R99" s="25"/>
      <c r="S99" s="25"/>
      <c r="T99" s="5">
        <v>95.6</v>
      </c>
      <c r="U99" s="5"/>
      <c r="V99" s="5"/>
      <c r="W99" s="25"/>
      <c r="X99" s="25"/>
      <c r="Y99" s="25"/>
      <c r="Z99" s="25"/>
      <c r="AA99" s="25"/>
      <c r="AB99" s="25"/>
    </row>
    <row r="100" spans="1:28">
      <c r="A100" s="6">
        <v>31444</v>
      </c>
      <c r="B100" s="36"/>
      <c r="C100" s="36"/>
      <c r="D100" s="35"/>
      <c r="E100" s="7">
        <v>55.27</v>
      </c>
      <c r="F100" s="8">
        <f>IF(Tabela1511[[#This Row],[Industrial Production]]="",#N/A,((Tabela1511[[#This Row],[Industrial Production]]*1)/E99)-1)</f>
        <v>-6.8480227704393881E-3</v>
      </c>
      <c r="G100" s="8">
        <f>IF(Tabela1511[[#This Row],[Industrial Production]]="",#N/A,((Tabela1511[[#This Row],[Industrial Production]]*1)/E88)-1)</f>
        <v>1.0385379666885353E-2</v>
      </c>
      <c r="H100" s="7"/>
      <c r="I100" s="25"/>
      <c r="J100" s="25"/>
      <c r="K100" s="25"/>
      <c r="L100" s="25"/>
      <c r="M100" s="25"/>
      <c r="N100" s="25"/>
      <c r="O100" s="25"/>
      <c r="P100" s="25"/>
      <c r="Q100" s="25"/>
      <c r="R100" s="25"/>
      <c r="S100" s="25"/>
      <c r="T100" s="5">
        <v>95.9</v>
      </c>
      <c r="U100" s="5"/>
      <c r="V100" s="5"/>
      <c r="W100" s="25"/>
      <c r="X100" s="25"/>
      <c r="Y100" s="25"/>
      <c r="Z100" s="25"/>
      <c r="AA100" s="25"/>
      <c r="AB100" s="25"/>
    </row>
    <row r="101" spans="1:28">
      <c r="A101" s="6">
        <v>31472</v>
      </c>
      <c r="B101" s="36"/>
      <c r="C101" s="36"/>
      <c r="D101" s="35"/>
      <c r="E101" s="7">
        <v>54.882800000000003</v>
      </c>
      <c r="F101" s="8">
        <f>IF(Tabela1511[[#This Row],[Industrial Production]]="",#N/A,((Tabela1511[[#This Row],[Industrial Production]]*1)/E100)-1)</f>
        <v>-7.0056088293830587E-3</v>
      </c>
      <c r="G101" s="8">
        <f>IF(Tabela1511[[#This Row],[Industrial Production]]="",#N/A,((Tabela1511[[#This Row],[Industrial Production]]*1)/E89)-1)</f>
        <v>1.9881731992792417E-3</v>
      </c>
      <c r="H101" s="7"/>
      <c r="I101" s="25"/>
      <c r="J101" s="25"/>
      <c r="K101" s="25"/>
      <c r="L101" s="25"/>
      <c r="M101" s="25"/>
      <c r="N101" s="25"/>
      <c r="O101" s="25"/>
      <c r="P101" s="25"/>
      <c r="Q101" s="25"/>
      <c r="R101" s="25"/>
      <c r="S101" s="25"/>
      <c r="T101" s="5">
        <v>95.1</v>
      </c>
      <c r="U101" s="5"/>
      <c r="V101" s="5"/>
      <c r="W101" s="25"/>
      <c r="X101" s="25"/>
      <c r="Y101" s="25"/>
      <c r="Z101" s="25"/>
      <c r="AA101" s="25"/>
      <c r="AB101" s="25"/>
    </row>
    <row r="102" spans="1:28">
      <c r="A102" s="6">
        <v>31503</v>
      </c>
      <c r="B102" s="36"/>
      <c r="C102" s="36"/>
      <c r="D102" s="35"/>
      <c r="E102" s="7">
        <v>54.945599999999999</v>
      </c>
      <c r="F102" s="8">
        <f>IF(Tabela1511[[#This Row],[Industrial Production]]="",#N/A,((Tabela1511[[#This Row],[Industrial Production]]*1)/E101)-1)</f>
        <v>1.1442564883714645E-3</v>
      </c>
      <c r="G102" s="8">
        <f>IF(Tabela1511[[#This Row],[Industrial Production]]="",#N/A,((Tabela1511[[#This Row],[Industrial Production]]*1)/E90)-1)</f>
        <v>5.1110192404080212E-3</v>
      </c>
      <c r="H102" s="7"/>
      <c r="I102" s="25"/>
      <c r="J102" s="25"/>
      <c r="K102" s="25"/>
      <c r="L102" s="25"/>
      <c r="M102" s="25"/>
      <c r="N102" s="25"/>
      <c r="O102" s="25"/>
      <c r="P102" s="25"/>
      <c r="Q102" s="25"/>
      <c r="R102" s="25"/>
      <c r="S102" s="25"/>
      <c r="T102" s="5">
        <v>96.2</v>
      </c>
      <c r="U102" s="5"/>
      <c r="V102" s="5"/>
      <c r="W102" s="25"/>
      <c r="X102" s="25"/>
      <c r="Y102" s="25"/>
      <c r="Z102" s="25"/>
      <c r="AA102" s="25"/>
      <c r="AB102" s="25"/>
    </row>
    <row r="103" spans="1:28">
      <c r="A103" s="6">
        <v>31533</v>
      </c>
      <c r="B103" s="36"/>
      <c r="C103" s="36"/>
      <c r="D103" s="35"/>
      <c r="E103" s="7">
        <v>55.0535</v>
      </c>
      <c r="F103" s="8">
        <f>IF(Tabela1511[[#This Row],[Industrial Production]]="",#N/A,((Tabela1511[[#This Row],[Industrial Production]]*1)/E102)-1)</f>
        <v>1.9637605194957608E-3</v>
      </c>
      <c r="G103" s="8">
        <f>IF(Tabela1511[[#This Row],[Industrial Production]]="",#N/A,((Tabela1511[[#This Row],[Industrial Production]]*1)/E91)-1)</f>
        <v>5.594806675044639E-3</v>
      </c>
      <c r="H103" s="7"/>
      <c r="I103" s="25"/>
      <c r="J103" s="25"/>
      <c r="K103" s="25"/>
      <c r="L103" s="25"/>
      <c r="M103" s="25"/>
      <c r="N103" s="25"/>
      <c r="O103" s="25"/>
      <c r="P103" s="25"/>
      <c r="Q103" s="25"/>
      <c r="R103" s="25"/>
      <c r="S103" s="25"/>
      <c r="T103" s="5">
        <v>94.8</v>
      </c>
      <c r="U103" s="5"/>
      <c r="V103" s="5"/>
      <c r="W103" s="25"/>
      <c r="X103" s="25"/>
      <c r="Y103" s="25"/>
      <c r="Z103" s="25"/>
      <c r="AA103" s="25"/>
      <c r="AB103" s="25"/>
    </row>
    <row r="104" spans="1:28">
      <c r="A104" s="6">
        <v>31564</v>
      </c>
      <c r="B104" s="36"/>
      <c r="C104" s="36"/>
      <c r="D104" s="35"/>
      <c r="E104" s="7">
        <v>54.837000000000003</v>
      </c>
      <c r="F104" s="8">
        <f>IF(Tabela1511[[#This Row],[Industrial Production]]="",#N/A,((Tabela1511[[#This Row],[Industrial Production]]*1)/E103)-1)</f>
        <v>-3.9325383490603771E-3</v>
      </c>
      <c r="G104" s="8">
        <f>IF(Tabela1511[[#This Row],[Industrial Production]]="",#N/A,((Tabela1511[[#This Row],[Industrial Production]]*1)/E92)-1)</f>
        <v>2.1180129785403068E-3</v>
      </c>
      <c r="H104" s="7"/>
      <c r="I104" s="25"/>
      <c r="J104" s="25"/>
      <c r="K104" s="25"/>
      <c r="L104" s="25"/>
      <c r="M104" s="25"/>
      <c r="N104" s="25"/>
      <c r="O104" s="25"/>
      <c r="P104" s="25"/>
      <c r="Q104" s="25"/>
      <c r="R104" s="25"/>
      <c r="S104" s="25"/>
      <c r="T104" s="5">
        <v>99.3</v>
      </c>
      <c r="U104" s="5"/>
      <c r="V104" s="5"/>
      <c r="W104" s="25"/>
      <c r="X104" s="25"/>
      <c r="Y104" s="25"/>
      <c r="Z104" s="25"/>
      <c r="AA104" s="25"/>
      <c r="AB104" s="25"/>
    </row>
    <row r="105" spans="1:28">
      <c r="A105" s="6">
        <v>31594</v>
      </c>
      <c r="B105" s="36"/>
      <c r="C105" s="36"/>
      <c r="D105" s="35"/>
      <c r="E105" s="7">
        <v>55.171599999999998</v>
      </c>
      <c r="F105" s="8">
        <f>IF(Tabela1511[[#This Row],[Industrial Production]]="",#N/A,((Tabela1511[[#This Row],[Industrial Production]]*1)/E104)-1)</f>
        <v>6.1017196418475805E-3</v>
      </c>
      <c r="G105" s="8">
        <f>IF(Tabela1511[[#This Row],[Industrial Production]]="",#N/A,((Tabela1511[[#This Row],[Industrial Production]]*1)/E93)-1)</f>
        <v>1.3474019115288671E-2</v>
      </c>
      <c r="H105" s="7"/>
      <c r="I105" s="25"/>
      <c r="J105" s="25"/>
      <c r="K105" s="25"/>
      <c r="L105" s="25"/>
      <c r="M105" s="25"/>
      <c r="N105" s="25"/>
      <c r="O105" s="25"/>
      <c r="P105" s="25"/>
      <c r="Q105" s="25"/>
      <c r="R105" s="25"/>
      <c r="S105" s="25"/>
      <c r="T105" s="5">
        <v>97.7</v>
      </c>
      <c r="U105" s="5"/>
      <c r="V105" s="5"/>
      <c r="W105" s="25"/>
      <c r="X105" s="25"/>
      <c r="Y105" s="25"/>
      <c r="Z105" s="25"/>
      <c r="AA105" s="25"/>
      <c r="AB105" s="25"/>
    </row>
    <row r="106" spans="1:28">
      <c r="A106" s="6">
        <v>31625</v>
      </c>
      <c r="B106" s="36"/>
      <c r="C106" s="36"/>
      <c r="D106" s="35"/>
      <c r="E106" s="7">
        <v>55.0792</v>
      </c>
      <c r="F106" s="8">
        <f>IF(Tabela1511[[#This Row],[Industrial Production]]="",#N/A,((Tabela1511[[#This Row],[Industrial Production]]*1)/E105)-1)</f>
        <v>-1.6747747029268734E-3</v>
      </c>
      <c r="G106" s="8">
        <f>IF(Tabela1511[[#This Row],[Industrial Production]]="",#N/A,((Tabela1511[[#This Row],[Industrial Production]]*1)/E94)-1)</f>
        <v>8.4256394295025849E-3</v>
      </c>
      <c r="H106" s="7"/>
      <c r="I106" s="25"/>
      <c r="J106" s="25"/>
      <c r="K106" s="25"/>
      <c r="L106" s="25"/>
      <c r="M106" s="25"/>
      <c r="N106" s="25"/>
      <c r="O106" s="25"/>
      <c r="P106" s="25"/>
      <c r="Q106" s="25"/>
      <c r="R106" s="25"/>
      <c r="S106" s="25"/>
      <c r="T106" s="5">
        <v>94.9</v>
      </c>
      <c r="U106" s="5"/>
      <c r="V106" s="5"/>
      <c r="W106" s="25"/>
      <c r="X106" s="25"/>
      <c r="Y106" s="25"/>
      <c r="Z106" s="25"/>
      <c r="AA106" s="25"/>
      <c r="AB106" s="25"/>
    </row>
    <row r="107" spans="1:28">
      <c r="A107" s="6">
        <v>31656</v>
      </c>
      <c r="B107" s="36"/>
      <c r="C107" s="36"/>
      <c r="D107" s="35"/>
      <c r="E107" s="7">
        <v>55.231699999999996</v>
      </c>
      <c r="F107" s="8">
        <f>IF(Tabela1511[[#This Row],[Industrial Production]]="",#N/A,((Tabela1511[[#This Row],[Industrial Production]]*1)/E106)-1)</f>
        <v>2.7687402867142552E-3</v>
      </c>
      <c r="G107" s="8">
        <f>IF(Tabela1511[[#This Row],[Industrial Production]]="",#N/A,((Tabela1511[[#This Row],[Industrial Production]]*1)/E95)-1)</f>
        <v>7.510032834731728E-3</v>
      </c>
      <c r="H107" s="7"/>
      <c r="I107" s="25"/>
      <c r="J107" s="25"/>
      <c r="K107" s="25"/>
      <c r="L107" s="25"/>
      <c r="M107" s="25"/>
      <c r="N107" s="25"/>
      <c r="O107" s="25"/>
      <c r="P107" s="25"/>
      <c r="Q107" s="25"/>
      <c r="R107" s="25"/>
      <c r="S107" s="25"/>
      <c r="T107" s="5">
        <v>91.9</v>
      </c>
      <c r="U107" s="5"/>
      <c r="V107" s="5"/>
      <c r="W107" s="25"/>
      <c r="X107" s="25"/>
      <c r="Y107" s="25"/>
      <c r="Z107" s="25"/>
      <c r="AA107" s="25"/>
      <c r="AB107" s="25"/>
    </row>
    <row r="108" spans="1:28">
      <c r="A108" s="6">
        <v>31686</v>
      </c>
      <c r="B108" s="36"/>
      <c r="C108" s="36"/>
      <c r="D108" s="35"/>
      <c r="E108" s="7">
        <v>55.464500000000001</v>
      </c>
      <c r="F108" s="8">
        <f>IF(Tabela1511[[#This Row],[Industrial Production]]="",#N/A,((Tabela1511[[#This Row],[Industrial Production]]*1)/E107)-1)</f>
        <v>4.2149707504930412E-3</v>
      </c>
      <c r="G108" s="8">
        <f>IF(Tabela1511[[#This Row],[Industrial Production]]="",#N/A,((Tabela1511[[#This Row],[Industrial Production]]*1)/E96)-1)</f>
        <v>1.5268055880974574E-2</v>
      </c>
      <c r="H108" s="7"/>
      <c r="I108" s="25"/>
      <c r="J108" s="25"/>
      <c r="K108" s="25"/>
      <c r="L108" s="25"/>
      <c r="M108" s="25"/>
      <c r="N108" s="25"/>
      <c r="O108" s="25"/>
      <c r="P108" s="25"/>
      <c r="Q108" s="25"/>
      <c r="R108" s="25"/>
      <c r="S108" s="25"/>
      <c r="T108" s="5">
        <v>95.6</v>
      </c>
      <c r="U108" s="5"/>
      <c r="V108" s="5"/>
      <c r="W108" s="25"/>
      <c r="X108" s="25"/>
      <c r="Y108" s="25"/>
      <c r="Z108" s="25"/>
      <c r="AA108" s="25"/>
      <c r="AB108" s="25"/>
    </row>
    <row r="109" spans="1:28">
      <c r="A109" s="6">
        <v>31717</v>
      </c>
      <c r="B109" s="36"/>
      <c r="C109" s="36"/>
      <c r="D109" s="35"/>
      <c r="E109" s="7">
        <v>55.685400000000001</v>
      </c>
      <c r="F109" s="8">
        <f>IF(Tabela1511[[#This Row],[Industrial Production]]="",#N/A,((Tabela1511[[#This Row],[Industrial Production]]*1)/E108)-1)</f>
        <v>3.9827276906849729E-3</v>
      </c>
      <c r="G109" s="8">
        <f>IF(Tabela1511[[#This Row],[Industrial Production]]="",#N/A,((Tabela1511[[#This Row],[Industrial Production]]*1)/E97)-1)</f>
        <v>1.5830682116692474E-2</v>
      </c>
      <c r="H109" s="7"/>
      <c r="I109" s="25"/>
      <c r="J109" s="25"/>
      <c r="K109" s="25"/>
      <c r="L109" s="25"/>
      <c r="M109" s="25"/>
      <c r="N109" s="25"/>
      <c r="O109" s="25"/>
      <c r="P109" s="25"/>
      <c r="Q109" s="25"/>
      <c r="R109" s="25"/>
      <c r="S109" s="25"/>
      <c r="T109" s="5">
        <v>91.4</v>
      </c>
      <c r="U109" s="5"/>
      <c r="V109" s="5"/>
      <c r="W109" s="25"/>
      <c r="X109" s="25"/>
      <c r="Y109" s="25"/>
      <c r="Z109" s="25"/>
      <c r="AA109" s="25"/>
      <c r="AB109" s="25"/>
    </row>
    <row r="110" spans="1:28">
      <c r="A110" s="6">
        <v>31747</v>
      </c>
      <c r="B110" s="36"/>
      <c r="C110" s="36"/>
      <c r="D110" s="35"/>
      <c r="E110" s="7">
        <v>56.212000000000003</v>
      </c>
      <c r="F110" s="8">
        <f>IF(Tabela1511[[#This Row],[Industrial Production]]="",#N/A,((Tabela1511[[#This Row],[Industrial Production]]*1)/E109)-1)</f>
        <v>9.4566978058880924E-3</v>
      </c>
      <c r="G110" s="8">
        <f>IF(Tabela1511[[#This Row],[Industrial Production]]="",#N/A,((Tabela1511[[#This Row],[Industrial Production]]*1)/E98)-1)</f>
        <v>1.5397510097616474E-2</v>
      </c>
      <c r="H110" s="7"/>
      <c r="I110" s="25"/>
      <c r="J110" s="25"/>
      <c r="K110" s="25"/>
      <c r="L110" s="25"/>
      <c r="M110" s="25"/>
      <c r="N110" s="25"/>
      <c r="O110" s="25"/>
      <c r="P110" s="25"/>
      <c r="Q110" s="25"/>
      <c r="R110" s="25"/>
      <c r="S110" s="25"/>
      <c r="T110" s="5">
        <v>89.1</v>
      </c>
      <c r="U110" s="5"/>
      <c r="V110" s="5"/>
      <c r="W110" s="25"/>
      <c r="X110" s="25"/>
      <c r="Y110" s="25"/>
      <c r="Z110" s="25"/>
      <c r="AA110" s="25"/>
      <c r="AB110" s="25"/>
    </row>
    <row r="111" spans="1:28">
      <c r="A111" s="6">
        <v>31778</v>
      </c>
      <c r="B111" s="36"/>
      <c r="C111" s="36"/>
      <c r="D111" s="35"/>
      <c r="E111" s="7">
        <v>56.001199999999997</v>
      </c>
      <c r="F111" s="8">
        <f>IF(Tabela1511[[#This Row],[Industrial Production]]="",#N/A,((Tabela1511[[#This Row],[Industrial Production]]*1)/E110)-1)</f>
        <v>-3.7500889489789913E-3</v>
      </c>
      <c r="G111" s="8">
        <f>IF(Tabela1511[[#This Row],[Industrial Production]]="",#N/A,((Tabela1511[[#This Row],[Industrial Production]]*1)/E99)-1)</f>
        <v>6.2909807712694388E-3</v>
      </c>
      <c r="H111" s="7"/>
      <c r="I111" s="25"/>
      <c r="J111" s="25"/>
      <c r="K111" s="25"/>
      <c r="L111" s="25"/>
      <c r="M111" s="25"/>
      <c r="N111" s="25"/>
      <c r="O111" s="25"/>
      <c r="P111" s="25"/>
      <c r="Q111" s="25"/>
      <c r="R111" s="25"/>
      <c r="S111" s="25"/>
      <c r="T111" s="5">
        <v>90.4</v>
      </c>
      <c r="U111" s="5"/>
      <c r="V111" s="5"/>
      <c r="W111" s="25"/>
      <c r="X111" s="25"/>
      <c r="Y111" s="25"/>
      <c r="Z111" s="25"/>
      <c r="AA111" s="25"/>
      <c r="AB111" s="25"/>
    </row>
    <row r="112" spans="1:28">
      <c r="A112" s="6">
        <v>31809</v>
      </c>
      <c r="B112" s="36"/>
      <c r="C112" s="36"/>
      <c r="D112" s="35"/>
      <c r="E112" s="7">
        <v>56.7438</v>
      </c>
      <c r="F112" s="8">
        <f>IF(Tabela1511[[#This Row],[Industrial Production]]="",#N/A,((Tabela1511[[#This Row],[Industrial Production]]*1)/E111)-1)</f>
        <v>1.3260430133640089E-2</v>
      </c>
      <c r="G112" s="8">
        <f>IF(Tabela1511[[#This Row],[Industrial Production]]="",#N/A,((Tabela1511[[#This Row],[Industrial Production]]*1)/E100)-1)</f>
        <v>2.6665460466799296E-2</v>
      </c>
      <c r="H112" s="7"/>
      <c r="I112" s="25"/>
      <c r="J112" s="25"/>
      <c r="K112" s="25"/>
      <c r="L112" s="25"/>
      <c r="M112" s="25"/>
      <c r="N112" s="25"/>
      <c r="O112" s="25"/>
      <c r="P112" s="25"/>
      <c r="Q112" s="25"/>
      <c r="R112" s="25"/>
      <c r="S112" s="25"/>
      <c r="T112" s="5">
        <v>90.2</v>
      </c>
      <c r="U112" s="5"/>
      <c r="V112" s="5"/>
      <c r="W112" s="25"/>
      <c r="X112" s="25"/>
      <c r="Y112" s="25"/>
      <c r="Z112" s="25"/>
      <c r="AA112" s="25"/>
      <c r="AB112" s="25"/>
    </row>
    <row r="113" spans="1:28">
      <c r="A113" s="6">
        <v>31837</v>
      </c>
      <c r="B113" s="36"/>
      <c r="C113" s="36"/>
      <c r="D113" s="35"/>
      <c r="E113" s="7">
        <v>56.823500000000003</v>
      </c>
      <c r="F113" s="8">
        <f>IF(Tabela1511[[#This Row],[Industrial Production]]="",#N/A,((Tabela1511[[#This Row],[Industrial Production]]*1)/E112)-1)</f>
        <v>1.4045587359323708E-3</v>
      </c>
      <c r="G113" s="8">
        <f>IF(Tabela1511[[#This Row],[Industrial Production]]="",#N/A,((Tabela1511[[#This Row],[Industrial Production]]*1)/E101)-1)</f>
        <v>3.5360805206731349E-2</v>
      </c>
      <c r="H113" s="7"/>
      <c r="I113" s="25"/>
      <c r="J113" s="25"/>
      <c r="K113" s="25"/>
      <c r="L113" s="25"/>
      <c r="M113" s="25"/>
      <c r="N113" s="25"/>
      <c r="O113" s="25"/>
      <c r="P113" s="25"/>
      <c r="Q113" s="25"/>
      <c r="R113" s="25"/>
      <c r="S113" s="25"/>
      <c r="T113" s="5">
        <v>90.8</v>
      </c>
      <c r="U113" s="5"/>
      <c r="V113" s="5"/>
      <c r="W113" s="25"/>
      <c r="X113" s="25"/>
      <c r="Y113" s="25"/>
      <c r="Z113" s="25"/>
      <c r="AA113" s="25"/>
      <c r="AB113" s="25"/>
    </row>
    <row r="114" spans="1:28">
      <c r="A114" s="6">
        <v>31868</v>
      </c>
      <c r="B114" s="36"/>
      <c r="C114" s="36"/>
      <c r="D114" s="35"/>
      <c r="E114" s="7">
        <v>57.195399999999999</v>
      </c>
      <c r="F114" s="8">
        <f>IF(Tabela1511[[#This Row],[Industrial Production]]="",#N/A,((Tabela1511[[#This Row],[Industrial Production]]*1)/E113)-1)</f>
        <v>6.5448274041548515E-3</v>
      </c>
      <c r="G114" s="8">
        <f>IF(Tabela1511[[#This Row],[Industrial Production]]="",#N/A,((Tabela1511[[#This Row],[Industrial Production]]*1)/E102)-1)</f>
        <v>4.0945953816138081E-2</v>
      </c>
      <c r="H114" s="7"/>
      <c r="I114" s="25"/>
      <c r="J114" s="25"/>
      <c r="K114" s="25"/>
      <c r="L114" s="25"/>
      <c r="M114" s="25"/>
      <c r="N114" s="25"/>
      <c r="O114" s="25"/>
      <c r="P114" s="25"/>
      <c r="Q114" s="25"/>
      <c r="R114" s="25"/>
      <c r="S114" s="25"/>
      <c r="T114" s="5">
        <v>92.8</v>
      </c>
      <c r="U114" s="5"/>
      <c r="V114" s="5"/>
      <c r="W114" s="25"/>
      <c r="X114" s="25"/>
      <c r="Y114" s="25"/>
      <c r="Z114" s="25"/>
      <c r="AA114" s="25"/>
      <c r="AB114" s="25"/>
    </row>
    <row r="115" spans="1:28">
      <c r="A115" s="6">
        <v>31898</v>
      </c>
      <c r="B115" s="36"/>
      <c r="C115" s="36"/>
      <c r="D115" s="35"/>
      <c r="E115" s="7">
        <v>57.549799999999998</v>
      </c>
      <c r="F115" s="8">
        <f>IF(Tabela1511[[#This Row],[Industrial Production]]="",#N/A,((Tabela1511[[#This Row],[Industrial Production]]*1)/E114)-1)</f>
        <v>6.1963024998512584E-3</v>
      </c>
      <c r="G115" s="8">
        <f>IF(Tabela1511[[#This Row],[Industrial Production]]="",#N/A,((Tabela1511[[#This Row],[Industrial Production]]*1)/E103)-1)</f>
        <v>4.5343166192885143E-2</v>
      </c>
      <c r="H115" s="7"/>
      <c r="I115" s="25"/>
      <c r="J115" s="25"/>
      <c r="K115" s="25"/>
      <c r="L115" s="25"/>
      <c r="M115" s="25"/>
      <c r="N115" s="25"/>
      <c r="O115" s="25"/>
      <c r="P115" s="25"/>
      <c r="Q115" s="25"/>
      <c r="R115" s="25"/>
      <c r="S115" s="25"/>
      <c r="T115" s="5">
        <v>91.1</v>
      </c>
      <c r="U115" s="5"/>
      <c r="V115" s="5"/>
      <c r="W115" s="25"/>
      <c r="X115" s="25"/>
      <c r="Y115" s="25"/>
      <c r="Z115" s="25"/>
      <c r="AA115" s="25"/>
      <c r="AB115" s="25"/>
    </row>
    <row r="116" spans="1:28">
      <c r="A116" s="6">
        <v>31929</v>
      </c>
      <c r="B116" s="36"/>
      <c r="C116" s="36"/>
      <c r="D116" s="35"/>
      <c r="E116" s="7">
        <v>57.860300000000002</v>
      </c>
      <c r="F116" s="8">
        <f>IF(Tabela1511[[#This Row],[Industrial Production]]="",#N/A,((Tabela1511[[#This Row],[Industrial Production]]*1)/E115)-1)</f>
        <v>5.3953271775055711E-3</v>
      </c>
      <c r="G116" s="8">
        <f>IF(Tabela1511[[#This Row],[Industrial Production]]="",#N/A,((Tabela1511[[#This Row],[Industrial Production]]*1)/E104)-1)</f>
        <v>5.5132483542133848E-2</v>
      </c>
      <c r="H116" s="7"/>
      <c r="I116" s="25"/>
      <c r="J116" s="25"/>
      <c r="K116" s="25"/>
      <c r="L116" s="25"/>
      <c r="M116" s="25"/>
      <c r="N116" s="25"/>
      <c r="O116" s="25"/>
      <c r="P116" s="25"/>
      <c r="Q116" s="25"/>
      <c r="R116" s="25"/>
      <c r="S116" s="25"/>
      <c r="T116" s="5">
        <v>91.5</v>
      </c>
      <c r="U116" s="5"/>
      <c r="V116" s="5"/>
      <c r="W116" s="25"/>
      <c r="X116" s="25"/>
      <c r="Y116" s="25"/>
      <c r="Z116" s="25"/>
      <c r="AA116" s="25"/>
      <c r="AB116" s="25"/>
    </row>
    <row r="117" spans="1:28">
      <c r="A117" s="6">
        <v>31959</v>
      </c>
      <c r="B117" s="36"/>
      <c r="C117" s="36"/>
      <c r="D117" s="35"/>
      <c r="E117" s="7">
        <v>58.250100000000003</v>
      </c>
      <c r="F117" s="8">
        <f>IF(Tabela1511[[#This Row],[Industrial Production]]="",#N/A,((Tabela1511[[#This Row],[Industrial Production]]*1)/E116)-1)</f>
        <v>6.736916331232301E-3</v>
      </c>
      <c r="G117" s="8">
        <f>IF(Tabela1511[[#This Row],[Industrial Production]]="",#N/A,((Tabela1511[[#This Row],[Industrial Production]]*1)/E105)-1)</f>
        <v>5.5798635529874074E-2</v>
      </c>
      <c r="H117" s="7"/>
      <c r="I117" s="25"/>
      <c r="J117" s="25"/>
      <c r="K117" s="25"/>
      <c r="L117" s="25"/>
      <c r="M117" s="25"/>
      <c r="N117" s="25"/>
      <c r="O117" s="25"/>
      <c r="P117" s="25"/>
      <c r="Q117" s="25"/>
      <c r="R117" s="25"/>
      <c r="S117" s="25"/>
      <c r="T117" s="5">
        <v>93.7</v>
      </c>
      <c r="U117" s="5"/>
      <c r="V117" s="5"/>
      <c r="W117" s="25"/>
      <c r="X117" s="25"/>
      <c r="Y117" s="25"/>
      <c r="Z117" s="25"/>
      <c r="AA117" s="25"/>
      <c r="AB117" s="25"/>
    </row>
    <row r="118" spans="1:28">
      <c r="A118" s="6">
        <v>31990</v>
      </c>
      <c r="B118" s="36"/>
      <c r="C118" s="36"/>
      <c r="D118" s="35"/>
      <c r="E118" s="7">
        <v>58.688899999999997</v>
      </c>
      <c r="F118" s="8">
        <f>IF(Tabela1511[[#This Row],[Industrial Production]]="",#N/A,((Tabela1511[[#This Row],[Industrial Production]]*1)/E117)-1)</f>
        <v>7.5330342780526305E-3</v>
      </c>
      <c r="G118" s="8">
        <f>IF(Tabela1511[[#This Row],[Industrial Production]]="",#N/A,((Tabela1511[[#This Row],[Industrial Production]]*1)/E106)-1)</f>
        <v>6.5536536478380203E-2</v>
      </c>
      <c r="H118" s="7"/>
      <c r="I118" s="25"/>
      <c r="J118" s="25"/>
      <c r="K118" s="25"/>
      <c r="L118" s="25"/>
      <c r="M118" s="25"/>
      <c r="N118" s="25"/>
      <c r="O118" s="25"/>
      <c r="P118" s="25"/>
      <c r="Q118" s="25"/>
      <c r="R118" s="25"/>
      <c r="S118" s="25"/>
      <c r="T118" s="5">
        <v>94.4</v>
      </c>
      <c r="U118" s="5"/>
      <c r="V118" s="5"/>
      <c r="W118" s="25"/>
      <c r="X118" s="25"/>
      <c r="Y118" s="25"/>
      <c r="Z118" s="25"/>
      <c r="AA118" s="25"/>
      <c r="AB118" s="25"/>
    </row>
    <row r="119" spans="1:28">
      <c r="A119" s="6">
        <v>32021</v>
      </c>
      <c r="B119" s="36"/>
      <c r="C119" s="36"/>
      <c r="D119" s="35"/>
      <c r="E119" s="7">
        <v>58.913699999999999</v>
      </c>
      <c r="F119" s="8">
        <f>IF(Tabela1511[[#This Row],[Industrial Production]]="",#N/A,((Tabela1511[[#This Row],[Industrial Production]]*1)/E118)-1)</f>
        <v>3.8303665599457304E-3</v>
      </c>
      <c r="G119" s="8">
        <f>IF(Tabela1511[[#This Row],[Industrial Production]]="",#N/A,((Tabela1511[[#This Row],[Industrial Production]]*1)/E107)-1)</f>
        <v>6.6664614704961211E-2</v>
      </c>
      <c r="H119" s="7"/>
      <c r="I119" s="25"/>
      <c r="J119" s="25"/>
      <c r="K119" s="25"/>
      <c r="L119" s="25"/>
      <c r="M119" s="25"/>
      <c r="N119" s="25"/>
      <c r="O119" s="25"/>
      <c r="P119" s="25"/>
      <c r="Q119" s="25"/>
      <c r="R119" s="25"/>
      <c r="S119" s="25"/>
      <c r="T119" s="5">
        <v>93.6</v>
      </c>
      <c r="U119" s="5"/>
      <c r="V119" s="5"/>
      <c r="W119" s="25"/>
      <c r="X119" s="25"/>
      <c r="Y119" s="25"/>
      <c r="Z119" s="25"/>
      <c r="AA119" s="25"/>
      <c r="AB119" s="25"/>
    </row>
    <row r="120" spans="1:28">
      <c r="A120" s="6">
        <v>32051</v>
      </c>
      <c r="B120" s="36"/>
      <c r="C120" s="36"/>
      <c r="D120" s="35"/>
      <c r="E120" s="7">
        <v>59.708300000000001</v>
      </c>
      <c r="F120" s="8">
        <f>IF(Tabela1511[[#This Row],[Industrial Production]]="",#N/A,((Tabela1511[[#This Row],[Industrial Production]]*1)/E119)-1)</f>
        <v>1.3487524972968901E-2</v>
      </c>
      <c r="G120" s="8">
        <f>IF(Tabela1511[[#This Row],[Industrial Production]]="",#N/A,((Tabela1511[[#This Row],[Industrial Production]]*1)/E108)-1)</f>
        <v>7.6513806128244211E-2</v>
      </c>
      <c r="H120" s="7"/>
      <c r="I120" s="25"/>
      <c r="J120" s="25"/>
      <c r="K120" s="25"/>
      <c r="L120" s="25"/>
      <c r="M120" s="25"/>
      <c r="N120" s="25"/>
      <c r="O120" s="25"/>
      <c r="P120" s="25"/>
      <c r="Q120" s="25"/>
      <c r="R120" s="25"/>
      <c r="S120" s="25"/>
      <c r="T120" s="5">
        <v>89.3</v>
      </c>
      <c r="U120" s="5"/>
      <c r="V120" s="5"/>
      <c r="W120" s="25"/>
      <c r="X120" s="25"/>
      <c r="Y120" s="25"/>
      <c r="Z120" s="25"/>
      <c r="AA120" s="25"/>
      <c r="AB120" s="25"/>
    </row>
    <row r="121" spans="1:28">
      <c r="A121" s="6">
        <v>32082</v>
      </c>
      <c r="B121" s="36"/>
      <c r="C121" s="36"/>
      <c r="D121" s="35"/>
      <c r="E121" s="7">
        <v>60.002200000000002</v>
      </c>
      <c r="F121" s="8">
        <f>IF(Tabela1511[[#This Row],[Industrial Production]]="",#N/A,((Tabela1511[[#This Row],[Industrial Production]]*1)/E120)-1)</f>
        <v>4.922263738877275E-3</v>
      </c>
      <c r="G121" s="8">
        <f>IF(Tabela1511[[#This Row],[Industrial Production]]="",#N/A,((Tabela1511[[#This Row],[Industrial Production]]*1)/E109)-1)</f>
        <v>7.7521217410667864E-2</v>
      </c>
      <c r="H121" s="7"/>
      <c r="I121" s="25"/>
      <c r="J121" s="25"/>
      <c r="K121" s="25"/>
      <c r="L121" s="25"/>
      <c r="M121" s="25"/>
      <c r="N121" s="25"/>
      <c r="O121" s="25"/>
      <c r="P121" s="25"/>
      <c r="Q121" s="25"/>
      <c r="R121" s="25"/>
      <c r="S121" s="25"/>
      <c r="T121" s="5">
        <v>83.1</v>
      </c>
      <c r="U121" s="5"/>
      <c r="V121" s="5"/>
      <c r="W121" s="25"/>
      <c r="X121" s="25"/>
      <c r="Y121" s="25"/>
      <c r="Z121" s="25"/>
      <c r="AA121" s="25"/>
      <c r="AB121" s="25"/>
    </row>
    <row r="122" spans="1:28">
      <c r="A122" s="6">
        <v>32112</v>
      </c>
      <c r="B122" s="36"/>
      <c r="C122" s="36"/>
      <c r="D122" s="35"/>
      <c r="E122" s="7">
        <v>60.333599999999997</v>
      </c>
      <c r="F122" s="8">
        <f>IF(Tabela1511[[#This Row],[Industrial Production]]="",#N/A,((Tabela1511[[#This Row],[Industrial Production]]*1)/E121)-1)</f>
        <v>5.5231308185366146E-3</v>
      </c>
      <c r="G122" s="8">
        <f>IF(Tabela1511[[#This Row],[Industrial Production]]="",#N/A,((Tabela1511[[#This Row],[Industrial Production]]*1)/E110)-1)</f>
        <v>7.3322422258592423E-2</v>
      </c>
      <c r="H122" s="7"/>
      <c r="I122" s="25"/>
      <c r="J122" s="25"/>
      <c r="K122" s="25"/>
      <c r="L122" s="25"/>
      <c r="M122" s="25"/>
      <c r="N122" s="25"/>
      <c r="O122" s="25"/>
      <c r="P122" s="25"/>
      <c r="Q122" s="25"/>
      <c r="R122" s="25"/>
      <c r="S122" s="25"/>
      <c r="T122" s="5">
        <v>86.8</v>
      </c>
      <c r="U122" s="5"/>
      <c r="V122" s="5"/>
      <c r="W122" s="25"/>
      <c r="X122" s="25"/>
      <c r="Y122" s="25"/>
      <c r="Z122" s="25"/>
      <c r="AA122" s="25"/>
      <c r="AB122" s="25"/>
    </row>
    <row r="123" spans="1:28">
      <c r="A123" s="6">
        <v>32143</v>
      </c>
      <c r="B123" s="36"/>
      <c r="C123" s="36"/>
      <c r="D123" s="35"/>
      <c r="E123" s="7">
        <v>60.318600000000004</v>
      </c>
      <c r="F123" s="8">
        <f>IF(Tabela1511[[#This Row],[Industrial Production]]="",#N/A,((Tabela1511[[#This Row],[Industrial Production]]*1)/E122)-1)</f>
        <v>-2.4861768566752929E-4</v>
      </c>
      <c r="G123" s="8">
        <f>IF(Tabela1511[[#This Row],[Industrial Production]]="",#N/A,((Tabela1511[[#This Row],[Industrial Production]]*1)/E111)-1)</f>
        <v>7.7094776540502785E-2</v>
      </c>
      <c r="H123" s="7"/>
      <c r="I123" s="25"/>
      <c r="J123" s="25"/>
      <c r="K123" s="25"/>
      <c r="L123" s="25"/>
      <c r="M123" s="25"/>
      <c r="N123" s="25"/>
      <c r="O123" s="25"/>
      <c r="P123" s="25"/>
      <c r="Q123" s="25"/>
      <c r="R123" s="25"/>
      <c r="S123" s="25"/>
      <c r="T123" s="5">
        <v>90.8</v>
      </c>
      <c r="U123" s="5"/>
      <c r="V123" s="5"/>
      <c r="W123" s="25"/>
      <c r="X123" s="25"/>
      <c r="Y123" s="25"/>
      <c r="Z123" s="25"/>
      <c r="AA123" s="25"/>
      <c r="AB123" s="25"/>
    </row>
    <row r="124" spans="1:28">
      <c r="A124" s="6">
        <v>32174</v>
      </c>
      <c r="B124" s="36"/>
      <c r="C124" s="36"/>
      <c r="D124" s="35"/>
      <c r="E124" s="7">
        <v>60.620899999999999</v>
      </c>
      <c r="F124" s="8">
        <f>IF(Tabela1511[[#This Row],[Industrial Production]]="",#N/A,((Tabela1511[[#This Row],[Industrial Production]]*1)/E123)-1)</f>
        <v>5.0117210943223522E-3</v>
      </c>
      <c r="G124" s="8">
        <f>IF(Tabela1511[[#This Row],[Industrial Production]]="",#N/A,((Tabela1511[[#This Row],[Industrial Production]]*1)/E112)-1)</f>
        <v>6.8326407466542616E-2</v>
      </c>
      <c r="H124" s="7"/>
      <c r="I124" s="25"/>
      <c r="J124" s="25"/>
      <c r="K124" s="25"/>
      <c r="L124" s="25"/>
      <c r="M124" s="25"/>
      <c r="N124" s="25"/>
      <c r="O124" s="25"/>
      <c r="P124" s="25"/>
      <c r="Q124" s="25"/>
      <c r="R124" s="25"/>
      <c r="S124" s="25"/>
      <c r="T124" s="5">
        <v>91.6</v>
      </c>
      <c r="U124" s="5"/>
      <c r="V124" s="5"/>
      <c r="W124" s="25"/>
      <c r="X124" s="25"/>
      <c r="Y124" s="25"/>
      <c r="Z124" s="25"/>
      <c r="AA124" s="25"/>
      <c r="AB124" s="25"/>
    </row>
    <row r="125" spans="1:28">
      <c r="A125" s="6">
        <v>32203</v>
      </c>
      <c r="B125" s="36"/>
      <c r="C125" s="36"/>
      <c r="D125" s="35"/>
      <c r="E125" s="7">
        <v>60.759099999999997</v>
      </c>
      <c r="F125" s="8">
        <f>IF(Tabela1511[[#This Row],[Industrial Production]]="",#N/A,((Tabela1511[[#This Row],[Industrial Production]]*1)/E124)-1)</f>
        <v>2.2797418052189489E-3</v>
      </c>
      <c r="G125" s="8">
        <f>IF(Tabela1511[[#This Row],[Industrial Production]]="",#N/A,((Tabela1511[[#This Row],[Industrial Production]]*1)/E113)-1)</f>
        <v>6.9260077256768637E-2</v>
      </c>
      <c r="H125" s="7"/>
      <c r="I125" s="25"/>
      <c r="J125" s="25"/>
      <c r="K125" s="25"/>
      <c r="L125" s="25"/>
      <c r="M125" s="25"/>
      <c r="N125" s="25"/>
      <c r="O125" s="25"/>
      <c r="P125" s="25"/>
      <c r="Q125" s="25"/>
      <c r="R125" s="25"/>
      <c r="S125" s="25"/>
      <c r="T125" s="5">
        <v>94.6</v>
      </c>
      <c r="U125" s="5"/>
      <c r="V125" s="5"/>
      <c r="W125" s="25"/>
      <c r="X125" s="25"/>
      <c r="Y125" s="25"/>
      <c r="Z125" s="25"/>
      <c r="AA125" s="25"/>
      <c r="AB125" s="25"/>
    </row>
    <row r="126" spans="1:28">
      <c r="A126" s="6">
        <v>32234</v>
      </c>
      <c r="B126" s="36"/>
      <c r="C126" s="36"/>
      <c r="D126" s="35"/>
      <c r="E126" s="7">
        <v>61.114400000000003</v>
      </c>
      <c r="F126" s="8">
        <f>IF(Tabela1511[[#This Row],[Industrial Production]]="",#N/A,((Tabela1511[[#This Row],[Industrial Production]]*1)/E125)-1)</f>
        <v>5.8476837214509469E-3</v>
      </c>
      <c r="G126" s="8">
        <f>IF(Tabela1511[[#This Row],[Industrial Production]]="",#N/A,((Tabela1511[[#This Row],[Industrial Production]]*1)/E114)-1)</f>
        <v>6.8519496323131035E-2</v>
      </c>
      <c r="H126" s="7"/>
      <c r="I126" s="25"/>
      <c r="J126" s="25"/>
      <c r="K126" s="25"/>
      <c r="L126" s="25"/>
      <c r="M126" s="25"/>
      <c r="N126" s="25"/>
      <c r="O126" s="25"/>
      <c r="P126" s="25"/>
      <c r="Q126" s="25"/>
      <c r="R126" s="25"/>
      <c r="S126" s="25"/>
      <c r="T126" s="5">
        <v>91.2</v>
      </c>
      <c r="U126" s="5"/>
      <c r="V126" s="5"/>
      <c r="W126" s="25"/>
      <c r="X126" s="25"/>
      <c r="Y126" s="25"/>
      <c r="Z126" s="25"/>
      <c r="AA126" s="25"/>
      <c r="AB126" s="25"/>
    </row>
    <row r="127" spans="1:28">
      <c r="A127" s="6">
        <v>32264</v>
      </c>
      <c r="B127" s="36"/>
      <c r="C127" s="36"/>
      <c r="D127" s="35"/>
      <c r="E127" s="7">
        <v>60.995199999999997</v>
      </c>
      <c r="F127" s="8">
        <f>IF(Tabela1511[[#This Row],[Industrial Production]]="",#N/A,((Tabela1511[[#This Row],[Industrial Production]]*1)/E126)-1)</f>
        <v>-1.9504404853848412E-3</v>
      </c>
      <c r="G127" s="8">
        <f>IF(Tabela1511[[#This Row],[Industrial Production]]="",#N/A,((Tabela1511[[#This Row],[Industrial Production]]*1)/E115)-1)</f>
        <v>5.9868148977059832E-2</v>
      </c>
      <c r="H127" s="7"/>
      <c r="I127" s="25"/>
      <c r="J127" s="25"/>
      <c r="K127" s="25"/>
      <c r="L127" s="25"/>
      <c r="M127" s="25"/>
      <c r="N127" s="25"/>
      <c r="O127" s="25"/>
      <c r="P127" s="25"/>
      <c r="Q127" s="25"/>
      <c r="R127" s="25"/>
      <c r="S127" s="25"/>
      <c r="T127" s="5">
        <v>94.8</v>
      </c>
      <c r="U127" s="5"/>
      <c r="V127" s="5"/>
      <c r="W127" s="25"/>
      <c r="X127" s="25"/>
      <c r="Y127" s="25"/>
      <c r="Z127" s="25"/>
      <c r="AA127" s="25"/>
      <c r="AB127" s="25"/>
    </row>
    <row r="128" spans="1:28">
      <c r="A128" s="6">
        <v>32295</v>
      </c>
      <c r="B128" s="36"/>
      <c r="C128" s="36"/>
      <c r="D128" s="35"/>
      <c r="E128" s="7">
        <v>61.169699999999999</v>
      </c>
      <c r="F128" s="8">
        <f>IF(Tabela1511[[#This Row],[Industrial Production]]="",#N/A,((Tabela1511[[#This Row],[Industrial Production]]*1)/E127)-1)</f>
        <v>2.8608808561985111E-3</v>
      </c>
      <c r="G128" s="8">
        <f>IF(Tabela1511[[#This Row],[Industrial Production]]="",#N/A,((Tabela1511[[#This Row],[Industrial Production]]*1)/E116)-1)</f>
        <v>5.7196385086146995E-2</v>
      </c>
      <c r="H128" s="7"/>
      <c r="I128" s="25"/>
      <c r="J128" s="25"/>
      <c r="K128" s="25"/>
      <c r="L128" s="25"/>
      <c r="M128" s="25"/>
      <c r="N128" s="25"/>
      <c r="O128" s="25"/>
      <c r="P128" s="25"/>
      <c r="Q128" s="25"/>
      <c r="R128" s="25"/>
      <c r="S128" s="25"/>
      <c r="T128" s="5">
        <v>94.7</v>
      </c>
      <c r="U128" s="5"/>
      <c r="V128" s="5"/>
      <c r="W128" s="25"/>
      <c r="X128" s="25"/>
      <c r="Y128" s="25"/>
      <c r="Z128" s="25"/>
      <c r="AA128" s="25"/>
      <c r="AB128" s="25"/>
    </row>
    <row r="129" spans="1:28">
      <c r="A129" s="6">
        <v>32325</v>
      </c>
      <c r="B129" s="36"/>
      <c r="C129" s="36"/>
      <c r="D129" s="35"/>
      <c r="E129" s="7">
        <v>61.174900000000001</v>
      </c>
      <c r="F129" s="8">
        <f>IF(Tabela1511[[#This Row],[Industrial Production]]="",#N/A,((Tabela1511[[#This Row],[Industrial Production]]*1)/E128)-1)</f>
        <v>8.5009408252734175E-5</v>
      </c>
      <c r="G129" s="8">
        <f>IF(Tabela1511[[#This Row],[Industrial Production]]="",#N/A,((Tabela1511[[#This Row],[Industrial Production]]*1)/E117)-1)</f>
        <v>5.0211072599017026E-2</v>
      </c>
      <c r="H129" s="7"/>
      <c r="I129" s="25"/>
      <c r="J129" s="25"/>
      <c r="K129" s="25"/>
      <c r="L129" s="25"/>
      <c r="M129" s="25"/>
      <c r="N129" s="25"/>
      <c r="O129" s="25"/>
      <c r="P129" s="25"/>
      <c r="Q129" s="25"/>
      <c r="R129" s="25"/>
      <c r="S129" s="25"/>
      <c r="T129" s="5">
        <v>93.4</v>
      </c>
      <c r="U129" s="5"/>
      <c r="V129" s="5"/>
      <c r="W129" s="25"/>
      <c r="X129" s="25"/>
      <c r="Y129" s="25"/>
      <c r="Z129" s="25"/>
      <c r="AA129" s="25"/>
      <c r="AB129" s="25"/>
    </row>
    <row r="130" spans="1:28">
      <c r="A130" s="6">
        <v>32356</v>
      </c>
      <c r="B130" s="36"/>
      <c r="C130" s="36"/>
      <c r="D130" s="35"/>
      <c r="E130" s="7">
        <v>61.485100000000003</v>
      </c>
      <c r="F130" s="8">
        <f>IF(Tabela1511[[#This Row],[Industrial Production]]="",#N/A,((Tabela1511[[#This Row],[Industrial Production]]*1)/E129)-1)</f>
        <v>5.0707071037305873E-3</v>
      </c>
      <c r="G130" s="8">
        <f>IF(Tabela1511[[#This Row],[Industrial Production]]="",#N/A,((Tabela1511[[#This Row],[Industrial Production]]*1)/E118)-1)</f>
        <v>4.7644443838613437E-2</v>
      </c>
      <c r="H130" s="7"/>
      <c r="I130" s="25"/>
      <c r="J130" s="25"/>
      <c r="K130" s="25"/>
      <c r="L130" s="25"/>
      <c r="M130" s="25"/>
      <c r="N130" s="25"/>
      <c r="O130" s="25"/>
      <c r="P130" s="25"/>
      <c r="Q130" s="25"/>
      <c r="R130" s="25"/>
      <c r="S130" s="25"/>
      <c r="T130" s="5">
        <v>97.4</v>
      </c>
      <c r="U130" s="5"/>
      <c r="V130" s="5"/>
      <c r="W130" s="25"/>
      <c r="X130" s="25"/>
      <c r="Y130" s="25"/>
      <c r="Z130" s="25"/>
      <c r="AA130" s="25"/>
      <c r="AB130" s="25"/>
    </row>
    <row r="131" spans="1:28">
      <c r="A131" s="6">
        <v>32387</v>
      </c>
      <c r="B131" s="36"/>
      <c r="C131" s="36"/>
      <c r="D131" s="35"/>
      <c r="E131" s="7">
        <v>61.284399999999998</v>
      </c>
      <c r="F131" s="8">
        <f>IF(Tabela1511[[#This Row],[Industrial Production]]="",#N/A,((Tabela1511[[#This Row],[Industrial Production]]*1)/E130)-1)</f>
        <v>-3.2642054741718329E-3</v>
      </c>
      <c r="G131" s="8">
        <f>IF(Tabela1511[[#This Row],[Industrial Production]]="",#N/A,((Tabela1511[[#This Row],[Industrial Production]]*1)/E119)-1)</f>
        <v>4.0240215773241106E-2</v>
      </c>
      <c r="H131" s="7"/>
      <c r="I131" s="25"/>
      <c r="J131" s="25"/>
      <c r="K131" s="25"/>
      <c r="L131" s="25"/>
      <c r="M131" s="25"/>
      <c r="N131" s="25"/>
      <c r="O131" s="25"/>
      <c r="P131" s="25"/>
      <c r="Q131" s="25"/>
      <c r="R131" s="25"/>
      <c r="S131" s="25"/>
      <c r="T131" s="5">
        <v>97.3</v>
      </c>
      <c r="U131" s="5"/>
      <c r="V131" s="5"/>
      <c r="W131" s="25"/>
      <c r="X131" s="25"/>
      <c r="Y131" s="25"/>
      <c r="Z131" s="25"/>
      <c r="AA131" s="25"/>
      <c r="AB131" s="25"/>
    </row>
    <row r="132" spans="1:28">
      <c r="A132" s="6">
        <v>32417</v>
      </c>
      <c r="B132" s="36"/>
      <c r="C132" s="36"/>
      <c r="D132" s="35"/>
      <c r="E132" s="7">
        <v>61.5595</v>
      </c>
      <c r="F132" s="8">
        <f>IF(Tabela1511[[#This Row],[Industrial Production]]="",#N/A,((Tabela1511[[#This Row],[Industrial Production]]*1)/E131)-1)</f>
        <v>4.4889074544256502E-3</v>
      </c>
      <c r="G132" s="8">
        <f>IF(Tabela1511[[#This Row],[Industrial Production]]="",#N/A,((Tabela1511[[#This Row],[Industrial Production]]*1)/E120)-1)</f>
        <v>3.1004064761515515E-2</v>
      </c>
      <c r="H132" s="7"/>
      <c r="I132" s="25"/>
      <c r="J132" s="25"/>
      <c r="K132" s="25"/>
      <c r="L132" s="25"/>
      <c r="M132" s="25"/>
      <c r="N132" s="25"/>
      <c r="O132" s="25"/>
      <c r="P132" s="25"/>
      <c r="Q132" s="25"/>
      <c r="R132" s="25"/>
      <c r="S132" s="25"/>
      <c r="T132" s="5">
        <v>94.1</v>
      </c>
      <c r="U132" s="5"/>
      <c r="V132" s="5"/>
      <c r="W132" s="25"/>
      <c r="X132" s="25"/>
      <c r="Y132" s="25"/>
      <c r="Z132" s="25"/>
      <c r="AA132" s="25"/>
      <c r="AB132" s="25"/>
    </row>
    <row r="133" spans="1:28">
      <c r="A133" s="6">
        <v>32448</v>
      </c>
      <c r="B133" s="36"/>
      <c r="C133" s="36"/>
      <c r="D133" s="35"/>
      <c r="E133" s="7">
        <v>61.712800000000001</v>
      </c>
      <c r="F133" s="8">
        <f>IF(Tabela1511[[#This Row],[Industrial Production]]="",#N/A,((Tabela1511[[#This Row],[Industrial Production]]*1)/E132)-1)</f>
        <v>2.4902736377001577E-3</v>
      </c>
      <c r="G133" s="8">
        <f>IF(Tabela1511[[#This Row],[Industrial Production]]="",#N/A,((Tabela1511[[#This Row],[Industrial Production]]*1)/E121)-1)</f>
        <v>2.8508954671661924E-2</v>
      </c>
      <c r="H133" s="7"/>
      <c r="I133" s="25"/>
      <c r="J133" s="25"/>
      <c r="K133" s="25"/>
      <c r="L133" s="25"/>
      <c r="M133" s="25"/>
      <c r="N133" s="25"/>
      <c r="O133" s="25"/>
      <c r="P133" s="25"/>
      <c r="Q133" s="25"/>
      <c r="R133" s="25"/>
      <c r="S133" s="25"/>
      <c r="T133" s="5">
        <v>93</v>
      </c>
      <c r="U133" s="5"/>
      <c r="V133" s="5"/>
      <c r="W133" s="25"/>
      <c r="X133" s="25"/>
      <c r="Y133" s="25"/>
      <c r="Z133" s="25"/>
      <c r="AA133" s="25"/>
      <c r="AB133" s="25"/>
    </row>
    <row r="134" spans="1:28">
      <c r="A134" s="6">
        <v>32478</v>
      </c>
      <c r="B134" s="36"/>
      <c r="C134" s="36"/>
      <c r="D134" s="35"/>
      <c r="E134" s="7">
        <v>61.9983</v>
      </c>
      <c r="F134" s="8">
        <f>IF(Tabela1511[[#This Row],[Industrial Production]]="",#N/A,((Tabela1511[[#This Row],[Industrial Production]]*1)/E133)-1)</f>
        <v>4.6262687805447289E-3</v>
      </c>
      <c r="G134" s="8">
        <f>IF(Tabela1511[[#This Row],[Industrial Production]]="",#N/A,((Tabela1511[[#This Row],[Industrial Production]]*1)/E122)-1)</f>
        <v>2.7591590755400075E-2</v>
      </c>
      <c r="H134" s="7"/>
      <c r="I134" s="25"/>
      <c r="J134" s="25"/>
      <c r="K134" s="25"/>
      <c r="L134" s="25"/>
      <c r="M134" s="25"/>
      <c r="N134" s="25"/>
      <c r="O134" s="25"/>
      <c r="P134" s="25"/>
      <c r="Q134" s="25"/>
      <c r="R134" s="25"/>
      <c r="S134" s="25"/>
      <c r="T134" s="5">
        <v>91.9</v>
      </c>
      <c r="U134" s="5"/>
      <c r="V134" s="5"/>
      <c r="W134" s="25"/>
      <c r="X134" s="25"/>
      <c r="Y134" s="25"/>
      <c r="Z134" s="25"/>
      <c r="AA134" s="25"/>
      <c r="AB134" s="25"/>
    </row>
    <row r="135" spans="1:28">
      <c r="A135" s="6">
        <v>32509</v>
      </c>
      <c r="B135" s="36"/>
      <c r="C135" s="36"/>
      <c r="D135" s="35"/>
      <c r="E135" s="7">
        <v>62.178899999999999</v>
      </c>
      <c r="F135" s="8">
        <f>IF(Tabela1511[[#This Row],[Industrial Production]]="",#N/A,((Tabela1511[[#This Row],[Industrial Production]]*1)/E134)-1)</f>
        <v>2.9129830979235383E-3</v>
      </c>
      <c r="G135" s="8">
        <f>IF(Tabela1511[[#This Row],[Industrial Production]]="",#N/A,((Tabela1511[[#This Row],[Industrial Production]]*1)/E123)-1)</f>
        <v>3.0841233052491202E-2</v>
      </c>
      <c r="H135" s="7"/>
      <c r="I135" s="25"/>
      <c r="J135" s="25"/>
      <c r="K135" s="25"/>
      <c r="L135" s="25"/>
      <c r="M135" s="25"/>
      <c r="N135" s="25"/>
      <c r="O135" s="25"/>
      <c r="P135" s="25"/>
      <c r="Q135" s="25"/>
      <c r="R135" s="25"/>
      <c r="S135" s="25"/>
      <c r="T135" s="5">
        <v>97.9</v>
      </c>
      <c r="U135" s="5"/>
      <c r="V135" s="5"/>
      <c r="W135" s="25"/>
      <c r="X135" s="25"/>
      <c r="Y135" s="25"/>
      <c r="Z135" s="25"/>
      <c r="AA135" s="25"/>
      <c r="AB135" s="25"/>
    </row>
    <row r="136" spans="1:28">
      <c r="A136" s="6">
        <v>32540</v>
      </c>
      <c r="B136" s="36"/>
      <c r="C136" s="36"/>
      <c r="D136" s="35"/>
      <c r="E136" s="7">
        <v>61.907400000000003</v>
      </c>
      <c r="F136" s="8">
        <f>IF(Tabela1511[[#This Row],[Industrial Production]]="",#N/A,((Tabela1511[[#This Row],[Industrial Production]]*1)/E135)-1)</f>
        <v>-4.366432986109392E-3</v>
      </c>
      <c r="G136" s="8">
        <f>IF(Tabela1511[[#This Row],[Industrial Production]]="",#N/A,((Tabela1511[[#This Row],[Industrial Production]]*1)/E124)-1)</f>
        <v>2.1222053780131978E-2</v>
      </c>
      <c r="H136" s="7"/>
      <c r="I136" s="25"/>
      <c r="J136" s="25"/>
      <c r="K136" s="25"/>
      <c r="L136" s="25"/>
      <c r="M136" s="25"/>
      <c r="N136" s="25"/>
      <c r="O136" s="25"/>
      <c r="P136" s="25"/>
      <c r="Q136" s="25"/>
      <c r="R136" s="25"/>
      <c r="S136" s="25"/>
      <c r="T136" s="5">
        <v>95.4</v>
      </c>
      <c r="U136" s="5"/>
      <c r="V136" s="5"/>
      <c r="W136" s="25"/>
      <c r="X136" s="25"/>
      <c r="Y136" s="25"/>
      <c r="Z136" s="25"/>
      <c r="AA136" s="25"/>
      <c r="AB136" s="25"/>
    </row>
    <row r="137" spans="1:28">
      <c r="A137" s="6">
        <v>32568</v>
      </c>
      <c r="B137" s="36"/>
      <c r="C137" s="36"/>
      <c r="D137" s="35"/>
      <c r="E137" s="7">
        <v>62.059199999999997</v>
      </c>
      <c r="F137" s="8">
        <f>IF(Tabela1511[[#This Row],[Industrial Production]]="",#N/A,((Tabela1511[[#This Row],[Industrial Production]]*1)/E136)-1)</f>
        <v>2.4520493511275276E-3</v>
      </c>
      <c r="G137" s="8">
        <f>IF(Tabela1511[[#This Row],[Industrial Production]]="",#N/A,((Tabela1511[[#This Row],[Industrial Production]]*1)/E125)-1)</f>
        <v>2.1397617805398728E-2</v>
      </c>
      <c r="H137" s="7"/>
      <c r="I137" s="25"/>
      <c r="J137" s="25"/>
      <c r="K137" s="25"/>
      <c r="L137" s="25"/>
      <c r="M137" s="25"/>
      <c r="N137" s="25"/>
      <c r="O137" s="25"/>
      <c r="P137" s="25"/>
      <c r="Q137" s="25"/>
      <c r="R137" s="25"/>
      <c r="S137" s="25"/>
      <c r="T137" s="5">
        <v>94.3</v>
      </c>
      <c r="U137" s="5"/>
      <c r="V137" s="5"/>
      <c r="W137" s="25"/>
      <c r="X137" s="25"/>
      <c r="Y137" s="25"/>
      <c r="Z137" s="25"/>
      <c r="AA137" s="25"/>
      <c r="AB137" s="25"/>
    </row>
    <row r="138" spans="1:28">
      <c r="A138" s="6">
        <v>32599</v>
      </c>
      <c r="B138" s="36"/>
      <c r="C138" s="36"/>
      <c r="D138" s="35"/>
      <c r="E138" s="7">
        <v>62.042400000000001</v>
      </c>
      <c r="F138" s="8">
        <f>IF(Tabela1511[[#This Row],[Industrial Production]]="",#N/A,((Tabela1511[[#This Row],[Industrial Production]]*1)/E137)-1)</f>
        <v>-2.7070925825656289E-4</v>
      </c>
      <c r="G138" s="8">
        <f>IF(Tabela1511[[#This Row],[Industrial Production]]="",#N/A,((Tabela1511[[#This Row],[Industrial Production]]*1)/E126)-1)</f>
        <v>1.518463733588149E-2</v>
      </c>
      <c r="H138" s="7"/>
      <c r="I138" s="25"/>
      <c r="J138" s="25"/>
      <c r="K138" s="25"/>
      <c r="L138" s="25"/>
      <c r="M138" s="25"/>
      <c r="N138" s="25"/>
      <c r="O138" s="25"/>
      <c r="P138" s="25"/>
      <c r="Q138" s="25"/>
      <c r="R138" s="25"/>
      <c r="S138" s="25"/>
      <c r="T138" s="5">
        <v>91.5</v>
      </c>
      <c r="U138" s="5"/>
      <c r="V138" s="5"/>
      <c r="W138" s="25"/>
      <c r="X138" s="25"/>
      <c r="Y138" s="25"/>
      <c r="Z138" s="25"/>
      <c r="AA138" s="25"/>
      <c r="AB138" s="25"/>
    </row>
    <row r="139" spans="1:28">
      <c r="A139" s="6">
        <v>32629</v>
      </c>
      <c r="B139" s="36"/>
      <c r="C139" s="36"/>
      <c r="D139" s="35"/>
      <c r="E139" s="7">
        <v>61.694800000000001</v>
      </c>
      <c r="F139" s="8">
        <f>IF(Tabela1511[[#This Row],[Industrial Production]]="",#N/A,((Tabela1511[[#This Row],[Industrial Production]]*1)/E138)-1)</f>
        <v>-5.6026201436436551E-3</v>
      </c>
      <c r="G139" s="8">
        <f>IF(Tabela1511[[#This Row],[Industrial Production]]="",#N/A,((Tabela1511[[#This Row],[Industrial Production]]*1)/E127)-1)</f>
        <v>1.1469754997114556E-2</v>
      </c>
      <c r="H139" s="7"/>
      <c r="I139" s="25"/>
      <c r="J139" s="25"/>
      <c r="K139" s="25"/>
      <c r="L139" s="25"/>
      <c r="M139" s="25"/>
      <c r="N139" s="25"/>
      <c r="O139" s="25"/>
      <c r="P139" s="25"/>
      <c r="Q139" s="25"/>
      <c r="R139" s="25"/>
      <c r="S139" s="25"/>
      <c r="T139" s="5">
        <v>90.7</v>
      </c>
      <c r="U139" s="5"/>
      <c r="V139" s="5"/>
      <c r="W139" s="25"/>
      <c r="X139" s="25"/>
      <c r="Y139" s="25"/>
      <c r="Z139" s="25"/>
      <c r="AA139" s="25"/>
      <c r="AB139" s="25"/>
    </row>
    <row r="140" spans="1:28">
      <c r="A140" s="6">
        <v>32660</v>
      </c>
      <c r="B140" s="36"/>
      <c r="C140" s="36"/>
      <c r="D140" s="35"/>
      <c r="E140" s="7">
        <v>61.691499999999998</v>
      </c>
      <c r="F140" s="8">
        <f>IF(Tabela1511[[#This Row],[Industrial Production]]="",#N/A,((Tabela1511[[#This Row],[Industrial Production]]*1)/E139)-1)</f>
        <v>-5.3489110913740312E-5</v>
      </c>
      <c r="G140" s="8">
        <f>IF(Tabela1511[[#This Row],[Industrial Production]]="",#N/A,((Tabela1511[[#This Row],[Industrial Production]]*1)/E128)-1)</f>
        <v>8.5303671589038732E-3</v>
      </c>
      <c r="H140" s="7"/>
      <c r="I140" s="25"/>
      <c r="J140" s="25"/>
      <c r="K140" s="25"/>
      <c r="L140" s="25"/>
      <c r="M140" s="25"/>
      <c r="N140" s="25"/>
      <c r="O140" s="25"/>
      <c r="P140" s="25"/>
      <c r="Q140" s="25"/>
      <c r="R140" s="25"/>
      <c r="S140" s="25"/>
      <c r="T140" s="5">
        <v>90.6</v>
      </c>
      <c r="U140" s="5"/>
      <c r="V140" s="5"/>
      <c r="W140" s="25"/>
      <c r="X140" s="25"/>
      <c r="Y140" s="25"/>
      <c r="Z140" s="25"/>
      <c r="AA140" s="25"/>
      <c r="AB140" s="25"/>
    </row>
    <row r="141" spans="1:28">
      <c r="A141" s="6">
        <v>32690</v>
      </c>
      <c r="B141" s="36"/>
      <c r="C141" s="36"/>
      <c r="D141" s="35"/>
      <c r="E141" s="7">
        <v>61.097799999999999</v>
      </c>
      <c r="F141" s="8">
        <f>IF(Tabela1511[[#This Row],[Industrial Production]]="",#N/A,((Tabela1511[[#This Row],[Industrial Production]]*1)/E140)-1)</f>
        <v>-9.6236920807566406E-3</v>
      </c>
      <c r="G141" s="8">
        <f>IF(Tabela1511[[#This Row],[Industrial Production]]="",#N/A,((Tabela1511[[#This Row],[Industrial Production]]*1)/E129)-1)</f>
        <v>-1.2603208178517677E-3</v>
      </c>
      <c r="H141" s="7"/>
      <c r="I141" s="25"/>
      <c r="J141" s="25"/>
      <c r="K141" s="25"/>
      <c r="L141" s="25"/>
      <c r="M141" s="25"/>
      <c r="N141" s="25"/>
      <c r="O141" s="25"/>
      <c r="P141" s="25"/>
      <c r="Q141" s="25"/>
      <c r="R141" s="25"/>
      <c r="S141" s="25"/>
      <c r="T141" s="5">
        <v>92</v>
      </c>
      <c r="U141" s="5"/>
      <c r="V141" s="5"/>
      <c r="W141" s="25"/>
      <c r="X141" s="25"/>
      <c r="Y141" s="25"/>
      <c r="Z141" s="25"/>
      <c r="AA141" s="25"/>
      <c r="AB141" s="25"/>
    </row>
    <row r="142" spans="1:28">
      <c r="A142" s="6">
        <v>32721</v>
      </c>
      <c r="B142" s="36"/>
      <c r="C142" s="36"/>
      <c r="D142" s="35"/>
      <c r="E142" s="7">
        <v>61.694899999999997</v>
      </c>
      <c r="F142" s="8">
        <f>IF(Tabela1511[[#This Row],[Industrial Production]]="",#N/A,((Tabela1511[[#This Row],[Industrial Production]]*1)/E141)-1)</f>
        <v>9.7728559784475699E-3</v>
      </c>
      <c r="G142" s="8">
        <f>IF(Tabela1511[[#This Row],[Industrial Production]]="",#N/A,((Tabela1511[[#This Row],[Industrial Production]]*1)/E130)-1)</f>
        <v>3.4122088115655647E-3</v>
      </c>
      <c r="H142" s="7"/>
      <c r="I142" s="25"/>
      <c r="J142" s="25"/>
      <c r="K142" s="25"/>
      <c r="L142" s="25"/>
      <c r="M142" s="25"/>
      <c r="N142" s="25"/>
      <c r="O142" s="25"/>
      <c r="P142" s="25"/>
      <c r="Q142" s="25"/>
      <c r="R142" s="25"/>
      <c r="S142" s="25"/>
      <c r="T142" s="5">
        <v>89.6</v>
      </c>
      <c r="U142" s="5"/>
      <c r="V142" s="5"/>
      <c r="W142" s="25"/>
      <c r="X142" s="25"/>
      <c r="Y142" s="25"/>
      <c r="Z142" s="25"/>
      <c r="AA142" s="25"/>
      <c r="AB142" s="25"/>
    </row>
    <row r="143" spans="1:28">
      <c r="A143" s="6">
        <v>32752</v>
      </c>
      <c r="B143" s="36"/>
      <c r="C143" s="36"/>
      <c r="D143" s="35"/>
      <c r="E143" s="7">
        <v>61.483899999999998</v>
      </c>
      <c r="F143" s="8">
        <f>IF(Tabela1511[[#This Row],[Industrial Production]]="",#N/A,((Tabela1511[[#This Row],[Industrial Production]]*1)/E142)-1)</f>
        <v>-3.42005579067306E-3</v>
      </c>
      <c r="G143" s="8">
        <f>IF(Tabela1511[[#This Row],[Industrial Production]]="",#N/A,((Tabela1511[[#This Row],[Industrial Production]]*1)/E131)-1)</f>
        <v>3.2553145661864402E-3</v>
      </c>
      <c r="H143" s="7"/>
      <c r="I143" s="25"/>
      <c r="J143" s="25"/>
      <c r="K143" s="25"/>
      <c r="L143" s="25"/>
      <c r="M143" s="25"/>
      <c r="N143" s="25"/>
      <c r="O143" s="25"/>
      <c r="P143" s="25"/>
      <c r="Q143" s="25"/>
      <c r="R143" s="25"/>
      <c r="S143" s="25"/>
      <c r="T143" s="5">
        <v>95.8</v>
      </c>
      <c r="U143" s="5"/>
      <c r="V143" s="5"/>
      <c r="W143" s="25"/>
      <c r="X143" s="25"/>
      <c r="Y143" s="25"/>
      <c r="Z143" s="25"/>
      <c r="AA143" s="25"/>
      <c r="AB143" s="25"/>
    </row>
    <row r="144" spans="1:28">
      <c r="A144" s="6">
        <v>32782</v>
      </c>
      <c r="B144" s="36"/>
      <c r="C144" s="36"/>
      <c r="D144" s="35"/>
      <c r="E144" s="7">
        <v>61.410499999999999</v>
      </c>
      <c r="F144" s="8">
        <f>IF(Tabela1511[[#This Row],[Industrial Production]]="",#N/A,((Tabela1511[[#This Row],[Industrial Production]]*1)/E143)-1)</f>
        <v>-1.1938084604262711E-3</v>
      </c>
      <c r="G144" s="8">
        <f>IF(Tabela1511[[#This Row],[Industrial Production]]="",#N/A,((Tabela1511[[#This Row],[Industrial Production]]*1)/E132)-1)</f>
        <v>-2.4204225180516348E-3</v>
      </c>
      <c r="H144" s="7"/>
      <c r="I144" s="25"/>
      <c r="J144" s="25"/>
      <c r="K144" s="25"/>
      <c r="L144" s="25"/>
      <c r="M144" s="25"/>
      <c r="N144" s="25"/>
      <c r="O144" s="25"/>
      <c r="P144" s="25"/>
      <c r="Q144" s="25"/>
      <c r="R144" s="25"/>
      <c r="S144" s="25"/>
      <c r="T144" s="5">
        <v>93.9</v>
      </c>
      <c r="U144" s="5"/>
      <c r="V144" s="5"/>
      <c r="W144" s="25"/>
      <c r="X144" s="25"/>
      <c r="Y144" s="25"/>
      <c r="Z144" s="25"/>
      <c r="AA144" s="25"/>
      <c r="AB144" s="25"/>
    </row>
    <row r="145" spans="1:28">
      <c r="A145" s="6">
        <v>32813</v>
      </c>
      <c r="B145" s="36"/>
      <c r="C145" s="36"/>
      <c r="D145" s="35"/>
      <c r="E145" s="7">
        <v>61.617199999999997</v>
      </c>
      <c r="F145" s="8">
        <f>IF(Tabela1511[[#This Row],[Industrial Production]]="",#N/A,((Tabela1511[[#This Row],[Industrial Production]]*1)/E144)-1)</f>
        <v>3.3658739140700611E-3</v>
      </c>
      <c r="G145" s="8">
        <f>IF(Tabela1511[[#This Row],[Industrial Production]]="",#N/A,((Tabela1511[[#This Row],[Industrial Production]]*1)/E133)-1)</f>
        <v>-1.5491113674959145E-3</v>
      </c>
      <c r="H145" s="7"/>
      <c r="I145" s="25"/>
      <c r="J145" s="25"/>
      <c r="K145" s="25"/>
      <c r="L145" s="25"/>
      <c r="M145" s="25"/>
      <c r="N145" s="25"/>
      <c r="O145" s="25"/>
      <c r="P145" s="25"/>
      <c r="Q145" s="25"/>
      <c r="R145" s="25"/>
      <c r="S145" s="25"/>
      <c r="T145" s="5">
        <v>90.9</v>
      </c>
      <c r="U145" s="5"/>
      <c r="V145" s="5"/>
      <c r="W145" s="25"/>
      <c r="X145" s="25"/>
      <c r="Y145" s="25"/>
      <c r="Z145" s="25"/>
      <c r="AA145" s="25"/>
      <c r="AB145" s="25"/>
    </row>
    <row r="146" spans="1:28">
      <c r="A146" s="6">
        <v>32843</v>
      </c>
      <c r="B146" s="36"/>
      <c r="C146" s="36"/>
      <c r="D146" s="35"/>
      <c r="E146" s="7">
        <v>61.963500000000003</v>
      </c>
      <c r="F146" s="8">
        <f>IF(Tabela1511[[#This Row],[Industrial Production]]="",#N/A,((Tabela1511[[#This Row],[Industrial Production]]*1)/E145)-1)</f>
        <v>5.62018397460462E-3</v>
      </c>
      <c r="G146" s="8">
        <f>IF(Tabela1511[[#This Row],[Industrial Production]]="",#N/A,((Tabela1511[[#This Row],[Industrial Production]]*1)/E134)-1)</f>
        <v>-5.6130571322110523E-4</v>
      </c>
      <c r="H146" s="7"/>
      <c r="I146" s="25"/>
      <c r="J146" s="25"/>
      <c r="K146" s="25"/>
      <c r="L146" s="25"/>
      <c r="M146" s="25"/>
      <c r="N146" s="25"/>
      <c r="O146" s="25"/>
      <c r="P146" s="25"/>
      <c r="Q146" s="25"/>
      <c r="R146" s="25"/>
      <c r="S146" s="25"/>
      <c r="T146" s="5">
        <v>90.5</v>
      </c>
      <c r="U146" s="5"/>
      <c r="V146" s="5"/>
      <c r="W146" s="25"/>
      <c r="X146" s="25"/>
      <c r="Y146" s="25"/>
      <c r="Z146" s="25"/>
      <c r="AA146" s="25"/>
      <c r="AB146" s="25"/>
    </row>
    <row r="147" spans="1:28">
      <c r="A147" s="6">
        <v>32874</v>
      </c>
      <c r="B147" s="36"/>
      <c r="C147" s="36"/>
      <c r="D147" s="35"/>
      <c r="E147" s="7">
        <v>61.643999999999998</v>
      </c>
      <c r="F147" s="8">
        <f>IF(Tabela1511[[#This Row],[Industrial Production]]="",#N/A,((Tabela1511[[#This Row],[Industrial Production]]*1)/E146)-1)</f>
        <v>-5.1562613474062102E-3</v>
      </c>
      <c r="G147" s="8">
        <f>IF(Tabela1511[[#This Row],[Industrial Production]]="",#N/A,((Tabela1511[[#This Row],[Industrial Production]]*1)/E135)-1)</f>
        <v>-8.6025967008100945E-3</v>
      </c>
      <c r="H147" s="7"/>
      <c r="I147" s="25"/>
      <c r="J147" s="25"/>
      <c r="K147" s="25"/>
      <c r="L147" s="25"/>
      <c r="M147" s="25"/>
      <c r="N147" s="25"/>
      <c r="O147" s="25"/>
      <c r="P147" s="25"/>
      <c r="Q147" s="25"/>
      <c r="R147" s="25"/>
      <c r="S147" s="25"/>
      <c r="T147" s="5">
        <v>93</v>
      </c>
      <c r="U147" s="5"/>
      <c r="V147" s="5"/>
      <c r="W147" s="25"/>
      <c r="X147" s="25"/>
      <c r="Y147" s="25"/>
      <c r="Z147" s="25"/>
      <c r="AA147" s="25"/>
      <c r="AB147" s="25"/>
    </row>
    <row r="148" spans="1:28">
      <c r="A148" s="6">
        <v>32905</v>
      </c>
      <c r="B148" s="36"/>
      <c r="C148" s="36"/>
      <c r="D148" s="35"/>
      <c r="E148" s="7">
        <v>62.210799999999999</v>
      </c>
      <c r="F148" s="8">
        <f>IF(Tabela1511[[#This Row],[Industrial Production]]="",#N/A,((Tabela1511[[#This Row],[Industrial Production]]*1)/E147)-1)</f>
        <v>9.1947310362727741E-3</v>
      </c>
      <c r="G148" s="8">
        <f>IF(Tabela1511[[#This Row],[Industrial Production]]="",#N/A,((Tabela1511[[#This Row],[Industrial Production]]*1)/E136)-1)</f>
        <v>4.9008680706990049E-3</v>
      </c>
      <c r="H148" s="7"/>
      <c r="I148" s="25"/>
      <c r="J148" s="25"/>
      <c r="K148" s="25"/>
      <c r="L148" s="25"/>
      <c r="M148" s="25"/>
      <c r="N148" s="25"/>
      <c r="O148" s="25"/>
      <c r="P148" s="25"/>
      <c r="Q148" s="25"/>
      <c r="R148" s="25"/>
      <c r="S148" s="25"/>
      <c r="T148" s="5">
        <v>89.5</v>
      </c>
      <c r="U148" s="5"/>
      <c r="V148" s="5"/>
      <c r="W148" s="25"/>
      <c r="X148" s="25"/>
      <c r="Y148" s="25"/>
      <c r="Z148" s="25"/>
      <c r="AA148" s="25"/>
      <c r="AB148" s="25"/>
    </row>
    <row r="149" spans="1:28">
      <c r="A149" s="6">
        <v>32933</v>
      </c>
      <c r="B149" s="36"/>
      <c r="C149" s="36"/>
      <c r="D149" s="35"/>
      <c r="E149" s="7">
        <v>62.506799999999998</v>
      </c>
      <c r="F149" s="8">
        <f>IF(Tabela1511[[#This Row],[Industrial Production]]="",#N/A,((Tabela1511[[#This Row],[Industrial Production]]*1)/E148)-1)</f>
        <v>4.7580162929909964E-3</v>
      </c>
      <c r="G149" s="8">
        <f>IF(Tabela1511[[#This Row],[Industrial Production]]="",#N/A,((Tabela1511[[#This Row],[Industrial Production]]*1)/E137)-1)</f>
        <v>7.2124680949803288E-3</v>
      </c>
      <c r="H149" s="7"/>
      <c r="I149" s="25"/>
      <c r="J149" s="25"/>
      <c r="K149" s="25"/>
      <c r="L149" s="25"/>
      <c r="M149" s="25"/>
      <c r="N149" s="25"/>
      <c r="O149" s="25"/>
      <c r="P149" s="25"/>
      <c r="Q149" s="25"/>
      <c r="R149" s="25"/>
      <c r="S149" s="25"/>
      <c r="T149" s="5">
        <v>91.3</v>
      </c>
      <c r="U149" s="5"/>
      <c r="V149" s="5"/>
      <c r="W149" s="25"/>
      <c r="X149" s="25"/>
      <c r="Y149" s="25"/>
      <c r="Z149" s="25"/>
      <c r="AA149" s="25"/>
      <c r="AB149" s="25"/>
    </row>
    <row r="150" spans="1:28">
      <c r="A150" s="6">
        <v>32964</v>
      </c>
      <c r="B150" s="36"/>
      <c r="C150" s="36"/>
      <c r="D150" s="35"/>
      <c r="E150" s="7">
        <v>62.359699999999997</v>
      </c>
      <c r="F150" s="8">
        <f>IF(Tabela1511[[#This Row],[Industrial Production]]="",#N/A,((Tabela1511[[#This Row],[Industrial Production]]*1)/E149)-1)</f>
        <v>-2.3533439561775893E-3</v>
      </c>
      <c r="G150" s="8">
        <f>IF(Tabela1511[[#This Row],[Industrial Production]]="",#N/A,((Tabela1511[[#This Row],[Industrial Production]]*1)/E138)-1)</f>
        <v>5.1142444521810049E-3</v>
      </c>
      <c r="H150" s="7"/>
      <c r="I150" s="25"/>
      <c r="J150" s="25"/>
      <c r="K150" s="25"/>
      <c r="L150" s="25"/>
      <c r="M150" s="25"/>
      <c r="N150" s="25"/>
      <c r="O150" s="25"/>
      <c r="P150" s="25"/>
      <c r="Q150" s="25"/>
      <c r="R150" s="25"/>
      <c r="S150" s="25"/>
      <c r="T150" s="5">
        <v>93.9</v>
      </c>
      <c r="U150" s="5"/>
      <c r="V150" s="5"/>
      <c r="W150" s="25"/>
      <c r="X150" s="25"/>
      <c r="Y150" s="25"/>
      <c r="Z150" s="25"/>
      <c r="AA150" s="25"/>
      <c r="AB150" s="25"/>
    </row>
    <row r="151" spans="1:28">
      <c r="A151" s="6">
        <v>32994</v>
      </c>
      <c r="B151" s="36"/>
      <c r="C151" s="36"/>
      <c r="D151" s="35"/>
      <c r="E151" s="7">
        <v>62.547400000000003</v>
      </c>
      <c r="F151" s="8">
        <f>IF(Tabela1511[[#This Row],[Industrial Production]]="",#N/A,((Tabela1511[[#This Row],[Industrial Production]]*1)/E150)-1)</f>
        <v>3.0099567509145331E-3</v>
      </c>
      <c r="G151" s="8">
        <f>IF(Tabela1511[[#This Row],[Industrial Production]]="",#N/A,((Tabela1511[[#This Row],[Industrial Production]]*1)/E139)-1)</f>
        <v>1.3819641201527455E-2</v>
      </c>
      <c r="H151" s="7"/>
      <c r="I151" s="25"/>
      <c r="J151" s="25"/>
      <c r="K151" s="25"/>
      <c r="L151" s="25"/>
      <c r="M151" s="25"/>
      <c r="N151" s="25"/>
      <c r="O151" s="25"/>
      <c r="P151" s="25"/>
      <c r="Q151" s="25"/>
      <c r="R151" s="25"/>
      <c r="S151" s="25"/>
      <c r="T151" s="5">
        <v>90.6</v>
      </c>
      <c r="U151" s="5"/>
      <c r="V151" s="5"/>
      <c r="W151" s="25"/>
      <c r="X151" s="25"/>
      <c r="Y151" s="25"/>
      <c r="Z151" s="25"/>
      <c r="AA151" s="25"/>
      <c r="AB151" s="25"/>
    </row>
    <row r="152" spans="1:28">
      <c r="A152" s="6">
        <v>33025</v>
      </c>
      <c r="B152" s="36"/>
      <c r="C152" s="36"/>
      <c r="D152" s="35"/>
      <c r="E152" s="7">
        <v>62.754100000000001</v>
      </c>
      <c r="F152" s="8">
        <f>IF(Tabela1511[[#This Row],[Industrial Production]]="",#N/A,((Tabela1511[[#This Row],[Industrial Production]]*1)/E151)-1)</f>
        <v>3.3046937202825255E-3</v>
      </c>
      <c r="G152" s="8">
        <f>IF(Tabela1511[[#This Row],[Industrial Production]]="",#N/A,((Tabela1511[[#This Row],[Industrial Production]]*1)/E140)-1)</f>
        <v>1.7224415032865092E-2</v>
      </c>
      <c r="H152" s="7"/>
      <c r="I152" s="25"/>
      <c r="J152" s="25"/>
      <c r="K152" s="25"/>
      <c r="L152" s="25"/>
      <c r="M152" s="25"/>
      <c r="N152" s="25"/>
      <c r="O152" s="25"/>
      <c r="P152" s="25"/>
      <c r="Q152" s="25"/>
      <c r="R152" s="25"/>
      <c r="S152" s="25"/>
      <c r="T152" s="5">
        <v>88.3</v>
      </c>
      <c r="U152" s="5"/>
      <c r="V152" s="5"/>
      <c r="W152" s="25"/>
      <c r="X152" s="25"/>
      <c r="Y152" s="25"/>
      <c r="Z152" s="25"/>
      <c r="AA152" s="25"/>
      <c r="AB152" s="25"/>
    </row>
    <row r="153" spans="1:28">
      <c r="A153" s="6">
        <v>33055</v>
      </c>
      <c r="B153" s="36"/>
      <c r="C153" s="36"/>
      <c r="D153" s="35"/>
      <c r="E153" s="7">
        <v>62.649700000000003</v>
      </c>
      <c r="F153" s="8">
        <f>IF(Tabela1511[[#This Row],[Industrial Production]]="",#N/A,((Tabela1511[[#This Row],[Industrial Production]]*1)/E152)-1)</f>
        <v>-1.6636363201766313E-3</v>
      </c>
      <c r="G153" s="8">
        <f>IF(Tabela1511[[#This Row],[Industrial Production]]="",#N/A,((Tabela1511[[#This Row],[Industrial Production]]*1)/E141)-1)</f>
        <v>2.5400259911158907E-2</v>
      </c>
      <c r="H153" s="7"/>
      <c r="I153" s="25"/>
      <c r="J153" s="25"/>
      <c r="K153" s="25"/>
      <c r="L153" s="25"/>
      <c r="M153" s="25"/>
      <c r="N153" s="25"/>
      <c r="O153" s="25"/>
      <c r="P153" s="25"/>
      <c r="Q153" s="25"/>
      <c r="R153" s="25"/>
      <c r="S153" s="25"/>
      <c r="T153" s="5">
        <v>88.2</v>
      </c>
      <c r="U153" s="5"/>
      <c r="V153" s="5"/>
      <c r="W153" s="25"/>
      <c r="X153" s="25"/>
      <c r="Y153" s="25"/>
      <c r="Z153" s="25"/>
      <c r="AA153" s="25"/>
      <c r="AB153" s="25"/>
    </row>
    <row r="154" spans="1:28">
      <c r="A154" s="6">
        <v>33086</v>
      </c>
      <c r="B154" s="36"/>
      <c r="C154" s="36"/>
      <c r="D154" s="35"/>
      <c r="E154" s="7">
        <v>62.876100000000001</v>
      </c>
      <c r="F154" s="8">
        <f>IF(Tabela1511[[#This Row],[Industrial Production]]="",#N/A,((Tabela1511[[#This Row],[Industrial Production]]*1)/E153)-1)</f>
        <v>3.6137443595101182E-3</v>
      </c>
      <c r="G154" s="8">
        <f>IF(Tabela1511[[#This Row],[Industrial Production]]="",#N/A,((Tabela1511[[#This Row],[Industrial Production]]*1)/E142)-1)</f>
        <v>1.9145828909683082E-2</v>
      </c>
      <c r="H154" s="7"/>
      <c r="I154" s="25"/>
      <c r="J154" s="25"/>
      <c r="K154" s="25"/>
      <c r="L154" s="25"/>
      <c r="M154" s="25"/>
      <c r="N154" s="25"/>
      <c r="O154" s="25"/>
      <c r="P154" s="25"/>
      <c r="Q154" s="25"/>
      <c r="R154" s="25"/>
      <c r="S154" s="25"/>
      <c r="T154" s="5">
        <v>76.400000000000006</v>
      </c>
      <c r="U154" s="5"/>
      <c r="V154" s="5"/>
      <c r="W154" s="25"/>
      <c r="X154" s="25"/>
      <c r="Y154" s="25"/>
      <c r="Z154" s="25"/>
      <c r="AA154" s="25"/>
      <c r="AB154" s="25"/>
    </row>
    <row r="155" spans="1:28">
      <c r="A155" s="6">
        <v>33117</v>
      </c>
      <c r="B155" s="36"/>
      <c r="C155" s="36"/>
      <c r="D155" s="35"/>
      <c r="E155" s="7">
        <v>62.896000000000001</v>
      </c>
      <c r="F155" s="8">
        <f>IF(Tabela1511[[#This Row],[Industrial Production]]="",#N/A,((Tabela1511[[#This Row],[Industrial Production]]*1)/E154)-1)</f>
        <v>3.1649545693834824E-4</v>
      </c>
      <c r="G155" s="8">
        <f>IF(Tabela1511[[#This Row],[Industrial Production]]="",#N/A,((Tabela1511[[#This Row],[Industrial Production]]*1)/E143)-1)</f>
        <v>2.2966988105829422E-2</v>
      </c>
      <c r="H155" s="7"/>
      <c r="I155" s="25"/>
      <c r="J155" s="25"/>
      <c r="K155" s="25"/>
      <c r="L155" s="25"/>
      <c r="M155" s="25"/>
      <c r="N155" s="25"/>
      <c r="O155" s="25"/>
      <c r="P155" s="25"/>
      <c r="Q155" s="25"/>
      <c r="R155" s="25"/>
      <c r="S155" s="25"/>
      <c r="T155" s="5">
        <v>72.8</v>
      </c>
      <c r="U155" s="5"/>
      <c r="V155" s="5"/>
      <c r="W155" s="25"/>
      <c r="X155" s="25"/>
      <c r="Y155" s="25"/>
      <c r="Z155" s="25"/>
      <c r="AA155" s="25"/>
      <c r="AB155" s="25"/>
    </row>
    <row r="156" spans="1:28">
      <c r="A156" s="6">
        <v>33147</v>
      </c>
      <c r="B156" s="36"/>
      <c r="C156" s="36"/>
      <c r="D156" s="35"/>
      <c r="E156" s="7">
        <v>62.506</v>
      </c>
      <c r="F156" s="8">
        <f>IF(Tabela1511[[#This Row],[Industrial Production]]="",#N/A,((Tabela1511[[#This Row],[Industrial Production]]*1)/E155)-1)</f>
        <v>-6.2007122869498499E-3</v>
      </c>
      <c r="G156" s="8">
        <f>IF(Tabela1511[[#This Row],[Industrial Production]]="",#N/A,((Tabela1511[[#This Row],[Industrial Production]]*1)/E144)-1)</f>
        <v>1.7838968905968811E-2</v>
      </c>
      <c r="H156" s="7"/>
      <c r="I156" s="25"/>
      <c r="J156" s="25"/>
      <c r="K156" s="25"/>
      <c r="L156" s="25"/>
      <c r="M156" s="25"/>
      <c r="N156" s="25"/>
      <c r="O156" s="25"/>
      <c r="P156" s="25"/>
      <c r="Q156" s="25"/>
      <c r="R156" s="25"/>
      <c r="S156" s="25"/>
      <c r="T156" s="5">
        <v>63.9</v>
      </c>
      <c r="U156" s="5"/>
      <c r="V156" s="5"/>
      <c r="W156" s="25"/>
      <c r="X156" s="25"/>
      <c r="Y156" s="25"/>
      <c r="Z156" s="25"/>
      <c r="AA156" s="25"/>
      <c r="AB156" s="25"/>
    </row>
    <row r="157" spans="1:28">
      <c r="A157" s="6">
        <v>33178</v>
      </c>
      <c r="B157" s="36"/>
      <c r="C157" s="36"/>
      <c r="D157" s="35"/>
      <c r="E157" s="7">
        <v>61.7271</v>
      </c>
      <c r="F157" s="8">
        <f>IF(Tabela1511[[#This Row],[Industrial Production]]="",#N/A,((Tabela1511[[#This Row],[Industrial Production]]*1)/E156)-1)</f>
        <v>-1.2461203724442482E-2</v>
      </c>
      <c r="G157" s="8">
        <f>IF(Tabela1511[[#This Row],[Industrial Production]]="",#N/A,((Tabela1511[[#This Row],[Industrial Production]]*1)/E145)-1)</f>
        <v>1.7835928928935374E-3</v>
      </c>
      <c r="H157" s="7"/>
      <c r="I157" s="25"/>
      <c r="J157" s="25"/>
      <c r="K157" s="25"/>
      <c r="L157" s="25"/>
      <c r="M157" s="25"/>
      <c r="N157" s="25"/>
      <c r="O157" s="25"/>
      <c r="P157" s="25"/>
      <c r="Q157" s="25"/>
      <c r="R157" s="25"/>
      <c r="S157" s="25"/>
      <c r="T157" s="5">
        <v>66</v>
      </c>
      <c r="U157" s="5"/>
      <c r="V157" s="5"/>
      <c r="W157" s="25"/>
      <c r="X157" s="25"/>
      <c r="Y157" s="25"/>
      <c r="Z157" s="25"/>
      <c r="AA157" s="25"/>
      <c r="AB157" s="25"/>
    </row>
    <row r="158" spans="1:28">
      <c r="A158" s="6">
        <v>33208</v>
      </c>
      <c r="B158" s="36"/>
      <c r="C158" s="36"/>
      <c r="D158" s="35"/>
      <c r="E158" s="7">
        <v>61.293900000000001</v>
      </c>
      <c r="F158" s="8">
        <f>IF(Tabela1511[[#This Row],[Industrial Production]]="",#N/A,((Tabela1511[[#This Row],[Industrial Production]]*1)/E157)-1)</f>
        <v>-7.0179872373722363E-3</v>
      </c>
      <c r="G158" s="8">
        <f>IF(Tabela1511[[#This Row],[Industrial Production]]="",#N/A,((Tabela1511[[#This Row],[Industrial Production]]*1)/E146)-1)</f>
        <v>-1.0806361809775122E-2</v>
      </c>
      <c r="H158" s="7"/>
      <c r="I158" s="25"/>
      <c r="J158" s="25"/>
      <c r="K158" s="25"/>
      <c r="L158" s="25"/>
      <c r="M158" s="25"/>
      <c r="N158" s="25"/>
      <c r="O158" s="25"/>
      <c r="P158" s="25"/>
      <c r="Q158" s="25"/>
      <c r="R158" s="25"/>
      <c r="S158" s="25"/>
      <c r="T158" s="5">
        <v>65.5</v>
      </c>
      <c r="U158" s="5"/>
      <c r="V158" s="5"/>
      <c r="W158" s="25"/>
      <c r="X158" s="25"/>
      <c r="Y158" s="25"/>
      <c r="Z158" s="25"/>
      <c r="AA158" s="25"/>
      <c r="AB158" s="25"/>
    </row>
    <row r="159" spans="1:28">
      <c r="A159" s="6">
        <v>33239</v>
      </c>
      <c r="B159" s="36"/>
      <c r="C159" s="36"/>
      <c r="D159" s="35"/>
      <c r="E159" s="7">
        <v>61.0931</v>
      </c>
      <c r="F159" s="8">
        <f>IF(Tabela1511[[#This Row],[Industrial Production]]="",#N/A,((Tabela1511[[#This Row],[Industrial Production]]*1)/E158)-1)</f>
        <v>-3.2760193102413515E-3</v>
      </c>
      <c r="G159" s="8">
        <f>IF(Tabela1511[[#This Row],[Industrial Production]]="",#N/A,((Tabela1511[[#This Row],[Industrial Production]]*1)/E147)-1)</f>
        <v>-8.9367983907597814E-3</v>
      </c>
      <c r="H159" s="7"/>
      <c r="I159" s="25"/>
      <c r="J159" s="25"/>
      <c r="K159" s="25"/>
      <c r="L159" s="25"/>
      <c r="M159" s="25"/>
      <c r="N159" s="25"/>
      <c r="O159" s="25"/>
      <c r="P159" s="25"/>
      <c r="Q159" s="25"/>
      <c r="R159" s="25"/>
      <c r="S159" s="25"/>
      <c r="T159" s="5">
        <v>66.8</v>
      </c>
      <c r="U159" s="5"/>
      <c r="V159" s="5"/>
      <c r="W159" s="25"/>
      <c r="X159" s="25"/>
      <c r="Y159" s="25"/>
      <c r="Z159" s="25"/>
      <c r="AA159" s="25"/>
      <c r="AB159" s="25"/>
    </row>
    <row r="160" spans="1:28">
      <c r="A160" s="6">
        <v>33270</v>
      </c>
      <c r="B160" s="36"/>
      <c r="C160" s="36"/>
      <c r="D160" s="35"/>
      <c r="E160" s="7">
        <v>60.652200000000001</v>
      </c>
      <c r="F160" s="8">
        <f>IF(Tabela1511[[#This Row],[Industrial Production]]="",#N/A,((Tabela1511[[#This Row],[Industrial Production]]*1)/E159)-1)</f>
        <v>-7.2168542765058685E-3</v>
      </c>
      <c r="G160" s="8">
        <f>IF(Tabela1511[[#This Row],[Industrial Production]]="",#N/A,((Tabela1511[[#This Row],[Industrial Production]]*1)/E148)-1)</f>
        <v>-2.5053527683296162E-2</v>
      </c>
      <c r="H160" s="7"/>
      <c r="I160" s="25"/>
      <c r="J160" s="25"/>
      <c r="K160" s="25"/>
      <c r="L160" s="25"/>
      <c r="M160" s="25"/>
      <c r="N160" s="25"/>
      <c r="O160" s="25"/>
      <c r="P160" s="25"/>
      <c r="Q160" s="25"/>
      <c r="R160" s="25"/>
      <c r="S160" s="25"/>
      <c r="T160" s="5">
        <v>70.400000000000006</v>
      </c>
      <c r="U160" s="5"/>
      <c r="V160" s="5"/>
      <c r="W160" s="25"/>
      <c r="X160" s="25"/>
      <c r="Y160" s="25"/>
      <c r="Z160" s="25"/>
      <c r="AA160" s="25"/>
      <c r="AB160" s="25"/>
    </row>
    <row r="161" spans="1:28">
      <c r="A161" s="6">
        <v>33298</v>
      </c>
      <c r="B161" s="36"/>
      <c r="C161" s="36"/>
      <c r="D161" s="35"/>
      <c r="E161" s="7">
        <v>60.306899999999999</v>
      </c>
      <c r="F161" s="8">
        <f>IF(Tabela1511[[#This Row],[Industrial Production]]="",#N/A,((Tabela1511[[#This Row],[Industrial Production]]*1)/E160)-1)</f>
        <v>-5.6931158309179164E-3</v>
      </c>
      <c r="G161" s="8">
        <f>IF(Tabela1511[[#This Row],[Industrial Production]]="",#N/A,((Tabela1511[[#This Row],[Industrial Production]]*1)/E149)-1)</f>
        <v>-3.5194570830693661E-2</v>
      </c>
      <c r="H161" s="7"/>
      <c r="I161" s="25"/>
      <c r="J161" s="25"/>
      <c r="K161" s="25"/>
      <c r="L161" s="25"/>
      <c r="M161" s="25"/>
      <c r="N161" s="25"/>
      <c r="O161" s="25"/>
      <c r="P161" s="25"/>
      <c r="Q161" s="25"/>
      <c r="R161" s="25"/>
      <c r="S161" s="25"/>
      <c r="T161" s="5">
        <v>87.7</v>
      </c>
      <c r="U161" s="5"/>
      <c r="V161" s="5"/>
      <c r="W161" s="25"/>
      <c r="X161" s="25"/>
      <c r="Y161" s="25"/>
      <c r="Z161" s="25"/>
      <c r="AA161" s="25"/>
      <c r="AB161" s="25"/>
    </row>
    <row r="162" spans="1:28">
      <c r="A162" s="6">
        <v>33329</v>
      </c>
      <c r="B162" s="36"/>
      <c r="C162" s="36"/>
      <c r="D162" s="35"/>
      <c r="E162" s="7">
        <v>60.465800000000002</v>
      </c>
      <c r="F162" s="8">
        <f>IF(Tabela1511[[#This Row],[Industrial Production]]="",#N/A,((Tabela1511[[#This Row],[Industrial Production]]*1)/E161)-1)</f>
        <v>2.6348560446649572E-3</v>
      </c>
      <c r="G162" s="8">
        <f>IF(Tabela1511[[#This Row],[Industrial Production]]="",#N/A,((Tabela1511[[#This Row],[Industrial Production]]*1)/E150)-1)</f>
        <v>-3.0370575868709948E-2</v>
      </c>
      <c r="H162" s="7"/>
      <c r="I162" s="25"/>
      <c r="J162" s="25"/>
      <c r="K162" s="25"/>
      <c r="L162" s="25"/>
      <c r="M162" s="25"/>
      <c r="N162" s="25"/>
      <c r="O162" s="25"/>
      <c r="P162" s="25"/>
      <c r="Q162" s="25"/>
      <c r="R162" s="25"/>
      <c r="S162" s="25"/>
      <c r="T162" s="5">
        <v>81.8</v>
      </c>
      <c r="U162" s="5"/>
      <c r="V162" s="5"/>
      <c r="W162" s="25"/>
      <c r="X162" s="25"/>
      <c r="Y162" s="25"/>
      <c r="Z162" s="25"/>
      <c r="AA162" s="25"/>
      <c r="AB162" s="25"/>
    </row>
    <row r="163" spans="1:28">
      <c r="A163" s="6">
        <v>33359</v>
      </c>
      <c r="B163" s="36"/>
      <c r="C163" s="36"/>
      <c r="D163" s="35"/>
      <c r="E163" s="7">
        <v>61.067100000000003</v>
      </c>
      <c r="F163" s="8">
        <f>IF(Tabela1511[[#This Row],[Industrial Production]]="",#N/A,((Tabela1511[[#This Row],[Industrial Production]]*1)/E162)-1)</f>
        <v>9.9444644741324417E-3</v>
      </c>
      <c r="G163" s="8">
        <f>IF(Tabela1511[[#This Row],[Industrial Production]]="",#N/A,((Tabela1511[[#This Row],[Industrial Production]]*1)/E151)-1)</f>
        <v>-2.366685106015598E-2</v>
      </c>
      <c r="H163" s="7"/>
      <c r="I163" s="25"/>
      <c r="J163" s="25"/>
      <c r="K163" s="25"/>
      <c r="L163" s="25"/>
      <c r="M163" s="25"/>
      <c r="N163" s="25"/>
      <c r="O163" s="25"/>
      <c r="P163" s="25"/>
      <c r="Q163" s="25"/>
      <c r="R163" s="25"/>
      <c r="S163" s="25"/>
      <c r="T163" s="5">
        <v>78.3</v>
      </c>
      <c r="U163" s="5"/>
      <c r="V163" s="5"/>
      <c r="W163" s="25"/>
      <c r="X163" s="25"/>
      <c r="Y163" s="25"/>
      <c r="Z163" s="25"/>
      <c r="AA163" s="25"/>
      <c r="AB163" s="25"/>
    </row>
    <row r="164" spans="1:28">
      <c r="A164" s="6">
        <v>33390</v>
      </c>
      <c r="B164" s="36"/>
      <c r="C164" s="36"/>
      <c r="D164" s="35"/>
      <c r="E164" s="7">
        <v>61.561100000000003</v>
      </c>
      <c r="F164" s="8">
        <f>IF(Tabela1511[[#This Row],[Industrial Production]]="",#N/A,((Tabela1511[[#This Row],[Industrial Production]]*1)/E163)-1)</f>
        <v>8.0894622472658106E-3</v>
      </c>
      <c r="G164" s="8">
        <f>IF(Tabela1511[[#This Row],[Industrial Production]]="",#N/A,((Tabela1511[[#This Row],[Industrial Production]]*1)/E152)-1)</f>
        <v>-1.901071005719146E-2</v>
      </c>
      <c r="H164" s="7"/>
      <c r="I164" s="25"/>
      <c r="J164" s="25"/>
      <c r="K164" s="25"/>
      <c r="L164" s="25"/>
      <c r="M164" s="25"/>
      <c r="N164" s="25"/>
      <c r="O164" s="25"/>
      <c r="P164" s="25"/>
      <c r="Q164" s="25"/>
      <c r="R164" s="25"/>
      <c r="S164" s="25"/>
      <c r="T164" s="5">
        <v>82.1</v>
      </c>
      <c r="U164" s="5"/>
      <c r="V164" s="5"/>
      <c r="W164" s="25"/>
      <c r="X164" s="25"/>
      <c r="Y164" s="25"/>
      <c r="Z164" s="25"/>
      <c r="AA164" s="25"/>
      <c r="AB164" s="25"/>
    </row>
    <row r="165" spans="1:28">
      <c r="A165" s="6">
        <v>33420</v>
      </c>
      <c r="B165" s="36"/>
      <c r="C165" s="36"/>
      <c r="D165" s="35"/>
      <c r="E165" s="7">
        <v>61.722999999999999</v>
      </c>
      <c r="F165" s="8">
        <f>IF(Tabela1511[[#This Row],[Industrial Production]]="",#N/A,((Tabela1511[[#This Row],[Industrial Production]]*1)/E164)-1)</f>
        <v>2.6299075227700364E-3</v>
      </c>
      <c r="G165" s="8">
        <f>IF(Tabela1511[[#This Row],[Industrial Production]]="",#N/A,((Tabela1511[[#This Row],[Industrial Production]]*1)/E153)-1)</f>
        <v>-1.4791770750698041E-2</v>
      </c>
      <c r="H165" s="7"/>
      <c r="I165" s="25"/>
      <c r="J165" s="25"/>
      <c r="K165" s="25"/>
      <c r="L165" s="25"/>
      <c r="M165" s="25"/>
      <c r="N165" s="25"/>
      <c r="O165" s="25"/>
      <c r="P165" s="25"/>
      <c r="Q165" s="25"/>
      <c r="R165" s="25"/>
      <c r="S165" s="25"/>
      <c r="T165" s="5">
        <v>82.9</v>
      </c>
      <c r="U165" s="5"/>
      <c r="V165" s="5"/>
      <c r="W165" s="25"/>
      <c r="X165" s="25"/>
      <c r="Y165" s="25"/>
      <c r="Z165" s="25"/>
      <c r="AA165" s="25"/>
      <c r="AB165" s="25"/>
    </row>
    <row r="166" spans="1:28">
      <c r="A166" s="6">
        <v>33451</v>
      </c>
      <c r="B166" s="36"/>
      <c r="C166" s="36"/>
      <c r="D166" s="35"/>
      <c r="E166" s="7">
        <v>61.735999999999997</v>
      </c>
      <c r="F166" s="8">
        <f>IF(Tabela1511[[#This Row],[Industrial Production]]="",#N/A,((Tabela1511[[#This Row],[Industrial Production]]*1)/E165)-1)</f>
        <v>2.1061840804881271E-4</v>
      </c>
      <c r="G166" s="8">
        <f>IF(Tabela1511[[#This Row],[Industrial Production]]="",#N/A,((Tabela1511[[#This Row],[Industrial Production]]*1)/E154)-1)</f>
        <v>-1.813248595253214E-2</v>
      </c>
      <c r="H166" s="7"/>
      <c r="I166" s="25"/>
      <c r="J166" s="25"/>
      <c r="K166" s="25"/>
      <c r="L166" s="25"/>
      <c r="M166" s="25"/>
      <c r="N166" s="25"/>
      <c r="O166" s="25"/>
      <c r="P166" s="25"/>
      <c r="Q166" s="25"/>
      <c r="R166" s="25"/>
      <c r="S166" s="25"/>
      <c r="T166" s="5">
        <v>82</v>
      </c>
      <c r="U166" s="5"/>
      <c r="V166" s="5"/>
      <c r="W166" s="25"/>
      <c r="X166" s="25"/>
      <c r="Y166" s="25"/>
      <c r="Z166" s="25"/>
      <c r="AA166" s="25"/>
      <c r="AB166" s="25"/>
    </row>
    <row r="167" spans="1:28">
      <c r="A167" s="6">
        <v>33482</v>
      </c>
      <c r="B167" s="36"/>
      <c r="C167" s="36"/>
      <c r="D167" s="35"/>
      <c r="E167" s="7">
        <v>62.246400000000001</v>
      </c>
      <c r="F167" s="8">
        <f>IF(Tabela1511[[#This Row],[Industrial Production]]="",#N/A,((Tabela1511[[#This Row],[Industrial Production]]*1)/E166)-1)</f>
        <v>8.26746144874968E-3</v>
      </c>
      <c r="G167" s="8">
        <f>IF(Tabela1511[[#This Row],[Industrial Production]]="",#N/A,((Tabela1511[[#This Row],[Industrial Production]]*1)/E155)-1)</f>
        <v>-1.0328160773340089E-2</v>
      </c>
      <c r="H167" s="7"/>
      <c r="I167" s="25"/>
      <c r="J167" s="25"/>
      <c r="K167" s="25"/>
      <c r="L167" s="25"/>
      <c r="M167" s="25"/>
      <c r="N167" s="25"/>
      <c r="O167" s="25"/>
      <c r="P167" s="25"/>
      <c r="Q167" s="25"/>
      <c r="R167" s="25"/>
      <c r="S167" s="25"/>
      <c r="T167" s="5">
        <v>83</v>
      </c>
      <c r="U167" s="5"/>
      <c r="V167" s="5"/>
      <c r="W167" s="25"/>
      <c r="X167" s="25"/>
      <c r="Y167" s="25"/>
      <c r="Z167" s="25"/>
      <c r="AA167" s="25"/>
      <c r="AB167" s="25"/>
    </row>
    <row r="168" spans="1:28">
      <c r="A168" s="6">
        <v>33512</v>
      </c>
      <c r="B168" s="36"/>
      <c r="C168" s="36"/>
      <c r="D168" s="35"/>
      <c r="E168" s="7">
        <v>62.182499999999997</v>
      </c>
      <c r="F168" s="8">
        <f>IF(Tabela1511[[#This Row],[Industrial Production]]="",#N/A,((Tabela1511[[#This Row],[Industrial Production]]*1)/E167)-1)</f>
        <v>-1.0265653917335138E-3</v>
      </c>
      <c r="G168" s="8">
        <f>IF(Tabela1511[[#This Row],[Industrial Production]]="",#N/A,((Tabela1511[[#This Row],[Industrial Production]]*1)/E156)-1)</f>
        <v>-5.1755031516974581E-3</v>
      </c>
      <c r="H168" s="7"/>
      <c r="I168" s="25"/>
      <c r="J168" s="25"/>
      <c r="K168" s="25"/>
      <c r="L168" s="25"/>
      <c r="M168" s="25"/>
      <c r="N168" s="25"/>
      <c r="O168" s="25"/>
      <c r="P168" s="25"/>
      <c r="Q168" s="25"/>
      <c r="R168" s="25"/>
      <c r="S168" s="25"/>
      <c r="T168" s="5">
        <v>78.3</v>
      </c>
      <c r="U168" s="5"/>
      <c r="V168" s="5"/>
      <c r="W168" s="25"/>
      <c r="X168" s="25"/>
      <c r="Y168" s="25"/>
      <c r="Z168" s="25"/>
      <c r="AA168" s="25"/>
      <c r="AB168" s="25"/>
    </row>
    <row r="169" spans="1:28">
      <c r="A169" s="6">
        <v>33543</v>
      </c>
      <c r="B169" s="36"/>
      <c r="C169" s="36"/>
      <c r="D169" s="35"/>
      <c r="E169" s="7">
        <v>62.098300000000002</v>
      </c>
      <c r="F169" s="8">
        <f>IF(Tabela1511[[#This Row],[Industrial Production]]="",#N/A,((Tabela1511[[#This Row],[Industrial Production]]*1)/E168)-1)</f>
        <v>-1.3540787198970117E-3</v>
      </c>
      <c r="G169" s="8">
        <f>IF(Tabela1511[[#This Row],[Industrial Production]]="",#N/A,((Tabela1511[[#This Row],[Industrial Production]]*1)/E157)-1)</f>
        <v>6.0135661646181227E-3</v>
      </c>
      <c r="H169" s="7"/>
      <c r="I169" s="25"/>
      <c r="J169" s="25"/>
      <c r="K169" s="25"/>
      <c r="L169" s="25"/>
      <c r="M169" s="25"/>
      <c r="N169" s="25"/>
      <c r="O169" s="25"/>
      <c r="P169" s="25"/>
      <c r="Q169" s="25"/>
      <c r="R169" s="25"/>
      <c r="S169" s="25"/>
      <c r="T169" s="5">
        <v>69.099999999999994</v>
      </c>
      <c r="U169" s="5"/>
      <c r="V169" s="5"/>
      <c r="W169" s="25"/>
      <c r="X169" s="25"/>
      <c r="Y169" s="25"/>
      <c r="Z169" s="25"/>
      <c r="AA169" s="25"/>
      <c r="AB169" s="25"/>
    </row>
    <row r="170" spans="1:28">
      <c r="A170" s="6">
        <v>33573</v>
      </c>
      <c r="B170" s="36"/>
      <c r="C170" s="36"/>
      <c r="D170" s="35"/>
      <c r="E170" s="7">
        <v>61.8108</v>
      </c>
      <c r="F170" s="8">
        <f>IF(Tabela1511[[#This Row],[Industrial Production]]="",#N/A,((Tabela1511[[#This Row],[Industrial Production]]*1)/E169)-1)</f>
        <v>-4.6297563701421796E-3</v>
      </c>
      <c r="G170" s="8">
        <f>IF(Tabela1511[[#This Row],[Industrial Production]]="",#N/A,((Tabela1511[[#This Row],[Industrial Production]]*1)/E158)-1)</f>
        <v>8.4331393499190721E-3</v>
      </c>
      <c r="H170" s="7"/>
      <c r="I170" s="25"/>
      <c r="J170" s="25"/>
      <c r="K170" s="25"/>
      <c r="L170" s="25"/>
      <c r="M170" s="25"/>
      <c r="N170" s="25"/>
      <c r="O170" s="25"/>
      <c r="P170" s="25"/>
      <c r="Q170" s="25"/>
      <c r="R170" s="25"/>
      <c r="S170" s="25"/>
      <c r="T170" s="5">
        <v>68.2</v>
      </c>
      <c r="U170" s="5"/>
      <c r="V170" s="5"/>
      <c r="W170" s="25"/>
      <c r="X170" s="25"/>
      <c r="Y170" s="25"/>
      <c r="Z170" s="25"/>
      <c r="AA170" s="25"/>
      <c r="AB170" s="25"/>
    </row>
    <row r="171" spans="1:28">
      <c r="A171" s="6">
        <v>33604</v>
      </c>
      <c r="B171" s="36"/>
      <c r="C171" s="36"/>
      <c r="D171" s="35"/>
      <c r="E171" s="7">
        <v>61.489800000000002</v>
      </c>
      <c r="F171" s="8">
        <f>IF(Tabela1511[[#This Row],[Industrial Production]]="",#N/A,((Tabela1511[[#This Row],[Industrial Production]]*1)/E170)-1)</f>
        <v>-5.1932671960239762E-3</v>
      </c>
      <c r="G171" s="8">
        <f>IF(Tabela1511[[#This Row],[Industrial Production]]="",#N/A,((Tabela1511[[#This Row],[Industrial Production]]*1)/E159)-1)</f>
        <v>6.4933683181898072E-3</v>
      </c>
      <c r="H171" s="32">
        <v>164095</v>
      </c>
      <c r="I171" s="25"/>
      <c r="J171" s="25"/>
      <c r="K171" s="32">
        <v>130617</v>
      </c>
      <c r="L171" s="25"/>
      <c r="M171" s="25"/>
      <c r="N171" s="84">
        <v>118651</v>
      </c>
      <c r="O171" s="25"/>
      <c r="P171" s="25"/>
      <c r="Q171" s="32">
        <v>117814</v>
      </c>
      <c r="R171" s="25"/>
      <c r="S171" s="25"/>
      <c r="T171" s="5">
        <v>67.5</v>
      </c>
      <c r="U171" s="5"/>
      <c r="V171" s="5"/>
      <c r="W171" s="25"/>
      <c r="X171" s="25"/>
      <c r="Y171" s="25"/>
      <c r="Z171" s="25"/>
      <c r="AA171" s="25"/>
      <c r="AB171" s="25"/>
    </row>
    <row r="172" spans="1:28">
      <c r="A172" s="6">
        <v>33635</v>
      </c>
      <c r="B172" s="36"/>
      <c r="C172" s="36"/>
      <c r="D172" s="35"/>
      <c r="E172" s="7">
        <v>61.929900000000004</v>
      </c>
      <c r="F172" s="8">
        <f>IF(Tabela1511[[#This Row],[Industrial Production]]="",#N/A,((Tabela1511[[#This Row],[Industrial Production]]*1)/E171)-1)</f>
        <v>7.1572846228156184E-3</v>
      </c>
      <c r="G172" s="8">
        <f>IF(Tabela1511[[#This Row],[Industrial Production]]="",#N/A,((Tabela1511[[#This Row],[Industrial Production]]*1)/E160)-1)</f>
        <v>2.1066012444725946E-2</v>
      </c>
      <c r="H172" s="32">
        <v>164213</v>
      </c>
      <c r="I172" s="8">
        <f>IF(Tabela1511[[#This Row],[Retail Sales]]="",#N/A,((Tabela1511[[#This Row],[Retail Sales]]*1)/H171)-1)</f>
        <v>7.1909564581495999E-4</v>
      </c>
      <c r="J172" s="25"/>
      <c r="K172" s="32">
        <v>130396</v>
      </c>
      <c r="L172" s="8">
        <f>IF(Tabela1511[[#This Row],[Core-Retail Sales]]="",#N/A,((Tabela1511[[#This Row],[Core-Retail Sales]]*1)/K171)-1)</f>
        <v>-1.6919696517299077E-3</v>
      </c>
      <c r="M172" s="8"/>
      <c r="N172" s="84">
        <v>118480</v>
      </c>
      <c r="O172" s="8">
        <f>IF(Tabela1511[[#This Row],[Real Retail Sales]]="",#N/A,((Tabela1511[[#This Row],[Real Retail Sales]]*1)/N171)-1)</f>
        <v>-1.4412015069404926E-3</v>
      </c>
      <c r="P172" s="8"/>
      <c r="Q172" s="32">
        <v>117795</v>
      </c>
      <c r="R172" s="8">
        <f>IF(Tabela1511[[#This Row],[Core²-Retail Sales]]="",#N/A,((Tabela1511[[#This Row],[Core²-Retail Sales]]*1)/Q171)-1)</f>
        <v>-1.6127115622932564E-4</v>
      </c>
      <c r="S172" s="25"/>
      <c r="T172" s="5">
        <v>68.8</v>
      </c>
      <c r="U172" s="5"/>
      <c r="V172" s="5"/>
      <c r="W172" s="25"/>
      <c r="X172" s="25"/>
      <c r="Y172" s="25"/>
      <c r="Z172" s="25"/>
      <c r="AA172" s="25"/>
      <c r="AB172" s="25"/>
    </row>
    <row r="173" spans="1:28">
      <c r="A173" s="6">
        <v>33664</v>
      </c>
      <c r="B173" s="36"/>
      <c r="C173" s="36"/>
      <c r="D173" s="35"/>
      <c r="E173" s="7">
        <v>62.448999999999998</v>
      </c>
      <c r="F173" s="8">
        <f>IF(Tabela1511[[#This Row],[Industrial Production]]="",#N/A,((Tabela1511[[#This Row],[Industrial Production]]*1)/E172)-1)</f>
        <v>8.3820577782298678E-3</v>
      </c>
      <c r="G173" s="8">
        <f>IF(Tabela1511[[#This Row],[Industrial Production]]="",#N/A,((Tabela1511[[#This Row],[Industrial Production]]*1)/E161)-1)</f>
        <v>3.5519981958946678E-2</v>
      </c>
      <c r="H173" s="32">
        <v>163721</v>
      </c>
      <c r="I173" s="8">
        <f>IF(Tabela1511[[#This Row],[Retail Sales]]="",#N/A,((Tabela1511[[#This Row],[Retail Sales]]*1)/H172)-1)</f>
        <v>-2.9961087124649177E-3</v>
      </c>
      <c r="J173" s="25"/>
      <c r="K173" s="32">
        <v>130385</v>
      </c>
      <c r="L173" s="8">
        <f>IF(Tabela1511[[#This Row],[Core-Retail Sales]]="",#N/A,((Tabela1511[[#This Row],[Core-Retail Sales]]*1)/K172)-1)</f>
        <v>-8.4358415902374695E-5</v>
      </c>
      <c r="M173" s="8"/>
      <c r="N173" s="84">
        <v>117700</v>
      </c>
      <c r="O173" s="8">
        <f>IF(Tabela1511[[#This Row],[Real Retail Sales]]="",#N/A,((Tabela1511[[#This Row],[Real Retail Sales]]*1)/N172)-1)</f>
        <v>-6.5833896016205262E-3</v>
      </c>
      <c r="P173" s="8"/>
      <c r="Q173" s="32">
        <v>117746</v>
      </c>
      <c r="R173" s="8">
        <f>IF(Tabela1511[[#This Row],[Core²-Retail Sales]]="",#N/A,((Tabela1511[[#This Row],[Core²-Retail Sales]]*1)/Q172)-1)</f>
        <v>-4.159769090369414E-4</v>
      </c>
      <c r="S173" s="25"/>
      <c r="T173" s="5">
        <v>76</v>
      </c>
      <c r="U173" s="5"/>
      <c r="V173" s="5"/>
      <c r="W173" s="25"/>
      <c r="X173" s="25"/>
      <c r="Y173" s="25"/>
      <c r="Z173" s="25"/>
      <c r="AA173" s="25"/>
      <c r="AB173" s="25"/>
    </row>
    <row r="174" spans="1:28">
      <c r="A174" s="6">
        <v>33695</v>
      </c>
      <c r="B174" s="36"/>
      <c r="C174" s="36"/>
      <c r="D174" s="35"/>
      <c r="E174" s="7">
        <v>62.931199999999997</v>
      </c>
      <c r="F174" s="8">
        <f>IF(Tabela1511[[#This Row],[Industrial Production]]="",#N/A,((Tabela1511[[#This Row],[Industrial Production]]*1)/E173)-1)</f>
        <v>7.7215007446076456E-3</v>
      </c>
      <c r="G174" s="8">
        <f>IF(Tabela1511[[#This Row],[Industrial Production]]="",#N/A,((Tabela1511[[#This Row],[Industrial Production]]*1)/E162)-1)</f>
        <v>4.0773462023160123E-2</v>
      </c>
      <c r="H174" s="32">
        <v>164709</v>
      </c>
      <c r="I174" s="8">
        <f>IF(Tabela1511[[#This Row],[Retail Sales]]="",#N/A,((Tabela1511[[#This Row],[Retail Sales]]*1)/H173)-1)</f>
        <v>6.0346565193225565E-3</v>
      </c>
      <c r="J174" s="25"/>
      <c r="K174" s="32">
        <v>130933</v>
      </c>
      <c r="L174" s="8">
        <f>IF(Tabela1511[[#This Row],[Core-Retail Sales]]="",#N/A,((Tabela1511[[#This Row],[Core-Retail Sales]]*1)/K173)-1)</f>
        <v>4.2029374544618747E-3</v>
      </c>
      <c r="M174" s="8"/>
      <c r="N174" s="84">
        <v>118156</v>
      </c>
      <c r="O174" s="8">
        <f>IF(Tabela1511[[#This Row],[Real Retail Sales]]="",#N/A,((Tabela1511[[#This Row],[Real Retail Sales]]*1)/N173)-1)</f>
        <v>3.8742565845368837E-3</v>
      </c>
      <c r="P174" s="8"/>
      <c r="Q174" s="32">
        <v>118223</v>
      </c>
      <c r="R174" s="8">
        <f>IF(Tabela1511[[#This Row],[Core²-Retail Sales]]="",#N/A,((Tabela1511[[#This Row],[Core²-Retail Sales]]*1)/Q173)-1)</f>
        <v>4.0510930307611215E-3</v>
      </c>
      <c r="S174" s="25"/>
      <c r="T174" s="5">
        <v>77.2</v>
      </c>
      <c r="U174" s="5"/>
      <c r="V174" s="5"/>
      <c r="W174" s="25"/>
      <c r="X174" s="25"/>
      <c r="Y174" s="25"/>
      <c r="Z174" s="25"/>
      <c r="AA174" s="25"/>
      <c r="AB174" s="25"/>
    </row>
    <row r="175" spans="1:28">
      <c r="A175" s="6">
        <v>33725</v>
      </c>
      <c r="B175" s="36"/>
      <c r="C175" s="36"/>
      <c r="D175" s="35"/>
      <c r="E175" s="7">
        <v>63.135899999999999</v>
      </c>
      <c r="F175" s="8">
        <f>IF(Tabela1511[[#This Row],[Industrial Production]]="",#N/A,((Tabela1511[[#This Row],[Industrial Production]]*1)/E174)-1)</f>
        <v>3.2527585680870441E-3</v>
      </c>
      <c r="G175" s="8">
        <f>IF(Tabela1511[[#This Row],[Industrial Production]]="",#N/A,((Tabela1511[[#This Row],[Industrial Production]]*1)/E163)-1)</f>
        <v>3.3877488860613925E-2</v>
      </c>
      <c r="H175" s="32">
        <v>165612</v>
      </c>
      <c r="I175" s="8">
        <f>IF(Tabela1511[[#This Row],[Retail Sales]]="",#N/A,((Tabela1511[[#This Row],[Retail Sales]]*1)/H174)-1)</f>
        <v>5.4823962260714953E-3</v>
      </c>
      <c r="J175" s="25"/>
      <c r="K175" s="32">
        <v>131255</v>
      </c>
      <c r="L175" s="8">
        <f>IF(Tabela1511[[#This Row],[Core-Retail Sales]]="",#N/A,((Tabela1511[[#This Row],[Core-Retail Sales]]*1)/K174)-1)</f>
        <v>2.4592730633223869E-3</v>
      </c>
      <c r="M175" s="8"/>
      <c r="N175" s="84">
        <v>118548</v>
      </c>
      <c r="O175" s="8">
        <f>IF(Tabela1511[[#This Row],[Real Retail Sales]]="",#N/A,((Tabela1511[[#This Row],[Real Retail Sales]]*1)/N174)-1)</f>
        <v>3.3176478553775812E-3</v>
      </c>
      <c r="P175" s="8"/>
      <c r="Q175" s="32">
        <v>118385</v>
      </c>
      <c r="R175" s="8">
        <f>IF(Tabela1511[[#This Row],[Core²-Retail Sales]]="",#N/A,((Tabela1511[[#This Row],[Core²-Retail Sales]]*1)/Q174)-1)</f>
        <v>1.3702917368025869E-3</v>
      </c>
      <c r="S175" s="25"/>
      <c r="T175" s="5">
        <v>79.2</v>
      </c>
      <c r="U175" s="5"/>
      <c r="V175" s="5"/>
      <c r="W175" s="25"/>
      <c r="X175" s="25"/>
      <c r="Y175" s="25"/>
      <c r="Z175" s="25"/>
      <c r="AA175" s="25"/>
      <c r="AB175" s="25"/>
    </row>
    <row r="176" spans="1:28">
      <c r="A176" s="6">
        <v>33756</v>
      </c>
      <c r="B176" s="36"/>
      <c r="C176" s="36"/>
      <c r="D176" s="35"/>
      <c r="E176" s="7">
        <v>63.1736</v>
      </c>
      <c r="F176" s="8">
        <f>IF(Tabela1511[[#This Row],[Industrial Production]]="",#N/A,((Tabela1511[[#This Row],[Industrial Production]]*1)/E175)-1)</f>
        <v>5.9712461531402639E-4</v>
      </c>
      <c r="G176" s="8">
        <f>IF(Tabela1511[[#This Row],[Industrial Production]]="",#N/A,((Tabela1511[[#This Row],[Industrial Production]]*1)/E164)-1)</f>
        <v>2.6193489070208242E-2</v>
      </c>
      <c r="H176" s="32">
        <v>166077</v>
      </c>
      <c r="I176" s="8">
        <f>IF(Tabela1511[[#This Row],[Retail Sales]]="",#N/A,((Tabela1511[[#This Row],[Retail Sales]]*1)/H175)-1)</f>
        <v>2.8077675530757684E-3</v>
      </c>
      <c r="J176" s="25"/>
      <c r="K176" s="32">
        <v>131296</v>
      </c>
      <c r="L176" s="8">
        <f>IF(Tabela1511[[#This Row],[Core-Retail Sales]]="",#N/A,((Tabela1511[[#This Row],[Core-Retail Sales]]*1)/K175)-1)</f>
        <v>3.1236905260745296E-4</v>
      </c>
      <c r="M176" s="8"/>
      <c r="N176" s="84">
        <v>118542</v>
      </c>
      <c r="O176" s="8">
        <f>IF(Tabela1511[[#This Row],[Real Retail Sales]]="",#N/A,((Tabela1511[[#This Row],[Real Retail Sales]]*1)/N175)-1)</f>
        <v>-5.0612410163020094E-5</v>
      </c>
      <c r="P176" s="8"/>
      <c r="Q176" s="32">
        <v>118410</v>
      </c>
      <c r="R176" s="8">
        <f>IF(Tabela1511[[#This Row],[Core²-Retail Sales]]="",#N/A,((Tabela1511[[#This Row],[Core²-Retail Sales]]*1)/Q175)-1)</f>
        <v>2.1117540228909881E-4</v>
      </c>
      <c r="S176" s="25"/>
      <c r="T176" s="5">
        <v>80.400000000000006</v>
      </c>
      <c r="U176" s="5"/>
      <c r="V176" s="5"/>
      <c r="W176" s="25"/>
      <c r="X176" s="25"/>
      <c r="Y176" s="25"/>
      <c r="Z176" s="25"/>
      <c r="AA176" s="25"/>
      <c r="AB176" s="25"/>
    </row>
    <row r="177" spans="1:28">
      <c r="A177" s="6">
        <v>33786</v>
      </c>
      <c r="B177" s="36"/>
      <c r="C177" s="36"/>
      <c r="D177" s="35"/>
      <c r="E177" s="7">
        <v>63.7408</v>
      </c>
      <c r="F177" s="8">
        <f>IF(Tabela1511[[#This Row],[Industrial Production]]="",#N/A,((Tabela1511[[#This Row],[Industrial Production]]*1)/E176)-1)</f>
        <v>8.9784340294047915E-3</v>
      </c>
      <c r="G177" s="8">
        <f>IF(Tabela1511[[#This Row],[Industrial Production]]="",#N/A,((Tabela1511[[#This Row],[Industrial Production]]*1)/E165)-1)</f>
        <v>3.2691217212384327E-2</v>
      </c>
      <c r="H177" s="32">
        <v>167257</v>
      </c>
      <c r="I177" s="8">
        <f>IF(Tabela1511[[#This Row],[Retail Sales]]="",#N/A,((Tabela1511[[#This Row],[Retail Sales]]*1)/H176)-1)</f>
        <v>7.1051379781668089E-3</v>
      </c>
      <c r="J177" s="25"/>
      <c r="K177" s="32">
        <v>132058</v>
      </c>
      <c r="L177" s="8">
        <f>IF(Tabela1511[[#This Row],[Core-Retail Sales]]="",#N/A,((Tabela1511[[#This Row],[Core-Retail Sales]]*1)/K176)-1)</f>
        <v>5.8036802339751503E-3</v>
      </c>
      <c r="M177" s="8"/>
      <c r="N177" s="84">
        <v>119044</v>
      </c>
      <c r="O177" s="8">
        <f>IF(Tabela1511[[#This Row],[Real Retail Sales]]="",#N/A,((Tabela1511[[#This Row],[Real Retail Sales]]*1)/N176)-1)</f>
        <v>4.2347859830271783E-3</v>
      </c>
      <c r="P177" s="8"/>
      <c r="Q177" s="32">
        <v>119092</v>
      </c>
      <c r="R177" s="8">
        <f>IF(Tabela1511[[#This Row],[Core²-Retail Sales]]="",#N/A,((Tabela1511[[#This Row],[Core²-Retail Sales]]*1)/Q176)-1)</f>
        <v>5.7596486783211276E-3</v>
      </c>
      <c r="S177" s="25"/>
      <c r="T177" s="5">
        <v>76.599999999999994</v>
      </c>
      <c r="U177" s="5"/>
      <c r="V177" s="5"/>
      <c r="W177" s="25"/>
      <c r="X177" s="25"/>
      <c r="Y177" s="25"/>
      <c r="Z177" s="25"/>
      <c r="AA177" s="25"/>
      <c r="AB177" s="25"/>
    </row>
    <row r="178" spans="1:28">
      <c r="A178" s="6">
        <v>33817</v>
      </c>
      <c r="B178" s="36"/>
      <c r="C178" s="36"/>
      <c r="D178" s="35"/>
      <c r="E178" s="7">
        <v>63.3917</v>
      </c>
      <c r="F178" s="8">
        <f>IF(Tabela1511[[#This Row],[Industrial Production]]="",#N/A,((Tabela1511[[#This Row],[Industrial Production]]*1)/E177)-1)</f>
        <v>-5.4768688187157855E-3</v>
      </c>
      <c r="G178" s="8">
        <f>IF(Tabela1511[[#This Row],[Industrial Production]]="",#N/A,((Tabela1511[[#This Row],[Industrial Production]]*1)/E166)-1)</f>
        <v>2.6819035894777743E-2</v>
      </c>
      <c r="H178" s="32">
        <v>167800</v>
      </c>
      <c r="I178" s="8">
        <f>IF(Tabela1511[[#This Row],[Retail Sales]]="",#N/A,((Tabela1511[[#This Row],[Retail Sales]]*1)/H177)-1)</f>
        <v>3.2465008938340478E-3</v>
      </c>
      <c r="J178" s="25"/>
      <c r="K178" s="32">
        <v>133215</v>
      </c>
      <c r="L178" s="8">
        <f>IF(Tabela1511[[#This Row],[Core-Retail Sales]]="",#N/A,((Tabela1511[[#This Row],[Core-Retail Sales]]*1)/K177)-1)</f>
        <v>8.7613018522163522E-3</v>
      </c>
      <c r="M178" s="8"/>
      <c r="N178" s="84">
        <v>119176</v>
      </c>
      <c r="O178" s="8">
        <f>IF(Tabela1511[[#This Row],[Real Retail Sales]]="",#N/A,((Tabela1511[[#This Row],[Real Retail Sales]]*1)/N177)-1)</f>
        <v>1.1088337085447542E-3</v>
      </c>
      <c r="P178" s="8"/>
      <c r="Q178" s="32">
        <v>120123</v>
      </c>
      <c r="R178" s="8">
        <f>IF(Tabela1511[[#This Row],[Core²-Retail Sales]]="",#N/A,((Tabela1511[[#This Row],[Core²-Retail Sales]]*1)/Q177)-1)</f>
        <v>8.6571726060524767E-3</v>
      </c>
      <c r="S178" s="25"/>
      <c r="T178" s="5">
        <v>76.099999999999994</v>
      </c>
      <c r="U178" s="5"/>
      <c r="V178" s="5"/>
      <c r="W178" s="25"/>
      <c r="X178" s="25"/>
      <c r="Y178" s="25"/>
      <c r="Z178" s="25"/>
      <c r="AA178" s="25"/>
      <c r="AB178" s="25"/>
    </row>
    <row r="179" spans="1:28">
      <c r="A179" s="6">
        <v>33848</v>
      </c>
      <c r="B179" s="36"/>
      <c r="C179" s="36"/>
      <c r="D179" s="35"/>
      <c r="E179" s="7">
        <v>63.592700000000001</v>
      </c>
      <c r="F179" s="8">
        <f>IF(Tabela1511[[#This Row],[Industrial Production]]="",#N/A,((Tabela1511[[#This Row],[Industrial Production]]*1)/E178)-1)</f>
        <v>3.1707621029251065E-3</v>
      </c>
      <c r="G179" s="8">
        <f>IF(Tabela1511[[#This Row],[Industrial Production]]="",#N/A,((Tabela1511[[#This Row],[Industrial Production]]*1)/E167)-1)</f>
        <v>2.1628560045239498E-2</v>
      </c>
      <c r="H179" s="32">
        <v>169400</v>
      </c>
      <c r="I179" s="8">
        <f>IF(Tabela1511[[#This Row],[Retail Sales]]="",#N/A,((Tabela1511[[#This Row],[Retail Sales]]*1)/H178)-1)</f>
        <v>9.5351609058402786E-3</v>
      </c>
      <c r="J179" s="25"/>
      <c r="K179" s="32">
        <v>133510</v>
      </c>
      <c r="L179" s="8">
        <f>IF(Tabela1511[[#This Row],[Core-Retail Sales]]="",#N/A,((Tabela1511[[#This Row],[Core-Retail Sales]]*1)/K178)-1)</f>
        <v>2.2144653379874146E-3</v>
      </c>
      <c r="M179" s="8"/>
      <c r="N179" s="84">
        <v>120057</v>
      </c>
      <c r="O179" s="8">
        <f>IF(Tabela1511[[#This Row],[Real Retail Sales]]="",#N/A,((Tabela1511[[#This Row],[Real Retail Sales]]*1)/N178)-1)</f>
        <v>7.3924280056387737E-3</v>
      </c>
      <c r="P179" s="8"/>
      <c r="Q179" s="32">
        <v>120264</v>
      </c>
      <c r="R179" s="8">
        <f>IF(Tabela1511[[#This Row],[Core²-Retail Sales]]="",#N/A,((Tabela1511[[#This Row],[Core²-Retail Sales]]*1)/Q178)-1)</f>
        <v>1.1737968582203884E-3</v>
      </c>
      <c r="S179" s="25"/>
      <c r="T179" s="5">
        <v>75.599999999999994</v>
      </c>
      <c r="U179" s="5"/>
      <c r="V179" s="5"/>
      <c r="W179" s="25"/>
      <c r="X179" s="25"/>
      <c r="Y179" s="25"/>
      <c r="Z179" s="25"/>
      <c r="AA179" s="25"/>
      <c r="AB179" s="25"/>
    </row>
    <row r="180" spans="1:28">
      <c r="A180" s="6">
        <v>33878</v>
      </c>
      <c r="B180" s="36"/>
      <c r="C180" s="36"/>
      <c r="D180" s="35"/>
      <c r="E180" s="7">
        <v>64.028199999999998</v>
      </c>
      <c r="F180" s="8">
        <f>IF(Tabela1511[[#This Row],[Industrial Production]]="",#N/A,((Tabela1511[[#This Row],[Industrial Production]]*1)/E179)-1)</f>
        <v>6.8482703203354145E-3</v>
      </c>
      <c r="G180" s="8">
        <f>IF(Tabela1511[[#This Row],[Industrial Production]]="",#N/A,((Tabela1511[[#This Row],[Industrial Production]]*1)/E168)-1)</f>
        <v>2.9681984481164436E-2</v>
      </c>
      <c r="H180" s="32">
        <v>170625</v>
      </c>
      <c r="I180" s="8">
        <f>IF(Tabela1511[[#This Row],[Retail Sales]]="",#N/A,((Tabela1511[[#This Row],[Retail Sales]]*1)/H179)-1)</f>
        <v>7.2314049586776896E-3</v>
      </c>
      <c r="J180" s="25"/>
      <c r="K180" s="32">
        <v>134653</v>
      </c>
      <c r="L180" s="8">
        <f>IF(Tabela1511[[#This Row],[Core-Retail Sales]]="",#N/A,((Tabela1511[[#This Row],[Core-Retail Sales]]*1)/K179)-1)</f>
        <v>8.5611564676804086E-3</v>
      </c>
      <c r="M180" s="8"/>
      <c r="N180" s="84">
        <v>120413</v>
      </c>
      <c r="O180" s="8">
        <f>IF(Tabela1511[[#This Row],[Real Retail Sales]]="",#N/A,((Tabela1511[[#This Row],[Real Retail Sales]]*1)/N179)-1)</f>
        <v>2.9652581690364777E-3</v>
      </c>
      <c r="P180" s="8"/>
      <c r="Q180" s="32">
        <v>121349</v>
      </c>
      <c r="R180" s="8">
        <f>IF(Tabela1511[[#This Row],[Core²-Retail Sales]]="",#N/A,((Tabela1511[[#This Row],[Core²-Retail Sales]]*1)/Q179)-1)</f>
        <v>9.0218186656023658E-3</v>
      </c>
      <c r="S180" s="25"/>
      <c r="T180" s="5">
        <v>73.3</v>
      </c>
      <c r="U180" s="5"/>
      <c r="V180" s="5"/>
      <c r="W180" s="25"/>
      <c r="X180" s="25"/>
      <c r="Y180" s="25"/>
      <c r="Z180" s="25"/>
      <c r="AA180" s="25"/>
      <c r="AB180" s="25"/>
    </row>
    <row r="181" spans="1:28">
      <c r="A181" s="6">
        <v>33909</v>
      </c>
      <c r="B181" s="36"/>
      <c r="C181" s="36"/>
      <c r="D181" s="35"/>
      <c r="E181" s="7">
        <v>64.273200000000003</v>
      </c>
      <c r="F181" s="8">
        <f>IF(Tabela1511[[#This Row],[Industrial Production]]="",#N/A,((Tabela1511[[#This Row],[Industrial Production]]*1)/E180)-1)</f>
        <v>3.8264389753266403E-3</v>
      </c>
      <c r="G181" s="8">
        <f>IF(Tabela1511[[#This Row],[Industrial Production]]="",#N/A,((Tabela1511[[#This Row],[Industrial Production]]*1)/E169)-1)</f>
        <v>3.5023503058859928E-2</v>
      </c>
      <c r="H181" s="32">
        <v>171003</v>
      </c>
      <c r="I181" s="8">
        <f>IF(Tabela1511[[#This Row],[Retail Sales]]="",#N/A,((Tabela1511[[#This Row],[Retail Sales]]*1)/H180)-1)</f>
        <v>2.215384615384508E-3</v>
      </c>
      <c r="J181" s="25"/>
      <c r="K181" s="32">
        <v>135075</v>
      </c>
      <c r="L181" s="8">
        <f>IF(Tabela1511[[#This Row],[Core-Retail Sales]]="",#N/A,((Tabela1511[[#This Row],[Core-Retail Sales]]*1)/K180)-1)</f>
        <v>3.1339814189064175E-3</v>
      </c>
      <c r="M181" s="8"/>
      <c r="N181" s="84">
        <v>120340</v>
      </c>
      <c r="O181" s="8">
        <f>IF(Tabela1511[[#This Row],[Real Retail Sales]]="",#N/A,((Tabela1511[[#This Row],[Real Retail Sales]]*1)/N180)-1)</f>
        <v>-6.0624683381360622E-4</v>
      </c>
      <c r="P181" s="8"/>
      <c r="Q181" s="32">
        <v>121717</v>
      </c>
      <c r="R181" s="8">
        <f>IF(Tabela1511[[#This Row],[Core²-Retail Sales]]="",#N/A,((Tabela1511[[#This Row],[Core²-Retail Sales]]*1)/Q180)-1)</f>
        <v>3.032575464157139E-3</v>
      </c>
      <c r="S181" s="25"/>
      <c r="T181" s="5">
        <v>85.3</v>
      </c>
      <c r="U181" s="5"/>
      <c r="V181" s="5"/>
      <c r="W181" s="25"/>
      <c r="X181" s="25"/>
      <c r="Y181" s="25"/>
      <c r="Z181" s="25"/>
      <c r="AA181" s="25"/>
      <c r="AB181" s="25"/>
    </row>
    <row r="182" spans="1:28">
      <c r="A182" s="6">
        <v>33939</v>
      </c>
      <c r="B182" s="36"/>
      <c r="C182" s="36"/>
      <c r="D182" s="35"/>
      <c r="E182" s="7">
        <v>64.366799999999998</v>
      </c>
      <c r="F182" s="8">
        <f>IF(Tabela1511[[#This Row],[Industrial Production]]="",#N/A,((Tabela1511[[#This Row],[Industrial Production]]*1)/E181)-1)</f>
        <v>1.4562834898526056E-3</v>
      </c>
      <c r="G182" s="8">
        <f>IF(Tabela1511[[#This Row],[Industrial Production]]="",#N/A,((Tabela1511[[#This Row],[Industrial Production]]*1)/E170)-1)</f>
        <v>4.1351996738433927E-2</v>
      </c>
      <c r="H182" s="32">
        <v>173105</v>
      </c>
      <c r="I182" s="8">
        <f>IF(Tabela1511[[#This Row],[Retail Sales]]="",#N/A,((Tabela1511[[#This Row],[Retail Sales]]*1)/H181)-1)</f>
        <v>1.2292182008502683E-2</v>
      </c>
      <c r="J182" s="25"/>
      <c r="K182" s="32">
        <v>136833</v>
      </c>
      <c r="L182" s="8">
        <f>IF(Tabela1511[[#This Row],[Core-Retail Sales]]="",#N/A,((Tabela1511[[#This Row],[Core-Retail Sales]]*1)/K181)-1)</f>
        <v>1.301499167129383E-2</v>
      </c>
      <c r="M182" s="8"/>
      <c r="N182" s="84">
        <v>121648</v>
      </c>
      <c r="O182" s="8">
        <f>IF(Tabela1511[[#This Row],[Real Retail Sales]]="",#N/A,((Tabela1511[[#This Row],[Real Retail Sales]]*1)/N181)-1)</f>
        <v>1.0869203922220461E-2</v>
      </c>
      <c r="P182" s="8"/>
      <c r="Q182" s="32">
        <v>123358</v>
      </c>
      <c r="R182" s="8">
        <f>IF(Tabela1511[[#This Row],[Core²-Retail Sales]]="",#N/A,((Tabela1511[[#This Row],[Core²-Retail Sales]]*1)/Q181)-1)</f>
        <v>1.3482093709177745E-2</v>
      </c>
      <c r="S182" s="25"/>
      <c r="T182" s="5">
        <v>91</v>
      </c>
      <c r="U182" s="5"/>
      <c r="V182" s="5"/>
      <c r="W182" s="25"/>
      <c r="X182" s="25"/>
      <c r="Y182" s="25"/>
      <c r="Z182" s="25"/>
      <c r="AA182" s="25"/>
      <c r="AB182" s="25"/>
    </row>
    <row r="183" spans="1:28">
      <c r="A183" s="6">
        <v>33970</v>
      </c>
      <c r="B183" s="36"/>
      <c r="C183" s="36"/>
      <c r="D183" s="35"/>
      <c r="E183" s="7">
        <v>64.625600000000006</v>
      </c>
      <c r="F183" s="8">
        <f>IF(Tabela1511[[#This Row],[Industrial Production]]="",#N/A,((Tabela1511[[#This Row],[Industrial Production]]*1)/E182)-1)</f>
        <v>4.0207063268642429E-3</v>
      </c>
      <c r="G183" s="8">
        <f>IF(Tabela1511[[#This Row],[Industrial Production]]="",#N/A,((Tabela1511[[#This Row],[Industrial Production]]*1)/E171)-1)</f>
        <v>5.0997075937797787E-2</v>
      </c>
      <c r="H183" s="32">
        <v>175108</v>
      </c>
      <c r="I183" s="8">
        <f>IF(Tabela1511[[#This Row],[Retail Sales]]="",#N/A,((Tabela1511[[#This Row],[Retail Sales]]*1)/H182)-1)</f>
        <v>1.1571011813639176E-2</v>
      </c>
      <c r="J183" s="8">
        <f>IF(Tabela1511[[#This Row],[Retail Sales]]="",#N/A,((Tabela1511[[#This Row],[Retail Sales]]*1)/H171)-1)</f>
        <v>6.7113562265760596E-2</v>
      </c>
      <c r="K183" s="32">
        <v>137487</v>
      </c>
      <c r="L183" s="8">
        <f>IF(Tabela1511[[#This Row],[Core-Retail Sales]]="",#N/A,((Tabela1511[[#This Row],[Core-Retail Sales]]*1)/K182)-1)</f>
        <v>4.7795487930542002E-3</v>
      </c>
      <c r="M183" s="8">
        <f>IF(Tabela1511[[#This Row],[Core-Retail Sales]]="",#N/A,((Tabela1511[[#This Row],[Core-Retail Sales]]*1)/K171)-1)</f>
        <v>5.2596522657847089E-2</v>
      </c>
      <c r="N183" s="84">
        <v>122625</v>
      </c>
      <c r="O183" s="8">
        <f>IF(Tabela1511[[#This Row],[Real Retail Sales]]="",#N/A,((Tabela1511[[#This Row],[Real Retail Sales]]*1)/N182)-1)</f>
        <v>8.0313691963698197E-3</v>
      </c>
      <c r="P183" s="8">
        <f>IF(Tabela1511[[#This Row],[Real Retail Sales]]="",#N/A,((Tabela1511[[#This Row],[Real Retail Sales]]*1)/N171)-1)</f>
        <v>3.3493185898138211E-2</v>
      </c>
      <c r="Q183" s="32">
        <v>124089</v>
      </c>
      <c r="R183" s="8">
        <f>IF(Tabela1511[[#This Row],[Core²-Retail Sales]]="",#N/A,((Tabela1511[[#This Row],[Core²-Retail Sales]]*1)/Q182)-1)</f>
        <v>5.9258418586551898E-3</v>
      </c>
      <c r="S183" s="8">
        <f>IF(Tabela1511[[#This Row],[Core²-Retail Sales]]="",#N/A,((Tabela1511[[#This Row],[Core²-Retail Sales]]*1)/Q171)-1)</f>
        <v>5.3261921333627615E-2</v>
      </c>
      <c r="T183" s="5">
        <v>89.3</v>
      </c>
      <c r="U183" s="5"/>
      <c r="V183" s="5"/>
      <c r="W183" s="25"/>
      <c r="X183" s="25"/>
      <c r="Y183" s="25"/>
      <c r="Z183" s="25"/>
      <c r="AA183" s="25"/>
      <c r="AB183" s="25"/>
    </row>
    <row r="184" spans="1:28">
      <c r="A184" s="6">
        <v>34001</v>
      </c>
      <c r="B184" s="36"/>
      <c r="C184" s="36"/>
      <c r="D184" s="35"/>
      <c r="E184" s="7">
        <v>64.929000000000002</v>
      </c>
      <c r="F184" s="8">
        <f>IF(Tabela1511[[#This Row],[Industrial Production]]="",#N/A,((Tabela1511[[#This Row],[Industrial Production]]*1)/E183)-1)</f>
        <v>4.6947339753904416E-3</v>
      </c>
      <c r="G184" s="8">
        <f>IF(Tabela1511[[#This Row],[Industrial Production]]="",#N/A,((Tabela1511[[#This Row],[Industrial Production]]*1)/E172)-1)</f>
        <v>4.8427334776900866E-2</v>
      </c>
      <c r="H184" s="32">
        <v>173744</v>
      </c>
      <c r="I184" s="8">
        <f>IF(Tabela1511[[#This Row],[Retail Sales]]="",#N/A,((Tabela1511[[#This Row],[Retail Sales]]*1)/H183)-1)</f>
        <v>-7.7894784932727168E-3</v>
      </c>
      <c r="J184" s="8">
        <f>IF(Tabela1511[[#This Row],[Retail Sales]]="",#N/A,((Tabela1511[[#This Row],[Retail Sales]]*1)/H172)-1)</f>
        <v>5.8040471826225737E-2</v>
      </c>
      <c r="K184" s="32">
        <v>137021</v>
      </c>
      <c r="L184" s="8">
        <f>IF(Tabela1511[[#This Row],[Core-Retail Sales]]="",#N/A,((Tabela1511[[#This Row],[Core-Retail Sales]]*1)/K183)-1)</f>
        <v>-3.3894113625287936E-3</v>
      </c>
      <c r="M184" s="8">
        <f>IF(Tabela1511[[#This Row],[Core-Retail Sales]]="",#N/A,((Tabela1511[[#This Row],[Core-Retail Sales]]*1)/K172)-1)</f>
        <v>5.0806773213902368E-2</v>
      </c>
      <c r="N184" s="84">
        <v>121414</v>
      </c>
      <c r="O184" s="8">
        <f>IF(Tabela1511[[#This Row],[Real Retail Sales]]="",#N/A,((Tabela1511[[#This Row],[Real Retail Sales]]*1)/N183)-1)</f>
        <v>-9.8756371049949498E-3</v>
      </c>
      <c r="P184" s="8">
        <f>IF(Tabela1511[[#This Row],[Real Retail Sales]]="",#N/A,((Tabela1511[[#This Row],[Real Retail Sales]]*1)/N172)-1)</f>
        <v>2.4763673193787916E-2</v>
      </c>
      <c r="Q184" s="32">
        <v>123425</v>
      </c>
      <c r="R184" s="8">
        <f>IF(Tabela1511[[#This Row],[Core²-Retail Sales]]="",#N/A,((Tabela1511[[#This Row],[Core²-Retail Sales]]*1)/Q183)-1)</f>
        <v>-5.3509980739629981E-3</v>
      </c>
      <c r="S184" s="8">
        <f>IF(Tabela1511[[#This Row],[Core²-Retail Sales]]="",#N/A,((Tabela1511[[#This Row],[Core²-Retail Sales]]*1)/Q172)-1)</f>
        <v>4.7794897915870882E-2</v>
      </c>
      <c r="T184" s="5">
        <v>86.6</v>
      </c>
      <c r="U184" s="5"/>
      <c r="V184" s="5"/>
      <c r="W184" s="25"/>
      <c r="X184" s="25"/>
      <c r="Y184" s="25"/>
      <c r="Z184" s="25"/>
      <c r="AA184" s="25"/>
      <c r="AB184" s="25"/>
    </row>
    <row r="185" spans="1:28">
      <c r="A185" s="6">
        <v>34029</v>
      </c>
      <c r="B185" s="36"/>
      <c r="C185" s="36"/>
      <c r="D185" s="35"/>
      <c r="E185" s="7">
        <v>64.872</v>
      </c>
      <c r="F185" s="8">
        <f>IF(Tabela1511[[#This Row],[Industrial Production]]="",#N/A,((Tabela1511[[#This Row],[Industrial Production]]*1)/E184)-1)</f>
        <v>-8.7788199417826451E-4</v>
      </c>
      <c r="G185" s="8">
        <f>IF(Tabela1511[[#This Row],[Industrial Production]]="",#N/A,((Tabela1511[[#This Row],[Industrial Production]]*1)/E173)-1)</f>
        <v>3.8799660522986779E-2</v>
      </c>
      <c r="H185" s="32">
        <v>172306</v>
      </c>
      <c r="I185" s="8">
        <f>IF(Tabela1511[[#This Row],[Retail Sales]]="",#N/A,((Tabela1511[[#This Row],[Retail Sales]]*1)/H184)-1)</f>
        <v>-8.2765448015471588E-3</v>
      </c>
      <c r="J185" s="8">
        <f>IF(Tabela1511[[#This Row],[Retail Sales]]="",#N/A,((Tabela1511[[#This Row],[Retail Sales]]*1)/H173)-1)</f>
        <v>5.2436767427513908E-2</v>
      </c>
      <c r="K185" s="32">
        <v>136351</v>
      </c>
      <c r="L185" s="8">
        <f>IF(Tabela1511[[#This Row],[Core-Retail Sales]]="",#N/A,((Tabela1511[[#This Row],[Core-Retail Sales]]*1)/K184)-1)</f>
        <v>-4.889761423431449E-3</v>
      </c>
      <c r="M185" s="8">
        <f>IF(Tabela1511[[#This Row],[Core-Retail Sales]]="",#N/A,((Tabela1511[[#This Row],[Core-Retail Sales]]*1)/K173)-1)</f>
        <v>4.5756797177589403E-2</v>
      </c>
      <c r="N185" s="84">
        <v>120241</v>
      </c>
      <c r="O185" s="8">
        <f>IF(Tabela1511[[#This Row],[Real Retail Sales]]="",#N/A,((Tabela1511[[#This Row],[Real Retail Sales]]*1)/N184)-1)</f>
        <v>-9.6611593391207062E-3</v>
      </c>
      <c r="P185" s="8">
        <f>IF(Tabela1511[[#This Row],[Real Retail Sales]]="",#N/A,((Tabela1511[[#This Row],[Real Retail Sales]]*1)/N173)-1)</f>
        <v>2.1588785046728898E-2</v>
      </c>
      <c r="Q185" s="32">
        <v>122864</v>
      </c>
      <c r="R185" s="8">
        <f>IF(Tabela1511[[#This Row],[Core²-Retail Sales]]="",#N/A,((Tabela1511[[#This Row],[Core²-Retail Sales]]*1)/Q184)-1)</f>
        <v>-4.54527040712982E-3</v>
      </c>
      <c r="S185" s="8">
        <f>IF(Tabela1511[[#This Row],[Core²-Retail Sales]]="",#N/A,((Tabela1511[[#This Row],[Core²-Retail Sales]]*1)/Q173)-1)</f>
        <v>4.3466444719990394E-2</v>
      </c>
      <c r="T185" s="5">
        <v>85.9</v>
      </c>
      <c r="U185" s="5"/>
      <c r="V185" s="5"/>
      <c r="W185" s="25"/>
      <c r="X185" s="25"/>
      <c r="Y185" s="25"/>
      <c r="Z185" s="25"/>
      <c r="AA185" s="25"/>
      <c r="AB185" s="25"/>
    </row>
    <row r="186" spans="1:28">
      <c r="A186" s="6">
        <v>34060</v>
      </c>
      <c r="B186" s="36"/>
      <c r="C186" s="36"/>
      <c r="D186" s="35"/>
      <c r="E186" s="7">
        <v>65.061099999999996</v>
      </c>
      <c r="F186" s="8">
        <f>IF(Tabela1511[[#This Row],[Industrial Production]]="",#N/A,((Tabela1511[[#This Row],[Industrial Production]]*1)/E185)-1)</f>
        <v>2.9149710198543843E-3</v>
      </c>
      <c r="G186" s="8">
        <f>IF(Tabela1511[[#This Row],[Industrial Production]]="",#N/A,((Tabela1511[[#This Row],[Industrial Production]]*1)/E174)-1)</f>
        <v>3.3844897284653674E-2</v>
      </c>
      <c r="H186" s="32">
        <v>176749</v>
      </c>
      <c r="I186" s="8">
        <f>IF(Tabela1511[[#This Row],[Retail Sales]]="",#N/A,((Tabela1511[[#This Row],[Retail Sales]]*1)/H185)-1)</f>
        <v>2.5785521107796638E-2</v>
      </c>
      <c r="J186" s="8">
        <f>IF(Tabela1511[[#This Row],[Retail Sales]]="",#N/A,((Tabela1511[[#This Row],[Retail Sales]]*1)/H174)-1)</f>
        <v>7.309861634761905E-2</v>
      </c>
      <c r="K186" s="32">
        <v>138228</v>
      </c>
      <c r="L186" s="8">
        <f>IF(Tabela1511[[#This Row],[Core-Retail Sales]]="",#N/A,((Tabela1511[[#This Row],[Core-Retail Sales]]*1)/K185)-1)</f>
        <v>1.37659423106542E-2</v>
      </c>
      <c r="M186" s="8">
        <f>IF(Tabela1511[[#This Row],[Core-Retail Sales]]="",#N/A,((Tabela1511[[#This Row],[Core-Retail Sales]]*1)/K174)-1)</f>
        <v>5.5715518624029015E-2</v>
      </c>
      <c r="N186" s="84">
        <v>122913</v>
      </c>
      <c r="O186" s="8">
        <f>IF(Tabela1511[[#This Row],[Real Retail Sales]]="",#N/A,((Tabela1511[[#This Row],[Real Retail Sales]]*1)/N185)-1)</f>
        <v>2.2222037408205164E-2</v>
      </c>
      <c r="P186" s="8">
        <f>IF(Tabela1511[[#This Row],[Real Retail Sales]]="",#N/A,((Tabela1511[[#This Row],[Real Retail Sales]]*1)/N174)-1)</f>
        <v>4.0260333795998582E-2</v>
      </c>
      <c r="Q186" s="32">
        <v>124689</v>
      </c>
      <c r="R186" s="8">
        <f>IF(Tabela1511[[#This Row],[Core²-Retail Sales]]="",#N/A,((Tabela1511[[#This Row],[Core²-Retail Sales]]*1)/Q185)-1)</f>
        <v>1.4853822112254278E-2</v>
      </c>
      <c r="S186" s="8">
        <f>IF(Tabela1511[[#This Row],[Core²-Retail Sales]]="",#N/A,((Tabela1511[[#This Row],[Core²-Retail Sales]]*1)/Q174)-1)</f>
        <v>5.4693249198548566E-2</v>
      </c>
      <c r="T186" s="5">
        <v>85.6</v>
      </c>
      <c r="U186" s="5"/>
      <c r="V186" s="5"/>
      <c r="W186" s="25"/>
      <c r="X186" s="25"/>
      <c r="Y186" s="25"/>
      <c r="Z186" s="25"/>
      <c r="AA186" s="25"/>
      <c r="AB186" s="25"/>
    </row>
    <row r="187" spans="1:28">
      <c r="A187" s="6">
        <v>34090</v>
      </c>
      <c r="B187" s="36"/>
      <c r="C187" s="36"/>
      <c r="D187" s="35"/>
      <c r="E187" s="7">
        <v>64.810400000000001</v>
      </c>
      <c r="F187" s="8">
        <f>IF(Tabela1511[[#This Row],[Industrial Production]]="",#N/A,((Tabela1511[[#This Row],[Industrial Production]]*1)/E186)-1)</f>
        <v>-3.8533009740073787E-3</v>
      </c>
      <c r="G187" s="8">
        <f>IF(Tabela1511[[#This Row],[Industrial Production]]="",#N/A,((Tabela1511[[#This Row],[Industrial Production]]*1)/E175)-1)</f>
        <v>2.6522153006451221E-2</v>
      </c>
      <c r="H187" s="32">
        <v>178426</v>
      </c>
      <c r="I187" s="8">
        <f>IF(Tabela1511[[#This Row],[Retail Sales]]="",#N/A,((Tabela1511[[#This Row],[Retail Sales]]*1)/H186)-1)</f>
        <v>9.4880310496805453E-3</v>
      </c>
      <c r="J187" s="8">
        <f>IF(Tabela1511[[#This Row],[Retail Sales]]="",#N/A,((Tabela1511[[#This Row],[Retail Sales]]*1)/H175)-1)</f>
        <v>7.7373620269062693E-2</v>
      </c>
      <c r="K187" s="32">
        <v>139420</v>
      </c>
      <c r="L187" s="8">
        <f>IF(Tabela1511[[#This Row],[Core-Retail Sales]]="",#N/A,((Tabela1511[[#This Row],[Core-Retail Sales]]*1)/K186)-1)</f>
        <v>8.6234337471424727E-3</v>
      </c>
      <c r="M187" s="8">
        <f>IF(Tabela1511[[#This Row],[Core-Retail Sales]]="",#N/A,((Tabela1511[[#This Row],[Core-Retail Sales]]*1)/K175)-1)</f>
        <v>6.2207154013180554E-2</v>
      </c>
      <c r="N187" s="84">
        <v>123735</v>
      </c>
      <c r="O187" s="8">
        <f>IF(Tabela1511[[#This Row],[Real Retail Sales]]="",#N/A,((Tabela1511[[#This Row],[Real Retail Sales]]*1)/N186)-1)</f>
        <v>6.6876571233311921E-3</v>
      </c>
      <c r="P187" s="8">
        <f>IF(Tabela1511[[#This Row],[Real Retail Sales]]="",#N/A,((Tabela1511[[#This Row],[Real Retail Sales]]*1)/N175)-1)</f>
        <v>4.3754428585889293E-2</v>
      </c>
      <c r="Q187" s="32">
        <v>125899</v>
      </c>
      <c r="R187" s="8">
        <f>IF(Tabela1511[[#This Row],[Core²-Retail Sales]]="",#N/A,((Tabela1511[[#This Row],[Core²-Retail Sales]]*1)/Q186)-1)</f>
        <v>9.7041439100482574E-3</v>
      </c>
      <c r="S187" s="8">
        <f>IF(Tabela1511[[#This Row],[Core²-Retail Sales]]="",#N/A,((Tabela1511[[#This Row],[Core²-Retail Sales]]*1)/Q175)-1)</f>
        <v>6.3470878912024409E-2</v>
      </c>
      <c r="T187" s="5">
        <v>80.3</v>
      </c>
      <c r="U187" s="5"/>
      <c r="V187" s="5"/>
      <c r="W187" s="25"/>
      <c r="X187" s="25"/>
      <c r="Y187" s="25"/>
      <c r="Z187" s="25"/>
      <c r="AA187" s="25"/>
      <c r="AB187" s="25"/>
    </row>
    <row r="188" spans="1:28">
      <c r="A188" s="6">
        <v>34121</v>
      </c>
      <c r="B188" s="36"/>
      <c r="C188" s="36"/>
      <c r="D188" s="35"/>
      <c r="E188" s="7">
        <v>64.955299999999994</v>
      </c>
      <c r="F188" s="8">
        <f>IF(Tabela1511[[#This Row],[Industrial Production]]="",#N/A,((Tabela1511[[#This Row],[Industrial Production]]*1)/E187)-1)</f>
        <v>2.2357522866698343E-3</v>
      </c>
      <c r="G188" s="8">
        <f>IF(Tabela1511[[#This Row],[Industrial Production]]="",#N/A,((Tabela1511[[#This Row],[Industrial Production]]*1)/E176)-1)</f>
        <v>2.8203236795116826E-2</v>
      </c>
      <c r="H188" s="32">
        <v>178157</v>
      </c>
      <c r="I188" s="8">
        <f>IF(Tabela1511[[#This Row],[Retail Sales]]="",#N/A,((Tabela1511[[#This Row],[Retail Sales]]*1)/H187)-1)</f>
        <v>-1.5076278120901287E-3</v>
      </c>
      <c r="J188" s="8">
        <f>IF(Tabela1511[[#This Row],[Retail Sales]]="",#N/A,((Tabela1511[[#This Row],[Retail Sales]]*1)/H176)-1)</f>
        <v>7.2737344725639419E-2</v>
      </c>
      <c r="K188" s="32">
        <v>139265</v>
      </c>
      <c r="L188" s="8">
        <f>IF(Tabela1511[[#This Row],[Core-Retail Sales]]="",#N/A,((Tabela1511[[#This Row],[Core-Retail Sales]]*1)/K187)-1)</f>
        <v>-1.1117486730741755E-3</v>
      </c>
      <c r="M188" s="8">
        <f>IF(Tabela1511[[#This Row],[Core-Retail Sales]]="",#N/A,((Tabela1511[[#This Row],[Core-Retail Sales]]*1)/K176)-1)</f>
        <v>6.069491835242502E-2</v>
      </c>
      <c r="N188" s="84">
        <v>123463</v>
      </c>
      <c r="O188" s="8">
        <f>IF(Tabela1511[[#This Row],[Real Retail Sales]]="",#N/A,((Tabela1511[[#This Row],[Real Retail Sales]]*1)/N187)-1)</f>
        <v>-2.19824625207099E-3</v>
      </c>
      <c r="P188" s="8">
        <f>IF(Tabela1511[[#This Row],[Real Retail Sales]]="",#N/A,((Tabela1511[[#This Row],[Real Retail Sales]]*1)/N176)-1)</f>
        <v>4.1512712793777773E-2</v>
      </c>
      <c r="Q188" s="32">
        <v>125804</v>
      </c>
      <c r="R188" s="8">
        <f>IF(Tabela1511[[#This Row],[Core²-Retail Sales]]="",#N/A,((Tabela1511[[#This Row],[Core²-Retail Sales]]*1)/Q187)-1)</f>
        <v>-7.5457311019144768E-4</v>
      </c>
      <c r="S188" s="8">
        <f>IF(Tabela1511[[#This Row],[Core²-Retail Sales]]="",#N/A,((Tabela1511[[#This Row],[Core²-Retail Sales]]*1)/Q176)-1)</f>
        <v>6.2444050333586798E-2</v>
      </c>
      <c r="T188" s="5">
        <v>81.5</v>
      </c>
      <c r="U188" s="5"/>
      <c r="V188" s="5"/>
      <c r="W188" s="25"/>
      <c r="X188" s="25"/>
      <c r="Y188" s="25"/>
      <c r="Z188" s="25"/>
      <c r="AA188" s="25"/>
      <c r="AB188" s="25"/>
    </row>
    <row r="189" spans="1:28">
      <c r="A189" s="6">
        <v>34151</v>
      </c>
      <c r="B189" s="36"/>
      <c r="C189" s="36"/>
      <c r="D189" s="35"/>
      <c r="E189" s="7">
        <v>65.119799999999998</v>
      </c>
      <c r="F189" s="8">
        <f>IF(Tabela1511[[#This Row],[Industrial Production]]="",#N/A,((Tabela1511[[#This Row],[Industrial Production]]*1)/E188)-1)</f>
        <v>2.5325108189786505E-3</v>
      </c>
      <c r="G189" s="8">
        <f>IF(Tabela1511[[#This Row],[Industrial Production]]="",#N/A,((Tabela1511[[#This Row],[Industrial Production]]*1)/E177)-1)</f>
        <v>2.163449470354939E-2</v>
      </c>
      <c r="H189" s="32">
        <v>180743</v>
      </c>
      <c r="I189" s="8">
        <f>IF(Tabela1511[[#This Row],[Retail Sales]]="",#N/A,((Tabela1511[[#This Row],[Retail Sales]]*1)/H188)-1)</f>
        <v>1.4515287078251227E-2</v>
      </c>
      <c r="J189" s="8">
        <f>IF(Tabela1511[[#This Row],[Retail Sales]]="",#N/A,((Tabela1511[[#This Row],[Retail Sales]]*1)/H177)-1)</f>
        <v>8.0630407098058576E-2</v>
      </c>
      <c r="K189" s="32">
        <v>140453</v>
      </c>
      <c r="L189" s="8">
        <f>IF(Tabela1511[[#This Row],[Core-Retail Sales]]="",#N/A,((Tabela1511[[#This Row],[Core-Retail Sales]]*1)/K188)-1)</f>
        <v>8.5304994076043084E-3</v>
      </c>
      <c r="M189" s="8">
        <f>IF(Tabela1511[[#This Row],[Core-Retail Sales]]="",#N/A,((Tabela1511[[#This Row],[Core-Retail Sales]]*1)/K177)-1)</f>
        <v>6.3570552333065855E-2</v>
      </c>
      <c r="N189" s="84">
        <v>125082</v>
      </c>
      <c r="O189" s="8">
        <f>IF(Tabela1511[[#This Row],[Real Retail Sales]]="",#N/A,((Tabela1511[[#This Row],[Real Retail Sales]]*1)/N188)-1)</f>
        <v>1.3113240404007742E-2</v>
      </c>
      <c r="P189" s="8">
        <f>IF(Tabela1511[[#This Row],[Real Retail Sales]]="",#N/A,((Tabela1511[[#This Row],[Real Retail Sales]]*1)/N177)-1)</f>
        <v>5.0720741910553979E-2</v>
      </c>
      <c r="Q189" s="32">
        <v>126951</v>
      </c>
      <c r="R189" s="8">
        <f>IF(Tabela1511[[#This Row],[Core²-Retail Sales]]="",#N/A,((Tabela1511[[#This Row],[Core²-Retail Sales]]*1)/Q188)-1)</f>
        <v>9.1173571587548352E-3</v>
      </c>
      <c r="S189" s="8">
        <f>IF(Tabela1511[[#This Row],[Core²-Retail Sales]]="",#N/A,((Tabela1511[[#This Row],[Core²-Retail Sales]]*1)/Q177)-1)</f>
        <v>6.5990998555738312E-2</v>
      </c>
      <c r="T189" s="5">
        <v>77</v>
      </c>
      <c r="U189" s="5"/>
      <c r="V189" s="5"/>
      <c r="W189" s="25"/>
      <c r="X189" s="25"/>
      <c r="Y189" s="25"/>
      <c r="Z189" s="25"/>
      <c r="AA189" s="25"/>
      <c r="AB189" s="25"/>
    </row>
    <row r="190" spans="1:28">
      <c r="A190" s="6">
        <v>34182</v>
      </c>
      <c r="B190" s="36"/>
      <c r="C190" s="36"/>
      <c r="D190" s="35"/>
      <c r="E190" s="7">
        <v>65.049400000000006</v>
      </c>
      <c r="F190" s="8">
        <f>IF(Tabela1511[[#This Row],[Industrial Production]]="",#N/A,((Tabela1511[[#This Row],[Industrial Production]]*1)/E189)-1)</f>
        <v>-1.0810844013647847E-3</v>
      </c>
      <c r="G190" s="8">
        <f>IF(Tabela1511[[#This Row],[Industrial Production]]="",#N/A,((Tabela1511[[#This Row],[Industrial Production]]*1)/E178)-1)</f>
        <v>2.6150111134423115E-2</v>
      </c>
      <c r="H190" s="32">
        <v>180707</v>
      </c>
      <c r="I190" s="8">
        <f>IF(Tabela1511[[#This Row],[Retail Sales]]="",#N/A,((Tabela1511[[#This Row],[Retail Sales]]*1)/H189)-1)</f>
        <v>-1.9917783814582535E-4</v>
      </c>
      <c r="J190" s="8">
        <f>IF(Tabela1511[[#This Row],[Retail Sales]]="",#N/A,((Tabela1511[[#This Row],[Retail Sales]]*1)/H178)-1)</f>
        <v>7.6918951132300295E-2</v>
      </c>
      <c r="K190" s="32">
        <v>140203</v>
      </c>
      <c r="L190" s="8">
        <f>IF(Tabela1511[[#This Row],[Core-Retail Sales]]="",#N/A,((Tabela1511[[#This Row],[Core-Retail Sales]]*1)/K189)-1)</f>
        <v>-1.7799548603447679E-3</v>
      </c>
      <c r="M190" s="8">
        <f>IF(Tabela1511[[#This Row],[Core-Retail Sales]]="",#N/A,((Tabela1511[[#This Row],[Core-Retail Sales]]*1)/K178)-1)</f>
        <v>5.2456555192733623E-2</v>
      </c>
      <c r="N190" s="84">
        <v>124798</v>
      </c>
      <c r="O190" s="8">
        <f>IF(Tabela1511[[#This Row],[Real Retail Sales]]="",#N/A,((Tabela1511[[#This Row],[Real Retail Sales]]*1)/N189)-1)</f>
        <v>-2.270510545082427E-3</v>
      </c>
      <c r="P190" s="8">
        <f>IF(Tabela1511[[#This Row],[Real Retail Sales]]="",#N/A,((Tabela1511[[#This Row],[Real Retail Sales]]*1)/N178)-1)</f>
        <v>4.7173927636436908E-2</v>
      </c>
      <c r="Q190" s="32">
        <v>126831</v>
      </c>
      <c r="R190" s="8">
        <f>IF(Tabela1511[[#This Row],[Core²-Retail Sales]]="",#N/A,((Tabela1511[[#This Row],[Core²-Retail Sales]]*1)/Q189)-1)</f>
        <v>-9.4524659120442944E-4</v>
      </c>
      <c r="S190" s="8">
        <f>IF(Tabela1511[[#This Row],[Core²-Retail Sales]]="",#N/A,((Tabela1511[[#This Row],[Core²-Retail Sales]]*1)/Q178)-1)</f>
        <v>5.5842761169800914E-2</v>
      </c>
      <c r="T190" s="5">
        <v>77.3</v>
      </c>
      <c r="U190" s="5"/>
      <c r="V190" s="5"/>
      <c r="W190" s="25"/>
      <c r="X190" s="25"/>
      <c r="Y190" s="25"/>
      <c r="Z190" s="25"/>
      <c r="AA190" s="25"/>
      <c r="AB190" s="25"/>
    </row>
    <row r="191" spans="1:28">
      <c r="A191" s="6">
        <v>34213</v>
      </c>
      <c r="B191" s="36"/>
      <c r="C191" s="36"/>
      <c r="D191" s="35"/>
      <c r="E191" s="7">
        <v>65.388199999999998</v>
      </c>
      <c r="F191" s="8">
        <f>IF(Tabela1511[[#This Row],[Industrial Production]]="",#N/A,((Tabela1511[[#This Row],[Industrial Production]]*1)/E190)-1)</f>
        <v>5.2083493468040309E-3</v>
      </c>
      <c r="G191" s="8">
        <f>IF(Tabela1511[[#This Row],[Industrial Production]]="",#N/A,((Tabela1511[[#This Row],[Industrial Production]]*1)/E179)-1)</f>
        <v>2.8234372813231712E-2</v>
      </c>
      <c r="H191" s="32">
        <v>181773</v>
      </c>
      <c r="I191" s="8">
        <f>IF(Tabela1511[[#This Row],[Retail Sales]]="",#N/A,((Tabela1511[[#This Row],[Retail Sales]]*1)/H190)-1)</f>
        <v>5.8990520566442051E-3</v>
      </c>
      <c r="J191" s="8">
        <f>IF(Tabela1511[[#This Row],[Retail Sales]]="",#N/A,((Tabela1511[[#This Row],[Retail Sales]]*1)/H179)-1)</f>
        <v>7.304014167650541E-2</v>
      </c>
      <c r="K191" s="32">
        <v>141570</v>
      </c>
      <c r="L191" s="8">
        <f>IF(Tabela1511[[#This Row],[Core-Retail Sales]]="",#N/A,((Tabela1511[[#This Row],[Core-Retail Sales]]*1)/K190)-1)</f>
        <v>9.7501479996862095E-3</v>
      </c>
      <c r="M191" s="8">
        <f>IF(Tabela1511[[#This Row],[Core-Retail Sales]]="",#N/A,((Tabela1511[[#This Row],[Core-Retail Sales]]*1)/K179)-1)</f>
        <v>6.0370009737098274E-2</v>
      </c>
      <c r="N191" s="84">
        <v>125361</v>
      </c>
      <c r="O191" s="8">
        <f>IF(Tabela1511[[#This Row],[Real Retail Sales]]="",#N/A,((Tabela1511[[#This Row],[Real Retail Sales]]*1)/N190)-1)</f>
        <v>4.5112902450359371E-3</v>
      </c>
      <c r="P191" s="8">
        <f>IF(Tabela1511[[#This Row],[Real Retail Sales]]="",#N/A,((Tabela1511[[#This Row],[Real Retail Sales]]*1)/N179)-1)</f>
        <v>4.4179014967890229E-2</v>
      </c>
      <c r="Q191" s="32">
        <v>128154</v>
      </c>
      <c r="R191" s="8">
        <f>IF(Tabela1511[[#This Row],[Core²-Retail Sales]]="",#N/A,((Tabela1511[[#This Row],[Core²-Retail Sales]]*1)/Q190)-1)</f>
        <v>1.0431203727795157E-2</v>
      </c>
      <c r="S191" s="8">
        <f>IF(Tabela1511[[#This Row],[Core²-Retail Sales]]="",#N/A,((Tabela1511[[#This Row],[Core²-Retail Sales]]*1)/Q179)-1)</f>
        <v>6.5605667531430933E-2</v>
      </c>
      <c r="T191" s="5">
        <v>77.900000000000006</v>
      </c>
      <c r="U191" s="5"/>
      <c r="V191" s="5"/>
      <c r="W191" s="25"/>
      <c r="X191" s="25"/>
      <c r="Y191" s="25"/>
      <c r="Z191" s="25"/>
      <c r="AA191" s="25"/>
      <c r="AB191" s="25"/>
    </row>
    <row r="192" spans="1:28">
      <c r="A192" s="6">
        <v>34243</v>
      </c>
      <c r="B192" s="36"/>
      <c r="C192" s="36"/>
      <c r="D192" s="35"/>
      <c r="E192" s="7">
        <v>65.870199999999997</v>
      </c>
      <c r="F192" s="8">
        <f>IF(Tabela1511[[#This Row],[Industrial Production]]="",#N/A,((Tabela1511[[#This Row],[Industrial Production]]*1)/E191)-1)</f>
        <v>7.3713605818785943E-3</v>
      </c>
      <c r="G192" s="8">
        <f>IF(Tabela1511[[#This Row],[Industrial Production]]="",#N/A,((Tabela1511[[#This Row],[Industrial Production]]*1)/E180)-1)</f>
        <v>2.8768573847148593E-2</v>
      </c>
      <c r="H192" s="32">
        <v>182884</v>
      </c>
      <c r="I192" s="8">
        <f>IF(Tabela1511[[#This Row],[Retail Sales]]="",#N/A,((Tabela1511[[#This Row],[Retail Sales]]*1)/H191)-1)</f>
        <v>6.1120188366809991E-3</v>
      </c>
      <c r="J192" s="8">
        <f>IF(Tabela1511[[#This Row],[Retail Sales]]="",#N/A,((Tabela1511[[#This Row],[Retail Sales]]*1)/H180)-1)</f>
        <v>7.1847619047618938E-2</v>
      </c>
      <c r="K192" s="32">
        <v>142027</v>
      </c>
      <c r="L192" s="8">
        <f>IF(Tabela1511[[#This Row],[Core-Retail Sales]]="",#N/A,((Tabela1511[[#This Row],[Core-Retail Sales]]*1)/K191)-1)</f>
        <v>3.2280850462669264E-3</v>
      </c>
      <c r="M192" s="8">
        <f>IF(Tabela1511[[#This Row],[Core-Retail Sales]]="",#N/A,((Tabela1511[[#This Row],[Core-Retail Sales]]*1)/K180)-1)</f>
        <v>5.4762983372074858E-2</v>
      </c>
      <c r="N192" s="84">
        <v>125607</v>
      </c>
      <c r="O192" s="8">
        <f>IF(Tabela1511[[#This Row],[Real Retail Sales]]="",#N/A,((Tabela1511[[#This Row],[Real Retail Sales]]*1)/N191)-1)</f>
        <v>1.9623327829230153E-3</v>
      </c>
      <c r="P192" s="8">
        <f>IF(Tabela1511[[#This Row],[Real Retail Sales]]="",#N/A,((Tabela1511[[#This Row],[Real Retail Sales]]*1)/N180)-1)</f>
        <v>4.3134877463396837E-2</v>
      </c>
      <c r="Q192" s="32">
        <v>128272</v>
      </c>
      <c r="R192" s="8">
        <f>IF(Tabela1511[[#This Row],[Core²-Retail Sales]]="",#N/A,((Tabela1511[[#This Row],[Core²-Retail Sales]]*1)/Q191)-1)</f>
        <v>9.2076720196021533E-4</v>
      </c>
      <c r="S192" s="8">
        <f>IF(Tabela1511[[#This Row],[Core²-Retail Sales]]="",#N/A,((Tabela1511[[#This Row],[Core²-Retail Sales]]*1)/Q180)-1)</f>
        <v>5.7050325919455469E-2</v>
      </c>
      <c r="T192" s="5">
        <v>82.7</v>
      </c>
      <c r="U192" s="5"/>
      <c r="V192" s="5"/>
      <c r="W192" s="25"/>
      <c r="X192" s="25"/>
      <c r="Y192" s="25"/>
      <c r="Z192" s="25"/>
      <c r="AA192" s="25"/>
      <c r="AB192" s="25"/>
    </row>
    <row r="193" spans="1:28">
      <c r="A193" s="6">
        <v>34274</v>
      </c>
      <c r="B193" s="36"/>
      <c r="C193" s="36"/>
      <c r="D193" s="35"/>
      <c r="E193" s="7">
        <v>66.177899999999994</v>
      </c>
      <c r="F193" s="8">
        <f>IF(Tabela1511[[#This Row],[Industrial Production]]="",#N/A,((Tabela1511[[#This Row],[Industrial Production]]*1)/E192)-1)</f>
        <v>4.6713081180866922E-3</v>
      </c>
      <c r="G193" s="8">
        <f>IF(Tabela1511[[#This Row],[Industrial Production]]="",#N/A,((Tabela1511[[#This Row],[Industrial Production]]*1)/E181)-1)</f>
        <v>2.9634435503444578E-2</v>
      </c>
      <c r="H193" s="32">
        <v>184747</v>
      </c>
      <c r="I193" s="8">
        <f>IF(Tabela1511[[#This Row],[Retail Sales]]="",#N/A,((Tabela1511[[#This Row],[Retail Sales]]*1)/H192)-1)</f>
        <v>1.0186785065943393E-2</v>
      </c>
      <c r="J193" s="8">
        <f>IF(Tabela1511[[#This Row],[Retail Sales]]="",#N/A,((Tabela1511[[#This Row],[Retail Sales]]*1)/H181)-1)</f>
        <v>8.0372858955690907E-2</v>
      </c>
      <c r="K193" s="32">
        <v>142670</v>
      </c>
      <c r="L193" s="8">
        <f>IF(Tabela1511[[#This Row],[Core-Retail Sales]]="",#N/A,((Tabela1511[[#This Row],[Core-Retail Sales]]*1)/K192)-1)</f>
        <v>4.5273081878798305E-3</v>
      </c>
      <c r="M193" s="8">
        <f>IF(Tabela1511[[#This Row],[Core-Retail Sales]]="",#N/A,((Tabela1511[[#This Row],[Core-Retail Sales]]*1)/K181)-1)</f>
        <v>5.6228021469553857E-2</v>
      </c>
      <c r="N193" s="84">
        <v>126539</v>
      </c>
      <c r="O193" s="8">
        <f>IF(Tabela1511[[#This Row],[Real Retail Sales]]="",#N/A,((Tabela1511[[#This Row],[Real Retail Sales]]*1)/N192)-1)</f>
        <v>7.4199686323215275E-3</v>
      </c>
      <c r="P193" s="8">
        <f>IF(Tabela1511[[#This Row],[Real Retail Sales]]="",#N/A,((Tabela1511[[#This Row],[Real Retail Sales]]*1)/N181)-1)</f>
        <v>5.1512381585507638E-2</v>
      </c>
      <c r="Q193" s="32">
        <v>128916</v>
      </c>
      <c r="R193" s="8">
        <f>IF(Tabela1511[[#This Row],[Core²-Retail Sales]]="",#N/A,((Tabela1511[[#This Row],[Core²-Retail Sales]]*1)/Q192)-1)</f>
        <v>5.0205812648123072E-3</v>
      </c>
      <c r="S193" s="8">
        <f>IF(Tabela1511[[#This Row],[Core²-Retail Sales]]="",#N/A,((Tabela1511[[#This Row],[Core²-Retail Sales]]*1)/Q181)-1)</f>
        <v>5.9145394644955163E-2</v>
      </c>
      <c r="T193" s="5">
        <v>81.2</v>
      </c>
      <c r="U193" s="5"/>
      <c r="V193" s="5"/>
      <c r="W193" s="25"/>
      <c r="X193" s="25"/>
      <c r="Y193" s="25"/>
      <c r="Z193" s="25"/>
      <c r="AA193" s="25"/>
      <c r="AB193" s="25"/>
    </row>
    <row r="194" spans="1:28">
      <c r="A194" s="6">
        <v>34304</v>
      </c>
      <c r="B194" s="36"/>
      <c r="C194" s="36"/>
      <c r="D194" s="35"/>
      <c r="E194" s="7">
        <v>66.560199999999995</v>
      </c>
      <c r="F194" s="8">
        <f>IF(Tabela1511[[#This Row],[Industrial Production]]="",#N/A,((Tabela1511[[#This Row],[Industrial Production]]*1)/E193)-1)</f>
        <v>5.7768529977531013E-3</v>
      </c>
      <c r="G194" s="8">
        <f>IF(Tabela1511[[#This Row],[Industrial Production]]="",#N/A,((Tabela1511[[#This Row],[Industrial Production]]*1)/E182)-1)</f>
        <v>3.4076573637340957E-2</v>
      </c>
      <c r="H194" s="32">
        <v>186399</v>
      </c>
      <c r="I194" s="8">
        <f>IF(Tabela1511[[#This Row],[Retail Sales]]="",#N/A,((Tabela1511[[#This Row],[Retail Sales]]*1)/H193)-1)</f>
        <v>8.9419584621130976E-3</v>
      </c>
      <c r="J194" s="8">
        <f>IF(Tabela1511[[#This Row],[Retail Sales]]="",#N/A,((Tabela1511[[#This Row],[Retail Sales]]*1)/H182)-1)</f>
        <v>7.6797319545940379E-2</v>
      </c>
      <c r="K194" s="32">
        <v>143603</v>
      </c>
      <c r="L194" s="8">
        <f>IF(Tabela1511[[#This Row],[Core-Retail Sales]]="",#N/A,((Tabela1511[[#This Row],[Core-Retail Sales]]*1)/K193)-1)</f>
        <v>6.5395668325507472E-3</v>
      </c>
      <c r="M194" s="8">
        <f>IF(Tabela1511[[#This Row],[Core-Retail Sales]]="",#N/A,((Tabela1511[[#This Row],[Core-Retail Sales]]*1)/K182)-1)</f>
        <v>4.9476369004552989E-2</v>
      </c>
      <c r="N194" s="84">
        <v>127409</v>
      </c>
      <c r="O194" s="8">
        <f>IF(Tabela1511[[#This Row],[Real Retail Sales]]="",#N/A,((Tabela1511[[#This Row],[Real Retail Sales]]*1)/N193)-1)</f>
        <v>6.8753506823984178E-3</v>
      </c>
      <c r="P194" s="8">
        <f>IF(Tabela1511[[#This Row],[Real Retail Sales]]="",#N/A,((Tabela1511[[#This Row],[Real Retail Sales]]*1)/N182)-1)</f>
        <v>4.7357950808891269E-2</v>
      </c>
      <c r="Q194" s="32">
        <v>129976</v>
      </c>
      <c r="R194" s="8">
        <f>IF(Tabela1511[[#This Row],[Core²-Retail Sales]]="",#N/A,((Tabela1511[[#This Row],[Core²-Retail Sales]]*1)/Q193)-1)</f>
        <v>8.222408389959357E-3</v>
      </c>
      <c r="S194" s="8">
        <f>IF(Tabela1511[[#This Row],[Core²-Retail Sales]]="",#N/A,((Tabela1511[[#This Row],[Core²-Retail Sales]]*1)/Q182)-1)</f>
        <v>5.3648729713516863E-2</v>
      </c>
      <c r="T194" s="5">
        <v>88.2</v>
      </c>
      <c r="U194" s="5"/>
      <c r="V194" s="5"/>
      <c r="W194" s="25"/>
      <c r="X194" s="25"/>
      <c r="Y194" s="25"/>
      <c r="Z194" s="25"/>
      <c r="AA194" s="25"/>
      <c r="AB194" s="25"/>
    </row>
    <row r="195" spans="1:28">
      <c r="A195" s="6">
        <v>34335</v>
      </c>
      <c r="B195" s="36"/>
      <c r="C195" s="36"/>
      <c r="D195" s="35"/>
      <c r="E195" s="7">
        <v>66.772199999999998</v>
      </c>
      <c r="F195" s="8">
        <f>IF(Tabela1511[[#This Row],[Industrial Production]]="",#N/A,((Tabela1511[[#This Row],[Industrial Production]]*1)/E194)-1)</f>
        <v>3.1850865832734332E-3</v>
      </c>
      <c r="G195" s="8">
        <f>IF(Tabela1511[[#This Row],[Industrial Production]]="",#N/A,((Tabela1511[[#This Row],[Industrial Production]]*1)/E183)-1)</f>
        <v>3.3215939194374933E-2</v>
      </c>
      <c r="H195" s="32">
        <v>185142</v>
      </c>
      <c r="I195" s="8">
        <f>IF(Tabela1511[[#This Row],[Retail Sales]]="",#N/A,((Tabela1511[[#This Row],[Retail Sales]]*1)/H194)-1)</f>
        <v>-6.7435984098627166E-3</v>
      </c>
      <c r="J195" s="8">
        <f>IF(Tabela1511[[#This Row],[Retail Sales]]="",#N/A,((Tabela1511[[#This Row],[Retail Sales]]*1)/H183)-1)</f>
        <v>5.7301779473239334E-2</v>
      </c>
      <c r="K195" s="32">
        <v>142482</v>
      </c>
      <c r="L195" s="8">
        <f>IF(Tabela1511[[#This Row],[Core-Retail Sales]]="",#N/A,((Tabela1511[[#This Row],[Core-Retail Sales]]*1)/K194)-1)</f>
        <v>-7.8062436021532067E-3</v>
      </c>
      <c r="M195" s="8">
        <f>IF(Tabela1511[[#This Row],[Core-Retail Sales]]="",#N/A,((Tabela1511[[#This Row],[Core-Retail Sales]]*1)/K183)-1)</f>
        <v>3.6330707630539694E-2</v>
      </c>
      <c r="N195" s="84">
        <v>126550</v>
      </c>
      <c r="O195" s="8">
        <f>IF(Tabela1511[[#This Row],[Real Retail Sales]]="",#N/A,((Tabela1511[[#This Row],[Real Retail Sales]]*1)/N194)-1)</f>
        <v>-6.7420668869545564E-3</v>
      </c>
      <c r="P195" s="8">
        <f>IF(Tabela1511[[#This Row],[Real Retail Sales]]="",#N/A,((Tabela1511[[#This Row],[Real Retail Sales]]*1)/N183)-1)</f>
        <v>3.200815494393483E-2</v>
      </c>
      <c r="Q195" s="32">
        <v>128826</v>
      </c>
      <c r="R195" s="8">
        <f>IF(Tabela1511[[#This Row],[Core²-Retail Sales]]="",#N/A,((Tabela1511[[#This Row],[Core²-Retail Sales]]*1)/Q194)-1)</f>
        <v>-8.8477872838061966E-3</v>
      </c>
      <c r="S195" s="8">
        <f>IF(Tabela1511[[#This Row],[Core²-Retail Sales]]="",#N/A,((Tabela1511[[#This Row],[Core²-Retail Sales]]*1)/Q183)-1)</f>
        <v>3.8174213669221357E-2</v>
      </c>
      <c r="T195" s="5">
        <v>94.3</v>
      </c>
      <c r="U195" s="5"/>
      <c r="V195" s="5"/>
      <c r="W195" s="25"/>
      <c r="X195" s="25"/>
      <c r="Y195" s="25"/>
      <c r="Z195" s="25"/>
      <c r="AA195" s="25"/>
      <c r="AB195" s="25"/>
    </row>
    <row r="196" spans="1:28">
      <c r="A196" s="6">
        <v>34366</v>
      </c>
      <c r="B196" s="36"/>
      <c r="C196" s="36"/>
      <c r="D196" s="35"/>
      <c r="E196" s="7">
        <v>66.806799999999996</v>
      </c>
      <c r="F196" s="8">
        <f>IF(Tabela1511[[#This Row],[Industrial Production]]="",#N/A,((Tabela1511[[#This Row],[Industrial Production]]*1)/E195)-1)</f>
        <v>5.1817972150081104E-4</v>
      </c>
      <c r="G196" s="8">
        <f>IF(Tabela1511[[#This Row],[Industrial Production]]="",#N/A,((Tabela1511[[#This Row],[Industrial Production]]*1)/E184)-1)</f>
        <v>2.892082120470052E-2</v>
      </c>
      <c r="H196" s="32">
        <v>188074</v>
      </c>
      <c r="I196" s="8">
        <f>IF(Tabela1511[[#This Row],[Retail Sales]]="",#N/A,((Tabela1511[[#This Row],[Retail Sales]]*1)/H195)-1)</f>
        <v>1.5836493070183977E-2</v>
      </c>
      <c r="J196" s="8">
        <f>IF(Tabela1511[[#This Row],[Retail Sales]]="",#N/A,((Tabela1511[[#This Row],[Retail Sales]]*1)/H184)-1)</f>
        <v>8.2477668293581274E-2</v>
      </c>
      <c r="K196" s="32">
        <v>144389</v>
      </c>
      <c r="L196" s="8">
        <f>IF(Tabela1511[[#This Row],[Core-Retail Sales]]="",#N/A,((Tabela1511[[#This Row],[Core-Retail Sales]]*1)/K195)-1)</f>
        <v>1.3384146769416461E-2</v>
      </c>
      <c r="M196" s="8">
        <f>IF(Tabela1511[[#This Row],[Core-Retail Sales]]="",#N/A,((Tabela1511[[#This Row],[Core-Retail Sales]]*1)/K184)-1)</f>
        <v>5.3772779354989364E-2</v>
      </c>
      <c r="N196" s="84">
        <v>128203</v>
      </c>
      <c r="O196" s="8">
        <f>IF(Tabela1511[[#This Row],[Real Retail Sales]]="",#N/A,((Tabela1511[[#This Row],[Real Retail Sales]]*1)/N195)-1)</f>
        <v>1.3062030817858616E-2</v>
      </c>
      <c r="P196" s="8">
        <f>IF(Tabela1511[[#This Row],[Real Retail Sales]]="",#N/A,((Tabela1511[[#This Row],[Real Retail Sales]]*1)/N184)-1)</f>
        <v>5.5916121699309818E-2</v>
      </c>
      <c r="Q196" s="32">
        <v>130514</v>
      </c>
      <c r="R196" s="8">
        <f>IF(Tabela1511[[#This Row],[Core²-Retail Sales]]="",#N/A,((Tabela1511[[#This Row],[Core²-Retail Sales]]*1)/Q195)-1)</f>
        <v>1.3102945057674731E-2</v>
      </c>
      <c r="S196" s="8">
        <f>IF(Tabela1511[[#This Row],[Core²-Retail Sales]]="",#N/A,((Tabela1511[[#This Row],[Core²-Retail Sales]]*1)/Q184)-1)</f>
        <v>5.743568969009516E-2</v>
      </c>
      <c r="T196" s="5">
        <v>93.2</v>
      </c>
      <c r="U196" s="5"/>
      <c r="V196" s="5"/>
      <c r="W196" s="25"/>
      <c r="X196" s="25"/>
      <c r="Y196" s="25"/>
      <c r="Z196" s="25"/>
      <c r="AA196" s="25"/>
      <c r="AB196" s="25"/>
    </row>
    <row r="197" spans="1:28">
      <c r="A197" s="6">
        <v>34394</v>
      </c>
      <c r="B197" s="36"/>
      <c r="C197" s="36"/>
      <c r="D197" s="35"/>
      <c r="E197" s="7">
        <v>67.483199999999997</v>
      </c>
      <c r="F197" s="8">
        <f>IF(Tabela1511[[#This Row],[Industrial Production]]="",#N/A,((Tabela1511[[#This Row],[Industrial Production]]*1)/E196)-1)</f>
        <v>1.0124717843093878E-2</v>
      </c>
      <c r="G197" s="8">
        <f>IF(Tabela1511[[#This Row],[Industrial Production]]="",#N/A,((Tabela1511[[#This Row],[Industrial Production]]*1)/E185)-1)</f>
        <v>4.0251572327044016E-2</v>
      </c>
      <c r="H197" s="32">
        <v>191579</v>
      </c>
      <c r="I197" s="8">
        <f>IF(Tabela1511[[#This Row],[Retail Sales]]="",#N/A,((Tabela1511[[#This Row],[Retail Sales]]*1)/H196)-1)</f>
        <v>1.8636281463679127E-2</v>
      </c>
      <c r="J197" s="8">
        <f>IF(Tabela1511[[#This Row],[Retail Sales]]="",#N/A,((Tabela1511[[#This Row],[Retail Sales]]*1)/H185)-1)</f>
        <v>0.11185333070235504</v>
      </c>
      <c r="K197" s="32">
        <v>147104</v>
      </c>
      <c r="L197" s="8">
        <f>IF(Tabela1511[[#This Row],[Core-Retail Sales]]="",#N/A,((Tabela1511[[#This Row],[Core-Retail Sales]]*1)/K196)-1)</f>
        <v>1.8803371447963402E-2</v>
      </c>
      <c r="M197" s="8">
        <f>IF(Tabela1511[[#This Row],[Core-Retail Sales]]="",#N/A,((Tabela1511[[#This Row],[Core-Retail Sales]]*1)/K185)-1)</f>
        <v>7.8862641271424394E-2</v>
      </c>
      <c r="N197" s="84">
        <v>130237</v>
      </c>
      <c r="O197" s="8">
        <f>IF(Tabela1511[[#This Row],[Real Retail Sales]]="",#N/A,((Tabela1511[[#This Row],[Real Retail Sales]]*1)/N196)-1)</f>
        <v>1.5865463366691923E-2</v>
      </c>
      <c r="P197" s="8">
        <f>IF(Tabela1511[[#This Row],[Real Retail Sales]]="",#N/A,((Tabela1511[[#This Row],[Real Retail Sales]]*1)/N185)-1)</f>
        <v>8.3133041142372299E-2</v>
      </c>
      <c r="Q197" s="32">
        <v>133193</v>
      </c>
      <c r="R197" s="8">
        <f>IF(Tabela1511[[#This Row],[Core²-Retail Sales]]="",#N/A,((Tabela1511[[#This Row],[Core²-Retail Sales]]*1)/Q196)-1)</f>
        <v>2.0526533551956216E-2</v>
      </c>
      <c r="S197" s="8">
        <f>IF(Tabela1511[[#This Row],[Core²-Retail Sales]]="",#N/A,((Tabela1511[[#This Row],[Core²-Retail Sales]]*1)/Q185)-1)</f>
        <v>8.4068563615053993E-2</v>
      </c>
      <c r="T197" s="5">
        <v>91.5</v>
      </c>
      <c r="U197" s="5"/>
      <c r="V197" s="5"/>
      <c r="W197" s="25"/>
      <c r="X197" s="25"/>
      <c r="Y197" s="25"/>
      <c r="Z197" s="25"/>
      <c r="AA197" s="25"/>
      <c r="AB197" s="25"/>
    </row>
    <row r="198" spans="1:28">
      <c r="A198" s="6">
        <v>34425</v>
      </c>
      <c r="B198" s="36"/>
      <c r="C198" s="36"/>
      <c r="D198" s="35"/>
      <c r="E198" s="7">
        <v>67.877099999999999</v>
      </c>
      <c r="F198" s="8">
        <f>IF(Tabela1511[[#This Row],[Industrial Production]]="",#N/A,((Tabela1511[[#This Row],[Industrial Production]]*1)/E197)-1)</f>
        <v>5.8370083220713465E-3</v>
      </c>
      <c r="G198" s="8">
        <f>IF(Tabela1511[[#This Row],[Industrial Production]]="",#N/A,((Tabela1511[[#This Row],[Industrial Production]]*1)/E186)-1)</f>
        <v>4.3282391475090387E-2</v>
      </c>
      <c r="H198" s="32">
        <v>191639</v>
      </c>
      <c r="I198" s="8">
        <f>IF(Tabela1511[[#This Row],[Retail Sales]]="",#N/A,((Tabela1511[[#This Row],[Retail Sales]]*1)/H197)-1)</f>
        <v>3.1318672714641949E-4</v>
      </c>
      <c r="J198" s="8">
        <f>IF(Tabela1511[[#This Row],[Retail Sales]]="",#N/A,((Tabela1511[[#This Row],[Retail Sales]]*1)/H186)-1)</f>
        <v>8.4243758097641397E-2</v>
      </c>
      <c r="K198" s="32">
        <v>146567</v>
      </c>
      <c r="L198" s="8">
        <f>IF(Tabela1511[[#This Row],[Core-Retail Sales]]="",#N/A,((Tabela1511[[#This Row],[Core-Retail Sales]]*1)/K197)-1)</f>
        <v>-3.6504785729823963E-3</v>
      </c>
      <c r="M198" s="8">
        <f>IF(Tabela1511[[#This Row],[Core-Retail Sales]]="",#N/A,((Tabela1511[[#This Row],[Core-Retail Sales]]*1)/K186)-1)</f>
        <v>6.032786410857427E-2</v>
      </c>
      <c r="N198" s="84">
        <v>130190</v>
      </c>
      <c r="O198" s="8">
        <f>IF(Tabela1511[[#This Row],[Real Retail Sales]]="",#N/A,((Tabela1511[[#This Row],[Real Retail Sales]]*1)/N197)-1)</f>
        <v>-3.6088054853844476E-4</v>
      </c>
      <c r="P198" s="8">
        <f>IF(Tabela1511[[#This Row],[Real Retail Sales]]="",#N/A,((Tabela1511[[#This Row],[Real Retail Sales]]*1)/N186)-1)</f>
        <v>5.9204477964088342E-2</v>
      </c>
      <c r="Q198" s="32">
        <v>132700</v>
      </c>
      <c r="R198" s="8">
        <f>IF(Tabela1511[[#This Row],[Core²-Retail Sales]]="",#N/A,((Tabela1511[[#This Row],[Core²-Retail Sales]]*1)/Q197)-1)</f>
        <v>-3.7013957189941937E-3</v>
      </c>
      <c r="S198" s="8">
        <f>IF(Tabela1511[[#This Row],[Core²-Retail Sales]]="",#N/A,((Tabela1511[[#This Row],[Core²-Retail Sales]]*1)/Q186)-1)</f>
        <v>6.4247848647434713E-2</v>
      </c>
      <c r="T198" s="5">
        <v>92.6</v>
      </c>
      <c r="U198" s="5"/>
      <c r="V198" s="5"/>
      <c r="W198" s="25"/>
      <c r="X198" s="25"/>
      <c r="Y198" s="25"/>
      <c r="Z198" s="25"/>
      <c r="AA198" s="25"/>
      <c r="AB198" s="25"/>
    </row>
    <row r="199" spans="1:28">
      <c r="A199" s="6">
        <v>34455</v>
      </c>
      <c r="B199" s="36"/>
      <c r="C199" s="36"/>
      <c r="D199" s="35"/>
      <c r="E199" s="7">
        <v>68.196100000000001</v>
      </c>
      <c r="F199" s="8">
        <f>IF(Tabela1511[[#This Row],[Industrial Production]]="",#N/A,((Tabela1511[[#This Row],[Industrial Production]]*1)/E198)-1)</f>
        <v>4.6996704337693984E-3</v>
      </c>
      <c r="G199" s="8">
        <f>IF(Tabela1511[[#This Row],[Industrial Production]]="",#N/A,((Tabela1511[[#This Row],[Industrial Production]]*1)/E187)-1)</f>
        <v>5.2240072580943764E-2</v>
      </c>
      <c r="H199" s="32">
        <v>190929</v>
      </c>
      <c r="I199" s="8">
        <f>IF(Tabela1511[[#This Row],[Retail Sales]]="",#N/A,((Tabela1511[[#This Row],[Retail Sales]]*1)/H198)-1)</f>
        <v>-3.7048826178387451E-3</v>
      </c>
      <c r="J199" s="8">
        <f>IF(Tabela1511[[#This Row],[Retail Sales]]="",#N/A,((Tabela1511[[#This Row],[Retail Sales]]*1)/H187)-1)</f>
        <v>7.0073868158228025E-2</v>
      </c>
      <c r="K199" s="32">
        <v>146831</v>
      </c>
      <c r="L199" s="8">
        <f>IF(Tabela1511[[#This Row],[Core-Retail Sales]]="",#N/A,((Tabela1511[[#This Row],[Core-Retail Sales]]*1)/K198)-1)</f>
        <v>1.8012240135909519E-3</v>
      </c>
      <c r="M199" s="8">
        <f>IF(Tabela1511[[#This Row],[Core-Retail Sales]]="",#N/A,((Tabela1511[[#This Row],[Core-Retail Sales]]*1)/K187)-1)</f>
        <v>5.3155931717113747E-2</v>
      </c>
      <c r="N199" s="84">
        <v>129443</v>
      </c>
      <c r="O199" s="8">
        <f>IF(Tabela1511[[#This Row],[Real Retail Sales]]="",#N/A,((Tabela1511[[#This Row],[Real Retail Sales]]*1)/N198)-1)</f>
        <v>-5.7377678777171814E-3</v>
      </c>
      <c r="P199" s="8">
        <f>IF(Tabela1511[[#This Row],[Real Retail Sales]]="",#N/A,((Tabela1511[[#This Row],[Real Retail Sales]]*1)/N187)-1)</f>
        <v>4.6130844142724392E-2</v>
      </c>
      <c r="Q199" s="32">
        <v>133058</v>
      </c>
      <c r="R199" s="8">
        <f>IF(Tabela1511[[#This Row],[Core²-Retail Sales]]="",#N/A,((Tabela1511[[#This Row],[Core²-Retail Sales]]*1)/Q198)-1)</f>
        <v>2.6978146194422958E-3</v>
      </c>
      <c r="S199" s="8">
        <f>IF(Tabela1511[[#This Row],[Core²-Retail Sales]]="",#N/A,((Tabela1511[[#This Row],[Core²-Retail Sales]]*1)/Q187)-1)</f>
        <v>5.686304100906292E-2</v>
      </c>
      <c r="T199" s="5">
        <v>92.8</v>
      </c>
      <c r="U199" s="5"/>
      <c r="V199" s="5"/>
      <c r="W199" s="25"/>
      <c r="X199" s="25"/>
      <c r="Y199" s="25"/>
      <c r="Z199" s="25"/>
      <c r="AA199" s="25"/>
      <c r="AB199" s="25"/>
    </row>
    <row r="200" spans="1:28">
      <c r="A200" s="6">
        <v>34486</v>
      </c>
      <c r="B200" s="36"/>
      <c r="C200" s="36"/>
      <c r="D200" s="35"/>
      <c r="E200" s="7">
        <v>68.652600000000007</v>
      </c>
      <c r="F200" s="8">
        <f>IF(Tabela1511[[#This Row],[Industrial Production]]="",#N/A,((Tabela1511[[#This Row],[Industrial Production]]*1)/E199)-1)</f>
        <v>6.6939311778826394E-3</v>
      </c>
      <c r="G200" s="8">
        <f>IF(Tabela1511[[#This Row],[Industrial Production]]="",#N/A,((Tabela1511[[#This Row],[Industrial Production]]*1)/E188)-1)</f>
        <v>5.692068237695791E-2</v>
      </c>
      <c r="H200" s="32">
        <v>193130</v>
      </c>
      <c r="I200" s="8">
        <f>IF(Tabela1511[[#This Row],[Retail Sales]]="",#N/A,((Tabela1511[[#This Row],[Retail Sales]]*1)/H199)-1)</f>
        <v>1.1527845429452732E-2</v>
      </c>
      <c r="J200" s="8">
        <f>IF(Tabela1511[[#This Row],[Retail Sales]]="",#N/A,((Tabela1511[[#This Row],[Retail Sales]]*1)/H188)-1)</f>
        <v>8.4043848964677315E-2</v>
      </c>
      <c r="K200" s="32">
        <v>148589</v>
      </c>
      <c r="L200" s="8">
        <f>IF(Tabela1511[[#This Row],[Core-Retail Sales]]="",#N/A,((Tabela1511[[#This Row],[Core-Retail Sales]]*1)/K199)-1)</f>
        <v>1.1972948491803415E-2</v>
      </c>
      <c r="M200" s="8">
        <f>IF(Tabela1511[[#This Row],[Core-Retail Sales]]="",#N/A,((Tabela1511[[#This Row],[Core-Retail Sales]]*1)/K188)-1)</f>
        <v>6.6951495350590529E-2</v>
      </c>
      <c r="N200" s="84">
        <v>130581</v>
      </c>
      <c r="O200" s="8">
        <f>IF(Tabela1511[[#This Row],[Real Retail Sales]]="",#N/A,((Tabela1511[[#This Row],[Real Retail Sales]]*1)/N199)-1)</f>
        <v>8.7915144117487465E-3</v>
      </c>
      <c r="P200" s="8">
        <f>IF(Tabela1511[[#This Row],[Real Retail Sales]]="",#N/A,((Tabela1511[[#This Row],[Real Retail Sales]]*1)/N188)-1)</f>
        <v>5.7652900059127044E-2</v>
      </c>
      <c r="Q200" s="32">
        <v>134530</v>
      </c>
      <c r="R200" s="8">
        <f>IF(Tabela1511[[#This Row],[Core²-Retail Sales]]="",#N/A,((Tabela1511[[#This Row],[Core²-Retail Sales]]*1)/Q199)-1)</f>
        <v>1.106284477445918E-2</v>
      </c>
      <c r="S200" s="8">
        <f>IF(Tabela1511[[#This Row],[Core²-Retail Sales]]="",#N/A,((Tabela1511[[#This Row],[Core²-Retail Sales]]*1)/Q188)-1)</f>
        <v>6.9361864487615721E-2</v>
      </c>
      <c r="T200" s="5">
        <v>91.2</v>
      </c>
      <c r="U200" s="5"/>
      <c r="V200" s="5"/>
      <c r="W200" s="25"/>
      <c r="X200" s="25"/>
      <c r="Y200" s="25"/>
      <c r="Z200" s="25"/>
      <c r="AA200" s="25"/>
      <c r="AB200" s="25"/>
    </row>
    <row r="201" spans="1:28">
      <c r="A201" s="6">
        <v>34516</v>
      </c>
      <c r="B201" s="36"/>
      <c r="C201" s="36"/>
      <c r="D201" s="35"/>
      <c r="E201" s="7">
        <v>68.735299999999995</v>
      </c>
      <c r="F201" s="8">
        <f>IF(Tabela1511[[#This Row],[Industrial Production]]="",#N/A,((Tabela1511[[#This Row],[Industrial Production]]*1)/E200)-1)</f>
        <v>1.20461570282826E-3</v>
      </c>
      <c r="G201" s="8">
        <f>IF(Tabela1511[[#This Row],[Industrial Production]]="",#N/A,((Tabela1511[[#This Row],[Industrial Production]]*1)/E189)-1)</f>
        <v>5.552074791384487E-2</v>
      </c>
      <c r="H201" s="32">
        <v>193743</v>
      </c>
      <c r="I201" s="8">
        <f>IF(Tabela1511[[#This Row],[Retail Sales]]="",#N/A,((Tabela1511[[#This Row],[Retail Sales]]*1)/H200)-1)</f>
        <v>3.1740278568839209E-3</v>
      </c>
      <c r="J201" s="8">
        <f>IF(Tabela1511[[#This Row],[Retail Sales]]="",#N/A,((Tabela1511[[#This Row],[Retail Sales]]*1)/H189)-1)</f>
        <v>7.1925330441566127E-2</v>
      </c>
      <c r="K201" s="32">
        <v>149266</v>
      </c>
      <c r="L201" s="8">
        <f>IF(Tabela1511[[#This Row],[Core-Retail Sales]]="",#N/A,((Tabela1511[[#This Row],[Core-Retail Sales]]*1)/K200)-1)</f>
        <v>4.5561919119181393E-3</v>
      </c>
      <c r="M201" s="8">
        <f>IF(Tabela1511[[#This Row],[Core-Retail Sales]]="",#N/A,((Tabela1511[[#This Row],[Core-Retail Sales]]*1)/K189)-1)</f>
        <v>6.274696873687291E-2</v>
      </c>
      <c r="N201" s="84">
        <v>130555</v>
      </c>
      <c r="O201" s="8">
        <f>IF(Tabela1511[[#This Row],[Real Retail Sales]]="",#N/A,((Tabela1511[[#This Row],[Real Retail Sales]]*1)/N200)-1)</f>
        <v>-1.9911013087658969E-4</v>
      </c>
      <c r="P201" s="8">
        <f>IF(Tabela1511[[#This Row],[Real Retail Sales]]="",#N/A,((Tabela1511[[#This Row],[Real Retail Sales]]*1)/N189)-1)</f>
        <v>4.375529652547927E-2</v>
      </c>
      <c r="Q201" s="32">
        <v>134944</v>
      </c>
      <c r="R201" s="8">
        <f>IF(Tabela1511[[#This Row],[Core²-Retail Sales]]="",#N/A,((Tabela1511[[#This Row],[Core²-Retail Sales]]*1)/Q200)-1)</f>
        <v>3.0773805099233442E-3</v>
      </c>
      <c r="S201" s="8">
        <f>IF(Tabela1511[[#This Row],[Core²-Retail Sales]]="",#N/A,((Tabela1511[[#This Row],[Core²-Retail Sales]]*1)/Q189)-1)</f>
        <v>6.2961300029145129E-2</v>
      </c>
      <c r="T201" s="5">
        <v>89</v>
      </c>
      <c r="U201" s="5"/>
      <c r="V201" s="5"/>
      <c r="W201" s="25"/>
      <c r="X201" s="25"/>
      <c r="Y201" s="25"/>
      <c r="Z201" s="25"/>
      <c r="AA201" s="25"/>
      <c r="AB201" s="25"/>
    </row>
    <row r="202" spans="1:28">
      <c r="A202" s="6">
        <v>34547</v>
      </c>
      <c r="B202" s="36"/>
      <c r="C202" s="36"/>
      <c r="D202" s="35"/>
      <c r="E202" s="7">
        <v>69.195400000000006</v>
      </c>
      <c r="F202" s="8">
        <f>IF(Tabela1511[[#This Row],[Industrial Production]]="",#N/A,((Tabela1511[[#This Row],[Industrial Production]]*1)/E201)-1)</f>
        <v>6.6937948914169709E-3</v>
      </c>
      <c r="G202" s="8">
        <f>IF(Tabela1511[[#This Row],[Industrial Production]]="",#N/A,((Tabela1511[[#This Row],[Industrial Production]]*1)/E190)-1)</f>
        <v>6.3736175890938274E-2</v>
      </c>
      <c r="H202" s="32">
        <v>196163</v>
      </c>
      <c r="I202" s="8">
        <f>IF(Tabela1511[[#This Row],[Retail Sales]]="",#N/A,((Tabela1511[[#This Row],[Retail Sales]]*1)/H201)-1)</f>
        <v>1.2490773860216908E-2</v>
      </c>
      <c r="J202" s="8">
        <f>IF(Tabela1511[[#This Row],[Retail Sales]]="",#N/A,((Tabela1511[[#This Row],[Retail Sales]]*1)/H190)-1)</f>
        <v>8.5530721001400023E-2</v>
      </c>
      <c r="K202" s="32">
        <v>150931</v>
      </c>
      <c r="L202" s="8">
        <f>IF(Tabela1511[[#This Row],[Core-Retail Sales]]="",#N/A,((Tabela1511[[#This Row],[Core-Retail Sales]]*1)/K201)-1)</f>
        <v>1.1154583093269776E-2</v>
      </c>
      <c r="M202" s="8">
        <f>IF(Tabela1511[[#This Row],[Core-Retail Sales]]="",#N/A,((Tabela1511[[#This Row],[Core-Retail Sales]]*1)/K190)-1)</f>
        <v>7.6517620878297832E-2</v>
      </c>
      <c r="N202" s="84">
        <v>131653</v>
      </c>
      <c r="O202" s="8">
        <f>IF(Tabela1511[[#This Row],[Real Retail Sales]]="",#N/A,((Tabela1511[[#This Row],[Real Retail Sales]]*1)/N201)-1)</f>
        <v>8.4102485542492111E-3</v>
      </c>
      <c r="P202" s="8">
        <f>IF(Tabela1511[[#This Row],[Real Retail Sales]]="",#N/A,((Tabela1511[[#This Row],[Real Retail Sales]]*1)/N190)-1)</f>
        <v>5.4928764884052628E-2</v>
      </c>
      <c r="Q202" s="32">
        <v>136246</v>
      </c>
      <c r="R202" s="8">
        <f>IF(Tabela1511[[#This Row],[Core²-Retail Sales]]="",#N/A,((Tabela1511[[#This Row],[Core²-Retail Sales]]*1)/Q201)-1)</f>
        <v>9.6484467631017257E-3</v>
      </c>
      <c r="S202" s="8">
        <f>IF(Tabela1511[[#This Row],[Core²-Retail Sales]]="",#N/A,((Tabela1511[[#This Row],[Core²-Retail Sales]]*1)/Q190)-1)</f>
        <v>7.4232640285103901E-2</v>
      </c>
      <c r="T202" s="5">
        <v>91.7</v>
      </c>
      <c r="U202" s="5"/>
      <c r="V202" s="5"/>
      <c r="W202" s="25"/>
      <c r="X202" s="25"/>
      <c r="Y202" s="25"/>
      <c r="Z202" s="25"/>
      <c r="AA202" s="25"/>
      <c r="AB202" s="25"/>
    </row>
    <row r="203" spans="1:28">
      <c r="A203" s="6">
        <v>34578</v>
      </c>
      <c r="B203" s="36"/>
      <c r="C203" s="36"/>
      <c r="D203" s="35"/>
      <c r="E203" s="7">
        <v>69.401700000000005</v>
      </c>
      <c r="F203" s="8">
        <f>IF(Tabela1511[[#This Row],[Industrial Production]]="",#N/A,((Tabela1511[[#This Row],[Industrial Production]]*1)/E202)-1)</f>
        <v>2.9814120591831195E-3</v>
      </c>
      <c r="G203" s="8">
        <f>IF(Tabela1511[[#This Row],[Industrial Production]]="",#N/A,((Tabela1511[[#This Row],[Industrial Production]]*1)/E191)-1)</f>
        <v>6.137957613147349E-2</v>
      </c>
      <c r="H203" s="32">
        <v>197765</v>
      </c>
      <c r="I203" s="8">
        <f>IF(Tabela1511[[#This Row],[Retail Sales]]="",#N/A,((Tabela1511[[#This Row],[Retail Sales]]*1)/H202)-1)</f>
        <v>8.1666777119029366E-3</v>
      </c>
      <c r="J203" s="8">
        <f>IF(Tabela1511[[#This Row],[Retail Sales]]="",#N/A,((Tabela1511[[#This Row],[Retail Sales]]*1)/H191)-1)</f>
        <v>8.7977862498830994E-2</v>
      </c>
      <c r="K203" s="32">
        <v>151451</v>
      </c>
      <c r="L203" s="8">
        <f>IF(Tabela1511[[#This Row],[Core-Retail Sales]]="",#N/A,((Tabela1511[[#This Row],[Core-Retail Sales]]*1)/K202)-1)</f>
        <v>3.445282943861816E-3</v>
      </c>
      <c r="M203" s="8">
        <f>IF(Tabela1511[[#This Row],[Core-Retail Sales]]="",#N/A,((Tabela1511[[#This Row],[Core-Retail Sales]]*1)/K191)-1)</f>
        <v>6.9795860704951584E-2</v>
      </c>
      <c r="N203" s="84">
        <v>132461</v>
      </c>
      <c r="O203" s="8">
        <f>IF(Tabela1511[[#This Row],[Real Retail Sales]]="",#N/A,((Tabela1511[[#This Row],[Real Retail Sales]]*1)/N202)-1)</f>
        <v>6.137345901726432E-3</v>
      </c>
      <c r="P203" s="8">
        <f>IF(Tabela1511[[#This Row],[Real Retail Sales]]="",#N/A,((Tabela1511[[#This Row],[Real Retail Sales]]*1)/N191)-1)</f>
        <v>5.6636433978669576E-2</v>
      </c>
      <c r="Q203" s="32">
        <v>136802</v>
      </c>
      <c r="R203" s="8">
        <f>IF(Tabela1511[[#This Row],[Core²-Retail Sales]]="",#N/A,((Tabela1511[[#This Row],[Core²-Retail Sales]]*1)/Q202)-1)</f>
        <v>4.0808537498349118E-3</v>
      </c>
      <c r="S203" s="8">
        <f>IF(Tabela1511[[#This Row],[Core²-Retail Sales]]="",#N/A,((Tabela1511[[#This Row],[Core²-Retail Sales]]*1)/Q191)-1)</f>
        <v>6.7481311547044953E-2</v>
      </c>
      <c r="T203" s="5">
        <v>91.5</v>
      </c>
      <c r="U203" s="5"/>
      <c r="V203" s="5"/>
      <c r="W203" s="25"/>
      <c r="X203" s="25"/>
      <c r="Y203" s="25"/>
      <c r="Z203" s="25"/>
      <c r="AA203" s="25"/>
      <c r="AB203" s="25"/>
    </row>
    <row r="204" spans="1:28">
      <c r="A204" s="6">
        <v>34608</v>
      </c>
      <c r="B204" s="36"/>
      <c r="C204" s="36"/>
      <c r="D204" s="35"/>
      <c r="E204" s="7">
        <v>69.968999999999994</v>
      </c>
      <c r="F204" s="8">
        <f>IF(Tabela1511[[#This Row],[Industrial Production]]="",#N/A,((Tabela1511[[#This Row],[Industrial Production]]*1)/E203)-1)</f>
        <v>8.1741513536410793E-3</v>
      </c>
      <c r="G204" s="8">
        <f>IF(Tabela1511[[#This Row],[Industrial Production]]="",#N/A,((Tabela1511[[#This Row],[Industrial Production]]*1)/E192)-1)</f>
        <v>6.2225406936672334E-2</v>
      </c>
      <c r="H204" s="32">
        <v>199571</v>
      </c>
      <c r="I204" s="8">
        <f>IF(Tabela1511[[#This Row],[Retail Sales]]="",#N/A,((Tabela1511[[#This Row],[Retail Sales]]*1)/H203)-1)</f>
        <v>9.1320506661947132E-3</v>
      </c>
      <c r="J204" s="8">
        <f>IF(Tabela1511[[#This Row],[Retail Sales]]="",#N/A,((Tabela1511[[#This Row],[Retail Sales]]*1)/H192)-1)</f>
        <v>9.1243629841867069E-2</v>
      </c>
      <c r="K204" s="32">
        <v>152530</v>
      </c>
      <c r="L204" s="8">
        <f>IF(Tabela1511[[#This Row],[Core-Retail Sales]]="",#N/A,((Tabela1511[[#This Row],[Core-Retail Sales]]*1)/K203)-1)</f>
        <v>7.1244164779367125E-3</v>
      </c>
      <c r="M204" s="8">
        <f>IF(Tabela1511[[#This Row],[Core-Retail Sales]]="",#N/A,((Tabela1511[[#This Row],[Core-Retail Sales]]*1)/K192)-1)</f>
        <v>7.3950727678540051E-2</v>
      </c>
      <c r="N204" s="84">
        <v>133582</v>
      </c>
      <c r="O204" s="8">
        <f>IF(Tabela1511[[#This Row],[Real Retail Sales]]="",#N/A,((Tabela1511[[#This Row],[Real Retail Sales]]*1)/N203)-1)</f>
        <v>8.4628683159571061E-3</v>
      </c>
      <c r="P204" s="8">
        <f>IF(Tabela1511[[#This Row],[Real Retail Sales]]="",#N/A,((Tabela1511[[#This Row],[Real Retail Sales]]*1)/N192)-1)</f>
        <v>6.3491684380647673E-2</v>
      </c>
      <c r="Q204" s="32">
        <v>137821</v>
      </c>
      <c r="R204" s="8">
        <f>IF(Tabela1511[[#This Row],[Core²-Retail Sales]]="",#N/A,((Tabela1511[[#This Row],[Core²-Retail Sales]]*1)/Q203)-1)</f>
        <v>7.448721509919487E-3</v>
      </c>
      <c r="S204" s="8">
        <f>IF(Tabela1511[[#This Row],[Core²-Retail Sales]]="",#N/A,((Tabela1511[[#This Row],[Core²-Retail Sales]]*1)/Q192)-1)</f>
        <v>7.4443370338031611E-2</v>
      </c>
      <c r="T204" s="5">
        <v>92.7</v>
      </c>
      <c r="U204" s="5"/>
      <c r="V204" s="5"/>
      <c r="W204" s="25"/>
      <c r="X204" s="25"/>
      <c r="Y204" s="25"/>
      <c r="Z204" s="25"/>
      <c r="AA204" s="25"/>
      <c r="AB204" s="25"/>
    </row>
    <row r="205" spans="1:28">
      <c r="A205" s="6">
        <v>34639</v>
      </c>
      <c r="B205" s="36"/>
      <c r="C205" s="36"/>
      <c r="D205" s="35"/>
      <c r="E205" s="7">
        <v>70.436700000000002</v>
      </c>
      <c r="F205" s="8">
        <f>IF(Tabela1511[[#This Row],[Industrial Production]]="",#N/A,((Tabela1511[[#This Row],[Industrial Production]]*1)/E204)-1)</f>
        <v>6.6843888007548369E-3</v>
      </c>
      <c r="G205" s="8">
        <f>IF(Tabela1511[[#This Row],[Industrial Production]]="",#N/A,((Tabela1511[[#This Row],[Industrial Production]]*1)/E193)-1)</f>
        <v>6.435380995770501E-2</v>
      </c>
      <c r="H205" s="32">
        <v>199731</v>
      </c>
      <c r="I205" s="8">
        <f>IF(Tabela1511[[#This Row],[Retail Sales]]="",#N/A,((Tabela1511[[#This Row],[Retail Sales]]*1)/H204)-1)</f>
        <v>8.0171968873243848E-4</v>
      </c>
      <c r="J205" s="8">
        <f>IF(Tabela1511[[#This Row],[Retail Sales]]="",#N/A,((Tabela1511[[#This Row],[Retail Sales]]*1)/H193)-1)</f>
        <v>8.1105511862168189E-2</v>
      </c>
      <c r="K205" s="32">
        <v>152528</v>
      </c>
      <c r="L205" s="8">
        <f>IF(Tabela1511[[#This Row],[Core-Retail Sales]]="",#N/A,((Tabela1511[[#This Row],[Core-Retail Sales]]*1)/K204)-1)</f>
        <v>-1.3112174654161812E-5</v>
      </c>
      <c r="M205" s="8">
        <f>IF(Tabela1511[[#This Row],[Core-Retail Sales]]="",#N/A,((Tabela1511[[#This Row],[Core-Retail Sales]]*1)/K193)-1)</f>
        <v>6.9096516436531807E-2</v>
      </c>
      <c r="N205" s="84">
        <v>133332</v>
      </c>
      <c r="O205" s="8">
        <f>IF(Tabela1511[[#This Row],[Real Retail Sales]]="",#N/A,((Tabela1511[[#This Row],[Real Retail Sales]]*1)/N204)-1)</f>
        <v>-1.8715096345316429E-3</v>
      </c>
      <c r="P205" s="8">
        <f>IF(Tabela1511[[#This Row],[Real Retail Sales]]="",#N/A,((Tabela1511[[#This Row],[Real Retail Sales]]*1)/N193)-1)</f>
        <v>5.3683054236243422E-2</v>
      </c>
      <c r="Q205" s="32">
        <v>137650</v>
      </c>
      <c r="R205" s="8">
        <f>IF(Tabela1511[[#This Row],[Core²-Retail Sales]]="",#N/A,((Tabela1511[[#This Row],[Core²-Retail Sales]]*1)/Q204)-1)</f>
        <v>-1.2407398001755832E-3</v>
      </c>
      <c r="S205" s="8">
        <f>IF(Tabela1511[[#This Row],[Core²-Retail Sales]]="",#N/A,((Tabela1511[[#This Row],[Core²-Retail Sales]]*1)/Q193)-1)</f>
        <v>6.7749542337646185E-2</v>
      </c>
      <c r="T205" s="5">
        <v>91.6</v>
      </c>
      <c r="U205" s="5"/>
      <c r="V205" s="5"/>
      <c r="W205" s="25"/>
      <c r="X205" s="25"/>
      <c r="Y205" s="25"/>
      <c r="Z205" s="25"/>
      <c r="AA205" s="25"/>
      <c r="AB205" s="25"/>
    </row>
    <row r="206" spans="1:28">
      <c r="A206" s="6">
        <v>34669</v>
      </c>
      <c r="B206" s="36"/>
      <c r="C206" s="36"/>
      <c r="D206" s="35"/>
      <c r="E206" s="7">
        <v>71.141300000000001</v>
      </c>
      <c r="F206" s="8">
        <f>IF(Tabela1511[[#This Row],[Industrial Production]]="",#N/A,((Tabela1511[[#This Row],[Industrial Production]]*1)/E205)-1)</f>
        <v>1.0003307934641992E-2</v>
      </c>
      <c r="G206" s="8">
        <f>IF(Tabela1511[[#This Row],[Industrial Production]]="",#N/A,((Tabela1511[[#This Row],[Industrial Production]]*1)/E194)-1)</f>
        <v>6.8826415786010342E-2</v>
      </c>
      <c r="H206" s="32">
        <v>200702</v>
      </c>
      <c r="I206" s="8">
        <f>IF(Tabela1511[[#This Row],[Retail Sales]]="",#N/A,((Tabela1511[[#This Row],[Retail Sales]]*1)/H205)-1)</f>
        <v>4.861538769645124E-3</v>
      </c>
      <c r="J206" s="8">
        <f>IF(Tabela1511[[#This Row],[Retail Sales]]="",#N/A,((Tabela1511[[#This Row],[Retail Sales]]*1)/H194)-1)</f>
        <v>7.673324427706163E-2</v>
      </c>
      <c r="K206" s="32">
        <v>153761</v>
      </c>
      <c r="L206" s="8">
        <f>IF(Tabela1511[[#This Row],[Core-Retail Sales]]="",#N/A,((Tabela1511[[#This Row],[Core-Retail Sales]]*1)/K205)-1)</f>
        <v>8.0837616699884762E-3</v>
      </c>
      <c r="M206" s="8">
        <f>IF(Tabela1511[[#This Row],[Core-Retail Sales]]="",#N/A,((Tabela1511[[#This Row],[Core-Retail Sales]]*1)/K194)-1)</f>
        <v>7.0736683774015763E-2</v>
      </c>
      <c r="N206" s="84">
        <v>133712</v>
      </c>
      <c r="O206" s="8">
        <f>IF(Tabela1511[[#This Row],[Real Retail Sales]]="",#N/A,((Tabela1511[[#This Row],[Real Retail Sales]]*1)/N205)-1)</f>
        <v>2.8500285002850401E-3</v>
      </c>
      <c r="P206" s="8">
        <f>IF(Tabela1511[[#This Row],[Real Retail Sales]]="",#N/A,((Tabela1511[[#This Row],[Real Retail Sales]]*1)/N194)-1)</f>
        <v>4.9470602547700748E-2</v>
      </c>
      <c r="Q206" s="32">
        <v>138876</v>
      </c>
      <c r="R206" s="8">
        <f>IF(Tabela1511[[#This Row],[Core²-Retail Sales]]="",#N/A,((Tabela1511[[#This Row],[Core²-Retail Sales]]*1)/Q205)-1)</f>
        <v>8.9066472938612584E-3</v>
      </c>
      <c r="S206" s="8">
        <f>IF(Tabela1511[[#This Row],[Core²-Retail Sales]]="",#N/A,((Tabela1511[[#This Row],[Core²-Retail Sales]]*1)/Q194)-1)</f>
        <v>6.8474179848587502E-2</v>
      </c>
      <c r="T206" s="5">
        <v>95.1</v>
      </c>
      <c r="U206" s="5"/>
      <c r="V206" s="5"/>
      <c r="W206" s="25"/>
      <c r="X206" s="25"/>
      <c r="Y206" s="25"/>
      <c r="Z206" s="25"/>
      <c r="AA206" s="25"/>
      <c r="AB206" s="25"/>
    </row>
    <row r="207" spans="1:28">
      <c r="A207" s="6">
        <v>34700</v>
      </c>
      <c r="B207" s="36"/>
      <c r="C207" s="36"/>
      <c r="D207" s="35"/>
      <c r="E207" s="7">
        <v>71.276200000000003</v>
      </c>
      <c r="F207" s="8">
        <f>IF(Tabela1511[[#This Row],[Industrial Production]]="",#N/A,((Tabela1511[[#This Row],[Industrial Production]]*1)/E206)-1)</f>
        <v>1.8962262427029142E-3</v>
      </c>
      <c r="G207" s="8">
        <f>IF(Tabela1511[[#This Row],[Industrial Production]]="",#N/A,((Tabela1511[[#This Row],[Industrial Production]]*1)/E195)-1)</f>
        <v>6.745322155028588E-2</v>
      </c>
      <c r="H207" s="32">
        <v>201573</v>
      </c>
      <c r="I207" s="8">
        <f>IF(Tabela1511[[#This Row],[Retail Sales]]="",#N/A,((Tabela1511[[#This Row],[Retail Sales]]*1)/H206)-1)</f>
        <v>4.3397674163685451E-3</v>
      </c>
      <c r="J207" s="8">
        <f>IF(Tabela1511[[#This Row],[Retail Sales]]="",#N/A,((Tabela1511[[#This Row],[Retail Sales]]*1)/H195)-1)</f>
        <v>8.8748096056000314E-2</v>
      </c>
      <c r="K207" s="32">
        <v>154349</v>
      </c>
      <c r="L207" s="8">
        <f>IF(Tabela1511[[#This Row],[Core-Retail Sales]]="",#N/A,((Tabela1511[[#This Row],[Core-Retail Sales]]*1)/K206)-1)</f>
        <v>3.824116648565079E-3</v>
      </c>
      <c r="M207" s="8">
        <f>IF(Tabela1511[[#This Row],[Core-Retail Sales]]="",#N/A,((Tabela1511[[#This Row],[Core-Retail Sales]]*1)/K195)-1)</f>
        <v>8.3287713535744823E-2</v>
      </c>
      <c r="N207" s="84">
        <v>133936</v>
      </c>
      <c r="O207" s="8">
        <f>IF(Tabela1511[[#This Row],[Real Retail Sales]]="",#N/A,((Tabela1511[[#This Row],[Real Retail Sales]]*1)/N206)-1)</f>
        <v>1.6752423118344684E-3</v>
      </c>
      <c r="P207" s="8">
        <f>IF(Tabela1511[[#This Row],[Real Retail Sales]]="",#N/A,((Tabela1511[[#This Row],[Real Retail Sales]]*1)/N195)-1)</f>
        <v>5.8364282892137576E-2</v>
      </c>
      <c r="Q207" s="32">
        <v>139434</v>
      </c>
      <c r="R207" s="8">
        <f>IF(Tabela1511[[#This Row],[Core²-Retail Sales]]="",#N/A,((Tabela1511[[#This Row],[Core²-Retail Sales]]*1)/Q206)-1)</f>
        <v>4.0179728678821913E-3</v>
      </c>
      <c r="S207" s="8">
        <f>IF(Tabela1511[[#This Row],[Core²-Retail Sales]]="",#N/A,((Tabela1511[[#This Row],[Core²-Retail Sales]]*1)/Q195)-1)</f>
        <v>8.2343626286619065E-2</v>
      </c>
      <c r="T207" s="5">
        <v>97.6</v>
      </c>
      <c r="U207" s="5"/>
      <c r="V207" s="5"/>
      <c r="W207" s="25"/>
      <c r="X207" s="25"/>
      <c r="Y207" s="25"/>
      <c r="Z207" s="25"/>
      <c r="AA207" s="25"/>
      <c r="AB207" s="25"/>
    </row>
    <row r="208" spans="1:28">
      <c r="A208" s="6">
        <v>34731</v>
      </c>
      <c r="B208" s="36"/>
      <c r="C208" s="36"/>
      <c r="D208" s="35"/>
      <c r="E208" s="7">
        <v>71.190399999999997</v>
      </c>
      <c r="F208" s="8">
        <f>IF(Tabela1511[[#This Row],[Industrial Production]]="",#N/A,((Tabela1511[[#This Row],[Industrial Production]]*1)/E207)-1)</f>
        <v>-1.2037678776366523E-3</v>
      </c>
      <c r="G208" s="8">
        <f>IF(Tabela1511[[#This Row],[Industrial Production]]="",#N/A,((Tabela1511[[#This Row],[Industrial Production]]*1)/E196)-1)</f>
        <v>6.561607501032829E-2</v>
      </c>
      <c r="H208" s="32">
        <v>198399</v>
      </c>
      <c r="I208" s="8">
        <f>IF(Tabela1511[[#This Row],[Retail Sales]]="",#N/A,((Tabela1511[[#This Row],[Retail Sales]]*1)/H207)-1)</f>
        <v>-1.5746156479290341E-2</v>
      </c>
      <c r="J208" s="8">
        <f>IF(Tabela1511[[#This Row],[Retail Sales]]="",#N/A,((Tabela1511[[#This Row],[Retail Sales]]*1)/H196)-1)</f>
        <v>5.4898603741080576E-2</v>
      </c>
      <c r="K208" s="32">
        <v>152497</v>
      </c>
      <c r="L208" s="8">
        <f>IF(Tabela1511[[#This Row],[Core-Retail Sales]]="",#N/A,((Tabela1511[[#This Row],[Core-Retail Sales]]*1)/K207)-1)</f>
        <v>-1.199878198109483E-2</v>
      </c>
      <c r="M208" s="8">
        <f>IF(Tabela1511[[#This Row],[Core-Retail Sales]]="",#N/A,((Tabela1511[[#This Row],[Core-Retail Sales]]*1)/K196)-1)</f>
        <v>5.6153862136312238E-2</v>
      </c>
      <c r="N208" s="84">
        <v>131477</v>
      </c>
      <c r="O208" s="8">
        <f>IF(Tabela1511[[#This Row],[Real Retail Sales]]="",#N/A,((Tabela1511[[#This Row],[Real Retail Sales]]*1)/N207)-1)</f>
        <v>-1.8359514992235093E-2</v>
      </c>
      <c r="P208" s="8">
        <f>IF(Tabela1511[[#This Row],[Real Retail Sales]]="",#N/A,((Tabela1511[[#This Row],[Real Retail Sales]]*1)/N196)-1)</f>
        <v>2.5537623924557051E-2</v>
      </c>
      <c r="Q208" s="32">
        <v>137534</v>
      </c>
      <c r="R208" s="8">
        <f>IF(Tabela1511[[#This Row],[Core²-Retail Sales]]="",#N/A,((Tabela1511[[#This Row],[Core²-Retail Sales]]*1)/Q207)-1)</f>
        <v>-1.3626518639643148E-2</v>
      </c>
      <c r="S208" s="8">
        <f>IF(Tabela1511[[#This Row],[Core²-Retail Sales]]="",#N/A,((Tabela1511[[#This Row],[Core²-Retail Sales]]*1)/Q196)-1)</f>
        <v>5.3787333159660999E-2</v>
      </c>
      <c r="T208" s="5">
        <v>95.1</v>
      </c>
      <c r="U208" s="5"/>
      <c r="V208" s="5"/>
      <c r="W208" s="25"/>
      <c r="X208" s="25"/>
      <c r="Y208" s="25"/>
      <c r="Z208" s="25"/>
      <c r="AA208" s="25"/>
      <c r="AB208" s="25"/>
    </row>
    <row r="209" spans="1:28">
      <c r="A209" s="6">
        <v>34759</v>
      </c>
      <c r="B209" s="36"/>
      <c r="C209" s="36"/>
      <c r="D209" s="35"/>
      <c r="E209" s="7">
        <v>71.289100000000005</v>
      </c>
      <c r="F209" s="8">
        <f>IF(Tabela1511[[#This Row],[Industrial Production]]="",#N/A,((Tabela1511[[#This Row],[Industrial Production]]*1)/E208)-1)</f>
        <v>1.3864228884794549E-3</v>
      </c>
      <c r="G209" s="8">
        <f>IF(Tabela1511[[#This Row],[Industrial Production]]="",#N/A,((Tabela1511[[#This Row],[Industrial Production]]*1)/E197)-1)</f>
        <v>5.6397740474666502E-2</v>
      </c>
      <c r="H209" s="32">
        <v>200247</v>
      </c>
      <c r="I209" s="8">
        <f>IF(Tabela1511[[#This Row],[Retail Sales]]="",#N/A,((Tabela1511[[#This Row],[Retail Sales]]*1)/H208)-1)</f>
        <v>9.3145630774349453E-3</v>
      </c>
      <c r="J209" s="8">
        <f>IF(Tabela1511[[#This Row],[Retail Sales]]="",#N/A,((Tabela1511[[#This Row],[Retail Sales]]*1)/H197)-1)</f>
        <v>4.524504251509831E-2</v>
      </c>
      <c r="K209" s="32">
        <v>153566</v>
      </c>
      <c r="L209" s="8">
        <f>IF(Tabela1511[[#This Row],[Core-Retail Sales]]="",#N/A,((Tabela1511[[#This Row],[Core-Retail Sales]]*1)/K208)-1)</f>
        <v>7.0099739667008887E-3</v>
      </c>
      <c r="M209" s="8">
        <f>IF(Tabela1511[[#This Row],[Core-Retail Sales]]="",#N/A,((Tabela1511[[#This Row],[Core-Retail Sales]]*1)/K197)-1)</f>
        <v>4.3928105286056063E-2</v>
      </c>
      <c r="N209" s="84">
        <v>132438</v>
      </c>
      <c r="O209" s="8">
        <f>IF(Tabela1511[[#This Row],[Real Retail Sales]]="",#N/A,((Tabela1511[[#This Row],[Real Retail Sales]]*1)/N208)-1)</f>
        <v>7.3092632171405381E-3</v>
      </c>
      <c r="P209" s="8">
        <f>IF(Tabela1511[[#This Row],[Real Retail Sales]]="",#N/A,((Tabela1511[[#This Row],[Real Retail Sales]]*1)/N197)-1)</f>
        <v>1.6899959304959467E-2</v>
      </c>
      <c r="Q209" s="32">
        <v>138645</v>
      </c>
      <c r="R209" s="8">
        <f>IF(Tabela1511[[#This Row],[Core²-Retail Sales]]="",#N/A,((Tabela1511[[#This Row],[Core²-Retail Sales]]*1)/Q208)-1)</f>
        <v>8.0780025302833458E-3</v>
      </c>
      <c r="S209" s="8">
        <f>IF(Tabela1511[[#This Row],[Core²-Retail Sales]]="",#N/A,((Tabela1511[[#This Row],[Core²-Retail Sales]]*1)/Q197)-1)</f>
        <v>4.093308206887758E-2</v>
      </c>
      <c r="T209" s="5">
        <v>90.3</v>
      </c>
      <c r="U209" s="5"/>
      <c r="V209" s="5"/>
      <c r="W209" s="25"/>
      <c r="X209" s="25"/>
      <c r="Y209" s="25"/>
      <c r="Z209" s="25"/>
      <c r="AA209" s="25"/>
      <c r="AB209" s="25"/>
    </row>
    <row r="210" spans="1:28">
      <c r="A210" s="6">
        <v>34790</v>
      </c>
      <c r="B210" s="36"/>
      <c r="C210" s="36"/>
      <c r="D210" s="35"/>
      <c r="E210" s="7">
        <v>71.162300000000002</v>
      </c>
      <c r="F210" s="8">
        <f>IF(Tabela1511[[#This Row],[Industrial Production]]="",#N/A,((Tabela1511[[#This Row],[Industrial Production]]*1)/E209)-1)</f>
        <v>-1.7786730369719894E-3</v>
      </c>
      <c r="G210" s="8">
        <f>IF(Tabela1511[[#This Row],[Industrial Production]]="",#N/A,((Tabela1511[[#This Row],[Industrial Production]]*1)/E198)-1)</f>
        <v>4.8399239213225087E-2</v>
      </c>
      <c r="H210" s="32">
        <v>201032</v>
      </c>
      <c r="I210" s="8">
        <f>IF(Tabela1511[[#This Row],[Retail Sales]]="",#N/A,((Tabela1511[[#This Row],[Retail Sales]]*1)/H209)-1)</f>
        <v>3.92015860412398E-3</v>
      </c>
      <c r="J210" s="8">
        <f>IF(Tabela1511[[#This Row],[Retail Sales]]="",#N/A,((Tabela1511[[#This Row],[Retail Sales]]*1)/H198)-1)</f>
        <v>4.90140315906471E-2</v>
      </c>
      <c r="K210" s="32">
        <v>153976</v>
      </c>
      <c r="L210" s="8">
        <f>IF(Tabela1511[[#This Row],[Core-Retail Sales]]="",#N/A,((Tabela1511[[#This Row],[Core-Retail Sales]]*1)/K209)-1)</f>
        <v>2.6698618183711442E-3</v>
      </c>
      <c r="M210" s="8">
        <f>IF(Tabela1511[[#This Row],[Core-Retail Sales]]="",#N/A,((Tabela1511[[#This Row],[Core-Retail Sales]]*1)/K198)-1)</f>
        <v>5.0550260290515681E-2</v>
      </c>
      <c r="N210" s="84">
        <v>132432</v>
      </c>
      <c r="O210" s="8">
        <f>IF(Tabela1511[[#This Row],[Real Retail Sales]]="",#N/A,((Tabela1511[[#This Row],[Real Retail Sales]]*1)/N209)-1)</f>
        <v>-4.5304217822672577E-5</v>
      </c>
      <c r="P210" s="8">
        <f>IF(Tabela1511[[#This Row],[Real Retail Sales]]="",#N/A,((Tabela1511[[#This Row],[Real Retail Sales]]*1)/N198)-1)</f>
        <v>1.7220984714647836E-2</v>
      </c>
      <c r="Q210" s="32">
        <v>138955</v>
      </c>
      <c r="R210" s="8">
        <f>IF(Tabela1511[[#This Row],[Core²-Retail Sales]]="",#N/A,((Tabela1511[[#This Row],[Core²-Retail Sales]]*1)/Q209)-1)</f>
        <v>2.23592628655922E-3</v>
      </c>
      <c r="S210" s="8">
        <f>IF(Tabela1511[[#This Row],[Core²-Retail Sales]]="",#N/A,((Tabela1511[[#This Row],[Core²-Retail Sales]]*1)/Q198)-1)</f>
        <v>4.7136397889977477E-2</v>
      </c>
      <c r="T210" s="5">
        <v>92.5</v>
      </c>
      <c r="U210" s="5"/>
      <c r="V210" s="5"/>
      <c r="W210" s="25"/>
      <c r="X210" s="25"/>
      <c r="Y210" s="25"/>
      <c r="Z210" s="25"/>
      <c r="AA210" s="25"/>
      <c r="AB210" s="25"/>
    </row>
    <row r="211" spans="1:28">
      <c r="A211" s="6">
        <v>34820</v>
      </c>
      <c r="B211" s="36"/>
      <c r="C211" s="36"/>
      <c r="D211" s="35"/>
      <c r="E211" s="7">
        <v>71.504400000000004</v>
      </c>
      <c r="F211" s="8">
        <f>IF(Tabela1511[[#This Row],[Industrial Production]]="",#N/A,((Tabela1511[[#This Row],[Industrial Production]]*1)/E210)-1)</f>
        <v>4.8073207302181675E-3</v>
      </c>
      <c r="G211" s="8">
        <f>IF(Tabela1511[[#This Row],[Industrial Production]]="",#N/A,((Tabela1511[[#This Row],[Industrial Production]]*1)/E199)-1)</f>
        <v>4.8511571776098661E-2</v>
      </c>
      <c r="H211" s="32">
        <v>202986</v>
      </c>
      <c r="I211" s="8">
        <f>IF(Tabela1511[[#This Row],[Retail Sales]]="",#N/A,((Tabela1511[[#This Row],[Retail Sales]]*1)/H210)-1)</f>
        <v>9.7198455967208996E-3</v>
      </c>
      <c r="J211" s="8">
        <f>IF(Tabela1511[[#This Row],[Retail Sales]]="",#N/A,((Tabela1511[[#This Row],[Retail Sales]]*1)/H199)-1)</f>
        <v>6.3149128733717808E-2</v>
      </c>
      <c r="K211" s="32">
        <v>155268</v>
      </c>
      <c r="L211" s="8">
        <f>IF(Tabela1511[[#This Row],[Core-Retail Sales]]="",#N/A,((Tabela1511[[#This Row],[Core-Retail Sales]]*1)/K210)-1)</f>
        <v>8.3909180651529081E-3</v>
      </c>
      <c r="M211" s="8">
        <f>IF(Tabela1511[[#This Row],[Core-Retail Sales]]="",#N/A,((Tabela1511[[#This Row],[Core-Retail Sales]]*1)/K199)-1)</f>
        <v>5.7460617989389062E-2</v>
      </c>
      <c r="N211" s="84">
        <v>133456</v>
      </c>
      <c r="O211" s="8">
        <f>IF(Tabela1511[[#This Row],[Real Retail Sales]]="",#N/A,((Tabela1511[[#This Row],[Real Retail Sales]]*1)/N210)-1)</f>
        <v>7.7322701461881582E-3</v>
      </c>
      <c r="P211" s="8">
        <f>IF(Tabela1511[[#This Row],[Real Retail Sales]]="",#N/A,((Tabela1511[[#This Row],[Real Retail Sales]]*1)/N199)-1)</f>
        <v>3.1002062683961329E-2</v>
      </c>
      <c r="Q211" s="32">
        <v>140053</v>
      </c>
      <c r="R211" s="8">
        <f>IF(Tabela1511[[#This Row],[Core²-Retail Sales]]="",#N/A,((Tabela1511[[#This Row],[Core²-Retail Sales]]*1)/Q210)-1)</f>
        <v>7.9018387247669075E-3</v>
      </c>
      <c r="S211" s="8">
        <f>IF(Tabela1511[[#This Row],[Core²-Retail Sales]]="",#N/A,((Tabela1511[[#This Row],[Core²-Retail Sales]]*1)/Q199)-1)</f>
        <v>5.2571059237324969E-2</v>
      </c>
      <c r="T211" s="5">
        <v>89.8</v>
      </c>
      <c r="U211" s="5"/>
      <c r="V211" s="5"/>
      <c r="W211" s="25"/>
      <c r="X211" s="25"/>
      <c r="Y211" s="25"/>
      <c r="Z211" s="25"/>
      <c r="AA211" s="25"/>
      <c r="AB211" s="25"/>
    </row>
    <row r="212" spans="1:28">
      <c r="A212" s="6">
        <v>34851</v>
      </c>
      <c r="B212" s="36"/>
      <c r="C212" s="36"/>
      <c r="D212" s="35"/>
      <c r="E212" s="7">
        <v>71.742999999999995</v>
      </c>
      <c r="F212" s="8">
        <f>IF(Tabela1511[[#This Row],[Industrial Production]]="",#N/A,((Tabela1511[[#This Row],[Industrial Production]]*1)/E211)-1)</f>
        <v>3.3368575919803245E-3</v>
      </c>
      <c r="G212" s="8">
        <f>IF(Tabela1511[[#This Row],[Industrial Production]]="",#N/A,((Tabela1511[[#This Row],[Industrial Production]]*1)/E200)-1)</f>
        <v>4.5015046771717193E-2</v>
      </c>
      <c r="H212" s="32">
        <v>205500</v>
      </c>
      <c r="I212" s="8">
        <f>IF(Tabela1511[[#This Row],[Retail Sales]]="",#N/A,((Tabela1511[[#This Row],[Retail Sales]]*1)/H211)-1)</f>
        <v>1.2385090597381021E-2</v>
      </c>
      <c r="J212" s="8">
        <f>IF(Tabela1511[[#This Row],[Retail Sales]]="",#N/A,((Tabela1511[[#This Row],[Retail Sales]]*1)/H200)-1)</f>
        <v>6.4050121679697591E-2</v>
      </c>
      <c r="K212" s="32">
        <v>155848</v>
      </c>
      <c r="L212" s="8">
        <f>IF(Tabela1511[[#This Row],[Core-Retail Sales]]="",#N/A,((Tabela1511[[#This Row],[Core-Retail Sales]]*1)/K211)-1)</f>
        <v>3.7354767241157827E-3</v>
      </c>
      <c r="M212" s="8">
        <f>IF(Tabela1511[[#This Row],[Core-Retail Sales]]="",#N/A,((Tabela1511[[#This Row],[Core-Retail Sales]]*1)/K200)-1)</f>
        <v>4.8852876054082062E-2</v>
      </c>
      <c r="N212" s="84">
        <v>134843</v>
      </c>
      <c r="O212" s="8">
        <f>IF(Tabela1511[[#This Row],[Real Retail Sales]]="",#N/A,((Tabela1511[[#This Row],[Real Retail Sales]]*1)/N211)-1)</f>
        <v>1.0392938496583071E-2</v>
      </c>
      <c r="P212" s="8">
        <f>IF(Tabela1511[[#This Row],[Real Retail Sales]]="",#N/A,((Tabela1511[[#This Row],[Real Retail Sales]]*1)/N200)-1)</f>
        <v>3.2638745299852223E-2</v>
      </c>
      <c r="Q212" s="32">
        <v>140515</v>
      </c>
      <c r="R212" s="8">
        <f>IF(Tabela1511[[#This Row],[Core²-Retail Sales]]="",#N/A,((Tabela1511[[#This Row],[Core²-Retail Sales]]*1)/Q211)-1)</f>
        <v>3.2987511870505859E-3</v>
      </c>
      <c r="S212" s="8">
        <f>IF(Tabela1511[[#This Row],[Core²-Retail Sales]]="",#N/A,((Tabela1511[[#This Row],[Core²-Retail Sales]]*1)/Q200)-1)</f>
        <v>4.4488218241284461E-2</v>
      </c>
      <c r="T212" s="5">
        <v>92.7</v>
      </c>
      <c r="U212" s="5"/>
      <c r="V212" s="5"/>
      <c r="W212" s="25"/>
      <c r="X212" s="25"/>
      <c r="Y212" s="25"/>
      <c r="Z212" s="25"/>
      <c r="AA212" s="25"/>
      <c r="AB212" s="25"/>
    </row>
    <row r="213" spans="1:28">
      <c r="A213" s="6">
        <v>34881</v>
      </c>
      <c r="B213" s="36"/>
      <c r="C213" s="36"/>
      <c r="D213" s="35"/>
      <c r="E213" s="7">
        <v>71.445899999999995</v>
      </c>
      <c r="F213" s="8">
        <f>IF(Tabela1511[[#This Row],[Industrial Production]]="",#N/A,((Tabela1511[[#This Row],[Industrial Production]]*1)/E212)-1)</f>
        <v>-4.1411705671633436E-3</v>
      </c>
      <c r="G213" s="8">
        <f>IF(Tabela1511[[#This Row],[Industrial Production]]="",#N/A,((Tabela1511[[#This Row],[Industrial Production]]*1)/E201)-1)</f>
        <v>3.9435341083839059E-2</v>
      </c>
      <c r="H213" s="32">
        <v>204920</v>
      </c>
      <c r="I213" s="8">
        <f>IF(Tabela1511[[#This Row],[Retail Sales]]="",#N/A,((Tabela1511[[#This Row],[Retail Sales]]*1)/H212)-1)</f>
        <v>-2.8223844282238009E-3</v>
      </c>
      <c r="J213" s="8">
        <f>IF(Tabela1511[[#This Row],[Retail Sales]]="",#N/A,((Tabela1511[[#This Row],[Retail Sales]]*1)/H201)-1)</f>
        <v>5.7689826213076056E-2</v>
      </c>
      <c r="K213" s="32">
        <v>156088</v>
      </c>
      <c r="L213" s="8">
        <f>IF(Tabela1511[[#This Row],[Core-Retail Sales]]="",#N/A,((Tabela1511[[#This Row],[Core-Retail Sales]]*1)/K212)-1)</f>
        <v>1.539962014270424E-3</v>
      </c>
      <c r="M213" s="8">
        <f>IF(Tabela1511[[#This Row],[Core-Retail Sales]]="",#N/A,((Tabela1511[[#This Row],[Core-Retail Sales]]*1)/K201)-1)</f>
        <v>4.5703643160532215E-2</v>
      </c>
      <c r="N213" s="84">
        <v>134286</v>
      </c>
      <c r="O213" s="8">
        <f>IF(Tabela1511[[#This Row],[Real Retail Sales]]="",#N/A,((Tabela1511[[#This Row],[Real Retail Sales]]*1)/N212)-1)</f>
        <v>-4.1307298117069235E-3</v>
      </c>
      <c r="P213" s="8">
        <f>IF(Tabela1511[[#This Row],[Real Retail Sales]]="",#N/A,((Tabela1511[[#This Row],[Real Retail Sales]]*1)/N201)-1)</f>
        <v>2.8577993948910363E-2</v>
      </c>
      <c r="Q213" s="32">
        <v>140839</v>
      </c>
      <c r="R213" s="8">
        <f>IF(Tabela1511[[#This Row],[Core²-Retail Sales]]="",#N/A,((Tabela1511[[#This Row],[Core²-Retail Sales]]*1)/Q212)-1)</f>
        <v>2.3058036508558644E-3</v>
      </c>
      <c r="S213" s="8">
        <f>IF(Tabela1511[[#This Row],[Core²-Retail Sales]]="",#N/A,((Tabela1511[[#This Row],[Core²-Retail Sales]]*1)/Q201)-1)</f>
        <v>4.3684787763813127E-2</v>
      </c>
      <c r="T213" s="5">
        <v>94.4</v>
      </c>
      <c r="U213" s="5"/>
      <c r="V213" s="5"/>
      <c r="W213" s="25"/>
      <c r="X213" s="25"/>
      <c r="Y213" s="25"/>
      <c r="Z213" s="25"/>
      <c r="AA213" s="25"/>
      <c r="AB213" s="25"/>
    </row>
    <row r="214" spans="1:28">
      <c r="A214" s="6">
        <v>34912</v>
      </c>
      <c r="B214" s="36"/>
      <c r="C214" s="36"/>
      <c r="D214" s="35"/>
      <c r="E214" s="7">
        <v>72.38</v>
      </c>
      <c r="F214" s="8">
        <f>IF(Tabela1511[[#This Row],[Industrial Production]]="",#N/A,((Tabela1511[[#This Row],[Industrial Production]]*1)/E213)-1)</f>
        <v>1.3074228192240467E-2</v>
      </c>
      <c r="G214" s="8">
        <f>IF(Tabela1511[[#This Row],[Industrial Production]]="",#N/A,((Tabela1511[[#This Row],[Industrial Production]]*1)/E202)-1)</f>
        <v>4.6023290565557762E-2</v>
      </c>
      <c r="H214" s="32">
        <v>206521</v>
      </c>
      <c r="I214" s="8">
        <f>IF(Tabela1511[[#This Row],[Retail Sales]]="",#N/A,((Tabela1511[[#This Row],[Retail Sales]]*1)/H213)-1)</f>
        <v>7.8128049970720426E-3</v>
      </c>
      <c r="J214" s="8">
        <f>IF(Tabela1511[[#This Row],[Retail Sales]]="",#N/A,((Tabela1511[[#This Row],[Retail Sales]]*1)/H202)-1)</f>
        <v>5.2803026054862645E-2</v>
      </c>
      <c r="K214" s="32">
        <v>156773</v>
      </c>
      <c r="L214" s="8">
        <f>IF(Tabela1511[[#This Row],[Core-Retail Sales]]="",#N/A,((Tabela1511[[#This Row],[Core-Retail Sales]]*1)/K213)-1)</f>
        <v>4.3885500486904316E-3</v>
      </c>
      <c r="M214" s="8">
        <f>IF(Tabela1511[[#This Row],[Core-Retail Sales]]="",#N/A,((Tabela1511[[#This Row],[Core-Retail Sales]]*1)/K202)-1)</f>
        <v>3.8706428765462375E-2</v>
      </c>
      <c r="N214" s="84">
        <v>135069</v>
      </c>
      <c r="O214" s="8">
        <f>IF(Tabela1511[[#This Row],[Real Retail Sales]]="",#N/A,((Tabela1511[[#This Row],[Real Retail Sales]]*1)/N213)-1)</f>
        <v>5.830838657790105E-3</v>
      </c>
      <c r="P214" s="8">
        <f>IF(Tabela1511[[#This Row],[Real Retail Sales]]="",#N/A,((Tabela1511[[#This Row],[Real Retail Sales]]*1)/N202)-1)</f>
        <v>2.5946997030071417E-2</v>
      </c>
      <c r="Q214" s="32">
        <v>141546</v>
      </c>
      <c r="R214" s="8">
        <f>IF(Tabela1511[[#This Row],[Core²-Retail Sales]]="",#N/A,((Tabela1511[[#This Row],[Core²-Retail Sales]]*1)/Q213)-1)</f>
        <v>5.019916358395049E-3</v>
      </c>
      <c r="S214" s="8">
        <f>IF(Tabela1511[[#This Row],[Core²-Retail Sales]]="",#N/A,((Tabela1511[[#This Row],[Core²-Retail Sales]]*1)/Q202)-1)</f>
        <v>3.8900224593749533E-2</v>
      </c>
      <c r="T214" s="5">
        <v>96.2</v>
      </c>
      <c r="U214" s="5"/>
      <c r="V214" s="5"/>
      <c r="W214" s="25"/>
      <c r="X214" s="25"/>
      <c r="Y214" s="25"/>
      <c r="Z214" s="25"/>
      <c r="AA214" s="25"/>
      <c r="AB214" s="25"/>
    </row>
    <row r="215" spans="1:28">
      <c r="A215" s="6">
        <v>34943</v>
      </c>
      <c r="B215" s="36"/>
      <c r="C215" s="36"/>
      <c r="D215" s="35"/>
      <c r="E215" s="7">
        <v>72.6601</v>
      </c>
      <c r="F215" s="8">
        <f>IF(Tabela1511[[#This Row],[Industrial Production]]="",#N/A,((Tabela1511[[#This Row],[Industrial Production]]*1)/E214)-1)</f>
        <v>3.8698535507046827E-3</v>
      </c>
      <c r="G215" s="8">
        <f>IF(Tabela1511[[#This Row],[Industrial Production]]="",#N/A,((Tabela1511[[#This Row],[Industrial Production]]*1)/E203)-1)</f>
        <v>4.694985857695122E-2</v>
      </c>
      <c r="H215" s="32">
        <v>207006</v>
      </c>
      <c r="I215" s="8">
        <f>IF(Tabela1511[[#This Row],[Retail Sales]]="",#N/A,((Tabela1511[[#This Row],[Retail Sales]]*1)/H214)-1)</f>
        <v>2.3484294575371045E-3</v>
      </c>
      <c r="J215" s="8">
        <f>IF(Tabela1511[[#This Row],[Retail Sales]]="",#N/A,((Tabela1511[[#This Row],[Retail Sales]]*1)/H203)-1)</f>
        <v>4.6727176193967601E-2</v>
      </c>
      <c r="K215" s="32">
        <v>157818</v>
      </c>
      <c r="L215" s="8">
        <f>IF(Tabela1511[[#This Row],[Core-Retail Sales]]="",#N/A,((Tabela1511[[#This Row],[Core-Retail Sales]]*1)/K214)-1)</f>
        <v>6.6656886070943777E-3</v>
      </c>
      <c r="M215" s="8">
        <f>IF(Tabela1511[[#This Row],[Core-Retail Sales]]="",#N/A,((Tabela1511[[#This Row],[Core-Retail Sales]]*1)/K203)-1)</f>
        <v>4.2039999735888234E-2</v>
      </c>
      <c r="N215" s="84">
        <v>135210</v>
      </c>
      <c r="O215" s="8">
        <f>IF(Tabela1511[[#This Row],[Real Retail Sales]]="",#N/A,((Tabela1511[[#This Row],[Real Retail Sales]]*1)/N214)-1)</f>
        <v>1.0439108899895633E-3</v>
      </c>
      <c r="P215" s="8">
        <f>IF(Tabela1511[[#This Row],[Real Retail Sales]]="",#N/A,((Tabela1511[[#This Row],[Real Retail Sales]]*1)/N203)-1)</f>
        <v>2.075327832343099E-2</v>
      </c>
      <c r="Q215" s="32">
        <v>142624</v>
      </c>
      <c r="R215" s="8">
        <f>IF(Tabela1511[[#This Row],[Core²-Retail Sales]]="",#N/A,((Tabela1511[[#This Row],[Core²-Retail Sales]]*1)/Q214)-1)</f>
        <v>7.6158987184378191E-3</v>
      </c>
      <c r="S215" s="8">
        <f>IF(Tabela1511[[#This Row],[Core²-Retail Sales]]="",#N/A,((Tabela1511[[#This Row],[Core²-Retail Sales]]*1)/Q203)-1)</f>
        <v>4.2557857341267047E-2</v>
      </c>
      <c r="T215" s="5">
        <v>88.9</v>
      </c>
      <c r="U215" s="5"/>
      <c r="V215" s="5"/>
      <c r="W215" s="25"/>
      <c r="X215" s="25"/>
      <c r="Y215" s="25"/>
      <c r="Z215" s="25"/>
      <c r="AA215" s="25"/>
      <c r="AB215" s="25"/>
    </row>
    <row r="216" spans="1:28">
      <c r="A216" s="6">
        <v>34973</v>
      </c>
      <c r="B216" s="36"/>
      <c r="C216" s="36"/>
      <c r="D216" s="35"/>
      <c r="E216" s="7">
        <v>72.5428</v>
      </c>
      <c r="F216" s="8">
        <f>IF(Tabela1511[[#This Row],[Industrial Production]]="",#N/A,((Tabela1511[[#This Row],[Industrial Production]]*1)/E215)-1)</f>
        <v>-1.6143660688603401E-3</v>
      </c>
      <c r="G216" s="8">
        <f>IF(Tabela1511[[#This Row],[Industrial Production]]="",#N/A,((Tabela1511[[#This Row],[Industrial Production]]*1)/E204)-1)</f>
        <v>3.6784861867398488E-2</v>
      </c>
      <c r="H216" s="32">
        <v>206176</v>
      </c>
      <c r="I216" s="8">
        <f>IF(Tabela1511[[#This Row],[Retail Sales]]="",#N/A,((Tabela1511[[#This Row],[Retail Sales]]*1)/H215)-1)</f>
        <v>-4.0095456170352595E-3</v>
      </c>
      <c r="J216" s="8">
        <f>IF(Tabela1511[[#This Row],[Retail Sales]]="",#N/A,((Tabela1511[[#This Row],[Retail Sales]]*1)/H204)-1)</f>
        <v>3.3095990900481542E-2</v>
      </c>
      <c r="K216" s="32">
        <v>156905</v>
      </c>
      <c r="L216" s="8">
        <f>IF(Tabela1511[[#This Row],[Core-Retail Sales]]="",#N/A,((Tabela1511[[#This Row],[Core-Retail Sales]]*1)/K215)-1)</f>
        <v>-5.7851449137614752E-3</v>
      </c>
      <c r="M216" s="8">
        <f>IF(Tabela1511[[#This Row],[Core-Retail Sales]]="",#N/A,((Tabela1511[[#This Row],[Core-Retail Sales]]*1)/K204)-1)</f>
        <v>2.8682882055989012E-2</v>
      </c>
      <c r="N216" s="84">
        <v>134317</v>
      </c>
      <c r="O216" s="8">
        <f>IF(Tabela1511[[#This Row],[Real Retail Sales]]="",#N/A,((Tabela1511[[#This Row],[Real Retail Sales]]*1)/N215)-1)</f>
        <v>-6.604541084239357E-3</v>
      </c>
      <c r="P216" s="8">
        <f>IF(Tabela1511[[#This Row],[Real Retail Sales]]="",#N/A,((Tabela1511[[#This Row],[Real Retail Sales]]*1)/N204)-1)</f>
        <v>5.5022383255229901E-3</v>
      </c>
      <c r="Q216" s="32">
        <v>141898</v>
      </c>
      <c r="R216" s="8">
        <f>IF(Tabela1511[[#This Row],[Core²-Retail Sales]]="",#N/A,((Tabela1511[[#This Row],[Core²-Retail Sales]]*1)/Q215)-1)</f>
        <v>-5.0903073816468414E-3</v>
      </c>
      <c r="S216" s="8">
        <f>IF(Tabela1511[[#This Row],[Core²-Retail Sales]]="",#N/A,((Tabela1511[[#This Row],[Core²-Retail Sales]]*1)/Q204)-1)</f>
        <v>2.958184891997595E-2</v>
      </c>
      <c r="T216" s="5">
        <v>90.2</v>
      </c>
      <c r="U216" s="5"/>
      <c r="V216" s="5"/>
      <c r="W216" s="25"/>
      <c r="X216" s="25"/>
      <c r="Y216" s="25"/>
      <c r="Z216" s="25"/>
      <c r="AA216" s="25"/>
      <c r="AB216" s="25"/>
    </row>
    <row r="217" spans="1:28">
      <c r="A217" s="6">
        <v>35004</v>
      </c>
      <c r="B217" s="36"/>
      <c r="C217" s="36"/>
      <c r="D217" s="35"/>
      <c r="E217" s="7">
        <v>72.717799999999997</v>
      </c>
      <c r="F217" s="8">
        <f>IF(Tabela1511[[#This Row],[Industrial Production]]="",#N/A,((Tabela1511[[#This Row],[Industrial Production]]*1)/E216)-1)</f>
        <v>2.4123689739021792E-3</v>
      </c>
      <c r="G217" s="8">
        <f>IF(Tabela1511[[#This Row],[Industrial Production]]="",#N/A,((Tabela1511[[#This Row],[Industrial Production]]*1)/E205)-1)</f>
        <v>3.2385106059767077E-2</v>
      </c>
      <c r="H217" s="32">
        <v>208664</v>
      </c>
      <c r="I217" s="8">
        <f>IF(Tabela1511[[#This Row],[Retail Sales]]="",#N/A,((Tabela1511[[#This Row],[Retail Sales]]*1)/H216)-1)</f>
        <v>1.2067359925500565E-2</v>
      </c>
      <c r="J217" s="8">
        <f>IF(Tabela1511[[#This Row],[Retail Sales]]="",#N/A,((Tabela1511[[#This Row],[Retail Sales]]*1)/H205)-1)</f>
        <v>4.4725155333924071E-2</v>
      </c>
      <c r="K217" s="32">
        <v>158801</v>
      </c>
      <c r="L217" s="8">
        <f>IF(Tabela1511[[#This Row],[Core-Retail Sales]]="",#N/A,((Tabela1511[[#This Row],[Core-Retail Sales]]*1)/K216)-1)</f>
        <v>1.2083744941206565E-2</v>
      </c>
      <c r="M217" s="8">
        <f>IF(Tabela1511[[#This Row],[Core-Retail Sales]]="",#N/A,((Tabela1511[[#This Row],[Core-Retail Sales]]*1)/K205)-1)</f>
        <v>4.1126875065561785E-2</v>
      </c>
      <c r="N217" s="84">
        <v>135761</v>
      </c>
      <c r="O217" s="8">
        <f>IF(Tabela1511[[#This Row],[Real Retail Sales]]="",#N/A,((Tabela1511[[#This Row],[Real Retail Sales]]*1)/N216)-1)</f>
        <v>1.075068680807334E-2</v>
      </c>
      <c r="P217" s="8">
        <f>IF(Tabela1511[[#This Row],[Real Retail Sales]]="",#N/A,((Tabela1511[[#This Row],[Real Retail Sales]]*1)/N205)-1)</f>
        <v>1.8217682176821848E-2</v>
      </c>
      <c r="Q217" s="32">
        <v>143820</v>
      </c>
      <c r="R217" s="8">
        <f>IF(Tabela1511[[#This Row],[Core²-Retail Sales]]="",#N/A,((Tabela1511[[#This Row],[Core²-Retail Sales]]*1)/Q216)-1)</f>
        <v>1.3544940732075128E-2</v>
      </c>
      <c r="S217" s="8">
        <f>IF(Tabela1511[[#This Row],[Core²-Retail Sales]]="",#N/A,((Tabela1511[[#This Row],[Core²-Retail Sales]]*1)/Q205)-1)</f>
        <v>4.4823828550671907E-2</v>
      </c>
      <c r="T217" s="5">
        <v>88.2</v>
      </c>
      <c r="U217" s="5"/>
      <c r="V217" s="5"/>
      <c r="W217" s="25"/>
      <c r="X217" s="25"/>
      <c r="Y217" s="25"/>
      <c r="Z217" s="25"/>
      <c r="AA217" s="25"/>
      <c r="AB217" s="25"/>
    </row>
    <row r="218" spans="1:28">
      <c r="A218" s="6">
        <v>35034</v>
      </c>
      <c r="B218" s="36"/>
      <c r="C218" s="36"/>
      <c r="D218" s="35"/>
      <c r="E218" s="7">
        <v>72.967200000000005</v>
      </c>
      <c r="F218" s="8">
        <f>IF(Tabela1511[[#This Row],[Industrial Production]]="",#N/A,((Tabela1511[[#This Row],[Industrial Production]]*1)/E217)-1)</f>
        <v>3.4296967179976434E-3</v>
      </c>
      <c r="G218" s="8">
        <f>IF(Tabela1511[[#This Row],[Industrial Production]]="",#N/A,((Tabela1511[[#This Row],[Industrial Production]]*1)/E206)-1)</f>
        <v>2.566582280616192E-2</v>
      </c>
      <c r="H218" s="32">
        <v>210399</v>
      </c>
      <c r="I218" s="8">
        <f>IF(Tabela1511[[#This Row],[Retail Sales]]="",#N/A,((Tabela1511[[#This Row],[Retail Sales]]*1)/H217)-1)</f>
        <v>8.3148027450830053E-3</v>
      </c>
      <c r="J218" s="8">
        <f>IF(Tabela1511[[#This Row],[Retail Sales]]="",#N/A,((Tabela1511[[#This Row],[Retail Sales]]*1)/H206)-1)</f>
        <v>4.8315412900718391E-2</v>
      </c>
      <c r="K218" s="32">
        <v>160236</v>
      </c>
      <c r="L218" s="8">
        <f>IF(Tabela1511[[#This Row],[Core-Retail Sales]]="",#N/A,((Tabela1511[[#This Row],[Core-Retail Sales]]*1)/K217)-1)</f>
        <v>9.0364670247669032E-3</v>
      </c>
      <c r="M218" s="8">
        <f>IF(Tabela1511[[#This Row],[Core-Retail Sales]]="",#N/A,((Tabela1511[[#This Row],[Core-Retail Sales]]*1)/K206)-1)</f>
        <v>4.2110808332411986E-2</v>
      </c>
      <c r="N218" s="84">
        <v>136712</v>
      </c>
      <c r="O218" s="8">
        <f>IF(Tabela1511[[#This Row],[Real Retail Sales]]="",#N/A,((Tabela1511[[#This Row],[Real Retail Sales]]*1)/N217)-1)</f>
        <v>7.0049572410337824E-3</v>
      </c>
      <c r="P218" s="8">
        <f>IF(Tabela1511[[#This Row],[Real Retail Sales]]="",#N/A,((Tabela1511[[#This Row],[Real Retail Sales]]*1)/N206)-1)</f>
        <v>2.2436280962067734E-2</v>
      </c>
      <c r="Q218" s="32">
        <v>144990</v>
      </c>
      <c r="R218" s="8">
        <f>IF(Tabela1511[[#This Row],[Core²-Retail Sales]]="",#N/A,((Tabela1511[[#This Row],[Core²-Retail Sales]]*1)/Q217)-1)</f>
        <v>8.1351689612014777E-3</v>
      </c>
      <c r="S218" s="8">
        <f>IF(Tabela1511[[#This Row],[Core²-Retail Sales]]="",#N/A,((Tabela1511[[#This Row],[Core²-Retail Sales]]*1)/Q206)-1)</f>
        <v>4.4024885509375222E-2</v>
      </c>
      <c r="T218" s="5">
        <v>91</v>
      </c>
      <c r="U218" s="5"/>
      <c r="V218" s="5"/>
      <c r="W218" s="25"/>
      <c r="X218" s="25"/>
      <c r="Y218" s="25"/>
      <c r="Z218" s="25"/>
      <c r="AA218" s="25"/>
      <c r="AB218" s="25"/>
    </row>
    <row r="219" spans="1:28">
      <c r="A219" s="6">
        <v>35065</v>
      </c>
      <c r="B219" s="36"/>
      <c r="C219" s="36"/>
      <c r="D219" s="35"/>
      <c r="E219" s="7">
        <v>72.586600000000004</v>
      </c>
      <c r="F219" s="8">
        <f>IF(Tabela1511[[#This Row],[Industrial Production]]="",#N/A,((Tabela1511[[#This Row],[Industrial Production]]*1)/E218)-1)</f>
        <v>-5.2160422765297199E-3</v>
      </c>
      <c r="G219" s="8">
        <f>IF(Tabela1511[[#This Row],[Industrial Production]]="",#N/A,((Tabela1511[[#This Row],[Industrial Production]]*1)/E207)-1)</f>
        <v>1.8384818494813215E-2</v>
      </c>
      <c r="H219" s="32">
        <v>208699</v>
      </c>
      <c r="I219" s="8">
        <f>IF(Tabela1511[[#This Row],[Retail Sales]]="",#N/A,((Tabela1511[[#This Row],[Retail Sales]]*1)/H218)-1)</f>
        <v>-8.0798863112466757E-3</v>
      </c>
      <c r="J219" s="8">
        <f>IF(Tabela1511[[#This Row],[Retail Sales]]="",#N/A,((Tabela1511[[#This Row],[Retail Sales]]*1)/H207)-1)</f>
        <v>3.5351956859301703E-2</v>
      </c>
      <c r="K219" s="32">
        <v>158350</v>
      </c>
      <c r="L219" s="8">
        <f>IF(Tabela1511[[#This Row],[Core-Retail Sales]]="",#N/A,((Tabela1511[[#This Row],[Core-Retail Sales]]*1)/K218)-1)</f>
        <v>-1.1770139044908756E-2</v>
      </c>
      <c r="M219" s="8">
        <f>IF(Tabela1511[[#This Row],[Core-Retail Sales]]="",#N/A,((Tabela1511[[#This Row],[Core-Retail Sales]]*1)/K207)-1)</f>
        <v>2.5921774679460219E-2</v>
      </c>
      <c r="N219" s="84">
        <v>134906</v>
      </c>
      <c r="O219" s="8">
        <f>IF(Tabela1511[[#This Row],[Real Retail Sales]]="",#N/A,((Tabela1511[[#This Row],[Real Retail Sales]]*1)/N218)-1)</f>
        <v>-1.3210252209023388E-2</v>
      </c>
      <c r="P219" s="8">
        <f>IF(Tabela1511[[#This Row],[Real Retail Sales]]="",#N/A,((Tabela1511[[#This Row],[Real Retail Sales]]*1)/N207)-1)</f>
        <v>7.2422649623700153E-3</v>
      </c>
      <c r="Q219" s="32">
        <v>142871</v>
      </c>
      <c r="R219" s="8">
        <f>IF(Tabela1511[[#This Row],[Core²-Retail Sales]]="",#N/A,((Tabela1511[[#This Row],[Core²-Retail Sales]]*1)/Q218)-1)</f>
        <v>-1.4614801020760071E-2</v>
      </c>
      <c r="S219" s="8">
        <f>IF(Tabela1511[[#This Row],[Core²-Retail Sales]]="",#N/A,((Tabela1511[[#This Row],[Core²-Retail Sales]]*1)/Q207)-1)</f>
        <v>2.4649655033922802E-2</v>
      </c>
      <c r="T219" s="5">
        <v>89.3</v>
      </c>
      <c r="U219" s="5"/>
      <c r="V219" s="5"/>
      <c r="W219" s="25"/>
      <c r="X219" s="25"/>
      <c r="Y219" s="25"/>
      <c r="Z219" s="25"/>
      <c r="AA219" s="25"/>
      <c r="AB219" s="25"/>
    </row>
    <row r="220" spans="1:28">
      <c r="A220" s="6">
        <v>35096</v>
      </c>
      <c r="B220" s="36"/>
      <c r="C220" s="36"/>
      <c r="D220" s="35"/>
      <c r="E220" s="7">
        <v>73.638900000000007</v>
      </c>
      <c r="F220" s="8">
        <f>IF(Tabela1511[[#This Row],[Industrial Production]]="",#N/A,((Tabela1511[[#This Row],[Industrial Production]]*1)/E219)-1)</f>
        <v>1.4497166143613294E-2</v>
      </c>
      <c r="G220" s="8">
        <f>IF(Tabela1511[[#This Row],[Industrial Production]]="",#N/A,((Tabela1511[[#This Row],[Industrial Production]]*1)/E208)-1)</f>
        <v>3.4393682294242112E-2</v>
      </c>
      <c r="H220" s="32">
        <v>212008</v>
      </c>
      <c r="I220" s="8">
        <f>IF(Tabela1511[[#This Row],[Retail Sales]]="",#N/A,((Tabela1511[[#This Row],[Retail Sales]]*1)/H219)-1)</f>
        <v>1.5855370653429013E-2</v>
      </c>
      <c r="J220" s="8">
        <f>IF(Tabela1511[[#This Row],[Retail Sales]]="",#N/A,((Tabela1511[[#This Row],[Retail Sales]]*1)/H208)-1)</f>
        <v>6.8594095736369542E-2</v>
      </c>
      <c r="K220" s="32">
        <v>159720</v>
      </c>
      <c r="L220" s="8">
        <f>IF(Tabela1511[[#This Row],[Core-Retail Sales]]="",#N/A,((Tabela1511[[#This Row],[Core-Retail Sales]]*1)/K219)-1)</f>
        <v>8.6517208714871341E-3</v>
      </c>
      <c r="M220" s="8">
        <f>IF(Tabela1511[[#This Row],[Core-Retail Sales]]="",#N/A,((Tabela1511[[#This Row],[Core-Retail Sales]]*1)/K208)-1)</f>
        <v>4.7364866194089084E-2</v>
      </c>
      <c r="N220" s="84">
        <v>136779</v>
      </c>
      <c r="O220" s="8">
        <f>IF(Tabela1511[[#This Row],[Real Retail Sales]]="",#N/A,((Tabela1511[[#This Row],[Real Retail Sales]]*1)/N219)-1)</f>
        <v>1.3883741271700334E-2</v>
      </c>
      <c r="P220" s="8">
        <f>IF(Tabela1511[[#This Row],[Real Retail Sales]]="",#N/A,((Tabela1511[[#This Row],[Real Retail Sales]]*1)/N208)-1)</f>
        <v>4.0326444929531302E-2</v>
      </c>
      <c r="Q220" s="32">
        <v>144263</v>
      </c>
      <c r="R220" s="8">
        <f>IF(Tabela1511[[#This Row],[Core²-Retail Sales]]="",#N/A,((Tabela1511[[#This Row],[Core²-Retail Sales]]*1)/Q219)-1)</f>
        <v>9.7430549236723341E-3</v>
      </c>
      <c r="S220" s="8">
        <f>IF(Tabela1511[[#This Row],[Core²-Retail Sales]]="",#N/A,((Tabela1511[[#This Row],[Core²-Retail Sales]]*1)/Q208)-1)</f>
        <v>4.8926083732022674E-2</v>
      </c>
      <c r="T220" s="5">
        <v>88.5</v>
      </c>
      <c r="U220" s="5"/>
      <c r="V220" s="5"/>
      <c r="W220" s="25"/>
      <c r="X220" s="25"/>
      <c r="Y220" s="25"/>
      <c r="Z220" s="25"/>
      <c r="AA220" s="25"/>
      <c r="AB220" s="25"/>
    </row>
    <row r="221" spans="1:28">
      <c r="A221" s="6">
        <v>35125</v>
      </c>
      <c r="B221" s="36"/>
      <c r="C221" s="36"/>
      <c r="D221" s="35"/>
      <c r="E221" s="7">
        <v>73.520200000000003</v>
      </c>
      <c r="F221" s="8">
        <f>IF(Tabela1511[[#This Row],[Industrial Production]]="",#N/A,((Tabela1511[[#This Row],[Industrial Production]]*1)/E220)-1)</f>
        <v>-1.611919786960514E-3</v>
      </c>
      <c r="G221" s="8">
        <f>IF(Tabela1511[[#This Row],[Industrial Production]]="",#N/A,((Tabela1511[[#This Row],[Industrial Production]]*1)/E209)-1)</f>
        <v>3.1296509564575858E-2</v>
      </c>
      <c r="H221" s="32">
        <v>213891</v>
      </c>
      <c r="I221" s="8">
        <f>IF(Tabela1511[[#This Row],[Retail Sales]]="",#N/A,((Tabela1511[[#This Row],[Retail Sales]]*1)/H220)-1)</f>
        <v>8.8817403116863147E-3</v>
      </c>
      <c r="J221" s="8">
        <f>IF(Tabela1511[[#This Row],[Retail Sales]]="",#N/A,((Tabela1511[[#This Row],[Retail Sales]]*1)/H209)-1)</f>
        <v>6.8135852222505289E-2</v>
      </c>
      <c r="K221" s="32">
        <v>161543</v>
      </c>
      <c r="L221" s="8">
        <f>IF(Tabela1511[[#This Row],[Core-Retail Sales]]="",#N/A,((Tabela1511[[#This Row],[Core-Retail Sales]]*1)/K220)-1)</f>
        <v>1.141372401702978E-2</v>
      </c>
      <c r="M221" s="8">
        <f>IF(Tabela1511[[#This Row],[Core-Retail Sales]]="",#N/A,((Tabela1511[[#This Row],[Core-Retail Sales]]*1)/K209)-1)</f>
        <v>5.1945092012554817E-2</v>
      </c>
      <c r="N221" s="84">
        <v>137550</v>
      </c>
      <c r="O221" s="8">
        <f>IF(Tabela1511[[#This Row],[Real Retail Sales]]="",#N/A,((Tabela1511[[#This Row],[Real Retail Sales]]*1)/N220)-1)</f>
        <v>5.6368302151645899E-3</v>
      </c>
      <c r="P221" s="8">
        <f>IF(Tabela1511[[#This Row],[Real Retail Sales]]="",#N/A,((Tabela1511[[#This Row],[Real Retail Sales]]*1)/N209)-1)</f>
        <v>3.8599193584922808E-2</v>
      </c>
      <c r="Q221" s="32">
        <v>145592</v>
      </c>
      <c r="R221" s="8">
        <f>IF(Tabela1511[[#This Row],[Core²-Retail Sales]]="",#N/A,((Tabela1511[[#This Row],[Core²-Retail Sales]]*1)/Q220)-1)</f>
        <v>9.212341348786568E-3</v>
      </c>
      <c r="S221" s="8">
        <f>IF(Tabela1511[[#This Row],[Core²-Retail Sales]]="",#N/A,((Tabela1511[[#This Row],[Core²-Retail Sales]]*1)/Q209)-1)</f>
        <v>5.0106386815247594E-2</v>
      </c>
      <c r="T221" s="5">
        <v>93.7</v>
      </c>
      <c r="U221" s="5"/>
      <c r="V221" s="5"/>
      <c r="W221" s="25"/>
      <c r="X221" s="25"/>
      <c r="Y221" s="25"/>
      <c r="Z221" s="25"/>
      <c r="AA221" s="25"/>
      <c r="AB221" s="25"/>
    </row>
    <row r="222" spans="1:28">
      <c r="A222" s="6">
        <v>35156</v>
      </c>
      <c r="B222" s="36"/>
      <c r="C222" s="36"/>
      <c r="D222" s="35"/>
      <c r="E222" s="7">
        <v>74.266400000000004</v>
      </c>
      <c r="F222" s="8">
        <f>IF(Tabela1511[[#This Row],[Industrial Production]]="",#N/A,((Tabela1511[[#This Row],[Industrial Production]]*1)/E221)-1)</f>
        <v>1.0149591540828284E-2</v>
      </c>
      <c r="G222" s="8">
        <f>IF(Tabela1511[[#This Row],[Industrial Production]]="",#N/A,((Tabela1511[[#This Row],[Industrial Production]]*1)/E210)-1)</f>
        <v>4.3620006660830324E-2</v>
      </c>
      <c r="H222" s="32">
        <v>214676</v>
      </c>
      <c r="I222" s="8">
        <f>IF(Tabela1511[[#This Row],[Retail Sales]]="",#N/A,((Tabela1511[[#This Row],[Retail Sales]]*1)/H221)-1)</f>
        <v>3.6700936458289313E-3</v>
      </c>
      <c r="J222" s="8">
        <f>IF(Tabela1511[[#This Row],[Retail Sales]]="",#N/A,((Tabela1511[[#This Row],[Retail Sales]]*1)/H210)-1)</f>
        <v>6.7869791873930607E-2</v>
      </c>
      <c r="K222" s="32">
        <v>163145</v>
      </c>
      <c r="L222" s="8">
        <f>IF(Tabela1511[[#This Row],[Core-Retail Sales]]="",#N/A,((Tabela1511[[#This Row],[Core-Retail Sales]]*1)/K221)-1)</f>
        <v>9.9168642404807716E-3</v>
      </c>
      <c r="M222" s="8">
        <f>IF(Tabela1511[[#This Row],[Core-Retail Sales]]="",#N/A,((Tabela1511[[#This Row],[Core-Retail Sales]]*1)/K210)-1)</f>
        <v>5.9548241284355985E-2</v>
      </c>
      <c r="N222" s="84">
        <v>137525</v>
      </c>
      <c r="O222" s="8">
        <f>IF(Tabela1511[[#This Row],[Real Retail Sales]]="",#N/A,((Tabela1511[[#This Row],[Real Retail Sales]]*1)/N221)-1)</f>
        <v>-1.8175209014903437E-4</v>
      </c>
      <c r="P222" s="8">
        <f>IF(Tabela1511[[#This Row],[Real Retail Sales]]="",#N/A,((Tabela1511[[#This Row],[Real Retail Sales]]*1)/N210)-1)</f>
        <v>3.8457472514195956E-2</v>
      </c>
      <c r="Q222" s="32">
        <v>146893</v>
      </c>
      <c r="R222" s="8">
        <f>IF(Tabela1511[[#This Row],[Core²-Retail Sales]]="",#N/A,((Tabela1511[[#This Row],[Core²-Retail Sales]]*1)/Q221)-1)</f>
        <v>8.9359305456344629E-3</v>
      </c>
      <c r="S222" s="8">
        <f>IF(Tabela1511[[#This Row],[Core²-Retail Sales]]="",#N/A,((Tabela1511[[#This Row],[Core²-Retail Sales]]*1)/Q210)-1)</f>
        <v>5.7126407829872994E-2</v>
      </c>
      <c r="T222" s="5">
        <v>92.7</v>
      </c>
      <c r="U222" s="5"/>
      <c r="V222" s="5"/>
      <c r="W222" s="25"/>
      <c r="X222" s="25"/>
      <c r="Y222" s="25"/>
      <c r="Z222" s="25"/>
      <c r="AA222" s="25"/>
      <c r="AB222" s="25"/>
    </row>
    <row r="223" spans="1:28">
      <c r="A223" s="6">
        <v>35186</v>
      </c>
      <c r="B223" s="36"/>
      <c r="C223" s="36"/>
      <c r="D223" s="35"/>
      <c r="E223" s="7">
        <v>74.814499999999995</v>
      </c>
      <c r="F223" s="8">
        <f>IF(Tabela1511[[#This Row],[Industrial Production]]="",#N/A,((Tabela1511[[#This Row],[Industrial Production]]*1)/E222)-1)</f>
        <v>7.3801880796697805E-3</v>
      </c>
      <c r="G223" s="8">
        <f>IF(Tabela1511[[#This Row],[Industrial Production]]="",#N/A,((Tabela1511[[#This Row],[Industrial Production]]*1)/E211)-1)</f>
        <v>4.6292256140880728E-2</v>
      </c>
      <c r="H223" s="32">
        <v>216299</v>
      </c>
      <c r="I223" s="8">
        <f>IF(Tabela1511[[#This Row],[Retail Sales]]="",#N/A,((Tabela1511[[#This Row],[Retail Sales]]*1)/H222)-1)</f>
        <v>7.5602303005459781E-3</v>
      </c>
      <c r="J223" s="8">
        <f>IF(Tabela1511[[#This Row],[Retail Sales]]="",#N/A,((Tabela1511[[#This Row],[Retail Sales]]*1)/H211)-1)</f>
        <v>6.5585803947070254E-2</v>
      </c>
      <c r="K223" s="32">
        <v>164099</v>
      </c>
      <c r="L223" s="8">
        <f>IF(Tabela1511[[#This Row],[Core-Retail Sales]]="",#N/A,((Tabela1511[[#This Row],[Core-Retail Sales]]*1)/K222)-1)</f>
        <v>5.8475589199791234E-3</v>
      </c>
      <c r="M223" s="8">
        <f>IF(Tabela1511[[#This Row],[Core-Retail Sales]]="",#N/A,((Tabela1511[[#This Row],[Core-Retail Sales]]*1)/K211)-1)</f>
        <v>5.687585336321721E-2</v>
      </c>
      <c r="N223" s="84">
        <v>138299</v>
      </c>
      <c r="O223" s="8">
        <f>IF(Tabela1511[[#This Row],[Real Retail Sales]]="",#N/A,((Tabela1511[[#This Row],[Real Retail Sales]]*1)/N222)-1)</f>
        <v>5.6280676240683114E-3</v>
      </c>
      <c r="P223" s="8">
        <f>IF(Tabela1511[[#This Row],[Real Retail Sales]]="",#N/A,((Tabela1511[[#This Row],[Real Retail Sales]]*1)/N211)-1)</f>
        <v>3.6289114015106039E-2</v>
      </c>
      <c r="Q223" s="32">
        <v>147611</v>
      </c>
      <c r="R223" s="8">
        <f>IF(Tabela1511[[#This Row],[Core²-Retail Sales]]="",#N/A,((Tabela1511[[#This Row],[Core²-Retail Sales]]*1)/Q222)-1)</f>
        <v>4.8879116091304908E-3</v>
      </c>
      <c r="S223" s="8">
        <f>IF(Tabela1511[[#This Row],[Core²-Retail Sales]]="",#N/A,((Tabela1511[[#This Row],[Core²-Retail Sales]]*1)/Q211)-1)</f>
        <v>5.3965284570840932E-2</v>
      </c>
      <c r="T223" s="5">
        <v>89.4</v>
      </c>
      <c r="U223" s="5"/>
      <c r="V223" s="5"/>
      <c r="W223" s="25"/>
      <c r="X223" s="25"/>
      <c r="Y223" s="25"/>
      <c r="Z223" s="25"/>
      <c r="AA223" s="25"/>
      <c r="AB223" s="25"/>
    </row>
    <row r="224" spans="1:28">
      <c r="A224" s="6">
        <v>35217</v>
      </c>
      <c r="B224" s="36"/>
      <c r="C224" s="36"/>
      <c r="D224" s="35"/>
      <c r="E224" s="7">
        <v>75.377899999999997</v>
      </c>
      <c r="F224" s="8">
        <f>IF(Tabela1511[[#This Row],[Industrial Production]]="",#N/A,((Tabela1511[[#This Row],[Industrial Production]]*1)/E223)-1)</f>
        <v>7.5306257476825955E-3</v>
      </c>
      <c r="G224" s="8">
        <f>IF(Tabela1511[[#This Row],[Industrial Production]]="",#N/A,((Tabela1511[[#This Row],[Industrial Production]]*1)/E212)-1)</f>
        <v>5.0665570160155049E-2</v>
      </c>
      <c r="H224" s="32">
        <v>216068</v>
      </c>
      <c r="I224" s="8">
        <f>IF(Tabela1511[[#This Row],[Retail Sales]]="",#N/A,((Tabela1511[[#This Row],[Retail Sales]]*1)/H223)-1)</f>
        <v>-1.0679661024785014E-3</v>
      </c>
      <c r="J224" s="8">
        <f>IF(Tabela1511[[#This Row],[Retail Sales]]="",#N/A,((Tabela1511[[#This Row],[Retail Sales]]*1)/H212)-1)</f>
        <v>5.1425790754257905E-2</v>
      </c>
      <c r="K224" s="32">
        <v>164270</v>
      </c>
      <c r="L224" s="8">
        <f>IF(Tabela1511[[#This Row],[Core-Retail Sales]]="",#N/A,((Tabela1511[[#This Row],[Core-Retail Sales]]*1)/K223)-1)</f>
        <v>1.0420538821076519E-3</v>
      </c>
      <c r="M224" s="8">
        <f>IF(Tabela1511[[#This Row],[Core-Retail Sales]]="",#N/A,((Tabela1511[[#This Row],[Core-Retail Sales]]*1)/K212)-1)</f>
        <v>5.4039833684102367E-2</v>
      </c>
      <c r="N224" s="84">
        <v>137886</v>
      </c>
      <c r="O224" s="8">
        <f>IF(Tabela1511[[#This Row],[Real Retail Sales]]="",#N/A,((Tabela1511[[#This Row],[Real Retail Sales]]*1)/N223)-1)</f>
        <v>-2.98628334261275E-3</v>
      </c>
      <c r="P224" s="8">
        <f>IF(Tabela1511[[#This Row],[Real Retail Sales]]="",#N/A,((Tabela1511[[#This Row],[Real Retail Sales]]*1)/N212)-1)</f>
        <v>2.2566985308840604E-2</v>
      </c>
      <c r="Q224" s="32">
        <v>147918</v>
      </c>
      <c r="R224" s="8">
        <f>IF(Tabela1511[[#This Row],[Core²-Retail Sales]]="",#N/A,((Tabela1511[[#This Row],[Core²-Retail Sales]]*1)/Q223)-1)</f>
        <v>2.079790801498449E-3</v>
      </c>
      <c r="S224" s="8">
        <f>IF(Tabela1511[[#This Row],[Core²-Retail Sales]]="",#N/A,((Tabela1511[[#This Row],[Core²-Retail Sales]]*1)/Q212)-1)</f>
        <v>5.268476675088074E-2</v>
      </c>
      <c r="T224" s="5">
        <v>92.4</v>
      </c>
      <c r="U224" s="5"/>
      <c r="V224" s="5"/>
      <c r="W224" s="25"/>
      <c r="X224" s="25"/>
      <c r="Y224" s="25"/>
      <c r="Z224" s="25"/>
      <c r="AA224" s="25"/>
      <c r="AB224" s="25"/>
    </row>
    <row r="225" spans="1:28">
      <c r="A225" s="6">
        <v>35247</v>
      </c>
      <c r="B225" s="36"/>
      <c r="C225" s="36"/>
      <c r="D225" s="35"/>
      <c r="E225" s="7">
        <v>75.375399999999999</v>
      </c>
      <c r="F225" s="8">
        <f>IF(Tabela1511[[#This Row],[Industrial Production]]="",#N/A,((Tabela1511[[#This Row],[Industrial Production]]*1)/E224)-1)</f>
        <v>-3.3166219807090336E-5</v>
      </c>
      <c r="G225" s="8">
        <f>IF(Tabela1511[[#This Row],[Industrial Production]]="",#N/A,((Tabela1511[[#This Row],[Industrial Production]]*1)/E213)-1)</f>
        <v>5.4999657083191655E-2</v>
      </c>
      <c r="H225" s="32">
        <v>216332</v>
      </c>
      <c r="I225" s="8">
        <f>IF(Tabela1511[[#This Row],[Retail Sales]]="",#N/A,((Tabela1511[[#This Row],[Retail Sales]]*1)/H224)-1)</f>
        <v>1.221837569653994E-3</v>
      </c>
      <c r="J225" s="8">
        <f>IF(Tabela1511[[#This Row],[Retail Sales]]="",#N/A,((Tabela1511[[#This Row],[Retail Sales]]*1)/H213)-1)</f>
        <v>5.5690025375756402E-2</v>
      </c>
      <c r="K225" s="32">
        <v>164328</v>
      </c>
      <c r="L225" s="8">
        <f>IF(Tabela1511[[#This Row],[Core-Retail Sales]]="",#N/A,((Tabela1511[[#This Row],[Core-Retail Sales]]*1)/K224)-1)</f>
        <v>3.5307725086752839E-4</v>
      </c>
      <c r="M225" s="8">
        <f>IF(Tabela1511[[#This Row],[Core-Retail Sales]]="",#N/A,((Tabela1511[[#This Row],[Core-Retail Sales]]*1)/K213)-1)</f>
        <v>5.2790733432422687E-2</v>
      </c>
      <c r="N225" s="84">
        <v>137791</v>
      </c>
      <c r="O225" s="8">
        <f>IF(Tabela1511[[#This Row],[Real Retail Sales]]="",#N/A,((Tabela1511[[#This Row],[Real Retail Sales]]*1)/N224)-1)</f>
        <v>-6.8897495032127498E-4</v>
      </c>
      <c r="P225" s="8">
        <f>IF(Tabela1511[[#This Row],[Real Retail Sales]]="",#N/A,((Tabela1511[[#This Row],[Real Retail Sales]]*1)/N213)-1)</f>
        <v>2.6101008295726924E-2</v>
      </c>
      <c r="Q225" s="32">
        <v>148253</v>
      </c>
      <c r="R225" s="8">
        <f>IF(Tabela1511[[#This Row],[Core²-Retail Sales]]="",#N/A,((Tabela1511[[#This Row],[Core²-Retail Sales]]*1)/Q224)-1)</f>
        <v>2.2647683175813782E-3</v>
      </c>
      <c r="S225" s="8">
        <f>IF(Tabela1511[[#This Row],[Core²-Retail Sales]]="",#N/A,((Tabela1511[[#This Row],[Core²-Retail Sales]]*1)/Q213)-1)</f>
        <v>5.2641668855927692E-2</v>
      </c>
      <c r="T225" s="5">
        <v>94.7</v>
      </c>
      <c r="U225" s="5"/>
      <c r="V225" s="5"/>
      <c r="W225" s="25"/>
      <c r="X225" s="25"/>
      <c r="Y225" s="25"/>
      <c r="Z225" s="25"/>
      <c r="AA225" s="25"/>
      <c r="AB225" s="25"/>
    </row>
    <row r="226" spans="1:28">
      <c r="A226" s="6">
        <v>35278</v>
      </c>
      <c r="B226" s="36"/>
      <c r="C226" s="36"/>
      <c r="D226" s="35"/>
      <c r="E226" s="7">
        <v>75.756799999999998</v>
      </c>
      <c r="F226" s="8">
        <f>IF(Tabela1511[[#This Row],[Industrial Production]]="",#N/A,((Tabela1511[[#This Row],[Industrial Production]]*1)/E225)-1)</f>
        <v>5.0600063150576524E-3</v>
      </c>
      <c r="G226" s="8">
        <f>IF(Tabela1511[[#This Row],[Industrial Production]]="",#N/A,((Tabela1511[[#This Row],[Industrial Production]]*1)/E214)-1)</f>
        <v>4.6653771760154727E-2</v>
      </c>
      <c r="H226" s="32">
        <v>216358</v>
      </c>
      <c r="I226" s="8">
        <f>IF(Tabela1511[[#This Row],[Retail Sales]]="",#N/A,((Tabela1511[[#This Row],[Retail Sales]]*1)/H225)-1)</f>
        <v>1.2018564058946524E-4</v>
      </c>
      <c r="J226" s="8">
        <f>IF(Tabela1511[[#This Row],[Retail Sales]]="",#N/A,((Tabela1511[[#This Row],[Retail Sales]]*1)/H214)-1)</f>
        <v>4.763195994596181E-2</v>
      </c>
      <c r="K226" s="32">
        <v>164886</v>
      </c>
      <c r="L226" s="8">
        <f>IF(Tabela1511[[#This Row],[Core-Retail Sales]]="",#N/A,((Tabela1511[[#This Row],[Core-Retail Sales]]*1)/K225)-1)</f>
        <v>3.395647728932305E-3</v>
      </c>
      <c r="M226" s="8">
        <f>IF(Tabela1511[[#This Row],[Core-Retail Sales]]="",#N/A,((Tabela1511[[#This Row],[Core-Retail Sales]]*1)/K214)-1)</f>
        <v>5.1749982458714205E-2</v>
      </c>
      <c r="N226" s="84">
        <v>137632</v>
      </c>
      <c r="O226" s="8">
        <f>IF(Tabela1511[[#This Row],[Real Retail Sales]]="",#N/A,((Tabela1511[[#This Row],[Real Retail Sales]]*1)/N225)-1)</f>
        <v>-1.1539215188219876E-3</v>
      </c>
      <c r="P226" s="8">
        <f>IF(Tabela1511[[#This Row],[Real Retail Sales]]="",#N/A,((Tabela1511[[#This Row],[Real Retail Sales]]*1)/N214)-1)</f>
        <v>1.8975486603143521E-2</v>
      </c>
      <c r="Q226" s="32">
        <v>148820</v>
      </c>
      <c r="R226" s="8">
        <f>IF(Tabela1511[[#This Row],[Core²-Retail Sales]]="",#N/A,((Tabela1511[[#This Row],[Core²-Retail Sales]]*1)/Q225)-1)</f>
        <v>3.82454317956471E-3</v>
      </c>
      <c r="S226" s="8">
        <f>IF(Tabela1511[[#This Row],[Core²-Retail Sales]]="",#N/A,((Tabela1511[[#This Row],[Core²-Retail Sales]]*1)/Q214)-1)</f>
        <v>5.1389654246676075E-2</v>
      </c>
      <c r="T226" s="5">
        <v>95.3</v>
      </c>
      <c r="U226" s="5"/>
      <c r="V226" s="5"/>
      <c r="W226" s="25"/>
      <c r="X226" s="25"/>
      <c r="Y226" s="25"/>
      <c r="Z226" s="25"/>
      <c r="AA226" s="25"/>
      <c r="AB226" s="25"/>
    </row>
    <row r="227" spans="1:28">
      <c r="A227" s="6">
        <v>35309</v>
      </c>
      <c r="B227" s="36"/>
      <c r="C227" s="36"/>
      <c r="D227" s="35"/>
      <c r="E227" s="7">
        <v>76.230400000000003</v>
      </c>
      <c r="F227" s="8">
        <f>IF(Tabela1511[[#This Row],[Industrial Production]]="",#N/A,((Tabela1511[[#This Row],[Industrial Production]]*1)/E226)-1)</f>
        <v>6.2515840162202796E-3</v>
      </c>
      <c r="G227" s="8">
        <f>IF(Tabela1511[[#This Row],[Industrial Production]]="",#N/A,((Tabela1511[[#This Row],[Industrial Production]]*1)/E215)-1)</f>
        <v>4.913700917009467E-2</v>
      </c>
      <c r="H227" s="32">
        <v>219256</v>
      </c>
      <c r="I227" s="8">
        <f>IF(Tabela1511[[#This Row],[Retail Sales]]="",#N/A,((Tabela1511[[#This Row],[Retail Sales]]*1)/H226)-1)</f>
        <v>1.3394466578541042E-2</v>
      </c>
      <c r="J227" s="8">
        <f>IF(Tabela1511[[#This Row],[Retail Sales]]="",#N/A,((Tabela1511[[#This Row],[Retail Sales]]*1)/H215)-1)</f>
        <v>5.917702868515895E-2</v>
      </c>
      <c r="K227" s="32">
        <v>166072</v>
      </c>
      <c r="L227" s="8">
        <f>IF(Tabela1511[[#This Row],[Core-Retail Sales]]="",#N/A,((Tabela1511[[#This Row],[Core-Retail Sales]]*1)/K226)-1)</f>
        <v>7.1928483922225617E-3</v>
      </c>
      <c r="M227" s="8">
        <f>IF(Tabela1511[[#This Row],[Core-Retail Sales]]="",#N/A,((Tabela1511[[#This Row],[Core-Retail Sales]]*1)/K215)-1)</f>
        <v>5.2300751498561615E-2</v>
      </c>
      <c r="N227" s="84">
        <v>139034</v>
      </c>
      <c r="O227" s="8">
        <f>IF(Tabela1511[[#This Row],[Real Retail Sales]]="",#N/A,((Tabela1511[[#This Row],[Real Retail Sales]]*1)/N226)-1)</f>
        <v>1.0186584515228914E-2</v>
      </c>
      <c r="P227" s="8">
        <f>IF(Tabela1511[[#This Row],[Real Retail Sales]]="",#N/A,((Tabela1511[[#This Row],[Real Retail Sales]]*1)/N215)-1)</f>
        <v>2.8281931809777339E-2</v>
      </c>
      <c r="Q227" s="32">
        <v>149984</v>
      </c>
      <c r="R227" s="8">
        <f>IF(Tabela1511[[#This Row],[Core²-Retail Sales]]="",#N/A,((Tabela1511[[#This Row],[Core²-Retail Sales]]*1)/Q226)-1)</f>
        <v>7.8215293643326689E-3</v>
      </c>
      <c r="S227" s="8">
        <f>IF(Tabela1511[[#This Row],[Core²-Retail Sales]]="",#N/A,((Tabela1511[[#This Row],[Core²-Retail Sales]]*1)/Q215)-1)</f>
        <v>5.1604218083912912E-2</v>
      </c>
      <c r="T227" s="5">
        <v>94.7</v>
      </c>
      <c r="U227" s="5"/>
      <c r="V227" s="5"/>
      <c r="W227" s="25"/>
      <c r="X227" s="25"/>
      <c r="Y227" s="25"/>
      <c r="Z227" s="25"/>
      <c r="AA227" s="25"/>
      <c r="AB227" s="25"/>
    </row>
    <row r="228" spans="1:28">
      <c r="A228" s="6">
        <v>35339</v>
      </c>
      <c r="B228" s="36"/>
      <c r="C228" s="36"/>
      <c r="D228" s="35"/>
      <c r="E228" s="7">
        <v>76.219300000000004</v>
      </c>
      <c r="F228" s="8">
        <f>IF(Tabela1511[[#This Row],[Industrial Production]]="",#N/A,((Tabela1511[[#This Row],[Industrial Production]]*1)/E227)-1)</f>
        <v>-1.4561119973133252E-4</v>
      </c>
      <c r="G228" s="8">
        <f>IF(Tabela1511[[#This Row],[Industrial Production]]="",#N/A,((Tabela1511[[#This Row],[Industrial Production]]*1)/E216)-1)</f>
        <v>5.06804259002962E-2</v>
      </c>
      <c r="H228" s="32">
        <v>221060</v>
      </c>
      <c r="I228" s="8">
        <f>IF(Tabela1511[[#This Row],[Retail Sales]]="",#N/A,((Tabela1511[[#This Row],[Retail Sales]]*1)/H227)-1)</f>
        <v>8.2278250082095106E-3</v>
      </c>
      <c r="J228" s="8">
        <f>IF(Tabela1511[[#This Row],[Retail Sales]]="",#N/A,((Tabela1511[[#This Row],[Retail Sales]]*1)/H216)-1)</f>
        <v>7.219074965078387E-2</v>
      </c>
      <c r="K228" s="32">
        <v>167610</v>
      </c>
      <c r="L228" s="8">
        <f>IF(Tabela1511[[#This Row],[Core-Retail Sales]]="",#N/A,((Tabela1511[[#This Row],[Core-Retail Sales]]*1)/K227)-1)</f>
        <v>9.2610434028614907E-3</v>
      </c>
      <c r="M228" s="8">
        <f>IF(Tabela1511[[#This Row],[Core-Retail Sales]]="",#N/A,((Tabela1511[[#This Row],[Core-Retail Sales]]*1)/K216)-1)</f>
        <v>6.822599662215989E-2</v>
      </c>
      <c r="N228" s="84">
        <v>139735</v>
      </c>
      <c r="O228" s="8">
        <f>IF(Tabela1511[[#This Row],[Real Retail Sales]]="",#N/A,((Tabela1511[[#This Row],[Real Retail Sales]]*1)/N227)-1)</f>
        <v>5.0419321892487545E-3</v>
      </c>
      <c r="P228" s="8">
        <f>IF(Tabela1511[[#This Row],[Real Retail Sales]]="",#N/A,((Tabela1511[[#This Row],[Real Retail Sales]]*1)/N216)-1)</f>
        <v>4.0337410752175895E-2</v>
      </c>
      <c r="Q228" s="32">
        <v>151250</v>
      </c>
      <c r="R228" s="8">
        <f>IF(Tabela1511[[#This Row],[Core²-Retail Sales]]="",#N/A,((Tabela1511[[#This Row],[Core²-Retail Sales]]*1)/Q227)-1)</f>
        <v>8.4409003627052837E-3</v>
      </c>
      <c r="S228" s="8">
        <f>IF(Tabela1511[[#This Row],[Core²-Retail Sales]]="",#N/A,((Tabela1511[[#This Row],[Core²-Retail Sales]]*1)/Q216)-1)</f>
        <v>6.5906496215591526E-2</v>
      </c>
      <c r="T228" s="5">
        <v>96.5</v>
      </c>
      <c r="U228" s="5"/>
      <c r="V228" s="5"/>
      <c r="W228" s="25"/>
      <c r="X228" s="25"/>
      <c r="Y228" s="25"/>
      <c r="Z228" s="25"/>
      <c r="AA228" s="25"/>
      <c r="AB228" s="25"/>
    </row>
    <row r="229" spans="1:28">
      <c r="A229" s="6">
        <v>35370</v>
      </c>
      <c r="B229" s="36"/>
      <c r="C229" s="36"/>
      <c r="D229" s="35"/>
      <c r="E229" s="7">
        <v>76.894099999999995</v>
      </c>
      <c r="F229" s="8">
        <f>IF(Tabela1511[[#This Row],[Industrial Production]]="",#N/A,((Tabela1511[[#This Row],[Industrial Production]]*1)/E228)-1)</f>
        <v>8.8534006478673266E-3</v>
      </c>
      <c r="G229" s="8">
        <f>IF(Tabela1511[[#This Row],[Industrial Production]]="",#N/A,((Tabela1511[[#This Row],[Industrial Production]]*1)/E217)-1)</f>
        <v>5.7431605466611968E-2</v>
      </c>
      <c r="H229" s="32">
        <v>220963</v>
      </c>
      <c r="I229" s="8">
        <f>IF(Tabela1511[[#This Row],[Retail Sales]]="",#N/A,((Tabela1511[[#This Row],[Retail Sales]]*1)/H228)-1)</f>
        <v>-4.3879489731291077E-4</v>
      </c>
      <c r="J229" s="8">
        <f>IF(Tabela1511[[#This Row],[Retail Sales]]="",#N/A,((Tabela1511[[#This Row],[Retail Sales]]*1)/H217)-1)</f>
        <v>5.8941647816585618E-2</v>
      </c>
      <c r="K229" s="32">
        <v>168253</v>
      </c>
      <c r="L229" s="8">
        <f>IF(Tabela1511[[#This Row],[Core-Retail Sales]]="",#N/A,((Tabela1511[[#This Row],[Core-Retail Sales]]*1)/K228)-1)</f>
        <v>3.8362866177434896E-3</v>
      </c>
      <c r="M229" s="8">
        <f>IF(Tabela1511[[#This Row],[Core-Retail Sales]]="",#N/A,((Tabela1511[[#This Row],[Core-Retail Sales]]*1)/K217)-1)</f>
        <v>5.9521035761739505E-2</v>
      </c>
      <c r="N229" s="84">
        <v>139233</v>
      </c>
      <c r="O229" s="8">
        <f>IF(Tabela1511[[#This Row],[Real Retail Sales]]="",#N/A,((Tabela1511[[#This Row],[Real Retail Sales]]*1)/N228)-1)</f>
        <v>-3.592514402261382E-3</v>
      </c>
      <c r="P229" s="8">
        <f>IF(Tabela1511[[#This Row],[Real Retail Sales]]="",#N/A,((Tabela1511[[#This Row],[Real Retail Sales]]*1)/N217)-1)</f>
        <v>2.5574354932565324E-2</v>
      </c>
      <c r="Q229" s="32">
        <v>151651</v>
      </c>
      <c r="R229" s="8">
        <f>IF(Tabela1511[[#This Row],[Core²-Retail Sales]]="",#N/A,((Tabela1511[[#This Row],[Core²-Retail Sales]]*1)/Q228)-1)</f>
        <v>2.6512396694213791E-3</v>
      </c>
      <c r="S229" s="8">
        <f>IF(Tabela1511[[#This Row],[Core²-Retail Sales]]="",#N/A,((Tabela1511[[#This Row],[Core²-Retail Sales]]*1)/Q217)-1)</f>
        <v>5.4450006953135954E-2</v>
      </c>
      <c r="T229" s="5">
        <v>99.2</v>
      </c>
      <c r="U229" s="5"/>
      <c r="V229" s="5"/>
      <c r="W229" s="25"/>
      <c r="X229" s="25"/>
      <c r="Y229" s="25"/>
      <c r="Z229" s="25"/>
      <c r="AA229" s="25"/>
      <c r="AB229" s="25"/>
    </row>
    <row r="230" spans="1:28">
      <c r="A230" s="6">
        <v>35400</v>
      </c>
      <c r="B230" s="36"/>
      <c r="C230" s="36"/>
      <c r="D230" s="35"/>
      <c r="E230" s="7">
        <v>77.373099999999994</v>
      </c>
      <c r="F230" s="8">
        <f>IF(Tabela1511[[#This Row],[Industrial Production]]="",#N/A,((Tabela1511[[#This Row],[Industrial Production]]*1)/E229)-1)</f>
        <v>6.229346594862184E-3</v>
      </c>
      <c r="G230" s="8">
        <f>IF(Tabela1511[[#This Row],[Industrial Production]]="",#N/A,((Tabela1511[[#This Row],[Industrial Production]]*1)/E218)-1)</f>
        <v>6.0381925029328043E-2</v>
      </c>
      <c r="H230" s="32">
        <v>221991</v>
      </c>
      <c r="I230" s="8">
        <f>IF(Tabela1511[[#This Row],[Retail Sales]]="",#N/A,((Tabela1511[[#This Row],[Retail Sales]]*1)/H229)-1)</f>
        <v>4.6523626127450424E-3</v>
      </c>
      <c r="J230" s="8">
        <f>IF(Tabela1511[[#This Row],[Retail Sales]]="",#N/A,((Tabela1511[[#This Row],[Retail Sales]]*1)/H218)-1)</f>
        <v>5.5095318894101242E-2</v>
      </c>
      <c r="K230" s="32">
        <v>169156</v>
      </c>
      <c r="L230" s="8">
        <f>IF(Tabela1511[[#This Row],[Core-Retail Sales]]="",#N/A,((Tabela1511[[#This Row],[Core-Retail Sales]]*1)/K229)-1)</f>
        <v>5.3669176775450467E-3</v>
      </c>
      <c r="M230" s="8">
        <f>IF(Tabela1511[[#This Row],[Core-Retail Sales]]="",#N/A,((Tabela1511[[#This Row],[Core-Retail Sales]]*1)/K218)-1)</f>
        <v>5.5667889862452968E-2</v>
      </c>
      <c r="N230" s="84">
        <v>139529</v>
      </c>
      <c r="O230" s="8">
        <f>IF(Tabela1511[[#This Row],[Real Retail Sales]]="",#N/A,((Tabela1511[[#This Row],[Real Retail Sales]]*1)/N229)-1)</f>
        <v>2.1259327889222579E-3</v>
      </c>
      <c r="P230" s="8">
        <f>IF(Tabela1511[[#This Row],[Real Retail Sales]]="",#N/A,((Tabela1511[[#This Row],[Real Retail Sales]]*1)/N218)-1)</f>
        <v>2.0605360173210796E-2</v>
      </c>
      <c r="Q230" s="32">
        <v>152397</v>
      </c>
      <c r="R230" s="8">
        <f>IF(Tabela1511[[#This Row],[Core²-Retail Sales]]="",#N/A,((Tabela1511[[#This Row],[Core²-Retail Sales]]*1)/Q229)-1)</f>
        <v>4.9191894547349069E-3</v>
      </c>
      <c r="S230" s="8">
        <f>IF(Tabela1511[[#This Row],[Core²-Retail Sales]]="",#N/A,((Tabela1511[[#This Row],[Core²-Retail Sales]]*1)/Q218)-1)</f>
        <v>5.1086281812538825E-2</v>
      </c>
      <c r="T230" s="5">
        <v>96.9</v>
      </c>
      <c r="U230" s="5"/>
      <c r="V230" s="5"/>
      <c r="W230" s="25"/>
      <c r="X230" s="25"/>
      <c r="Y230" s="25"/>
      <c r="Z230" s="25"/>
      <c r="AA230" s="25"/>
      <c r="AB230" s="25"/>
    </row>
    <row r="231" spans="1:28">
      <c r="A231" s="6">
        <v>35431</v>
      </c>
      <c r="B231" s="36"/>
      <c r="C231" s="36"/>
      <c r="D231" s="35"/>
      <c r="E231" s="7">
        <v>77.513800000000003</v>
      </c>
      <c r="F231" s="8">
        <f>IF(Tabela1511[[#This Row],[Industrial Production]]="",#N/A,((Tabela1511[[#This Row],[Industrial Production]]*1)/E230)-1)</f>
        <v>1.8184614549501266E-3</v>
      </c>
      <c r="G231" s="8">
        <f>IF(Tabela1511[[#This Row],[Industrial Production]]="",#N/A,((Tabela1511[[#This Row],[Industrial Production]]*1)/E219)-1)</f>
        <v>6.7880297465372275E-2</v>
      </c>
      <c r="H231" s="32">
        <v>223481</v>
      </c>
      <c r="I231" s="8">
        <f>IF(Tabela1511[[#This Row],[Retail Sales]]="",#N/A,((Tabela1511[[#This Row],[Retail Sales]]*1)/H230)-1)</f>
        <v>6.7119838191638248E-3</v>
      </c>
      <c r="J231" s="8">
        <f>IF(Tabela1511[[#This Row],[Retail Sales]]="",#N/A,((Tabela1511[[#This Row],[Retail Sales]]*1)/H219)-1)</f>
        <v>7.0829280446959464E-2</v>
      </c>
      <c r="K231" s="32">
        <v>169471</v>
      </c>
      <c r="L231" s="8">
        <f>IF(Tabela1511[[#This Row],[Core-Retail Sales]]="",#N/A,((Tabela1511[[#This Row],[Core-Retail Sales]]*1)/K230)-1)</f>
        <v>1.8621863841661312E-3</v>
      </c>
      <c r="M231" s="8">
        <f>IF(Tabela1511[[#This Row],[Core-Retail Sales]]="",#N/A,((Tabela1511[[#This Row],[Core-Retail Sales]]*1)/K219)-1)</f>
        <v>7.0230502052415433E-2</v>
      </c>
      <c r="N231" s="84">
        <v>140201</v>
      </c>
      <c r="O231" s="8">
        <f>IF(Tabela1511[[#This Row],[Real Retail Sales]]="",#N/A,((Tabela1511[[#This Row],[Real Retail Sales]]*1)/N230)-1)</f>
        <v>4.8162030832299418E-3</v>
      </c>
      <c r="P231" s="8">
        <f>IF(Tabela1511[[#This Row],[Real Retail Sales]]="",#N/A,((Tabela1511[[#This Row],[Real Retail Sales]]*1)/N219)-1)</f>
        <v>3.9249551539590533E-2</v>
      </c>
      <c r="Q231" s="32">
        <v>152533</v>
      </c>
      <c r="R231" s="8">
        <f>IF(Tabela1511[[#This Row],[Core²-Retail Sales]]="",#N/A,((Tabela1511[[#This Row],[Core²-Retail Sales]]*1)/Q230)-1)</f>
        <v>8.924060184911653E-4</v>
      </c>
      <c r="S231" s="8">
        <f>IF(Tabela1511[[#This Row],[Core²-Retail Sales]]="",#N/A,((Tabela1511[[#This Row],[Core²-Retail Sales]]*1)/Q219)-1)</f>
        <v>6.7627440138306572E-2</v>
      </c>
      <c r="T231" s="5">
        <v>97.4</v>
      </c>
      <c r="U231" s="5"/>
      <c r="V231" s="5"/>
      <c r="W231" s="25"/>
      <c r="X231" s="25"/>
      <c r="Y231" s="25"/>
      <c r="Z231" s="25"/>
      <c r="AA231" s="25"/>
      <c r="AB231" s="25"/>
    </row>
    <row r="232" spans="1:28">
      <c r="A232" s="6">
        <v>35462</v>
      </c>
      <c r="B232" s="36"/>
      <c r="C232" s="36"/>
      <c r="D232" s="35"/>
      <c r="E232" s="7">
        <v>78.424599999999998</v>
      </c>
      <c r="F232" s="8">
        <f>IF(Tabela1511[[#This Row],[Industrial Production]]="",#N/A,((Tabela1511[[#This Row],[Industrial Production]]*1)/E231)-1)</f>
        <v>1.1750165776932553E-2</v>
      </c>
      <c r="G232" s="8">
        <f>IF(Tabela1511[[#This Row],[Industrial Production]]="",#N/A,((Tabela1511[[#This Row],[Industrial Production]]*1)/E220)-1)</f>
        <v>6.4988749152961045E-2</v>
      </c>
      <c r="H232" s="32">
        <v>225422</v>
      </c>
      <c r="I232" s="8">
        <f>IF(Tabela1511[[#This Row],[Retail Sales]]="",#N/A,((Tabela1511[[#This Row],[Retail Sales]]*1)/H231)-1)</f>
        <v>8.685302106219428E-3</v>
      </c>
      <c r="J232" s="8">
        <f>IF(Tabela1511[[#This Row],[Retail Sales]]="",#N/A,((Tabela1511[[#This Row],[Retail Sales]]*1)/H220)-1)</f>
        <v>6.327119731330888E-2</v>
      </c>
      <c r="K232" s="32">
        <v>170821</v>
      </c>
      <c r="L232" s="8">
        <f>IF(Tabela1511[[#This Row],[Core-Retail Sales]]="",#N/A,((Tabela1511[[#This Row],[Core-Retail Sales]]*1)/K231)-1)</f>
        <v>7.9659646783225568E-3</v>
      </c>
      <c r="M232" s="8">
        <f>IF(Tabela1511[[#This Row],[Core-Retail Sales]]="",#N/A,((Tabela1511[[#This Row],[Core-Retail Sales]]*1)/K220)-1)</f>
        <v>6.9502880040070103E-2</v>
      </c>
      <c r="N232" s="84">
        <v>141153</v>
      </c>
      <c r="O232" s="8">
        <f>IF(Tabela1511[[#This Row],[Real Retail Sales]]="",#N/A,((Tabela1511[[#This Row],[Real Retail Sales]]*1)/N231)-1)</f>
        <v>6.7902511394355436E-3</v>
      </c>
      <c r="P232" s="8">
        <f>IF(Tabela1511[[#This Row],[Real Retail Sales]]="",#N/A,((Tabela1511[[#This Row],[Real Retail Sales]]*1)/N220)-1)</f>
        <v>3.1978593205097328E-2</v>
      </c>
      <c r="Q232" s="32">
        <v>153837</v>
      </c>
      <c r="R232" s="8">
        <f>IF(Tabela1511[[#This Row],[Core²-Retail Sales]]="",#N/A,((Tabela1511[[#This Row],[Core²-Retail Sales]]*1)/Q231)-1)</f>
        <v>8.5489697311400548E-3</v>
      </c>
      <c r="S232" s="8">
        <f>IF(Tabela1511[[#This Row],[Core²-Retail Sales]]="",#N/A,((Tabela1511[[#This Row],[Core²-Retail Sales]]*1)/Q220)-1)</f>
        <v>6.6364902989678676E-2</v>
      </c>
      <c r="T232" s="5">
        <v>99.7</v>
      </c>
      <c r="U232" s="5"/>
      <c r="V232" s="5"/>
      <c r="W232" s="25"/>
      <c r="X232" s="25"/>
      <c r="Y232" s="25"/>
      <c r="Z232" s="25"/>
      <c r="AA232" s="25"/>
      <c r="AB232" s="25"/>
    </row>
    <row r="233" spans="1:28">
      <c r="A233" s="6">
        <v>35490</v>
      </c>
      <c r="B233" s="36"/>
      <c r="C233" s="36"/>
      <c r="D233" s="35"/>
      <c r="E233" s="7">
        <v>78.926599999999993</v>
      </c>
      <c r="F233" s="8">
        <f>IF(Tabela1511[[#This Row],[Industrial Production]]="",#N/A,((Tabela1511[[#This Row],[Industrial Production]]*1)/E232)-1)</f>
        <v>6.4010527309033005E-3</v>
      </c>
      <c r="G233" s="8">
        <f>IF(Tabela1511[[#This Row],[Industrial Production]]="",#N/A,((Tabela1511[[#This Row],[Industrial Production]]*1)/E221)-1)</f>
        <v>7.3536252621728249E-2</v>
      </c>
      <c r="H233" s="32">
        <v>226161</v>
      </c>
      <c r="I233" s="8">
        <f>IF(Tabela1511[[#This Row],[Retail Sales]]="",#N/A,((Tabela1511[[#This Row],[Retail Sales]]*1)/H232)-1)</f>
        <v>3.278295818509358E-3</v>
      </c>
      <c r="J233" s="8">
        <f>IF(Tabela1511[[#This Row],[Retail Sales]]="",#N/A,((Tabela1511[[#This Row],[Retail Sales]]*1)/H221)-1)</f>
        <v>5.7365667559644784E-2</v>
      </c>
      <c r="K233" s="32">
        <v>171928</v>
      </c>
      <c r="L233" s="8">
        <f>IF(Tabela1511[[#This Row],[Core-Retail Sales]]="",#N/A,((Tabela1511[[#This Row],[Core-Retail Sales]]*1)/K232)-1)</f>
        <v>6.4804678581673603E-3</v>
      </c>
      <c r="M233" s="8">
        <f>IF(Tabela1511[[#This Row],[Core-Retail Sales]]="",#N/A,((Tabela1511[[#This Row],[Core-Retail Sales]]*1)/K221)-1)</f>
        <v>6.428628909949663E-2</v>
      </c>
      <c r="N233" s="84">
        <v>141528</v>
      </c>
      <c r="O233" s="8">
        <f>IF(Tabela1511[[#This Row],[Real Retail Sales]]="",#N/A,((Tabela1511[[#This Row],[Real Retail Sales]]*1)/N232)-1)</f>
        <v>2.6566916749910519E-3</v>
      </c>
      <c r="P233" s="8">
        <f>IF(Tabela1511[[#This Row],[Real Retail Sales]]="",#N/A,((Tabela1511[[#This Row],[Real Retail Sales]]*1)/N221)-1)</f>
        <v>2.8920392584514731E-2</v>
      </c>
      <c r="Q233" s="32">
        <v>154959</v>
      </c>
      <c r="R233" s="8">
        <f>IF(Tabela1511[[#This Row],[Core²-Retail Sales]]="",#N/A,((Tabela1511[[#This Row],[Core²-Retail Sales]]*1)/Q232)-1)</f>
        <v>7.2934339593204722E-3</v>
      </c>
      <c r="S233" s="8">
        <f>IF(Tabela1511[[#This Row],[Core²-Retail Sales]]="",#N/A,((Tabela1511[[#This Row],[Core²-Retail Sales]]*1)/Q221)-1)</f>
        <v>6.433732622671573E-2</v>
      </c>
      <c r="T233" s="5">
        <v>100</v>
      </c>
      <c r="U233" s="5"/>
      <c r="V233" s="5"/>
      <c r="W233" s="25"/>
      <c r="X233" s="25"/>
      <c r="Y233" s="25"/>
      <c r="Z233" s="25"/>
      <c r="AA233" s="25"/>
      <c r="AB233" s="25"/>
    </row>
    <row r="234" spans="1:28">
      <c r="A234" s="6">
        <v>35521</v>
      </c>
      <c r="B234" s="36"/>
      <c r="C234" s="36"/>
      <c r="D234" s="35"/>
      <c r="E234" s="7">
        <v>78.992400000000004</v>
      </c>
      <c r="F234" s="8">
        <f>IF(Tabela1511[[#This Row],[Industrial Production]]="",#N/A,((Tabela1511[[#This Row],[Industrial Production]]*1)/E233)-1)</f>
        <v>8.3368598165911578E-4</v>
      </c>
      <c r="G234" s="8">
        <f>IF(Tabela1511[[#This Row],[Industrial Production]]="",#N/A,((Tabela1511[[#This Row],[Industrial Production]]*1)/E222)-1)</f>
        <v>6.363577607100912E-2</v>
      </c>
      <c r="H234" s="32">
        <v>224615</v>
      </c>
      <c r="I234" s="8">
        <f>IF(Tabela1511[[#This Row],[Retail Sales]]="",#N/A,((Tabela1511[[#This Row],[Retail Sales]]*1)/H233)-1)</f>
        <v>-6.8358381860710304E-3</v>
      </c>
      <c r="J234" s="8">
        <f>IF(Tabela1511[[#This Row],[Retail Sales]]="",#N/A,((Tabela1511[[#This Row],[Retail Sales]]*1)/H222)-1)</f>
        <v>4.6297676498537221E-2</v>
      </c>
      <c r="K234" s="32">
        <v>170754</v>
      </c>
      <c r="L234" s="8">
        <f>IF(Tabela1511[[#This Row],[Core-Retail Sales]]="",#N/A,((Tabela1511[[#This Row],[Core-Retail Sales]]*1)/K233)-1)</f>
        <v>-6.8284398120143086E-3</v>
      </c>
      <c r="M234" s="8">
        <f>IF(Tabela1511[[#This Row],[Core-Retail Sales]]="",#N/A,((Tabela1511[[#This Row],[Core-Retail Sales]]*1)/K222)-1)</f>
        <v>4.6639492476018285E-2</v>
      </c>
      <c r="N234" s="84">
        <v>140472</v>
      </c>
      <c r="O234" s="8">
        <f>IF(Tabela1511[[#This Row],[Real Retail Sales]]="",#N/A,((Tabela1511[[#This Row],[Real Retail Sales]]*1)/N233)-1)</f>
        <v>-7.4614210615566723E-3</v>
      </c>
      <c r="P234" s="8">
        <f>IF(Tabela1511[[#This Row],[Real Retail Sales]]="",#N/A,((Tabela1511[[#This Row],[Real Retail Sales]]*1)/N222)-1)</f>
        <v>2.14288311216142E-2</v>
      </c>
      <c r="Q234" s="32">
        <v>154141</v>
      </c>
      <c r="R234" s="8">
        <f>IF(Tabela1511[[#This Row],[Core²-Retail Sales]]="",#N/A,((Tabela1511[[#This Row],[Core²-Retail Sales]]*1)/Q233)-1)</f>
        <v>-5.278815686730054E-3</v>
      </c>
      <c r="S234" s="8">
        <f>IF(Tabela1511[[#This Row],[Core²-Retail Sales]]="",#N/A,((Tabela1511[[#This Row],[Core²-Retail Sales]]*1)/Q222)-1)</f>
        <v>4.9342038082141437E-2</v>
      </c>
      <c r="T234" s="5">
        <v>101.4</v>
      </c>
      <c r="U234" s="5"/>
      <c r="V234" s="5"/>
      <c r="W234" s="25"/>
      <c r="X234" s="25"/>
      <c r="Y234" s="25"/>
      <c r="Z234" s="25"/>
      <c r="AA234" s="25"/>
      <c r="AB234" s="25"/>
    </row>
    <row r="235" spans="1:28">
      <c r="A235" s="6">
        <v>35551</v>
      </c>
      <c r="B235" s="36"/>
      <c r="C235" s="36"/>
      <c r="D235" s="35"/>
      <c r="E235" s="7">
        <v>79.441100000000006</v>
      </c>
      <c r="F235" s="8">
        <f>IF(Tabela1511[[#This Row],[Industrial Production]]="",#N/A,((Tabela1511[[#This Row],[Industrial Production]]*1)/E234)-1)</f>
        <v>5.6802932940385187E-3</v>
      </c>
      <c r="G235" s="8">
        <f>IF(Tabela1511[[#This Row],[Industrial Production]]="",#N/A,((Tabela1511[[#This Row],[Industrial Production]]*1)/E223)-1)</f>
        <v>6.1840953291140144E-2</v>
      </c>
      <c r="H235" s="32">
        <v>222929</v>
      </c>
      <c r="I235" s="8">
        <f>IF(Tabela1511[[#This Row],[Retail Sales]]="",#N/A,((Tabela1511[[#This Row],[Retail Sales]]*1)/H234)-1)</f>
        <v>-7.5061772366048496E-3</v>
      </c>
      <c r="J235" s="8">
        <f>IF(Tabela1511[[#This Row],[Retail Sales]]="",#N/A,((Tabela1511[[#This Row],[Retail Sales]]*1)/H223)-1)</f>
        <v>3.0652014110097658E-2</v>
      </c>
      <c r="K235" s="32">
        <v>170738</v>
      </c>
      <c r="L235" s="8">
        <f>IF(Tabela1511[[#This Row],[Core-Retail Sales]]="",#N/A,((Tabela1511[[#This Row],[Core-Retail Sales]]*1)/K234)-1)</f>
        <v>-9.3702050903643475E-5</v>
      </c>
      <c r="M235" s="8">
        <f>IF(Tabela1511[[#This Row],[Core-Retail Sales]]="",#N/A,((Tabela1511[[#This Row],[Core-Retail Sales]]*1)/K223)-1)</f>
        <v>4.0457284931657123E-2</v>
      </c>
      <c r="N235" s="84">
        <v>139418</v>
      </c>
      <c r="O235" s="8">
        <f>IF(Tabela1511[[#This Row],[Real Retail Sales]]="",#N/A,((Tabela1511[[#This Row],[Real Retail Sales]]*1)/N234)-1)</f>
        <v>-7.5032746739563949E-3</v>
      </c>
      <c r="P235" s="8">
        <f>IF(Tabela1511[[#This Row],[Real Retail Sales]]="",#N/A,((Tabela1511[[#This Row],[Real Retail Sales]]*1)/N223)-1)</f>
        <v>8.0911647951178445E-3</v>
      </c>
      <c r="Q235" s="32">
        <v>154371</v>
      </c>
      <c r="R235" s="8">
        <f>IF(Tabela1511[[#This Row],[Core²-Retail Sales]]="",#N/A,((Tabela1511[[#This Row],[Core²-Retail Sales]]*1)/Q234)-1)</f>
        <v>1.4921403130898625E-3</v>
      </c>
      <c r="S235" s="8">
        <f>IF(Tabela1511[[#This Row],[Core²-Retail Sales]]="",#N/A,((Tabela1511[[#This Row],[Core²-Retail Sales]]*1)/Q223)-1)</f>
        <v>4.5796045010195741E-2</v>
      </c>
      <c r="T235" s="5">
        <v>103.2</v>
      </c>
      <c r="U235" s="5"/>
      <c r="V235" s="5"/>
      <c r="W235" s="25"/>
      <c r="X235" s="25"/>
      <c r="Y235" s="25"/>
      <c r="Z235" s="25"/>
      <c r="AA235" s="25"/>
      <c r="AB235" s="25"/>
    </row>
    <row r="236" spans="1:28">
      <c r="A236" s="6">
        <v>35582</v>
      </c>
      <c r="B236" s="36"/>
      <c r="C236" s="36"/>
      <c r="D236" s="35"/>
      <c r="E236" s="7">
        <v>79.8048</v>
      </c>
      <c r="F236" s="8">
        <f>IF(Tabela1511[[#This Row],[Industrial Production]]="",#N/A,((Tabela1511[[#This Row],[Industrial Production]]*1)/E235)-1)</f>
        <v>4.5782346921177108E-3</v>
      </c>
      <c r="G236" s="8">
        <f>IF(Tabela1511[[#This Row],[Industrial Production]]="",#N/A,((Tabela1511[[#This Row],[Industrial Production]]*1)/E224)-1)</f>
        <v>5.8729415385676775E-2</v>
      </c>
      <c r="H236" s="32">
        <v>226057</v>
      </c>
      <c r="I236" s="8">
        <f>IF(Tabela1511[[#This Row],[Retail Sales]]="",#N/A,((Tabela1511[[#This Row],[Retail Sales]]*1)/H235)-1)</f>
        <v>1.4031373217481713E-2</v>
      </c>
      <c r="J236" s="8">
        <f>IF(Tabela1511[[#This Row],[Retail Sales]]="",#N/A,((Tabela1511[[#This Row],[Retail Sales]]*1)/H224)-1)</f>
        <v>4.6230816224521964E-2</v>
      </c>
      <c r="K236" s="32">
        <v>171991</v>
      </c>
      <c r="L236" s="8">
        <f>IF(Tabela1511[[#This Row],[Core-Retail Sales]]="",#N/A,((Tabela1511[[#This Row],[Core-Retail Sales]]*1)/K235)-1)</f>
        <v>7.3387295153979348E-3</v>
      </c>
      <c r="M236" s="8">
        <f>IF(Tabela1511[[#This Row],[Core-Retail Sales]]="",#N/A,((Tabela1511[[#This Row],[Core-Retail Sales]]*1)/K224)-1)</f>
        <v>4.7001887137030574E-2</v>
      </c>
      <c r="N236" s="84">
        <v>141109</v>
      </c>
      <c r="O236" s="8">
        <f>IF(Tabela1511[[#This Row],[Real Retail Sales]]="",#N/A,((Tabela1511[[#This Row],[Real Retail Sales]]*1)/N235)-1)</f>
        <v>1.2128993386793629E-2</v>
      </c>
      <c r="P236" s="8">
        <f>IF(Tabela1511[[#This Row],[Real Retail Sales]]="",#N/A,((Tabela1511[[#This Row],[Real Retail Sales]]*1)/N224)-1)</f>
        <v>2.3374381735636662E-2</v>
      </c>
      <c r="Q236" s="32">
        <v>155613</v>
      </c>
      <c r="R236" s="8">
        <f>IF(Tabela1511[[#This Row],[Core²-Retail Sales]]="",#N/A,((Tabela1511[[#This Row],[Core²-Retail Sales]]*1)/Q235)-1)</f>
        <v>8.0455525973142095E-3</v>
      </c>
      <c r="S236" s="8">
        <f>IF(Tabela1511[[#This Row],[Core²-Retail Sales]]="",#N/A,((Tabela1511[[#This Row],[Core²-Retail Sales]]*1)/Q224)-1)</f>
        <v>5.2022066279965973E-2</v>
      </c>
      <c r="T236" s="5">
        <v>104.5</v>
      </c>
      <c r="U236" s="5"/>
      <c r="V236" s="5"/>
      <c r="W236" s="25"/>
      <c r="X236" s="25"/>
      <c r="Y236" s="25"/>
      <c r="Z236" s="25"/>
      <c r="AA236" s="25"/>
      <c r="AB236" s="25"/>
    </row>
    <row r="237" spans="1:28">
      <c r="A237" s="6">
        <v>35612</v>
      </c>
      <c r="B237" s="36"/>
      <c r="C237" s="36"/>
      <c r="D237" s="35"/>
      <c r="E237" s="7">
        <v>80.48</v>
      </c>
      <c r="F237" s="8">
        <f>IF(Tabela1511[[#This Row],[Industrial Production]]="",#N/A,((Tabela1511[[#This Row],[Industrial Production]]*1)/E236)-1)</f>
        <v>8.4606439712899828E-3</v>
      </c>
      <c r="G237" s="8">
        <f>IF(Tabela1511[[#This Row],[Industrial Production]]="",#N/A,((Tabela1511[[#This Row],[Industrial Production]]*1)/E225)-1)</f>
        <v>6.772236034568313E-2</v>
      </c>
      <c r="H237" s="32">
        <v>228703</v>
      </c>
      <c r="I237" s="8">
        <f>IF(Tabela1511[[#This Row],[Retail Sales]]="",#N/A,((Tabela1511[[#This Row],[Retail Sales]]*1)/H236)-1)</f>
        <v>1.1705012452611463E-2</v>
      </c>
      <c r="J237" s="8">
        <f>IF(Tabela1511[[#This Row],[Retail Sales]]="",#N/A,((Tabela1511[[#This Row],[Retail Sales]]*1)/H225)-1)</f>
        <v>5.7185252297394795E-2</v>
      </c>
      <c r="K237" s="32">
        <v>173448</v>
      </c>
      <c r="L237" s="8">
        <f>IF(Tabela1511[[#This Row],[Core-Retail Sales]]="",#N/A,((Tabela1511[[#This Row],[Core-Retail Sales]]*1)/K236)-1)</f>
        <v>8.4713735021018088E-3</v>
      </c>
      <c r="M237" s="8">
        <f>IF(Tabela1511[[#This Row],[Core-Retail Sales]]="",#N/A,((Tabela1511[[#This Row],[Core-Retail Sales]]*1)/K225)-1)</f>
        <v>5.5498758580400098E-2</v>
      </c>
      <c r="N237" s="84">
        <v>142583</v>
      </c>
      <c r="O237" s="8">
        <f>IF(Tabela1511[[#This Row],[Real Retail Sales]]="",#N/A,((Tabela1511[[#This Row],[Real Retail Sales]]*1)/N236)-1)</f>
        <v>1.0445825567469091E-2</v>
      </c>
      <c r="P237" s="8">
        <f>IF(Tabela1511[[#This Row],[Real Retail Sales]]="",#N/A,((Tabela1511[[#This Row],[Real Retail Sales]]*1)/N225)-1)</f>
        <v>3.4777307661603363E-2</v>
      </c>
      <c r="Q237" s="32">
        <v>157052</v>
      </c>
      <c r="R237" s="8">
        <f>IF(Tabela1511[[#This Row],[Core²-Retail Sales]]="",#N/A,((Tabela1511[[#This Row],[Core²-Retail Sales]]*1)/Q236)-1)</f>
        <v>9.2472993901537848E-3</v>
      </c>
      <c r="S237" s="8">
        <f>IF(Tabela1511[[#This Row],[Core²-Retail Sales]]="",#N/A,((Tabela1511[[#This Row],[Core²-Retail Sales]]*1)/Q225)-1)</f>
        <v>5.9351244156947924E-2</v>
      </c>
      <c r="T237" s="5">
        <v>107.1</v>
      </c>
      <c r="U237" s="5"/>
      <c r="V237" s="5"/>
      <c r="W237" s="25"/>
      <c r="X237" s="25"/>
      <c r="Y237" s="25"/>
      <c r="Z237" s="25"/>
      <c r="AA237" s="25"/>
      <c r="AB237" s="25"/>
    </row>
    <row r="238" spans="1:28">
      <c r="A238" s="6">
        <v>35643</v>
      </c>
      <c r="B238" s="36"/>
      <c r="C238" s="36"/>
      <c r="D238" s="35"/>
      <c r="E238" s="7">
        <v>81.286199999999994</v>
      </c>
      <c r="F238" s="8">
        <f>IF(Tabela1511[[#This Row],[Industrial Production]]="",#N/A,((Tabela1511[[#This Row],[Industrial Production]]*1)/E237)-1)</f>
        <v>1.0017395626242376E-2</v>
      </c>
      <c r="G238" s="8">
        <f>IF(Tabela1511[[#This Row],[Industrial Production]]="",#N/A,((Tabela1511[[#This Row],[Industrial Production]]*1)/E226)-1)</f>
        <v>7.2988827405592538E-2</v>
      </c>
      <c r="H238" s="32">
        <v>229309</v>
      </c>
      <c r="I238" s="8">
        <f>IF(Tabela1511[[#This Row],[Retail Sales]]="",#N/A,((Tabela1511[[#This Row],[Retail Sales]]*1)/H237)-1)</f>
        <v>2.6497247521894973E-3</v>
      </c>
      <c r="J238" s="8">
        <f>IF(Tabela1511[[#This Row],[Retail Sales]]="",#N/A,((Tabela1511[[#This Row],[Retail Sales]]*1)/H226)-1)</f>
        <v>5.9859122380498953E-2</v>
      </c>
      <c r="K238" s="32">
        <v>173821</v>
      </c>
      <c r="L238" s="8">
        <f>IF(Tabela1511[[#This Row],[Core-Retail Sales]]="",#N/A,((Tabela1511[[#This Row],[Core-Retail Sales]]*1)/K237)-1)</f>
        <v>2.1505004381716653E-3</v>
      </c>
      <c r="M238" s="8">
        <f>IF(Tabela1511[[#This Row],[Core-Retail Sales]]="",#N/A,((Tabela1511[[#This Row],[Core-Retail Sales]]*1)/K226)-1)</f>
        <v>5.4188954793008559E-2</v>
      </c>
      <c r="N238" s="84">
        <v>142605</v>
      </c>
      <c r="O238" s="8">
        <f>IF(Tabela1511[[#This Row],[Real Retail Sales]]="",#N/A,((Tabela1511[[#This Row],[Real Retail Sales]]*1)/N237)-1)</f>
        <v>1.5429609420469781E-4</v>
      </c>
      <c r="P238" s="8">
        <f>IF(Tabela1511[[#This Row],[Real Retail Sales]]="",#N/A,((Tabela1511[[#This Row],[Real Retail Sales]]*1)/N226)-1)</f>
        <v>3.6132585445245224E-2</v>
      </c>
      <c r="Q238" s="32">
        <v>157139</v>
      </c>
      <c r="R238" s="8">
        <f>IF(Tabela1511[[#This Row],[Core²-Retail Sales]]="",#N/A,((Tabela1511[[#This Row],[Core²-Retail Sales]]*1)/Q237)-1)</f>
        <v>5.5395665130020255E-4</v>
      </c>
      <c r="S238" s="8">
        <f>IF(Tabela1511[[#This Row],[Core²-Retail Sales]]="",#N/A,((Tabela1511[[#This Row],[Core²-Retail Sales]]*1)/Q226)-1)</f>
        <v>5.5899744657976091E-2</v>
      </c>
      <c r="T238" s="5">
        <v>104.4</v>
      </c>
      <c r="U238" s="5"/>
      <c r="V238" s="5"/>
      <c r="W238" s="25"/>
      <c r="X238" s="25"/>
      <c r="Y238" s="25"/>
      <c r="Z238" s="25"/>
      <c r="AA238" s="25"/>
      <c r="AB238" s="25"/>
    </row>
    <row r="239" spans="1:28">
      <c r="A239" s="6">
        <v>35674</v>
      </c>
      <c r="B239" s="36"/>
      <c r="C239" s="36"/>
      <c r="D239" s="35"/>
      <c r="E239" s="7">
        <v>82.037999999999997</v>
      </c>
      <c r="F239" s="8">
        <f>IF(Tabela1511[[#This Row],[Industrial Production]]="",#N/A,((Tabela1511[[#This Row],[Industrial Production]]*1)/E238)-1)</f>
        <v>9.2488023797396846E-3</v>
      </c>
      <c r="G239" s="8">
        <f>IF(Tabela1511[[#This Row],[Industrial Production]]="",#N/A,((Tabela1511[[#This Row],[Industrial Production]]*1)/E227)-1)</f>
        <v>7.6184829149525513E-2</v>
      </c>
      <c r="H239" s="32">
        <v>230312</v>
      </c>
      <c r="I239" s="8">
        <f>IF(Tabela1511[[#This Row],[Retail Sales]]="",#N/A,((Tabela1511[[#This Row],[Retail Sales]]*1)/H238)-1)</f>
        <v>4.3740106144982693E-3</v>
      </c>
      <c r="J239" s="8">
        <f>IF(Tabela1511[[#This Row],[Retail Sales]]="",#N/A,((Tabela1511[[#This Row],[Retail Sales]]*1)/H227)-1)</f>
        <v>5.0425073886233518E-2</v>
      </c>
      <c r="K239" s="32">
        <v>174978</v>
      </c>
      <c r="L239" s="8">
        <f>IF(Tabela1511[[#This Row],[Core-Retail Sales]]="",#N/A,((Tabela1511[[#This Row],[Core-Retail Sales]]*1)/K238)-1)</f>
        <v>6.6562728323964482E-3</v>
      </c>
      <c r="M239" s="8">
        <f>IF(Tabela1511[[#This Row],[Core-Retail Sales]]="",#N/A,((Tabela1511[[#This Row],[Core-Retail Sales]]*1)/K227)-1)</f>
        <v>5.3627342357531749E-2</v>
      </c>
      <c r="N239" s="84">
        <v>142873</v>
      </c>
      <c r="O239" s="8">
        <f>IF(Tabela1511[[#This Row],[Real Retail Sales]]="",#N/A,((Tabela1511[[#This Row],[Real Retail Sales]]*1)/N238)-1)</f>
        <v>1.8793169944952837E-3</v>
      </c>
      <c r="P239" s="8">
        <f>IF(Tabela1511[[#This Row],[Real Retail Sales]]="",#N/A,((Tabela1511[[#This Row],[Real Retail Sales]]*1)/N227)-1)</f>
        <v>2.7611951033560178E-2</v>
      </c>
      <c r="Q239" s="32">
        <v>158221</v>
      </c>
      <c r="R239" s="8">
        <f>IF(Tabela1511[[#This Row],[Core²-Retail Sales]]="",#N/A,((Tabela1511[[#This Row],[Core²-Retail Sales]]*1)/Q238)-1)</f>
        <v>6.8856235562144708E-3</v>
      </c>
      <c r="S239" s="8">
        <f>IF(Tabela1511[[#This Row],[Core²-Retail Sales]]="",#N/A,((Tabela1511[[#This Row],[Core²-Retail Sales]]*1)/Q227)-1)</f>
        <v>5.4919191380413901E-2</v>
      </c>
      <c r="T239" s="5">
        <v>106</v>
      </c>
      <c r="U239" s="5"/>
      <c r="V239" s="5"/>
      <c r="W239" s="25"/>
      <c r="X239" s="25"/>
      <c r="Y239" s="25"/>
      <c r="Z239" s="25"/>
      <c r="AA239" s="25"/>
      <c r="AB239" s="25"/>
    </row>
    <row r="240" spans="1:28">
      <c r="A240" s="6">
        <v>35704</v>
      </c>
      <c r="B240" s="36"/>
      <c r="C240" s="36"/>
      <c r="D240" s="35"/>
      <c r="E240" s="7">
        <v>82.765699999999995</v>
      </c>
      <c r="F240" s="8">
        <f>IF(Tabela1511[[#This Row],[Industrial Production]]="",#N/A,((Tabela1511[[#This Row],[Industrial Production]]*1)/E239)-1)</f>
        <v>8.8702796265145434E-3</v>
      </c>
      <c r="G240" s="8">
        <f>IF(Tabela1511[[#This Row],[Industrial Production]]="",#N/A,((Tabela1511[[#This Row],[Industrial Production]]*1)/E228)-1)</f>
        <v>8.5889007114995586E-2</v>
      </c>
      <c r="H240" s="32">
        <v>229836</v>
      </c>
      <c r="I240" s="8">
        <f>IF(Tabela1511[[#This Row],[Retail Sales]]="",#N/A,((Tabela1511[[#This Row],[Retail Sales]]*1)/H239)-1)</f>
        <v>-2.0667616103372533E-3</v>
      </c>
      <c r="J240" s="8">
        <f>IF(Tabela1511[[#This Row],[Retail Sales]]="",#N/A,((Tabela1511[[#This Row],[Retail Sales]]*1)/H228)-1)</f>
        <v>3.969962905998381E-2</v>
      </c>
      <c r="K240" s="32">
        <v>174980</v>
      </c>
      <c r="L240" s="8">
        <f>IF(Tabela1511[[#This Row],[Core-Retail Sales]]="",#N/A,((Tabela1511[[#This Row],[Core-Retail Sales]]*1)/K239)-1)</f>
        <v>1.1430008343804587E-5</v>
      </c>
      <c r="M240" s="8">
        <f>IF(Tabela1511[[#This Row],[Core-Retail Sales]]="",#N/A,((Tabela1511[[#This Row],[Core-Retail Sales]]*1)/K228)-1)</f>
        <v>4.3971123441322035E-2</v>
      </c>
      <c r="N240" s="84">
        <v>142313</v>
      </c>
      <c r="O240" s="8">
        <f>IF(Tabela1511[[#This Row],[Real Retail Sales]]="",#N/A,((Tabela1511[[#This Row],[Real Retail Sales]]*1)/N239)-1)</f>
        <v>-3.919564928292929E-3</v>
      </c>
      <c r="P240" s="8">
        <f>IF(Tabela1511[[#This Row],[Real Retail Sales]]="",#N/A,((Tabela1511[[#This Row],[Real Retail Sales]]*1)/N228)-1)</f>
        <v>1.8449207428346437E-2</v>
      </c>
      <c r="Q240" s="32">
        <v>158269</v>
      </c>
      <c r="R240" s="8">
        <f>IF(Tabela1511[[#This Row],[Core²-Retail Sales]]="",#N/A,((Tabela1511[[#This Row],[Core²-Retail Sales]]*1)/Q239)-1)</f>
        <v>3.0337312998907073E-4</v>
      </c>
      <c r="S240" s="8">
        <f>IF(Tabela1511[[#This Row],[Core²-Retail Sales]]="",#N/A,((Tabela1511[[#This Row],[Core²-Retail Sales]]*1)/Q228)-1)</f>
        <v>4.6406611570247946E-2</v>
      </c>
      <c r="T240" s="5">
        <v>105.6</v>
      </c>
      <c r="U240" s="5"/>
      <c r="V240" s="5"/>
      <c r="W240" s="25"/>
      <c r="X240" s="25"/>
      <c r="Y240" s="25"/>
      <c r="Z240" s="25"/>
      <c r="AA240" s="25"/>
      <c r="AB240" s="25"/>
    </row>
    <row r="241" spans="1:28">
      <c r="A241" s="6">
        <v>35735</v>
      </c>
      <c r="B241" s="36"/>
      <c r="C241" s="36"/>
      <c r="D241" s="35"/>
      <c r="E241" s="7">
        <v>83.432100000000005</v>
      </c>
      <c r="F241" s="8">
        <f>IF(Tabela1511[[#This Row],[Industrial Production]]="",#N/A,((Tabela1511[[#This Row],[Industrial Production]]*1)/E240)-1)</f>
        <v>8.0516445822365057E-3</v>
      </c>
      <c r="G241" s="8">
        <f>IF(Tabela1511[[#This Row],[Industrial Production]]="",#N/A,((Tabela1511[[#This Row],[Industrial Production]]*1)/E229)-1)</f>
        <v>8.5026029305239392E-2</v>
      </c>
      <c r="H241" s="32">
        <v>230440</v>
      </c>
      <c r="I241" s="8">
        <f>IF(Tabela1511[[#This Row],[Retail Sales]]="",#N/A,((Tabela1511[[#This Row],[Retail Sales]]*1)/H240)-1)</f>
        <v>2.6279608068362492E-3</v>
      </c>
      <c r="J241" s="8">
        <f>IF(Tabela1511[[#This Row],[Retail Sales]]="",#N/A,((Tabela1511[[#This Row],[Retail Sales]]*1)/H229)-1)</f>
        <v>4.2889533541814684E-2</v>
      </c>
      <c r="K241" s="32">
        <v>175126</v>
      </c>
      <c r="L241" s="8">
        <f>IF(Tabela1511[[#This Row],[Core-Retail Sales]]="",#N/A,((Tabela1511[[#This Row],[Core-Retail Sales]]*1)/K240)-1)</f>
        <v>8.3438107212252532E-4</v>
      </c>
      <c r="M241" s="8">
        <f>IF(Tabela1511[[#This Row],[Core-Retail Sales]]="",#N/A,((Tabela1511[[#This Row],[Core-Retail Sales]]*1)/K229)-1)</f>
        <v>4.0849197339720478E-2</v>
      </c>
      <c r="N241" s="84">
        <v>142511</v>
      </c>
      <c r="O241" s="8">
        <f>IF(Tabela1511[[#This Row],[Real Retail Sales]]="",#N/A,((Tabela1511[[#This Row],[Real Retail Sales]]*1)/N240)-1)</f>
        <v>1.3912994596416706E-3</v>
      </c>
      <c r="P241" s="8">
        <f>IF(Tabela1511[[#This Row],[Real Retail Sales]]="",#N/A,((Tabela1511[[#This Row],[Real Retail Sales]]*1)/N229)-1)</f>
        <v>2.3543269196239391E-2</v>
      </c>
      <c r="Q241" s="32">
        <v>158488</v>
      </c>
      <c r="R241" s="8">
        <f>IF(Tabela1511[[#This Row],[Core²-Retail Sales]]="",#N/A,((Tabela1511[[#This Row],[Core²-Retail Sales]]*1)/Q240)-1)</f>
        <v>1.3837201220705531E-3</v>
      </c>
      <c r="S241" s="8">
        <f>IF(Tabela1511[[#This Row],[Core²-Retail Sales]]="",#N/A,((Tabela1511[[#This Row],[Core²-Retail Sales]]*1)/Q229)-1)</f>
        <v>4.5083777884748599E-2</v>
      </c>
      <c r="T241" s="5">
        <v>107.2</v>
      </c>
      <c r="U241" s="5"/>
      <c r="V241" s="5"/>
      <c r="W241" s="25"/>
      <c r="X241" s="25"/>
      <c r="Y241" s="25"/>
      <c r="Z241" s="25"/>
      <c r="AA241" s="25"/>
      <c r="AB241" s="25"/>
    </row>
    <row r="242" spans="1:28">
      <c r="A242" s="6">
        <v>35765</v>
      </c>
      <c r="B242" s="36"/>
      <c r="C242" s="36"/>
      <c r="D242" s="35"/>
      <c r="E242" s="7">
        <v>83.782600000000002</v>
      </c>
      <c r="F242" s="8">
        <f>IF(Tabela1511[[#This Row],[Industrial Production]]="",#N/A,((Tabela1511[[#This Row],[Industrial Production]]*1)/E241)-1)</f>
        <v>4.2010209499701023E-3</v>
      </c>
      <c r="G242" s="8">
        <f>IF(Tabela1511[[#This Row],[Industrial Production]]="",#N/A,((Tabela1511[[#This Row],[Industrial Production]]*1)/E230)-1)</f>
        <v>8.2838867771874325E-2</v>
      </c>
      <c r="H242" s="32">
        <v>231181</v>
      </c>
      <c r="I242" s="8">
        <f>IF(Tabela1511[[#This Row],[Retail Sales]]="",#N/A,((Tabela1511[[#This Row],[Retail Sales]]*1)/H241)-1)</f>
        <v>3.2155875716022297E-3</v>
      </c>
      <c r="J242" s="8">
        <f>IF(Tabela1511[[#This Row],[Retail Sales]]="",#N/A,((Tabela1511[[#This Row],[Retail Sales]]*1)/H230)-1)</f>
        <v>4.1398074696721965E-2</v>
      </c>
      <c r="K242" s="32">
        <v>175418</v>
      </c>
      <c r="L242" s="8">
        <f>IF(Tabela1511[[#This Row],[Core-Retail Sales]]="",#N/A,((Tabela1511[[#This Row],[Core-Retail Sales]]*1)/K241)-1)</f>
        <v>1.6673709215080379E-3</v>
      </c>
      <c r="M242" s="8">
        <f>IF(Tabela1511[[#This Row],[Core-Retail Sales]]="",#N/A,((Tabela1511[[#This Row],[Core-Retail Sales]]*1)/K230)-1)</f>
        <v>3.7019082976660567E-2</v>
      </c>
      <c r="N242" s="84">
        <v>142881</v>
      </c>
      <c r="O242" s="8">
        <f>IF(Tabela1511[[#This Row],[Real Retail Sales]]="",#N/A,((Tabela1511[[#This Row],[Real Retail Sales]]*1)/N241)-1)</f>
        <v>2.5962908126391238E-3</v>
      </c>
      <c r="P242" s="8">
        <f>IF(Tabela1511[[#This Row],[Real Retail Sales]]="",#N/A,((Tabela1511[[#This Row],[Real Retail Sales]]*1)/N230)-1)</f>
        <v>2.402367966515917E-2</v>
      </c>
      <c r="Q242" s="32">
        <v>158882</v>
      </c>
      <c r="R242" s="8">
        <f>IF(Tabela1511[[#This Row],[Core²-Retail Sales]]="",#N/A,((Tabela1511[[#This Row],[Core²-Retail Sales]]*1)/Q241)-1)</f>
        <v>2.4859926303568702E-3</v>
      </c>
      <c r="S242" s="8">
        <f>IF(Tabela1511[[#This Row],[Core²-Retail Sales]]="",#N/A,((Tabela1511[[#This Row],[Core²-Retail Sales]]*1)/Q230)-1)</f>
        <v>4.2553331102318293E-2</v>
      </c>
      <c r="T242" s="5">
        <v>102.1</v>
      </c>
      <c r="U242" s="5"/>
      <c r="V242" s="5"/>
      <c r="W242" s="25"/>
      <c r="X242" s="25"/>
      <c r="Y242" s="25"/>
      <c r="Z242" s="25"/>
      <c r="AA242" s="25"/>
      <c r="AB242" s="25"/>
    </row>
    <row r="243" spans="1:28">
      <c r="A243" s="6">
        <v>35796</v>
      </c>
      <c r="B243" s="36"/>
      <c r="C243" s="36"/>
      <c r="D243" s="35"/>
      <c r="E243" s="7">
        <v>84.165599999999998</v>
      </c>
      <c r="F243" s="8">
        <f>IF(Tabela1511[[#This Row],[Industrial Production]]="",#N/A,((Tabela1511[[#This Row],[Industrial Production]]*1)/E242)-1)</f>
        <v>4.5713549114017038E-3</v>
      </c>
      <c r="G243" s="8">
        <f>IF(Tabela1511[[#This Row],[Industrial Production]]="",#N/A,((Tabela1511[[#This Row],[Industrial Production]]*1)/E231)-1)</f>
        <v>8.5814396920290248E-2</v>
      </c>
      <c r="H243" s="32">
        <v>231587</v>
      </c>
      <c r="I243" s="8">
        <f>IF(Tabela1511[[#This Row],[Retail Sales]]="",#N/A,((Tabela1511[[#This Row],[Retail Sales]]*1)/H242)-1)</f>
        <v>1.756199687690696E-3</v>
      </c>
      <c r="J243" s="8">
        <f>IF(Tabela1511[[#This Row],[Retail Sales]]="",#N/A,((Tabela1511[[#This Row],[Retail Sales]]*1)/H231)-1)</f>
        <v>3.6271539862449131E-2</v>
      </c>
      <c r="K243" s="32">
        <v>176093</v>
      </c>
      <c r="L243" s="8">
        <f>IF(Tabela1511[[#This Row],[Core-Retail Sales]]="",#N/A,((Tabela1511[[#This Row],[Core-Retail Sales]]*1)/K242)-1)</f>
        <v>3.8479517495353388E-3</v>
      </c>
      <c r="M243" s="8">
        <f>IF(Tabela1511[[#This Row],[Core-Retail Sales]]="",#N/A,((Tabela1511[[#This Row],[Core-Retail Sales]]*1)/K231)-1)</f>
        <v>3.9074531925816114E-2</v>
      </c>
      <c r="N243" s="84">
        <v>142955</v>
      </c>
      <c r="O243" s="8">
        <f>IF(Tabela1511[[#This Row],[Real Retail Sales]]="",#N/A,((Tabela1511[[#This Row],[Real Retail Sales]]*1)/N242)-1)</f>
        <v>5.1791350844410111E-4</v>
      </c>
      <c r="P243" s="8">
        <f>IF(Tabela1511[[#This Row],[Real Retail Sales]]="",#N/A,((Tabela1511[[#This Row],[Real Retail Sales]]*1)/N231)-1)</f>
        <v>1.9643226510509981E-2</v>
      </c>
      <c r="Q243" s="32">
        <v>159868</v>
      </c>
      <c r="R243" s="8">
        <f>IF(Tabela1511[[#This Row],[Core²-Retail Sales]]="",#N/A,((Tabela1511[[#This Row],[Core²-Retail Sales]]*1)/Q242)-1)</f>
        <v>6.2058634710036031E-3</v>
      </c>
      <c r="S243" s="8">
        <f>IF(Tabela1511[[#This Row],[Core²-Retail Sales]]="",#N/A,((Tabela1511[[#This Row],[Core²-Retail Sales]]*1)/Q231)-1)</f>
        <v>4.8087954737663363E-2</v>
      </c>
      <c r="T243" s="5">
        <v>106.6</v>
      </c>
      <c r="U243" s="5"/>
      <c r="V243" s="5"/>
      <c r="W243" s="25"/>
      <c r="X243" s="25"/>
      <c r="Y243" s="25"/>
      <c r="Z243" s="25"/>
      <c r="AA243" s="25"/>
      <c r="AB243" s="25"/>
    </row>
    <row r="244" spans="1:28">
      <c r="A244" s="6">
        <v>35827</v>
      </c>
      <c r="B244" s="36"/>
      <c r="C244" s="36"/>
      <c r="D244" s="35"/>
      <c r="E244" s="7">
        <v>84.3048</v>
      </c>
      <c r="F244" s="8">
        <f>IF(Tabela1511[[#This Row],[Industrial Production]]="",#N/A,((Tabela1511[[#This Row],[Industrial Production]]*1)/E243)-1)</f>
        <v>1.6538823462317609E-3</v>
      </c>
      <c r="G244" s="8">
        <f>IF(Tabela1511[[#This Row],[Industrial Production]]="",#N/A,((Tabela1511[[#This Row],[Industrial Production]]*1)/E232)-1)</f>
        <v>7.4979024438760256E-2</v>
      </c>
      <c r="H244" s="32">
        <v>231684</v>
      </c>
      <c r="I244" s="8">
        <f>IF(Tabela1511[[#This Row],[Retail Sales]]="",#N/A,((Tabela1511[[#This Row],[Retail Sales]]*1)/H243)-1)</f>
        <v>4.1884907183908915E-4</v>
      </c>
      <c r="J244" s="8">
        <f>IF(Tabela1511[[#This Row],[Retail Sales]]="",#N/A,((Tabela1511[[#This Row],[Retail Sales]]*1)/H232)-1)</f>
        <v>2.7779010034512996E-2</v>
      </c>
      <c r="K244" s="32">
        <v>176843</v>
      </c>
      <c r="L244" s="8">
        <f>IF(Tabela1511[[#This Row],[Core-Retail Sales]]="",#N/A,((Tabela1511[[#This Row],[Core-Retail Sales]]*1)/K243)-1)</f>
        <v>4.2591130822917656E-3</v>
      </c>
      <c r="M244" s="8">
        <f>IF(Tabela1511[[#This Row],[Core-Retail Sales]]="",#N/A,((Tabela1511[[#This Row],[Core-Retail Sales]]*1)/K232)-1)</f>
        <v>3.5253276821936463E-2</v>
      </c>
      <c r="N244" s="84">
        <v>143015</v>
      </c>
      <c r="O244" s="8">
        <f>IF(Tabela1511[[#This Row],[Real Retail Sales]]="",#N/A,((Tabela1511[[#This Row],[Real Retail Sales]]*1)/N243)-1)</f>
        <v>4.197124969396171E-4</v>
      </c>
      <c r="P244" s="8">
        <f>IF(Tabela1511[[#This Row],[Real Retail Sales]]="",#N/A,((Tabela1511[[#This Row],[Real Retail Sales]]*1)/N232)-1)</f>
        <v>1.3191359730221786E-2</v>
      </c>
      <c r="Q244" s="32">
        <v>160789</v>
      </c>
      <c r="R244" s="8">
        <f>IF(Tabela1511[[#This Row],[Core²-Retail Sales]]="",#N/A,((Tabela1511[[#This Row],[Core²-Retail Sales]]*1)/Q243)-1)</f>
        <v>5.7610028273324954E-3</v>
      </c>
      <c r="S244" s="8">
        <f>IF(Tabela1511[[#This Row],[Core²-Retail Sales]]="",#N/A,((Tabela1511[[#This Row],[Core²-Retail Sales]]*1)/Q232)-1)</f>
        <v>4.5190688845986315E-2</v>
      </c>
      <c r="T244" s="5">
        <v>110.4</v>
      </c>
      <c r="U244" s="5"/>
      <c r="V244" s="5"/>
      <c r="W244" s="25"/>
      <c r="X244" s="25"/>
      <c r="Y244" s="25"/>
      <c r="Z244" s="25"/>
      <c r="AA244" s="25"/>
      <c r="AB244" s="25"/>
    </row>
    <row r="245" spans="1:28">
      <c r="A245" s="6">
        <v>35855</v>
      </c>
      <c r="B245" s="36"/>
      <c r="C245" s="36"/>
      <c r="D245" s="35"/>
      <c r="E245" s="7">
        <v>84.3416</v>
      </c>
      <c r="F245" s="8">
        <f>IF(Tabela1511[[#This Row],[Industrial Production]]="",#N/A,((Tabela1511[[#This Row],[Industrial Production]]*1)/E244)-1)</f>
        <v>4.365113255710984E-4</v>
      </c>
      <c r="G245" s="8">
        <f>IF(Tabela1511[[#This Row],[Industrial Production]]="",#N/A,((Tabela1511[[#This Row],[Industrial Production]]*1)/E233)-1)</f>
        <v>6.8608048490623075E-2</v>
      </c>
      <c r="H245" s="32">
        <v>233083</v>
      </c>
      <c r="I245" s="8">
        <f>IF(Tabela1511[[#This Row],[Retail Sales]]="",#N/A,((Tabela1511[[#This Row],[Retail Sales]]*1)/H244)-1)</f>
        <v>6.0383971271213976E-3</v>
      </c>
      <c r="J245" s="8">
        <f>IF(Tabela1511[[#This Row],[Retail Sales]]="",#N/A,((Tabela1511[[#This Row],[Retail Sales]]*1)/H233)-1)</f>
        <v>3.0606514827932418E-2</v>
      </c>
      <c r="K245" s="32">
        <v>176948</v>
      </c>
      <c r="L245" s="8">
        <f>IF(Tabela1511[[#This Row],[Core-Retail Sales]]="",#N/A,((Tabela1511[[#This Row],[Core-Retail Sales]]*1)/K244)-1)</f>
        <v>5.9374699592296132E-4</v>
      </c>
      <c r="M245" s="8">
        <f>IF(Tabela1511[[#This Row],[Core-Retail Sales]]="",#N/A,((Tabela1511[[#This Row],[Core-Retail Sales]]*1)/K233)-1)</f>
        <v>2.9198269042855163E-2</v>
      </c>
      <c r="N245" s="84">
        <v>143878</v>
      </c>
      <c r="O245" s="8">
        <f>IF(Tabela1511[[#This Row],[Real Retail Sales]]="",#N/A,((Tabela1511[[#This Row],[Real Retail Sales]]*1)/N244)-1)</f>
        <v>6.0343320630702468E-3</v>
      </c>
      <c r="P245" s="8">
        <f>IF(Tabela1511[[#This Row],[Real Retail Sales]]="",#N/A,((Tabela1511[[#This Row],[Real Retail Sales]]*1)/N233)-1)</f>
        <v>1.6604488157820452E-2</v>
      </c>
      <c r="Q245" s="32">
        <v>161245</v>
      </c>
      <c r="R245" s="8">
        <f>IF(Tabela1511[[#This Row],[Core²-Retail Sales]]="",#N/A,((Tabela1511[[#This Row],[Core²-Retail Sales]]*1)/Q244)-1)</f>
        <v>2.83601490151697E-3</v>
      </c>
      <c r="S245" s="8">
        <f>IF(Tabela1511[[#This Row],[Core²-Retail Sales]]="",#N/A,((Tabela1511[[#This Row],[Core²-Retail Sales]]*1)/Q233)-1)</f>
        <v>4.056556895694996E-2</v>
      </c>
      <c r="T245" s="5">
        <v>106.5</v>
      </c>
      <c r="U245" s="5"/>
      <c r="V245" s="5"/>
      <c r="W245" s="25"/>
      <c r="X245" s="25"/>
      <c r="Y245" s="25"/>
      <c r="Z245" s="25"/>
      <c r="AA245" s="25"/>
      <c r="AB245" s="25"/>
    </row>
    <row r="246" spans="1:28">
      <c r="A246" s="6">
        <v>35886</v>
      </c>
      <c r="B246" s="36"/>
      <c r="C246" s="36"/>
      <c r="D246" s="35"/>
      <c r="E246" s="7">
        <v>84.626300000000001</v>
      </c>
      <c r="F246" s="8">
        <f>IF(Tabela1511[[#This Row],[Industrial Production]]="",#N/A,((Tabela1511[[#This Row],[Industrial Production]]*1)/E245)-1)</f>
        <v>3.3755584432830776E-3</v>
      </c>
      <c r="G246" s="8">
        <f>IF(Tabela1511[[#This Row],[Industrial Production]]="",#N/A,((Tabela1511[[#This Row],[Industrial Production]]*1)/E234)-1)</f>
        <v>7.132205123530877E-2</v>
      </c>
      <c r="H246" s="32">
        <v>235986</v>
      </c>
      <c r="I246" s="8">
        <f>IF(Tabela1511[[#This Row],[Retail Sales]]="",#N/A,((Tabela1511[[#This Row],[Retail Sales]]*1)/H245)-1)</f>
        <v>1.2454790782682634E-2</v>
      </c>
      <c r="J246" s="8">
        <f>IF(Tabela1511[[#This Row],[Retail Sales]]="",#N/A,((Tabela1511[[#This Row],[Retail Sales]]*1)/H234)-1)</f>
        <v>5.0624401754112647E-2</v>
      </c>
      <c r="K246" s="32">
        <v>178522</v>
      </c>
      <c r="L246" s="8">
        <f>IF(Tabela1511[[#This Row],[Core-Retail Sales]]="",#N/A,((Tabela1511[[#This Row],[Core-Retail Sales]]*1)/K245)-1)</f>
        <v>8.8952686665009217E-3</v>
      </c>
      <c r="M246" s="8">
        <f>IF(Tabela1511[[#This Row],[Core-Retail Sales]]="",#N/A,((Tabela1511[[#This Row],[Core-Retail Sales]]*1)/K234)-1)</f>
        <v>4.5492345713716853E-2</v>
      </c>
      <c r="N246" s="84">
        <v>145491</v>
      </c>
      <c r="O246" s="8">
        <f>IF(Tabela1511[[#This Row],[Real Retail Sales]]="",#N/A,((Tabela1511[[#This Row],[Real Retail Sales]]*1)/N245)-1)</f>
        <v>1.1210887001487313E-2</v>
      </c>
      <c r="P246" s="8">
        <f>IF(Tabela1511[[#This Row],[Real Retail Sales]]="",#N/A,((Tabela1511[[#This Row],[Real Retail Sales]]*1)/N234)-1)</f>
        <v>3.5729540406629123E-2</v>
      </c>
      <c r="Q246" s="32">
        <v>162724</v>
      </c>
      <c r="R246" s="8">
        <f>IF(Tabela1511[[#This Row],[Core²-Retail Sales]]="",#N/A,((Tabela1511[[#This Row],[Core²-Retail Sales]]*1)/Q245)-1)</f>
        <v>9.1723774380600975E-3</v>
      </c>
      <c r="S246" s="8">
        <f>IF(Tabela1511[[#This Row],[Core²-Retail Sales]]="",#N/A,((Tabela1511[[#This Row],[Core²-Retail Sales]]*1)/Q234)-1)</f>
        <v>5.5682783944570158E-2</v>
      </c>
      <c r="T246" s="5">
        <v>108.7</v>
      </c>
      <c r="U246" s="5"/>
      <c r="V246" s="5"/>
      <c r="W246" s="25"/>
      <c r="X246" s="25"/>
      <c r="Y246" s="25"/>
      <c r="Z246" s="25"/>
      <c r="AA246" s="25"/>
      <c r="AB246" s="25"/>
    </row>
    <row r="247" spans="1:28">
      <c r="A247" s="6">
        <v>35916</v>
      </c>
      <c r="B247" s="36"/>
      <c r="C247" s="36"/>
      <c r="D247" s="35"/>
      <c r="E247" s="7">
        <v>85.183899999999994</v>
      </c>
      <c r="F247" s="8">
        <f>IF(Tabela1511[[#This Row],[Industrial Production]]="",#N/A,((Tabela1511[[#This Row],[Industrial Production]]*1)/E246)-1)</f>
        <v>6.5889682049196097E-3</v>
      </c>
      <c r="G247" s="8">
        <f>IF(Tabela1511[[#This Row],[Industrial Production]]="",#N/A,((Tabela1511[[#This Row],[Industrial Production]]*1)/E235)-1)</f>
        <v>7.2290036265862279E-2</v>
      </c>
      <c r="H247" s="32">
        <v>237075</v>
      </c>
      <c r="I247" s="8">
        <f>IF(Tabela1511[[#This Row],[Retail Sales]]="",#N/A,((Tabela1511[[#This Row],[Retail Sales]]*1)/H246)-1)</f>
        <v>4.6146805318960649E-3</v>
      </c>
      <c r="J247" s="8">
        <f>IF(Tabela1511[[#This Row],[Retail Sales]]="",#N/A,((Tabela1511[[#This Row],[Retail Sales]]*1)/H235)-1)</f>
        <v>6.3455180797473698E-2</v>
      </c>
      <c r="K247" s="32">
        <v>179193</v>
      </c>
      <c r="L247" s="8">
        <f>IF(Tabela1511[[#This Row],[Core-Retail Sales]]="",#N/A,((Tabela1511[[#This Row],[Core-Retail Sales]]*1)/K246)-1)</f>
        <v>3.7586403916605171E-3</v>
      </c>
      <c r="M247" s="8">
        <f>IF(Tabela1511[[#This Row],[Core-Retail Sales]]="",#N/A,((Tabela1511[[#This Row],[Core-Retail Sales]]*1)/K235)-1)</f>
        <v>4.9520317679719872E-2</v>
      </c>
      <c r="N247" s="84">
        <v>145803</v>
      </c>
      <c r="O247" s="8">
        <f>IF(Tabela1511[[#This Row],[Real Retail Sales]]="",#N/A,((Tabela1511[[#This Row],[Real Retail Sales]]*1)/N246)-1)</f>
        <v>2.1444625440749654E-3</v>
      </c>
      <c r="P247" s="8">
        <f>IF(Tabela1511[[#This Row],[Real Retail Sales]]="",#N/A,((Tabela1511[[#This Row],[Real Retail Sales]]*1)/N235)-1)</f>
        <v>4.5797529730737807E-2</v>
      </c>
      <c r="Q247" s="32">
        <v>163136</v>
      </c>
      <c r="R247" s="8">
        <f>IF(Tabela1511[[#This Row],[Core²-Retail Sales]]="",#N/A,((Tabela1511[[#This Row],[Core²-Retail Sales]]*1)/Q246)-1)</f>
        <v>2.5318944962020584E-3</v>
      </c>
      <c r="S247" s="8">
        <f>IF(Tabela1511[[#This Row],[Core²-Retail Sales]]="",#N/A,((Tabela1511[[#This Row],[Core²-Retail Sales]]*1)/Q235)-1)</f>
        <v>5.6778799126778967E-2</v>
      </c>
      <c r="T247" s="5">
        <v>106.5</v>
      </c>
      <c r="U247" s="5"/>
      <c r="V247" s="5"/>
      <c r="W247" s="25"/>
      <c r="X247" s="25"/>
      <c r="Y247" s="25"/>
      <c r="Z247" s="25"/>
      <c r="AA247" s="25"/>
      <c r="AB247" s="25"/>
    </row>
    <row r="248" spans="1:28">
      <c r="A248" s="6">
        <v>35947</v>
      </c>
      <c r="B248" s="36"/>
      <c r="C248" s="36"/>
      <c r="D248" s="35"/>
      <c r="E248" s="7">
        <v>84.680899999999994</v>
      </c>
      <c r="F248" s="8">
        <f>IF(Tabela1511[[#This Row],[Industrial Production]]="",#N/A,((Tabela1511[[#This Row],[Industrial Production]]*1)/E247)-1)</f>
        <v>-5.9048716952382341E-3</v>
      </c>
      <c r="G248" s="8">
        <f>IF(Tabela1511[[#This Row],[Industrial Production]]="",#N/A,((Tabela1511[[#This Row],[Industrial Production]]*1)/E236)-1)</f>
        <v>6.1100334816953206E-2</v>
      </c>
      <c r="H248" s="32">
        <v>238971</v>
      </c>
      <c r="I248" s="8">
        <f>IF(Tabela1511[[#This Row],[Retail Sales]]="",#N/A,((Tabela1511[[#This Row],[Retail Sales]]*1)/H247)-1)</f>
        <v>7.9974691553306165E-3</v>
      </c>
      <c r="J248" s="8">
        <f>IF(Tabela1511[[#This Row],[Retail Sales]]="",#N/A,((Tabela1511[[#This Row],[Retail Sales]]*1)/H236)-1)</f>
        <v>5.7127184736593062E-2</v>
      </c>
      <c r="K248" s="32">
        <v>179707</v>
      </c>
      <c r="L248" s="8">
        <f>IF(Tabela1511[[#This Row],[Core-Retail Sales]]="",#N/A,((Tabela1511[[#This Row],[Core-Retail Sales]]*1)/K247)-1)</f>
        <v>2.8684156189136001E-3</v>
      </c>
      <c r="M248" s="8">
        <f>IF(Tabela1511[[#This Row],[Core-Retail Sales]]="",#N/A,((Tabela1511[[#This Row],[Core-Retail Sales]]*1)/K236)-1)</f>
        <v>4.4862812589030909E-2</v>
      </c>
      <c r="N248" s="84">
        <v>146788</v>
      </c>
      <c r="O248" s="8">
        <f>IF(Tabela1511[[#This Row],[Real Retail Sales]]="",#N/A,((Tabela1511[[#This Row],[Real Retail Sales]]*1)/N247)-1)</f>
        <v>6.755690897992439E-3</v>
      </c>
      <c r="P248" s="8">
        <f>IF(Tabela1511[[#This Row],[Real Retail Sales]]="",#N/A,((Tabela1511[[#This Row],[Real Retail Sales]]*1)/N236)-1)</f>
        <v>4.0245483987555675E-2</v>
      </c>
      <c r="Q248" s="32">
        <v>163774</v>
      </c>
      <c r="R248" s="8">
        <f>IF(Tabela1511[[#This Row],[Core²-Retail Sales]]="",#N/A,((Tabela1511[[#This Row],[Core²-Retail Sales]]*1)/Q247)-1)</f>
        <v>3.9108473911337871E-3</v>
      </c>
      <c r="S248" s="8">
        <f>IF(Tabela1511[[#This Row],[Core²-Retail Sales]]="",#N/A,((Tabela1511[[#This Row],[Core²-Retail Sales]]*1)/Q236)-1)</f>
        <v>5.2444204533040217E-2</v>
      </c>
      <c r="T248" s="5">
        <v>105.6</v>
      </c>
      <c r="U248" s="5"/>
      <c r="V248" s="5"/>
      <c r="W248" s="25"/>
      <c r="X248" s="25"/>
      <c r="Y248" s="25"/>
      <c r="Z248" s="25"/>
      <c r="AA248" s="25"/>
      <c r="AB248" s="25"/>
    </row>
    <row r="249" spans="1:28">
      <c r="A249" s="6">
        <v>35977</v>
      </c>
      <c r="B249" s="36"/>
      <c r="C249" s="36"/>
      <c r="D249" s="35"/>
      <c r="E249" s="7">
        <v>84.344800000000006</v>
      </c>
      <c r="F249" s="8">
        <f>IF(Tabela1511[[#This Row],[Industrial Production]]="",#N/A,((Tabela1511[[#This Row],[Industrial Production]]*1)/E248)-1)</f>
        <v>-3.9690178068488846E-3</v>
      </c>
      <c r="G249" s="8">
        <f>IF(Tabela1511[[#This Row],[Industrial Production]]="",#N/A,((Tabela1511[[#This Row],[Industrial Production]]*1)/E237)-1)</f>
        <v>4.8021868787276434E-2</v>
      </c>
      <c r="H249" s="32">
        <v>237411</v>
      </c>
      <c r="I249" s="8">
        <f>IF(Tabela1511[[#This Row],[Retail Sales]]="",#N/A,((Tabela1511[[#This Row],[Retail Sales]]*1)/H248)-1)</f>
        <v>-6.5279887517731838E-3</v>
      </c>
      <c r="J249" s="8">
        <f>IF(Tabela1511[[#This Row],[Retail Sales]]="",#N/A,((Tabela1511[[#This Row],[Retail Sales]]*1)/H237)-1)</f>
        <v>3.8075582742683745E-2</v>
      </c>
      <c r="K249" s="32">
        <v>181091</v>
      </c>
      <c r="L249" s="8">
        <f>IF(Tabela1511[[#This Row],[Core-Retail Sales]]="",#N/A,((Tabela1511[[#This Row],[Core-Retail Sales]]*1)/K248)-1)</f>
        <v>7.7014250975198095E-3</v>
      </c>
      <c r="M249" s="8">
        <f>IF(Tabela1511[[#This Row],[Core-Retail Sales]]="",#N/A,((Tabela1511[[#This Row],[Core-Retail Sales]]*1)/K237)-1)</f>
        <v>4.4065080023984127E-2</v>
      </c>
      <c r="N249" s="84">
        <v>145472</v>
      </c>
      <c r="O249" s="8">
        <f>IF(Tabela1511[[#This Row],[Real Retail Sales]]="",#N/A,((Tabela1511[[#This Row],[Real Retail Sales]]*1)/N248)-1)</f>
        <v>-8.9653105158460367E-3</v>
      </c>
      <c r="P249" s="8">
        <f>IF(Tabela1511[[#This Row],[Real Retail Sales]]="",#N/A,((Tabela1511[[#This Row],[Real Retail Sales]]*1)/N237)-1)</f>
        <v>2.0261882552618404E-2</v>
      </c>
      <c r="Q249" s="32">
        <v>165004</v>
      </c>
      <c r="R249" s="8">
        <f>IF(Tabela1511[[#This Row],[Core²-Retail Sales]]="",#N/A,((Tabela1511[[#This Row],[Core²-Retail Sales]]*1)/Q248)-1)</f>
        <v>7.510349628146118E-3</v>
      </c>
      <c r="S249" s="8">
        <f>IF(Tabela1511[[#This Row],[Core²-Retail Sales]]="",#N/A,((Tabela1511[[#This Row],[Core²-Retail Sales]]*1)/Q237)-1)</f>
        <v>5.0632911392405111E-2</v>
      </c>
      <c r="T249" s="5">
        <v>105.2</v>
      </c>
      <c r="U249" s="5"/>
      <c r="V249" s="5"/>
      <c r="W249" s="25"/>
      <c r="X249" s="25"/>
      <c r="Y249" s="25"/>
      <c r="Z249" s="25"/>
      <c r="AA249" s="25"/>
      <c r="AB249" s="25"/>
    </row>
    <row r="250" spans="1:28">
      <c r="A250" s="6">
        <v>36008</v>
      </c>
      <c r="B250" s="36"/>
      <c r="C250" s="36"/>
      <c r="D250" s="35"/>
      <c r="E250" s="7">
        <v>86.084599999999995</v>
      </c>
      <c r="F250" s="8">
        <f>IF(Tabela1511[[#This Row],[Industrial Production]]="",#N/A,((Tabela1511[[#This Row],[Industrial Production]]*1)/E249)-1)</f>
        <v>2.0627234873993316E-2</v>
      </c>
      <c r="G250" s="8">
        <f>IF(Tabela1511[[#This Row],[Industrial Production]]="",#N/A,((Tabela1511[[#This Row],[Industrial Production]]*1)/E238)-1)</f>
        <v>5.9030930219397648E-2</v>
      </c>
      <c r="H250" s="32">
        <v>236379</v>
      </c>
      <c r="I250" s="8">
        <f>IF(Tabela1511[[#This Row],[Retail Sales]]="",#N/A,((Tabela1511[[#This Row],[Retail Sales]]*1)/H249)-1)</f>
        <v>-4.3468920985126891E-3</v>
      </c>
      <c r="J250" s="8">
        <f>IF(Tabela1511[[#This Row],[Retail Sales]]="",#N/A,((Tabela1511[[#This Row],[Retail Sales]]*1)/H238)-1)</f>
        <v>3.0831759765207689E-2</v>
      </c>
      <c r="K250" s="32">
        <v>181382</v>
      </c>
      <c r="L250" s="8">
        <f>IF(Tabela1511[[#This Row],[Core-Retail Sales]]="",#N/A,((Tabela1511[[#This Row],[Core-Retail Sales]]*1)/K249)-1)</f>
        <v>1.6069269041532053E-3</v>
      </c>
      <c r="M250" s="8">
        <f>IF(Tabela1511[[#This Row],[Core-Retail Sales]]="",#N/A,((Tabela1511[[#This Row],[Core-Retail Sales]]*1)/K238)-1)</f>
        <v>4.3498771724935326E-2</v>
      </c>
      <c r="N250" s="84">
        <v>144663</v>
      </c>
      <c r="O250" s="8">
        <f>IF(Tabela1511[[#This Row],[Real Retail Sales]]="",#N/A,((Tabela1511[[#This Row],[Real Retail Sales]]*1)/N249)-1)</f>
        <v>-5.5612076550813905E-3</v>
      </c>
      <c r="P250" s="8">
        <f>IF(Tabela1511[[#This Row],[Real Retail Sales]]="",#N/A,((Tabela1511[[#This Row],[Real Retail Sales]]*1)/N238)-1)</f>
        <v>1.4431471547280861E-2</v>
      </c>
      <c r="Q250" s="32">
        <v>165531</v>
      </c>
      <c r="R250" s="8">
        <f>IF(Tabela1511[[#This Row],[Core²-Retail Sales]]="",#N/A,((Tabela1511[[#This Row],[Core²-Retail Sales]]*1)/Q249)-1)</f>
        <v>3.1938619669826807E-3</v>
      </c>
      <c r="S250" s="8">
        <f>IF(Tabela1511[[#This Row],[Core²-Retail Sales]]="",#N/A,((Tabela1511[[#This Row],[Core²-Retail Sales]]*1)/Q238)-1)</f>
        <v>5.340494721234057E-2</v>
      </c>
      <c r="T250" s="5">
        <v>104.4</v>
      </c>
      <c r="U250" s="5"/>
      <c r="V250" s="5"/>
      <c r="W250" s="25"/>
      <c r="X250" s="25"/>
      <c r="Y250" s="25"/>
      <c r="Z250" s="25"/>
      <c r="AA250" s="25"/>
      <c r="AB250" s="25"/>
    </row>
    <row r="251" spans="1:28">
      <c r="A251" s="6">
        <v>36039</v>
      </c>
      <c r="B251" s="36"/>
      <c r="C251" s="36"/>
      <c r="D251" s="35"/>
      <c r="E251" s="7">
        <v>85.994500000000002</v>
      </c>
      <c r="F251" s="8">
        <f>IF(Tabela1511[[#This Row],[Industrial Production]]="",#N/A,((Tabela1511[[#This Row],[Industrial Production]]*1)/E250)-1)</f>
        <v>-1.0466448121962957E-3</v>
      </c>
      <c r="G251" s="8">
        <f>IF(Tabela1511[[#This Row],[Industrial Production]]="",#N/A,((Tabela1511[[#This Row],[Industrial Production]]*1)/E239)-1)</f>
        <v>4.8227650600941141E-2</v>
      </c>
      <c r="H251" s="32">
        <v>238550</v>
      </c>
      <c r="I251" s="8">
        <f>IF(Tabela1511[[#This Row],[Retail Sales]]="",#N/A,((Tabela1511[[#This Row],[Retail Sales]]*1)/H250)-1)</f>
        <v>9.1844030138041877E-3</v>
      </c>
      <c r="J251" s="8">
        <f>IF(Tabela1511[[#This Row],[Retail Sales]]="",#N/A,((Tabela1511[[#This Row],[Retail Sales]]*1)/H239)-1)</f>
        <v>3.5768870054534663E-2</v>
      </c>
      <c r="K251" s="32">
        <v>181354</v>
      </c>
      <c r="L251" s="8">
        <f>IF(Tabela1511[[#This Row],[Core-Retail Sales]]="",#N/A,((Tabela1511[[#This Row],[Core-Retail Sales]]*1)/K250)-1)</f>
        <v>-1.5437033443232995E-4</v>
      </c>
      <c r="M251" s="8">
        <f>IF(Tabela1511[[#This Row],[Core-Retail Sales]]="",#N/A,((Tabela1511[[#This Row],[Core-Retail Sales]]*1)/K239)-1)</f>
        <v>3.6438866600372544E-2</v>
      </c>
      <c r="N251" s="84">
        <v>145902</v>
      </c>
      <c r="O251" s="8">
        <f>IF(Tabela1511[[#This Row],[Real Retail Sales]]="",#N/A,((Tabela1511[[#This Row],[Real Retail Sales]]*1)/N250)-1)</f>
        <v>8.5647332075236005E-3</v>
      </c>
      <c r="P251" s="8">
        <f>IF(Tabela1511[[#This Row],[Real Retail Sales]]="",#N/A,((Tabela1511[[#This Row],[Real Retail Sales]]*1)/N239)-1)</f>
        <v>2.1200646728213091E-2</v>
      </c>
      <c r="Q251" s="32">
        <v>165542</v>
      </c>
      <c r="R251" s="8">
        <f>IF(Tabela1511[[#This Row],[Core²-Retail Sales]]="",#N/A,((Tabela1511[[#This Row],[Core²-Retail Sales]]*1)/Q250)-1)</f>
        <v>6.6452809443617866E-5</v>
      </c>
      <c r="S251" s="8">
        <f>IF(Tabela1511[[#This Row],[Core²-Retail Sales]]="",#N/A,((Tabela1511[[#This Row],[Core²-Retail Sales]]*1)/Q239)-1)</f>
        <v>4.6270722596873926E-2</v>
      </c>
      <c r="T251" s="5">
        <v>100.9</v>
      </c>
      <c r="U251" s="5"/>
      <c r="V251" s="5"/>
      <c r="W251" s="25"/>
      <c r="X251" s="25"/>
      <c r="Y251" s="25"/>
      <c r="Z251" s="25"/>
      <c r="AA251" s="25"/>
      <c r="AB251" s="25"/>
    </row>
    <row r="252" spans="1:28">
      <c r="A252" s="6">
        <v>36069</v>
      </c>
      <c r="B252" s="36"/>
      <c r="C252" s="36"/>
      <c r="D252" s="35"/>
      <c r="E252" s="7">
        <v>86.596699999999998</v>
      </c>
      <c r="F252" s="8">
        <f>IF(Tabela1511[[#This Row],[Industrial Production]]="",#N/A,((Tabela1511[[#This Row],[Industrial Production]]*1)/E251)-1)</f>
        <v>7.0027734331845615E-3</v>
      </c>
      <c r="G252" s="8">
        <f>IF(Tabela1511[[#This Row],[Industrial Production]]="",#N/A,((Tabela1511[[#This Row],[Industrial Production]]*1)/E240)-1)</f>
        <v>4.6287290508024492E-2</v>
      </c>
      <c r="H252" s="32">
        <v>242549</v>
      </c>
      <c r="I252" s="8">
        <f>IF(Tabela1511[[#This Row],[Retail Sales]]="",#N/A,((Tabela1511[[#This Row],[Retail Sales]]*1)/H251)-1)</f>
        <v>1.6763781177950188E-2</v>
      </c>
      <c r="J252" s="8">
        <f>IF(Tabela1511[[#This Row],[Retail Sales]]="",#N/A,((Tabela1511[[#This Row],[Retail Sales]]*1)/H240)-1)</f>
        <v>5.5313353869715698E-2</v>
      </c>
      <c r="K252" s="32">
        <v>183255</v>
      </c>
      <c r="L252" s="8">
        <f>IF(Tabela1511[[#This Row],[Core-Retail Sales]]="",#N/A,((Tabela1511[[#This Row],[Core-Retail Sales]]*1)/K251)-1)</f>
        <v>1.0482261212876542E-2</v>
      </c>
      <c r="M252" s="8">
        <f>IF(Tabela1511[[#This Row],[Core-Retail Sales]]="",#N/A,((Tabela1511[[#This Row],[Core-Retail Sales]]*1)/K240)-1)</f>
        <v>4.7291118985026914E-2</v>
      </c>
      <c r="N252" s="84">
        <v>147986</v>
      </c>
      <c r="O252" s="8">
        <f>IF(Tabela1511[[#This Row],[Real Retail Sales]]="",#N/A,((Tabela1511[[#This Row],[Real Retail Sales]]*1)/N251)-1)</f>
        <v>1.4283560197941192E-2</v>
      </c>
      <c r="P252" s="8">
        <f>IF(Tabela1511[[#This Row],[Real Retail Sales]]="",#N/A,((Tabela1511[[#This Row],[Real Retail Sales]]*1)/N240)-1)</f>
        <v>3.9862837548221064E-2</v>
      </c>
      <c r="Q252" s="32">
        <v>167307</v>
      </c>
      <c r="R252" s="8">
        <f>IF(Tabela1511[[#This Row],[Core²-Retail Sales]]="",#N/A,((Tabela1511[[#This Row],[Core²-Retail Sales]]*1)/Q251)-1)</f>
        <v>1.0661946817121848E-2</v>
      </c>
      <c r="S252" s="8">
        <f>IF(Tabela1511[[#This Row],[Core²-Retail Sales]]="",#N/A,((Tabela1511[[#This Row],[Core²-Retail Sales]]*1)/Q240)-1)</f>
        <v>5.7105308051482062E-2</v>
      </c>
      <c r="T252" s="5">
        <v>97.4</v>
      </c>
      <c r="U252" s="5"/>
      <c r="V252" s="5"/>
      <c r="W252" s="25"/>
      <c r="X252" s="25"/>
      <c r="Y252" s="25"/>
      <c r="Z252" s="25"/>
      <c r="AA252" s="25"/>
      <c r="AB252" s="25"/>
    </row>
    <row r="253" spans="1:28">
      <c r="A253" s="6">
        <v>36100</v>
      </c>
      <c r="B253" s="36"/>
      <c r="C253" s="36"/>
      <c r="D253" s="35"/>
      <c r="E253" s="7">
        <v>86.511399999999995</v>
      </c>
      <c r="F253" s="8">
        <f>IF(Tabela1511[[#This Row],[Industrial Production]]="",#N/A,((Tabela1511[[#This Row],[Industrial Production]]*1)/E252)-1)</f>
        <v>-9.8502598828831278E-4</v>
      </c>
      <c r="G253" s="8">
        <f>IF(Tabela1511[[#This Row],[Industrial Production]]="",#N/A,((Tabela1511[[#This Row],[Industrial Production]]*1)/E241)-1)</f>
        <v>3.6907856808110928E-2</v>
      </c>
      <c r="H253" s="32">
        <v>244291</v>
      </c>
      <c r="I253" s="8">
        <f>IF(Tabela1511[[#This Row],[Retail Sales]]="",#N/A,((Tabela1511[[#This Row],[Retail Sales]]*1)/H252)-1)</f>
        <v>7.1820539354934265E-3</v>
      </c>
      <c r="J253" s="8">
        <f>IF(Tabela1511[[#This Row],[Retail Sales]]="",#N/A,((Tabela1511[[#This Row],[Retail Sales]]*1)/H241)-1)</f>
        <v>6.0106752299947885E-2</v>
      </c>
      <c r="K253" s="32">
        <v>184474</v>
      </c>
      <c r="L253" s="8">
        <f>IF(Tabela1511[[#This Row],[Core-Retail Sales]]="",#N/A,((Tabela1511[[#This Row],[Core-Retail Sales]]*1)/K252)-1)</f>
        <v>6.6519330986876124E-3</v>
      </c>
      <c r="M253" s="8">
        <f>IF(Tabela1511[[#This Row],[Core-Retail Sales]]="",#N/A,((Tabela1511[[#This Row],[Core-Retail Sales]]*1)/K241)-1)</f>
        <v>5.3378710185808975E-2</v>
      </c>
      <c r="N253" s="84">
        <v>148867</v>
      </c>
      <c r="O253" s="8">
        <f>IF(Tabela1511[[#This Row],[Real Retail Sales]]="",#N/A,((Tabela1511[[#This Row],[Real Retail Sales]]*1)/N252)-1)</f>
        <v>5.9532658494723112E-3</v>
      </c>
      <c r="P253" s="8">
        <f>IF(Tabela1511[[#This Row],[Real Retail Sales]]="",#N/A,((Tabela1511[[#This Row],[Real Retail Sales]]*1)/N241)-1)</f>
        <v>4.4600065959820689E-2</v>
      </c>
      <c r="Q253" s="32">
        <v>168460</v>
      </c>
      <c r="R253" s="8">
        <f>IF(Tabela1511[[#This Row],[Core²-Retail Sales]]="",#N/A,((Tabela1511[[#This Row],[Core²-Retail Sales]]*1)/Q252)-1)</f>
        <v>6.8915227695194314E-3</v>
      </c>
      <c r="S253" s="8">
        <f>IF(Tabela1511[[#This Row],[Core²-Retail Sales]]="",#N/A,((Tabela1511[[#This Row],[Core²-Retail Sales]]*1)/Q241)-1)</f>
        <v>6.2919590126697234E-2</v>
      </c>
      <c r="T253" s="5">
        <v>102.7</v>
      </c>
      <c r="U253" s="5"/>
      <c r="V253" s="5"/>
      <c r="W253" s="25"/>
      <c r="X253" s="25"/>
      <c r="Y253" s="25"/>
      <c r="Z253" s="25"/>
      <c r="AA253" s="25"/>
      <c r="AB253" s="25"/>
    </row>
    <row r="254" spans="1:28">
      <c r="A254" s="6">
        <v>36130</v>
      </c>
      <c r="B254" s="36"/>
      <c r="C254" s="36"/>
      <c r="D254" s="35"/>
      <c r="E254" s="7">
        <v>86.860799999999998</v>
      </c>
      <c r="F254" s="8">
        <f>IF(Tabela1511[[#This Row],[Industrial Production]]="",#N/A,((Tabela1511[[#This Row],[Industrial Production]]*1)/E253)-1)</f>
        <v>4.0387740806413497E-3</v>
      </c>
      <c r="G254" s="8">
        <f>IF(Tabela1511[[#This Row],[Industrial Production]]="",#N/A,((Tabela1511[[#This Row],[Industrial Production]]*1)/E242)-1)</f>
        <v>3.6740325556857911E-2</v>
      </c>
      <c r="H254" s="32">
        <v>246530</v>
      </c>
      <c r="I254" s="8">
        <f>IF(Tabela1511[[#This Row],[Retail Sales]]="",#N/A,((Tabela1511[[#This Row],[Retail Sales]]*1)/H253)-1)</f>
        <v>9.1652987625414628E-3</v>
      </c>
      <c r="J254" s="8">
        <f>IF(Tabela1511[[#This Row],[Retail Sales]]="",#N/A,((Tabela1511[[#This Row],[Retail Sales]]*1)/H242)-1)</f>
        <v>6.6393864547692028E-2</v>
      </c>
      <c r="K254" s="32">
        <v>186057</v>
      </c>
      <c r="L254" s="8">
        <f>IF(Tabela1511[[#This Row],[Core-Retail Sales]]="",#N/A,((Tabela1511[[#This Row],[Core-Retail Sales]]*1)/K253)-1)</f>
        <v>8.5811550679228965E-3</v>
      </c>
      <c r="M254" s="8">
        <f>IF(Tabela1511[[#This Row],[Core-Retail Sales]]="",#N/A,((Tabela1511[[#This Row],[Core-Retail Sales]]*1)/K242)-1)</f>
        <v>6.0649420241936314E-2</v>
      </c>
      <c r="N254" s="84">
        <v>149957</v>
      </c>
      <c r="O254" s="8">
        <f>IF(Tabela1511[[#This Row],[Real Retail Sales]]="",#N/A,((Tabela1511[[#This Row],[Real Retail Sales]]*1)/N253)-1)</f>
        <v>7.3219719615496004E-3</v>
      </c>
      <c r="P254" s="8">
        <f>IF(Tabela1511[[#This Row],[Real Retail Sales]]="",#N/A,((Tabela1511[[#This Row],[Real Retail Sales]]*1)/N242)-1)</f>
        <v>4.9523729537167327E-2</v>
      </c>
      <c r="Q254" s="32">
        <v>169658</v>
      </c>
      <c r="R254" s="8">
        <f>IF(Tabela1511[[#This Row],[Core²-Retail Sales]]="",#N/A,((Tabela1511[[#This Row],[Core²-Retail Sales]]*1)/Q253)-1)</f>
        <v>7.1114804701413181E-3</v>
      </c>
      <c r="S254" s="8">
        <f>IF(Tabela1511[[#This Row],[Core²-Retail Sales]]="",#N/A,((Tabela1511[[#This Row],[Core²-Retail Sales]]*1)/Q242)-1)</f>
        <v>6.7823919638473784E-2</v>
      </c>
      <c r="T254" s="5">
        <v>100.5</v>
      </c>
      <c r="U254" s="5"/>
      <c r="V254" s="5"/>
      <c r="W254" s="25"/>
      <c r="X254" s="25"/>
      <c r="Y254" s="25"/>
      <c r="Z254" s="25"/>
      <c r="AA254" s="25"/>
      <c r="AB254" s="25"/>
    </row>
    <row r="255" spans="1:28">
      <c r="A255" s="6">
        <v>36161</v>
      </c>
      <c r="B255" s="36"/>
      <c r="C255" s="36"/>
      <c r="D255" s="35"/>
      <c r="E255" s="7">
        <v>87.227699999999999</v>
      </c>
      <c r="F255" s="8">
        <f>IF(Tabela1511[[#This Row],[Industrial Production]]="",#N/A,((Tabela1511[[#This Row],[Industrial Production]]*1)/E254)-1)</f>
        <v>4.2239997789565997E-3</v>
      </c>
      <c r="G255" s="8">
        <f>IF(Tabela1511[[#This Row],[Industrial Production]]="",#N/A,((Tabela1511[[#This Row],[Industrial Production]]*1)/E243)-1)</f>
        <v>3.6381847215489538E-2</v>
      </c>
      <c r="H255" s="32">
        <v>246868</v>
      </c>
      <c r="I255" s="8">
        <f>IF(Tabela1511[[#This Row],[Retail Sales]]="",#N/A,((Tabela1511[[#This Row],[Retail Sales]]*1)/H254)-1)</f>
        <v>1.3710298949418664E-3</v>
      </c>
      <c r="J255" s="8">
        <f>IF(Tabela1511[[#This Row],[Retail Sales]]="",#N/A,((Tabela1511[[#This Row],[Retail Sales]]*1)/H243)-1)</f>
        <v>6.5983841925496778E-2</v>
      </c>
      <c r="K255" s="32">
        <v>186333</v>
      </c>
      <c r="L255" s="8">
        <f>IF(Tabela1511[[#This Row],[Core-Retail Sales]]="",#N/A,((Tabela1511[[#This Row],[Core-Retail Sales]]*1)/K254)-1)</f>
        <v>1.4834163724020133E-3</v>
      </c>
      <c r="M255" s="8">
        <f>IF(Tabela1511[[#This Row],[Core-Retail Sales]]="",#N/A,((Tabela1511[[#This Row],[Core-Retail Sales]]*1)/K243)-1)</f>
        <v>5.8151090616889833E-2</v>
      </c>
      <c r="N255" s="84">
        <v>149889</v>
      </c>
      <c r="O255" s="8">
        <f>IF(Tabela1511[[#This Row],[Real Retail Sales]]="",#N/A,((Tabela1511[[#This Row],[Real Retail Sales]]*1)/N254)-1)</f>
        <v>-4.5346332615348039E-4</v>
      </c>
      <c r="P255" s="8">
        <f>IF(Tabela1511[[#This Row],[Real Retail Sales]]="",#N/A,((Tabela1511[[#This Row],[Real Retail Sales]]*1)/N243)-1)</f>
        <v>4.8504774229652714E-2</v>
      </c>
      <c r="Q255" s="32">
        <v>169939</v>
      </c>
      <c r="R255" s="8">
        <f>IF(Tabela1511[[#This Row],[Core²-Retail Sales]]="",#N/A,((Tabela1511[[#This Row],[Core²-Retail Sales]]*1)/Q254)-1)</f>
        <v>1.6562732084546283E-3</v>
      </c>
      <c r="S255" s="8">
        <f>IF(Tabela1511[[#This Row],[Core²-Retail Sales]]="",#N/A,((Tabela1511[[#This Row],[Core²-Retail Sales]]*1)/Q243)-1)</f>
        <v>6.2995721470212818E-2</v>
      </c>
      <c r="T255" s="5">
        <v>103.9</v>
      </c>
      <c r="U255" s="5"/>
      <c r="V255" s="5"/>
      <c r="W255" s="25"/>
      <c r="X255" s="25"/>
      <c r="Y255" s="25"/>
      <c r="Z255" s="25"/>
      <c r="AA255" s="25"/>
      <c r="AB255" s="25"/>
    </row>
    <row r="256" spans="1:28">
      <c r="A256" s="6">
        <v>36192</v>
      </c>
      <c r="B256" s="36"/>
      <c r="C256" s="36"/>
      <c r="D256" s="35"/>
      <c r="E256" s="7">
        <v>87.726600000000005</v>
      </c>
      <c r="F256" s="8">
        <f>IF(Tabela1511[[#This Row],[Industrial Production]]="",#N/A,((Tabela1511[[#This Row],[Industrial Production]]*1)/E255)-1)</f>
        <v>5.7195134114507162E-3</v>
      </c>
      <c r="G256" s="8">
        <f>IF(Tabela1511[[#This Row],[Industrial Production]]="",#N/A,((Tabela1511[[#This Row],[Industrial Production]]*1)/E244)-1)</f>
        <v>4.0588436245623027E-2</v>
      </c>
      <c r="H256" s="32">
        <v>249520</v>
      </c>
      <c r="I256" s="8">
        <f>IF(Tabela1511[[#This Row],[Retail Sales]]="",#N/A,((Tabela1511[[#This Row],[Retail Sales]]*1)/H255)-1)</f>
        <v>1.0742583080836754E-2</v>
      </c>
      <c r="J256" s="8">
        <f>IF(Tabela1511[[#This Row],[Retail Sales]]="",#N/A,((Tabela1511[[#This Row],[Retail Sales]]*1)/H244)-1)</f>
        <v>7.6984168091020599E-2</v>
      </c>
      <c r="K256" s="32">
        <v>188260</v>
      </c>
      <c r="L256" s="8">
        <f>IF(Tabela1511[[#This Row],[Core-Retail Sales]]="",#N/A,((Tabela1511[[#This Row],[Core-Retail Sales]]*1)/K255)-1)</f>
        <v>1.034170007459756E-2</v>
      </c>
      <c r="M256" s="8">
        <f>IF(Tabela1511[[#This Row],[Core-Retail Sales]]="",#N/A,((Tabela1511[[#This Row],[Core-Retail Sales]]*1)/K244)-1)</f>
        <v>6.4560090023354055E-2</v>
      </c>
      <c r="N256" s="84">
        <v>151500</v>
      </c>
      <c r="O256" s="8">
        <f>IF(Tabela1511[[#This Row],[Real Retail Sales]]="",#N/A,((Tabela1511[[#This Row],[Real Retail Sales]]*1)/N255)-1)</f>
        <v>1.074795348557922E-2</v>
      </c>
      <c r="P256" s="8">
        <f>IF(Tabela1511[[#This Row],[Real Retail Sales]]="",#N/A,((Tabela1511[[#This Row],[Real Retail Sales]]*1)/N244)-1)</f>
        <v>5.932944096773074E-2</v>
      </c>
      <c r="Q256" s="32">
        <v>171951</v>
      </c>
      <c r="R256" s="8">
        <f>IF(Tabela1511[[#This Row],[Core²-Retail Sales]]="",#N/A,((Tabela1511[[#This Row],[Core²-Retail Sales]]*1)/Q255)-1)</f>
        <v>1.1839542424046279E-2</v>
      </c>
      <c r="S256" s="8">
        <f>IF(Tabela1511[[#This Row],[Core²-Retail Sales]]="",#N/A,((Tabela1511[[#This Row],[Core²-Retail Sales]]*1)/Q244)-1)</f>
        <v>6.9420171777920148E-2</v>
      </c>
      <c r="T256" s="5">
        <v>108.1</v>
      </c>
      <c r="U256" s="5"/>
      <c r="V256" s="5"/>
      <c r="W256" s="25"/>
      <c r="X256" s="25"/>
      <c r="Y256" s="25"/>
      <c r="Z256" s="25"/>
      <c r="AA256" s="25"/>
      <c r="AB256" s="25"/>
    </row>
    <row r="257" spans="1:28">
      <c r="A257" s="6">
        <v>36220</v>
      </c>
      <c r="B257" s="36"/>
      <c r="C257" s="36"/>
      <c r="D257" s="35"/>
      <c r="E257" s="7">
        <v>87.920299999999997</v>
      </c>
      <c r="F257" s="8">
        <f>IF(Tabela1511[[#This Row],[Industrial Production]]="",#N/A,((Tabela1511[[#This Row],[Industrial Production]]*1)/E256)-1)</f>
        <v>2.2079962063956682E-3</v>
      </c>
      <c r="G257" s="8">
        <f>IF(Tabela1511[[#This Row],[Industrial Production]]="",#N/A,((Tabela1511[[#This Row],[Industrial Production]]*1)/E245)-1)</f>
        <v>4.2431018619518701E-2</v>
      </c>
      <c r="H257" s="32">
        <v>250667</v>
      </c>
      <c r="I257" s="8">
        <f>IF(Tabela1511[[#This Row],[Retail Sales]]="",#N/A,((Tabela1511[[#This Row],[Retail Sales]]*1)/H256)-1)</f>
        <v>4.5968259057389549E-3</v>
      </c>
      <c r="J257" s="8">
        <f>IF(Tabela1511[[#This Row],[Retail Sales]]="",#N/A,((Tabela1511[[#This Row],[Retail Sales]]*1)/H245)-1)</f>
        <v>7.5440937348498105E-2</v>
      </c>
      <c r="K257" s="32">
        <v>189026</v>
      </c>
      <c r="L257" s="8">
        <f>IF(Tabela1511[[#This Row],[Core-Retail Sales]]="",#N/A,((Tabela1511[[#This Row],[Core-Retail Sales]]*1)/K256)-1)</f>
        <v>4.0688409646234547E-3</v>
      </c>
      <c r="M257" s="8">
        <f>IF(Tabela1511[[#This Row],[Core-Retail Sales]]="",#N/A,((Tabela1511[[#This Row],[Core-Retail Sales]]*1)/K245)-1)</f>
        <v>6.8257341139769778E-2</v>
      </c>
      <c r="N257" s="84">
        <v>152104</v>
      </c>
      <c r="O257" s="8">
        <f>IF(Tabela1511[[#This Row],[Real Retail Sales]]="",#N/A,((Tabela1511[[#This Row],[Real Retail Sales]]*1)/N256)-1)</f>
        <v>3.9867986798680644E-3</v>
      </c>
      <c r="P257" s="8">
        <f>IF(Tabela1511[[#This Row],[Real Retail Sales]]="",#N/A,((Tabela1511[[#This Row],[Real Retail Sales]]*1)/N245)-1)</f>
        <v>5.7173438607709404E-2</v>
      </c>
      <c r="Q257" s="32">
        <v>172497</v>
      </c>
      <c r="R257" s="8">
        <f>IF(Tabela1511[[#This Row],[Core²-Retail Sales]]="",#N/A,((Tabela1511[[#This Row],[Core²-Retail Sales]]*1)/Q256)-1)</f>
        <v>3.1753232025402145E-3</v>
      </c>
      <c r="S257" s="8">
        <f>IF(Tabela1511[[#This Row],[Core²-Retail Sales]]="",#N/A,((Tabela1511[[#This Row],[Core²-Retail Sales]]*1)/Q245)-1)</f>
        <v>6.9782008744457169E-2</v>
      </c>
      <c r="T257" s="5">
        <v>105.7</v>
      </c>
      <c r="U257" s="5"/>
      <c r="V257" s="5"/>
      <c r="W257" s="25"/>
      <c r="X257" s="25"/>
      <c r="Y257" s="25"/>
      <c r="Z257" s="25"/>
      <c r="AA257" s="25"/>
      <c r="AB257" s="25"/>
    </row>
    <row r="258" spans="1:28">
      <c r="A258" s="6">
        <v>36251</v>
      </c>
      <c r="B258" s="36"/>
      <c r="C258" s="36"/>
      <c r="D258" s="35"/>
      <c r="E258" s="7">
        <v>88.115300000000005</v>
      </c>
      <c r="F258" s="8">
        <f>IF(Tabela1511[[#This Row],[Industrial Production]]="",#N/A,((Tabela1511[[#This Row],[Industrial Production]]*1)/E257)-1)</f>
        <v>2.2179178187518023E-3</v>
      </c>
      <c r="G258" s="8">
        <f>IF(Tabela1511[[#This Row],[Industrial Production]]="",#N/A,((Tabela1511[[#This Row],[Industrial Production]]*1)/E246)-1)</f>
        <v>4.1228317910625867E-2</v>
      </c>
      <c r="H258" s="32">
        <v>252477</v>
      </c>
      <c r="I258" s="8">
        <f>IF(Tabela1511[[#This Row],[Retail Sales]]="",#N/A,((Tabela1511[[#This Row],[Retail Sales]]*1)/H257)-1)</f>
        <v>7.2207350788098257E-3</v>
      </c>
      <c r="J258" s="8">
        <f>IF(Tabela1511[[#This Row],[Retail Sales]]="",#N/A,((Tabela1511[[#This Row],[Retail Sales]]*1)/H246)-1)</f>
        <v>6.9881264142788169E-2</v>
      </c>
      <c r="K258" s="32">
        <v>190327</v>
      </c>
      <c r="L258" s="8">
        <f>IF(Tabela1511[[#This Row],[Core-Retail Sales]]="",#N/A,((Tabela1511[[#This Row],[Core-Retail Sales]]*1)/K257)-1)</f>
        <v>6.8826510638748672E-3</v>
      </c>
      <c r="M258" s="8">
        <f>IF(Tabela1511[[#This Row],[Core-Retail Sales]]="",#N/A,((Tabela1511[[#This Row],[Core-Retail Sales]]*1)/K246)-1)</f>
        <v>6.6126303760881022E-2</v>
      </c>
      <c r="N258" s="84">
        <v>152186</v>
      </c>
      <c r="O258" s="8">
        <f>IF(Tabela1511[[#This Row],[Real Retail Sales]]="",#N/A,((Tabela1511[[#This Row],[Real Retail Sales]]*1)/N257)-1)</f>
        <v>5.3910482301589013E-4</v>
      </c>
      <c r="P258" s="8">
        <f>IF(Tabela1511[[#This Row],[Real Retail Sales]]="",#N/A,((Tabela1511[[#This Row],[Real Retail Sales]]*1)/N246)-1)</f>
        <v>4.6016592091607134E-2</v>
      </c>
      <c r="Q258" s="32">
        <v>173212</v>
      </c>
      <c r="R258" s="8">
        <f>IF(Tabela1511[[#This Row],[Core²-Retail Sales]]="",#N/A,((Tabela1511[[#This Row],[Core²-Retail Sales]]*1)/Q257)-1)</f>
        <v>4.144999623181933E-3</v>
      </c>
      <c r="S258" s="8">
        <f>IF(Tabela1511[[#This Row],[Core²-Retail Sales]]="",#N/A,((Tabela1511[[#This Row],[Core²-Retail Sales]]*1)/Q246)-1)</f>
        <v>6.4452692903320896E-2</v>
      </c>
      <c r="T258" s="5">
        <v>104.6</v>
      </c>
      <c r="U258" s="5"/>
      <c r="V258" s="5"/>
      <c r="W258" s="25"/>
      <c r="X258" s="25"/>
      <c r="Y258" s="25"/>
      <c r="Z258" s="25"/>
      <c r="AA258" s="25"/>
      <c r="AB258" s="25"/>
    </row>
    <row r="259" spans="1:28">
      <c r="A259" s="6">
        <v>36281</v>
      </c>
      <c r="B259" s="36"/>
      <c r="C259" s="36"/>
      <c r="D259" s="35"/>
      <c r="E259" s="7">
        <v>88.6554</v>
      </c>
      <c r="F259" s="8">
        <f>IF(Tabela1511[[#This Row],[Industrial Production]]="",#N/A,((Tabela1511[[#This Row],[Industrial Production]]*1)/E258)-1)</f>
        <v>6.1294690025455179E-3</v>
      </c>
      <c r="G259" s="8">
        <f>IF(Tabela1511[[#This Row],[Industrial Production]]="",#N/A,((Tabela1511[[#This Row],[Industrial Production]]*1)/E247)-1)</f>
        <v>4.0753006143179782E-2</v>
      </c>
      <c r="H259" s="32">
        <v>254735</v>
      </c>
      <c r="I259" s="8">
        <f>IF(Tabela1511[[#This Row],[Retail Sales]]="",#N/A,((Tabela1511[[#This Row],[Retail Sales]]*1)/H258)-1)</f>
        <v>8.9433889027514812E-3</v>
      </c>
      <c r="J259" s="8">
        <f>IF(Tabela1511[[#This Row],[Retail Sales]]="",#N/A,((Tabela1511[[#This Row],[Retail Sales]]*1)/H247)-1)</f>
        <v>7.4491194769587654E-2</v>
      </c>
      <c r="K259" s="32">
        <v>191524</v>
      </c>
      <c r="L259" s="8">
        <f>IF(Tabela1511[[#This Row],[Core-Retail Sales]]="",#N/A,((Tabela1511[[#This Row],[Core-Retail Sales]]*1)/K258)-1)</f>
        <v>6.2891759970997718E-3</v>
      </c>
      <c r="M259" s="8">
        <f>IF(Tabela1511[[#This Row],[Core-Retail Sales]]="",#N/A,((Tabela1511[[#This Row],[Core-Retail Sales]]*1)/K247)-1)</f>
        <v>6.8814071978258173E-2</v>
      </c>
      <c r="N259" s="84">
        <v>153455</v>
      </c>
      <c r="O259" s="8">
        <f>IF(Tabela1511[[#This Row],[Real Retail Sales]]="",#N/A,((Tabela1511[[#This Row],[Real Retail Sales]]*1)/N258)-1)</f>
        <v>8.3384805435453568E-3</v>
      </c>
      <c r="P259" s="8">
        <f>IF(Tabela1511[[#This Row],[Real Retail Sales]]="",#N/A,((Tabela1511[[#This Row],[Real Retail Sales]]*1)/N247)-1)</f>
        <v>5.2481773351714223E-2</v>
      </c>
      <c r="Q259" s="32">
        <v>174338</v>
      </c>
      <c r="R259" s="8">
        <f>IF(Tabela1511[[#This Row],[Core²-Retail Sales]]="",#N/A,((Tabela1511[[#This Row],[Core²-Retail Sales]]*1)/Q258)-1)</f>
        <v>6.5007043391913655E-3</v>
      </c>
      <c r="S259" s="8">
        <f>IF(Tabela1511[[#This Row],[Core²-Retail Sales]]="",#N/A,((Tabela1511[[#This Row],[Core²-Retail Sales]]*1)/Q247)-1)</f>
        <v>6.8666633974107549E-2</v>
      </c>
      <c r="T259" s="5">
        <v>106.8</v>
      </c>
      <c r="U259" s="5"/>
      <c r="V259" s="5"/>
      <c r="W259" s="25"/>
      <c r="X259" s="25"/>
      <c r="Y259" s="25"/>
      <c r="Z259" s="25"/>
      <c r="AA259" s="25"/>
      <c r="AB259" s="25"/>
    </row>
    <row r="260" spans="1:28">
      <c r="A260" s="6">
        <v>36312</v>
      </c>
      <c r="B260" s="36"/>
      <c r="C260" s="36"/>
      <c r="D260" s="35"/>
      <c r="E260" s="7">
        <v>88.595799999999997</v>
      </c>
      <c r="F260" s="8">
        <f>IF(Tabela1511[[#This Row],[Industrial Production]]="",#N/A,((Tabela1511[[#This Row],[Industrial Production]]*1)/E259)-1)</f>
        <v>-6.7226587438562468E-4</v>
      </c>
      <c r="G260" s="8">
        <f>IF(Tabela1511[[#This Row],[Industrial Production]]="",#N/A,((Tabela1511[[#This Row],[Industrial Production]]*1)/E248)-1)</f>
        <v>4.6231204439253659E-2</v>
      </c>
      <c r="H260" s="32">
        <v>255449</v>
      </c>
      <c r="I260" s="8">
        <f>IF(Tabela1511[[#This Row],[Retail Sales]]="",#N/A,((Tabela1511[[#This Row],[Retail Sales]]*1)/H259)-1)</f>
        <v>2.802912830981219E-3</v>
      </c>
      <c r="J260" s="8">
        <f>IF(Tabela1511[[#This Row],[Retail Sales]]="",#N/A,((Tabela1511[[#This Row],[Retail Sales]]*1)/H248)-1)</f>
        <v>6.8953973494691789E-2</v>
      </c>
      <c r="K260" s="32">
        <v>191997</v>
      </c>
      <c r="L260" s="8">
        <f>IF(Tabela1511[[#This Row],[Core-Retail Sales]]="",#N/A,((Tabela1511[[#This Row],[Core-Retail Sales]]*1)/K259)-1)</f>
        <v>2.4696643762660564E-3</v>
      </c>
      <c r="M260" s="8">
        <f>IF(Tabela1511[[#This Row],[Core-Retail Sales]]="",#N/A,((Tabela1511[[#This Row],[Core-Retail Sales]]*1)/K248)-1)</f>
        <v>6.838910003505716E-2</v>
      </c>
      <c r="N260" s="84">
        <v>153885</v>
      </c>
      <c r="O260" s="8">
        <f>IF(Tabela1511[[#This Row],[Real Retail Sales]]="",#N/A,((Tabela1511[[#This Row],[Real Retail Sales]]*1)/N259)-1)</f>
        <v>2.8021244012903512E-3</v>
      </c>
      <c r="P260" s="8">
        <f>IF(Tabela1511[[#This Row],[Real Retail Sales]]="",#N/A,((Tabela1511[[#This Row],[Real Retail Sales]]*1)/N248)-1)</f>
        <v>4.8348638853312309E-2</v>
      </c>
      <c r="Q260" s="32">
        <v>174927</v>
      </c>
      <c r="R260" s="8">
        <f>IF(Tabela1511[[#This Row],[Core²-Retail Sales]]="",#N/A,((Tabela1511[[#This Row],[Core²-Retail Sales]]*1)/Q259)-1)</f>
        <v>3.3784946483268463E-3</v>
      </c>
      <c r="S260" s="8">
        <f>IF(Tabela1511[[#This Row],[Core²-Retail Sales]]="",#N/A,((Tabela1511[[#This Row],[Core²-Retail Sales]]*1)/Q248)-1)</f>
        <v>6.8099942603832009E-2</v>
      </c>
      <c r="T260" s="5">
        <v>107.3</v>
      </c>
      <c r="U260" s="5"/>
      <c r="V260" s="5"/>
      <c r="W260" s="25"/>
      <c r="X260" s="25"/>
      <c r="Y260" s="25"/>
      <c r="Z260" s="25"/>
      <c r="AA260" s="25"/>
      <c r="AB260" s="25"/>
    </row>
    <row r="261" spans="1:28">
      <c r="A261" s="6">
        <v>36342</v>
      </c>
      <c r="B261" s="36"/>
      <c r="C261" s="36"/>
      <c r="D261" s="35"/>
      <c r="E261" s="7">
        <v>89.123500000000007</v>
      </c>
      <c r="F261" s="8">
        <f>IF(Tabela1511[[#This Row],[Industrial Production]]="",#N/A,((Tabela1511[[#This Row],[Industrial Production]]*1)/E260)-1)</f>
        <v>5.9562642924384512E-3</v>
      </c>
      <c r="G261" s="8">
        <f>IF(Tabela1511[[#This Row],[Industrial Production]]="",#N/A,((Tabela1511[[#This Row],[Industrial Production]]*1)/E249)-1)</f>
        <v>5.6656723354611138E-2</v>
      </c>
      <c r="H261" s="32">
        <v>257456</v>
      </c>
      <c r="I261" s="8">
        <f>IF(Tabela1511[[#This Row],[Retail Sales]]="",#N/A,((Tabela1511[[#This Row],[Retail Sales]]*1)/H260)-1)</f>
        <v>7.8567541857670342E-3</v>
      </c>
      <c r="J261" s="8">
        <f>IF(Tabela1511[[#This Row],[Retail Sales]]="",#N/A,((Tabela1511[[#This Row],[Retail Sales]]*1)/H249)-1)</f>
        <v>8.4431639646014744E-2</v>
      </c>
      <c r="K261" s="32">
        <v>192947</v>
      </c>
      <c r="L261" s="8">
        <f>IF(Tabela1511[[#This Row],[Core-Retail Sales]]="",#N/A,((Tabela1511[[#This Row],[Core-Retail Sales]]*1)/K260)-1)</f>
        <v>4.9479939790726402E-3</v>
      </c>
      <c r="M261" s="8">
        <f>IF(Tabela1511[[#This Row],[Core-Retail Sales]]="",#N/A,((Tabela1511[[#This Row],[Core-Retail Sales]]*1)/K249)-1)</f>
        <v>6.5469846651683428E-2</v>
      </c>
      <c r="N261" s="84">
        <v>154443</v>
      </c>
      <c r="O261" s="8">
        <f>IF(Tabela1511[[#This Row],[Real Retail Sales]]="",#N/A,((Tabela1511[[#This Row],[Real Retail Sales]]*1)/N260)-1)</f>
        <v>3.6260844136855042E-3</v>
      </c>
      <c r="P261" s="8">
        <f>IF(Tabela1511[[#This Row],[Real Retail Sales]]="",#N/A,((Tabela1511[[#This Row],[Real Retail Sales]]*1)/N249)-1)</f>
        <v>6.1668224813022476E-2</v>
      </c>
      <c r="Q261" s="32">
        <v>175243</v>
      </c>
      <c r="R261" s="8">
        <f>IF(Tabela1511[[#This Row],[Core²-Retail Sales]]="",#N/A,((Tabela1511[[#This Row],[Core²-Retail Sales]]*1)/Q260)-1)</f>
        <v>1.8064678408706847E-3</v>
      </c>
      <c r="S261" s="8">
        <f>IF(Tabela1511[[#This Row],[Core²-Retail Sales]]="",#N/A,((Tabela1511[[#This Row],[Core²-Retail Sales]]*1)/Q249)-1)</f>
        <v>6.2053041138396603E-2</v>
      </c>
      <c r="T261" s="5">
        <v>106</v>
      </c>
      <c r="U261" s="5"/>
      <c r="V261" s="5"/>
      <c r="W261" s="25"/>
      <c r="X261" s="25"/>
      <c r="Y261" s="25"/>
      <c r="Z261" s="25"/>
      <c r="AA261" s="25"/>
      <c r="AB261" s="25"/>
    </row>
    <row r="262" spans="1:28">
      <c r="A262" s="6">
        <v>36373</v>
      </c>
      <c r="B262" s="36"/>
      <c r="C262" s="36"/>
      <c r="D262" s="35"/>
      <c r="E262" s="7">
        <v>89.511600000000001</v>
      </c>
      <c r="F262" s="8">
        <f>IF(Tabela1511[[#This Row],[Industrial Production]]="",#N/A,((Tabela1511[[#This Row],[Industrial Production]]*1)/E261)-1)</f>
        <v>4.354631494499106E-3</v>
      </c>
      <c r="G262" s="8">
        <f>IF(Tabela1511[[#This Row],[Industrial Production]]="",#N/A,((Tabela1511[[#This Row],[Industrial Production]]*1)/E250)-1)</f>
        <v>3.9809675598190708E-2</v>
      </c>
      <c r="H262" s="32">
        <v>260230</v>
      </c>
      <c r="I262" s="8">
        <f>IF(Tabela1511[[#This Row],[Retail Sales]]="",#N/A,((Tabela1511[[#This Row],[Retail Sales]]*1)/H261)-1)</f>
        <v>1.0774656640357927E-2</v>
      </c>
      <c r="J262" s="8">
        <f>IF(Tabela1511[[#This Row],[Retail Sales]]="",#N/A,((Tabela1511[[#This Row],[Retail Sales]]*1)/H250)-1)</f>
        <v>0.10090151832438576</v>
      </c>
      <c r="K262" s="32">
        <v>194517</v>
      </c>
      <c r="L262" s="8">
        <f>IF(Tabela1511[[#This Row],[Core-Retail Sales]]="",#N/A,((Tabela1511[[#This Row],[Core-Retail Sales]]*1)/K261)-1)</f>
        <v>8.1369495249989932E-3</v>
      </c>
      <c r="M262" s="8">
        <f>IF(Tabela1511[[#This Row],[Core-Retail Sales]]="",#N/A,((Tabela1511[[#This Row],[Core-Retail Sales]]*1)/K250)-1)</f>
        <v>7.2416226527439287E-2</v>
      </c>
      <c r="N262" s="84">
        <v>155733</v>
      </c>
      <c r="O262" s="8">
        <f>IF(Tabela1511[[#This Row],[Real Retail Sales]]="",#N/A,((Tabela1511[[#This Row],[Real Retail Sales]]*1)/N261)-1)</f>
        <v>8.3525961034167651E-3</v>
      </c>
      <c r="P262" s="8">
        <f>IF(Tabela1511[[#This Row],[Real Retail Sales]]="",#N/A,((Tabela1511[[#This Row],[Real Retail Sales]]*1)/N250)-1)</f>
        <v>7.6522676842039727E-2</v>
      </c>
      <c r="Q262" s="32">
        <v>176382</v>
      </c>
      <c r="R262" s="8">
        <f>IF(Tabela1511[[#This Row],[Core²-Retail Sales]]="",#N/A,((Tabela1511[[#This Row],[Core²-Retail Sales]]*1)/Q261)-1)</f>
        <v>6.4995463442192314E-3</v>
      </c>
      <c r="S262" s="8">
        <f>IF(Tabela1511[[#This Row],[Core²-Retail Sales]]="",#N/A,((Tabela1511[[#This Row],[Core²-Retail Sales]]*1)/Q250)-1)</f>
        <v>6.5552675933812976E-2</v>
      </c>
      <c r="T262" s="5">
        <v>104.5</v>
      </c>
      <c r="U262" s="5"/>
      <c r="V262" s="5"/>
      <c r="W262" s="25"/>
      <c r="X262" s="25"/>
      <c r="Y262" s="25"/>
      <c r="Z262" s="25"/>
      <c r="AA262" s="25"/>
      <c r="AB262" s="25"/>
    </row>
    <row r="263" spans="1:28">
      <c r="A263" s="6">
        <v>36404</v>
      </c>
      <c r="B263" s="36"/>
      <c r="C263" s="36"/>
      <c r="D263" s="35"/>
      <c r="E263" s="7">
        <v>89.136099999999999</v>
      </c>
      <c r="F263" s="8">
        <f>IF(Tabela1511[[#This Row],[Industrial Production]]="",#N/A,((Tabela1511[[#This Row],[Industrial Production]]*1)/E262)-1)</f>
        <v>-4.1949870184423421E-3</v>
      </c>
      <c r="G263" s="8">
        <f>IF(Tabela1511[[#This Row],[Industrial Production]]="",#N/A,((Tabela1511[[#This Row],[Industrial Production]]*1)/E251)-1)</f>
        <v>3.6532568943362653E-2</v>
      </c>
      <c r="H263" s="32">
        <v>261317</v>
      </c>
      <c r="I263" s="8">
        <f>IF(Tabela1511[[#This Row],[Retail Sales]]="",#N/A,((Tabela1511[[#This Row],[Retail Sales]]*1)/H262)-1)</f>
        <v>4.1770741267339595E-3</v>
      </c>
      <c r="J263" s="8">
        <f>IF(Tabela1511[[#This Row],[Retail Sales]]="",#N/A,((Tabela1511[[#This Row],[Retail Sales]]*1)/H251)-1)</f>
        <v>9.5439111297421997E-2</v>
      </c>
      <c r="K263" s="32">
        <v>196167</v>
      </c>
      <c r="L263" s="8">
        <f>IF(Tabela1511[[#This Row],[Core-Retail Sales]]="",#N/A,((Tabela1511[[#This Row],[Core-Retail Sales]]*1)/K262)-1)</f>
        <v>8.482549083113522E-3</v>
      </c>
      <c r="M263" s="8">
        <f>IF(Tabela1511[[#This Row],[Core-Retail Sales]]="",#N/A,((Tabela1511[[#This Row],[Core-Retail Sales]]*1)/K251)-1)</f>
        <v>8.1680029114328923E-2</v>
      </c>
      <c r="N263" s="84">
        <v>155731</v>
      </c>
      <c r="O263" s="8">
        <f>IF(Tabela1511[[#This Row],[Real Retail Sales]]="",#N/A,((Tabela1511[[#This Row],[Real Retail Sales]]*1)/N262)-1)</f>
        <v>-1.2842493241627118E-5</v>
      </c>
      <c r="P263" s="8">
        <f>IF(Tabela1511[[#This Row],[Real Retail Sales]]="",#N/A,((Tabela1511[[#This Row],[Real Retail Sales]]*1)/N251)-1)</f>
        <v>6.7367136845279729E-2</v>
      </c>
      <c r="Q263" s="32">
        <v>177828</v>
      </c>
      <c r="R263" s="8">
        <f>IF(Tabela1511[[#This Row],[Core²-Retail Sales]]="",#N/A,((Tabela1511[[#This Row],[Core²-Retail Sales]]*1)/Q262)-1)</f>
        <v>8.1981154539578771E-3</v>
      </c>
      <c r="S263" s="8">
        <f>IF(Tabela1511[[#This Row],[Core²-Retail Sales]]="",#N/A,((Tabela1511[[#This Row],[Core²-Retail Sales]]*1)/Q251)-1)</f>
        <v>7.4216815068079312E-2</v>
      </c>
      <c r="T263" s="5">
        <v>107.2</v>
      </c>
      <c r="U263" s="5"/>
      <c r="V263" s="5"/>
      <c r="W263" s="25"/>
      <c r="X263" s="25"/>
      <c r="Y263" s="25"/>
      <c r="Z263" s="25"/>
      <c r="AA263" s="25"/>
      <c r="AB263" s="25"/>
    </row>
    <row r="264" spans="1:28">
      <c r="A264" s="6">
        <v>36434</v>
      </c>
      <c r="B264" s="36"/>
      <c r="C264" s="36"/>
      <c r="D264" s="35"/>
      <c r="E264" s="7">
        <v>90.284199999999998</v>
      </c>
      <c r="F264" s="8">
        <f>IF(Tabela1511[[#This Row],[Industrial Production]]="",#N/A,((Tabela1511[[#This Row],[Industrial Production]]*1)/E263)-1)</f>
        <v>1.2880303266577631E-2</v>
      </c>
      <c r="G264" s="8">
        <f>IF(Tabela1511[[#This Row],[Industrial Production]]="",#N/A,((Tabela1511[[#This Row],[Industrial Production]]*1)/E252)-1)</f>
        <v>4.2582454065801523E-2</v>
      </c>
      <c r="H264" s="32">
        <v>261818</v>
      </c>
      <c r="I264" s="8">
        <f>IF(Tabela1511[[#This Row],[Retail Sales]]="",#N/A,((Tabela1511[[#This Row],[Retail Sales]]*1)/H263)-1)</f>
        <v>1.9172116624635027E-3</v>
      </c>
      <c r="J264" s="8">
        <f>IF(Tabela1511[[#This Row],[Retail Sales]]="",#N/A,((Tabela1511[[#This Row],[Retail Sales]]*1)/H252)-1)</f>
        <v>7.9443741264651591E-2</v>
      </c>
      <c r="K264" s="32">
        <v>197299</v>
      </c>
      <c r="L264" s="8">
        <f>IF(Tabela1511[[#This Row],[Core-Retail Sales]]="",#N/A,((Tabela1511[[#This Row],[Core-Retail Sales]]*1)/K263)-1)</f>
        <v>5.7705934229508316E-3</v>
      </c>
      <c r="M264" s="8">
        <f>IF(Tabela1511[[#This Row],[Core-Retail Sales]]="",#N/A,((Tabela1511[[#This Row],[Core-Retail Sales]]*1)/K252)-1)</f>
        <v>7.6636380999154152E-2</v>
      </c>
      <c r="N264" s="84">
        <v>155751</v>
      </c>
      <c r="O264" s="8">
        <f>IF(Tabela1511[[#This Row],[Real Retail Sales]]="",#N/A,((Tabela1511[[#This Row],[Real Retail Sales]]*1)/N263)-1)</f>
        <v>1.2842658173384258E-4</v>
      </c>
      <c r="P264" s="8">
        <f>IF(Tabela1511[[#This Row],[Real Retail Sales]]="",#N/A,((Tabela1511[[#This Row],[Real Retail Sales]]*1)/N252)-1)</f>
        <v>5.2471179706188531E-2</v>
      </c>
      <c r="Q264" s="32">
        <v>178667</v>
      </c>
      <c r="R264" s="8">
        <f>IF(Tabela1511[[#This Row],[Core²-Retail Sales]]="",#N/A,((Tabela1511[[#This Row],[Core²-Retail Sales]]*1)/Q263)-1)</f>
        <v>4.7180421530916838E-3</v>
      </c>
      <c r="S264" s="8">
        <f>IF(Tabela1511[[#This Row],[Core²-Retail Sales]]="",#N/A,((Tabela1511[[#This Row],[Core²-Retail Sales]]*1)/Q252)-1)</f>
        <v>6.7899131536636181E-2</v>
      </c>
      <c r="T264" s="5">
        <v>103.2</v>
      </c>
      <c r="U264" s="5"/>
      <c r="V264" s="5"/>
      <c r="W264" s="25"/>
      <c r="X264" s="25"/>
      <c r="Y264" s="25"/>
      <c r="Z264" s="25"/>
      <c r="AA264" s="25"/>
      <c r="AB264" s="25"/>
    </row>
    <row r="265" spans="1:28">
      <c r="A265" s="6">
        <v>36465</v>
      </c>
      <c r="B265" s="36"/>
      <c r="C265" s="36"/>
      <c r="D265" s="35"/>
      <c r="E265" s="7">
        <v>90.763099999999994</v>
      </c>
      <c r="F265" s="8">
        <f>IF(Tabela1511[[#This Row],[Industrial Production]]="",#N/A,((Tabela1511[[#This Row],[Industrial Production]]*1)/E264)-1)</f>
        <v>5.3043611174490302E-3</v>
      </c>
      <c r="G265" s="8">
        <f>IF(Tabela1511[[#This Row],[Industrial Production]]="",#N/A,((Tabela1511[[#This Row],[Industrial Production]]*1)/E253)-1)</f>
        <v>4.9146124094628041E-2</v>
      </c>
      <c r="H265" s="32">
        <v>264965</v>
      </c>
      <c r="I265" s="8">
        <f>IF(Tabela1511[[#This Row],[Retail Sales]]="",#N/A,((Tabela1511[[#This Row],[Retail Sales]]*1)/H264)-1)</f>
        <v>1.2019800013749915E-2</v>
      </c>
      <c r="J265" s="8">
        <f>IF(Tabela1511[[#This Row],[Retail Sales]]="",#N/A,((Tabela1511[[#This Row],[Retail Sales]]*1)/H253)-1)</f>
        <v>8.4628578212050387E-2</v>
      </c>
      <c r="K265" s="32">
        <v>198696</v>
      </c>
      <c r="L265" s="8">
        <f>IF(Tabela1511[[#This Row],[Core-Retail Sales]]="",#N/A,((Tabela1511[[#This Row],[Core-Retail Sales]]*1)/K264)-1)</f>
        <v>7.0806238247533848E-3</v>
      </c>
      <c r="M265" s="8">
        <f>IF(Tabela1511[[#This Row],[Core-Retail Sales]]="",#N/A,((Tabela1511[[#This Row],[Core-Retail Sales]]*1)/K253)-1)</f>
        <v>7.7094875158558951E-2</v>
      </c>
      <c r="N265" s="84">
        <v>157343</v>
      </c>
      <c r="O265" s="8">
        <f>IF(Tabela1511[[#This Row],[Real Retail Sales]]="",#N/A,((Tabela1511[[#This Row],[Real Retail Sales]]*1)/N264)-1)</f>
        <v>1.0221443201006819E-2</v>
      </c>
      <c r="P265" s="8">
        <f>IF(Tabela1511[[#This Row],[Real Retail Sales]]="",#N/A,((Tabela1511[[#This Row],[Real Retail Sales]]*1)/N253)-1)</f>
        <v>5.693672875788458E-2</v>
      </c>
      <c r="Q265" s="32">
        <v>179704</v>
      </c>
      <c r="R265" s="8">
        <f>IF(Tabela1511[[#This Row],[Core²-Retail Sales]]="",#N/A,((Tabela1511[[#This Row],[Core²-Retail Sales]]*1)/Q264)-1)</f>
        <v>5.8040936490790784E-3</v>
      </c>
      <c r="S265" s="8">
        <f>IF(Tabela1511[[#This Row],[Core²-Retail Sales]]="",#N/A,((Tabela1511[[#This Row],[Core²-Retail Sales]]*1)/Q253)-1)</f>
        <v>6.6745815030274214E-2</v>
      </c>
      <c r="T265" s="5">
        <v>107.2</v>
      </c>
      <c r="U265" s="5"/>
      <c r="V265" s="5"/>
      <c r="W265" s="25"/>
      <c r="X265" s="25"/>
      <c r="Y265" s="25"/>
      <c r="Z265" s="25"/>
      <c r="AA265" s="25"/>
      <c r="AB265" s="25"/>
    </row>
    <row r="266" spans="1:28">
      <c r="A266" s="6">
        <v>36495</v>
      </c>
      <c r="B266" s="36"/>
      <c r="C266" s="36"/>
      <c r="D266" s="35"/>
      <c r="E266" s="7">
        <v>91.492599999999996</v>
      </c>
      <c r="F266" s="8">
        <f>IF(Tabela1511[[#This Row],[Industrial Production]]="",#N/A,((Tabela1511[[#This Row],[Industrial Production]]*1)/E265)-1)</f>
        <v>8.0374072723385925E-3</v>
      </c>
      <c r="G266" s="8">
        <f>IF(Tabela1511[[#This Row],[Industrial Production]]="",#N/A,((Tabela1511[[#This Row],[Industrial Production]]*1)/E254)-1)</f>
        <v>5.33243994989685E-2</v>
      </c>
      <c r="H266" s="32">
        <v>269863</v>
      </c>
      <c r="I266" s="8">
        <f>IF(Tabela1511[[#This Row],[Retail Sales]]="",#N/A,((Tabela1511[[#This Row],[Retail Sales]]*1)/H265)-1)</f>
        <v>1.8485460343818927E-2</v>
      </c>
      <c r="J266" s="8">
        <f>IF(Tabela1511[[#This Row],[Retail Sales]]="",#N/A,((Tabela1511[[#This Row],[Retail Sales]]*1)/H254)-1)</f>
        <v>9.4645682067091119E-2</v>
      </c>
      <c r="K266" s="32">
        <v>203954</v>
      </c>
      <c r="L266" s="8">
        <f>IF(Tabela1511[[#This Row],[Core-Retail Sales]]="",#N/A,((Tabela1511[[#This Row],[Core-Retail Sales]]*1)/K265)-1)</f>
        <v>2.6462535732979076E-2</v>
      </c>
      <c r="M266" s="8">
        <f>IF(Tabela1511[[#This Row],[Core-Retail Sales]]="",#N/A,((Tabela1511[[#This Row],[Core-Retail Sales]]*1)/K254)-1)</f>
        <v>9.6190952235067684E-2</v>
      </c>
      <c r="N266" s="84">
        <v>159871</v>
      </c>
      <c r="O266" s="8">
        <f>IF(Tabela1511[[#This Row],[Real Retail Sales]]="",#N/A,((Tabela1511[[#This Row],[Real Retail Sales]]*1)/N265)-1)</f>
        <v>1.6066809454503783E-2</v>
      </c>
      <c r="P266" s="8">
        <f>IF(Tabela1511[[#This Row],[Real Retail Sales]]="",#N/A,((Tabela1511[[#This Row],[Real Retail Sales]]*1)/N254)-1)</f>
        <v>6.6112285521849667E-2</v>
      </c>
      <c r="Q266" s="32">
        <v>183859</v>
      </c>
      <c r="R266" s="8">
        <f>IF(Tabela1511[[#This Row],[Core²-Retail Sales]]="",#N/A,((Tabela1511[[#This Row],[Core²-Retail Sales]]*1)/Q265)-1)</f>
        <v>2.3121355117303954E-2</v>
      </c>
      <c r="S266" s="8">
        <f>IF(Tabela1511[[#This Row],[Core²-Retail Sales]]="",#N/A,((Tabela1511[[#This Row],[Core²-Retail Sales]]*1)/Q254)-1)</f>
        <v>8.370368623937563E-2</v>
      </c>
      <c r="T266" s="5">
        <v>105.4</v>
      </c>
      <c r="U266" s="5"/>
      <c r="V266" s="5"/>
      <c r="W266" s="25"/>
      <c r="X266" s="25"/>
      <c r="Y266" s="25"/>
      <c r="Z266" s="25"/>
      <c r="AA266" s="25"/>
      <c r="AB266" s="25"/>
    </row>
    <row r="267" spans="1:28">
      <c r="A267" s="6">
        <v>36526</v>
      </c>
      <c r="B267" s="36"/>
      <c r="C267" s="36"/>
      <c r="D267" s="35"/>
      <c r="E267" s="7">
        <v>91.4251</v>
      </c>
      <c r="F267" s="8">
        <f>IF(Tabela1511[[#This Row],[Industrial Production]]="",#N/A,((Tabela1511[[#This Row],[Industrial Production]]*1)/E266)-1)</f>
        <v>-7.3776458423957525E-4</v>
      </c>
      <c r="G267" s="8">
        <f>IF(Tabela1511[[#This Row],[Industrial Production]]="",#N/A,((Tabela1511[[#This Row],[Industrial Production]]*1)/E255)-1)</f>
        <v>4.8120035264027416E-2</v>
      </c>
      <c r="H267" s="32">
        <v>268044</v>
      </c>
      <c r="I267" s="8">
        <f>IF(Tabela1511[[#This Row],[Retail Sales]]="",#N/A,((Tabela1511[[#This Row],[Retail Sales]]*1)/H266)-1)</f>
        <v>-6.7404571949470915E-3</v>
      </c>
      <c r="J267" s="8">
        <f>IF(Tabela1511[[#This Row],[Retail Sales]]="",#N/A,((Tabela1511[[#This Row],[Retail Sales]]*1)/H255)-1)</f>
        <v>8.5778634735972359E-2</v>
      </c>
      <c r="K267" s="32">
        <v>200365</v>
      </c>
      <c r="L267" s="8">
        <f>IF(Tabela1511[[#This Row],[Core-Retail Sales]]="",#N/A,((Tabela1511[[#This Row],[Core-Retail Sales]]*1)/K266)-1)</f>
        <v>-1.7597105229610555E-2</v>
      </c>
      <c r="M267" s="8">
        <f>IF(Tabela1511[[#This Row],[Core-Retail Sales]]="",#N/A,((Tabela1511[[#This Row],[Core-Retail Sales]]*1)/K255)-1)</f>
        <v>7.5306038114558271E-2</v>
      </c>
      <c r="N267" s="84">
        <v>158325</v>
      </c>
      <c r="O267" s="8">
        <f>IF(Tabela1511[[#This Row],[Real Retail Sales]]="",#N/A,((Tabela1511[[#This Row],[Real Retail Sales]]*1)/N266)-1)</f>
        <v>-9.6702966766956111E-3</v>
      </c>
      <c r="P267" s="8">
        <f>IF(Tabela1511[[#This Row],[Real Retail Sales]]="",#N/A,((Tabela1511[[#This Row],[Real Retail Sales]]*1)/N255)-1)</f>
        <v>5.6281648419830743E-2</v>
      </c>
      <c r="Q267" s="32">
        <v>181007</v>
      </c>
      <c r="R267" s="8">
        <f>IF(Tabela1511[[#This Row],[Core²-Retail Sales]]="",#N/A,((Tabela1511[[#This Row],[Core²-Retail Sales]]*1)/Q266)-1)</f>
        <v>-1.5511886826317989E-2</v>
      </c>
      <c r="S267" s="8">
        <f>IF(Tabela1511[[#This Row],[Core²-Retail Sales]]="",#N/A,((Tabela1511[[#This Row],[Core²-Retail Sales]]*1)/Q255)-1)</f>
        <v>6.5129252261105552E-2</v>
      </c>
      <c r="T267" s="5">
        <v>112</v>
      </c>
      <c r="U267" s="5"/>
      <c r="V267" s="5"/>
      <c r="W267" s="25"/>
      <c r="X267" s="25"/>
      <c r="Y267" s="25"/>
      <c r="Z267" s="25"/>
      <c r="AA267" s="25"/>
      <c r="AB267" s="25"/>
    </row>
    <row r="268" spans="1:28">
      <c r="A268" s="6">
        <v>36557</v>
      </c>
      <c r="B268" s="36"/>
      <c r="C268" s="36"/>
      <c r="D268" s="35"/>
      <c r="E268" s="7">
        <v>91.735699999999994</v>
      </c>
      <c r="F268" s="8">
        <f>IF(Tabela1511[[#This Row],[Industrial Production]]="",#N/A,((Tabela1511[[#This Row],[Industrial Production]]*1)/E267)-1)</f>
        <v>3.3973164918605914E-3</v>
      </c>
      <c r="G268" s="8">
        <f>IF(Tabela1511[[#This Row],[Industrial Production]]="",#N/A,((Tabela1511[[#This Row],[Industrial Production]]*1)/E256)-1)</f>
        <v>4.5699935937332459E-2</v>
      </c>
      <c r="H268" s="32">
        <v>272020</v>
      </c>
      <c r="I268" s="8">
        <f>IF(Tabela1511[[#This Row],[Retail Sales]]="",#N/A,((Tabela1511[[#This Row],[Retail Sales]]*1)/H267)-1)</f>
        <v>1.4833385563564283E-2</v>
      </c>
      <c r="J268" s="8">
        <f>IF(Tabela1511[[#This Row],[Retail Sales]]="",#N/A,((Tabela1511[[#This Row],[Retail Sales]]*1)/H256)-1)</f>
        <v>9.0173132414235413E-2</v>
      </c>
      <c r="K268" s="32">
        <v>202935</v>
      </c>
      <c r="L268" s="8">
        <f>IF(Tabela1511[[#This Row],[Core-Retail Sales]]="",#N/A,((Tabela1511[[#This Row],[Core-Retail Sales]]*1)/K267)-1)</f>
        <v>1.2826591470566306E-2</v>
      </c>
      <c r="M268" s="8">
        <f>IF(Tabela1511[[#This Row],[Core-Retail Sales]]="",#N/A,((Tabela1511[[#This Row],[Core-Retail Sales]]*1)/K256)-1)</f>
        <v>7.7950706469775755E-2</v>
      </c>
      <c r="N268" s="84">
        <v>160012</v>
      </c>
      <c r="O268" s="8">
        <f>IF(Tabela1511[[#This Row],[Real Retail Sales]]="",#N/A,((Tabela1511[[#This Row],[Real Retail Sales]]*1)/N267)-1)</f>
        <v>1.0655297647244488E-2</v>
      </c>
      <c r="P268" s="8">
        <f>IF(Tabela1511[[#This Row],[Real Retail Sales]]="",#N/A,((Tabela1511[[#This Row],[Real Retail Sales]]*1)/N256)-1)</f>
        <v>5.6184818481848087E-2</v>
      </c>
      <c r="Q268" s="32">
        <v>182721</v>
      </c>
      <c r="R268" s="8">
        <f>IF(Tabela1511[[#This Row],[Core²-Retail Sales]]="",#N/A,((Tabela1511[[#This Row],[Core²-Retail Sales]]*1)/Q267)-1)</f>
        <v>9.4692470456942957E-3</v>
      </c>
      <c r="S268" s="8">
        <f>IF(Tabela1511[[#This Row],[Core²-Retail Sales]]="",#N/A,((Tabela1511[[#This Row],[Core²-Retail Sales]]*1)/Q256)-1)</f>
        <v>6.2634122511645796E-2</v>
      </c>
      <c r="T268" s="5">
        <v>111.3</v>
      </c>
      <c r="U268" s="7">
        <v>55.8</v>
      </c>
      <c r="V268" s="25">
        <v>58.7</v>
      </c>
      <c r="W268" s="25">
        <v>51.2</v>
      </c>
      <c r="X268" s="25">
        <v>56.2</v>
      </c>
      <c r="Y268" s="25">
        <v>58.9</v>
      </c>
      <c r="Z268" s="25">
        <v>55</v>
      </c>
      <c r="AA268" s="25">
        <f>IF([1]!Tabela1511[[#This Row],[Services New Orders]]="","",([1]!Tabela1511[[#This Row],[Manufacturing New Orders]]+[1]!Tabela1511[[#This Row],[Services New Orders]])/2)</f>
        <v>58.8</v>
      </c>
      <c r="AB268" s="25">
        <f>IF([1]!Tabela1511[[#This Row],[Services Employment]]="",#N/A,([1]!Tabela1511[[#This Row],[Manufacturing Employment]]+[1]!Tabela1511[[#This Row],[Services Employment]])/2)</f>
        <v>53.1</v>
      </c>
    </row>
    <row r="269" spans="1:28">
      <c r="A269" s="6">
        <v>36586</v>
      </c>
      <c r="B269" s="36"/>
      <c r="C269" s="36"/>
      <c r="D269" s="35"/>
      <c r="E269" s="7">
        <v>92.093299999999999</v>
      </c>
      <c r="F269" s="8">
        <f>IF(Tabela1511[[#This Row],[Industrial Production]]="",#N/A,((Tabela1511[[#This Row],[Industrial Production]]*1)/E268)-1)</f>
        <v>3.8981552438146494E-3</v>
      </c>
      <c r="G269" s="8">
        <f>IF(Tabela1511[[#This Row],[Industrial Production]]="",#N/A,((Tabela1511[[#This Row],[Industrial Production]]*1)/E257)-1)</f>
        <v>4.7463441321287547E-2</v>
      </c>
      <c r="H269" s="32">
        <v>275192</v>
      </c>
      <c r="I269" s="8">
        <f>IF(Tabela1511[[#This Row],[Retail Sales]]="",#N/A,((Tabela1511[[#This Row],[Retail Sales]]*1)/H268)-1)</f>
        <v>1.1660907286229039E-2</v>
      </c>
      <c r="J269" s="8">
        <f>IF(Tabela1511[[#This Row],[Retail Sales]]="",#N/A,((Tabela1511[[#This Row],[Retail Sales]]*1)/H257)-1)</f>
        <v>9.7838965639673425E-2</v>
      </c>
      <c r="K269" s="32">
        <v>206759</v>
      </c>
      <c r="L269" s="8">
        <f>IF(Tabela1511[[#This Row],[Core-Retail Sales]]="",#N/A,((Tabela1511[[#This Row],[Core-Retail Sales]]*1)/K268)-1)</f>
        <v>1.8843472047699983E-2</v>
      </c>
      <c r="M269" s="8">
        <f>IF(Tabela1511[[#This Row],[Core-Retail Sales]]="",#N/A,((Tabela1511[[#This Row],[Core-Retail Sales]]*1)/K257)-1)</f>
        <v>9.3812491403298948E-2</v>
      </c>
      <c r="N269" s="84">
        <v>160931</v>
      </c>
      <c r="O269" s="8">
        <f>IF(Tabela1511[[#This Row],[Real Retail Sales]]="",#N/A,((Tabela1511[[#This Row],[Real Retail Sales]]*1)/N268)-1)</f>
        <v>5.7433192510560893E-3</v>
      </c>
      <c r="P269" s="8">
        <f>IF(Tabela1511[[#This Row],[Real Retail Sales]]="",#N/A,((Tabela1511[[#This Row],[Real Retail Sales]]*1)/N257)-1)</f>
        <v>5.8032661862935875E-2</v>
      </c>
      <c r="Q269" s="32">
        <v>185940</v>
      </c>
      <c r="R269" s="8">
        <f>IF(Tabela1511[[#This Row],[Core²-Retail Sales]]="",#N/A,((Tabela1511[[#This Row],[Core²-Retail Sales]]*1)/Q268)-1)</f>
        <v>1.7617022673912741E-2</v>
      </c>
      <c r="S269" s="8">
        <f>IF(Tabela1511[[#This Row],[Core²-Retail Sales]]="",#N/A,((Tabela1511[[#This Row],[Core²-Retail Sales]]*1)/Q257)-1)</f>
        <v>7.7931790118088928E-2</v>
      </c>
      <c r="T269" s="5">
        <v>107.1</v>
      </c>
      <c r="U269" s="7">
        <v>54.9</v>
      </c>
      <c r="V269" s="25">
        <v>56.2</v>
      </c>
      <c r="W269" s="25">
        <v>51.2</v>
      </c>
      <c r="X269" s="25">
        <v>57.4</v>
      </c>
      <c r="Y269" s="25">
        <v>61.7</v>
      </c>
      <c r="Z269" s="25">
        <v>54.4</v>
      </c>
      <c r="AA269" s="25">
        <f>IF([1]!Tabela1511[[#This Row],[Services New Orders]]="","",([1]!Tabela1511[[#This Row],[Manufacturing New Orders]]+[1]!Tabela1511[[#This Row],[Services New Orders]])/2)</f>
        <v>58.95</v>
      </c>
      <c r="AB269" s="25">
        <f>IF([1]!Tabela1511[[#This Row],[Services Employment]]="",#N/A,([1]!Tabela1511[[#This Row],[Manufacturing Employment]]+[1]!Tabela1511[[#This Row],[Services Employment]])/2)</f>
        <v>52.8</v>
      </c>
    </row>
    <row r="270" spans="1:28">
      <c r="A270" s="6">
        <v>36617</v>
      </c>
      <c r="B270" s="36"/>
      <c r="C270" s="36"/>
      <c r="D270" s="35"/>
      <c r="E270" s="7">
        <v>92.683800000000005</v>
      </c>
      <c r="F270" s="8">
        <f>IF(Tabela1511[[#This Row],[Industrial Production]]="",#N/A,((Tabela1511[[#This Row],[Industrial Production]]*1)/E269)-1)</f>
        <v>6.4119756811842343E-3</v>
      </c>
      <c r="G270" s="8">
        <f>IF(Tabela1511[[#This Row],[Industrial Production]]="",#N/A,((Tabela1511[[#This Row],[Industrial Production]]*1)/E258)-1)</f>
        <v>5.1846841581427938E-2</v>
      </c>
      <c r="H270" s="32">
        <v>271046</v>
      </c>
      <c r="I270" s="8">
        <f>IF(Tabela1511[[#This Row],[Retail Sales]]="",#N/A,((Tabela1511[[#This Row],[Retail Sales]]*1)/H269)-1)</f>
        <v>-1.5065844937352857E-2</v>
      </c>
      <c r="J270" s="8">
        <f>IF(Tabela1511[[#This Row],[Retail Sales]]="",#N/A,((Tabela1511[[#This Row],[Retail Sales]]*1)/H258)-1)</f>
        <v>7.3547293416825976E-2</v>
      </c>
      <c r="K270" s="32">
        <v>205234</v>
      </c>
      <c r="L270" s="8">
        <f>IF(Tabela1511[[#This Row],[Core-Retail Sales]]="",#N/A,((Tabela1511[[#This Row],[Core-Retail Sales]]*1)/K269)-1)</f>
        <v>-7.3757369691282992E-3</v>
      </c>
      <c r="M270" s="8">
        <f>IF(Tabela1511[[#This Row],[Core-Retail Sales]]="",#N/A,((Tabela1511[[#This Row],[Core-Retail Sales]]*1)/K258)-1)</f>
        <v>7.8323096565384942E-2</v>
      </c>
      <c r="N270" s="84">
        <v>158599</v>
      </c>
      <c r="O270" s="8">
        <f>IF(Tabela1511[[#This Row],[Real Retail Sales]]="",#N/A,((Tabela1511[[#This Row],[Real Retail Sales]]*1)/N269)-1)</f>
        <v>-1.4490682342121808E-2</v>
      </c>
      <c r="P270" s="8">
        <f>IF(Tabela1511[[#This Row],[Real Retail Sales]]="",#N/A,((Tabela1511[[#This Row],[Real Retail Sales]]*1)/N258)-1)</f>
        <v>4.2139224370178585E-2</v>
      </c>
      <c r="Q270" s="32">
        <v>185327</v>
      </c>
      <c r="R270" s="8">
        <f>IF(Tabela1511[[#This Row],[Core²-Retail Sales]]="",#N/A,((Tabela1511[[#This Row],[Core²-Retail Sales]]*1)/Q269)-1)</f>
        <v>-3.2967623964720305E-3</v>
      </c>
      <c r="S270" s="8">
        <f>IF(Tabela1511[[#This Row],[Core²-Retail Sales]]="",#N/A,((Tabela1511[[#This Row],[Core²-Retail Sales]]*1)/Q258)-1)</f>
        <v>6.9943191002932892E-2</v>
      </c>
      <c r="T270" s="5">
        <v>109.2</v>
      </c>
      <c r="U270" s="7">
        <v>54.7</v>
      </c>
      <c r="V270" s="25">
        <v>55.4</v>
      </c>
      <c r="W270" s="25">
        <v>53.2</v>
      </c>
      <c r="X270" s="25">
        <v>58</v>
      </c>
      <c r="Y270" s="25">
        <v>61.5</v>
      </c>
      <c r="Z270" s="25">
        <v>53.5</v>
      </c>
      <c r="AA270" s="25">
        <f>IF([1]!Tabela1511[[#This Row],[Services New Orders]]="","",([1]!Tabela1511[[#This Row],[Manufacturing New Orders]]+[1]!Tabela1511[[#This Row],[Services New Orders]])/2)</f>
        <v>58.45</v>
      </c>
      <c r="AB270" s="25">
        <f>IF([1]!Tabela1511[[#This Row],[Services Employment]]="",#N/A,([1]!Tabela1511[[#This Row],[Manufacturing Employment]]+[1]!Tabela1511[[#This Row],[Services Employment]])/2)</f>
        <v>53.35</v>
      </c>
    </row>
    <row r="271" spans="1:28">
      <c r="A271" s="6">
        <v>36647</v>
      </c>
      <c r="B271" s="36"/>
      <c r="C271" s="36"/>
      <c r="D271" s="35"/>
      <c r="E271" s="7">
        <v>92.937600000000003</v>
      </c>
      <c r="F271" s="8">
        <f>IF(Tabela1511[[#This Row],[Industrial Production]]="",#N/A,((Tabela1511[[#This Row],[Industrial Production]]*1)/E270)-1)</f>
        <v>2.7383426229825591E-3</v>
      </c>
      <c r="G271" s="8">
        <f>IF(Tabela1511[[#This Row],[Industrial Production]]="",#N/A,((Tabela1511[[#This Row],[Industrial Production]]*1)/E259)-1)</f>
        <v>4.83016262968754E-2</v>
      </c>
      <c r="H271" s="32">
        <v>271394</v>
      </c>
      <c r="I271" s="8">
        <f>IF(Tabela1511[[#This Row],[Retail Sales]]="",#N/A,((Tabela1511[[#This Row],[Retail Sales]]*1)/H270)-1)</f>
        <v>1.2839149074326262E-3</v>
      </c>
      <c r="J271" s="8">
        <f>IF(Tabela1511[[#This Row],[Retail Sales]]="",#N/A,((Tabela1511[[#This Row],[Retail Sales]]*1)/H259)-1)</f>
        <v>6.5397373741339138E-2</v>
      </c>
      <c r="K271" s="32">
        <v>205613</v>
      </c>
      <c r="L271" s="8">
        <f>IF(Tabela1511[[#This Row],[Core-Retail Sales]]="",#N/A,((Tabela1511[[#This Row],[Core-Retail Sales]]*1)/K270)-1)</f>
        <v>1.8466725786174809E-3</v>
      </c>
      <c r="M271" s="8">
        <f>IF(Tabela1511[[#This Row],[Core-Retail Sales]]="",#N/A,((Tabela1511[[#This Row],[Core-Retail Sales]]*1)/K259)-1)</f>
        <v>7.3562582235124685E-2</v>
      </c>
      <c r="N271" s="84">
        <v>158525</v>
      </c>
      <c r="O271" s="8">
        <f>IF(Tabela1511[[#This Row],[Real Retail Sales]]="",#N/A,((Tabela1511[[#This Row],[Real Retail Sales]]*1)/N270)-1)</f>
        <v>-4.6658553963141447E-4</v>
      </c>
      <c r="P271" s="8">
        <f>IF(Tabela1511[[#This Row],[Real Retail Sales]]="",#N/A,((Tabela1511[[#This Row],[Real Retail Sales]]*1)/N259)-1)</f>
        <v>3.303900166172502E-2</v>
      </c>
      <c r="Q271" s="32">
        <v>185371</v>
      </c>
      <c r="R271" s="8">
        <f>IF(Tabela1511[[#This Row],[Core²-Retail Sales]]="",#N/A,((Tabela1511[[#This Row],[Core²-Retail Sales]]*1)/Q270)-1)</f>
        <v>2.3741818515388147E-4</v>
      </c>
      <c r="S271" s="8">
        <f>IF(Tabela1511[[#This Row],[Core²-Retail Sales]]="",#N/A,((Tabela1511[[#This Row],[Core²-Retail Sales]]*1)/Q259)-1)</f>
        <v>6.328511282680771E-2</v>
      </c>
      <c r="T271" s="5">
        <v>110.7</v>
      </c>
      <c r="U271" s="7">
        <v>53.2</v>
      </c>
      <c r="V271" s="25">
        <v>51.5</v>
      </c>
      <c r="W271" s="25">
        <v>53</v>
      </c>
      <c r="X271" s="25">
        <v>57.7</v>
      </c>
      <c r="Y271" s="25">
        <v>60.5</v>
      </c>
      <c r="Z271" s="25">
        <v>54.4</v>
      </c>
      <c r="AA271" s="25">
        <f>IF([1]!Tabela1511[[#This Row],[Services New Orders]]="","",([1]!Tabela1511[[#This Row],[Manufacturing New Orders]]+[1]!Tabela1511[[#This Row],[Services New Orders]])/2)</f>
        <v>56</v>
      </c>
      <c r="AB271" s="25">
        <f>IF([1]!Tabela1511[[#This Row],[Services Employment]]="",#N/A,([1]!Tabela1511[[#This Row],[Manufacturing Employment]]+[1]!Tabela1511[[#This Row],[Services Employment]])/2)</f>
        <v>53.7</v>
      </c>
    </row>
    <row r="272" spans="1:28">
      <c r="A272" s="6">
        <v>36678</v>
      </c>
      <c r="B272" s="36"/>
      <c r="C272" s="36"/>
      <c r="D272" s="35"/>
      <c r="E272" s="7">
        <v>93.007599999999996</v>
      </c>
      <c r="F272" s="8">
        <f>IF(Tabela1511[[#This Row],[Industrial Production]]="",#N/A,((Tabela1511[[#This Row],[Industrial Production]]*1)/E271)-1)</f>
        <v>7.53193540612207E-4</v>
      </c>
      <c r="G272" s="8">
        <f>IF(Tabela1511[[#This Row],[Industrial Production]]="",#N/A,((Tabela1511[[#This Row],[Industrial Production]]*1)/E260)-1)</f>
        <v>4.9796942970208535E-2</v>
      </c>
      <c r="H272" s="32">
        <v>273422</v>
      </c>
      <c r="I272" s="8">
        <f>IF(Tabela1511[[#This Row],[Retail Sales]]="",#N/A,((Tabela1511[[#This Row],[Retail Sales]]*1)/H271)-1)</f>
        <v>7.4725307118064244E-3</v>
      </c>
      <c r="J272" s="8">
        <f>IF(Tabela1511[[#This Row],[Retail Sales]]="",#N/A,((Tabela1511[[#This Row],[Retail Sales]]*1)/H260)-1)</f>
        <v>7.0358466856397905E-2</v>
      </c>
      <c r="K272" s="32">
        <v>206784</v>
      </c>
      <c r="L272" s="8">
        <f>IF(Tabela1511[[#This Row],[Core-Retail Sales]]="",#N/A,((Tabela1511[[#This Row],[Core-Retail Sales]]*1)/K271)-1)</f>
        <v>5.6951651889716182E-3</v>
      </c>
      <c r="M272" s="8">
        <f>IF(Tabela1511[[#This Row],[Core-Retail Sales]]="",#N/A,((Tabela1511[[#This Row],[Core-Retail Sales]]*1)/K260)-1)</f>
        <v>7.7016828387943548E-2</v>
      </c>
      <c r="N272" s="84">
        <v>158782</v>
      </c>
      <c r="O272" s="8">
        <f>IF(Tabela1511[[#This Row],[Real Retail Sales]]="",#N/A,((Tabela1511[[#This Row],[Real Retail Sales]]*1)/N271)-1)</f>
        <v>1.621195395048014E-3</v>
      </c>
      <c r="P272" s="8">
        <f>IF(Tabela1511[[#This Row],[Real Retail Sales]]="",#N/A,((Tabela1511[[#This Row],[Real Retail Sales]]*1)/N260)-1)</f>
        <v>3.182246482763107E-2</v>
      </c>
      <c r="Q272" s="32">
        <v>185899</v>
      </c>
      <c r="R272" s="8">
        <f>IF(Tabela1511[[#This Row],[Core²-Retail Sales]]="",#N/A,((Tabela1511[[#This Row],[Core²-Retail Sales]]*1)/Q271)-1)</f>
        <v>2.8483419736635707E-3</v>
      </c>
      <c r="S272" s="8">
        <f>IF(Tabela1511[[#This Row],[Core²-Retail Sales]]="",#N/A,((Tabela1511[[#This Row],[Core²-Retail Sales]]*1)/Q260)-1)</f>
        <v>6.2723307436816533E-2</v>
      </c>
      <c r="T272" s="5">
        <v>106.4</v>
      </c>
      <c r="U272" s="7">
        <v>51.4</v>
      </c>
      <c r="V272" s="25">
        <v>50</v>
      </c>
      <c r="W272" s="25">
        <v>50.7</v>
      </c>
      <c r="X272" s="25">
        <v>56.9</v>
      </c>
      <c r="Y272" s="25">
        <v>59.4</v>
      </c>
      <c r="Z272" s="25">
        <v>50.5</v>
      </c>
      <c r="AA272" s="25">
        <f>IF([1]!Tabela1511[[#This Row],[Services New Orders]]="","",([1]!Tabela1511[[#This Row],[Manufacturing New Orders]]+[1]!Tabela1511[[#This Row],[Services New Orders]])/2)</f>
        <v>54.7</v>
      </c>
      <c r="AB272" s="25">
        <f>IF([1]!Tabela1511[[#This Row],[Services Employment]]="",#N/A,([1]!Tabela1511[[#This Row],[Manufacturing Employment]]+[1]!Tabela1511[[#This Row],[Services Employment]])/2)</f>
        <v>50.6</v>
      </c>
    </row>
    <row r="273" spans="1:28">
      <c r="A273" s="6">
        <v>36708</v>
      </c>
      <c r="B273" s="36"/>
      <c r="C273" s="36"/>
      <c r="D273" s="35"/>
      <c r="E273" s="7">
        <v>92.845799999999997</v>
      </c>
      <c r="F273" s="8">
        <f>IF(Tabela1511[[#This Row],[Industrial Production]]="",#N/A,((Tabela1511[[#This Row],[Industrial Production]]*1)/E272)-1)</f>
        <v>-1.7396427818802129E-3</v>
      </c>
      <c r="G273" s="8">
        <f>IF(Tabela1511[[#This Row],[Industrial Production]]="",#N/A,((Tabela1511[[#This Row],[Industrial Production]]*1)/E261)-1)</f>
        <v>4.1765639814414612E-2</v>
      </c>
      <c r="H273" s="32">
        <v>272630</v>
      </c>
      <c r="I273" s="8">
        <f>IF(Tabela1511[[#This Row],[Retail Sales]]="",#N/A,((Tabela1511[[#This Row],[Retail Sales]]*1)/H272)-1)</f>
        <v>-2.8966213399067575E-3</v>
      </c>
      <c r="J273" s="8">
        <f>IF(Tabela1511[[#This Row],[Retail Sales]]="",#N/A,((Tabela1511[[#This Row],[Retail Sales]]*1)/H261)-1)</f>
        <v>5.8938226337704291E-2</v>
      </c>
      <c r="K273" s="32">
        <v>207425</v>
      </c>
      <c r="L273" s="8">
        <f>IF(Tabela1511[[#This Row],[Core-Retail Sales]]="",#N/A,((Tabela1511[[#This Row],[Core-Retail Sales]]*1)/K272)-1)</f>
        <v>3.0998529866914648E-3</v>
      </c>
      <c r="M273" s="8">
        <f>IF(Tabela1511[[#This Row],[Core-Retail Sales]]="",#N/A,((Tabela1511[[#This Row],[Core-Retail Sales]]*1)/K261)-1)</f>
        <v>7.5036149823526577E-2</v>
      </c>
      <c r="N273" s="84">
        <v>157863</v>
      </c>
      <c r="O273" s="8">
        <f>IF(Tabela1511[[#This Row],[Real Retail Sales]]="",#N/A,((Tabela1511[[#This Row],[Real Retail Sales]]*1)/N272)-1)</f>
        <v>-5.7878097013515095E-3</v>
      </c>
      <c r="P273" s="8">
        <f>IF(Tabela1511[[#This Row],[Real Retail Sales]]="",#N/A,((Tabela1511[[#This Row],[Real Retail Sales]]*1)/N261)-1)</f>
        <v>2.2144091995105031E-2</v>
      </c>
      <c r="Q273" s="32">
        <v>186520</v>
      </c>
      <c r="R273" s="8">
        <f>IF(Tabela1511[[#This Row],[Core²-Retail Sales]]="",#N/A,((Tabela1511[[#This Row],[Core²-Retail Sales]]*1)/Q272)-1)</f>
        <v>3.340523617663349E-3</v>
      </c>
      <c r="S273" s="8">
        <f>IF(Tabela1511[[#This Row],[Core²-Retail Sales]]="",#N/A,((Tabela1511[[#This Row],[Core²-Retail Sales]]*1)/Q261)-1)</f>
        <v>6.4350644533590406E-2</v>
      </c>
      <c r="T273" s="5">
        <v>108.3</v>
      </c>
      <c r="U273" s="7">
        <v>52.5</v>
      </c>
      <c r="V273" s="25">
        <v>52</v>
      </c>
      <c r="W273" s="25">
        <v>52.5</v>
      </c>
      <c r="X273" s="25">
        <v>55.3</v>
      </c>
      <c r="Y273" s="25">
        <v>59.7</v>
      </c>
      <c r="Z273" s="25">
        <v>54.2</v>
      </c>
      <c r="AA273" s="25">
        <f>IF([1]!Tabela1511[[#This Row],[Services New Orders]]="","",([1]!Tabela1511[[#This Row],[Manufacturing New Orders]]+[1]!Tabela1511[[#This Row],[Services New Orders]])/2)</f>
        <v>55.85</v>
      </c>
      <c r="AB273" s="25">
        <f>IF([1]!Tabela1511[[#This Row],[Services Employment]]="",#N/A,([1]!Tabela1511[[#This Row],[Manufacturing Employment]]+[1]!Tabela1511[[#This Row],[Services Employment]])/2)</f>
        <v>53.35</v>
      </c>
    </row>
    <row r="274" spans="1:28">
      <c r="A274" s="6">
        <v>36739</v>
      </c>
      <c r="B274" s="36"/>
      <c r="C274" s="36"/>
      <c r="D274" s="35"/>
      <c r="E274" s="7">
        <v>92.597200000000001</v>
      </c>
      <c r="F274" s="8">
        <f>IF(Tabela1511[[#This Row],[Industrial Production]]="",#N/A,((Tabela1511[[#This Row],[Industrial Production]]*1)/E273)-1)</f>
        <v>-2.6775578432195468E-3</v>
      </c>
      <c r="G274" s="8">
        <f>IF(Tabela1511[[#This Row],[Industrial Production]]="",#N/A,((Tabela1511[[#This Row],[Industrial Production]]*1)/E262)-1)</f>
        <v>3.4471509837830983E-2</v>
      </c>
      <c r="H274" s="32">
        <v>272918</v>
      </c>
      <c r="I274" s="8">
        <f>IF(Tabela1511[[#This Row],[Retail Sales]]="",#N/A,((Tabela1511[[#This Row],[Retail Sales]]*1)/H273)-1)</f>
        <v>1.0563767743829722E-3</v>
      </c>
      <c r="J274" s="8">
        <f>IF(Tabela1511[[#This Row],[Retail Sales]]="",#N/A,((Tabela1511[[#This Row],[Retail Sales]]*1)/H262)-1)</f>
        <v>4.8756868923644392E-2</v>
      </c>
      <c r="K274" s="32">
        <v>207607</v>
      </c>
      <c r="L274" s="8">
        <f>IF(Tabela1511[[#This Row],[Core-Retail Sales]]="",#N/A,((Tabela1511[[#This Row],[Core-Retail Sales]]*1)/K273)-1)</f>
        <v>8.7742557550929412E-4</v>
      </c>
      <c r="M274" s="8">
        <f>IF(Tabela1511[[#This Row],[Core-Retail Sales]]="",#N/A,((Tabela1511[[#This Row],[Core-Retail Sales]]*1)/K262)-1)</f>
        <v>6.7294889392700785E-2</v>
      </c>
      <c r="N274" s="84">
        <v>158030</v>
      </c>
      <c r="O274" s="8">
        <f>IF(Tabela1511[[#This Row],[Real Retail Sales]]="",#N/A,((Tabela1511[[#This Row],[Real Retail Sales]]*1)/N273)-1)</f>
        <v>1.0578793004061282E-3</v>
      </c>
      <c r="P274" s="8">
        <f>IF(Tabela1511[[#This Row],[Real Retail Sales]]="",#N/A,((Tabela1511[[#This Row],[Real Retail Sales]]*1)/N262)-1)</f>
        <v>1.4749603488021235E-2</v>
      </c>
      <c r="Q274" s="32">
        <v>187033</v>
      </c>
      <c r="R274" s="8">
        <f>IF(Tabela1511[[#This Row],[Core²-Retail Sales]]="",#N/A,((Tabela1511[[#This Row],[Core²-Retail Sales]]*1)/Q273)-1)</f>
        <v>2.7503752948745408E-3</v>
      </c>
      <c r="S274" s="8">
        <f>IF(Tabela1511[[#This Row],[Core²-Retail Sales]]="",#N/A,((Tabela1511[[#This Row],[Core²-Retail Sales]]*1)/Q262)-1)</f>
        <v>6.0385980428842023E-2</v>
      </c>
      <c r="T274" s="5">
        <v>107.3</v>
      </c>
      <c r="U274" s="7">
        <v>49.9</v>
      </c>
      <c r="V274" s="25">
        <v>50</v>
      </c>
      <c r="W274" s="25">
        <v>48.8</v>
      </c>
      <c r="X274" s="25">
        <v>57.6</v>
      </c>
      <c r="Y274" s="25">
        <v>59.8</v>
      </c>
      <c r="Z274" s="25">
        <v>53.5</v>
      </c>
      <c r="AA274" s="25">
        <f>IF([1]!Tabela1511[[#This Row],[Services New Orders]]="","",([1]!Tabela1511[[#This Row],[Manufacturing New Orders]]+[1]!Tabela1511[[#This Row],[Services New Orders]])/2)</f>
        <v>54.9</v>
      </c>
      <c r="AB274" s="25">
        <f>IF([1]!Tabela1511[[#This Row],[Services Employment]]="",#N/A,([1]!Tabela1511[[#This Row],[Manufacturing Employment]]+[1]!Tabela1511[[#This Row],[Services Employment]])/2)</f>
        <v>51.15</v>
      </c>
    </row>
    <row r="275" spans="1:28">
      <c r="A275" s="6">
        <v>36770</v>
      </c>
      <c r="B275" s="36"/>
      <c r="C275" s="36"/>
      <c r="D275" s="35"/>
      <c r="E275" s="7">
        <v>92.965299999999999</v>
      </c>
      <c r="F275" s="8">
        <f>IF(Tabela1511[[#This Row],[Industrial Production]]="",#N/A,((Tabela1511[[#This Row],[Industrial Production]]*1)/E274)-1)</f>
        <v>3.9752821899581292E-3</v>
      </c>
      <c r="G275" s="8">
        <f>IF(Tabela1511[[#This Row],[Industrial Production]]="",#N/A,((Tabela1511[[#This Row],[Industrial Production]]*1)/E263)-1)</f>
        <v>4.2959025579983878E-2</v>
      </c>
      <c r="H275" s="32">
        <v>277548</v>
      </c>
      <c r="I275" s="8">
        <f>IF(Tabela1511[[#This Row],[Retail Sales]]="",#N/A,((Tabela1511[[#This Row],[Retail Sales]]*1)/H274)-1)</f>
        <v>1.6964802614704677E-2</v>
      </c>
      <c r="J275" s="8">
        <f>IF(Tabela1511[[#This Row],[Retail Sales]]="",#N/A,((Tabela1511[[#This Row],[Retail Sales]]*1)/H263)-1)</f>
        <v>6.2112300386121033E-2</v>
      </c>
      <c r="K275" s="32">
        <v>210698</v>
      </c>
      <c r="L275" s="8">
        <f>IF(Tabela1511[[#This Row],[Core-Retail Sales]]="",#N/A,((Tabela1511[[#This Row],[Core-Retail Sales]]*1)/K274)-1)</f>
        <v>1.4888707991541628E-2</v>
      </c>
      <c r="M275" s="8">
        <f>IF(Tabela1511[[#This Row],[Core-Retail Sales]]="",#N/A,((Tabela1511[[#This Row],[Core-Retail Sales]]*1)/K263)-1)</f>
        <v>7.4074640484892873E-2</v>
      </c>
      <c r="N275" s="84">
        <v>159878</v>
      </c>
      <c r="O275" s="8">
        <f>IF(Tabela1511[[#This Row],[Real Retail Sales]]="",#N/A,((Tabela1511[[#This Row],[Real Retail Sales]]*1)/N274)-1)</f>
        <v>1.1693982155287053E-2</v>
      </c>
      <c r="P275" s="8">
        <f>IF(Tabela1511[[#This Row],[Real Retail Sales]]="",#N/A,((Tabela1511[[#This Row],[Real Retail Sales]]*1)/N263)-1)</f>
        <v>2.6629251722521508E-2</v>
      </c>
      <c r="Q275" s="32">
        <v>189371</v>
      </c>
      <c r="R275" s="8">
        <f>IF(Tabela1511[[#This Row],[Core²-Retail Sales]]="",#N/A,((Tabela1511[[#This Row],[Core²-Retail Sales]]*1)/Q274)-1)</f>
        <v>1.2500467831879858E-2</v>
      </c>
      <c r="S275" s="8">
        <f>IF(Tabela1511[[#This Row],[Core²-Retail Sales]]="",#N/A,((Tabela1511[[#This Row],[Core²-Retail Sales]]*1)/Q263)-1)</f>
        <v>6.4911037631868895E-2</v>
      </c>
      <c r="T275" s="5">
        <v>106.8</v>
      </c>
      <c r="U275" s="7">
        <v>49.7</v>
      </c>
      <c r="V275" s="25">
        <v>48.9</v>
      </c>
      <c r="W275" s="25">
        <v>50.6</v>
      </c>
      <c r="X275" s="25">
        <v>56.7</v>
      </c>
      <c r="Y275" s="25">
        <v>60.4</v>
      </c>
      <c r="Z275" s="25">
        <v>54.5</v>
      </c>
      <c r="AA275" s="25">
        <f>IF([1]!Tabela1511[[#This Row],[Services New Orders]]="","",([1]!Tabela1511[[#This Row],[Manufacturing New Orders]]+[1]!Tabela1511[[#This Row],[Services New Orders]])/2)</f>
        <v>54.65</v>
      </c>
      <c r="AB275" s="25">
        <f>IF([1]!Tabela1511[[#This Row],[Services Employment]]="",#N/A,([1]!Tabela1511[[#This Row],[Manufacturing Employment]]+[1]!Tabela1511[[#This Row],[Services Employment]])/2)</f>
        <v>52.55</v>
      </c>
    </row>
    <row r="276" spans="1:28">
      <c r="A276" s="6">
        <v>36800</v>
      </c>
      <c r="B276" s="36"/>
      <c r="C276" s="36"/>
      <c r="D276" s="35"/>
      <c r="E276" s="7">
        <v>92.641800000000003</v>
      </c>
      <c r="F276" s="8">
        <f>IF(Tabela1511[[#This Row],[Industrial Production]]="",#N/A,((Tabela1511[[#This Row],[Industrial Production]]*1)/E275)-1)</f>
        <v>-3.4797929980325826E-3</v>
      </c>
      <c r="G276" s="8">
        <f>IF(Tabela1511[[#This Row],[Industrial Production]]="",#N/A,((Tabela1511[[#This Row],[Industrial Production]]*1)/E264)-1)</f>
        <v>2.6113096200664154E-2</v>
      </c>
      <c r="H276" s="32">
        <v>276927</v>
      </c>
      <c r="I276" s="8">
        <f>IF(Tabela1511[[#This Row],[Retail Sales]]="",#N/A,((Tabela1511[[#This Row],[Retail Sales]]*1)/H275)-1)</f>
        <v>-2.237450819317699E-3</v>
      </c>
      <c r="J276" s="8">
        <f>IF(Tabela1511[[#This Row],[Retail Sales]]="",#N/A,((Tabela1511[[#This Row],[Retail Sales]]*1)/H264)-1)</f>
        <v>5.7708026186129358E-2</v>
      </c>
      <c r="K276" s="32">
        <v>210719</v>
      </c>
      <c r="L276" s="8">
        <f>IF(Tabela1511[[#This Row],[Core-Retail Sales]]="",#N/A,((Tabela1511[[#This Row],[Core-Retail Sales]]*1)/K275)-1)</f>
        <v>9.9668720158652135E-5</v>
      </c>
      <c r="M276" s="8">
        <f>IF(Tabela1511[[#This Row],[Core-Retail Sales]]="",#N/A,((Tabela1511[[#This Row],[Core-Retail Sales]]*1)/K264)-1)</f>
        <v>6.8018591072433132E-2</v>
      </c>
      <c r="N276" s="84">
        <v>159245</v>
      </c>
      <c r="O276" s="8">
        <f>IF(Tabela1511[[#This Row],[Real Retail Sales]]="",#N/A,((Tabela1511[[#This Row],[Real Retail Sales]]*1)/N275)-1)</f>
        <v>-3.9592689425687055E-3</v>
      </c>
      <c r="P276" s="8">
        <f>IF(Tabela1511[[#This Row],[Real Retail Sales]]="",#N/A,((Tabela1511[[#This Row],[Real Retail Sales]]*1)/N264)-1)</f>
        <v>2.2433242804219544E-2</v>
      </c>
      <c r="Q276" s="32">
        <v>189307</v>
      </c>
      <c r="R276" s="8">
        <f>IF(Tabela1511[[#This Row],[Core²-Retail Sales]]="",#N/A,((Tabela1511[[#This Row],[Core²-Retail Sales]]*1)/Q275)-1)</f>
        <v>-3.3796093382831849E-4</v>
      </c>
      <c r="S276" s="8">
        <f>IF(Tabela1511[[#This Row],[Core²-Retail Sales]]="",#N/A,((Tabela1511[[#This Row],[Core²-Retail Sales]]*1)/Q264)-1)</f>
        <v>5.9552127701254287E-2</v>
      </c>
      <c r="T276" s="5">
        <v>105.8</v>
      </c>
      <c r="U276" s="7">
        <v>48.7</v>
      </c>
      <c r="V276" s="25">
        <v>48.4</v>
      </c>
      <c r="W276" s="25">
        <v>48.2</v>
      </c>
      <c r="X276" s="25">
        <v>56.7</v>
      </c>
      <c r="Y276" s="25">
        <v>59.2</v>
      </c>
      <c r="Z276" s="25">
        <v>54.6</v>
      </c>
      <c r="AA276" s="25">
        <f>IF([1]!Tabela1511[[#This Row],[Services New Orders]]="","",([1]!Tabela1511[[#This Row],[Manufacturing New Orders]]+[1]!Tabela1511[[#This Row],[Services New Orders]])/2)</f>
        <v>53.8</v>
      </c>
      <c r="AB276" s="25">
        <f>IF([1]!Tabela1511[[#This Row],[Services Employment]]="",#N/A,([1]!Tabela1511[[#This Row],[Manufacturing Employment]]+[1]!Tabela1511[[#This Row],[Services Employment]])/2)</f>
        <v>51.400000000000006</v>
      </c>
    </row>
    <row r="277" spans="1:28">
      <c r="A277" s="6">
        <v>36831</v>
      </c>
      <c r="B277" s="36"/>
      <c r="C277" s="36"/>
      <c r="D277" s="35"/>
      <c r="E277" s="7">
        <v>92.661799999999999</v>
      </c>
      <c r="F277" s="8">
        <f>IF(Tabela1511[[#This Row],[Industrial Production]]="",#N/A,((Tabela1511[[#This Row],[Industrial Production]]*1)/E276)-1)</f>
        <v>2.1588526993210344E-4</v>
      </c>
      <c r="G277" s="8">
        <f>IF(Tabela1511[[#This Row],[Industrial Production]]="",#N/A,((Tabela1511[[#This Row],[Industrial Production]]*1)/E265)-1)</f>
        <v>2.0919294294707846E-2</v>
      </c>
      <c r="H277" s="32">
        <v>276029</v>
      </c>
      <c r="I277" s="8">
        <f>IF(Tabela1511[[#This Row],[Retail Sales]]="",#N/A,((Tabela1511[[#This Row],[Retail Sales]]*1)/H276)-1)</f>
        <v>-3.2427318390767512E-3</v>
      </c>
      <c r="J277" s="8">
        <f>IF(Tabela1511[[#This Row],[Retail Sales]]="",#N/A,((Tabela1511[[#This Row],[Retail Sales]]*1)/H265)-1)</f>
        <v>4.1756458400165952E-2</v>
      </c>
      <c r="K277" s="32">
        <v>211384</v>
      </c>
      <c r="L277" s="8">
        <f>IF(Tabela1511[[#This Row],[Core-Retail Sales]]="",#N/A,((Tabela1511[[#This Row],[Core-Retail Sales]]*1)/K276)-1)</f>
        <v>3.1558615976727822E-3</v>
      </c>
      <c r="M277" s="8">
        <f>IF(Tabela1511[[#This Row],[Core-Retail Sales]]="",#N/A,((Tabela1511[[#This Row],[Core-Retail Sales]]*1)/K265)-1)</f>
        <v>6.3856343358698719E-2</v>
      </c>
      <c r="N277" s="84">
        <v>158455</v>
      </c>
      <c r="O277" s="8">
        <f>IF(Tabela1511[[#This Row],[Real Retail Sales]]="",#N/A,((Tabela1511[[#This Row],[Real Retail Sales]]*1)/N276)-1)</f>
        <v>-4.9609092907155761E-3</v>
      </c>
      <c r="P277" s="8">
        <f>IF(Tabela1511[[#This Row],[Real Retail Sales]]="",#N/A,((Tabela1511[[#This Row],[Real Retail Sales]]*1)/N265)-1)</f>
        <v>7.0673623866330804E-3</v>
      </c>
      <c r="Q277" s="32">
        <v>189478</v>
      </c>
      <c r="R277" s="8">
        <f>IF(Tabela1511[[#This Row],[Core²-Retail Sales]]="",#N/A,((Tabela1511[[#This Row],[Core²-Retail Sales]]*1)/Q276)-1)</f>
        <v>9.0329464837535234E-4</v>
      </c>
      <c r="S277" s="8">
        <f>IF(Tabela1511[[#This Row],[Core²-Retail Sales]]="",#N/A,((Tabela1511[[#This Row],[Core²-Retail Sales]]*1)/Q265)-1)</f>
        <v>5.4389440413123769E-2</v>
      </c>
      <c r="T277" s="5">
        <v>107.6</v>
      </c>
      <c r="U277" s="7">
        <v>48.5</v>
      </c>
      <c r="V277" s="25">
        <v>49.1</v>
      </c>
      <c r="W277" s="25">
        <v>47.1</v>
      </c>
      <c r="X277" s="25">
        <v>56.2</v>
      </c>
      <c r="Y277" s="25">
        <v>56.4</v>
      </c>
      <c r="Z277" s="25">
        <v>52.4</v>
      </c>
      <c r="AA277" s="25">
        <f>IF([1]!Tabela1511[[#This Row],[Services New Orders]]="","",([1]!Tabela1511[[#This Row],[Manufacturing New Orders]]+[1]!Tabela1511[[#This Row],[Services New Orders]])/2)</f>
        <v>52.75</v>
      </c>
      <c r="AB277" s="25">
        <f>IF([1]!Tabela1511[[#This Row],[Services Employment]]="",#N/A,([1]!Tabela1511[[#This Row],[Manufacturing Employment]]+[1]!Tabela1511[[#This Row],[Services Employment]])/2)</f>
        <v>49.75</v>
      </c>
    </row>
    <row r="278" spans="1:28">
      <c r="A278" s="6">
        <v>36861</v>
      </c>
      <c r="B278" s="36"/>
      <c r="C278" s="36"/>
      <c r="D278" s="35"/>
      <c r="E278" s="7">
        <v>92.3459</v>
      </c>
      <c r="F278" s="8">
        <f>IF(Tabela1511[[#This Row],[Industrial Production]]="",#N/A,((Tabela1511[[#This Row],[Industrial Production]]*1)/E277)-1)</f>
        <v>-3.4091718485934619E-3</v>
      </c>
      <c r="G278" s="8">
        <f>IF(Tabela1511[[#This Row],[Industrial Production]]="",#N/A,((Tabela1511[[#This Row],[Industrial Production]]*1)/E266)-1)</f>
        <v>9.326437329357784E-3</v>
      </c>
      <c r="H278" s="32">
        <v>275791</v>
      </c>
      <c r="I278" s="8">
        <f>IF(Tabela1511[[#This Row],[Retail Sales]]="",#N/A,((Tabela1511[[#This Row],[Retail Sales]]*1)/H277)-1)</f>
        <v>-8.6222824413373367E-4</v>
      </c>
      <c r="J278" s="8">
        <f>IF(Tabela1511[[#This Row],[Retail Sales]]="",#N/A,((Tabela1511[[#This Row],[Retail Sales]]*1)/H266)-1)</f>
        <v>2.1966701622675222E-2</v>
      </c>
      <c r="K278" s="32">
        <v>212267</v>
      </c>
      <c r="L278" s="8">
        <f>IF(Tabela1511[[#This Row],[Core-Retail Sales]]="",#N/A,((Tabela1511[[#This Row],[Core-Retail Sales]]*1)/K277)-1)</f>
        <v>4.1772319570072547E-3</v>
      </c>
      <c r="M278" s="8">
        <f>IF(Tabela1511[[#This Row],[Core-Retail Sales]]="",#N/A,((Tabela1511[[#This Row],[Core-Retail Sales]]*1)/K266)-1)</f>
        <v>4.0759190797925005E-2</v>
      </c>
      <c r="N278" s="84">
        <v>157956</v>
      </c>
      <c r="O278" s="8">
        <f>IF(Tabela1511[[#This Row],[Real Retail Sales]]="",#N/A,((Tabela1511[[#This Row],[Real Retail Sales]]*1)/N277)-1)</f>
        <v>-3.1491590672431125E-3</v>
      </c>
      <c r="P278" s="8">
        <f>IF(Tabela1511[[#This Row],[Real Retail Sales]]="",#N/A,((Tabela1511[[#This Row],[Real Retail Sales]]*1)/N266)-1)</f>
        <v>-1.1978407591120344E-2</v>
      </c>
      <c r="Q278" s="32">
        <v>190143</v>
      </c>
      <c r="R278" s="8">
        <f>IF(Tabela1511[[#This Row],[Core²-Retail Sales]]="",#N/A,((Tabela1511[[#This Row],[Core²-Retail Sales]]*1)/Q277)-1)</f>
        <v>3.5096422803702065E-3</v>
      </c>
      <c r="S278" s="8">
        <f>IF(Tabela1511[[#This Row],[Core²-Retail Sales]]="",#N/A,((Tabela1511[[#This Row],[Core²-Retail Sales]]*1)/Q266)-1)</f>
        <v>3.4178364942700767E-2</v>
      </c>
      <c r="T278" s="5">
        <v>98.4</v>
      </c>
      <c r="U278" s="7">
        <v>43.9</v>
      </c>
      <c r="V278" s="25">
        <v>42.1</v>
      </c>
      <c r="W278" s="25">
        <v>42.7</v>
      </c>
      <c r="X278" s="25">
        <v>54</v>
      </c>
      <c r="Y278" s="25">
        <v>54.9</v>
      </c>
      <c r="Z278" s="25">
        <v>51.7</v>
      </c>
      <c r="AA278" s="25">
        <f>IF([1]!Tabela1511[[#This Row],[Services New Orders]]="","",([1]!Tabela1511[[#This Row],[Manufacturing New Orders]]+[1]!Tabela1511[[#This Row],[Services New Orders]])/2)</f>
        <v>48.5</v>
      </c>
      <c r="AB278" s="25">
        <f>IF([1]!Tabela1511[[#This Row],[Services Employment]]="",#N/A,([1]!Tabela1511[[#This Row],[Manufacturing Employment]]+[1]!Tabela1511[[#This Row],[Services Employment]])/2)</f>
        <v>47.2</v>
      </c>
    </row>
    <row r="279" spans="1:28">
      <c r="A279" s="6">
        <v>36892</v>
      </c>
      <c r="B279" s="36"/>
      <c r="C279" s="36"/>
      <c r="D279" s="35"/>
      <c r="E279" s="7">
        <v>91.890299999999996</v>
      </c>
      <c r="F279" s="8">
        <f>IF(Tabela1511[[#This Row],[Industrial Production]]="",#N/A,((Tabela1511[[#This Row],[Industrial Production]]*1)/E278)-1)</f>
        <v>-4.9336245572354498E-3</v>
      </c>
      <c r="G279" s="8">
        <f>IF(Tabela1511[[#This Row],[Industrial Production]]="",#N/A,((Tabela1511[[#This Row],[Industrial Production]]*1)/E267)-1)</f>
        <v>5.0883181970815539E-3</v>
      </c>
      <c r="H279" s="32">
        <v>278834</v>
      </c>
      <c r="I279" s="8">
        <f>IF(Tabela1511[[#This Row],[Retail Sales]]="",#N/A,((Tabela1511[[#This Row],[Retail Sales]]*1)/H278)-1)</f>
        <v>1.1033717561486744E-2</v>
      </c>
      <c r="J279" s="8">
        <f>IF(Tabela1511[[#This Row],[Retail Sales]]="",#N/A,((Tabela1511[[#This Row],[Retail Sales]]*1)/H267)-1)</f>
        <v>4.0254585068123072E-2</v>
      </c>
      <c r="K279" s="32">
        <v>212908</v>
      </c>
      <c r="L279" s="8">
        <f>IF(Tabela1511[[#This Row],[Core-Retail Sales]]="",#N/A,((Tabela1511[[#This Row],[Core-Retail Sales]]*1)/K278)-1)</f>
        <v>3.0197816900412455E-3</v>
      </c>
      <c r="M279" s="8">
        <f>IF(Tabela1511[[#This Row],[Core-Retail Sales]]="",#N/A,((Tabela1511[[#This Row],[Core-Retail Sales]]*1)/K267)-1)</f>
        <v>6.260075362463513E-2</v>
      </c>
      <c r="N279" s="84">
        <v>158789</v>
      </c>
      <c r="O279" s="8">
        <f>IF(Tabela1511[[#This Row],[Real Retail Sales]]="",#N/A,((Tabela1511[[#This Row],[Real Retail Sales]]*1)/N278)-1)</f>
        <v>5.2736205019119353E-3</v>
      </c>
      <c r="P279" s="8">
        <f>IF(Tabela1511[[#This Row],[Real Retail Sales]]="",#N/A,((Tabela1511[[#This Row],[Real Retail Sales]]*1)/N267)-1)</f>
        <v>2.9306805621347465E-3</v>
      </c>
      <c r="Q279" s="32">
        <v>190977</v>
      </c>
      <c r="R279" s="8">
        <f>IF(Tabela1511[[#This Row],[Core²-Retail Sales]]="",#N/A,((Tabela1511[[#This Row],[Core²-Retail Sales]]*1)/Q278)-1)</f>
        <v>4.3861725122671391E-3</v>
      </c>
      <c r="S279" s="8">
        <f>IF(Tabela1511[[#This Row],[Core²-Retail Sales]]="",#N/A,((Tabela1511[[#This Row],[Core²-Retail Sales]]*1)/Q267)-1)</f>
        <v>5.5080742733706334E-2</v>
      </c>
      <c r="T279" s="5">
        <v>94.7</v>
      </c>
      <c r="U279" s="7">
        <v>42.3</v>
      </c>
      <c r="V279" s="25">
        <v>38.4</v>
      </c>
      <c r="W279" s="25">
        <v>42.3</v>
      </c>
      <c r="X279" s="25">
        <v>51.6</v>
      </c>
      <c r="Y279" s="25">
        <v>50.8</v>
      </c>
      <c r="Z279" s="25">
        <v>50.7</v>
      </c>
      <c r="AA279" s="25">
        <f>IF([1]!Tabela1511[[#This Row],[Services New Orders]]="","",([1]!Tabela1511[[#This Row],[Manufacturing New Orders]]+[1]!Tabela1511[[#This Row],[Services New Orders]])/2)</f>
        <v>44.599999999999994</v>
      </c>
      <c r="AB279" s="25">
        <f>IF([1]!Tabela1511[[#This Row],[Services Employment]]="",#N/A,([1]!Tabela1511[[#This Row],[Manufacturing Employment]]+[1]!Tabela1511[[#This Row],[Services Employment]])/2)</f>
        <v>46.5</v>
      </c>
    </row>
    <row r="280" spans="1:28">
      <c r="A280" s="6">
        <v>36923</v>
      </c>
      <c r="B280" s="36"/>
      <c r="C280" s="36"/>
      <c r="D280" s="35"/>
      <c r="E280" s="7">
        <v>91.291499999999999</v>
      </c>
      <c r="F280" s="8">
        <f>IF(Tabela1511[[#This Row],[Industrial Production]]="",#N/A,((Tabela1511[[#This Row],[Industrial Production]]*1)/E279)-1)</f>
        <v>-6.5164658293639377E-3</v>
      </c>
      <c r="G280" s="8">
        <f>IF(Tabela1511[[#This Row],[Industrial Production]]="",#N/A,((Tabela1511[[#This Row],[Industrial Production]]*1)/E268)-1)</f>
        <v>-4.8421715864160886E-3</v>
      </c>
      <c r="H280" s="32">
        <v>278773</v>
      </c>
      <c r="I280" s="8">
        <f>IF(Tabela1511[[#This Row],[Retail Sales]]="",#N/A,((Tabela1511[[#This Row],[Retail Sales]]*1)/H279)-1)</f>
        <v>-2.1876815596377774E-4</v>
      </c>
      <c r="J280" s="8">
        <f>IF(Tabela1511[[#This Row],[Retail Sales]]="",#N/A,((Tabela1511[[#This Row],[Retail Sales]]*1)/H268)-1)</f>
        <v>2.4825380486728887E-2</v>
      </c>
      <c r="K280" s="32">
        <v>212585</v>
      </c>
      <c r="L280" s="8">
        <f>IF(Tabela1511[[#This Row],[Core-Retail Sales]]="",#N/A,((Tabela1511[[#This Row],[Core-Retail Sales]]*1)/K279)-1)</f>
        <v>-1.5170871925902496E-3</v>
      </c>
      <c r="M280" s="8">
        <f>IF(Tabela1511[[#This Row],[Core-Retail Sales]]="",#N/A,((Tabela1511[[#This Row],[Core-Retail Sales]]*1)/K268)-1)</f>
        <v>4.7552171877694782E-2</v>
      </c>
      <c r="N280" s="84">
        <v>158394</v>
      </c>
      <c r="O280" s="8">
        <f>IF(Tabela1511[[#This Row],[Real Retail Sales]]="",#N/A,((Tabela1511[[#This Row],[Real Retail Sales]]*1)/N279)-1)</f>
        <v>-2.487577854889178E-3</v>
      </c>
      <c r="P280" s="8">
        <f>IF(Tabela1511[[#This Row],[Real Retail Sales]]="",#N/A,((Tabela1511[[#This Row],[Real Retail Sales]]*1)/N268)-1)</f>
        <v>-1.0111741619378556E-2</v>
      </c>
      <c r="Q280" s="32">
        <v>190970</v>
      </c>
      <c r="R280" s="8">
        <f>IF(Tabela1511[[#This Row],[Core²-Retail Sales]]="",#N/A,((Tabela1511[[#This Row],[Core²-Retail Sales]]*1)/Q279)-1)</f>
        <v>-3.6653628447402831E-5</v>
      </c>
      <c r="S280" s="8">
        <f>IF(Tabela1511[[#This Row],[Core²-Retail Sales]]="",#N/A,((Tabela1511[[#This Row],[Core²-Retail Sales]]*1)/Q268)-1)</f>
        <v>4.5145330859616584E-2</v>
      </c>
      <c r="T280" s="5">
        <v>90.6</v>
      </c>
      <c r="U280" s="7">
        <v>42.1</v>
      </c>
      <c r="V280" s="25">
        <v>39.9</v>
      </c>
      <c r="W280" s="25">
        <v>37.799999999999997</v>
      </c>
      <c r="X280" s="25">
        <v>51.3</v>
      </c>
      <c r="Y280" s="25">
        <v>51.4</v>
      </c>
      <c r="Z280" s="25">
        <v>49.6</v>
      </c>
      <c r="AA280" s="25">
        <f>IF([1]!Tabela1511[[#This Row],[Services New Orders]]="","",([1]!Tabela1511[[#This Row],[Manufacturing New Orders]]+[1]!Tabela1511[[#This Row],[Services New Orders]])/2)</f>
        <v>45.65</v>
      </c>
      <c r="AB280" s="25">
        <f>IF([1]!Tabela1511[[#This Row],[Services Employment]]="",#N/A,([1]!Tabela1511[[#This Row],[Manufacturing Employment]]+[1]!Tabela1511[[#This Row],[Services Employment]])/2)</f>
        <v>43.7</v>
      </c>
    </row>
    <row r="281" spans="1:28">
      <c r="A281" s="6">
        <v>36951</v>
      </c>
      <c r="B281" s="36"/>
      <c r="C281" s="36"/>
      <c r="D281" s="35"/>
      <c r="E281" s="7">
        <v>91.052599999999998</v>
      </c>
      <c r="F281" s="8">
        <f>IF(Tabela1511[[#This Row],[Industrial Production]]="",#N/A,((Tabela1511[[#This Row],[Industrial Production]]*1)/E280)-1)</f>
        <v>-2.6168920436184795E-3</v>
      </c>
      <c r="G281" s="8">
        <f>IF(Tabela1511[[#This Row],[Industrial Production]]="",#N/A,((Tabela1511[[#This Row],[Industrial Production]]*1)/E269)-1)</f>
        <v>-1.1300496344468058E-2</v>
      </c>
      <c r="H281" s="32">
        <v>276450</v>
      </c>
      <c r="I281" s="8">
        <f>IF(Tabela1511[[#This Row],[Retail Sales]]="",#N/A,((Tabela1511[[#This Row],[Retail Sales]]*1)/H280)-1)</f>
        <v>-8.3329447256369482E-3</v>
      </c>
      <c r="J281" s="8">
        <f>IF(Tabela1511[[#This Row],[Retail Sales]]="",#N/A,((Tabela1511[[#This Row],[Retail Sales]]*1)/H269)-1)</f>
        <v>4.5713538184248836E-3</v>
      </c>
      <c r="K281" s="32">
        <v>210779</v>
      </c>
      <c r="L281" s="8">
        <f>IF(Tabela1511[[#This Row],[Core-Retail Sales]]="",#N/A,((Tabela1511[[#This Row],[Core-Retail Sales]]*1)/K280)-1)</f>
        <v>-8.4954253592680606E-3</v>
      </c>
      <c r="M281" s="8">
        <f>IF(Tabela1511[[#This Row],[Core-Retail Sales]]="",#N/A,((Tabela1511[[#This Row],[Core-Retail Sales]]*1)/K269)-1)</f>
        <v>1.944292630550537E-2</v>
      </c>
      <c r="N281" s="84">
        <v>156985</v>
      </c>
      <c r="O281" s="8">
        <f>IF(Tabela1511[[#This Row],[Real Retail Sales]]="",#N/A,((Tabela1511[[#This Row],[Real Retail Sales]]*1)/N280)-1)</f>
        <v>-8.8955389724357792E-3</v>
      </c>
      <c r="P281" s="8">
        <f>IF(Tabela1511[[#This Row],[Real Retail Sales]]="",#N/A,((Tabela1511[[#This Row],[Real Retail Sales]]*1)/N269)-1)</f>
        <v>-2.4519825266729245E-2</v>
      </c>
      <c r="Q281" s="32">
        <v>190127</v>
      </c>
      <c r="R281" s="8">
        <f>IF(Tabela1511[[#This Row],[Core²-Retail Sales]]="",#N/A,((Tabela1511[[#This Row],[Core²-Retail Sales]]*1)/Q280)-1)</f>
        <v>-4.4143059119233774E-3</v>
      </c>
      <c r="S281" s="8">
        <f>IF(Tabela1511[[#This Row],[Core²-Retail Sales]]="",#N/A,((Tabela1511[[#This Row],[Core²-Retail Sales]]*1)/Q269)-1)</f>
        <v>2.2518016564483156E-2</v>
      </c>
      <c r="T281" s="5">
        <v>91.5</v>
      </c>
      <c r="U281" s="7">
        <v>43.1</v>
      </c>
      <c r="V281" s="25">
        <v>41.5</v>
      </c>
      <c r="W281" s="25">
        <v>39.9</v>
      </c>
      <c r="X281" s="25">
        <v>50.7</v>
      </c>
      <c r="Y281" s="25">
        <v>52.6</v>
      </c>
      <c r="Z281" s="25">
        <v>46.5</v>
      </c>
      <c r="AA281" s="25">
        <f>IF([1]!Tabela1511[[#This Row],[Services New Orders]]="","",([1]!Tabela1511[[#This Row],[Manufacturing New Orders]]+[1]!Tabela1511[[#This Row],[Services New Orders]])/2)</f>
        <v>47.05</v>
      </c>
      <c r="AB281" s="25">
        <f>IF([1]!Tabela1511[[#This Row],[Services Employment]]="",#N/A,([1]!Tabela1511[[#This Row],[Manufacturing Employment]]+[1]!Tabela1511[[#This Row],[Services Employment]])/2)</f>
        <v>43.2</v>
      </c>
    </row>
    <row r="282" spans="1:28">
      <c r="A282" s="6">
        <v>36982</v>
      </c>
      <c r="B282" s="36"/>
      <c r="C282" s="36"/>
      <c r="D282" s="35"/>
      <c r="E282" s="7">
        <v>90.729299999999995</v>
      </c>
      <c r="F282" s="8">
        <f>IF(Tabela1511[[#This Row],[Industrial Production]]="",#N/A,((Tabela1511[[#This Row],[Industrial Production]]*1)/E281)-1)</f>
        <v>-3.5506948730733567E-3</v>
      </c>
      <c r="G282" s="8">
        <f>IF(Tabela1511[[#This Row],[Industrial Production]]="",#N/A,((Tabela1511[[#This Row],[Industrial Production]]*1)/E270)-1)</f>
        <v>-2.1087827646255386E-2</v>
      </c>
      <c r="H282" s="32">
        <v>280808</v>
      </c>
      <c r="I282" s="8">
        <f>IF(Tabela1511[[#This Row],[Retail Sales]]="",#N/A,((Tabela1511[[#This Row],[Retail Sales]]*1)/H281)-1)</f>
        <v>1.5764152649665464E-2</v>
      </c>
      <c r="J282" s="8">
        <f>IF(Tabela1511[[#This Row],[Retail Sales]]="",#N/A,((Tabela1511[[#This Row],[Retail Sales]]*1)/H270)-1)</f>
        <v>3.6016026799879031E-2</v>
      </c>
      <c r="K282" s="32">
        <v>213875</v>
      </c>
      <c r="L282" s="8">
        <f>IF(Tabela1511[[#This Row],[Core-Retail Sales]]="",#N/A,((Tabela1511[[#This Row],[Core-Retail Sales]]*1)/K281)-1)</f>
        <v>1.4688370283567176E-2</v>
      </c>
      <c r="M282" s="8">
        <f>IF(Tabela1511[[#This Row],[Core-Retail Sales]]="",#N/A,((Tabela1511[[#This Row],[Core-Retail Sales]]*1)/K270)-1)</f>
        <v>4.2103160295077879E-2</v>
      </c>
      <c r="N282" s="84">
        <v>159188</v>
      </c>
      <c r="O282" s="8">
        <f>IF(Tabela1511[[#This Row],[Real Retail Sales]]="",#N/A,((Tabela1511[[#This Row],[Real Retail Sales]]*1)/N281)-1)</f>
        <v>1.4033187884192833E-2</v>
      </c>
      <c r="P282" s="8">
        <f>IF(Tabela1511[[#This Row],[Real Retail Sales]]="",#N/A,((Tabela1511[[#This Row],[Real Retail Sales]]*1)/N270)-1)</f>
        <v>3.7137686870660769E-3</v>
      </c>
      <c r="Q282" s="32">
        <v>192257</v>
      </c>
      <c r="R282" s="8">
        <f>IF(Tabela1511[[#This Row],[Core²-Retail Sales]]="",#N/A,((Tabela1511[[#This Row],[Core²-Retail Sales]]*1)/Q281)-1)</f>
        <v>1.1203037969357288E-2</v>
      </c>
      <c r="S282" s="8">
        <f>IF(Tabela1511[[#This Row],[Core²-Retail Sales]]="",#N/A,((Tabela1511[[#This Row],[Core²-Retail Sales]]*1)/Q270)-1)</f>
        <v>3.7393364161725007E-2</v>
      </c>
      <c r="T282" s="5">
        <v>88.4</v>
      </c>
      <c r="U282" s="7">
        <v>42.7</v>
      </c>
      <c r="V282" s="25">
        <v>45.5</v>
      </c>
      <c r="W282" s="25">
        <v>38.200000000000003</v>
      </c>
      <c r="X282" s="25">
        <v>48.3</v>
      </c>
      <c r="Y282" s="25">
        <v>47.2</v>
      </c>
      <c r="Z282" s="25">
        <v>46.7</v>
      </c>
      <c r="AA282" s="25">
        <f>IF([1]!Tabela1511[[#This Row],[Services New Orders]]="","",([1]!Tabela1511[[#This Row],[Manufacturing New Orders]]+[1]!Tabela1511[[#This Row],[Services New Orders]])/2)</f>
        <v>46.35</v>
      </c>
      <c r="AB282" s="25">
        <f>IF([1]!Tabela1511[[#This Row],[Services Employment]]="",#N/A,([1]!Tabela1511[[#This Row],[Manufacturing Employment]]+[1]!Tabela1511[[#This Row],[Services Employment]])/2)</f>
        <v>42.45</v>
      </c>
    </row>
    <row r="283" spans="1:28">
      <c r="A283" s="6">
        <v>37012</v>
      </c>
      <c r="B283" s="36"/>
      <c r="C283" s="36"/>
      <c r="D283" s="35"/>
      <c r="E283" s="7">
        <v>90.2577</v>
      </c>
      <c r="F283" s="8">
        <f>IF(Tabela1511[[#This Row],[Industrial Production]]="",#N/A,((Tabela1511[[#This Row],[Industrial Production]]*1)/E282)-1)</f>
        <v>-5.1978798469732856E-3</v>
      </c>
      <c r="G283" s="8">
        <f>IF(Tabela1511[[#This Row],[Industrial Production]]="",#N/A,((Tabela1511[[#This Row],[Industrial Production]]*1)/E271)-1)</f>
        <v>-2.8835476706951746E-2</v>
      </c>
      <c r="H283" s="32">
        <v>281496</v>
      </c>
      <c r="I283" s="8">
        <f>IF(Tabela1511[[#This Row],[Retail Sales]]="",#N/A,((Tabela1511[[#This Row],[Retail Sales]]*1)/H282)-1)</f>
        <v>2.4500726475029655E-3</v>
      </c>
      <c r="J283" s="8">
        <f>IF(Tabela1511[[#This Row],[Retail Sales]]="",#N/A,((Tabela1511[[#This Row],[Retail Sales]]*1)/H271)-1)</f>
        <v>3.7222635725181918E-2</v>
      </c>
      <c r="K283" s="32">
        <v>214457</v>
      </c>
      <c r="L283" s="8">
        <f>IF(Tabela1511[[#This Row],[Core-Retail Sales]]="",#N/A,((Tabela1511[[#This Row],[Core-Retail Sales]]*1)/K282)-1)</f>
        <v>2.7212156633547036E-3</v>
      </c>
      <c r="M283" s="8">
        <f>IF(Tabela1511[[#This Row],[Core-Retail Sales]]="",#N/A,((Tabela1511[[#This Row],[Core-Retail Sales]]*1)/K271)-1)</f>
        <v>4.301284451858578E-2</v>
      </c>
      <c r="N283" s="84">
        <v>158768</v>
      </c>
      <c r="O283" s="8">
        <f>IF(Tabela1511[[#This Row],[Real Retail Sales]]="",#N/A,((Tabela1511[[#This Row],[Real Retail Sales]]*1)/N282)-1)</f>
        <v>-2.6383898283790508E-3</v>
      </c>
      <c r="P283" s="8">
        <f>IF(Tabela1511[[#This Row],[Real Retail Sales]]="",#N/A,((Tabela1511[[#This Row],[Real Retail Sales]]*1)/N271)-1)</f>
        <v>1.5328812490142951E-3</v>
      </c>
      <c r="Q283" s="32">
        <v>191829</v>
      </c>
      <c r="R283" s="8">
        <f>IF(Tabela1511[[#This Row],[Core²-Retail Sales]]="",#N/A,((Tabela1511[[#This Row],[Core²-Retail Sales]]*1)/Q282)-1)</f>
        <v>-2.2261868228464765E-3</v>
      </c>
      <c r="S283" s="8">
        <f>IF(Tabela1511[[#This Row],[Core²-Retail Sales]]="",#N/A,((Tabela1511[[#This Row],[Core²-Retail Sales]]*1)/Q271)-1)</f>
        <v>3.4838243306666072E-2</v>
      </c>
      <c r="T283" s="5">
        <v>92</v>
      </c>
      <c r="U283" s="7">
        <v>41.3</v>
      </c>
      <c r="V283" s="25">
        <v>44.9</v>
      </c>
      <c r="W283" s="25">
        <v>35.1</v>
      </c>
      <c r="X283" s="25">
        <v>49</v>
      </c>
      <c r="Y283" s="25">
        <v>49.3</v>
      </c>
      <c r="Z283" s="25">
        <v>45.6</v>
      </c>
      <c r="AA283" s="25">
        <f>IF([1]!Tabela1511[[#This Row],[Services New Orders]]="","",([1]!Tabela1511[[#This Row],[Manufacturing New Orders]]+[1]!Tabela1511[[#This Row],[Services New Orders]])/2)</f>
        <v>47.099999999999994</v>
      </c>
      <c r="AB283" s="25">
        <f>IF([1]!Tabela1511[[#This Row],[Services Employment]]="",#N/A,([1]!Tabela1511[[#This Row],[Manufacturing Employment]]+[1]!Tabela1511[[#This Row],[Services Employment]])/2)</f>
        <v>40.35</v>
      </c>
    </row>
    <row r="284" spans="1:28">
      <c r="A284" s="6">
        <v>37043</v>
      </c>
      <c r="B284" s="36"/>
      <c r="C284" s="36"/>
      <c r="D284" s="35"/>
      <c r="E284" s="7">
        <v>89.767700000000005</v>
      </c>
      <c r="F284" s="8">
        <f>IF(Tabela1511[[#This Row],[Industrial Production]]="",#N/A,((Tabela1511[[#This Row],[Industrial Production]]*1)/E283)-1)</f>
        <v>-5.4288996949843904E-3</v>
      </c>
      <c r="G284" s="8">
        <f>IF(Tabela1511[[#This Row],[Industrial Production]]="",#N/A,((Tabela1511[[#This Row],[Industrial Production]]*1)/E272)-1)</f>
        <v>-3.4834787694768887E-2</v>
      </c>
      <c r="H284" s="32">
        <v>280401</v>
      </c>
      <c r="I284" s="8">
        <f>IF(Tabela1511[[#This Row],[Retail Sales]]="",#N/A,((Tabela1511[[#This Row],[Retail Sales]]*1)/H283)-1)</f>
        <v>-3.8899309404041293E-3</v>
      </c>
      <c r="J284" s="8">
        <f>IF(Tabela1511[[#This Row],[Retail Sales]]="",#N/A,((Tabela1511[[#This Row],[Retail Sales]]*1)/H272)-1)</f>
        <v>2.5524646882840507E-2</v>
      </c>
      <c r="K284" s="32">
        <v>213691</v>
      </c>
      <c r="L284" s="8">
        <f>IF(Tabela1511[[#This Row],[Core-Retail Sales]]="",#N/A,((Tabela1511[[#This Row],[Core-Retail Sales]]*1)/K283)-1)</f>
        <v>-3.5718115985955423E-3</v>
      </c>
      <c r="M284" s="8">
        <f>IF(Tabela1511[[#This Row],[Core-Retail Sales]]="",#N/A,((Tabela1511[[#This Row],[Core-Retail Sales]]*1)/K272)-1)</f>
        <v>3.3402004023522114E-2</v>
      </c>
      <c r="N284" s="84">
        <v>157795</v>
      </c>
      <c r="O284" s="8">
        <f>IF(Tabela1511[[#This Row],[Real Retail Sales]]="",#N/A,((Tabela1511[[#This Row],[Real Retail Sales]]*1)/N283)-1)</f>
        <v>-6.1284389801471439E-3</v>
      </c>
      <c r="P284" s="8">
        <f>IF(Tabela1511[[#This Row],[Real Retail Sales]]="",#N/A,((Tabela1511[[#This Row],[Real Retail Sales]]*1)/N272)-1)</f>
        <v>-6.2160698315929519E-3</v>
      </c>
      <c r="Q284" s="32">
        <v>191763</v>
      </c>
      <c r="R284" s="8">
        <f>IF(Tabela1511[[#This Row],[Core²-Retail Sales]]="",#N/A,((Tabela1511[[#This Row],[Core²-Retail Sales]]*1)/Q283)-1)</f>
        <v>-3.4405642525370261E-4</v>
      </c>
      <c r="S284" s="8">
        <f>IF(Tabela1511[[#This Row],[Core²-Retail Sales]]="",#N/A,((Tabela1511[[#This Row],[Core²-Retail Sales]]*1)/Q272)-1)</f>
        <v>3.1544010457291272E-2</v>
      </c>
      <c r="T284" s="5">
        <v>92.6</v>
      </c>
      <c r="U284" s="7">
        <v>43.2</v>
      </c>
      <c r="V284" s="25">
        <v>47.8</v>
      </c>
      <c r="W284" s="25">
        <v>35.700000000000003</v>
      </c>
      <c r="X284" s="25">
        <v>50.1</v>
      </c>
      <c r="Y284" s="25">
        <v>52.2</v>
      </c>
      <c r="Z284" s="25">
        <v>46.4</v>
      </c>
      <c r="AA284" s="25">
        <f>IF([1]!Tabela1511[[#This Row],[Services New Orders]]="","",([1]!Tabela1511[[#This Row],[Manufacturing New Orders]]+[1]!Tabela1511[[#This Row],[Services New Orders]])/2)</f>
        <v>50</v>
      </c>
      <c r="AB284" s="25">
        <f>IF([1]!Tabela1511[[#This Row],[Services Employment]]="",#N/A,([1]!Tabela1511[[#This Row],[Manufacturing Employment]]+[1]!Tabela1511[[#This Row],[Services Employment]])/2)</f>
        <v>41.05</v>
      </c>
    </row>
    <row r="285" spans="1:28">
      <c r="A285" s="6">
        <v>37073</v>
      </c>
      <c r="B285" s="36"/>
      <c r="C285" s="36"/>
      <c r="D285" s="35"/>
      <c r="E285" s="7">
        <v>89.225999999999999</v>
      </c>
      <c r="F285" s="8">
        <f>IF(Tabela1511[[#This Row],[Industrial Production]]="",#N/A,((Tabela1511[[#This Row],[Industrial Production]]*1)/E284)-1)</f>
        <v>-6.0344645122912821E-3</v>
      </c>
      <c r="G285" s="8">
        <f>IF(Tabela1511[[#This Row],[Industrial Production]]="",#N/A,((Tabela1511[[#This Row],[Industrial Production]]*1)/E273)-1)</f>
        <v>-3.8987223977821284E-2</v>
      </c>
      <c r="H285" s="32">
        <v>279504</v>
      </c>
      <c r="I285" s="8">
        <f>IF(Tabela1511[[#This Row],[Retail Sales]]="",#N/A,((Tabela1511[[#This Row],[Retail Sales]]*1)/H284)-1)</f>
        <v>-3.1989900178672759E-3</v>
      </c>
      <c r="J285" s="8">
        <f>IF(Tabela1511[[#This Row],[Retail Sales]]="",#N/A,((Tabela1511[[#This Row],[Retail Sales]]*1)/H273)-1)</f>
        <v>2.52136595385688E-2</v>
      </c>
      <c r="K285" s="32">
        <v>213437</v>
      </c>
      <c r="L285" s="8">
        <f>IF(Tabela1511[[#This Row],[Core-Retail Sales]]="",#N/A,((Tabela1511[[#This Row],[Core-Retail Sales]]*1)/K284)-1)</f>
        <v>-1.1886321838542324E-3</v>
      </c>
      <c r="M285" s="8">
        <f>IF(Tabela1511[[#This Row],[Core-Retail Sales]]="",#N/A,((Tabela1511[[#This Row],[Core-Retail Sales]]*1)/K273)-1)</f>
        <v>2.8983970109678125E-2</v>
      </c>
      <c r="N285" s="84">
        <v>157556</v>
      </c>
      <c r="O285" s="8">
        <f>IF(Tabela1511[[#This Row],[Real Retail Sales]]="",#N/A,((Tabela1511[[#This Row],[Real Retail Sales]]*1)/N284)-1)</f>
        <v>-1.5146234037833883E-3</v>
      </c>
      <c r="P285" s="8">
        <f>IF(Tabela1511[[#This Row],[Real Retail Sales]]="",#N/A,((Tabela1511[[#This Row],[Real Retail Sales]]*1)/N273)-1)</f>
        <v>-1.94472422290215E-3</v>
      </c>
      <c r="Q285" s="32">
        <v>192751</v>
      </c>
      <c r="R285" s="8">
        <f>IF(Tabela1511[[#This Row],[Core²-Retail Sales]]="",#N/A,((Tabela1511[[#This Row],[Core²-Retail Sales]]*1)/Q284)-1)</f>
        <v>5.1521930716562636E-3</v>
      </c>
      <c r="S285" s="8">
        <f>IF(Tabela1511[[#This Row],[Core²-Retail Sales]]="",#N/A,((Tabela1511[[#This Row],[Core²-Retail Sales]]*1)/Q273)-1)</f>
        <v>3.3406605189791883E-2</v>
      </c>
      <c r="T285" s="5">
        <v>92.4</v>
      </c>
      <c r="U285" s="7">
        <v>43.5</v>
      </c>
      <c r="V285" s="25">
        <v>49.2</v>
      </c>
      <c r="W285" s="25">
        <v>37.200000000000003</v>
      </c>
      <c r="X285" s="25">
        <v>48.1</v>
      </c>
      <c r="Y285" s="25">
        <v>47.5</v>
      </c>
      <c r="Z285" s="25">
        <v>45.7</v>
      </c>
      <c r="AA285" s="25">
        <f>IF([1]!Tabela1511[[#This Row],[Services New Orders]]="","",([1]!Tabela1511[[#This Row],[Manufacturing New Orders]]+[1]!Tabela1511[[#This Row],[Services New Orders]])/2)</f>
        <v>48.35</v>
      </c>
      <c r="AB285" s="25">
        <f>IF([1]!Tabela1511[[#This Row],[Services Employment]]="",#N/A,([1]!Tabela1511[[#This Row],[Manufacturing Employment]]+[1]!Tabela1511[[#This Row],[Services Employment]])/2)</f>
        <v>41.45</v>
      </c>
    </row>
    <row r="286" spans="1:28">
      <c r="A286" s="6">
        <v>37104</v>
      </c>
      <c r="B286" s="36"/>
      <c r="C286" s="36"/>
      <c r="D286" s="35"/>
      <c r="E286" s="7">
        <v>89.132599999999996</v>
      </c>
      <c r="F286" s="8">
        <f>IF(Tabela1511[[#This Row],[Industrial Production]]="",#N/A,((Tabela1511[[#This Row],[Industrial Production]]*1)/E285)-1)</f>
        <v>-1.0467800865219257E-3</v>
      </c>
      <c r="G286" s="8">
        <f>IF(Tabela1511[[#This Row],[Industrial Production]]="",#N/A,((Tabela1511[[#This Row],[Industrial Production]]*1)/E274)-1)</f>
        <v>-3.7415818188886951E-2</v>
      </c>
      <c r="H286" s="32">
        <v>281413</v>
      </c>
      <c r="I286" s="8">
        <f>IF(Tabela1511[[#This Row],[Retail Sales]]="",#N/A,((Tabela1511[[#This Row],[Retail Sales]]*1)/H285)-1)</f>
        <v>6.8299559219189288E-3</v>
      </c>
      <c r="J286" s="8">
        <f>IF(Tabela1511[[#This Row],[Retail Sales]]="",#N/A,((Tabela1511[[#This Row],[Retail Sales]]*1)/H274)-1)</f>
        <v>3.1126565488535096E-2</v>
      </c>
      <c r="K286" s="32">
        <v>215063</v>
      </c>
      <c r="L286" s="8">
        <f>IF(Tabela1511[[#This Row],[Core-Retail Sales]]="",#N/A,((Tabela1511[[#This Row],[Core-Retail Sales]]*1)/K285)-1)</f>
        <v>7.618173044036336E-3</v>
      </c>
      <c r="M286" s="8">
        <f>IF(Tabela1511[[#This Row],[Core-Retail Sales]]="",#N/A,((Tabela1511[[#This Row],[Core-Retail Sales]]*1)/K274)-1)</f>
        <v>3.5914010606578728E-2</v>
      </c>
      <c r="N286" s="84">
        <v>158632</v>
      </c>
      <c r="O286" s="8">
        <f>IF(Tabela1511[[#This Row],[Real Retail Sales]]="",#N/A,((Tabela1511[[#This Row],[Real Retail Sales]]*1)/N285)-1)</f>
        <v>6.8293178298510782E-3</v>
      </c>
      <c r="P286" s="8">
        <f>IF(Tabela1511[[#This Row],[Real Retail Sales]]="",#N/A,((Tabela1511[[#This Row],[Real Retail Sales]]*1)/N274)-1)</f>
        <v>3.809403277858614E-3</v>
      </c>
      <c r="Q286" s="32">
        <v>194185</v>
      </c>
      <c r="R286" s="8">
        <f>IF(Tabela1511[[#This Row],[Core²-Retail Sales]]="",#N/A,((Tabela1511[[#This Row],[Core²-Retail Sales]]*1)/Q285)-1)</f>
        <v>7.4396501185467478E-3</v>
      </c>
      <c r="S286" s="8">
        <f>IF(Tabela1511[[#This Row],[Core²-Retail Sales]]="",#N/A,((Tabela1511[[#This Row],[Core²-Retail Sales]]*1)/Q274)-1)</f>
        <v>3.8239241203424035E-2</v>
      </c>
      <c r="T286" s="5">
        <v>91.5</v>
      </c>
      <c r="U286" s="7">
        <v>46.3</v>
      </c>
      <c r="V286" s="25">
        <v>54.3</v>
      </c>
      <c r="W286" s="25">
        <v>41.3</v>
      </c>
      <c r="X286" s="25">
        <v>46.9</v>
      </c>
      <c r="Y286" s="25">
        <v>46.5</v>
      </c>
      <c r="Z286" s="25">
        <v>46.4</v>
      </c>
      <c r="AA286" s="25">
        <f>IF([1]!Tabela1511[[#This Row],[Services New Orders]]="","",([1]!Tabela1511[[#This Row],[Manufacturing New Orders]]+[1]!Tabela1511[[#This Row],[Services New Orders]])/2)</f>
        <v>50.4</v>
      </c>
      <c r="AB286" s="25">
        <f>IF([1]!Tabela1511[[#This Row],[Services Employment]]="",#N/A,([1]!Tabela1511[[#This Row],[Manufacturing Employment]]+[1]!Tabela1511[[#This Row],[Services Employment]])/2)</f>
        <v>43.849999999999994</v>
      </c>
    </row>
    <row r="287" spans="1:28">
      <c r="A287" s="6">
        <v>37135</v>
      </c>
      <c r="B287" s="36"/>
      <c r="C287" s="36"/>
      <c r="D287" s="35"/>
      <c r="E287" s="7">
        <v>88.667900000000003</v>
      </c>
      <c r="F287" s="8">
        <f>IF(Tabela1511[[#This Row],[Industrial Production]]="",#N/A,((Tabela1511[[#This Row],[Industrial Production]]*1)/E286)-1)</f>
        <v>-5.2135806652110483E-3</v>
      </c>
      <c r="G287" s="8">
        <f>IF(Tabela1511[[#This Row],[Industrial Production]]="",#N/A,((Tabela1511[[#This Row],[Industrial Production]]*1)/E275)-1)</f>
        <v>-4.6225849860109025E-2</v>
      </c>
      <c r="H287" s="32">
        <v>276084</v>
      </c>
      <c r="I287" s="8">
        <f>IF(Tabela1511[[#This Row],[Retail Sales]]="",#N/A,((Tabela1511[[#This Row],[Retail Sales]]*1)/H286)-1)</f>
        <v>-1.8936580754975729E-2</v>
      </c>
      <c r="J287" s="8">
        <f>IF(Tabela1511[[#This Row],[Retail Sales]]="",#N/A,((Tabela1511[[#This Row],[Retail Sales]]*1)/H275)-1)</f>
        <v>-5.2747632841886327E-3</v>
      </c>
      <c r="K287" s="32">
        <v>212155</v>
      </c>
      <c r="L287" s="8">
        <f>IF(Tabela1511[[#This Row],[Core-Retail Sales]]="",#N/A,((Tabela1511[[#This Row],[Core-Retail Sales]]*1)/K286)-1)</f>
        <v>-1.3521619246453342E-2</v>
      </c>
      <c r="M287" s="8">
        <f>IF(Tabela1511[[#This Row],[Core-Retail Sales]]="",#N/A,((Tabela1511[[#This Row],[Core-Retail Sales]]*1)/K275)-1)</f>
        <v>6.9151107272018564E-3</v>
      </c>
      <c r="N287" s="84">
        <v>155016</v>
      </c>
      <c r="O287" s="8">
        <f>IF(Tabela1511[[#This Row],[Real Retail Sales]]="",#N/A,((Tabela1511[[#This Row],[Real Retail Sales]]*1)/N286)-1)</f>
        <v>-2.279489636391141E-2</v>
      </c>
      <c r="P287" s="8">
        <f>IF(Tabela1511[[#This Row],[Real Retail Sales]]="",#N/A,((Tabela1511[[#This Row],[Real Retail Sales]]*1)/N275)-1)</f>
        <v>-3.0410688149714149E-2</v>
      </c>
      <c r="Q287" s="32">
        <v>190819</v>
      </c>
      <c r="R287" s="8">
        <f>IF(Tabela1511[[#This Row],[Core²-Retail Sales]]="",#N/A,((Tabela1511[[#This Row],[Core²-Retail Sales]]*1)/Q286)-1)</f>
        <v>-1.7333985632257853E-2</v>
      </c>
      <c r="S287" s="8">
        <f>IF(Tabela1511[[#This Row],[Core²-Retail Sales]]="",#N/A,((Tabela1511[[#This Row],[Core²-Retail Sales]]*1)/Q275)-1)</f>
        <v>7.6463661278654005E-3</v>
      </c>
      <c r="T287" s="5">
        <v>81.8</v>
      </c>
      <c r="U287" s="7">
        <v>46.2</v>
      </c>
      <c r="V287" s="25">
        <v>51.3</v>
      </c>
      <c r="W287" s="25">
        <v>41.5</v>
      </c>
      <c r="X287" s="25">
        <v>49.5</v>
      </c>
      <c r="Y287" s="25">
        <v>50.8</v>
      </c>
      <c r="Z287" s="25">
        <v>43.9</v>
      </c>
      <c r="AA287" s="25">
        <f>IF([1]!Tabela1511[[#This Row],[Services New Orders]]="","",([1]!Tabela1511[[#This Row],[Manufacturing New Orders]]+[1]!Tabela1511[[#This Row],[Services New Orders]])/2)</f>
        <v>51.05</v>
      </c>
      <c r="AB287" s="25">
        <f>IF([1]!Tabela1511[[#This Row],[Services Employment]]="",#N/A,([1]!Tabela1511[[#This Row],[Manufacturing Employment]]+[1]!Tabela1511[[#This Row],[Services Employment]])/2)</f>
        <v>42.7</v>
      </c>
    </row>
    <row r="288" spans="1:28">
      <c r="A288" s="6">
        <v>37165</v>
      </c>
      <c r="B288" s="36"/>
      <c r="C288" s="36"/>
      <c r="D288" s="35"/>
      <c r="E288" s="7">
        <v>88.392600000000002</v>
      </c>
      <c r="F288" s="8">
        <f>IF(Tabela1511[[#This Row],[Industrial Production]]="",#N/A,((Tabela1511[[#This Row],[Industrial Production]]*1)/E287)-1)</f>
        <v>-3.1048440303650393E-3</v>
      </c>
      <c r="G288" s="8">
        <f>IF(Tabela1511[[#This Row],[Industrial Production]]="",#N/A,((Tabela1511[[#This Row],[Industrial Production]]*1)/E276)-1)</f>
        <v>-4.5866984449783987E-2</v>
      </c>
      <c r="H288" s="32">
        <v>294540</v>
      </c>
      <c r="I288" s="8">
        <f>IF(Tabela1511[[#This Row],[Retail Sales]]="",#N/A,((Tabela1511[[#This Row],[Retail Sales]]*1)/H287)-1)</f>
        <v>6.6849219802668669E-2</v>
      </c>
      <c r="J288" s="8">
        <f>IF(Tabela1511[[#This Row],[Retail Sales]]="",#N/A,((Tabela1511[[#This Row],[Retail Sales]]*1)/H276)-1)</f>
        <v>6.360159897734774E-2</v>
      </c>
      <c r="K288" s="32">
        <v>214085</v>
      </c>
      <c r="L288" s="8">
        <f>IF(Tabela1511[[#This Row],[Core-Retail Sales]]="",#N/A,((Tabela1511[[#This Row],[Core-Retail Sales]]*1)/K287)-1)</f>
        <v>9.0971223869340534E-3</v>
      </c>
      <c r="M288" s="8">
        <f>IF(Tabela1511[[#This Row],[Core-Retail Sales]]="",#N/A,((Tabela1511[[#This Row],[Core-Retail Sales]]*1)/K276)-1)</f>
        <v>1.5973879906415744E-2</v>
      </c>
      <c r="N288" s="84">
        <v>165845</v>
      </c>
      <c r="O288" s="8">
        <f>IF(Tabela1511[[#This Row],[Real Retail Sales]]="",#N/A,((Tabela1511[[#This Row],[Real Retail Sales]]*1)/N287)-1)</f>
        <v>6.9857305052381635E-2</v>
      </c>
      <c r="P288" s="8">
        <f>IF(Tabela1511[[#This Row],[Real Retail Sales]]="",#N/A,((Tabela1511[[#This Row],[Real Retail Sales]]*1)/N276)-1)</f>
        <v>4.1445571289522531E-2</v>
      </c>
      <c r="Q288" s="32">
        <v>194052</v>
      </c>
      <c r="R288" s="8">
        <f>IF(Tabela1511[[#This Row],[Core²-Retail Sales]]="",#N/A,((Tabela1511[[#This Row],[Core²-Retail Sales]]*1)/Q287)-1)</f>
        <v>1.6942757272598641E-2</v>
      </c>
      <c r="S288" s="8">
        <f>IF(Tabela1511[[#This Row],[Core²-Retail Sales]]="",#N/A,((Tabela1511[[#This Row],[Core²-Retail Sales]]*1)/Q276)-1)</f>
        <v>2.5065105886205918E-2</v>
      </c>
      <c r="T288" s="5">
        <v>82.7</v>
      </c>
      <c r="U288" s="7">
        <v>40.799999999999997</v>
      </c>
      <c r="V288" s="25">
        <v>38.9</v>
      </c>
      <c r="W288" s="25">
        <v>35.6</v>
      </c>
      <c r="X288" s="25">
        <v>44.8</v>
      </c>
      <c r="Y288" s="25">
        <v>41.3</v>
      </c>
      <c r="Z288" s="25">
        <v>44.5</v>
      </c>
      <c r="AA288" s="25">
        <f>IF([1]!Tabela1511[[#This Row],[Services New Orders]]="","",([1]!Tabela1511[[#This Row],[Manufacturing New Orders]]+[1]!Tabela1511[[#This Row],[Services New Orders]])/2)</f>
        <v>40.099999999999994</v>
      </c>
      <c r="AB288" s="25">
        <f>IF([1]!Tabela1511[[#This Row],[Services Employment]]="",#N/A,([1]!Tabela1511[[#This Row],[Manufacturing Employment]]+[1]!Tabela1511[[#This Row],[Services Employment]])/2)</f>
        <v>40.049999999999997</v>
      </c>
    </row>
    <row r="289" spans="1:28">
      <c r="A289" s="6">
        <v>37196</v>
      </c>
      <c r="B289" s="36"/>
      <c r="C289" s="36"/>
      <c r="D289" s="35"/>
      <c r="E289" s="7">
        <v>87.877399999999994</v>
      </c>
      <c r="F289" s="8">
        <f>IF(Tabela1511[[#This Row],[Industrial Production]]="",#N/A,((Tabela1511[[#This Row],[Industrial Production]]*1)/E288)-1)</f>
        <v>-5.8285422082844374E-3</v>
      </c>
      <c r="G289" s="8">
        <f>IF(Tabela1511[[#This Row],[Industrial Production]]="",#N/A,((Tabela1511[[#This Row],[Industrial Production]]*1)/E277)-1)</f>
        <v>-5.1632927484680957E-2</v>
      </c>
      <c r="H289" s="32">
        <v>287111</v>
      </c>
      <c r="I289" s="8">
        <f>IF(Tabela1511[[#This Row],[Retail Sales]]="",#N/A,((Tabela1511[[#This Row],[Retail Sales]]*1)/H288)-1)</f>
        <v>-2.5222380661370281E-2</v>
      </c>
      <c r="J289" s="8">
        <f>IF(Tabela1511[[#This Row],[Retail Sales]]="",#N/A,((Tabela1511[[#This Row],[Retail Sales]]*1)/H277)-1)</f>
        <v>4.0147955468447183E-2</v>
      </c>
      <c r="K289" s="32">
        <v>214698</v>
      </c>
      <c r="L289" s="8">
        <f>IF(Tabela1511[[#This Row],[Core-Retail Sales]]="",#N/A,((Tabela1511[[#This Row],[Core-Retail Sales]]*1)/K288)-1)</f>
        <v>2.8633486699207733E-3</v>
      </c>
      <c r="M289" s="8">
        <f>IF(Tabela1511[[#This Row],[Core-Retail Sales]]="",#N/A,((Tabela1511[[#This Row],[Core-Retail Sales]]*1)/K277)-1)</f>
        <v>1.5677629338076704E-2</v>
      </c>
      <c r="N289" s="84">
        <v>161753</v>
      </c>
      <c r="O289" s="8">
        <f>IF(Tabela1511[[#This Row],[Real Retail Sales]]="",#N/A,((Tabela1511[[#This Row],[Real Retail Sales]]*1)/N288)-1)</f>
        <v>-2.4673641050378392E-2</v>
      </c>
      <c r="P289" s="8">
        <f>IF(Tabela1511[[#This Row],[Real Retail Sales]]="",#N/A,((Tabela1511[[#This Row],[Real Retail Sales]]*1)/N277)-1)</f>
        <v>2.081348016787099E-2</v>
      </c>
      <c r="Q289" s="32">
        <v>195453</v>
      </c>
      <c r="R289" s="8">
        <f>IF(Tabela1511[[#This Row],[Core²-Retail Sales]]="",#N/A,((Tabela1511[[#This Row],[Core²-Retail Sales]]*1)/Q288)-1)</f>
        <v>7.2197143033825295E-3</v>
      </c>
      <c r="S289" s="8">
        <f>IF(Tabela1511[[#This Row],[Core²-Retail Sales]]="",#N/A,((Tabela1511[[#This Row],[Core²-Retail Sales]]*1)/Q277)-1)</f>
        <v>3.1534003947687905E-2</v>
      </c>
      <c r="T289" s="5">
        <v>83.9</v>
      </c>
      <c r="U289" s="7">
        <v>44.1</v>
      </c>
      <c r="V289" s="25">
        <v>49.1</v>
      </c>
      <c r="W289" s="25">
        <v>36.4</v>
      </c>
      <c r="X289" s="25">
        <v>48.2</v>
      </c>
      <c r="Y289" s="25">
        <v>46.4</v>
      </c>
      <c r="Z289" s="25">
        <v>44.6</v>
      </c>
      <c r="AA289" s="25">
        <f>IF([1]!Tabela1511[[#This Row],[Services New Orders]]="","",([1]!Tabela1511[[#This Row],[Manufacturing New Orders]]+[1]!Tabela1511[[#This Row],[Services New Orders]])/2)</f>
        <v>47.75</v>
      </c>
      <c r="AB289" s="25">
        <f>IF([1]!Tabela1511[[#This Row],[Services Employment]]="",#N/A,([1]!Tabela1511[[#This Row],[Manufacturing Employment]]+[1]!Tabela1511[[#This Row],[Services Employment]])/2)</f>
        <v>40.5</v>
      </c>
    </row>
    <row r="290" spans="1:28">
      <c r="A290" s="6">
        <v>37226</v>
      </c>
      <c r="B290" s="36"/>
      <c r="C290" s="36"/>
      <c r="D290" s="35"/>
      <c r="E290" s="7">
        <v>87.834400000000002</v>
      </c>
      <c r="F290" s="8">
        <f>IF(Tabela1511[[#This Row],[Industrial Production]]="",#N/A,((Tabela1511[[#This Row],[Industrial Production]]*1)/E289)-1)</f>
        <v>-4.893180726784907E-4</v>
      </c>
      <c r="G290" s="8">
        <f>IF(Tabela1511[[#This Row],[Industrial Production]]="",#N/A,((Tabela1511[[#This Row],[Industrial Production]]*1)/E278)-1)</f>
        <v>-4.8854361698786875E-2</v>
      </c>
      <c r="H290" s="32">
        <v>283705</v>
      </c>
      <c r="I290" s="8">
        <f>IF(Tabela1511[[#This Row],[Retail Sales]]="",#N/A,((Tabela1511[[#This Row],[Retail Sales]]*1)/H289)-1)</f>
        <v>-1.18630076869225E-2</v>
      </c>
      <c r="J290" s="8">
        <f>IF(Tabela1511[[#This Row],[Retail Sales]]="",#N/A,((Tabela1511[[#This Row],[Retail Sales]]*1)/H278)-1)</f>
        <v>2.8695642714954506E-2</v>
      </c>
      <c r="K290" s="32">
        <v>215485</v>
      </c>
      <c r="L290" s="8">
        <f>IF(Tabela1511[[#This Row],[Core-Retail Sales]]="",#N/A,((Tabela1511[[#This Row],[Core-Retail Sales]]*1)/K289)-1)</f>
        <v>3.6656140252819824E-3</v>
      </c>
      <c r="M290" s="8">
        <f>IF(Tabela1511[[#This Row],[Core-Retail Sales]]="",#N/A,((Tabela1511[[#This Row],[Core-Retail Sales]]*1)/K278)-1)</f>
        <v>1.5160152072625444E-2</v>
      </c>
      <c r="N290" s="84">
        <v>159924</v>
      </c>
      <c r="O290" s="8">
        <f>IF(Tabela1511[[#This Row],[Real Retail Sales]]="",#N/A,((Tabela1511[[#This Row],[Real Retail Sales]]*1)/N289)-1)</f>
        <v>-1.1307363696500206E-2</v>
      </c>
      <c r="P290" s="8">
        <f>IF(Tabela1511[[#This Row],[Real Retail Sales]]="",#N/A,((Tabela1511[[#This Row],[Real Retail Sales]]*1)/N278)-1)</f>
        <v>1.2459165843652587E-2</v>
      </c>
      <c r="Q290" s="32">
        <v>196535</v>
      </c>
      <c r="R290" s="8">
        <f>IF(Tabela1511[[#This Row],[Core²-Retail Sales]]="",#N/A,((Tabela1511[[#This Row],[Core²-Retail Sales]]*1)/Q289)-1)</f>
        <v>5.5358577253865615E-3</v>
      </c>
      <c r="S290" s="8">
        <f>IF(Tabela1511[[#This Row],[Core²-Retail Sales]]="",#N/A,((Tabela1511[[#This Row],[Core²-Retail Sales]]*1)/Q278)-1)</f>
        <v>3.361680419473756E-2</v>
      </c>
      <c r="T290" s="5">
        <v>88.8</v>
      </c>
      <c r="U290" s="7">
        <v>45.3</v>
      </c>
      <c r="V290" s="25">
        <v>51.4</v>
      </c>
      <c r="W290" s="25">
        <v>39.1</v>
      </c>
      <c r="X290" s="25">
        <v>49.7</v>
      </c>
      <c r="Y290" s="25">
        <v>49.9</v>
      </c>
      <c r="Z290" s="25">
        <v>44.3</v>
      </c>
      <c r="AA290" s="25">
        <f>IF([1]!Tabela1511[[#This Row],[Services New Orders]]="","",([1]!Tabela1511[[#This Row],[Manufacturing New Orders]]+[1]!Tabela1511[[#This Row],[Services New Orders]])/2)</f>
        <v>50.65</v>
      </c>
      <c r="AB290" s="25">
        <f>IF([1]!Tabela1511[[#This Row],[Services Employment]]="",#N/A,([1]!Tabela1511[[#This Row],[Manufacturing Employment]]+[1]!Tabela1511[[#This Row],[Services Employment]])/2)</f>
        <v>41.7</v>
      </c>
    </row>
    <row r="291" spans="1:28">
      <c r="A291" s="6">
        <v>37257</v>
      </c>
      <c r="B291" s="36"/>
      <c r="C291" s="36"/>
      <c r="D291" s="35"/>
      <c r="E291" s="7">
        <v>88.466499999999996</v>
      </c>
      <c r="F291" s="8">
        <f>IF(Tabela1511[[#This Row],[Industrial Production]]="",#N/A,((Tabela1511[[#This Row],[Industrial Production]]*1)/E290)-1)</f>
        <v>7.1964970444380327E-3</v>
      </c>
      <c r="G291" s="8">
        <f>IF(Tabela1511[[#This Row],[Industrial Production]]="",#N/A,((Tabela1511[[#This Row],[Industrial Production]]*1)/E279)-1)</f>
        <v>-3.7259645468564195E-2</v>
      </c>
      <c r="H291" s="32">
        <v>283508</v>
      </c>
      <c r="I291" s="8">
        <f>IF(Tabela1511[[#This Row],[Retail Sales]]="",#N/A,((Tabela1511[[#This Row],[Retail Sales]]*1)/H290)-1)</f>
        <v>-6.943832502070979E-4</v>
      </c>
      <c r="J291" s="8">
        <f>IF(Tabela1511[[#This Row],[Retail Sales]]="",#N/A,((Tabela1511[[#This Row],[Retail Sales]]*1)/H279)-1)</f>
        <v>1.6762661655321809E-2</v>
      </c>
      <c r="K291" s="32">
        <v>215843</v>
      </c>
      <c r="L291" s="8">
        <f>IF(Tabela1511[[#This Row],[Core-Retail Sales]]="",#N/A,((Tabela1511[[#This Row],[Core-Retail Sales]]*1)/K290)-1)</f>
        <v>1.6613685407336209E-3</v>
      </c>
      <c r="M291" s="8">
        <f>IF(Tabela1511[[#This Row],[Core-Retail Sales]]="",#N/A,((Tabela1511[[#This Row],[Core-Retail Sales]]*1)/K279)-1)</f>
        <v>1.378529693576569E-2</v>
      </c>
      <c r="N291" s="84">
        <v>159543</v>
      </c>
      <c r="O291" s="8">
        <f>IF(Tabela1511[[#This Row],[Real Retail Sales]]="",#N/A,((Tabela1511[[#This Row],[Real Retail Sales]]*1)/N290)-1)</f>
        <v>-2.3823816312749102E-3</v>
      </c>
      <c r="P291" s="8">
        <f>IF(Tabela1511[[#This Row],[Real Retail Sales]]="",#N/A,((Tabela1511[[#This Row],[Real Retail Sales]]*1)/N279)-1)</f>
        <v>4.7484397533834599E-3</v>
      </c>
      <c r="Q291" s="32">
        <v>196713</v>
      </c>
      <c r="R291" s="8">
        <f>IF(Tabela1511[[#This Row],[Core²-Retail Sales]]="",#N/A,((Tabela1511[[#This Row],[Core²-Retail Sales]]*1)/Q290)-1)</f>
        <v>9.0569109827765004E-4</v>
      </c>
      <c r="S291" s="8">
        <f>IF(Tabela1511[[#This Row],[Core²-Retail Sales]]="",#N/A,((Tabela1511[[#This Row],[Core²-Retail Sales]]*1)/Q279)-1)</f>
        <v>3.0035030396330376E-2</v>
      </c>
      <c r="T291" s="5">
        <v>93</v>
      </c>
      <c r="U291" s="7">
        <v>47.5</v>
      </c>
      <c r="V291" s="25">
        <v>55.2</v>
      </c>
      <c r="W291" s="25">
        <v>41</v>
      </c>
      <c r="X291" s="25">
        <v>48.9</v>
      </c>
      <c r="Y291" s="25">
        <v>48.3</v>
      </c>
      <c r="Z291" s="25">
        <v>43.9</v>
      </c>
      <c r="AA291" s="25">
        <f>IF([1]!Tabela1511[[#This Row],[Services New Orders]]="","",([1]!Tabela1511[[#This Row],[Manufacturing New Orders]]+[1]!Tabela1511[[#This Row],[Services New Orders]])/2)</f>
        <v>51.75</v>
      </c>
      <c r="AB291" s="25">
        <f>IF([1]!Tabela1511[[#This Row],[Services Employment]]="",#N/A,([1]!Tabela1511[[#This Row],[Manufacturing Employment]]+[1]!Tabela1511[[#This Row],[Services Employment]])/2)</f>
        <v>42.45</v>
      </c>
    </row>
    <row r="292" spans="1:28">
      <c r="A292" s="6">
        <v>37288</v>
      </c>
      <c r="B292" s="36"/>
      <c r="C292" s="8"/>
      <c r="D292" s="35"/>
      <c r="E292" s="7">
        <v>88.466099999999997</v>
      </c>
      <c r="F292" s="8">
        <f>IF(Tabela1511[[#This Row],[Industrial Production]]="",#N/A,((Tabela1511[[#This Row],[Industrial Production]]*1)/E291)-1)</f>
        <v>-4.5214855340924842E-6</v>
      </c>
      <c r="G292" s="8">
        <f>IF(Tabela1511[[#This Row],[Industrial Production]]="",#N/A,((Tabela1511[[#This Row],[Industrial Production]]*1)/E280)-1)</f>
        <v>-3.0949212139136706E-2</v>
      </c>
      <c r="H292" s="32">
        <v>285054</v>
      </c>
      <c r="I292" s="8">
        <f>IF(Tabela1511[[#This Row],[Retail Sales]]="",#N/A,((Tabela1511[[#This Row],[Retail Sales]]*1)/H291)-1)</f>
        <v>5.4531089069795868E-3</v>
      </c>
      <c r="J292" s="8">
        <f>IF(Tabela1511[[#This Row],[Retail Sales]]="",#N/A,((Tabela1511[[#This Row],[Retail Sales]]*1)/H280)-1)</f>
        <v>2.2530876376119613E-2</v>
      </c>
      <c r="K292" s="32">
        <v>216886</v>
      </c>
      <c r="L292" s="8">
        <f>IF(Tabela1511[[#This Row],[Core-Retail Sales]]="",#N/A,((Tabela1511[[#This Row],[Core-Retail Sales]]*1)/K291)-1)</f>
        <v>4.8322160088583033E-3</v>
      </c>
      <c r="M292" s="8">
        <f>IF(Tabela1511[[#This Row],[Core-Retail Sales]]="",#N/A,((Tabela1511[[#This Row],[Core-Retail Sales]]*1)/K280)-1)</f>
        <v>2.0231907237105107E-2</v>
      </c>
      <c r="N292" s="84">
        <v>160143</v>
      </c>
      <c r="O292" s="8">
        <f>IF(Tabela1511[[#This Row],[Real Retail Sales]]="",#N/A,((Tabela1511[[#This Row],[Real Retail Sales]]*1)/N291)-1)</f>
        <v>3.760741618247021E-3</v>
      </c>
      <c r="P292" s="8">
        <f>IF(Tabela1511[[#This Row],[Real Retail Sales]]="",#N/A,((Tabela1511[[#This Row],[Real Retail Sales]]*1)/N280)-1)</f>
        <v>1.1042084927459284E-2</v>
      </c>
      <c r="Q292" s="32">
        <v>197818</v>
      </c>
      <c r="R292" s="8">
        <f>IF(Tabela1511[[#This Row],[Core²-Retail Sales]]="",#N/A,((Tabela1511[[#This Row],[Core²-Retail Sales]]*1)/Q291)-1)</f>
        <v>5.6173206651315422E-3</v>
      </c>
      <c r="S292" s="8">
        <f>IF(Tabela1511[[#This Row],[Core²-Retail Sales]]="",#N/A,((Tabela1511[[#This Row],[Core²-Retail Sales]]*1)/Q280)-1)</f>
        <v>3.5859035450594323E-2</v>
      </c>
      <c r="T292" s="5">
        <v>90.7</v>
      </c>
      <c r="U292" s="7">
        <v>50.7</v>
      </c>
      <c r="V292" s="25">
        <v>60.7</v>
      </c>
      <c r="W292" s="25">
        <v>43.8</v>
      </c>
      <c r="X292" s="25">
        <v>52.7</v>
      </c>
      <c r="Y292" s="25">
        <v>56.3</v>
      </c>
      <c r="Z292" s="25">
        <v>45.8</v>
      </c>
      <c r="AA292" s="25">
        <f>IF([1]!Tabela1511[[#This Row],[Services New Orders]]="","",([1]!Tabela1511[[#This Row],[Manufacturing New Orders]]+[1]!Tabela1511[[#This Row],[Services New Orders]])/2)</f>
        <v>58.5</v>
      </c>
      <c r="AB292" s="25">
        <f>IF([1]!Tabela1511[[#This Row],[Services Employment]]="",#N/A,([1]!Tabela1511[[#This Row],[Manufacturing Employment]]+[1]!Tabela1511[[#This Row],[Services Employment]])/2)</f>
        <v>44.8</v>
      </c>
    </row>
    <row r="293" spans="1:28">
      <c r="A293" s="6">
        <v>37316</v>
      </c>
      <c r="B293" s="36"/>
      <c r="C293" s="8"/>
      <c r="D293" s="35"/>
      <c r="E293" s="7">
        <v>89.122799999999998</v>
      </c>
      <c r="F293" s="8">
        <f>IF(Tabela1511[[#This Row],[Industrial Production]]="",#N/A,((Tabela1511[[#This Row],[Industrial Production]]*1)/E292)-1)</f>
        <v>7.42318243937512E-3</v>
      </c>
      <c r="G293" s="8">
        <f>IF(Tabela1511[[#This Row],[Industrial Production]]="",#N/A,((Tabela1511[[#This Row],[Industrial Production]]*1)/E281)-1)</f>
        <v>-2.1194342610754702E-2</v>
      </c>
      <c r="H293" s="32">
        <v>284262</v>
      </c>
      <c r="I293" s="8">
        <f>IF(Tabela1511[[#This Row],[Retail Sales]]="",#N/A,((Tabela1511[[#This Row],[Retail Sales]]*1)/H292)-1)</f>
        <v>-2.778420930770964E-3</v>
      </c>
      <c r="J293" s="8">
        <f>IF(Tabela1511[[#This Row],[Retail Sales]]="",#N/A,((Tabela1511[[#This Row],[Retail Sales]]*1)/H281)-1)</f>
        <v>2.8258274552360296E-2</v>
      </c>
      <c r="K293" s="32">
        <v>217692</v>
      </c>
      <c r="L293" s="8">
        <f>IF(Tabela1511[[#This Row],[Core-Retail Sales]]="",#N/A,((Tabela1511[[#This Row],[Core-Retail Sales]]*1)/K292)-1)</f>
        <v>3.7162380236621662E-3</v>
      </c>
      <c r="M293" s="8">
        <f>IF(Tabela1511[[#This Row],[Core-Retail Sales]]="",#N/A,((Tabela1511[[#This Row],[Core-Retail Sales]]*1)/K281)-1)</f>
        <v>3.2797384938727303E-2</v>
      </c>
      <c r="N293" s="84">
        <v>159250</v>
      </c>
      <c r="O293" s="8">
        <f>IF(Tabela1511[[#This Row],[Real Retail Sales]]="",#N/A,((Tabela1511[[#This Row],[Real Retail Sales]]*1)/N292)-1)</f>
        <v>-5.5762662120729667E-3</v>
      </c>
      <c r="P293" s="8">
        <f>IF(Tabela1511[[#This Row],[Real Retail Sales]]="",#N/A,((Tabela1511[[#This Row],[Real Retail Sales]]*1)/N281)-1)</f>
        <v>1.4428130076121981E-2</v>
      </c>
      <c r="Q293" s="32">
        <v>197879</v>
      </c>
      <c r="R293" s="8">
        <f>IF(Tabela1511[[#This Row],[Core²-Retail Sales]]="",#N/A,((Tabela1511[[#This Row],[Core²-Retail Sales]]*1)/Q292)-1)</f>
        <v>3.0836425401137291E-4</v>
      </c>
      <c r="S293" s="8">
        <f>IF(Tabela1511[[#This Row],[Core²-Retail Sales]]="",#N/A,((Tabela1511[[#This Row],[Core²-Retail Sales]]*1)/Q281)-1)</f>
        <v>4.0772746637773638E-2</v>
      </c>
      <c r="T293" s="5">
        <v>95.7</v>
      </c>
      <c r="U293" s="7">
        <v>52.4</v>
      </c>
      <c r="V293" s="25">
        <v>63.8</v>
      </c>
      <c r="W293" s="25">
        <v>46.6</v>
      </c>
      <c r="X293" s="25">
        <v>52.8</v>
      </c>
      <c r="Y293" s="25">
        <v>56.4</v>
      </c>
      <c r="Z293" s="25">
        <v>47.8</v>
      </c>
      <c r="AA293" s="25">
        <f>IF([1]!Tabela1511[[#This Row],[Services New Orders]]="","",([1]!Tabela1511[[#This Row],[Manufacturing New Orders]]+[1]!Tabela1511[[#This Row],[Services New Orders]])/2)</f>
        <v>60.099999999999994</v>
      </c>
      <c r="AB293" s="25">
        <f>IF([1]!Tabela1511[[#This Row],[Services Employment]]="",#N/A,([1]!Tabela1511[[#This Row],[Manufacturing Employment]]+[1]!Tabela1511[[#This Row],[Services Employment]])/2)</f>
        <v>47.2</v>
      </c>
    </row>
    <row r="294" spans="1:28">
      <c r="A294" s="6">
        <v>37347</v>
      </c>
      <c r="B294" s="36"/>
      <c r="C294" s="8"/>
      <c r="D294" s="35"/>
      <c r="E294" s="7">
        <v>89.553200000000004</v>
      </c>
      <c r="F294" s="8">
        <f>IF(Tabela1511[[#This Row],[Industrial Production]]="",#N/A,((Tabela1511[[#This Row],[Industrial Production]]*1)/E293)-1)</f>
        <v>4.8292917188419437E-3</v>
      </c>
      <c r="G294" s="8">
        <f>IF(Tabela1511[[#This Row],[Industrial Production]]="",#N/A,((Tabela1511[[#This Row],[Industrial Production]]*1)/E282)-1)</f>
        <v>-1.2962736403785646E-2</v>
      </c>
      <c r="H294" s="32">
        <v>288833</v>
      </c>
      <c r="I294" s="8">
        <f>IF(Tabela1511[[#This Row],[Retail Sales]]="",#N/A,((Tabela1511[[#This Row],[Retail Sales]]*1)/H293)-1)</f>
        <v>1.6080235838768386E-2</v>
      </c>
      <c r="J294" s="8">
        <f>IF(Tabela1511[[#This Row],[Retail Sales]]="",#N/A,((Tabela1511[[#This Row],[Retail Sales]]*1)/H282)-1)</f>
        <v>2.8578245634027555E-2</v>
      </c>
      <c r="K294" s="32">
        <v>220582</v>
      </c>
      <c r="L294" s="8">
        <f>IF(Tabela1511[[#This Row],[Core-Retail Sales]]="",#N/A,((Tabela1511[[#This Row],[Core-Retail Sales]]*1)/K293)-1)</f>
        <v>1.3275637138709717E-2</v>
      </c>
      <c r="M294" s="8">
        <f>IF(Tabela1511[[#This Row],[Core-Retail Sales]]="",#N/A,((Tabela1511[[#This Row],[Core-Retail Sales]]*1)/K282)-1)</f>
        <v>3.1359438924605465E-2</v>
      </c>
      <c r="N294" s="84">
        <v>161089</v>
      </c>
      <c r="O294" s="8">
        <f>IF(Tabela1511[[#This Row],[Real Retail Sales]]="",#N/A,((Tabela1511[[#This Row],[Real Retail Sales]]*1)/N293)-1)</f>
        <v>1.1547880690737866E-2</v>
      </c>
      <c r="P294" s="8">
        <f>IF(Tabela1511[[#This Row],[Real Retail Sales]]="",#N/A,((Tabela1511[[#This Row],[Real Retail Sales]]*1)/N282)-1)</f>
        <v>1.1941854913686933E-2</v>
      </c>
      <c r="Q294" s="32">
        <v>199726</v>
      </c>
      <c r="R294" s="8">
        <f>IF(Tabela1511[[#This Row],[Core²-Retail Sales]]="",#N/A,((Tabela1511[[#This Row],[Core²-Retail Sales]]*1)/Q293)-1)</f>
        <v>9.333986931407523E-3</v>
      </c>
      <c r="S294" s="8">
        <f>IF(Tabela1511[[#This Row],[Core²-Retail Sales]]="",#N/A,((Tabela1511[[#This Row],[Core²-Retail Sales]]*1)/Q282)-1)</f>
        <v>3.8849040607104035E-2</v>
      </c>
      <c r="T294" s="5">
        <v>93</v>
      </c>
      <c r="U294" s="7">
        <v>52.4</v>
      </c>
      <c r="V294" s="25">
        <v>59.9</v>
      </c>
      <c r="W294" s="25">
        <v>46.6</v>
      </c>
      <c r="X294" s="25">
        <v>53.5</v>
      </c>
      <c r="Y294" s="25">
        <v>58.4</v>
      </c>
      <c r="Z294" s="25">
        <v>49.2</v>
      </c>
      <c r="AA294" s="25">
        <f>IF([1]!Tabela1511[[#This Row],[Services New Orders]]="","",([1]!Tabela1511[[#This Row],[Manufacturing New Orders]]+[1]!Tabela1511[[#This Row],[Services New Orders]])/2)</f>
        <v>59.15</v>
      </c>
      <c r="AB294" s="25">
        <f>IF([1]!Tabela1511[[#This Row],[Services Employment]]="",#N/A,([1]!Tabela1511[[#This Row],[Manufacturing Employment]]+[1]!Tabela1511[[#This Row],[Services Employment]])/2)</f>
        <v>47.900000000000006</v>
      </c>
    </row>
    <row r="295" spans="1:28">
      <c r="A295" s="6">
        <v>37377</v>
      </c>
      <c r="B295" s="36"/>
      <c r="C295" s="8"/>
      <c r="D295" s="35"/>
      <c r="E295" s="7">
        <v>89.933999999999997</v>
      </c>
      <c r="F295" s="8">
        <f>IF(Tabela1511[[#This Row],[Industrial Production]]="",#N/A,((Tabela1511[[#This Row],[Industrial Production]]*1)/E294)-1)</f>
        <v>4.2522210261608517E-3</v>
      </c>
      <c r="G295" s="8">
        <f>IF(Tabela1511[[#This Row],[Industrial Production]]="",#N/A,((Tabela1511[[#This Row],[Industrial Production]]*1)/E283)-1)</f>
        <v>-3.5863976148295951E-3</v>
      </c>
      <c r="H295" s="32">
        <v>284951</v>
      </c>
      <c r="I295" s="8">
        <f>IF(Tabela1511[[#This Row],[Retail Sales]]="",#N/A,((Tabela1511[[#This Row],[Retail Sales]]*1)/H294)-1)</f>
        <v>-1.3440292487354233E-2</v>
      </c>
      <c r="J295" s="8">
        <f>IF(Tabela1511[[#This Row],[Retail Sales]]="",#N/A,((Tabela1511[[#This Row],[Retail Sales]]*1)/H283)-1)</f>
        <v>1.2273709040270475E-2</v>
      </c>
      <c r="K295" s="32">
        <v>219889</v>
      </c>
      <c r="L295" s="8">
        <f>IF(Tabela1511[[#This Row],[Core-Retail Sales]]="",#N/A,((Tabela1511[[#This Row],[Core-Retail Sales]]*1)/K294)-1)</f>
        <v>-3.141688805070264E-3</v>
      </c>
      <c r="M295" s="8">
        <f>IF(Tabela1511[[#This Row],[Core-Retail Sales]]="",#N/A,((Tabela1511[[#This Row],[Core-Retail Sales]]*1)/K283)-1)</f>
        <v>2.5329086949831492E-2</v>
      </c>
      <c r="N295" s="84">
        <v>158747</v>
      </c>
      <c r="O295" s="8">
        <f>IF(Tabela1511[[#This Row],[Real Retail Sales]]="",#N/A,((Tabela1511[[#This Row],[Real Retail Sales]]*1)/N294)-1)</f>
        <v>-1.4538547014383396E-2</v>
      </c>
      <c r="P295" s="8">
        <f>IF(Tabela1511[[#This Row],[Real Retail Sales]]="",#N/A,((Tabela1511[[#This Row],[Real Retail Sales]]*1)/N283)-1)</f>
        <v>-1.3226846719738283E-4</v>
      </c>
      <c r="Q295" s="32">
        <v>198959</v>
      </c>
      <c r="R295" s="8">
        <f>IF(Tabela1511[[#This Row],[Core²-Retail Sales]]="",#N/A,((Tabela1511[[#This Row],[Core²-Retail Sales]]*1)/Q294)-1)</f>
        <v>-3.840261157786129E-3</v>
      </c>
      <c r="S295" s="8">
        <f>IF(Tabela1511[[#This Row],[Core²-Retail Sales]]="",#N/A,((Tabela1511[[#This Row],[Core²-Retail Sales]]*1)/Q283)-1)</f>
        <v>3.7168519879684503E-2</v>
      </c>
      <c r="T295" s="5">
        <v>96.9</v>
      </c>
      <c r="U295" s="7">
        <v>53.1</v>
      </c>
      <c r="V295" s="25">
        <v>61.8</v>
      </c>
      <c r="W295" s="25">
        <v>47.3</v>
      </c>
      <c r="X295" s="25">
        <v>54.8</v>
      </c>
      <c r="Y295" s="25">
        <v>57.3</v>
      </c>
      <c r="Z295" s="25">
        <v>44</v>
      </c>
      <c r="AA295" s="25">
        <f>IF([1]!Tabela1511[[#This Row],[Services New Orders]]="","",([1]!Tabela1511[[#This Row],[Manufacturing New Orders]]+[1]!Tabela1511[[#This Row],[Services New Orders]])/2)</f>
        <v>59.55</v>
      </c>
      <c r="AB295" s="25">
        <f>IF([1]!Tabela1511[[#This Row],[Services Employment]]="",#N/A,([1]!Tabela1511[[#This Row],[Manufacturing Employment]]+[1]!Tabela1511[[#This Row],[Services Employment]])/2)</f>
        <v>45.65</v>
      </c>
    </row>
    <row r="296" spans="1:28">
      <c r="A296" s="6">
        <v>37408</v>
      </c>
      <c r="B296" s="36"/>
      <c r="C296" s="8"/>
      <c r="D296" s="35"/>
      <c r="E296" s="7">
        <v>90.676900000000003</v>
      </c>
      <c r="F296" s="8">
        <f>IF(Tabela1511[[#This Row],[Industrial Production]]="",#N/A,((Tabela1511[[#This Row],[Industrial Production]]*1)/E295)-1)</f>
        <v>8.2605021460182559E-3</v>
      </c>
      <c r="G296" s="8">
        <f>IF(Tabela1511[[#This Row],[Industrial Production]]="",#N/A,((Tabela1511[[#This Row],[Industrial Production]]*1)/E284)-1)</f>
        <v>1.0128364656775135E-2</v>
      </c>
      <c r="H296" s="32">
        <v>287372</v>
      </c>
      <c r="I296" s="8">
        <f>IF(Tabela1511[[#This Row],[Retail Sales]]="",#N/A,((Tabela1511[[#This Row],[Retail Sales]]*1)/H295)-1)</f>
        <v>8.4961975918667054E-3</v>
      </c>
      <c r="J296" s="8">
        <f>IF(Tabela1511[[#This Row],[Retail Sales]]="",#N/A,((Tabela1511[[#This Row],[Retail Sales]]*1)/H284)-1)</f>
        <v>2.4860824319456798E-2</v>
      </c>
      <c r="K296" s="32">
        <v>220018</v>
      </c>
      <c r="L296" s="8">
        <f>IF(Tabela1511[[#This Row],[Core-Retail Sales]]="",#N/A,((Tabela1511[[#This Row],[Core-Retail Sales]]*1)/K295)-1)</f>
        <v>5.8665963281478994E-4</v>
      </c>
      <c r="M296" s="8">
        <f>IF(Tabela1511[[#This Row],[Core-Retail Sales]]="",#N/A,((Tabela1511[[#This Row],[Core-Retail Sales]]*1)/K284)-1)</f>
        <v>2.9608172548212242E-2</v>
      </c>
      <c r="N296" s="84">
        <v>160007</v>
      </c>
      <c r="O296" s="8">
        <f>IF(Tabela1511[[#This Row],[Real Retail Sales]]="",#N/A,((Tabela1511[[#This Row],[Real Retail Sales]]*1)/N295)-1)</f>
        <v>7.9371578675502263E-3</v>
      </c>
      <c r="P296" s="8">
        <f>IF(Tabela1511[[#This Row],[Real Retail Sales]]="",#N/A,((Tabela1511[[#This Row],[Real Retail Sales]]*1)/N284)-1)</f>
        <v>1.4018188155518141E-2</v>
      </c>
      <c r="Q296" s="32">
        <v>199285</v>
      </c>
      <c r="R296" s="8">
        <f>IF(Tabela1511[[#This Row],[Core²-Retail Sales]]="",#N/A,((Tabela1511[[#This Row],[Core²-Retail Sales]]*1)/Q295)-1)</f>
        <v>1.6385285410562833E-3</v>
      </c>
      <c r="S296" s="8">
        <f>IF(Tabela1511[[#This Row],[Core²-Retail Sales]]="",#N/A,((Tabela1511[[#This Row],[Core²-Retail Sales]]*1)/Q284)-1)</f>
        <v>3.9225502312750571E-2</v>
      </c>
      <c r="T296" s="5">
        <v>92.4</v>
      </c>
      <c r="U296" s="7">
        <v>53.6</v>
      </c>
      <c r="V296" s="25">
        <v>61.2</v>
      </c>
      <c r="W296" s="25">
        <v>48.3</v>
      </c>
      <c r="X296" s="25">
        <v>52.5</v>
      </c>
      <c r="Y296" s="25">
        <v>56.4</v>
      </c>
      <c r="Z296" s="25">
        <v>46.1</v>
      </c>
      <c r="AA296" s="25">
        <f>IF([1]!Tabela1511[[#This Row],[Services New Orders]]="","",([1]!Tabela1511[[#This Row],[Manufacturing New Orders]]+[1]!Tabela1511[[#This Row],[Services New Orders]])/2)</f>
        <v>58.8</v>
      </c>
      <c r="AB296" s="25">
        <f>IF([1]!Tabela1511[[#This Row],[Services Employment]]="",#N/A,([1]!Tabela1511[[#This Row],[Manufacturing Employment]]+[1]!Tabela1511[[#This Row],[Services Employment]])/2)</f>
        <v>47.2</v>
      </c>
    </row>
    <row r="297" spans="1:28">
      <c r="A297" s="6">
        <v>37438</v>
      </c>
      <c r="B297" s="36"/>
      <c r="C297" s="8"/>
      <c r="D297" s="35"/>
      <c r="E297" s="7">
        <v>90.645499999999998</v>
      </c>
      <c r="F297" s="8">
        <f>IF(Tabela1511[[#This Row],[Industrial Production]]="",#N/A,((Tabela1511[[#This Row],[Industrial Production]]*1)/E296)-1)</f>
        <v>-3.4628444510131917E-4</v>
      </c>
      <c r="G297" s="8">
        <f>IF(Tabela1511[[#This Row],[Industrial Production]]="",#N/A,((Tabela1511[[#This Row],[Industrial Production]]*1)/E285)-1)</f>
        <v>1.5909039965929184E-2</v>
      </c>
      <c r="H297" s="32">
        <v>290385</v>
      </c>
      <c r="I297" s="8">
        <f>IF(Tabela1511[[#This Row],[Retail Sales]]="",#N/A,((Tabela1511[[#This Row],[Retail Sales]]*1)/H296)-1)</f>
        <v>1.0484667956516258E-2</v>
      </c>
      <c r="J297" s="8">
        <f>IF(Tabela1511[[#This Row],[Retail Sales]]="",#N/A,((Tabela1511[[#This Row],[Retail Sales]]*1)/H285)-1)</f>
        <v>3.8929675425038557E-2</v>
      </c>
      <c r="K297" s="32">
        <v>220441</v>
      </c>
      <c r="L297" s="8">
        <f>IF(Tabela1511[[#This Row],[Core-Retail Sales]]="",#N/A,((Tabela1511[[#This Row],[Core-Retail Sales]]*1)/K296)-1)</f>
        <v>1.9225699715477162E-3</v>
      </c>
      <c r="M297" s="8">
        <f>IF(Tabela1511[[#This Row],[Core-Retail Sales]]="",#N/A,((Tabela1511[[#This Row],[Core-Retail Sales]]*1)/K285)-1)</f>
        <v>3.281530381330322E-2</v>
      </c>
      <c r="N297" s="84">
        <v>161325</v>
      </c>
      <c r="O297" s="8">
        <f>IF(Tabela1511[[#This Row],[Real Retail Sales]]="",#N/A,((Tabela1511[[#This Row],[Real Retail Sales]]*1)/N296)-1)</f>
        <v>8.2371396251414986E-3</v>
      </c>
      <c r="P297" s="8">
        <f>IF(Tabela1511[[#This Row],[Real Retail Sales]]="",#N/A,((Tabela1511[[#This Row],[Real Retail Sales]]*1)/N285)-1)</f>
        <v>2.3921653253446307E-2</v>
      </c>
      <c r="Q297" s="32">
        <v>199003</v>
      </c>
      <c r="R297" s="8">
        <f>IF(Tabela1511[[#This Row],[Core²-Retail Sales]]="",#N/A,((Tabela1511[[#This Row],[Core²-Retail Sales]]*1)/Q296)-1)</f>
        <v>-1.4150588353363247E-3</v>
      </c>
      <c r="S297" s="8">
        <f>IF(Tabela1511[[#This Row],[Core²-Retail Sales]]="",#N/A,((Tabela1511[[#This Row],[Core²-Retail Sales]]*1)/Q285)-1)</f>
        <v>3.2435629387136844E-2</v>
      </c>
      <c r="T297" s="5">
        <v>88.1</v>
      </c>
      <c r="U297" s="7">
        <v>50.2</v>
      </c>
      <c r="V297" s="25">
        <v>51.9</v>
      </c>
      <c r="W297" s="25">
        <v>45</v>
      </c>
      <c r="X297" s="25">
        <v>50.4</v>
      </c>
      <c r="Y297" s="25">
        <v>50.7</v>
      </c>
      <c r="Z297" s="25">
        <v>47.2</v>
      </c>
      <c r="AA297" s="25">
        <f>IF([1]!Tabela1511[[#This Row],[Services New Orders]]="","",([1]!Tabela1511[[#This Row],[Manufacturing New Orders]]+[1]!Tabela1511[[#This Row],[Services New Orders]])/2)</f>
        <v>51.3</v>
      </c>
      <c r="AB297" s="25">
        <f>IF([1]!Tabela1511[[#This Row],[Services Employment]]="",#N/A,([1]!Tabela1511[[#This Row],[Manufacturing Employment]]+[1]!Tabela1511[[#This Row],[Services Employment]])/2)</f>
        <v>46.1</v>
      </c>
    </row>
    <row r="298" spans="1:28">
      <c r="A298" s="6">
        <v>37469</v>
      </c>
      <c r="B298" s="36"/>
      <c r="C298" s="8"/>
      <c r="D298" s="35"/>
      <c r="E298" s="7">
        <v>90.547499999999999</v>
      </c>
      <c r="F298" s="8">
        <f>IF(Tabela1511[[#This Row],[Industrial Production]]="",#N/A,((Tabela1511[[#This Row],[Industrial Production]]*1)/E297)-1)</f>
        <v>-1.0811347502082125E-3</v>
      </c>
      <c r="G298" s="8">
        <f>IF(Tabela1511[[#This Row],[Industrial Production]]="",#N/A,((Tabela1511[[#This Row],[Industrial Production]]*1)/E286)-1)</f>
        <v>1.5874102180347016E-2</v>
      </c>
      <c r="H298" s="32">
        <v>292650</v>
      </c>
      <c r="I298" s="8">
        <f>IF(Tabela1511[[#This Row],[Retail Sales]]="",#N/A,((Tabela1511[[#This Row],[Retail Sales]]*1)/H297)-1)</f>
        <v>7.7999896688878412E-3</v>
      </c>
      <c r="J298" s="8">
        <f>IF(Tabela1511[[#This Row],[Retail Sales]]="",#N/A,((Tabela1511[[#This Row],[Retail Sales]]*1)/H286)-1)</f>
        <v>3.9930635755988542E-2</v>
      </c>
      <c r="K298" s="32">
        <v>220446</v>
      </c>
      <c r="L298" s="8">
        <f>IF(Tabela1511[[#This Row],[Core-Retail Sales]]="",#N/A,((Tabela1511[[#This Row],[Core-Retail Sales]]*1)/K297)-1)</f>
        <v>2.2681806016056072E-5</v>
      </c>
      <c r="M298" s="8">
        <f>IF(Tabela1511[[#This Row],[Core-Retail Sales]]="",#N/A,((Tabela1511[[#This Row],[Core-Retail Sales]]*1)/K286)-1)</f>
        <v>2.5029874966870258E-2</v>
      </c>
      <c r="N298" s="84">
        <v>162133</v>
      </c>
      <c r="O298" s="8">
        <f>IF(Tabela1511[[#This Row],[Real Retail Sales]]="",#N/A,((Tabela1511[[#This Row],[Real Retail Sales]]*1)/N297)-1)</f>
        <v>5.0085231675189856E-3</v>
      </c>
      <c r="P298" s="8">
        <f>IF(Tabela1511[[#This Row],[Real Retail Sales]]="",#N/A,((Tabela1511[[#This Row],[Real Retail Sales]]*1)/N286)-1)</f>
        <v>2.2069948055877697E-2</v>
      </c>
      <c r="Q298" s="32">
        <v>199264</v>
      </c>
      <c r="R298" s="8">
        <f>IF(Tabela1511[[#This Row],[Core²-Retail Sales]]="",#N/A,((Tabela1511[[#This Row],[Core²-Retail Sales]]*1)/Q297)-1)</f>
        <v>1.3115380170147795E-3</v>
      </c>
      <c r="S298" s="8">
        <f>IF(Tabela1511[[#This Row],[Core²-Retail Sales]]="",#N/A,((Tabela1511[[#This Row],[Core²-Retail Sales]]*1)/Q286)-1)</f>
        <v>2.6155470298941719E-2</v>
      </c>
      <c r="T298" s="5">
        <v>87.6</v>
      </c>
      <c r="U298" s="7">
        <v>50.3</v>
      </c>
      <c r="V298" s="25">
        <v>50.6</v>
      </c>
      <c r="W298" s="25">
        <v>46.8</v>
      </c>
      <c r="X298" s="25">
        <v>50.9</v>
      </c>
      <c r="Y298" s="25">
        <v>51.6</v>
      </c>
      <c r="Z298" s="25">
        <v>47.1</v>
      </c>
      <c r="AA298" s="25">
        <f>IF([1]!Tabela1511[[#This Row],[Services New Orders]]="","",([1]!Tabela1511[[#This Row],[Manufacturing New Orders]]+[1]!Tabela1511[[#This Row],[Services New Orders]])/2)</f>
        <v>51.1</v>
      </c>
      <c r="AB298" s="25">
        <f>IF([1]!Tabela1511[[#This Row],[Services Employment]]="",#N/A,([1]!Tabela1511[[#This Row],[Manufacturing Employment]]+[1]!Tabela1511[[#This Row],[Services Employment]])/2)</f>
        <v>46.95</v>
      </c>
    </row>
    <row r="299" spans="1:28">
      <c r="A299" s="6">
        <v>37500</v>
      </c>
      <c r="B299" s="36"/>
      <c r="C299" s="8"/>
      <c r="D299" s="35"/>
      <c r="E299" s="7">
        <v>90.638099999999994</v>
      </c>
      <c r="F299" s="8">
        <f>IF(Tabela1511[[#This Row],[Industrial Production]]="",#N/A,((Tabela1511[[#This Row],[Industrial Production]]*1)/E298)-1)</f>
        <v>1.0005798061789584E-3</v>
      </c>
      <c r="G299" s="8">
        <f>IF(Tabela1511[[#This Row],[Industrial Production]]="",#N/A,((Tabela1511[[#This Row],[Industrial Production]]*1)/E287)-1)</f>
        <v>2.2219991676807327E-2</v>
      </c>
      <c r="H299" s="32">
        <v>288410</v>
      </c>
      <c r="I299" s="8">
        <f>IF(Tabela1511[[#This Row],[Retail Sales]]="",#N/A,((Tabela1511[[#This Row],[Retail Sales]]*1)/H298)-1)</f>
        <v>-1.4488296600034145E-2</v>
      </c>
      <c r="J299" s="8">
        <f>IF(Tabela1511[[#This Row],[Retail Sales]]="",#N/A,((Tabela1511[[#This Row],[Retail Sales]]*1)/H287)-1)</f>
        <v>4.4645832427811838E-2</v>
      </c>
      <c r="K299" s="32">
        <v>220344</v>
      </c>
      <c r="L299" s="8">
        <f>IF(Tabela1511[[#This Row],[Core-Retail Sales]]="",#N/A,((Tabela1511[[#This Row],[Core-Retail Sales]]*1)/K298)-1)</f>
        <v>-4.6269834789469666E-4</v>
      </c>
      <c r="M299" s="8">
        <f>IF(Tabela1511[[#This Row],[Core-Retail Sales]]="",#N/A,((Tabela1511[[#This Row],[Core-Retail Sales]]*1)/K287)-1)</f>
        <v>3.8599137423110497E-2</v>
      </c>
      <c r="N299" s="84">
        <v>159519</v>
      </c>
      <c r="O299" s="8">
        <f>IF(Tabela1511[[#This Row],[Real Retail Sales]]="",#N/A,((Tabela1511[[#This Row],[Real Retail Sales]]*1)/N298)-1)</f>
        <v>-1.6122566041459785E-2</v>
      </c>
      <c r="P299" s="8">
        <f>IF(Tabela1511[[#This Row],[Real Retail Sales]]="",#N/A,((Tabela1511[[#This Row],[Real Retail Sales]]*1)/N287)-1)</f>
        <v>2.9048614336584677E-2</v>
      </c>
      <c r="Q299" s="32">
        <v>199072</v>
      </c>
      <c r="R299" s="8">
        <f>IF(Tabela1511[[#This Row],[Core²-Retail Sales]]="",#N/A,((Tabela1511[[#This Row],[Core²-Retail Sales]]*1)/Q298)-1)</f>
        <v>-9.6354584872326843E-4</v>
      </c>
      <c r="S299" s="8">
        <f>IF(Tabela1511[[#This Row],[Core²-Retail Sales]]="",#N/A,((Tabela1511[[#This Row],[Core²-Retail Sales]]*1)/Q287)-1)</f>
        <v>4.3250410074468393E-2</v>
      </c>
      <c r="T299" s="5">
        <v>86.1</v>
      </c>
      <c r="U299" s="7">
        <v>50.5</v>
      </c>
      <c r="V299" s="25">
        <v>52.9</v>
      </c>
      <c r="W299" s="25">
        <v>45.8</v>
      </c>
      <c r="X299" s="25">
        <v>52.3</v>
      </c>
      <c r="Y299" s="25">
        <v>54.8</v>
      </c>
      <c r="Z299" s="25">
        <v>46.6</v>
      </c>
      <c r="AA299" s="25">
        <f>IF([1]!Tabela1511[[#This Row],[Services New Orders]]="","",([1]!Tabela1511[[#This Row],[Manufacturing New Orders]]+[1]!Tabela1511[[#This Row],[Services New Orders]])/2)</f>
        <v>53.849999999999994</v>
      </c>
      <c r="AB299" s="25">
        <f>IF([1]!Tabela1511[[#This Row],[Services Employment]]="",#N/A,([1]!Tabela1511[[#This Row],[Manufacturing Employment]]+[1]!Tabela1511[[#This Row],[Services Employment]])/2)</f>
        <v>46.2</v>
      </c>
    </row>
    <row r="300" spans="1:28">
      <c r="A300" s="6">
        <v>37530</v>
      </c>
      <c r="B300" s="36"/>
      <c r="C300" s="8"/>
      <c r="D300" s="35"/>
      <c r="E300" s="7">
        <v>90.4041</v>
      </c>
      <c r="F300" s="8">
        <f>IF(Tabela1511[[#This Row],[Industrial Production]]="",#N/A,((Tabela1511[[#This Row],[Industrial Production]]*1)/E299)-1)</f>
        <v>-2.5816957769414506E-3</v>
      </c>
      <c r="G300" s="8">
        <f>IF(Tabela1511[[#This Row],[Industrial Production]]="",#N/A,((Tabela1511[[#This Row],[Industrial Production]]*1)/E288)-1)</f>
        <v>2.2756429836886749E-2</v>
      </c>
      <c r="H300" s="32">
        <v>289576</v>
      </c>
      <c r="I300" s="8">
        <f>IF(Tabela1511[[#This Row],[Retail Sales]]="",#N/A,((Tabela1511[[#This Row],[Retail Sales]]*1)/H299)-1)</f>
        <v>4.0428556568774532E-3</v>
      </c>
      <c r="J300" s="8">
        <f>IF(Tabela1511[[#This Row],[Retail Sales]]="",#N/A,((Tabela1511[[#This Row],[Retail Sales]]*1)/H288)-1)</f>
        <v>-1.6853398519725671E-2</v>
      </c>
      <c r="K300" s="32">
        <v>222023</v>
      </c>
      <c r="L300" s="8">
        <f>IF(Tabela1511[[#This Row],[Core-Retail Sales]]="",#N/A,((Tabela1511[[#This Row],[Core-Retail Sales]]*1)/K299)-1)</f>
        <v>7.6199034237374175E-3</v>
      </c>
      <c r="M300" s="8">
        <f>IF(Tabela1511[[#This Row],[Core-Retail Sales]]="",#N/A,((Tabela1511[[#This Row],[Core-Retail Sales]]*1)/K288)-1)</f>
        <v>3.7078730410818217E-2</v>
      </c>
      <c r="N300" s="84">
        <v>159810</v>
      </c>
      <c r="O300" s="8">
        <f>IF(Tabela1511[[#This Row],[Real Retail Sales]]="",#N/A,((Tabela1511[[#This Row],[Real Retail Sales]]*1)/N299)-1)</f>
        <v>1.8242341037744136E-3</v>
      </c>
      <c r="P300" s="8">
        <f>IF(Tabela1511[[#This Row],[Real Retail Sales]]="",#N/A,((Tabela1511[[#This Row],[Real Retail Sales]]*1)/N288)-1)</f>
        <v>-3.6389399740721751E-2</v>
      </c>
      <c r="Q300" s="32">
        <v>200364</v>
      </c>
      <c r="R300" s="8">
        <f>IF(Tabela1511[[#This Row],[Core²-Retail Sales]]="",#N/A,((Tabela1511[[#This Row],[Core²-Retail Sales]]*1)/Q299)-1)</f>
        <v>6.4901141295612419E-3</v>
      </c>
      <c r="S300" s="8">
        <f>IF(Tabela1511[[#This Row],[Core²-Retail Sales]]="",#N/A,((Tabela1511[[#This Row],[Core²-Retail Sales]]*1)/Q288)-1)</f>
        <v>3.2527363799393916E-2</v>
      </c>
      <c r="T300" s="5">
        <v>80.599999999999994</v>
      </c>
      <c r="U300" s="7">
        <v>49</v>
      </c>
      <c r="V300" s="25">
        <v>52.1</v>
      </c>
      <c r="W300" s="25">
        <v>46.4</v>
      </c>
      <c r="X300" s="25">
        <v>51.4</v>
      </c>
      <c r="Y300" s="25">
        <v>52.3</v>
      </c>
      <c r="Z300" s="25">
        <v>46</v>
      </c>
      <c r="AA300" s="25">
        <f>IF([1]!Tabela1511[[#This Row],[Services New Orders]]="","",([1]!Tabela1511[[#This Row],[Manufacturing New Orders]]+[1]!Tabela1511[[#This Row],[Services New Orders]])/2)</f>
        <v>52.2</v>
      </c>
      <c r="AB300" s="25">
        <f>IF([1]!Tabela1511[[#This Row],[Services Employment]]="",#N/A,([1]!Tabela1511[[#This Row],[Manufacturing Employment]]+[1]!Tabela1511[[#This Row],[Services Employment]])/2)</f>
        <v>46.2</v>
      </c>
    </row>
    <row r="301" spans="1:28">
      <c r="A301" s="6">
        <v>37561</v>
      </c>
      <c r="B301" s="36"/>
      <c r="C301" s="8"/>
      <c r="D301" s="35"/>
      <c r="E301" s="7">
        <v>90.898499999999999</v>
      </c>
      <c r="F301" s="8">
        <f>IF(Tabela1511[[#This Row],[Industrial Production]]="",#N/A,((Tabela1511[[#This Row],[Industrial Production]]*1)/E300)-1)</f>
        <v>5.4687785177884862E-3</v>
      </c>
      <c r="G301" s="8">
        <f>IF(Tabela1511[[#This Row],[Industrial Production]]="",#N/A,((Tabela1511[[#This Row],[Industrial Production]]*1)/E289)-1)</f>
        <v>3.4378577427188306E-2</v>
      </c>
      <c r="H301" s="32">
        <v>291484</v>
      </c>
      <c r="I301" s="8">
        <f>IF(Tabela1511[[#This Row],[Retail Sales]]="",#N/A,((Tabela1511[[#This Row],[Retail Sales]]*1)/H300)-1)</f>
        <v>6.5889438351245389E-3</v>
      </c>
      <c r="J301" s="8">
        <f>IF(Tabela1511[[#This Row],[Retail Sales]]="",#N/A,((Tabela1511[[#This Row],[Retail Sales]]*1)/H289)-1)</f>
        <v>1.523104304606937E-2</v>
      </c>
      <c r="K301" s="32">
        <v>223553</v>
      </c>
      <c r="L301" s="8">
        <f>IF(Tabela1511[[#This Row],[Core-Retail Sales]]="",#N/A,((Tabela1511[[#This Row],[Core-Retail Sales]]*1)/K300)-1)</f>
        <v>6.8911779410241181E-3</v>
      </c>
      <c r="M301" s="8">
        <f>IF(Tabela1511[[#This Row],[Core-Retail Sales]]="",#N/A,((Tabela1511[[#This Row],[Core-Retail Sales]]*1)/K289)-1)</f>
        <v>4.1243979915974949E-2</v>
      </c>
      <c r="N301" s="84">
        <v>160597</v>
      </c>
      <c r="O301" s="8">
        <f>IF(Tabela1511[[#This Row],[Real Retail Sales]]="",#N/A,((Tabela1511[[#This Row],[Real Retail Sales]]*1)/N300)-1)</f>
        <v>4.9245979600776035E-3</v>
      </c>
      <c r="P301" s="8">
        <f>IF(Tabela1511[[#This Row],[Real Retail Sales]]="",#N/A,((Tabela1511[[#This Row],[Real Retail Sales]]*1)/N289)-1)</f>
        <v>-7.1466989793079749E-3</v>
      </c>
      <c r="Q301" s="32">
        <v>201544</v>
      </c>
      <c r="R301" s="8">
        <f>IF(Tabela1511[[#This Row],[Core²-Retail Sales]]="",#N/A,((Tabela1511[[#This Row],[Core²-Retail Sales]]*1)/Q300)-1)</f>
        <v>5.8892815076561078E-3</v>
      </c>
      <c r="S301" s="8">
        <f>IF(Tabela1511[[#This Row],[Core²-Retail Sales]]="",#N/A,((Tabela1511[[#This Row],[Core²-Retail Sales]]*1)/Q289)-1)</f>
        <v>3.1163502223040762E-2</v>
      </c>
      <c r="T301" s="5">
        <v>84.2</v>
      </c>
      <c r="U301" s="7">
        <v>48.5</v>
      </c>
      <c r="V301" s="25">
        <v>49.9</v>
      </c>
      <c r="W301" s="25">
        <v>44.8</v>
      </c>
      <c r="X301" s="25">
        <v>52.9</v>
      </c>
      <c r="Y301" s="25">
        <v>56.4</v>
      </c>
      <c r="Z301" s="25">
        <v>47</v>
      </c>
      <c r="AA301" s="25">
        <f>IF([1]!Tabela1511[[#This Row],[Services New Orders]]="","",([1]!Tabela1511[[#This Row],[Manufacturing New Orders]]+[1]!Tabela1511[[#This Row],[Services New Orders]])/2)</f>
        <v>53.15</v>
      </c>
      <c r="AB301" s="25">
        <f>IF([1]!Tabela1511[[#This Row],[Services Employment]]="",#N/A,([1]!Tabela1511[[#This Row],[Manufacturing Employment]]+[1]!Tabela1511[[#This Row],[Services Employment]])/2)</f>
        <v>45.9</v>
      </c>
    </row>
    <row r="302" spans="1:28">
      <c r="A302" s="6">
        <v>37591</v>
      </c>
      <c r="B302" s="36"/>
      <c r="C302" s="8"/>
      <c r="D302" s="35"/>
      <c r="E302" s="7">
        <v>90.388999999999996</v>
      </c>
      <c r="F302" s="8">
        <f>IF(Tabela1511[[#This Row],[Industrial Production]]="",#N/A,((Tabela1511[[#This Row],[Industrial Production]]*1)/E301)-1)</f>
        <v>-5.6051530003246031E-3</v>
      </c>
      <c r="G302" s="8">
        <f>IF(Tabela1511[[#This Row],[Industrial Production]]="",#N/A,((Tabela1511[[#This Row],[Industrial Production]]*1)/E290)-1)</f>
        <v>2.9084276775386275E-2</v>
      </c>
      <c r="H302" s="32">
        <v>293947</v>
      </c>
      <c r="I302" s="8">
        <f>IF(Tabela1511[[#This Row],[Retail Sales]]="",#N/A,((Tabela1511[[#This Row],[Retail Sales]]*1)/H301)-1)</f>
        <v>8.4498634573424436E-3</v>
      </c>
      <c r="J302" s="8">
        <f>IF(Tabela1511[[#This Row],[Retail Sales]]="",#N/A,((Tabela1511[[#This Row],[Retail Sales]]*1)/H290)-1)</f>
        <v>3.6100879434624034E-2</v>
      </c>
      <c r="K302" s="32">
        <v>224153</v>
      </c>
      <c r="L302" s="8">
        <f>IF(Tabela1511[[#This Row],[Core-Retail Sales]]="",#N/A,((Tabela1511[[#This Row],[Core-Retail Sales]]*1)/K301)-1)</f>
        <v>2.6839273013559151E-3</v>
      </c>
      <c r="M302" s="8">
        <f>IF(Tabela1511[[#This Row],[Core-Retail Sales]]="",#N/A,((Tabela1511[[#This Row],[Core-Retail Sales]]*1)/K290)-1)</f>
        <v>4.0225537740445905E-2</v>
      </c>
      <c r="N302" s="84">
        <v>161687</v>
      </c>
      <c r="O302" s="8">
        <f>IF(Tabela1511[[#This Row],[Real Retail Sales]]="",#N/A,((Tabela1511[[#This Row],[Real Retail Sales]]*1)/N301)-1)</f>
        <v>6.7871753519679334E-3</v>
      </c>
      <c r="P302" s="8">
        <f>IF(Tabela1511[[#This Row],[Real Retail Sales]]="",#N/A,((Tabela1511[[#This Row],[Real Retail Sales]]*1)/N290)-1)</f>
        <v>1.1023986393536855E-2</v>
      </c>
      <c r="Q302" s="32">
        <v>201689</v>
      </c>
      <c r="R302" s="8">
        <f>IF(Tabela1511[[#This Row],[Core²-Retail Sales]]="",#N/A,((Tabela1511[[#This Row],[Core²-Retail Sales]]*1)/Q301)-1)</f>
        <v>7.1944587782324376E-4</v>
      </c>
      <c r="S302" s="8">
        <f>IF(Tabela1511[[#This Row],[Core²-Retail Sales]]="",#N/A,((Tabela1511[[#This Row],[Core²-Retail Sales]]*1)/Q290)-1)</f>
        <v>2.6224336632151957E-2</v>
      </c>
      <c r="T302" s="5">
        <v>86.7</v>
      </c>
      <c r="U302" s="7">
        <v>51.6</v>
      </c>
      <c r="V302" s="25">
        <v>58.7</v>
      </c>
      <c r="W302" s="25">
        <v>47.5</v>
      </c>
      <c r="X302" s="25">
        <v>52.3</v>
      </c>
      <c r="Y302" s="25">
        <v>54.2</v>
      </c>
      <c r="Z302" s="25">
        <v>50.5</v>
      </c>
      <c r="AA302" s="25">
        <f>IF([1]!Tabela1511[[#This Row],[Services New Orders]]="","",([1]!Tabela1511[[#This Row],[Manufacturing New Orders]]+[1]!Tabela1511[[#This Row],[Services New Orders]])/2)</f>
        <v>56.45</v>
      </c>
      <c r="AB302" s="25">
        <f>IF([1]!Tabela1511[[#This Row],[Services Employment]]="",#N/A,([1]!Tabela1511[[#This Row],[Manufacturing Employment]]+[1]!Tabela1511[[#This Row],[Services Employment]])/2)</f>
        <v>49</v>
      </c>
    </row>
    <row r="303" spans="1:28">
      <c r="A303" s="6">
        <v>37622</v>
      </c>
      <c r="B303" s="36"/>
      <c r="C303" s="8"/>
      <c r="D303" s="8"/>
      <c r="E303" s="7">
        <v>91.135499999999993</v>
      </c>
      <c r="F303" s="8">
        <f>IF(Tabela1511[[#This Row],[Industrial Production]]="",#N/A,((Tabela1511[[#This Row],[Industrial Production]]*1)/E302)-1)</f>
        <v>8.2587482990186256E-3</v>
      </c>
      <c r="G303" s="8">
        <f>IF(Tabela1511[[#This Row],[Industrial Production]]="",#N/A,((Tabela1511[[#This Row],[Industrial Production]]*1)/E291)-1)</f>
        <v>3.016961222609682E-2</v>
      </c>
      <c r="H303" s="32">
        <v>295248</v>
      </c>
      <c r="I303" s="8">
        <f>IF(Tabela1511[[#This Row],[Retail Sales]]="",#N/A,((Tabela1511[[#This Row],[Retail Sales]]*1)/H302)-1)</f>
        <v>4.4259679466025492E-3</v>
      </c>
      <c r="J303" s="8">
        <f>IF(Tabela1511[[#This Row],[Retail Sales]]="",#N/A,((Tabela1511[[#This Row],[Retail Sales]]*1)/H291)-1)</f>
        <v>4.1409766214709931E-2</v>
      </c>
      <c r="K303" s="32">
        <v>225575</v>
      </c>
      <c r="L303" s="8">
        <f>IF(Tabela1511[[#This Row],[Core-Retail Sales]]="",#N/A,((Tabela1511[[#This Row],[Core-Retail Sales]]*1)/K302)-1)</f>
        <v>6.3438811882954305E-3</v>
      </c>
      <c r="M303" s="8">
        <f>IF(Tabela1511[[#This Row],[Core-Retail Sales]]="",#N/A,((Tabela1511[[#This Row],[Core-Retail Sales]]*1)/K291)-1)</f>
        <v>4.5088328090324925E-2</v>
      </c>
      <c r="N303" s="84">
        <v>161691</v>
      </c>
      <c r="O303" s="8">
        <f>IF(Tabela1511[[#This Row],[Real Retail Sales]]="",#N/A,((Tabela1511[[#This Row],[Real Retail Sales]]*1)/N302)-1)</f>
        <v>2.4739156518460703E-5</v>
      </c>
      <c r="P303" s="8">
        <f>IF(Tabela1511[[#This Row],[Real Retail Sales]]="",#N/A,((Tabela1511[[#This Row],[Real Retail Sales]]*1)/N291)-1)</f>
        <v>1.3463454993324575E-2</v>
      </c>
      <c r="Q303" s="32">
        <v>202502</v>
      </c>
      <c r="R303" s="8">
        <f>IF(Tabela1511[[#This Row],[Core²-Retail Sales]]="",#N/A,((Tabela1511[[#This Row],[Core²-Retail Sales]]*1)/Q302)-1)</f>
        <v>4.0309585550029059E-3</v>
      </c>
      <c r="S303" s="8">
        <f>IF(Tabela1511[[#This Row],[Core²-Retail Sales]]="",#N/A,((Tabela1511[[#This Row],[Core²-Retail Sales]]*1)/Q291)-1)</f>
        <v>2.9428660027552844E-2</v>
      </c>
      <c r="T303" s="5">
        <v>82.4</v>
      </c>
      <c r="U303" s="7">
        <v>51.3</v>
      </c>
      <c r="V303" s="25">
        <v>58.2</v>
      </c>
      <c r="W303" s="25">
        <v>47.4</v>
      </c>
      <c r="X303" s="25">
        <v>53.3</v>
      </c>
      <c r="Y303" s="25">
        <v>54.4</v>
      </c>
      <c r="Z303" s="25">
        <v>48.5</v>
      </c>
      <c r="AA303" s="25">
        <f>IF([1]!Tabela1511[[#This Row],[Services New Orders]]="","",([1]!Tabela1511[[#This Row],[Manufacturing New Orders]]+[1]!Tabela1511[[#This Row],[Services New Orders]])/2)</f>
        <v>56.3</v>
      </c>
      <c r="AB303" s="25">
        <f>IF([1]!Tabela1511[[#This Row],[Services Employment]]="",#N/A,([1]!Tabela1511[[#This Row],[Manufacturing Employment]]+[1]!Tabela1511[[#This Row],[Services Employment]])/2)</f>
        <v>47.95</v>
      </c>
    </row>
    <row r="304" spans="1:28">
      <c r="A304" s="6">
        <v>37653</v>
      </c>
      <c r="B304" s="36"/>
      <c r="C304" s="8"/>
      <c r="D304" s="8"/>
      <c r="E304" s="7">
        <v>91.250200000000007</v>
      </c>
      <c r="F304" s="8">
        <f>IF(Tabela1511[[#This Row],[Industrial Production]]="",#N/A,((Tabela1511[[#This Row],[Industrial Production]]*1)/E303)-1)</f>
        <v>1.2585655425165765E-3</v>
      </c>
      <c r="G304" s="8">
        <f>IF(Tabela1511[[#This Row],[Industrial Production]]="",#N/A,((Tabela1511[[#This Row],[Industrial Production]]*1)/E292)-1)</f>
        <v>3.1470811983347335E-2</v>
      </c>
      <c r="H304" s="32">
        <v>291167</v>
      </c>
      <c r="I304" s="8">
        <f>IF(Tabela1511[[#This Row],[Retail Sales]]="",#N/A,((Tabela1511[[#This Row],[Retail Sales]]*1)/H303)-1)</f>
        <v>-1.3822278220343542E-2</v>
      </c>
      <c r="J304" s="8">
        <f>IF(Tabela1511[[#This Row],[Retail Sales]]="",#N/A,((Tabela1511[[#This Row],[Retail Sales]]*1)/H292)-1)</f>
        <v>2.1445059532579691E-2</v>
      </c>
      <c r="K304" s="32">
        <v>224632</v>
      </c>
      <c r="L304" s="8">
        <f>IF(Tabela1511[[#This Row],[Core-Retail Sales]]="",#N/A,((Tabela1511[[#This Row],[Core-Retail Sales]]*1)/K303)-1)</f>
        <v>-4.1804277956334346E-3</v>
      </c>
      <c r="M304" s="8">
        <f>IF(Tabela1511[[#This Row],[Core-Retail Sales]]="",#N/A,((Tabela1511[[#This Row],[Core-Retail Sales]]*1)/K292)-1)</f>
        <v>3.5714615051225085E-2</v>
      </c>
      <c r="N304" s="84">
        <v>158588</v>
      </c>
      <c r="O304" s="8">
        <f>IF(Tabela1511[[#This Row],[Real Retail Sales]]="",#N/A,((Tabela1511[[#This Row],[Real Retail Sales]]*1)/N303)-1)</f>
        <v>-1.9190925901874545E-2</v>
      </c>
      <c r="P304" s="8">
        <f>IF(Tabela1511[[#This Row],[Real Retail Sales]]="",#N/A,((Tabela1511[[#This Row],[Real Retail Sales]]*1)/N292)-1)</f>
        <v>-9.7100716234864715E-3</v>
      </c>
      <c r="Q304" s="32">
        <v>200747</v>
      </c>
      <c r="R304" s="8">
        <f>IF(Tabela1511[[#This Row],[Core²-Retail Sales]]="",#N/A,((Tabela1511[[#This Row],[Core²-Retail Sales]]*1)/Q303)-1)</f>
        <v>-8.6665810708042024E-3</v>
      </c>
      <c r="S304" s="8">
        <f>IF(Tabela1511[[#This Row],[Core²-Retail Sales]]="",#N/A,((Tabela1511[[#This Row],[Core²-Retail Sales]]*1)/Q292)-1)</f>
        <v>1.4806539344245806E-2</v>
      </c>
      <c r="T304" s="5">
        <v>79.900000000000006</v>
      </c>
      <c r="U304" s="7">
        <v>48.8</v>
      </c>
      <c r="V304" s="25">
        <v>51.9</v>
      </c>
      <c r="W304" s="25">
        <v>42.6</v>
      </c>
      <c r="X304" s="25">
        <v>52.6</v>
      </c>
      <c r="Y304" s="25">
        <v>53.9</v>
      </c>
      <c r="Z304" s="25">
        <v>48.1</v>
      </c>
      <c r="AA304" s="25">
        <f>IF([1]!Tabela1511[[#This Row],[Services New Orders]]="","",([1]!Tabela1511[[#This Row],[Manufacturing New Orders]]+[1]!Tabela1511[[#This Row],[Services New Orders]])/2)</f>
        <v>52.9</v>
      </c>
      <c r="AB304" s="25">
        <f>IF([1]!Tabela1511[[#This Row],[Services Employment]]="",#N/A,([1]!Tabela1511[[#This Row],[Manufacturing Employment]]+[1]!Tabela1511[[#This Row],[Services Employment]])/2)</f>
        <v>45.35</v>
      </c>
    </row>
    <row r="305" spans="1:28">
      <c r="A305" s="6">
        <v>37681</v>
      </c>
      <c r="B305" s="36"/>
      <c r="C305" s="8"/>
      <c r="D305" s="8"/>
      <c r="E305" s="7">
        <v>91.005899999999997</v>
      </c>
      <c r="F305" s="8">
        <f>IF(Tabela1511[[#This Row],[Industrial Production]]="",#N/A,((Tabela1511[[#This Row],[Industrial Production]]*1)/E304)-1)</f>
        <v>-2.6772544060178483E-3</v>
      </c>
      <c r="G305" s="8">
        <f>IF(Tabela1511[[#This Row],[Industrial Production]]="",#N/A,((Tabela1511[[#This Row],[Industrial Production]]*1)/E293)-1)</f>
        <v>2.1129273317265662E-2</v>
      </c>
      <c r="H305" s="32">
        <v>296325</v>
      </c>
      <c r="I305" s="8">
        <f>IF(Tabela1511[[#This Row],[Retail Sales]]="",#N/A,((Tabela1511[[#This Row],[Retail Sales]]*1)/H304)-1)</f>
        <v>1.771491961657734E-2</v>
      </c>
      <c r="J305" s="8">
        <f>IF(Tabela1511[[#This Row],[Retail Sales]]="",#N/A,((Tabela1511[[#This Row],[Retail Sales]]*1)/H293)-1)</f>
        <v>4.2436203220972191E-2</v>
      </c>
      <c r="K305" s="32">
        <v>227697</v>
      </c>
      <c r="L305" s="8">
        <f>IF(Tabela1511[[#This Row],[Core-Retail Sales]]="",#N/A,((Tabela1511[[#This Row],[Core-Retail Sales]]*1)/K304)-1)</f>
        <v>1.3644538623170277E-2</v>
      </c>
      <c r="M305" s="8">
        <f>IF(Tabela1511[[#This Row],[Core-Retail Sales]]="",#N/A,((Tabela1511[[#This Row],[Core-Retail Sales]]*1)/K293)-1)</f>
        <v>4.5959428917920819E-2</v>
      </c>
      <c r="N305" s="84">
        <v>161134</v>
      </c>
      <c r="O305" s="8">
        <f>IF(Tabela1511[[#This Row],[Real Retail Sales]]="",#N/A,((Tabela1511[[#This Row],[Real Retail Sales]]*1)/N304)-1)</f>
        <v>1.6054178121925888E-2</v>
      </c>
      <c r="P305" s="8">
        <f>IF(Tabela1511[[#This Row],[Real Retail Sales]]="",#N/A,((Tabela1511[[#This Row],[Real Retail Sales]]*1)/N293)-1)</f>
        <v>1.1830455259026706E-2</v>
      </c>
      <c r="Q305" s="32">
        <v>203729</v>
      </c>
      <c r="R305" s="8">
        <f>IF(Tabela1511[[#This Row],[Core²-Retail Sales]]="",#N/A,((Tabela1511[[#This Row],[Core²-Retail Sales]]*1)/Q304)-1)</f>
        <v>1.4854518373873526E-2</v>
      </c>
      <c r="S305" s="8">
        <f>IF(Tabela1511[[#This Row],[Core²-Retail Sales]]="",#N/A,((Tabela1511[[#This Row],[Core²-Retail Sales]]*1)/Q293)-1)</f>
        <v>2.9563521141707794E-2</v>
      </c>
      <c r="T305" s="5">
        <v>77.599999999999994</v>
      </c>
      <c r="U305" s="7">
        <v>46.3</v>
      </c>
      <c r="V305" s="25">
        <v>47.2</v>
      </c>
      <c r="W305" s="25">
        <v>42.2</v>
      </c>
      <c r="X305" s="25">
        <v>49.1</v>
      </c>
      <c r="Y305" s="25">
        <v>49.9</v>
      </c>
      <c r="Z305" s="25">
        <v>48.7</v>
      </c>
      <c r="AA305" s="25">
        <f>IF([1]!Tabela1511[[#This Row],[Services New Orders]]="","",([1]!Tabela1511[[#This Row],[Manufacturing New Orders]]+[1]!Tabela1511[[#This Row],[Services New Orders]])/2)</f>
        <v>48.55</v>
      </c>
      <c r="AB305" s="25">
        <f>IF([1]!Tabela1511[[#This Row],[Services Employment]]="",#N/A,([1]!Tabela1511[[#This Row],[Manufacturing Employment]]+[1]!Tabela1511[[#This Row],[Services Employment]])/2)</f>
        <v>45.45</v>
      </c>
    </row>
    <row r="306" spans="1:28">
      <c r="A306" s="6">
        <v>37712</v>
      </c>
      <c r="B306" s="36"/>
      <c r="C306" s="8"/>
      <c r="D306" s="8"/>
      <c r="E306" s="7">
        <v>90.428100000000001</v>
      </c>
      <c r="F306" s="8">
        <f>IF(Tabela1511[[#This Row],[Industrial Production]]="",#N/A,((Tabela1511[[#This Row],[Industrial Production]]*1)/E305)-1)</f>
        <v>-6.3490389084663867E-3</v>
      </c>
      <c r="G306" s="8">
        <f>IF(Tabela1511[[#This Row],[Industrial Production]]="",#N/A,((Tabela1511[[#This Row],[Industrial Production]]*1)/E294)-1)</f>
        <v>9.7696118061665338E-3</v>
      </c>
      <c r="H306" s="32">
        <v>295600</v>
      </c>
      <c r="I306" s="8">
        <f>IF(Tabela1511[[#This Row],[Retail Sales]]="",#N/A,((Tabela1511[[#This Row],[Retail Sales]]*1)/H305)-1)</f>
        <v>-2.4466379819455542E-3</v>
      </c>
      <c r="J306" s="8">
        <f>IF(Tabela1511[[#This Row],[Retail Sales]]="",#N/A,((Tabela1511[[#This Row],[Retail Sales]]*1)/H294)-1)</f>
        <v>2.3428763333829483E-2</v>
      </c>
      <c r="K306" s="32">
        <v>226020</v>
      </c>
      <c r="L306" s="8">
        <f>IF(Tabela1511[[#This Row],[Core-Retail Sales]]="",#N/A,((Tabela1511[[#This Row],[Core-Retail Sales]]*1)/K305)-1)</f>
        <v>-7.3650509229370442E-3</v>
      </c>
      <c r="M306" s="8">
        <f>IF(Tabela1511[[#This Row],[Core-Retail Sales]]="",#N/A,((Tabela1511[[#This Row],[Core-Retail Sales]]*1)/K294)-1)</f>
        <v>2.4652963523768889E-2</v>
      </c>
      <c r="N306" s="84">
        <v>161354</v>
      </c>
      <c r="O306" s="8">
        <f>IF(Tabela1511[[#This Row],[Real Retail Sales]]="",#N/A,((Tabela1511[[#This Row],[Real Retail Sales]]*1)/N305)-1)</f>
        <v>1.3653232713146668E-3</v>
      </c>
      <c r="P306" s="8">
        <f>IF(Tabela1511[[#This Row],[Real Retail Sales]]="",#N/A,((Tabela1511[[#This Row],[Real Retail Sales]]*1)/N294)-1)</f>
        <v>1.6450533555985025E-3</v>
      </c>
      <c r="Q306" s="32">
        <v>203439</v>
      </c>
      <c r="R306" s="8">
        <f>IF(Tabela1511[[#This Row],[Core²-Retail Sales]]="",#N/A,((Tabela1511[[#This Row],[Core²-Retail Sales]]*1)/Q305)-1)</f>
        <v>-1.4234595958356744E-3</v>
      </c>
      <c r="S306" s="8">
        <f>IF(Tabela1511[[#This Row],[Core²-Retail Sales]]="",#N/A,((Tabela1511[[#This Row],[Core²-Retail Sales]]*1)/Q294)-1)</f>
        <v>1.8590468942451199E-2</v>
      </c>
      <c r="T306" s="5">
        <v>86</v>
      </c>
      <c r="U306" s="7">
        <v>46.1</v>
      </c>
      <c r="V306" s="25">
        <v>47.2</v>
      </c>
      <c r="W306" s="25">
        <v>41.8</v>
      </c>
      <c r="X306" s="25">
        <v>50.1</v>
      </c>
      <c r="Y306" s="25">
        <v>50.4</v>
      </c>
      <c r="Z306" s="25">
        <v>48.5</v>
      </c>
      <c r="AA306" s="25">
        <f>IF([1]!Tabela1511[[#This Row],[Services New Orders]]="","",([1]!Tabela1511[[#This Row],[Manufacturing New Orders]]+[1]!Tabela1511[[#This Row],[Services New Orders]])/2)</f>
        <v>48.8</v>
      </c>
      <c r="AB306" s="25">
        <f>IF([1]!Tabela1511[[#This Row],[Services Employment]]="",#N/A,([1]!Tabela1511[[#This Row],[Manufacturing Employment]]+[1]!Tabela1511[[#This Row],[Services Employment]])/2)</f>
        <v>45.15</v>
      </c>
    </row>
    <row r="307" spans="1:28">
      <c r="A307" s="6">
        <v>37742</v>
      </c>
      <c r="B307" s="36"/>
      <c r="C307" s="8"/>
      <c r="D307" s="8"/>
      <c r="E307" s="7">
        <v>90.407300000000006</v>
      </c>
      <c r="F307" s="8">
        <f>IF(Tabela1511[[#This Row],[Industrial Production]]="",#N/A,((Tabela1511[[#This Row],[Industrial Production]]*1)/E306)-1)</f>
        <v>-2.3001699692903887E-4</v>
      </c>
      <c r="G307" s="8">
        <f>IF(Tabela1511[[#This Row],[Industrial Production]]="",#N/A,((Tabela1511[[#This Row],[Industrial Production]]*1)/E295)-1)</f>
        <v>5.2627482375966483E-3</v>
      </c>
      <c r="H307" s="32">
        <v>296410</v>
      </c>
      <c r="I307" s="8">
        <f>IF(Tabela1511[[#This Row],[Retail Sales]]="",#N/A,((Tabela1511[[#This Row],[Retail Sales]]*1)/H306)-1)</f>
        <v>2.7401894451961617E-3</v>
      </c>
      <c r="J307" s="8">
        <f>IF(Tabela1511[[#This Row],[Retail Sales]]="",#N/A,((Tabela1511[[#This Row],[Retail Sales]]*1)/H295)-1)</f>
        <v>4.0213931518050527E-2</v>
      </c>
      <c r="K307" s="32">
        <v>226750</v>
      </c>
      <c r="L307" s="8">
        <f>IF(Tabela1511[[#This Row],[Core-Retail Sales]]="",#N/A,((Tabela1511[[#This Row],[Core-Retail Sales]]*1)/K306)-1)</f>
        <v>3.2298026723298623E-3</v>
      </c>
      <c r="M307" s="8">
        <f>IF(Tabela1511[[#This Row],[Core-Retail Sales]]="",#N/A,((Tabela1511[[#This Row],[Core-Retail Sales]]*1)/K295)-1)</f>
        <v>3.1202106517379313E-2</v>
      </c>
      <c r="N307" s="84">
        <v>162061</v>
      </c>
      <c r="O307" s="8">
        <f>IF(Tabela1511[[#This Row],[Real Retail Sales]]="",#N/A,((Tabela1511[[#This Row],[Real Retail Sales]]*1)/N306)-1)</f>
        <v>4.3816701166379257E-3</v>
      </c>
      <c r="P307" s="8">
        <f>IF(Tabela1511[[#This Row],[Real Retail Sales]]="",#N/A,((Tabela1511[[#This Row],[Real Retail Sales]]*1)/N295)-1)</f>
        <v>2.087598505798538E-2</v>
      </c>
      <c r="Q307" s="32">
        <v>204940</v>
      </c>
      <c r="R307" s="8">
        <f>IF(Tabela1511[[#This Row],[Core²-Retail Sales]]="",#N/A,((Tabela1511[[#This Row],[Core²-Retail Sales]]*1)/Q306)-1)</f>
        <v>7.3781330030131542E-3</v>
      </c>
      <c r="S307" s="8">
        <f>IF(Tabela1511[[#This Row],[Core²-Retail Sales]]="",#N/A,((Tabela1511[[#This Row],[Core²-Retail Sales]]*1)/Q295)-1)</f>
        <v>3.0061469951095487E-2</v>
      </c>
      <c r="T307" s="5">
        <v>92.1</v>
      </c>
      <c r="U307" s="7">
        <v>49</v>
      </c>
      <c r="V307" s="25">
        <v>53.4</v>
      </c>
      <c r="W307" s="25">
        <v>42.4</v>
      </c>
      <c r="X307" s="25">
        <v>52.8</v>
      </c>
      <c r="Y307" s="25">
        <v>55.9</v>
      </c>
      <c r="Z307" s="25">
        <v>49.3</v>
      </c>
      <c r="AA307" s="25">
        <f>IF([1]!Tabela1511[[#This Row],[Services New Orders]]="","",([1]!Tabela1511[[#This Row],[Manufacturing New Orders]]+[1]!Tabela1511[[#This Row],[Services New Orders]])/2)</f>
        <v>54.65</v>
      </c>
      <c r="AB307" s="25">
        <f>IF([1]!Tabela1511[[#This Row],[Services Employment]]="",#N/A,([1]!Tabela1511[[#This Row],[Manufacturing Employment]]+[1]!Tabela1511[[#This Row],[Services Employment]])/2)</f>
        <v>45.849999999999994</v>
      </c>
    </row>
    <row r="308" spans="1:28">
      <c r="A308" s="6">
        <v>37773</v>
      </c>
      <c r="B308" s="36"/>
      <c r="C308" s="8"/>
      <c r="D308" s="8"/>
      <c r="E308" s="7">
        <v>90.521799999999999</v>
      </c>
      <c r="F308" s="8">
        <f>IF(Tabela1511[[#This Row],[Industrial Production]]="",#N/A,((Tabela1511[[#This Row],[Industrial Production]]*1)/E307)-1)</f>
        <v>1.2664906484320948E-3</v>
      </c>
      <c r="G308" s="8">
        <f>IF(Tabela1511[[#This Row],[Industrial Production]]="",#N/A,((Tabela1511[[#This Row],[Industrial Production]]*1)/E296)-1)</f>
        <v>-1.7104687081275216E-3</v>
      </c>
      <c r="H308" s="32">
        <v>299626</v>
      </c>
      <c r="I308" s="8">
        <f>IF(Tabela1511[[#This Row],[Retail Sales]]="",#N/A,((Tabela1511[[#This Row],[Retail Sales]]*1)/H307)-1)</f>
        <v>1.0849836375290911E-2</v>
      </c>
      <c r="J308" s="8">
        <f>IF(Tabela1511[[#This Row],[Retail Sales]]="",#N/A,((Tabela1511[[#This Row],[Retail Sales]]*1)/H296)-1)</f>
        <v>4.2641593474660011E-2</v>
      </c>
      <c r="K308" s="32">
        <v>229301</v>
      </c>
      <c r="L308" s="8">
        <f>IF(Tabela1511[[#This Row],[Core-Retail Sales]]="",#N/A,((Tabela1511[[#This Row],[Core-Retail Sales]]*1)/K307)-1)</f>
        <v>1.1250275633958084E-2</v>
      </c>
      <c r="M308" s="8">
        <f>IF(Tabela1511[[#This Row],[Core-Retail Sales]]="",#N/A,((Tabela1511[[#This Row],[Core-Retail Sales]]*1)/K296)-1)</f>
        <v>4.2192002472525081E-2</v>
      </c>
      <c r="N308" s="84">
        <v>163641</v>
      </c>
      <c r="O308" s="8">
        <f>IF(Tabela1511[[#This Row],[Real Retail Sales]]="",#N/A,((Tabela1511[[#This Row],[Real Retail Sales]]*1)/N307)-1)</f>
        <v>9.7494153436052944E-3</v>
      </c>
      <c r="P308" s="8">
        <f>IF(Tabela1511[[#This Row],[Real Retail Sales]]="",#N/A,((Tabela1511[[#This Row],[Real Retail Sales]]*1)/N296)-1)</f>
        <v>2.2711506371596135E-2</v>
      </c>
      <c r="Q308" s="32">
        <v>207524</v>
      </c>
      <c r="R308" s="8">
        <f>IF(Tabela1511[[#This Row],[Core²-Retail Sales]]="",#N/A,((Tabela1511[[#This Row],[Core²-Retail Sales]]*1)/Q307)-1)</f>
        <v>1.2608568361471617E-2</v>
      </c>
      <c r="S308" s="8">
        <f>IF(Tabela1511[[#This Row],[Core²-Retail Sales]]="",#N/A,((Tabela1511[[#This Row],[Core²-Retail Sales]]*1)/Q296)-1)</f>
        <v>4.1342800511829703E-2</v>
      </c>
      <c r="T308" s="5">
        <v>89.7</v>
      </c>
      <c r="U308" s="7">
        <v>49</v>
      </c>
      <c r="V308" s="25">
        <v>53.6</v>
      </c>
      <c r="W308" s="25">
        <v>45.6</v>
      </c>
      <c r="X308" s="25">
        <v>54.3</v>
      </c>
      <c r="Y308" s="25">
        <v>57.1</v>
      </c>
      <c r="Z308" s="25">
        <v>50.5</v>
      </c>
      <c r="AA308" s="25">
        <f>IF([1]!Tabela1511[[#This Row],[Services New Orders]]="","",([1]!Tabela1511[[#This Row],[Manufacturing New Orders]]+[1]!Tabela1511[[#This Row],[Services New Orders]])/2)</f>
        <v>55.35</v>
      </c>
      <c r="AB308" s="25">
        <f>IF([1]!Tabela1511[[#This Row],[Services Employment]]="",#N/A,([1]!Tabela1511[[#This Row],[Manufacturing Employment]]+[1]!Tabela1511[[#This Row],[Services Employment]])/2)</f>
        <v>48.05</v>
      </c>
    </row>
    <row r="309" spans="1:28">
      <c r="A309" s="6">
        <v>37803</v>
      </c>
      <c r="B309" s="36"/>
      <c r="C309" s="8"/>
      <c r="D309" s="8"/>
      <c r="E309" s="7">
        <v>90.989599999999996</v>
      </c>
      <c r="F309" s="8">
        <f>IF(Tabela1511[[#This Row],[Industrial Production]]="",#N/A,((Tabela1511[[#This Row],[Industrial Production]]*1)/E308)-1)</f>
        <v>5.1678159294223924E-3</v>
      </c>
      <c r="G309" s="8">
        <f>IF(Tabela1511[[#This Row],[Industrial Production]]="",#N/A,((Tabela1511[[#This Row],[Industrial Production]]*1)/E297)-1)</f>
        <v>3.7961068117005059E-3</v>
      </c>
      <c r="H309" s="32">
        <v>302747</v>
      </c>
      <c r="I309" s="8">
        <f>IF(Tabela1511[[#This Row],[Retail Sales]]="",#N/A,((Tabela1511[[#This Row],[Retail Sales]]*1)/H308)-1)</f>
        <v>1.0416319011033792E-2</v>
      </c>
      <c r="J309" s="8">
        <f>IF(Tabela1511[[#This Row],[Retail Sales]]="",#N/A,((Tabela1511[[#This Row],[Retail Sales]]*1)/H297)-1)</f>
        <v>4.2571069442292053E-2</v>
      </c>
      <c r="K309" s="32">
        <v>231698</v>
      </c>
      <c r="L309" s="8">
        <f>IF(Tabela1511[[#This Row],[Core-Retail Sales]]="",#N/A,((Tabela1511[[#This Row],[Core-Retail Sales]]*1)/K308)-1)</f>
        <v>1.0453508706896208E-2</v>
      </c>
      <c r="M309" s="8">
        <f>IF(Tabela1511[[#This Row],[Core-Retail Sales]]="",#N/A,((Tabela1511[[#This Row],[Core-Retail Sales]]*1)/K297)-1)</f>
        <v>5.1065818064697677E-2</v>
      </c>
      <c r="N309" s="84">
        <v>164805</v>
      </c>
      <c r="O309" s="8">
        <f>IF(Tabela1511[[#This Row],[Real Retail Sales]]="",#N/A,((Tabela1511[[#This Row],[Real Retail Sales]]*1)/N308)-1)</f>
        <v>7.113131794599159E-3</v>
      </c>
      <c r="P309" s="8">
        <f>IF(Tabela1511[[#This Row],[Real Retail Sales]]="",#N/A,((Tabela1511[[#This Row],[Real Retail Sales]]*1)/N297)-1)</f>
        <v>2.1571362157136287E-2</v>
      </c>
      <c r="Q309" s="32">
        <v>209502</v>
      </c>
      <c r="R309" s="8">
        <f>IF(Tabela1511[[#This Row],[Core²-Retail Sales]]="",#N/A,((Tabela1511[[#This Row],[Core²-Retail Sales]]*1)/Q308)-1)</f>
        <v>9.5314276902911388E-3</v>
      </c>
      <c r="S309" s="8">
        <f>IF(Tabela1511[[#This Row],[Core²-Retail Sales]]="",#N/A,((Tabela1511[[#This Row],[Core²-Retail Sales]]*1)/Q297)-1)</f>
        <v>5.2757998623136348E-2</v>
      </c>
      <c r="T309" s="5">
        <v>90.9</v>
      </c>
      <c r="U309" s="7">
        <v>51</v>
      </c>
      <c r="V309" s="25">
        <v>56.8</v>
      </c>
      <c r="W309" s="25">
        <v>46.3</v>
      </c>
      <c r="X309" s="25">
        <v>57.3</v>
      </c>
      <c r="Y309" s="25">
        <v>62.3</v>
      </c>
      <c r="Z309" s="25">
        <v>51.7</v>
      </c>
      <c r="AA309" s="25">
        <f>IF([1]!Tabela1511[[#This Row],[Services New Orders]]="","",([1]!Tabela1511[[#This Row],[Manufacturing New Orders]]+[1]!Tabela1511[[#This Row],[Services New Orders]])/2)</f>
        <v>59.55</v>
      </c>
      <c r="AB309" s="25">
        <f>IF([1]!Tabela1511[[#This Row],[Services Employment]]="",#N/A,([1]!Tabela1511[[#This Row],[Manufacturing Employment]]+[1]!Tabela1511[[#This Row],[Services Employment]])/2)</f>
        <v>49</v>
      </c>
    </row>
    <row r="310" spans="1:28">
      <c r="A310" s="6">
        <v>37834</v>
      </c>
      <c r="B310" s="36"/>
      <c r="C310" s="8"/>
      <c r="D310" s="8"/>
      <c r="E310" s="7">
        <v>90.785799999999995</v>
      </c>
      <c r="F310" s="8">
        <f>IF(Tabela1511[[#This Row],[Industrial Production]]="",#N/A,((Tabela1511[[#This Row],[Industrial Production]]*1)/E309)-1)</f>
        <v>-2.239816418579732E-3</v>
      </c>
      <c r="G310" s="8">
        <f>IF(Tabela1511[[#This Row],[Industrial Production]]="",#N/A,((Tabela1511[[#This Row],[Industrial Production]]*1)/E298)-1)</f>
        <v>2.6317678566498692E-3</v>
      </c>
      <c r="H310" s="32">
        <v>307809</v>
      </c>
      <c r="I310" s="8">
        <f>IF(Tabela1511[[#This Row],[Retail Sales]]="",#N/A,((Tabela1511[[#This Row],[Retail Sales]]*1)/H309)-1)</f>
        <v>1.6720231744657976E-2</v>
      </c>
      <c r="J310" s="8">
        <f>IF(Tabela1511[[#This Row],[Retail Sales]]="",#N/A,((Tabela1511[[#This Row],[Retail Sales]]*1)/H298)-1)</f>
        <v>5.1799077396207149E-2</v>
      </c>
      <c r="K310" s="32">
        <v>234890</v>
      </c>
      <c r="L310" s="8">
        <f>IF(Tabela1511[[#This Row],[Core-Retail Sales]]="",#N/A,((Tabela1511[[#This Row],[Core-Retail Sales]]*1)/K309)-1)</f>
        <v>1.3776553962485671E-2</v>
      </c>
      <c r="M310" s="8">
        <f>IF(Tabela1511[[#This Row],[Core-Retail Sales]]="",#N/A,((Tabela1511[[#This Row],[Core-Retail Sales]]*1)/K298)-1)</f>
        <v>6.5521715068542763E-2</v>
      </c>
      <c r="N310" s="84">
        <v>166834</v>
      </c>
      <c r="O310" s="8">
        <f>IF(Tabela1511[[#This Row],[Real Retail Sales]]="",#N/A,((Tabela1511[[#This Row],[Real Retail Sales]]*1)/N309)-1)</f>
        <v>1.231151967476718E-2</v>
      </c>
      <c r="P310" s="8">
        <f>IF(Tabela1511[[#This Row],[Real Retail Sales]]="",#N/A,((Tabela1511[[#This Row],[Real Retail Sales]]*1)/N298)-1)</f>
        <v>2.8994714216106443E-2</v>
      </c>
      <c r="Q310" s="32">
        <v>211817</v>
      </c>
      <c r="R310" s="8">
        <f>IF(Tabela1511[[#This Row],[Core²-Retail Sales]]="",#N/A,((Tabela1511[[#This Row],[Core²-Retail Sales]]*1)/Q309)-1)</f>
        <v>1.1050013842349937E-2</v>
      </c>
      <c r="S310" s="8">
        <f>IF(Tabela1511[[#This Row],[Core²-Retail Sales]]="",#N/A,((Tabela1511[[#This Row],[Core²-Retail Sales]]*1)/Q298)-1)</f>
        <v>6.2996828328248045E-2</v>
      </c>
      <c r="T310" s="5">
        <v>89.3</v>
      </c>
      <c r="U310" s="7">
        <v>53.2</v>
      </c>
      <c r="V310" s="25">
        <v>61.1</v>
      </c>
      <c r="W310" s="25">
        <v>47.1</v>
      </c>
      <c r="X310" s="25">
        <v>59.1</v>
      </c>
      <c r="Y310" s="25">
        <v>66.900000000000006</v>
      </c>
      <c r="Z310" s="25">
        <v>50.1</v>
      </c>
      <c r="AA310" s="25">
        <f>IF([1]!Tabela1511[[#This Row],[Services New Orders]]="","",([1]!Tabela1511[[#This Row],[Manufacturing New Orders]]+[1]!Tabela1511[[#This Row],[Services New Orders]])/2)</f>
        <v>64</v>
      </c>
      <c r="AB310" s="25">
        <f>IF([1]!Tabela1511[[#This Row],[Services Employment]]="",#N/A,([1]!Tabela1511[[#This Row],[Manufacturing Employment]]+[1]!Tabela1511[[#This Row],[Services Employment]])/2)</f>
        <v>48.6</v>
      </c>
    </row>
    <row r="311" spans="1:28">
      <c r="A311" s="6">
        <v>37865</v>
      </c>
      <c r="B311" s="36"/>
      <c r="C311" s="8"/>
      <c r="D311" s="8"/>
      <c r="E311" s="7">
        <v>91.382900000000006</v>
      </c>
      <c r="F311" s="8">
        <f>IF(Tabela1511[[#This Row],[Industrial Production]]="",#N/A,((Tabela1511[[#This Row],[Industrial Production]]*1)/E310)-1)</f>
        <v>6.5770197541907827E-3</v>
      </c>
      <c r="G311" s="8">
        <f>IF(Tabela1511[[#This Row],[Industrial Production]]="",#N/A,((Tabela1511[[#This Row],[Industrial Production]]*1)/E299)-1)</f>
        <v>8.2172949344703206E-3</v>
      </c>
      <c r="H311" s="32">
        <v>305933</v>
      </c>
      <c r="I311" s="8">
        <f>IF(Tabela1511[[#This Row],[Retail Sales]]="",#N/A,((Tabela1511[[#This Row],[Retail Sales]]*1)/H310)-1)</f>
        <v>-6.0946885893524705E-3</v>
      </c>
      <c r="J311" s="8">
        <f>IF(Tabela1511[[#This Row],[Retail Sales]]="",#N/A,((Tabela1511[[#This Row],[Retail Sales]]*1)/H299)-1)</f>
        <v>6.0757255296279622E-2</v>
      </c>
      <c r="K311" s="32">
        <v>234749</v>
      </c>
      <c r="L311" s="8">
        <f>IF(Tabela1511[[#This Row],[Core-Retail Sales]]="",#N/A,((Tabela1511[[#This Row],[Core-Retail Sales]]*1)/K310)-1)</f>
        <v>-6.0028098258757545E-4</v>
      </c>
      <c r="M311" s="8">
        <f>IF(Tabela1511[[#This Row],[Core-Retail Sales]]="",#N/A,((Tabela1511[[#This Row],[Core-Retail Sales]]*1)/K299)-1)</f>
        <v>6.537504992194032E-2</v>
      </c>
      <c r="N311" s="84">
        <v>165280</v>
      </c>
      <c r="O311" s="8">
        <f>IF(Tabela1511[[#This Row],[Real Retail Sales]]="",#N/A,((Tabela1511[[#This Row],[Real Retail Sales]]*1)/N310)-1)</f>
        <v>-9.3146480933142817E-3</v>
      </c>
      <c r="P311" s="8">
        <f>IF(Tabela1511[[#This Row],[Real Retail Sales]]="",#N/A,((Tabela1511[[#This Row],[Real Retail Sales]]*1)/N299)-1)</f>
        <v>3.61148201781607E-2</v>
      </c>
      <c r="Q311" s="32">
        <v>211535</v>
      </c>
      <c r="R311" s="8">
        <f>IF(Tabela1511[[#This Row],[Core²-Retail Sales]]="",#N/A,((Tabela1511[[#This Row],[Core²-Retail Sales]]*1)/Q310)-1)</f>
        <v>-1.3313379001685943E-3</v>
      </c>
      <c r="S311" s="8">
        <f>IF(Tabela1511[[#This Row],[Core²-Retail Sales]]="",#N/A,((Tabela1511[[#This Row],[Core²-Retail Sales]]*1)/Q299)-1)</f>
        <v>6.2605489471146081E-2</v>
      </c>
      <c r="T311" s="5">
        <v>87.7</v>
      </c>
      <c r="U311" s="7">
        <v>52.4</v>
      </c>
      <c r="V311" s="25">
        <v>60.8</v>
      </c>
      <c r="W311" s="25">
        <v>46.5</v>
      </c>
      <c r="X311" s="25">
        <v>57.6</v>
      </c>
      <c r="Y311" s="25">
        <v>61.4</v>
      </c>
      <c r="Z311" s="25">
        <v>53</v>
      </c>
      <c r="AA311" s="25">
        <f>IF([1]!Tabela1511[[#This Row],[Services New Orders]]="","",([1]!Tabela1511[[#This Row],[Manufacturing New Orders]]+[1]!Tabela1511[[#This Row],[Services New Orders]])/2)</f>
        <v>61.099999999999994</v>
      </c>
      <c r="AB311" s="25">
        <f>IF([1]!Tabela1511[[#This Row],[Services Employment]]="",#N/A,([1]!Tabela1511[[#This Row],[Manufacturing Employment]]+[1]!Tabela1511[[#This Row],[Services Employment]])/2)</f>
        <v>49.75</v>
      </c>
    </row>
    <row r="312" spans="1:28">
      <c r="A312" s="6">
        <v>37895</v>
      </c>
      <c r="B312" s="36"/>
      <c r="C312" s="8"/>
      <c r="D312" s="8"/>
      <c r="E312" s="7">
        <v>91.500500000000002</v>
      </c>
      <c r="F312" s="8">
        <f>IF(Tabela1511[[#This Row],[Industrial Production]]="",#N/A,((Tabela1511[[#This Row],[Industrial Production]]*1)/E311)-1)</f>
        <v>1.2868928431906124E-3</v>
      </c>
      <c r="G312" s="8">
        <f>IF(Tabela1511[[#This Row],[Industrial Production]]="",#N/A,((Tabela1511[[#This Row],[Industrial Production]]*1)/E300)-1)</f>
        <v>1.2127768541471129E-2</v>
      </c>
      <c r="H312" s="32">
        <v>304809</v>
      </c>
      <c r="I312" s="8">
        <f>IF(Tabela1511[[#This Row],[Retail Sales]]="",#N/A,((Tabela1511[[#This Row],[Retail Sales]]*1)/H311)-1)</f>
        <v>-3.6740070538320291E-3</v>
      </c>
      <c r="J312" s="8">
        <f>IF(Tabela1511[[#This Row],[Retail Sales]]="",#N/A,((Tabela1511[[#This Row],[Retail Sales]]*1)/H300)-1)</f>
        <v>5.2604497610299283E-2</v>
      </c>
      <c r="K312" s="32">
        <v>234992</v>
      </c>
      <c r="L312" s="8">
        <f>IF(Tabela1511[[#This Row],[Core-Retail Sales]]="",#N/A,((Tabela1511[[#This Row],[Core-Retail Sales]]*1)/K311)-1)</f>
        <v>1.0351481795449757E-3</v>
      </c>
      <c r="M312" s="8">
        <f>IF(Tabela1511[[#This Row],[Core-Retail Sales]]="",#N/A,((Tabela1511[[#This Row],[Core-Retail Sales]]*1)/K300)-1)</f>
        <v>5.8412867135386959E-2</v>
      </c>
      <c r="N312" s="84">
        <v>164851</v>
      </c>
      <c r="O312" s="8">
        <f>IF(Tabela1511[[#This Row],[Real Retail Sales]]="",#N/A,((Tabela1511[[#This Row],[Real Retail Sales]]*1)/N311)-1)</f>
        <v>-2.5955953533397524E-3</v>
      </c>
      <c r="P312" s="8">
        <f>IF(Tabela1511[[#This Row],[Real Retail Sales]]="",#N/A,((Tabela1511[[#This Row],[Real Retail Sales]]*1)/N300)-1)</f>
        <v>3.1543708153432215E-2</v>
      </c>
      <c r="Q312" s="32">
        <v>212278</v>
      </c>
      <c r="R312" s="8">
        <f>IF(Tabela1511[[#This Row],[Core²-Retail Sales]]="",#N/A,((Tabela1511[[#This Row],[Core²-Retail Sales]]*1)/Q311)-1)</f>
        <v>3.5124211123453986E-3</v>
      </c>
      <c r="S312" s="8">
        <f>IF(Tabela1511[[#This Row],[Core²-Retail Sales]]="",#N/A,((Tabela1511[[#This Row],[Core²-Retail Sales]]*1)/Q300)-1)</f>
        <v>5.9461779561198691E-2</v>
      </c>
      <c r="T312" s="5">
        <v>89.6</v>
      </c>
      <c r="U312" s="7">
        <v>55.2</v>
      </c>
      <c r="V312" s="25">
        <v>64.400000000000006</v>
      </c>
      <c r="W312" s="25">
        <v>48.6</v>
      </c>
      <c r="X312" s="25">
        <v>58.7</v>
      </c>
      <c r="Y312" s="25">
        <v>64.2</v>
      </c>
      <c r="Z312" s="25">
        <v>54.4</v>
      </c>
      <c r="AA312" s="25">
        <f>IF([1]!Tabela1511[[#This Row],[Services New Orders]]="","",([1]!Tabela1511[[#This Row],[Manufacturing New Orders]]+[1]!Tabela1511[[#This Row],[Services New Orders]])/2)</f>
        <v>64.300000000000011</v>
      </c>
      <c r="AB312" s="25">
        <f>IF([1]!Tabela1511[[#This Row],[Services Employment]]="",#N/A,([1]!Tabela1511[[#This Row],[Manufacturing Employment]]+[1]!Tabela1511[[#This Row],[Services Employment]])/2)</f>
        <v>51.5</v>
      </c>
    </row>
    <row r="313" spans="1:28">
      <c r="A313" s="6">
        <v>37926</v>
      </c>
      <c r="B313" s="36"/>
      <c r="C313" s="8"/>
      <c r="D313" s="8"/>
      <c r="E313" s="7">
        <v>92.126499999999993</v>
      </c>
      <c r="F313" s="8">
        <f>IF(Tabela1511[[#This Row],[Industrial Production]]="",#N/A,((Tabela1511[[#This Row],[Industrial Production]]*1)/E312)-1)</f>
        <v>6.8414926694388978E-3</v>
      </c>
      <c r="G313" s="8">
        <f>IF(Tabela1511[[#This Row],[Industrial Production]]="",#N/A,((Tabela1511[[#This Row],[Industrial Production]]*1)/E301)-1)</f>
        <v>1.3509573865355229E-2</v>
      </c>
      <c r="H313" s="32">
        <v>308527</v>
      </c>
      <c r="I313" s="8">
        <f>IF(Tabela1511[[#This Row],[Retail Sales]]="",#N/A,((Tabela1511[[#This Row],[Retail Sales]]*1)/H312)-1)</f>
        <v>1.2197802558323367E-2</v>
      </c>
      <c r="J313" s="8">
        <f>IF(Tabela1511[[#This Row],[Retail Sales]]="",#N/A,((Tabela1511[[#This Row],[Retail Sales]]*1)/H301)-1)</f>
        <v>5.8469761633571649E-2</v>
      </c>
      <c r="K313" s="32">
        <v>236789</v>
      </c>
      <c r="L313" s="8">
        <f>IF(Tabela1511[[#This Row],[Core-Retail Sales]]="",#N/A,((Tabela1511[[#This Row],[Core-Retail Sales]]*1)/K312)-1)</f>
        <v>7.6470688363858841E-3</v>
      </c>
      <c r="M313" s="8">
        <f>IF(Tabela1511[[#This Row],[Core-Retail Sales]]="",#N/A,((Tabela1511[[#This Row],[Core-Retail Sales]]*1)/K301)-1)</f>
        <v>5.9207436267909586E-2</v>
      </c>
      <c r="N313" s="84">
        <v>166771</v>
      </c>
      <c r="O313" s="8">
        <f>IF(Tabela1511[[#This Row],[Real Retail Sales]]="",#N/A,((Tabela1511[[#This Row],[Real Retail Sales]]*1)/N312)-1)</f>
        <v>1.1646881122953534E-2</v>
      </c>
      <c r="P313" s="8">
        <f>IF(Tabela1511[[#This Row],[Real Retail Sales]]="",#N/A,((Tabela1511[[#This Row],[Real Retail Sales]]*1)/N301)-1)</f>
        <v>3.8444055617477213E-2</v>
      </c>
      <c r="Q313" s="32">
        <v>213317</v>
      </c>
      <c r="R313" s="8">
        <f>IF(Tabela1511[[#This Row],[Core²-Retail Sales]]="",#N/A,((Tabela1511[[#This Row],[Core²-Retail Sales]]*1)/Q312)-1)</f>
        <v>4.8945251038732263E-3</v>
      </c>
      <c r="S313" s="8">
        <f>IF(Tabela1511[[#This Row],[Core²-Retail Sales]]="",#N/A,((Tabela1511[[#This Row],[Core²-Retail Sales]]*1)/Q301)-1)</f>
        <v>5.8414043583535191E-2</v>
      </c>
      <c r="T313" s="5">
        <v>93.7</v>
      </c>
      <c r="U313" s="7">
        <v>58.4</v>
      </c>
      <c r="V313" s="25">
        <v>69.099999999999994</v>
      </c>
      <c r="W313" s="25">
        <v>50.4</v>
      </c>
      <c r="X313" s="25">
        <v>57.5</v>
      </c>
      <c r="Y313" s="25">
        <v>61.3</v>
      </c>
      <c r="Z313" s="25">
        <v>54</v>
      </c>
      <c r="AA313" s="25">
        <f>IF([1]!Tabela1511[[#This Row],[Services New Orders]]="","",([1]!Tabela1511[[#This Row],[Manufacturing New Orders]]+[1]!Tabela1511[[#This Row],[Services New Orders]])/2)</f>
        <v>65.199999999999989</v>
      </c>
      <c r="AB313" s="25">
        <f>IF([1]!Tabela1511[[#This Row],[Services Employment]]="",#N/A,([1]!Tabela1511[[#This Row],[Manufacturing Employment]]+[1]!Tabela1511[[#This Row],[Services Employment]])/2)</f>
        <v>52.2</v>
      </c>
    </row>
    <row r="314" spans="1:28">
      <c r="A314" s="6">
        <v>37956</v>
      </c>
      <c r="B314" s="36"/>
      <c r="C314" s="8"/>
      <c r="D314" s="8"/>
      <c r="E314" s="7">
        <v>92.172200000000004</v>
      </c>
      <c r="F314" s="8">
        <f>IF(Tabela1511[[#This Row],[Industrial Production]]="",#N/A,((Tabela1511[[#This Row],[Industrial Production]]*1)/E313)-1)</f>
        <v>4.9605705198851879E-4</v>
      </c>
      <c r="G314" s="8">
        <f>IF(Tabela1511[[#This Row],[Industrial Production]]="",#N/A,((Tabela1511[[#This Row],[Industrial Production]]*1)/E302)-1)</f>
        <v>1.9728064255606359E-2</v>
      </c>
      <c r="H314" s="32">
        <v>307407</v>
      </c>
      <c r="I314" s="8">
        <f>IF(Tabela1511[[#This Row],[Retail Sales]]="",#N/A,((Tabela1511[[#This Row],[Retail Sales]]*1)/H313)-1)</f>
        <v>-3.630152304336387E-3</v>
      </c>
      <c r="J314" s="8">
        <f>IF(Tabela1511[[#This Row],[Retail Sales]]="",#N/A,((Tabela1511[[#This Row],[Retail Sales]]*1)/H302)-1)</f>
        <v>4.5790567687372219E-2</v>
      </c>
      <c r="K314" s="32">
        <v>237304</v>
      </c>
      <c r="L314" s="8">
        <f>IF(Tabela1511[[#This Row],[Core-Retail Sales]]="",#N/A,((Tabela1511[[#This Row],[Core-Retail Sales]]*1)/K313)-1)</f>
        <v>2.1749321125559273E-3</v>
      </c>
      <c r="M314" s="8">
        <f>IF(Tabela1511[[#This Row],[Core-Retail Sales]]="",#N/A,((Tabela1511[[#This Row],[Core-Retail Sales]]*1)/K302)-1)</f>
        <v>5.8669747895410795E-2</v>
      </c>
      <c r="N314" s="84">
        <v>165718</v>
      </c>
      <c r="O314" s="8">
        <f>IF(Tabela1511[[#This Row],[Real Retail Sales]]="",#N/A,((Tabela1511[[#This Row],[Real Retail Sales]]*1)/N313)-1)</f>
        <v>-6.3140474063236862E-3</v>
      </c>
      <c r="P314" s="8">
        <f>IF(Tabela1511[[#This Row],[Real Retail Sales]]="",#N/A,((Tabela1511[[#This Row],[Real Retail Sales]]*1)/N302)-1)</f>
        <v>2.4930884981476664E-2</v>
      </c>
      <c r="Q314" s="32">
        <v>213310</v>
      </c>
      <c r="R314" s="8">
        <f>IF(Tabela1511[[#This Row],[Core²-Retail Sales]]="",#N/A,((Tabela1511[[#This Row],[Core²-Retail Sales]]*1)/Q313)-1)</f>
        <v>-3.2815012399378674E-5</v>
      </c>
      <c r="S314" s="8">
        <f>IF(Tabela1511[[#This Row],[Core²-Retail Sales]]="",#N/A,((Tabela1511[[#This Row],[Core²-Retail Sales]]*1)/Q302)-1)</f>
        <v>5.7618412506383665E-2</v>
      </c>
      <c r="T314" s="5">
        <v>92.6</v>
      </c>
      <c r="U314" s="7">
        <v>60.1</v>
      </c>
      <c r="V314" s="25">
        <v>71.3</v>
      </c>
      <c r="W314" s="25">
        <v>54.1</v>
      </c>
      <c r="X314" s="25">
        <v>56.8</v>
      </c>
      <c r="Y314" s="25">
        <v>61.2</v>
      </c>
      <c r="Z314" s="25">
        <v>55.1</v>
      </c>
      <c r="AA314" s="25">
        <f>IF([1]!Tabela1511[[#This Row],[Services New Orders]]="","",([1]!Tabela1511[[#This Row],[Manufacturing New Orders]]+[1]!Tabela1511[[#This Row],[Services New Orders]])/2)</f>
        <v>66.25</v>
      </c>
      <c r="AB314" s="25">
        <f>IF([1]!Tabela1511[[#This Row],[Services Employment]]="",#N/A,([1]!Tabela1511[[#This Row],[Manufacturing Employment]]+[1]!Tabela1511[[#This Row],[Services Employment]])/2)</f>
        <v>54.6</v>
      </c>
    </row>
    <row r="315" spans="1:28">
      <c r="A315" s="6">
        <v>37987</v>
      </c>
      <c r="B315" s="36"/>
      <c r="C315" s="8"/>
      <c r="D315" s="8"/>
      <c r="E315" s="7">
        <v>92.326999999999998</v>
      </c>
      <c r="F315" s="8">
        <f>IF(Tabela1511[[#This Row],[Industrial Production]]="",#N/A,((Tabela1511[[#This Row],[Industrial Production]]*1)/E314)-1)</f>
        <v>1.6794651749658662E-3</v>
      </c>
      <c r="G315" s="8">
        <f>IF(Tabela1511[[#This Row],[Industrial Production]]="",#N/A,((Tabela1511[[#This Row],[Industrial Production]]*1)/E303)-1)</f>
        <v>1.3073939354038888E-2</v>
      </c>
      <c r="H315" s="32">
        <v>309254</v>
      </c>
      <c r="I315" s="8">
        <f>IF(Tabela1511[[#This Row],[Retail Sales]]="",#N/A,((Tabela1511[[#This Row],[Retail Sales]]*1)/H314)-1)</f>
        <v>6.0083212158474897E-3</v>
      </c>
      <c r="J315" s="8">
        <f>IF(Tabela1511[[#This Row],[Retail Sales]]="",#N/A,((Tabela1511[[#This Row],[Retail Sales]]*1)/H303)-1)</f>
        <v>4.7438085948084296E-2</v>
      </c>
      <c r="K315" s="32">
        <v>239984</v>
      </c>
      <c r="L315" s="8">
        <f>IF(Tabela1511[[#This Row],[Core-Retail Sales]]="",#N/A,((Tabela1511[[#This Row],[Core-Retail Sales]]*1)/K314)-1)</f>
        <v>1.1293530661092843E-2</v>
      </c>
      <c r="M315" s="8">
        <f>IF(Tabela1511[[#This Row],[Core-Retail Sales]]="",#N/A,((Tabela1511[[#This Row],[Core-Retail Sales]]*1)/K303)-1)</f>
        <v>6.387675939266324E-2</v>
      </c>
      <c r="N315" s="84">
        <v>165998</v>
      </c>
      <c r="O315" s="8">
        <f>IF(Tabela1511[[#This Row],[Real Retail Sales]]="",#N/A,((Tabela1511[[#This Row],[Real Retail Sales]]*1)/N314)-1)</f>
        <v>1.6896173016811566E-3</v>
      </c>
      <c r="P315" s="8">
        <f>IF(Tabela1511[[#This Row],[Real Retail Sales]]="",#N/A,((Tabela1511[[#This Row],[Real Retail Sales]]*1)/N303)-1)</f>
        <v>2.6637227798702368E-2</v>
      </c>
      <c r="Q315" s="32">
        <v>215095</v>
      </c>
      <c r="R315" s="8">
        <f>IF(Tabela1511[[#This Row],[Core²-Retail Sales]]="",#N/A,((Tabela1511[[#This Row],[Core²-Retail Sales]]*1)/Q314)-1)</f>
        <v>8.3681027612394487E-3</v>
      </c>
      <c r="S315" s="8">
        <f>IF(Tabela1511[[#This Row],[Core²-Retail Sales]]="",#N/A,((Tabela1511[[#This Row],[Core²-Retail Sales]]*1)/Q303)-1)</f>
        <v>6.2187040127998694E-2</v>
      </c>
      <c r="T315" s="5">
        <v>103.8</v>
      </c>
      <c r="U315" s="7">
        <v>60.8</v>
      </c>
      <c r="V315" s="25">
        <v>70.599999999999994</v>
      </c>
      <c r="W315" s="25">
        <v>54.7</v>
      </c>
      <c r="X315" s="25">
        <v>61.2</v>
      </c>
      <c r="Y315" s="25">
        <v>65.400000000000006</v>
      </c>
      <c r="Z315" s="25">
        <v>52.9</v>
      </c>
      <c r="AA315" s="25">
        <f>IF([1]!Tabela1511[[#This Row],[Services New Orders]]="","",([1]!Tabela1511[[#This Row],[Manufacturing New Orders]]+[1]!Tabela1511[[#This Row],[Services New Orders]])/2)</f>
        <v>68</v>
      </c>
      <c r="AB315" s="25">
        <f>IF([1]!Tabela1511[[#This Row],[Services Employment]]="",#N/A,([1]!Tabela1511[[#This Row],[Manufacturing Employment]]+[1]!Tabela1511[[#This Row],[Services Employment]])/2)</f>
        <v>53.8</v>
      </c>
    </row>
    <row r="316" spans="1:28">
      <c r="A316" s="6">
        <v>38018</v>
      </c>
      <c r="B316" s="36"/>
      <c r="C316" s="8"/>
      <c r="D316" s="8"/>
      <c r="E316" s="7">
        <v>92.887299999999996</v>
      </c>
      <c r="F316" s="8">
        <f>IF(Tabela1511[[#This Row],[Industrial Production]]="",#N/A,((Tabela1511[[#This Row],[Industrial Production]]*1)/E315)-1)</f>
        <v>6.068647307938102E-3</v>
      </c>
      <c r="G316" s="8">
        <f>IF(Tabela1511[[#This Row],[Industrial Production]]="",#N/A,((Tabela1511[[#This Row],[Industrial Production]]*1)/E304)-1)</f>
        <v>1.794078259554488E-2</v>
      </c>
      <c r="H316" s="32">
        <v>311393</v>
      </c>
      <c r="I316" s="8">
        <f>IF(Tabela1511[[#This Row],[Retail Sales]]="",#N/A,((Tabela1511[[#This Row],[Retail Sales]]*1)/H315)-1)</f>
        <v>6.9166445704824664E-3</v>
      </c>
      <c r="J316" s="8">
        <f>IF(Tabela1511[[#This Row],[Retail Sales]]="",#N/A,((Tabela1511[[#This Row],[Retail Sales]]*1)/H304)-1)</f>
        <v>6.9465289679118802E-2</v>
      </c>
      <c r="K316" s="32">
        <v>240300</v>
      </c>
      <c r="L316" s="8">
        <f>IF(Tabela1511[[#This Row],[Core-Retail Sales]]="",#N/A,((Tabela1511[[#This Row],[Core-Retail Sales]]*1)/K315)-1)</f>
        <v>1.3167544502967754E-3</v>
      </c>
      <c r="M316" s="8">
        <f>IF(Tabela1511[[#This Row],[Core-Retail Sales]]="",#N/A,((Tabela1511[[#This Row],[Core-Retail Sales]]*1)/K304)-1)</f>
        <v>6.9749634958509832E-2</v>
      </c>
      <c r="N316" s="84">
        <v>166788</v>
      </c>
      <c r="O316" s="8">
        <f>IF(Tabela1511[[#This Row],[Real Retail Sales]]="",#N/A,((Tabela1511[[#This Row],[Real Retail Sales]]*1)/N315)-1)</f>
        <v>4.7590934830539222E-3</v>
      </c>
      <c r="P316" s="8">
        <f>IF(Tabela1511[[#This Row],[Real Retail Sales]]="",#N/A,((Tabela1511[[#This Row],[Real Retail Sales]]*1)/N304)-1)</f>
        <v>5.170630816959676E-2</v>
      </c>
      <c r="Q316" s="32">
        <v>215044</v>
      </c>
      <c r="R316" s="8">
        <f>IF(Tabela1511[[#This Row],[Core²-Retail Sales]]="",#N/A,((Tabela1511[[#This Row],[Core²-Retail Sales]]*1)/Q315)-1)</f>
        <v>-2.3710453520542352E-4</v>
      </c>
      <c r="S316" s="8">
        <f>IF(Tabela1511[[#This Row],[Core²-Retail Sales]]="",#N/A,((Tabela1511[[#This Row],[Core²-Retail Sales]]*1)/Q304)-1)</f>
        <v>7.1218997046033072E-2</v>
      </c>
      <c r="T316" s="5">
        <v>94.4</v>
      </c>
      <c r="U316" s="7">
        <v>59.9</v>
      </c>
      <c r="V316" s="25">
        <v>66.5</v>
      </c>
      <c r="W316" s="25">
        <v>55.7</v>
      </c>
      <c r="X316" s="25">
        <v>58</v>
      </c>
      <c r="Y316" s="25">
        <v>61.2</v>
      </c>
      <c r="Z316" s="25">
        <v>53.8</v>
      </c>
      <c r="AA316" s="25">
        <f>IF([1]!Tabela1511[[#This Row],[Services New Orders]]="","",([1]!Tabela1511[[#This Row],[Manufacturing New Orders]]+[1]!Tabela1511[[#This Row],[Services New Orders]])/2)</f>
        <v>63.85</v>
      </c>
      <c r="AB316" s="25">
        <f>IF([1]!Tabela1511[[#This Row],[Services Employment]]="",#N/A,([1]!Tabela1511[[#This Row],[Manufacturing Employment]]+[1]!Tabela1511[[#This Row],[Services Employment]])/2)</f>
        <v>54.75</v>
      </c>
    </row>
    <row r="317" spans="1:28">
      <c r="A317" s="6">
        <v>38047</v>
      </c>
      <c r="B317" s="36"/>
      <c r="C317" s="8"/>
      <c r="D317" s="8"/>
      <c r="E317" s="7">
        <v>92.532499999999999</v>
      </c>
      <c r="F317" s="8">
        <f>IF(Tabela1511[[#This Row],[Industrial Production]]="",#N/A,((Tabela1511[[#This Row],[Industrial Production]]*1)/E316)-1)</f>
        <v>-3.8196825615557373E-3</v>
      </c>
      <c r="G317" s="8">
        <f>IF(Tabela1511[[#This Row],[Industrial Production]]="",#N/A,((Tabela1511[[#This Row],[Industrial Production]]*1)/E305)-1)</f>
        <v>1.6774736583012873E-2</v>
      </c>
      <c r="H317" s="32">
        <v>316912</v>
      </c>
      <c r="I317" s="8">
        <f>IF(Tabela1511[[#This Row],[Retail Sales]]="",#N/A,((Tabela1511[[#This Row],[Retail Sales]]*1)/H316)-1)</f>
        <v>1.7723584024046835E-2</v>
      </c>
      <c r="J317" s="8">
        <f>IF(Tabela1511[[#This Row],[Retail Sales]]="",#N/A,((Tabela1511[[#This Row],[Retail Sales]]*1)/H305)-1)</f>
        <v>6.9474394668016526E-2</v>
      </c>
      <c r="K317" s="32">
        <v>244775</v>
      </c>
      <c r="L317" s="8">
        <f>IF(Tabela1511[[#This Row],[Core-Retail Sales]]="",#N/A,((Tabela1511[[#This Row],[Core-Retail Sales]]*1)/K316)-1)</f>
        <v>1.8622555139409025E-2</v>
      </c>
      <c r="M317" s="8">
        <f>IF(Tabela1511[[#This Row],[Core-Retail Sales]]="",#N/A,((Tabela1511[[#This Row],[Core-Retail Sales]]*1)/K305)-1)</f>
        <v>7.5003184056004146E-2</v>
      </c>
      <c r="N317" s="84">
        <v>169381</v>
      </c>
      <c r="O317" s="8">
        <f>IF(Tabela1511[[#This Row],[Real Retail Sales]]="",#N/A,((Tabela1511[[#This Row],[Real Retail Sales]]*1)/N316)-1)</f>
        <v>1.5546682015492808E-2</v>
      </c>
      <c r="P317" s="8">
        <f>IF(Tabela1511[[#This Row],[Real Retail Sales]]="",#N/A,((Tabela1511[[#This Row],[Real Retail Sales]]*1)/N305)-1)</f>
        <v>5.1181004629686999E-2</v>
      </c>
      <c r="Q317" s="32">
        <v>219096</v>
      </c>
      <c r="R317" s="8">
        <f>IF(Tabela1511[[#This Row],[Core²-Retail Sales]]="",#N/A,((Tabela1511[[#This Row],[Core²-Retail Sales]]*1)/Q316)-1)</f>
        <v>1.8842655456557722E-2</v>
      </c>
      <c r="S317" s="8">
        <f>IF(Tabela1511[[#This Row],[Core²-Retail Sales]]="",#N/A,((Tabela1511[[#This Row],[Core²-Retail Sales]]*1)/Q305)-1)</f>
        <v>7.5428633135194323E-2</v>
      </c>
      <c r="T317" s="5">
        <v>95.8</v>
      </c>
      <c r="U317" s="7">
        <v>60.6</v>
      </c>
      <c r="V317" s="25">
        <v>64.599999999999994</v>
      </c>
      <c r="W317" s="25">
        <v>57</v>
      </c>
      <c r="X317" s="25">
        <v>58.3</v>
      </c>
      <c r="Y317" s="25">
        <v>62.1</v>
      </c>
      <c r="Z317" s="25">
        <v>54.7</v>
      </c>
      <c r="AA317" s="25">
        <f>IF([1]!Tabela1511[[#This Row],[Services New Orders]]="","",([1]!Tabela1511[[#This Row],[Manufacturing New Orders]]+[1]!Tabela1511[[#This Row],[Services New Orders]])/2)</f>
        <v>63.349999999999994</v>
      </c>
      <c r="AB317" s="25">
        <f>IF([1]!Tabela1511[[#This Row],[Services Employment]]="",#N/A,([1]!Tabela1511[[#This Row],[Manufacturing Employment]]+[1]!Tabela1511[[#This Row],[Services Employment]])/2)</f>
        <v>55.85</v>
      </c>
    </row>
    <row r="318" spans="1:28">
      <c r="A318" s="6">
        <v>38078</v>
      </c>
      <c r="B318" s="36"/>
      <c r="C318" s="8"/>
      <c r="D318" s="8"/>
      <c r="E318" s="7">
        <v>92.909599999999998</v>
      </c>
      <c r="F318" s="8">
        <f>IF(Tabela1511[[#This Row],[Industrial Production]]="",#N/A,((Tabela1511[[#This Row],[Industrial Production]]*1)/E317)-1)</f>
        <v>4.0753248858509394E-3</v>
      </c>
      <c r="G318" s="8">
        <f>IF(Tabela1511[[#This Row],[Industrial Production]]="",#N/A,((Tabela1511[[#This Row],[Industrial Production]]*1)/E306)-1)</f>
        <v>2.7441691244203925E-2</v>
      </c>
      <c r="H318" s="32">
        <v>313512</v>
      </c>
      <c r="I318" s="8">
        <f>IF(Tabela1511[[#This Row],[Retail Sales]]="",#N/A,((Tabela1511[[#This Row],[Retail Sales]]*1)/H317)-1)</f>
        <v>-1.0728530317564489E-2</v>
      </c>
      <c r="J318" s="8">
        <f>IF(Tabela1511[[#This Row],[Retail Sales]]="",#N/A,((Tabela1511[[#This Row],[Retail Sales]]*1)/H306)-1)</f>
        <v>6.0595399188092092E-2</v>
      </c>
      <c r="K318" s="32">
        <v>243552</v>
      </c>
      <c r="L318" s="8">
        <f>IF(Tabela1511[[#This Row],[Core-Retail Sales]]="",#N/A,((Tabela1511[[#This Row],[Core-Retail Sales]]*1)/K317)-1)</f>
        <v>-4.9964252885302818E-3</v>
      </c>
      <c r="M318" s="8">
        <f>IF(Tabela1511[[#This Row],[Core-Retail Sales]]="",#N/A,((Tabela1511[[#This Row],[Core-Retail Sales]]*1)/K306)-1)</f>
        <v>7.7568356782585557E-2</v>
      </c>
      <c r="N318" s="84">
        <v>167296</v>
      </c>
      <c r="O318" s="8">
        <f>IF(Tabela1511[[#This Row],[Real Retail Sales]]="",#N/A,((Tabela1511[[#This Row],[Real Retail Sales]]*1)/N317)-1)</f>
        <v>-1.2309527042584478E-2</v>
      </c>
      <c r="P318" s="8">
        <f>IF(Tabela1511[[#This Row],[Real Retail Sales]]="",#N/A,((Tabela1511[[#This Row],[Real Retail Sales]]*1)/N306)-1)</f>
        <v>3.6825861150018069E-2</v>
      </c>
      <c r="Q318" s="32">
        <v>218034</v>
      </c>
      <c r="R318" s="8">
        <f>IF(Tabela1511[[#This Row],[Core²-Retail Sales]]="",#N/A,((Tabela1511[[#This Row],[Core²-Retail Sales]]*1)/Q317)-1)</f>
        <v>-4.8471902727571514E-3</v>
      </c>
      <c r="S318" s="8">
        <f>IF(Tabela1511[[#This Row],[Core²-Retail Sales]]="",#N/A,((Tabela1511[[#This Row],[Core²-Retail Sales]]*1)/Q306)-1)</f>
        <v>7.174140651497507E-2</v>
      </c>
      <c r="T318" s="5">
        <v>94.2</v>
      </c>
      <c r="U318" s="7">
        <v>60.6</v>
      </c>
      <c r="V318" s="25">
        <v>67.099999999999994</v>
      </c>
      <c r="W318" s="25">
        <v>57.2</v>
      </c>
      <c r="X318" s="25">
        <v>59.6</v>
      </c>
      <c r="Y318" s="25">
        <v>61.6</v>
      </c>
      <c r="Z318" s="25">
        <v>54.5</v>
      </c>
      <c r="AA318" s="25">
        <f>IF([1]!Tabela1511[[#This Row],[Services New Orders]]="","",([1]!Tabela1511[[#This Row],[Manufacturing New Orders]]+[1]!Tabela1511[[#This Row],[Services New Orders]])/2)</f>
        <v>64.349999999999994</v>
      </c>
      <c r="AB318" s="25">
        <f>IF([1]!Tabela1511[[#This Row],[Services Employment]]="",#N/A,([1]!Tabela1511[[#This Row],[Manufacturing Employment]]+[1]!Tabela1511[[#This Row],[Services Employment]])/2)</f>
        <v>55.85</v>
      </c>
    </row>
    <row r="319" spans="1:28">
      <c r="A319" s="6">
        <v>38108</v>
      </c>
      <c r="B319" s="36"/>
      <c r="C319" s="8"/>
      <c r="D319" s="8"/>
      <c r="E319" s="7">
        <v>93.583799999999997</v>
      </c>
      <c r="F319" s="8">
        <f>IF(Tabela1511[[#This Row],[Industrial Production]]="",#N/A,((Tabela1511[[#This Row],[Industrial Production]]*1)/E318)-1)</f>
        <v>7.2565160112625371E-3</v>
      </c>
      <c r="G319" s="8">
        <f>IF(Tabela1511[[#This Row],[Industrial Production]]="",#N/A,((Tabela1511[[#This Row],[Industrial Production]]*1)/E307)-1)</f>
        <v>3.5135437072006281E-2</v>
      </c>
      <c r="H319" s="32">
        <v>318964</v>
      </c>
      <c r="I319" s="8">
        <f>IF(Tabela1511[[#This Row],[Retail Sales]]="",#N/A,((Tabela1511[[#This Row],[Retail Sales]]*1)/H318)-1)</f>
        <v>1.7390083952129487E-2</v>
      </c>
      <c r="J319" s="8">
        <f>IF(Tabela1511[[#This Row],[Retail Sales]]="",#N/A,((Tabela1511[[#This Row],[Retail Sales]]*1)/H307)-1)</f>
        <v>7.6090550251341149E-2</v>
      </c>
      <c r="K319" s="32">
        <v>246143</v>
      </c>
      <c r="L319" s="8">
        <f>IF(Tabela1511[[#This Row],[Core-Retail Sales]]="",#N/A,((Tabela1511[[#This Row],[Core-Retail Sales]]*1)/K318)-1)</f>
        <v>1.0638385231901193E-2</v>
      </c>
      <c r="M319" s="8">
        <f>IF(Tabela1511[[#This Row],[Core-Retail Sales]]="",#N/A,((Tabela1511[[#This Row],[Core-Retail Sales]]*1)/K307)-1)</f>
        <v>8.5525909592061744E-2</v>
      </c>
      <c r="N319" s="84">
        <v>169481</v>
      </c>
      <c r="O319" s="8">
        <f>IF(Tabela1511[[#This Row],[Real Retail Sales]]="",#N/A,((Tabela1511[[#This Row],[Real Retail Sales]]*1)/N318)-1)</f>
        <v>1.3060682861514961E-2</v>
      </c>
      <c r="P319" s="8">
        <f>IF(Tabela1511[[#This Row],[Real Retail Sales]]="",#N/A,((Tabela1511[[#This Row],[Real Retail Sales]]*1)/N307)-1)</f>
        <v>4.5785229018702855E-2</v>
      </c>
      <c r="Q319" s="32">
        <v>219132</v>
      </c>
      <c r="R319" s="8">
        <f>IF(Tabela1511[[#This Row],[Core²-Retail Sales]]="",#N/A,((Tabela1511[[#This Row],[Core²-Retail Sales]]*1)/Q318)-1)</f>
        <v>5.0359118302649719E-3</v>
      </c>
      <c r="S319" s="8">
        <f>IF(Tabela1511[[#This Row],[Core²-Retail Sales]]="",#N/A,((Tabela1511[[#This Row],[Core²-Retail Sales]]*1)/Q307)-1)</f>
        <v>6.9249536449692561E-2</v>
      </c>
      <c r="T319" s="5">
        <v>90.2</v>
      </c>
      <c r="U319" s="7">
        <v>61.4</v>
      </c>
      <c r="V319" s="25">
        <v>64.5</v>
      </c>
      <c r="W319" s="25">
        <v>60.1</v>
      </c>
      <c r="X319" s="25">
        <v>58.5</v>
      </c>
      <c r="Y319" s="25">
        <v>60.7</v>
      </c>
      <c r="Z319" s="25">
        <v>55.6</v>
      </c>
      <c r="AA319" s="25">
        <f>IF([1]!Tabela1511[[#This Row],[Services New Orders]]="","",([1]!Tabela1511[[#This Row],[Manufacturing New Orders]]+[1]!Tabela1511[[#This Row],[Services New Orders]])/2)</f>
        <v>62.6</v>
      </c>
      <c r="AB319" s="25">
        <f>IF([1]!Tabela1511[[#This Row],[Services Employment]]="",#N/A,([1]!Tabela1511[[#This Row],[Manufacturing Employment]]+[1]!Tabela1511[[#This Row],[Services Employment]])/2)</f>
        <v>57.85</v>
      </c>
    </row>
    <row r="320" spans="1:28">
      <c r="A320" s="6">
        <v>38139</v>
      </c>
      <c r="B320" s="36"/>
      <c r="C320" s="8"/>
      <c r="D320" s="8"/>
      <c r="E320" s="7">
        <v>92.862099999999998</v>
      </c>
      <c r="F320" s="8">
        <f>IF(Tabela1511[[#This Row],[Industrial Production]]="",#N/A,((Tabela1511[[#This Row],[Industrial Production]]*1)/E319)-1)</f>
        <v>-7.7118048209198209E-3</v>
      </c>
      <c r="G320" s="8">
        <f>IF(Tabela1511[[#This Row],[Industrial Production]]="",#N/A,((Tabela1511[[#This Row],[Industrial Production]]*1)/E308)-1)</f>
        <v>2.5853440828618179E-2</v>
      </c>
      <c r="H320" s="32">
        <v>314958</v>
      </c>
      <c r="I320" s="8">
        <f>IF(Tabela1511[[#This Row],[Retail Sales]]="",#N/A,((Tabela1511[[#This Row],[Retail Sales]]*1)/H319)-1)</f>
        <v>-1.2559411093414963E-2</v>
      </c>
      <c r="J320" s="8">
        <f>IF(Tabela1511[[#This Row],[Retail Sales]]="",#N/A,((Tabela1511[[#This Row],[Retail Sales]]*1)/H308)-1)</f>
        <v>5.1170459172434901E-2</v>
      </c>
      <c r="K320" s="32">
        <v>245967</v>
      </c>
      <c r="L320" s="8">
        <f>IF(Tabela1511[[#This Row],[Core-Retail Sales]]="",#N/A,((Tabela1511[[#This Row],[Core-Retail Sales]]*1)/K319)-1)</f>
        <v>-7.1503150607576949E-4</v>
      </c>
      <c r="M320" s="8">
        <f>IF(Tabela1511[[#This Row],[Core-Retail Sales]]="",#N/A,((Tabela1511[[#This Row],[Core-Retail Sales]]*1)/K308)-1)</f>
        <v>7.2681758910776662E-2</v>
      </c>
      <c r="N320" s="84">
        <v>166733</v>
      </c>
      <c r="O320" s="8">
        <f>IF(Tabela1511[[#This Row],[Real Retail Sales]]="",#N/A,((Tabela1511[[#This Row],[Real Retail Sales]]*1)/N319)-1)</f>
        <v>-1.6214206902248618E-2</v>
      </c>
      <c r="P320" s="8">
        <f>IF(Tabela1511[[#This Row],[Real Retail Sales]]="",#N/A,((Tabela1511[[#This Row],[Real Retail Sales]]*1)/N308)-1)</f>
        <v>1.8895020196650014E-2</v>
      </c>
      <c r="Q320" s="32">
        <v>218917</v>
      </c>
      <c r="R320" s="8">
        <f>IF(Tabela1511[[#This Row],[Core²-Retail Sales]]="",#N/A,((Tabela1511[[#This Row],[Core²-Retail Sales]]*1)/Q319)-1)</f>
        <v>-9.8114378548086467E-4</v>
      </c>
      <c r="S320" s="8">
        <f>IF(Tabela1511[[#This Row],[Core²-Retail Sales]]="",#N/A,((Tabela1511[[#This Row],[Core²-Retail Sales]]*1)/Q308)-1)</f>
        <v>5.4899674254544006E-2</v>
      </c>
      <c r="T320" s="5">
        <v>95.6</v>
      </c>
      <c r="U320" s="7">
        <v>60.5</v>
      </c>
      <c r="V320" s="25">
        <v>60.9</v>
      </c>
      <c r="W320" s="25">
        <v>59.4</v>
      </c>
      <c r="X320" s="25">
        <v>58.6</v>
      </c>
      <c r="Y320" s="25">
        <v>62.1</v>
      </c>
      <c r="Z320" s="25">
        <v>49.7</v>
      </c>
      <c r="AA320" s="25">
        <f>IF([1]!Tabela1511[[#This Row],[Services New Orders]]="","",([1]!Tabela1511[[#This Row],[Manufacturing New Orders]]+[1]!Tabela1511[[#This Row],[Services New Orders]])/2)</f>
        <v>61.5</v>
      </c>
      <c r="AB320" s="25">
        <f>IF([1]!Tabela1511[[#This Row],[Services Employment]]="",#N/A,([1]!Tabela1511[[#This Row],[Manufacturing Employment]]+[1]!Tabela1511[[#This Row],[Services Employment]])/2)</f>
        <v>54.55</v>
      </c>
    </row>
    <row r="321" spans="1:28">
      <c r="A321" s="6">
        <v>38169</v>
      </c>
      <c r="B321" s="36"/>
      <c r="C321" s="8"/>
      <c r="D321" s="8"/>
      <c r="E321" s="7">
        <v>93.551100000000005</v>
      </c>
      <c r="F321" s="8">
        <f>IF(Tabela1511[[#This Row],[Industrial Production]]="",#N/A,((Tabela1511[[#This Row],[Industrial Production]]*1)/E320)-1)</f>
        <v>7.4196039072991216E-3</v>
      </c>
      <c r="G321" s="8">
        <f>IF(Tabela1511[[#This Row],[Industrial Production]]="",#N/A,((Tabela1511[[#This Row],[Industrial Production]]*1)/E309)-1)</f>
        <v>2.8151568970519847E-2</v>
      </c>
      <c r="H321" s="32">
        <v>318549</v>
      </c>
      <c r="I321" s="8">
        <f>IF(Tabela1511[[#This Row],[Retail Sales]]="",#N/A,((Tabela1511[[#This Row],[Retail Sales]]*1)/H320)-1)</f>
        <v>1.1401520202693582E-2</v>
      </c>
      <c r="J321" s="8">
        <f>IF(Tabela1511[[#This Row],[Retail Sales]]="",#N/A,((Tabela1511[[#This Row],[Retail Sales]]*1)/H309)-1)</f>
        <v>5.2195397477101446E-2</v>
      </c>
      <c r="K321" s="32">
        <v>247311</v>
      </c>
      <c r="L321" s="8">
        <f>IF(Tabela1511[[#This Row],[Core-Retail Sales]]="",#N/A,((Tabela1511[[#This Row],[Core-Retail Sales]]*1)/K320)-1)</f>
        <v>5.4641476295600455E-3</v>
      </c>
      <c r="M321" s="8">
        <f>IF(Tabela1511[[#This Row],[Core-Retail Sales]]="",#N/A,((Tabela1511[[#This Row],[Core-Retail Sales]]*1)/K309)-1)</f>
        <v>6.7385130644200597E-2</v>
      </c>
      <c r="N321" s="84">
        <v>168455</v>
      </c>
      <c r="O321" s="8">
        <f>IF(Tabela1511[[#This Row],[Real Retail Sales]]="",#N/A,((Tabela1511[[#This Row],[Real Retail Sales]]*1)/N320)-1)</f>
        <v>1.0327889499978982E-2</v>
      </c>
      <c r="P321" s="8">
        <f>IF(Tabela1511[[#This Row],[Real Retail Sales]]="",#N/A,((Tabela1511[[#This Row],[Real Retail Sales]]*1)/N309)-1)</f>
        <v>2.2147386305027217E-2</v>
      </c>
      <c r="Q321" s="32">
        <v>220566</v>
      </c>
      <c r="R321" s="8">
        <f>IF(Tabela1511[[#This Row],[Core²-Retail Sales]]="",#N/A,((Tabela1511[[#This Row],[Core²-Retail Sales]]*1)/Q320)-1)</f>
        <v>7.5325351617279157E-3</v>
      </c>
      <c r="S321" s="8">
        <f>IF(Tabela1511[[#This Row],[Core²-Retail Sales]]="",#N/A,((Tabela1511[[#This Row],[Core²-Retail Sales]]*1)/Q309)-1)</f>
        <v>5.2810951685425378E-2</v>
      </c>
      <c r="T321" s="5">
        <v>96.7</v>
      </c>
      <c r="U321" s="7">
        <v>59.9</v>
      </c>
      <c r="V321" s="25">
        <v>62.8</v>
      </c>
      <c r="W321" s="25">
        <v>57.4</v>
      </c>
      <c r="X321" s="25">
        <v>58.5</v>
      </c>
      <c r="Y321" s="25">
        <v>63.2</v>
      </c>
      <c r="Z321" s="25">
        <v>53.5</v>
      </c>
      <c r="AA321" s="25">
        <f>IF([1]!Tabela1511[[#This Row],[Services New Orders]]="","",([1]!Tabela1511[[#This Row],[Manufacturing New Orders]]+[1]!Tabela1511[[#This Row],[Services New Orders]])/2)</f>
        <v>63</v>
      </c>
      <c r="AB321" s="25">
        <f>IF([1]!Tabela1511[[#This Row],[Services Employment]]="",#N/A,([1]!Tabela1511[[#This Row],[Manufacturing Employment]]+[1]!Tabela1511[[#This Row],[Services Employment]])/2)</f>
        <v>55.45</v>
      </c>
    </row>
    <row r="322" spans="1:28">
      <c r="A322" s="6">
        <v>38200</v>
      </c>
      <c r="B322" s="36"/>
      <c r="C322" s="8"/>
      <c r="D322" s="8"/>
      <c r="E322" s="7">
        <v>93.632800000000003</v>
      </c>
      <c r="F322" s="8">
        <f>IF(Tabela1511[[#This Row],[Industrial Production]]="",#N/A,((Tabela1511[[#This Row],[Industrial Production]]*1)/E321)-1)</f>
        <v>8.7331950132063518E-4</v>
      </c>
      <c r="G322" s="8">
        <f>IF(Tabela1511[[#This Row],[Industrial Production]]="",#N/A,((Tabela1511[[#This Row],[Industrial Production]]*1)/E310)-1)</f>
        <v>3.1359529794307228E-2</v>
      </c>
      <c r="H322" s="32">
        <v>318977</v>
      </c>
      <c r="I322" s="8">
        <f>IF(Tabela1511[[#This Row],[Retail Sales]]="",#N/A,((Tabela1511[[#This Row],[Retail Sales]]*1)/H321)-1)</f>
        <v>1.3435923515692227E-3</v>
      </c>
      <c r="J322" s="8">
        <f>IF(Tabela1511[[#This Row],[Retail Sales]]="",#N/A,((Tabela1511[[#This Row],[Retail Sales]]*1)/H310)-1)</f>
        <v>3.6282239960494955E-2</v>
      </c>
      <c r="K322" s="32">
        <v>247612</v>
      </c>
      <c r="L322" s="8">
        <f>IF(Tabela1511[[#This Row],[Core-Retail Sales]]="",#N/A,((Tabela1511[[#This Row],[Core-Retail Sales]]*1)/K321)-1)</f>
        <v>1.2170910311308791E-3</v>
      </c>
      <c r="M322" s="8">
        <f>IF(Tabela1511[[#This Row],[Core-Retail Sales]]="",#N/A,((Tabela1511[[#This Row],[Core-Retail Sales]]*1)/K310)-1)</f>
        <v>5.4161522414747365E-2</v>
      </c>
      <c r="N322" s="84">
        <v>168592</v>
      </c>
      <c r="O322" s="8">
        <f>IF(Tabela1511[[#This Row],[Real Retail Sales]]="",#N/A,((Tabela1511[[#This Row],[Real Retail Sales]]*1)/N321)-1)</f>
        <v>8.1327357454519245E-4</v>
      </c>
      <c r="P322" s="8">
        <f>IF(Tabela1511[[#This Row],[Real Retail Sales]]="",#N/A,((Tabela1511[[#This Row],[Real Retail Sales]]*1)/N310)-1)</f>
        <v>1.0537420429888478E-2</v>
      </c>
      <c r="Q322" s="32">
        <v>221060</v>
      </c>
      <c r="R322" s="8">
        <f>IF(Tabela1511[[#This Row],[Core²-Retail Sales]]="",#N/A,((Tabela1511[[#This Row],[Core²-Retail Sales]]*1)/Q321)-1)</f>
        <v>2.239692427663309E-3</v>
      </c>
      <c r="S322" s="8">
        <f>IF(Tabela1511[[#This Row],[Core²-Retail Sales]]="",#N/A,((Tabela1511[[#This Row],[Core²-Retail Sales]]*1)/Q310)-1)</f>
        <v>4.3636724153396589E-2</v>
      </c>
      <c r="T322" s="5">
        <v>95.9</v>
      </c>
      <c r="U322" s="7">
        <v>58.5</v>
      </c>
      <c r="V322" s="25">
        <v>62.1</v>
      </c>
      <c r="W322" s="25">
        <v>56.4</v>
      </c>
      <c r="X322" s="25">
        <v>57.3</v>
      </c>
      <c r="Y322" s="25">
        <v>59</v>
      </c>
      <c r="Z322" s="25">
        <v>55.3</v>
      </c>
      <c r="AA322" s="25">
        <f>IF([1]!Tabela1511[[#This Row],[Services New Orders]]="","",([1]!Tabela1511[[#This Row],[Manufacturing New Orders]]+[1]!Tabela1511[[#This Row],[Services New Orders]])/2)</f>
        <v>60.55</v>
      </c>
      <c r="AB322" s="25">
        <f>IF([1]!Tabela1511[[#This Row],[Services Employment]]="",#N/A,([1]!Tabela1511[[#This Row],[Manufacturing Employment]]+[1]!Tabela1511[[#This Row],[Services Employment]])/2)</f>
        <v>55.849999999999994</v>
      </c>
    </row>
    <row r="323" spans="1:28">
      <c r="A323" s="6">
        <v>38231</v>
      </c>
      <c r="B323" s="36"/>
      <c r="C323" s="8"/>
      <c r="D323" s="8"/>
      <c r="E323" s="7">
        <v>93.741799999999998</v>
      </c>
      <c r="F323" s="8">
        <f>IF(Tabela1511[[#This Row],[Industrial Production]]="",#N/A,((Tabela1511[[#This Row],[Industrial Production]]*1)/E322)-1)</f>
        <v>1.1641219743507847E-3</v>
      </c>
      <c r="G323" s="8">
        <f>IF(Tabela1511[[#This Row],[Industrial Production]]="",#N/A,((Tabela1511[[#This Row],[Industrial Production]]*1)/E311)-1)</f>
        <v>2.581336333165174E-2</v>
      </c>
      <c r="H323" s="32">
        <v>324569</v>
      </c>
      <c r="I323" s="8">
        <f>IF(Tabela1511[[#This Row],[Retail Sales]]="",#N/A,((Tabela1511[[#This Row],[Retail Sales]]*1)/H322)-1)</f>
        <v>1.753104455807164E-2</v>
      </c>
      <c r="J323" s="8">
        <f>IF(Tabela1511[[#This Row],[Retail Sales]]="",#N/A,((Tabela1511[[#This Row],[Retail Sales]]*1)/H311)-1)</f>
        <v>6.0915298447699273E-2</v>
      </c>
      <c r="K323" s="32">
        <v>249840</v>
      </c>
      <c r="L323" s="8">
        <f>IF(Tabela1511[[#This Row],[Core-Retail Sales]]="",#N/A,((Tabela1511[[#This Row],[Core-Retail Sales]]*1)/K322)-1)</f>
        <v>8.9979484031468271E-3</v>
      </c>
      <c r="M323" s="8">
        <f>IF(Tabela1511[[#This Row],[Core-Retail Sales]]="",#N/A,((Tabela1511[[#This Row],[Core-Retail Sales]]*1)/K311)-1)</f>
        <v>6.4285683858078313E-2</v>
      </c>
      <c r="N323" s="84">
        <v>171006</v>
      </c>
      <c r="O323" s="8">
        <f>IF(Tabela1511[[#This Row],[Real Retail Sales]]="",#N/A,((Tabela1511[[#This Row],[Real Retail Sales]]*1)/N322)-1)</f>
        <v>1.4318591629496114E-2</v>
      </c>
      <c r="P323" s="8">
        <f>IF(Tabela1511[[#This Row],[Real Retail Sales]]="",#N/A,((Tabela1511[[#This Row],[Real Retail Sales]]*1)/N311)-1)</f>
        <v>3.4644240077444266E-2</v>
      </c>
      <c r="Q323" s="32">
        <v>222679</v>
      </c>
      <c r="R323" s="8">
        <f>IF(Tabela1511[[#This Row],[Core²-Retail Sales]]="",#N/A,((Tabela1511[[#This Row],[Core²-Retail Sales]]*1)/Q322)-1)</f>
        <v>7.323803492264469E-3</v>
      </c>
      <c r="S323" s="8">
        <f>IF(Tabela1511[[#This Row],[Core²-Retail Sales]]="",#N/A,((Tabela1511[[#This Row],[Core²-Retail Sales]]*1)/Q311)-1)</f>
        <v>5.2681589335098256E-2</v>
      </c>
      <c r="T323" s="5">
        <v>94.2</v>
      </c>
      <c r="U323" s="7">
        <v>57.4</v>
      </c>
      <c r="V323" s="25">
        <v>57.7</v>
      </c>
      <c r="W323" s="25">
        <v>58</v>
      </c>
      <c r="X323" s="25">
        <v>57.9</v>
      </c>
      <c r="Y323" s="25">
        <v>60.6</v>
      </c>
      <c r="Z323" s="25">
        <v>56.5</v>
      </c>
      <c r="AA323" s="25">
        <f>IF([1]!Tabela1511[[#This Row],[Services New Orders]]="","",([1]!Tabela1511[[#This Row],[Manufacturing New Orders]]+[1]!Tabela1511[[#This Row],[Services New Orders]])/2)</f>
        <v>59.150000000000006</v>
      </c>
      <c r="AB323" s="25">
        <f>IF([1]!Tabela1511[[#This Row],[Services Employment]]="",#N/A,([1]!Tabela1511[[#This Row],[Manufacturing Employment]]+[1]!Tabela1511[[#This Row],[Services Employment]])/2)</f>
        <v>57.25</v>
      </c>
    </row>
    <row r="324" spans="1:28">
      <c r="A324" s="6">
        <v>38261</v>
      </c>
      <c r="B324" s="36"/>
      <c r="C324" s="8"/>
      <c r="D324" s="8"/>
      <c r="E324" s="7">
        <v>94.567099999999996</v>
      </c>
      <c r="F324" s="8">
        <f>IF(Tabela1511[[#This Row],[Industrial Production]]="",#N/A,((Tabela1511[[#This Row],[Industrial Production]]*1)/E323)-1)</f>
        <v>8.8039700539139787E-3</v>
      </c>
      <c r="G324" s="8">
        <f>IF(Tabela1511[[#This Row],[Industrial Production]]="",#N/A,((Tabela1511[[#This Row],[Industrial Production]]*1)/E312)-1)</f>
        <v>3.3514570958628642E-2</v>
      </c>
      <c r="H324" s="32">
        <v>326740</v>
      </c>
      <c r="I324" s="8">
        <f>IF(Tabela1511[[#This Row],[Retail Sales]]="",#N/A,((Tabela1511[[#This Row],[Retail Sales]]*1)/H323)-1)</f>
        <v>6.6888704713019553E-3</v>
      </c>
      <c r="J324" s="8">
        <f>IF(Tabela1511[[#This Row],[Retail Sales]]="",#N/A,((Tabela1511[[#This Row],[Retail Sales]]*1)/H312)-1)</f>
        <v>7.1949975230390262E-2</v>
      </c>
      <c r="K324" s="32">
        <v>252882</v>
      </c>
      <c r="L324" s="8">
        <f>IF(Tabela1511[[#This Row],[Core-Retail Sales]]="",#N/A,((Tabela1511[[#This Row],[Core-Retail Sales]]*1)/K323)-1)</f>
        <v>1.2175792507204575E-2</v>
      </c>
      <c r="M324" s="8">
        <f>IF(Tabela1511[[#This Row],[Core-Retail Sales]]="",#N/A,((Tabela1511[[#This Row],[Core-Retail Sales]]*1)/K312)-1)</f>
        <v>7.6130251242595426E-2</v>
      </c>
      <c r="N324" s="84">
        <v>171247</v>
      </c>
      <c r="O324" s="8">
        <f>IF(Tabela1511[[#This Row],[Real Retail Sales]]="",#N/A,((Tabela1511[[#This Row],[Real Retail Sales]]*1)/N323)-1)</f>
        <v>1.4093072757681568E-3</v>
      </c>
      <c r="P324" s="8">
        <f>IF(Tabela1511[[#This Row],[Real Retail Sales]]="",#N/A,((Tabela1511[[#This Row],[Real Retail Sales]]*1)/N312)-1)</f>
        <v>3.8798672740838702E-2</v>
      </c>
      <c r="Q324" s="32">
        <v>224226</v>
      </c>
      <c r="R324" s="8">
        <f>IF(Tabela1511[[#This Row],[Core²-Retail Sales]]="",#N/A,((Tabela1511[[#This Row],[Core²-Retail Sales]]*1)/Q323)-1)</f>
        <v>6.9472199893119146E-3</v>
      </c>
      <c r="S324" s="8">
        <f>IF(Tabela1511[[#This Row],[Core²-Retail Sales]]="",#N/A,((Tabela1511[[#This Row],[Core²-Retail Sales]]*1)/Q312)-1)</f>
        <v>5.628468329266334E-2</v>
      </c>
      <c r="T324" s="5">
        <v>91.7</v>
      </c>
      <c r="U324" s="7">
        <v>56.3</v>
      </c>
      <c r="V324" s="25">
        <v>58.4</v>
      </c>
      <c r="W324" s="25">
        <v>55.5</v>
      </c>
      <c r="X324" s="25">
        <v>58.8</v>
      </c>
      <c r="Y324" s="25">
        <v>61.7</v>
      </c>
      <c r="Z324" s="25">
        <v>54.8</v>
      </c>
      <c r="AA324" s="25">
        <f>IF([1]!Tabela1511[[#This Row],[Services New Orders]]="","",([1]!Tabela1511[[#This Row],[Manufacturing New Orders]]+[1]!Tabela1511[[#This Row],[Services New Orders]])/2)</f>
        <v>60.05</v>
      </c>
      <c r="AB324" s="25">
        <f>IF([1]!Tabela1511[[#This Row],[Services Employment]]="",#N/A,([1]!Tabela1511[[#This Row],[Manufacturing Employment]]+[1]!Tabela1511[[#This Row],[Services Employment]])/2)</f>
        <v>55.15</v>
      </c>
    </row>
    <row r="325" spans="1:28">
      <c r="A325" s="6">
        <v>38292</v>
      </c>
      <c r="B325" s="36"/>
      <c r="C325" s="8"/>
      <c r="D325" s="8"/>
      <c r="E325" s="7">
        <v>94.8</v>
      </c>
      <c r="F325" s="8">
        <f>IF(Tabela1511[[#This Row],[Industrial Production]]="",#N/A,((Tabela1511[[#This Row],[Industrial Production]]*1)/E324)-1)</f>
        <v>2.4628015451462204E-3</v>
      </c>
      <c r="G325" s="8">
        <f>IF(Tabela1511[[#This Row],[Industrial Production]]="",#N/A,((Tabela1511[[#This Row],[Industrial Production]]*1)/E313)-1)</f>
        <v>2.901988027331992E-2</v>
      </c>
      <c r="H325" s="32">
        <v>327836</v>
      </c>
      <c r="I325" s="8">
        <f>IF(Tabela1511[[#This Row],[Retail Sales]]="",#N/A,((Tabela1511[[#This Row],[Retail Sales]]*1)/H324)-1)</f>
        <v>3.3543490236884743E-3</v>
      </c>
      <c r="J325" s="8">
        <f>IF(Tabela1511[[#This Row],[Retail Sales]]="",#N/A,((Tabela1511[[#This Row],[Retail Sales]]*1)/H313)-1)</f>
        <v>6.2584473968242627E-2</v>
      </c>
      <c r="K325" s="32">
        <v>254429</v>
      </c>
      <c r="L325" s="8">
        <f>IF(Tabela1511[[#This Row],[Core-Retail Sales]]="",#N/A,((Tabela1511[[#This Row],[Core-Retail Sales]]*1)/K324)-1)</f>
        <v>6.1174777168797601E-3</v>
      </c>
      <c r="M325" s="8">
        <f>IF(Tabela1511[[#This Row],[Core-Retail Sales]]="",#N/A,((Tabela1511[[#This Row],[Core-Retail Sales]]*1)/K313)-1)</f>
        <v>7.4496703816477883E-2</v>
      </c>
      <c r="N325" s="84">
        <v>171015</v>
      </c>
      <c r="O325" s="8">
        <f>IF(Tabela1511[[#This Row],[Real Retail Sales]]="",#N/A,((Tabela1511[[#This Row],[Real Retail Sales]]*1)/N324)-1)</f>
        <v>-1.3547682587140564E-3</v>
      </c>
      <c r="P325" s="8">
        <f>IF(Tabela1511[[#This Row],[Real Retail Sales]]="",#N/A,((Tabela1511[[#This Row],[Real Retail Sales]]*1)/N313)-1)</f>
        <v>2.5448069508487769E-2</v>
      </c>
      <c r="Q325" s="32">
        <v>225080</v>
      </c>
      <c r="R325" s="8">
        <f>IF(Tabela1511[[#This Row],[Core²-Retail Sales]]="",#N/A,((Tabela1511[[#This Row],[Core²-Retail Sales]]*1)/Q324)-1)</f>
        <v>3.8086573367941412E-3</v>
      </c>
      <c r="S325" s="8">
        <f>IF(Tabela1511[[#This Row],[Core²-Retail Sales]]="",#N/A,((Tabela1511[[#This Row],[Core²-Retail Sales]]*1)/Q313)-1)</f>
        <v>5.5143284407712434E-2</v>
      </c>
      <c r="T325" s="5">
        <v>92.8</v>
      </c>
      <c r="U325" s="7">
        <v>56.2</v>
      </c>
      <c r="V325" s="25">
        <v>60.1</v>
      </c>
      <c r="W325" s="25">
        <v>56.9</v>
      </c>
      <c r="X325" s="25">
        <v>58.4</v>
      </c>
      <c r="Y325" s="25">
        <v>61.1</v>
      </c>
      <c r="Z325" s="25">
        <v>54.7</v>
      </c>
      <c r="AA325" s="25">
        <f>IF([1]!Tabela1511[[#This Row],[Services New Orders]]="","",([1]!Tabela1511[[#This Row],[Manufacturing New Orders]]+[1]!Tabela1511[[#This Row],[Services New Orders]])/2)</f>
        <v>60.6</v>
      </c>
      <c r="AB325" s="25">
        <f>IF([1]!Tabela1511[[#This Row],[Services Employment]]="",#N/A,([1]!Tabela1511[[#This Row],[Manufacturing Employment]]+[1]!Tabela1511[[#This Row],[Services Employment]])/2)</f>
        <v>55.8</v>
      </c>
    </row>
    <row r="326" spans="1:28">
      <c r="A326" s="6">
        <v>38322</v>
      </c>
      <c r="B326" s="36"/>
      <c r="C326" s="8"/>
      <c r="D326" s="8"/>
      <c r="E326" s="7">
        <v>95.542599999999993</v>
      </c>
      <c r="F326" s="8">
        <f>IF(Tabela1511[[#This Row],[Industrial Production]]="",#N/A,((Tabela1511[[#This Row],[Industrial Production]]*1)/E325)-1)</f>
        <v>7.8333333333333588E-3</v>
      </c>
      <c r="G326" s="8">
        <f>IF(Tabela1511[[#This Row],[Industrial Production]]="",#N/A,((Tabela1511[[#This Row],[Industrial Production]]*1)/E314)-1)</f>
        <v>3.656633995933678E-2</v>
      </c>
      <c r="H326" s="32">
        <v>331874</v>
      </c>
      <c r="I326" s="8">
        <f>IF(Tabela1511[[#This Row],[Retail Sales]]="",#N/A,((Tabela1511[[#This Row],[Retail Sales]]*1)/H325)-1)</f>
        <v>1.2317134176844435E-2</v>
      </c>
      <c r="J326" s="8">
        <f>IF(Tabela1511[[#This Row],[Retail Sales]]="",#N/A,((Tabela1511[[#This Row],[Retail Sales]]*1)/H314)-1)</f>
        <v>7.9591551265911331E-2</v>
      </c>
      <c r="K326" s="32">
        <v>256487</v>
      </c>
      <c r="L326" s="8">
        <f>IF(Tabela1511[[#This Row],[Core-Retail Sales]]="",#N/A,((Tabela1511[[#This Row],[Core-Retail Sales]]*1)/K325)-1)</f>
        <v>8.0887005805156953E-3</v>
      </c>
      <c r="M326" s="8">
        <f>IF(Tabela1511[[#This Row],[Core-Retail Sales]]="",#N/A,((Tabela1511[[#This Row],[Core-Retail Sales]]*1)/K314)-1)</f>
        <v>8.0837238310353055E-2</v>
      </c>
      <c r="N326" s="84">
        <v>173122</v>
      </c>
      <c r="O326" s="8">
        <f>IF(Tabela1511[[#This Row],[Real Retail Sales]]="",#N/A,((Tabela1511[[#This Row],[Real Retail Sales]]*1)/N325)-1)</f>
        <v>1.2320556676314931E-2</v>
      </c>
      <c r="P326" s="8">
        <f>IF(Tabela1511[[#This Row],[Real Retail Sales]]="",#N/A,((Tabela1511[[#This Row],[Real Retail Sales]]*1)/N314)-1)</f>
        <v>4.4678308934454902E-2</v>
      </c>
      <c r="Q326" s="32">
        <v>227441</v>
      </c>
      <c r="R326" s="8">
        <f>IF(Tabela1511[[#This Row],[Core²-Retail Sales]]="",#N/A,((Tabela1511[[#This Row],[Core²-Retail Sales]]*1)/Q325)-1)</f>
        <v>1.0489603696463456E-2</v>
      </c>
      <c r="S326" s="8">
        <f>IF(Tabela1511[[#This Row],[Core²-Retail Sales]]="",#N/A,((Tabela1511[[#This Row],[Core²-Retail Sales]]*1)/Q314)-1)</f>
        <v>6.6246308189958247E-2</v>
      </c>
      <c r="T326" s="5">
        <v>97.1</v>
      </c>
      <c r="U326" s="7">
        <v>57.2</v>
      </c>
      <c r="V326" s="25">
        <v>66.3</v>
      </c>
      <c r="W326" s="25">
        <v>53.8</v>
      </c>
      <c r="X326" s="25">
        <v>59.6</v>
      </c>
      <c r="Y326" s="25">
        <v>63.2</v>
      </c>
      <c r="Z326" s="25">
        <v>54.6</v>
      </c>
      <c r="AA326" s="25">
        <f>IF([1]!Tabela1511[[#This Row],[Services New Orders]]="","",([1]!Tabela1511[[#This Row],[Manufacturing New Orders]]+[1]!Tabela1511[[#This Row],[Services New Orders]])/2)</f>
        <v>64.75</v>
      </c>
      <c r="AB326" s="25">
        <f>IF([1]!Tabela1511[[#This Row],[Services Employment]]="",#N/A,([1]!Tabela1511[[#This Row],[Manufacturing Employment]]+[1]!Tabela1511[[#This Row],[Services Employment]])/2)</f>
        <v>54.2</v>
      </c>
    </row>
    <row r="327" spans="1:28">
      <c r="A327" s="6">
        <v>38353</v>
      </c>
      <c r="B327" s="36"/>
      <c r="C327" s="8"/>
      <c r="D327" s="8"/>
      <c r="E327" s="7">
        <v>95.883099999999999</v>
      </c>
      <c r="F327" s="8">
        <f>IF(Tabela1511[[#This Row],[Industrial Production]]="",#N/A,((Tabela1511[[#This Row],[Industrial Production]]*1)/E326)-1)</f>
        <v>3.5638552854957428E-3</v>
      </c>
      <c r="G327" s="8">
        <f>IF(Tabela1511[[#This Row],[Industrial Production]]="",#N/A,((Tabela1511[[#This Row],[Industrial Production]]*1)/E315)-1)</f>
        <v>3.8516360327964794E-2</v>
      </c>
      <c r="H327" s="32">
        <v>328696</v>
      </c>
      <c r="I327" s="8">
        <f>IF(Tabela1511[[#This Row],[Retail Sales]]="",#N/A,((Tabela1511[[#This Row],[Retail Sales]]*1)/H326)-1)</f>
        <v>-9.5759233926128173E-3</v>
      </c>
      <c r="J327" s="8">
        <f>IF(Tabela1511[[#This Row],[Retail Sales]]="",#N/A,((Tabela1511[[#This Row],[Retail Sales]]*1)/H315)-1)</f>
        <v>6.2867416427920153E-2</v>
      </c>
      <c r="K327" s="32">
        <v>256613</v>
      </c>
      <c r="L327" s="8">
        <f>IF(Tabela1511[[#This Row],[Core-Retail Sales]]="",#N/A,((Tabela1511[[#This Row],[Core-Retail Sales]]*1)/K326)-1)</f>
        <v>4.9125296798657736E-4</v>
      </c>
      <c r="M327" s="8">
        <f>IF(Tabela1511[[#This Row],[Core-Retail Sales]]="",#N/A,((Tabela1511[[#This Row],[Core-Retail Sales]]*1)/K315)-1)</f>
        <v>6.9292119474631653E-2</v>
      </c>
      <c r="N327" s="84">
        <v>171553</v>
      </c>
      <c r="O327" s="8">
        <f>IF(Tabela1511[[#This Row],[Real Retail Sales]]="",#N/A,((Tabela1511[[#This Row],[Real Retail Sales]]*1)/N326)-1)</f>
        <v>-9.0629729323828956E-3</v>
      </c>
      <c r="P327" s="8">
        <f>IF(Tabela1511[[#This Row],[Real Retail Sales]]="",#N/A,((Tabela1511[[#This Row],[Real Retail Sales]]*1)/N315)-1)</f>
        <v>3.3464258605525377E-2</v>
      </c>
      <c r="Q327" s="32">
        <v>228238</v>
      </c>
      <c r="R327" s="8">
        <f>IF(Tabela1511[[#This Row],[Core²-Retail Sales]]="",#N/A,((Tabela1511[[#This Row],[Core²-Retail Sales]]*1)/Q326)-1)</f>
        <v>3.5042054862579608E-3</v>
      </c>
      <c r="S327" s="8">
        <f>IF(Tabela1511[[#This Row],[Core²-Retail Sales]]="",#N/A,((Tabela1511[[#This Row],[Core²-Retail Sales]]*1)/Q315)-1)</f>
        <v>6.1103233454985029E-2</v>
      </c>
      <c r="T327" s="5">
        <v>95.5</v>
      </c>
      <c r="U327" s="7">
        <v>56.8</v>
      </c>
      <c r="V327" s="25">
        <v>57.9</v>
      </c>
      <c r="W327" s="25">
        <v>58.6</v>
      </c>
      <c r="X327" s="25">
        <v>58</v>
      </c>
      <c r="Y327" s="25">
        <v>62.4</v>
      </c>
      <c r="Z327" s="25">
        <v>59.7</v>
      </c>
      <c r="AA327" s="25">
        <f>IF([1]!Tabela1511[[#This Row],[Services New Orders]]="","",([1]!Tabela1511[[#This Row],[Manufacturing New Orders]]+[1]!Tabela1511[[#This Row],[Services New Orders]])/2)</f>
        <v>60.15</v>
      </c>
      <c r="AB327" s="25">
        <f>IF([1]!Tabela1511[[#This Row],[Services Employment]]="",#N/A,([1]!Tabela1511[[#This Row],[Manufacturing Employment]]+[1]!Tabela1511[[#This Row],[Services Employment]])/2)</f>
        <v>59.150000000000006</v>
      </c>
    </row>
    <row r="328" spans="1:28">
      <c r="A328" s="6">
        <v>38384</v>
      </c>
      <c r="B328" s="36"/>
      <c r="C328" s="8"/>
      <c r="D328" s="8"/>
      <c r="E328" s="7">
        <v>96.561599999999999</v>
      </c>
      <c r="F328" s="8">
        <f>IF(Tabela1511[[#This Row],[Industrial Production]]="",#N/A,((Tabela1511[[#This Row],[Industrial Production]]*1)/E327)-1)</f>
        <v>7.0763252335395155E-3</v>
      </c>
      <c r="G328" s="8">
        <f>IF(Tabela1511[[#This Row],[Industrial Production]]="",#N/A,((Tabela1511[[#This Row],[Industrial Production]]*1)/E316)-1)</f>
        <v>3.9556537869009034E-2</v>
      </c>
      <c r="H328" s="32">
        <v>333026</v>
      </c>
      <c r="I328" s="8">
        <f>IF(Tabela1511[[#This Row],[Retail Sales]]="",#N/A,((Tabela1511[[#This Row],[Retail Sales]]*1)/H327)-1)</f>
        <v>1.317326648331596E-2</v>
      </c>
      <c r="J328" s="8">
        <f>IF(Tabela1511[[#This Row],[Retail Sales]]="",#N/A,((Tabela1511[[#This Row],[Retail Sales]]*1)/H316)-1)</f>
        <v>6.9471696537815486E-2</v>
      </c>
      <c r="K328" s="32">
        <v>259253</v>
      </c>
      <c r="L328" s="8">
        <f>IF(Tabela1511[[#This Row],[Core-Retail Sales]]="",#N/A,((Tabela1511[[#This Row],[Core-Retail Sales]]*1)/K327)-1)</f>
        <v>1.0287865384840167E-2</v>
      </c>
      <c r="M328" s="8">
        <f>IF(Tabela1511[[#This Row],[Core-Retail Sales]]="",#N/A,((Tabela1511[[#This Row],[Core-Retail Sales]]*1)/K316)-1)</f>
        <v>7.8872243029546318E-2</v>
      </c>
      <c r="N328" s="84">
        <v>173090</v>
      </c>
      <c r="O328" s="8">
        <f>IF(Tabela1511[[#This Row],[Real Retail Sales]]="",#N/A,((Tabela1511[[#This Row],[Real Retail Sales]]*1)/N327)-1)</f>
        <v>8.9593303527188972E-3</v>
      </c>
      <c r="P328" s="8">
        <f>IF(Tabela1511[[#This Row],[Real Retail Sales]]="",#N/A,((Tabela1511[[#This Row],[Real Retail Sales]]*1)/N316)-1)</f>
        <v>3.7784492889176624E-2</v>
      </c>
      <c r="Q328" s="32">
        <v>230238</v>
      </c>
      <c r="R328" s="8">
        <f>IF(Tabela1511[[#This Row],[Core²-Retail Sales]]="",#N/A,((Tabela1511[[#This Row],[Core²-Retail Sales]]*1)/Q327)-1)</f>
        <v>8.762782709277106E-3</v>
      </c>
      <c r="S328" s="8">
        <f>IF(Tabela1511[[#This Row],[Core²-Retail Sales]]="",#N/A,((Tabela1511[[#This Row],[Core²-Retail Sales]]*1)/Q316)-1)</f>
        <v>7.0655307750971952E-2</v>
      </c>
      <c r="T328" s="5">
        <v>94.1</v>
      </c>
      <c r="U328" s="7">
        <v>55.5</v>
      </c>
      <c r="V328" s="25">
        <v>55.9</v>
      </c>
      <c r="W328" s="25">
        <v>56</v>
      </c>
      <c r="X328" s="25">
        <v>59.4</v>
      </c>
      <c r="Y328" s="25">
        <v>63.3</v>
      </c>
      <c r="Z328" s="25">
        <v>57.2</v>
      </c>
      <c r="AA328" s="25">
        <f>IF([1]!Tabela1511[[#This Row],[Services New Orders]]="","",([1]!Tabela1511[[#This Row],[Manufacturing New Orders]]+[1]!Tabela1511[[#This Row],[Services New Orders]])/2)</f>
        <v>59.599999999999994</v>
      </c>
      <c r="AB328" s="25">
        <f>IF([1]!Tabela1511[[#This Row],[Services Employment]]="",#N/A,([1]!Tabela1511[[#This Row],[Manufacturing Employment]]+[1]!Tabela1511[[#This Row],[Services Employment]])/2)</f>
        <v>56.6</v>
      </c>
    </row>
    <row r="329" spans="1:28">
      <c r="A329" s="6">
        <v>38412</v>
      </c>
      <c r="B329" s="36"/>
      <c r="C329" s="8"/>
      <c r="D329" s="8"/>
      <c r="E329" s="7">
        <v>96.437100000000001</v>
      </c>
      <c r="F329" s="8">
        <f>IF(Tabela1511[[#This Row],[Industrial Production]]="",#N/A,((Tabela1511[[#This Row],[Industrial Production]]*1)/E328)-1)</f>
        <v>-1.2893324054281674E-3</v>
      </c>
      <c r="G329" s="8">
        <f>IF(Tabela1511[[#This Row],[Industrial Production]]="",#N/A,((Tabela1511[[#This Row],[Industrial Production]]*1)/E317)-1)</f>
        <v>4.2197065895766439E-2</v>
      </c>
      <c r="H329" s="32">
        <v>333581</v>
      </c>
      <c r="I329" s="8">
        <f>IF(Tabela1511[[#This Row],[Retail Sales]]="",#N/A,((Tabela1511[[#This Row],[Retail Sales]]*1)/H328)-1)</f>
        <v>1.6665365466961291E-3</v>
      </c>
      <c r="J329" s="8">
        <f>IF(Tabela1511[[#This Row],[Retail Sales]]="",#N/A,((Tabela1511[[#This Row],[Retail Sales]]*1)/H317)-1)</f>
        <v>5.2598197606906538E-2</v>
      </c>
      <c r="K329" s="32">
        <v>259434</v>
      </c>
      <c r="L329" s="8">
        <f>IF(Tabela1511[[#This Row],[Core-Retail Sales]]="",#N/A,((Tabela1511[[#This Row],[Core-Retail Sales]]*1)/K328)-1)</f>
        <v>6.9815971271314226E-4</v>
      </c>
      <c r="M329" s="8">
        <f>IF(Tabela1511[[#This Row],[Core-Retail Sales]]="",#N/A,((Tabela1511[[#This Row],[Core-Retail Sales]]*1)/K317)-1)</f>
        <v>5.9887651925237373E-2</v>
      </c>
      <c r="N329" s="84">
        <v>172750</v>
      </c>
      <c r="O329" s="8">
        <f>IF(Tabela1511[[#This Row],[Real Retail Sales]]="",#N/A,((Tabela1511[[#This Row],[Real Retail Sales]]*1)/N328)-1)</f>
        <v>-1.9642960309665947E-3</v>
      </c>
      <c r="P329" s="8">
        <f>IF(Tabela1511[[#This Row],[Real Retail Sales]]="",#N/A,((Tabela1511[[#This Row],[Real Retail Sales]]*1)/N317)-1)</f>
        <v>1.9890070314852348E-2</v>
      </c>
      <c r="Q329" s="32">
        <v>229936</v>
      </c>
      <c r="R329" s="8">
        <f>IF(Tabela1511[[#This Row],[Core²-Retail Sales]]="",#N/A,((Tabela1511[[#This Row],[Core²-Retail Sales]]*1)/Q328)-1)</f>
        <v>-1.3116861682259673E-3</v>
      </c>
      <c r="S329" s="8">
        <f>IF(Tabela1511[[#This Row],[Core²-Retail Sales]]="",#N/A,((Tabela1511[[#This Row],[Core²-Retail Sales]]*1)/Q317)-1)</f>
        <v>4.9476028772775349E-2</v>
      </c>
      <c r="T329" s="5">
        <v>92.6</v>
      </c>
      <c r="U329" s="7">
        <v>55.2</v>
      </c>
      <c r="V329" s="25">
        <v>57.7</v>
      </c>
      <c r="W329" s="25">
        <v>52.5</v>
      </c>
      <c r="X329" s="25">
        <v>58</v>
      </c>
      <c r="Y329" s="25">
        <v>60.5</v>
      </c>
      <c r="Z329" s="25">
        <v>53.3</v>
      </c>
      <c r="AA329" s="25">
        <f>IF([1]!Tabela1511[[#This Row],[Services New Orders]]="","",([1]!Tabela1511[[#This Row],[Manufacturing New Orders]]+[1]!Tabela1511[[#This Row],[Services New Orders]])/2)</f>
        <v>59.1</v>
      </c>
      <c r="AB329" s="25">
        <f>IF([1]!Tabela1511[[#This Row],[Services Employment]]="",#N/A,([1]!Tabela1511[[#This Row],[Manufacturing Employment]]+[1]!Tabela1511[[#This Row],[Services Employment]])/2)</f>
        <v>52.9</v>
      </c>
    </row>
    <row r="330" spans="1:28">
      <c r="A330" s="6">
        <v>38443</v>
      </c>
      <c r="B330" s="36"/>
      <c r="C330" s="8"/>
      <c r="D330" s="8"/>
      <c r="E330" s="7">
        <v>96.628</v>
      </c>
      <c r="F330" s="8">
        <f>IF(Tabela1511[[#This Row],[Industrial Production]]="",#N/A,((Tabela1511[[#This Row],[Industrial Production]]*1)/E329)-1)</f>
        <v>1.979528625394078E-3</v>
      </c>
      <c r="G330" s="8">
        <f>IF(Tabela1511[[#This Row],[Industrial Production]]="",#N/A,((Tabela1511[[#This Row],[Industrial Production]]*1)/E318)-1)</f>
        <v>4.0021698511241155E-2</v>
      </c>
      <c r="H330" s="32">
        <v>336583</v>
      </c>
      <c r="I330" s="8">
        <f>IF(Tabela1511[[#This Row],[Retail Sales]]="",#N/A,((Tabela1511[[#This Row],[Retail Sales]]*1)/H329)-1)</f>
        <v>8.9993135100621124E-3</v>
      </c>
      <c r="J330" s="8">
        <f>IF(Tabela1511[[#This Row],[Retail Sales]]="",#N/A,((Tabela1511[[#This Row],[Retail Sales]]*1)/H318)-1)</f>
        <v>7.3588889739467644E-2</v>
      </c>
      <c r="K330" s="32">
        <v>262934</v>
      </c>
      <c r="L330" s="8">
        <f>IF(Tabela1511[[#This Row],[Core-Retail Sales]]="",#N/A,((Tabela1511[[#This Row],[Core-Retail Sales]]*1)/K329)-1)</f>
        <v>1.3490907128595353E-2</v>
      </c>
      <c r="M330" s="8">
        <f>IF(Tabela1511[[#This Row],[Core-Retail Sales]]="",#N/A,((Tabela1511[[#This Row],[Core-Retail Sales]]*1)/K318)-1)</f>
        <v>7.958054132177117E-2</v>
      </c>
      <c r="N330" s="84">
        <v>173765</v>
      </c>
      <c r="O330" s="8">
        <f>IF(Tabela1511[[#This Row],[Real Retail Sales]]="",#N/A,((Tabela1511[[#This Row],[Real Retail Sales]]*1)/N329)-1)</f>
        <v>5.8755426917511677E-3</v>
      </c>
      <c r="P330" s="8">
        <f>IF(Tabela1511[[#This Row],[Real Retail Sales]]="",#N/A,((Tabela1511[[#This Row],[Real Retail Sales]]*1)/N318)-1)</f>
        <v>3.8667989671002267E-2</v>
      </c>
      <c r="Q330" s="32">
        <v>232925</v>
      </c>
      <c r="R330" s="8">
        <f>IF(Tabela1511[[#This Row],[Core²-Retail Sales]]="",#N/A,((Tabela1511[[#This Row],[Core²-Retail Sales]]*1)/Q329)-1)</f>
        <v>1.2999269361909427E-2</v>
      </c>
      <c r="S330" s="8">
        <f>IF(Tabela1511[[#This Row],[Core²-Retail Sales]]="",#N/A,((Tabela1511[[#This Row],[Core²-Retail Sales]]*1)/Q318)-1)</f>
        <v>6.8296687672564804E-2</v>
      </c>
      <c r="T330" s="5">
        <v>87.7</v>
      </c>
      <c r="U330" s="7">
        <v>52.2</v>
      </c>
      <c r="V330" s="25">
        <v>53.4</v>
      </c>
      <c r="W330" s="25">
        <v>53</v>
      </c>
      <c r="X330" s="25">
        <v>55.6</v>
      </c>
      <c r="Y330" s="25">
        <v>57.5</v>
      </c>
      <c r="Z330" s="25">
        <v>51.8</v>
      </c>
      <c r="AA330" s="25">
        <f>IF([1]!Tabela1511[[#This Row],[Services New Orders]]="","",([1]!Tabela1511[[#This Row],[Manufacturing New Orders]]+[1]!Tabela1511[[#This Row],[Services New Orders]])/2)</f>
        <v>55.45</v>
      </c>
      <c r="AB330" s="25">
        <f>IF([1]!Tabela1511[[#This Row],[Services Employment]]="",#N/A,([1]!Tabela1511[[#This Row],[Manufacturing Employment]]+[1]!Tabela1511[[#This Row],[Services Employment]])/2)</f>
        <v>52.4</v>
      </c>
    </row>
    <row r="331" spans="1:28">
      <c r="A331" s="6">
        <v>38473</v>
      </c>
      <c r="B331" s="36"/>
      <c r="C331" s="8"/>
      <c r="D331" s="8"/>
      <c r="E331" s="7">
        <v>96.730599999999995</v>
      </c>
      <c r="F331" s="8">
        <f>IF(Tabela1511[[#This Row],[Industrial Production]]="",#N/A,((Tabela1511[[#This Row],[Industrial Production]]*1)/E330)-1)</f>
        <v>1.0618040319576583E-3</v>
      </c>
      <c r="G331" s="8">
        <f>IF(Tabela1511[[#This Row],[Industrial Production]]="",#N/A,((Tabela1511[[#This Row],[Industrial Production]]*1)/E319)-1)</f>
        <v>3.362547791391246E-2</v>
      </c>
      <c r="H331" s="32">
        <v>334522</v>
      </c>
      <c r="I331" s="8">
        <f>IF(Tabela1511[[#This Row],[Retail Sales]]="",#N/A,((Tabela1511[[#This Row],[Retail Sales]]*1)/H330)-1)</f>
        <v>-6.1233039101796782E-3</v>
      </c>
      <c r="J331" s="8">
        <f>IF(Tabela1511[[#This Row],[Retail Sales]]="",#N/A,((Tabela1511[[#This Row],[Retail Sales]]*1)/H319)-1)</f>
        <v>4.8776664451160689E-2</v>
      </c>
      <c r="K331" s="32">
        <v>261297</v>
      </c>
      <c r="L331" s="8">
        <f>IF(Tabela1511[[#This Row],[Core-Retail Sales]]="",#N/A,((Tabela1511[[#This Row],[Core-Retail Sales]]*1)/K330)-1)</f>
        <v>-6.2258969931617836E-3</v>
      </c>
      <c r="M331" s="8">
        <f>IF(Tabela1511[[#This Row],[Core-Retail Sales]]="",#N/A,((Tabela1511[[#This Row],[Core-Retail Sales]]*1)/K319)-1)</f>
        <v>6.1565837744725682E-2</v>
      </c>
      <c r="N331" s="84">
        <v>172790</v>
      </c>
      <c r="O331" s="8">
        <f>IF(Tabela1511[[#This Row],[Real Retail Sales]]="",#N/A,((Tabela1511[[#This Row],[Real Retail Sales]]*1)/N330)-1)</f>
        <v>-5.6110263862112486E-3</v>
      </c>
      <c r="P331" s="8">
        <f>IF(Tabela1511[[#This Row],[Real Retail Sales]]="",#N/A,((Tabela1511[[#This Row],[Real Retail Sales]]*1)/N319)-1)</f>
        <v>1.9524312459803683E-2</v>
      </c>
      <c r="Q331" s="32">
        <v>232157</v>
      </c>
      <c r="R331" s="8">
        <f>IF(Tabela1511[[#This Row],[Core²-Retail Sales]]="",#N/A,((Tabela1511[[#This Row],[Core²-Retail Sales]]*1)/Q330)-1)</f>
        <v>-3.2971986690994992E-3</v>
      </c>
      <c r="S331" s="8">
        <f>IF(Tabela1511[[#This Row],[Core²-Retail Sales]]="",#N/A,((Tabela1511[[#This Row],[Core²-Retail Sales]]*1)/Q319)-1)</f>
        <v>5.9439059562272911E-2</v>
      </c>
      <c r="T331" s="5">
        <v>86.9</v>
      </c>
      <c r="U331" s="7">
        <v>50.8</v>
      </c>
      <c r="V331" s="25">
        <v>51.8</v>
      </c>
      <c r="W331" s="25">
        <v>49.3</v>
      </c>
      <c r="X331" s="25">
        <v>55.3</v>
      </c>
      <c r="Y331" s="25">
        <v>58.2</v>
      </c>
      <c r="Z331" s="25">
        <v>55.8</v>
      </c>
      <c r="AA331" s="25">
        <f>IF([1]!Tabela1511[[#This Row],[Services New Orders]]="","",([1]!Tabela1511[[#This Row],[Manufacturing New Orders]]+[1]!Tabela1511[[#This Row],[Services New Orders]])/2)</f>
        <v>55</v>
      </c>
      <c r="AB331" s="25">
        <f>IF([1]!Tabela1511[[#This Row],[Services Employment]]="",#N/A,([1]!Tabela1511[[#This Row],[Manufacturing Employment]]+[1]!Tabela1511[[#This Row],[Services Employment]])/2)</f>
        <v>52.55</v>
      </c>
    </row>
    <row r="332" spans="1:28">
      <c r="A332" s="6">
        <v>38504</v>
      </c>
      <c r="B332" s="36"/>
      <c r="C332" s="8"/>
      <c r="D332" s="8"/>
      <c r="E332" s="7">
        <v>97.148799999999994</v>
      </c>
      <c r="F332" s="8">
        <f>IF(Tabela1511[[#This Row],[Industrial Production]]="",#N/A,((Tabela1511[[#This Row],[Industrial Production]]*1)/E331)-1)</f>
        <v>4.323347523947918E-3</v>
      </c>
      <c r="G332" s="8">
        <f>IF(Tabela1511[[#This Row],[Industrial Production]]="",#N/A,((Tabela1511[[#This Row],[Industrial Production]]*1)/E320)-1)</f>
        <v>4.616199719799563E-2</v>
      </c>
      <c r="H332" s="32">
        <v>343998</v>
      </c>
      <c r="I332" s="8">
        <f>IF(Tabela1511[[#This Row],[Retail Sales]]="",#N/A,((Tabela1511[[#This Row],[Retail Sales]]*1)/H331)-1)</f>
        <v>2.8326985968037954E-2</v>
      </c>
      <c r="J332" s="8">
        <f>IF(Tabela1511[[#This Row],[Retail Sales]]="",#N/A,((Tabela1511[[#This Row],[Retail Sales]]*1)/H320)-1)</f>
        <v>9.22027698931287E-2</v>
      </c>
      <c r="K332" s="32">
        <v>264359</v>
      </c>
      <c r="L332" s="8">
        <f>IF(Tabela1511[[#This Row],[Core-Retail Sales]]="",#N/A,((Tabela1511[[#This Row],[Core-Retail Sales]]*1)/K331)-1)</f>
        <v>1.1718465960190994E-2</v>
      </c>
      <c r="M332" s="8">
        <f>IF(Tabela1511[[#This Row],[Core-Retail Sales]]="",#N/A,((Tabela1511[[#This Row],[Core-Retail Sales]]*1)/K320)-1)</f>
        <v>7.4774258335467803E-2</v>
      </c>
      <c r="N332" s="84">
        <v>177593</v>
      </c>
      <c r="O332" s="8">
        <f>IF(Tabela1511[[#This Row],[Real Retail Sales]]="",#N/A,((Tabela1511[[#This Row],[Real Retail Sales]]*1)/N331)-1)</f>
        <v>2.7796747496961594E-2</v>
      </c>
      <c r="P332" s="8">
        <f>IF(Tabela1511[[#This Row],[Real Retail Sales]]="",#N/A,((Tabela1511[[#This Row],[Real Retail Sales]]*1)/N320)-1)</f>
        <v>6.5134076637498373E-2</v>
      </c>
      <c r="Q332" s="32">
        <v>234470</v>
      </c>
      <c r="R332" s="8">
        <f>IF(Tabela1511[[#This Row],[Core²-Retail Sales]]="",#N/A,((Tabela1511[[#This Row],[Core²-Retail Sales]]*1)/Q331)-1)</f>
        <v>9.963085325878529E-3</v>
      </c>
      <c r="S332" s="8">
        <f>IF(Tabela1511[[#This Row],[Core²-Retail Sales]]="",#N/A,((Tabela1511[[#This Row],[Core²-Retail Sales]]*1)/Q320)-1)</f>
        <v>7.1045190643029166E-2</v>
      </c>
      <c r="T332" s="5">
        <v>96</v>
      </c>
      <c r="U332" s="7">
        <v>52.4</v>
      </c>
      <c r="V332" s="25">
        <v>55.7</v>
      </c>
      <c r="W332" s="25">
        <v>51.1</v>
      </c>
      <c r="X332" s="25">
        <v>58.1</v>
      </c>
      <c r="Y332" s="25">
        <v>59.2</v>
      </c>
      <c r="Z332" s="25">
        <v>55.1</v>
      </c>
      <c r="AA332" s="25">
        <f>IF([1]!Tabela1511[[#This Row],[Services New Orders]]="","",([1]!Tabela1511[[#This Row],[Manufacturing New Orders]]+[1]!Tabela1511[[#This Row],[Services New Orders]])/2)</f>
        <v>57.45</v>
      </c>
      <c r="AB332" s="25">
        <f>IF([1]!Tabela1511[[#This Row],[Services Employment]]="",#N/A,([1]!Tabela1511[[#This Row],[Manufacturing Employment]]+[1]!Tabela1511[[#This Row],[Services Employment]])/2)</f>
        <v>53.1</v>
      </c>
    </row>
    <row r="333" spans="1:28">
      <c r="A333" s="6">
        <v>38534</v>
      </c>
      <c r="B333" s="36"/>
      <c r="C333" s="8"/>
      <c r="D333" s="8"/>
      <c r="E333" s="7">
        <v>96.838300000000004</v>
      </c>
      <c r="F333" s="8">
        <f>IF(Tabela1511[[#This Row],[Industrial Production]]="",#N/A,((Tabela1511[[#This Row],[Industrial Production]]*1)/E332)-1)</f>
        <v>-3.1961280015809779E-3</v>
      </c>
      <c r="G333" s="8">
        <f>IF(Tabela1511[[#This Row],[Industrial Production]]="",#N/A,((Tabela1511[[#This Row],[Industrial Production]]*1)/E321)-1)</f>
        <v>3.5138015480309592E-2</v>
      </c>
      <c r="H333" s="32">
        <v>346576</v>
      </c>
      <c r="I333" s="8">
        <f>IF(Tabela1511[[#This Row],[Retail Sales]]="",#N/A,((Tabela1511[[#This Row],[Retail Sales]]*1)/H332)-1)</f>
        <v>7.4942296176141454E-3</v>
      </c>
      <c r="J333" s="8">
        <f>IF(Tabela1511[[#This Row],[Retail Sales]]="",#N/A,((Tabela1511[[#This Row],[Retail Sales]]*1)/H321)-1)</f>
        <v>8.7983324386515127E-2</v>
      </c>
      <c r="K333" s="32">
        <v>264971</v>
      </c>
      <c r="L333" s="8">
        <f>IF(Tabela1511[[#This Row],[Core-Retail Sales]]="",#N/A,((Tabela1511[[#This Row],[Core-Retail Sales]]*1)/K332)-1)</f>
        <v>2.3150337230810614E-3</v>
      </c>
      <c r="M333" s="8">
        <f>IF(Tabela1511[[#This Row],[Core-Retail Sales]]="",#N/A,((Tabela1511[[#This Row],[Core-Retail Sales]]*1)/K321)-1)</f>
        <v>7.1408065148739874E-2</v>
      </c>
      <c r="N333" s="84">
        <v>177822</v>
      </c>
      <c r="O333" s="8">
        <f>IF(Tabela1511[[#This Row],[Real Retail Sales]]="",#N/A,((Tabela1511[[#This Row],[Real Retail Sales]]*1)/N332)-1)</f>
        <v>1.2894652379316085E-3</v>
      </c>
      <c r="P333" s="8">
        <f>IF(Tabela1511[[#This Row],[Real Retail Sales]]="",#N/A,((Tabela1511[[#This Row],[Real Retail Sales]]*1)/N321)-1)</f>
        <v>5.5605354545724461E-2</v>
      </c>
      <c r="Q333" s="32">
        <v>233995</v>
      </c>
      <c r="R333" s="8">
        <f>IF(Tabela1511[[#This Row],[Core²-Retail Sales]]="",#N/A,((Tabela1511[[#This Row],[Core²-Retail Sales]]*1)/Q332)-1)</f>
        <v>-2.0258455239475781E-3</v>
      </c>
      <c r="S333" s="8">
        <f>IF(Tabela1511[[#This Row],[Core²-Retail Sales]]="",#N/A,((Tabela1511[[#This Row],[Core²-Retail Sales]]*1)/Q321)-1)</f>
        <v>6.0884270467796542E-2</v>
      </c>
      <c r="T333" s="5">
        <v>96.5</v>
      </c>
      <c r="U333" s="7">
        <v>52.8</v>
      </c>
      <c r="V333" s="25">
        <v>57.2</v>
      </c>
      <c r="W333" s="25">
        <v>53.2</v>
      </c>
      <c r="X333" s="25">
        <v>59.5</v>
      </c>
      <c r="Y333" s="25">
        <v>64.400000000000006</v>
      </c>
      <c r="Z333" s="25">
        <v>60.2</v>
      </c>
      <c r="AA333" s="25">
        <f>IF([1]!Tabela1511[[#This Row],[Services New Orders]]="","",([1]!Tabela1511[[#This Row],[Manufacturing New Orders]]+[1]!Tabela1511[[#This Row],[Services New Orders]])/2)</f>
        <v>60.800000000000004</v>
      </c>
      <c r="AB333" s="25">
        <f>IF([1]!Tabela1511[[#This Row],[Services Employment]]="",#N/A,([1]!Tabela1511[[#This Row],[Manufacturing Employment]]+[1]!Tabela1511[[#This Row],[Services Employment]])/2)</f>
        <v>56.7</v>
      </c>
    </row>
    <row r="334" spans="1:28">
      <c r="A334" s="6">
        <v>38565</v>
      </c>
      <c r="B334" s="36"/>
      <c r="C334" s="8"/>
      <c r="D334" s="8"/>
      <c r="E334" s="7">
        <v>97.160300000000007</v>
      </c>
      <c r="F334" s="8">
        <f>IF(Tabela1511[[#This Row],[Industrial Production]]="",#N/A,((Tabela1511[[#This Row],[Industrial Production]]*1)/E333)-1)</f>
        <v>3.3251306559491933E-3</v>
      </c>
      <c r="G334" s="8">
        <f>IF(Tabela1511[[#This Row],[Industrial Production]]="",#N/A,((Tabela1511[[#This Row],[Industrial Production]]*1)/E322)-1)</f>
        <v>3.767376389470356E-2</v>
      </c>
      <c r="H334" s="32">
        <v>343307</v>
      </c>
      <c r="I334" s="8">
        <f>IF(Tabela1511[[#This Row],[Retail Sales]]="",#N/A,((Tabela1511[[#This Row],[Retail Sales]]*1)/H333)-1)</f>
        <v>-9.4322745948940412E-3</v>
      </c>
      <c r="J334" s="8">
        <f>IF(Tabela1511[[#This Row],[Retail Sales]]="",#N/A,((Tabela1511[[#This Row],[Retail Sales]]*1)/H322)-1)</f>
        <v>7.6275091934528305E-2</v>
      </c>
      <c r="K334" s="32">
        <v>269520</v>
      </c>
      <c r="L334" s="8">
        <f>IF(Tabela1511[[#This Row],[Core-Retail Sales]]="",#N/A,((Tabela1511[[#This Row],[Core-Retail Sales]]*1)/K333)-1)</f>
        <v>1.71679164889742E-2</v>
      </c>
      <c r="M334" s="8">
        <f>IF(Tabela1511[[#This Row],[Core-Retail Sales]]="",#N/A,((Tabela1511[[#This Row],[Core-Retail Sales]]*1)/K322)-1)</f>
        <v>8.847713357995568E-2</v>
      </c>
      <c r="N334" s="84">
        <v>175067</v>
      </c>
      <c r="O334" s="8">
        <f>IF(Tabela1511[[#This Row],[Real Retail Sales]]="",#N/A,((Tabela1511[[#This Row],[Real Retail Sales]]*1)/N333)-1)</f>
        <v>-1.5493021110998595E-2</v>
      </c>
      <c r="P334" s="8">
        <f>IF(Tabela1511[[#This Row],[Real Retail Sales]]="",#N/A,((Tabela1511[[#This Row],[Real Retail Sales]]*1)/N322)-1)</f>
        <v>3.840633007497396E-2</v>
      </c>
      <c r="Q334" s="32">
        <v>236121</v>
      </c>
      <c r="R334" s="8">
        <f>IF(Tabela1511[[#This Row],[Core²-Retail Sales]]="",#N/A,((Tabela1511[[#This Row],[Core²-Retail Sales]]*1)/Q333)-1)</f>
        <v>9.0856642235945806E-3</v>
      </c>
      <c r="S334" s="8">
        <f>IF(Tabela1511[[#This Row],[Core²-Retail Sales]]="",#N/A,((Tabela1511[[#This Row],[Core²-Retail Sales]]*1)/Q322)-1)</f>
        <v>6.8130824210621554E-2</v>
      </c>
      <c r="T334" s="5">
        <v>89.1</v>
      </c>
      <c r="U334" s="7">
        <v>52.4</v>
      </c>
      <c r="V334" s="25">
        <v>57.8</v>
      </c>
      <c r="W334" s="25">
        <v>51.8</v>
      </c>
      <c r="X334" s="25">
        <v>61.3</v>
      </c>
      <c r="Y334" s="25">
        <v>65.3</v>
      </c>
      <c r="Z334" s="25">
        <v>55.4</v>
      </c>
      <c r="AA334" s="25">
        <f>IF([1]!Tabela1511[[#This Row],[Services New Orders]]="","",([1]!Tabela1511[[#This Row],[Manufacturing New Orders]]+[1]!Tabela1511[[#This Row],[Services New Orders]])/2)</f>
        <v>61.55</v>
      </c>
      <c r="AB334" s="25">
        <f>IF([1]!Tabela1511[[#This Row],[Services Employment]]="",#N/A,([1]!Tabela1511[[#This Row],[Manufacturing Employment]]+[1]!Tabela1511[[#This Row],[Services Employment]])/2)</f>
        <v>53.599999999999994</v>
      </c>
    </row>
    <row r="335" spans="1:28">
      <c r="A335" s="6">
        <v>38596</v>
      </c>
      <c r="B335" s="36"/>
      <c r="C335" s="8"/>
      <c r="D335" s="8"/>
      <c r="E335" s="7">
        <v>95.272900000000007</v>
      </c>
      <c r="F335" s="8">
        <f>IF(Tabela1511[[#This Row],[Industrial Production]]="",#N/A,((Tabela1511[[#This Row],[Industrial Production]]*1)/E334)-1)</f>
        <v>-1.942562960386085E-2</v>
      </c>
      <c r="G335" s="8">
        <f>IF(Tabela1511[[#This Row],[Industrial Production]]="",#N/A,((Tabela1511[[#This Row],[Industrial Production]]*1)/E323)-1)</f>
        <v>1.6333161940564445E-2</v>
      </c>
      <c r="H335" s="32">
        <v>343956</v>
      </c>
      <c r="I335" s="8">
        <f>IF(Tabela1511[[#This Row],[Retail Sales]]="",#N/A,((Tabela1511[[#This Row],[Retail Sales]]*1)/H334)-1)</f>
        <v>1.8904362567615518E-3</v>
      </c>
      <c r="J335" s="8">
        <f>IF(Tabela1511[[#This Row],[Retail Sales]]="",#N/A,((Tabela1511[[#This Row],[Retail Sales]]*1)/H323)-1)</f>
        <v>5.9731520878457234E-2</v>
      </c>
      <c r="K335" s="32">
        <v>273329</v>
      </c>
      <c r="L335" s="8">
        <f>IF(Tabela1511[[#This Row],[Core-Retail Sales]]="",#N/A,((Tabela1511[[#This Row],[Core-Retail Sales]]*1)/K334)-1)</f>
        <v>1.4132531908578105E-2</v>
      </c>
      <c r="M335" s="8">
        <f>IF(Tabela1511[[#This Row],[Core-Retail Sales]]="",#N/A,((Tabela1511[[#This Row],[Core-Retail Sales]]*1)/K323)-1)</f>
        <v>9.4016170349023431E-2</v>
      </c>
      <c r="N335" s="84">
        <v>173016</v>
      </c>
      <c r="O335" s="8">
        <f>IF(Tabela1511[[#This Row],[Real Retail Sales]]="",#N/A,((Tabela1511[[#This Row],[Real Retail Sales]]*1)/N334)-1)</f>
        <v>-1.171551463154108E-2</v>
      </c>
      <c r="P335" s="8">
        <f>IF(Tabela1511[[#This Row],[Real Retail Sales]]="",#N/A,((Tabela1511[[#This Row],[Real Retail Sales]]*1)/N323)-1)</f>
        <v>1.1753973544787799E-2</v>
      </c>
      <c r="Q335" s="32">
        <v>237213</v>
      </c>
      <c r="R335" s="8">
        <f>IF(Tabela1511[[#This Row],[Core²-Retail Sales]]="",#N/A,((Tabela1511[[#This Row],[Core²-Retail Sales]]*1)/Q334)-1)</f>
        <v>4.6247474811642597E-3</v>
      </c>
      <c r="S335" s="8">
        <f>IF(Tabela1511[[#This Row],[Core²-Retail Sales]]="",#N/A,((Tabela1511[[#This Row],[Core²-Retail Sales]]*1)/Q323)-1)</f>
        <v>6.5268839899586428E-2</v>
      </c>
      <c r="T335" s="5">
        <v>76.900000000000006</v>
      </c>
      <c r="U335" s="7">
        <v>56.8</v>
      </c>
      <c r="V335" s="25">
        <v>60.9</v>
      </c>
      <c r="W335" s="25">
        <v>53.4</v>
      </c>
      <c r="X335" s="25">
        <v>55.7</v>
      </c>
      <c r="Y335" s="25">
        <v>56.2</v>
      </c>
      <c r="Z335" s="25">
        <v>54.2</v>
      </c>
      <c r="AA335" s="25">
        <f>IF([1]!Tabela1511[[#This Row],[Services New Orders]]="","",([1]!Tabela1511[[#This Row],[Manufacturing New Orders]]+[1]!Tabela1511[[#This Row],[Services New Orders]])/2)</f>
        <v>58.55</v>
      </c>
      <c r="AB335" s="25">
        <f>IF([1]!Tabela1511[[#This Row],[Services Employment]]="",#N/A,([1]!Tabela1511[[#This Row],[Manufacturing Employment]]+[1]!Tabela1511[[#This Row],[Services Employment]])/2)</f>
        <v>53.8</v>
      </c>
    </row>
    <row r="336" spans="1:28">
      <c r="A336" s="6">
        <v>38626</v>
      </c>
      <c r="B336" s="36"/>
      <c r="C336" s="8"/>
      <c r="D336" s="8"/>
      <c r="E336" s="7">
        <v>96.438299999999998</v>
      </c>
      <c r="F336" s="8">
        <f>IF(Tabela1511[[#This Row],[Industrial Production]]="",#N/A,((Tabela1511[[#This Row],[Industrial Production]]*1)/E335)-1)</f>
        <v>1.2232229731644395E-2</v>
      </c>
      <c r="G336" s="8">
        <f>IF(Tabela1511[[#This Row],[Industrial Production]]="",#N/A,((Tabela1511[[#This Row],[Industrial Production]]*1)/E324)-1)</f>
        <v>1.978700837817815E-2</v>
      </c>
      <c r="H336" s="32">
        <v>344097</v>
      </c>
      <c r="I336" s="8">
        <f>IF(Tabela1511[[#This Row],[Retail Sales]]="",#N/A,((Tabela1511[[#This Row],[Retail Sales]]*1)/H335)-1)</f>
        <v>4.099361546243685E-4</v>
      </c>
      <c r="J336" s="8">
        <f>IF(Tabela1511[[#This Row],[Retail Sales]]="",#N/A,((Tabela1511[[#This Row],[Retail Sales]]*1)/H324)-1)</f>
        <v>5.3121748178980299E-2</v>
      </c>
      <c r="K336" s="32">
        <v>276244</v>
      </c>
      <c r="L336" s="8">
        <f>IF(Tabela1511[[#This Row],[Core-Retail Sales]]="",#N/A,((Tabela1511[[#This Row],[Core-Retail Sales]]*1)/K335)-1)</f>
        <v>1.0664803222490082E-2</v>
      </c>
      <c r="M336" s="8">
        <f>IF(Tabela1511[[#This Row],[Core-Retail Sales]]="",#N/A,((Tabela1511[[#This Row],[Core-Retail Sales]]*1)/K324)-1)</f>
        <v>9.2383008675983369E-2</v>
      </c>
      <c r="N336" s="84">
        <v>172826</v>
      </c>
      <c r="O336" s="8">
        <f>IF(Tabela1511[[#This Row],[Real Retail Sales]]="",#N/A,((Tabela1511[[#This Row],[Real Retail Sales]]*1)/N335)-1)</f>
        <v>-1.0981643316224643E-3</v>
      </c>
      <c r="P336" s="8">
        <f>IF(Tabela1511[[#This Row],[Real Retail Sales]]="",#N/A,((Tabela1511[[#This Row],[Real Retail Sales]]*1)/N324)-1)</f>
        <v>9.2205994849545725E-3</v>
      </c>
      <c r="Q336" s="32">
        <v>240333</v>
      </c>
      <c r="R336" s="8">
        <f>IF(Tabela1511[[#This Row],[Core²-Retail Sales]]="",#N/A,((Tabela1511[[#This Row],[Core²-Retail Sales]]*1)/Q335)-1)</f>
        <v>1.3152736148524635E-2</v>
      </c>
      <c r="S336" s="8">
        <f>IF(Tabela1511[[#This Row],[Core²-Retail Sales]]="",#N/A,((Tabela1511[[#This Row],[Core²-Retail Sales]]*1)/Q324)-1)</f>
        <v>7.1833774852158028E-2</v>
      </c>
      <c r="T336" s="5">
        <v>74.2</v>
      </c>
      <c r="U336" s="7">
        <v>57.2</v>
      </c>
      <c r="V336" s="25">
        <v>61.4</v>
      </c>
      <c r="W336" s="25">
        <v>54.3</v>
      </c>
      <c r="X336" s="25">
        <v>57.4</v>
      </c>
      <c r="Y336" s="25">
        <v>57.5</v>
      </c>
      <c r="Z336" s="25">
        <v>56.9</v>
      </c>
      <c r="AA336" s="25">
        <f>IF([1]!Tabela1511[[#This Row],[Services New Orders]]="","",([1]!Tabela1511[[#This Row],[Manufacturing New Orders]]+[1]!Tabela1511[[#This Row],[Services New Orders]])/2)</f>
        <v>59.45</v>
      </c>
      <c r="AB336" s="25">
        <f>IF([1]!Tabela1511[[#This Row],[Services Employment]]="",#N/A,([1]!Tabela1511[[#This Row],[Manufacturing Employment]]+[1]!Tabela1511[[#This Row],[Services Employment]])/2)</f>
        <v>55.599999999999994</v>
      </c>
    </row>
    <row r="337" spans="1:28">
      <c r="A337" s="6">
        <v>38657</v>
      </c>
      <c r="B337" s="36"/>
      <c r="C337" s="8"/>
      <c r="D337" s="8"/>
      <c r="E337" s="7">
        <v>97.495099999999994</v>
      </c>
      <c r="F337" s="8">
        <f>IF(Tabela1511[[#This Row],[Industrial Production]]="",#N/A,((Tabela1511[[#This Row],[Industrial Production]]*1)/E336)-1)</f>
        <v>1.095830183651092E-2</v>
      </c>
      <c r="G337" s="8">
        <f>IF(Tabela1511[[#This Row],[Industrial Production]]="",#N/A,((Tabela1511[[#This Row],[Industrial Production]]*1)/E325)-1)</f>
        <v>2.8429324894514663E-2</v>
      </c>
      <c r="H337" s="32">
        <v>347325</v>
      </c>
      <c r="I337" s="8">
        <f>IF(Tabela1511[[#This Row],[Retail Sales]]="",#N/A,((Tabela1511[[#This Row],[Retail Sales]]*1)/H336)-1)</f>
        <v>9.3810756850538635E-3</v>
      </c>
      <c r="J337" s="8">
        <f>IF(Tabela1511[[#This Row],[Retail Sales]]="",#N/A,((Tabela1511[[#This Row],[Retail Sales]]*1)/H325)-1)</f>
        <v>5.9447406630144251E-2</v>
      </c>
      <c r="K337" s="32">
        <v>274114</v>
      </c>
      <c r="L337" s="8">
        <f>IF(Tabela1511[[#This Row],[Core-Retail Sales]]="",#N/A,((Tabela1511[[#This Row],[Core-Retail Sales]]*1)/K336)-1)</f>
        <v>-7.7105747093149102E-3</v>
      </c>
      <c r="M337" s="8">
        <f>IF(Tabela1511[[#This Row],[Core-Retail Sales]]="",#N/A,((Tabela1511[[#This Row],[Core-Retail Sales]]*1)/K325)-1)</f>
        <v>7.7369325037633274E-2</v>
      </c>
      <c r="N337" s="84">
        <v>175328</v>
      </c>
      <c r="O337" s="8">
        <f>IF(Tabela1511[[#This Row],[Real Retail Sales]]="",#N/A,((Tabela1511[[#This Row],[Real Retail Sales]]*1)/N336)-1)</f>
        <v>1.4476988416094905E-2</v>
      </c>
      <c r="P337" s="8">
        <f>IF(Tabela1511[[#This Row],[Real Retail Sales]]="",#N/A,((Tabela1511[[#This Row],[Real Retail Sales]]*1)/N325)-1)</f>
        <v>2.5220009940648547E-2</v>
      </c>
      <c r="Q337" s="32">
        <v>240929</v>
      </c>
      <c r="R337" s="8">
        <f>IF(Tabela1511[[#This Row],[Core²-Retail Sales]]="",#N/A,((Tabela1511[[#This Row],[Core²-Retail Sales]]*1)/Q336)-1)</f>
        <v>2.4798924825137902E-3</v>
      </c>
      <c r="S337" s="8">
        <f>IF(Tabela1511[[#This Row],[Core²-Retail Sales]]="",#N/A,((Tabela1511[[#This Row],[Core²-Retail Sales]]*1)/Q325)-1)</f>
        <v>7.0414963568508959E-2</v>
      </c>
      <c r="T337" s="5">
        <v>81.599999999999994</v>
      </c>
      <c r="U337" s="7">
        <v>56.7</v>
      </c>
      <c r="V337" s="25">
        <v>61.2</v>
      </c>
      <c r="W337" s="25">
        <v>56</v>
      </c>
      <c r="X337" s="25">
        <v>59.1</v>
      </c>
      <c r="Y337" s="25">
        <v>59.6</v>
      </c>
      <c r="Z337" s="25">
        <v>56.4</v>
      </c>
      <c r="AA337" s="25">
        <f>IF([1]!Tabela1511[[#This Row],[Services New Orders]]="","",([1]!Tabela1511[[#This Row],[Manufacturing New Orders]]+[1]!Tabela1511[[#This Row],[Services New Orders]])/2)</f>
        <v>60.400000000000006</v>
      </c>
      <c r="AB337" s="25">
        <f>IF([1]!Tabela1511[[#This Row],[Services Employment]]="",#N/A,([1]!Tabela1511[[#This Row],[Manufacturing Employment]]+[1]!Tabela1511[[#This Row],[Services Employment]])/2)</f>
        <v>56.2</v>
      </c>
    </row>
    <row r="338" spans="1:28">
      <c r="A338" s="6">
        <v>38687</v>
      </c>
      <c r="B338" s="36"/>
      <c r="C338" s="8"/>
      <c r="D338" s="8"/>
      <c r="E338" s="7">
        <v>97.978800000000007</v>
      </c>
      <c r="F338" s="8">
        <f>IF(Tabela1511[[#This Row],[Industrial Production]]="",#N/A,((Tabela1511[[#This Row],[Industrial Production]]*1)/E337)-1)</f>
        <v>4.9612749768963571E-3</v>
      </c>
      <c r="G338" s="8">
        <f>IF(Tabela1511[[#This Row],[Industrial Production]]="",#N/A,((Tabela1511[[#This Row],[Industrial Production]]*1)/E326)-1)</f>
        <v>2.5498573411232517E-2</v>
      </c>
      <c r="H338" s="32">
        <v>347405</v>
      </c>
      <c r="I338" s="8">
        <f>IF(Tabela1511[[#This Row],[Retail Sales]]="",#N/A,((Tabela1511[[#This Row],[Retail Sales]]*1)/H337)-1)</f>
        <v>2.3033182178067158E-4</v>
      </c>
      <c r="J338" s="8">
        <f>IF(Tabela1511[[#This Row],[Retail Sales]]="",#N/A,((Tabela1511[[#This Row],[Retail Sales]]*1)/H326)-1)</f>
        <v>4.6797881123558982E-2</v>
      </c>
      <c r="K338" s="32">
        <v>274073</v>
      </c>
      <c r="L338" s="8">
        <f>IF(Tabela1511[[#This Row],[Core-Retail Sales]]="",#N/A,((Tabela1511[[#This Row],[Core-Retail Sales]]*1)/K337)-1)</f>
        <v>-1.4957280547511775E-4</v>
      </c>
      <c r="M338" s="8">
        <f>IF(Tabela1511[[#This Row],[Core-Retail Sales]]="",#N/A,((Tabela1511[[#This Row],[Core-Retail Sales]]*1)/K326)-1)</f>
        <v>6.8564878531855333E-2</v>
      </c>
      <c r="N338" s="84">
        <v>175369</v>
      </c>
      <c r="O338" s="8">
        <f>IF(Tabela1511[[#This Row],[Real Retail Sales]]="",#N/A,((Tabela1511[[#This Row],[Real Retail Sales]]*1)/N337)-1)</f>
        <v>2.3384741741194759E-4</v>
      </c>
      <c r="P338" s="8">
        <f>IF(Tabela1511[[#This Row],[Real Retail Sales]]="",#N/A,((Tabela1511[[#This Row],[Real Retail Sales]]*1)/N326)-1)</f>
        <v>1.2979286283661295E-2</v>
      </c>
      <c r="Q338" s="32">
        <v>240919</v>
      </c>
      <c r="R338" s="8">
        <f>IF(Tabela1511[[#This Row],[Core²-Retail Sales]]="",#N/A,((Tabela1511[[#This Row],[Core²-Retail Sales]]*1)/Q337)-1)</f>
        <v>-4.1506003843450046E-5</v>
      </c>
      <c r="S338" s="8">
        <f>IF(Tabela1511[[#This Row],[Core²-Retail Sales]]="",#N/A,((Tabela1511[[#This Row],[Core²-Retail Sales]]*1)/Q326)-1)</f>
        <v>5.925932439621695E-2</v>
      </c>
      <c r="T338" s="5">
        <v>91.5</v>
      </c>
      <c r="U338" s="7">
        <v>55.1</v>
      </c>
      <c r="V338" s="25">
        <v>60.1</v>
      </c>
      <c r="W338" s="25">
        <v>53.7</v>
      </c>
      <c r="X338" s="25">
        <v>59</v>
      </c>
      <c r="Y338" s="25">
        <v>62.8</v>
      </c>
      <c r="Z338" s="25">
        <v>54.5</v>
      </c>
      <c r="AA338" s="25">
        <f>IF([1]!Tabela1511[[#This Row],[Services New Orders]]="","",([1]!Tabela1511[[#This Row],[Manufacturing New Orders]]+[1]!Tabela1511[[#This Row],[Services New Orders]])/2)</f>
        <v>61.45</v>
      </c>
      <c r="AB338" s="25">
        <f>IF([1]!Tabela1511[[#This Row],[Services Employment]]="",#N/A,([1]!Tabela1511[[#This Row],[Manufacturing Employment]]+[1]!Tabela1511[[#This Row],[Services Employment]])/2)</f>
        <v>54.1</v>
      </c>
    </row>
    <row r="339" spans="1:28">
      <c r="A339" s="6">
        <v>38718</v>
      </c>
      <c r="B339" s="36"/>
      <c r="C339" s="8"/>
      <c r="D339" s="8"/>
      <c r="E339" s="7">
        <v>98.130499999999998</v>
      </c>
      <c r="F339" s="8">
        <f>IF(Tabela1511[[#This Row],[Industrial Production]]="",#N/A,((Tabela1511[[#This Row],[Industrial Production]]*1)/E338)-1)</f>
        <v>1.548294120768956E-3</v>
      </c>
      <c r="G339" s="8">
        <f>IF(Tabela1511[[#This Row],[Industrial Production]]="",#N/A,((Tabela1511[[#This Row],[Industrial Production]]*1)/E327)-1)</f>
        <v>2.3438958481734495E-2</v>
      </c>
      <c r="H339" s="32">
        <v>357331</v>
      </c>
      <c r="I339" s="8">
        <f>IF(Tabela1511[[#This Row],[Retail Sales]]="",#N/A,((Tabela1511[[#This Row],[Retail Sales]]*1)/H338)-1)</f>
        <v>2.8571839783537945E-2</v>
      </c>
      <c r="J339" s="8">
        <f>IF(Tabela1511[[#This Row],[Retail Sales]]="",#N/A,((Tabela1511[[#This Row],[Retail Sales]]*1)/H327)-1)</f>
        <v>8.7116971304792346E-2</v>
      </c>
      <c r="K339" s="32">
        <v>280574</v>
      </c>
      <c r="L339" s="8">
        <f>IF(Tabela1511[[#This Row],[Core-Retail Sales]]="",#N/A,((Tabela1511[[#This Row],[Core-Retail Sales]]*1)/K338)-1)</f>
        <v>2.3719957821456417E-2</v>
      </c>
      <c r="M339" s="8">
        <f>IF(Tabela1511[[#This Row],[Core-Retail Sales]]="",#N/A,((Tabela1511[[#This Row],[Core-Retail Sales]]*1)/K327)-1)</f>
        <v>9.3374069123544068E-2</v>
      </c>
      <c r="N339" s="84">
        <v>179293</v>
      </c>
      <c r="O339" s="8">
        <f>IF(Tabela1511[[#This Row],[Real Retail Sales]]="",#N/A,((Tabela1511[[#This Row],[Real Retail Sales]]*1)/N338)-1)</f>
        <v>2.2375676430840041E-2</v>
      </c>
      <c r="P339" s="8">
        <f>IF(Tabela1511[[#This Row],[Real Retail Sales]]="",#N/A,((Tabela1511[[#This Row],[Real Retail Sales]]*1)/N327)-1)</f>
        <v>4.5117252394303753E-2</v>
      </c>
      <c r="Q339" s="32">
        <v>246276</v>
      </c>
      <c r="R339" s="8">
        <f>IF(Tabela1511[[#This Row],[Core²-Retail Sales]]="",#N/A,((Tabela1511[[#This Row],[Core²-Retail Sales]]*1)/Q338)-1)</f>
        <v>2.2235689173539575E-2</v>
      </c>
      <c r="S339" s="8">
        <f>IF(Tabela1511[[#This Row],[Core²-Retail Sales]]="",#N/A,((Tabela1511[[#This Row],[Core²-Retail Sales]]*1)/Q327)-1)</f>
        <v>7.9031537254970585E-2</v>
      </c>
      <c r="T339" s="5">
        <v>91.2</v>
      </c>
      <c r="U339" s="7">
        <v>55</v>
      </c>
      <c r="V339" s="25">
        <v>58.9</v>
      </c>
      <c r="W339" s="25">
        <v>53.1</v>
      </c>
      <c r="X339" s="25">
        <v>56.3</v>
      </c>
      <c r="Y339" s="25">
        <v>57.4</v>
      </c>
      <c r="Z339" s="25">
        <v>58.1</v>
      </c>
      <c r="AA339" s="25">
        <f>IF([1]!Tabela1511[[#This Row],[Services New Orders]]="","",([1]!Tabela1511[[#This Row],[Manufacturing New Orders]]+[1]!Tabela1511[[#This Row],[Services New Orders]])/2)</f>
        <v>58.15</v>
      </c>
      <c r="AB339" s="25">
        <f>IF([1]!Tabela1511[[#This Row],[Services Employment]]="",#N/A,([1]!Tabela1511[[#This Row],[Manufacturing Employment]]+[1]!Tabela1511[[#This Row],[Services Employment]])/2)</f>
        <v>55.6</v>
      </c>
    </row>
    <row r="340" spans="1:28">
      <c r="A340" s="6">
        <v>38749</v>
      </c>
      <c r="B340" s="36"/>
      <c r="C340" s="8"/>
      <c r="D340" s="8"/>
      <c r="E340" s="7">
        <v>98.177899999999994</v>
      </c>
      <c r="F340" s="8">
        <f>IF(Tabela1511[[#This Row],[Industrial Production]]="",#N/A,((Tabela1511[[#This Row],[Industrial Production]]*1)/E339)-1)</f>
        <v>4.8303025053364479E-4</v>
      </c>
      <c r="G340" s="8">
        <f>IF(Tabela1511[[#This Row],[Industrial Production]]="",#N/A,((Tabela1511[[#This Row],[Industrial Production]]*1)/E328)-1)</f>
        <v>1.6738537886696214E-2</v>
      </c>
      <c r="H340" s="32">
        <v>354706</v>
      </c>
      <c r="I340" s="8">
        <f>IF(Tabela1511[[#This Row],[Retail Sales]]="",#N/A,((Tabela1511[[#This Row],[Retail Sales]]*1)/H339)-1)</f>
        <v>-7.3461300586851186E-3</v>
      </c>
      <c r="J340" s="8">
        <f>IF(Tabela1511[[#This Row],[Retail Sales]]="",#N/A,((Tabela1511[[#This Row],[Retail Sales]]*1)/H328)-1)</f>
        <v>6.5100022220487386E-2</v>
      </c>
      <c r="K340" s="32">
        <v>280598</v>
      </c>
      <c r="L340" s="8">
        <f>IF(Tabela1511[[#This Row],[Core-Retail Sales]]="",#N/A,((Tabela1511[[#This Row],[Core-Retail Sales]]*1)/K339)-1)</f>
        <v>8.5538930906015054E-5</v>
      </c>
      <c r="M340" s="8">
        <f>IF(Tabela1511[[#This Row],[Core-Retail Sales]]="",#N/A,((Tabela1511[[#This Row],[Core-Retail Sales]]*1)/K328)-1)</f>
        <v>8.2332702032377636E-2</v>
      </c>
      <c r="N340" s="84">
        <v>177887</v>
      </c>
      <c r="O340" s="8">
        <f>IF(Tabela1511[[#This Row],[Real Retail Sales]]="",#N/A,((Tabela1511[[#This Row],[Real Retail Sales]]*1)/N339)-1)</f>
        <v>-7.8419124003725749E-3</v>
      </c>
      <c r="P340" s="8">
        <f>IF(Tabela1511[[#This Row],[Real Retail Sales]]="",#N/A,((Tabela1511[[#This Row],[Real Retail Sales]]*1)/N328)-1)</f>
        <v>2.7713906060431004E-2</v>
      </c>
      <c r="Q340" s="32">
        <v>246424</v>
      </c>
      <c r="R340" s="8">
        <f>IF(Tabela1511[[#This Row],[Core²-Retail Sales]]="",#N/A,((Tabela1511[[#This Row],[Core²-Retail Sales]]*1)/Q339)-1)</f>
        <v>6.0095177768038077E-4</v>
      </c>
      <c r="S340" s="8">
        <f>IF(Tabela1511[[#This Row],[Core²-Retail Sales]]="",#N/A,((Tabela1511[[#This Row],[Core²-Retail Sales]]*1)/Q328)-1)</f>
        <v>7.0301166618889965E-2</v>
      </c>
      <c r="T340" s="5">
        <v>86.7</v>
      </c>
      <c r="U340" s="7">
        <v>55.8</v>
      </c>
      <c r="V340" s="25">
        <v>61</v>
      </c>
      <c r="W340" s="25">
        <v>53.5</v>
      </c>
      <c r="X340" s="25">
        <v>57.6</v>
      </c>
      <c r="Y340" s="25">
        <v>57.8</v>
      </c>
      <c r="Z340" s="25">
        <v>55.1</v>
      </c>
      <c r="AA340" s="25">
        <f>IF([1]!Tabela1511[[#This Row],[Services New Orders]]="","",([1]!Tabela1511[[#This Row],[Manufacturing New Orders]]+[1]!Tabela1511[[#This Row],[Services New Orders]])/2)</f>
        <v>59.4</v>
      </c>
      <c r="AB340" s="25">
        <f>IF([1]!Tabela1511[[#This Row],[Services Employment]]="",#N/A,([1]!Tabela1511[[#This Row],[Manufacturing Employment]]+[1]!Tabela1511[[#This Row],[Services Employment]])/2)</f>
        <v>54.3</v>
      </c>
    </row>
    <row r="341" spans="1:28">
      <c r="A341" s="6">
        <v>38777</v>
      </c>
      <c r="B341" s="36"/>
      <c r="C341" s="8"/>
      <c r="D341" s="8"/>
      <c r="E341" s="7">
        <v>98.389799999999994</v>
      </c>
      <c r="F341" s="8">
        <f>IF(Tabela1511[[#This Row],[Industrial Production]]="",#N/A,((Tabela1511[[#This Row],[Industrial Production]]*1)/E340)-1)</f>
        <v>2.1583268739706618E-3</v>
      </c>
      <c r="G341" s="8">
        <f>IF(Tabela1511[[#This Row],[Industrial Production]]="",#N/A,((Tabela1511[[#This Row],[Industrial Production]]*1)/E329)-1)</f>
        <v>2.0248431360959662E-2</v>
      </c>
      <c r="H341" s="32">
        <v>355665</v>
      </c>
      <c r="I341" s="8">
        <f>IF(Tabela1511[[#This Row],[Retail Sales]]="",#N/A,((Tabela1511[[#This Row],[Retail Sales]]*1)/H340)-1)</f>
        <v>2.7036475278117145E-3</v>
      </c>
      <c r="J341" s="8">
        <f>IF(Tabela1511[[#This Row],[Retail Sales]]="",#N/A,((Tabela1511[[#This Row],[Retail Sales]]*1)/H329)-1)</f>
        <v>6.6202811311195875E-2</v>
      </c>
      <c r="K341" s="32">
        <v>281056</v>
      </c>
      <c r="L341" s="8">
        <f>IF(Tabela1511[[#This Row],[Core-Retail Sales]]="",#N/A,((Tabela1511[[#This Row],[Core-Retail Sales]]*1)/K340)-1)</f>
        <v>1.6322283123899606E-3</v>
      </c>
      <c r="M341" s="8">
        <f>IF(Tabela1511[[#This Row],[Core-Retail Sales]]="",#N/A,((Tabela1511[[#This Row],[Core-Retail Sales]]*1)/K329)-1)</f>
        <v>8.3342969695568092E-2</v>
      </c>
      <c r="N341" s="84">
        <v>178100</v>
      </c>
      <c r="O341" s="8">
        <f>IF(Tabela1511[[#This Row],[Real Retail Sales]]="",#N/A,((Tabela1511[[#This Row],[Real Retail Sales]]*1)/N340)-1)</f>
        <v>1.1973893539156677E-3</v>
      </c>
      <c r="P341" s="8">
        <f>IF(Tabela1511[[#This Row],[Real Retail Sales]]="",#N/A,((Tabela1511[[#This Row],[Real Retail Sales]]*1)/N329)-1)</f>
        <v>3.0969609261939146E-2</v>
      </c>
      <c r="Q341" s="32">
        <v>246861</v>
      </c>
      <c r="R341" s="8">
        <f>IF(Tabela1511[[#This Row],[Core²-Retail Sales]]="",#N/A,((Tabela1511[[#This Row],[Core²-Retail Sales]]*1)/Q340)-1)</f>
        <v>1.7733662305619013E-3</v>
      </c>
      <c r="S341" s="8">
        <f>IF(Tabela1511[[#This Row],[Core²-Retail Sales]]="",#N/A,((Tabela1511[[#This Row],[Core²-Retail Sales]]*1)/Q329)-1)</f>
        <v>7.3607438591608121E-2</v>
      </c>
      <c r="T341" s="5">
        <v>88.9</v>
      </c>
      <c r="U341" s="7">
        <v>54.3</v>
      </c>
      <c r="V341" s="25">
        <v>57</v>
      </c>
      <c r="W341" s="25">
        <v>53.8</v>
      </c>
      <c r="X341" s="25">
        <v>56.9</v>
      </c>
      <c r="Y341" s="25">
        <v>58.6</v>
      </c>
      <c r="Z341" s="25">
        <v>56.5</v>
      </c>
      <c r="AA341" s="25">
        <f>IF([1]!Tabela1511[[#This Row],[Services New Orders]]="","",([1]!Tabela1511[[#This Row],[Manufacturing New Orders]]+[1]!Tabela1511[[#This Row],[Services New Orders]])/2)</f>
        <v>57.8</v>
      </c>
      <c r="AB341" s="25">
        <f>IF([1]!Tabela1511[[#This Row],[Services Employment]]="",#N/A,([1]!Tabela1511[[#This Row],[Manufacturing Employment]]+[1]!Tabela1511[[#This Row],[Services Employment]])/2)</f>
        <v>55.15</v>
      </c>
    </row>
    <row r="342" spans="1:28">
      <c r="A342" s="6">
        <v>38808</v>
      </c>
      <c r="B342" s="36"/>
      <c r="C342" s="8"/>
      <c r="D342" s="8"/>
      <c r="E342" s="7">
        <v>98.676900000000003</v>
      </c>
      <c r="F342" s="8">
        <f>IF(Tabela1511[[#This Row],[Industrial Production]]="",#N/A,((Tabela1511[[#This Row],[Industrial Production]]*1)/E341)-1)</f>
        <v>2.9179854009258044E-3</v>
      </c>
      <c r="G342" s="8">
        <f>IF(Tabela1511[[#This Row],[Industrial Production]]="",#N/A,((Tabela1511[[#This Row],[Industrial Production]]*1)/E330)-1)</f>
        <v>2.1203998840915617E-2</v>
      </c>
      <c r="H342" s="32">
        <v>357423</v>
      </c>
      <c r="I342" s="8">
        <f>IF(Tabela1511[[#This Row],[Retail Sales]]="",#N/A,((Tabela1511[[#This Row],[Retail Sales]]*1)/H341)-1)</f>
        <v>4.942853527898361E-3</v>
      </c>
      <c r="J342" s="8">
        <f>IF(Tabela1511[[#This Row],[Retail Sales]]="",#N/A,((Tabela1511[[#This Row],[Retail Sales]]*1)/H330)-1)</f>
        <v>6.1916377238303788E-2</v>
      </c>
      <c r="K342" s="32">
        <v>282525</v>
      </c>
      <c r="L342" s="8">
        <f>IF(Tabela1511[[#This Row],[Core-Retail Sales]]="",#N/A,((Tabela1511[[#This Row],[Core-Retail Sales]]*1)/K341)-1)</f>
        <v>5.2267163839234687E-3</v>
      </c>
      <c r="M342" s="8">
        <f>IF(Tabela1511[[#This Row],[Core-Retail Sales]]="",#N/A,((Tabela1511[[#This Row],[Core-Retail Sales]]*1)/K330)-1)</f>
        <v>7.4509192420911807E-2</v>
      </c>
      <c r="N342" s="84">
        <v>178088</v>
      </c>
      <c r="O342" s="8">
        <f>IF(Tabela1511[[#This Row],[Real Retail Sales]]="",#N/A,((Tabela1511[[#This Row],[Real Retail Sales]]*1)/N341)-1)</f>
        <v>-6.7377877596808133E-5</v>
      </c>
      <c r="P342" s="8">
        <f>IF(Tabela1511[[#This Row],[Real Retail Sales]]="",#N/A,((Tabela1511[[#This Row],[Real Retail Sales]]*1)/N330)-1)</f>
        <v>2.4878427761632071E-2</v>
      </c>
      <c r="Q342" s="32">
        <v>246879</v>
      </c>
      <c r="R342" s="8">
        <f>IF(Tabela1511[[#This Row],[Core²-Retail Sales]]="",#N/A,((Tabela1511[[#This Row],[Core²-Retail Sales]]*1)/Q341)-1)</f>
        <v>7.2915527361550048E-5</v>
      </c>
      <c r="S342" s="8">
        <f>IF(Tabela1511[[#This Row],[Core²-Retail Sales]]="",#N/A,((Tabela1511[[#This Row],[Core²-Retail Sales]]*1)/Q330)-1)</f>
        <v>5.9907695610174949E-2</v>
      </c>
      <c r="T342" s="5">
        <v>87.4</v>
      </c>
      <c r="U342" s="7">
        <v>55.2</v>
      </c>
      <c r="V342" s="25">
        <v>55.7</v>
      </c>
      <c r="W342" s="25">
        <v>54.2</v>
      </c>
      <c r="X342" s="25">
        <v>58.4</v>
      </c>
      <c r="Y342" s="25">
        <v>61.1</v>
      </c>
      <c r="Z342" s="25">
        <v>54.6</v>
      </c>
      <c r="AA342" s="25">
        <f>IF([1]!Tabela1511[[#This Row],[Services New Orders]]="","",([1]!Tabela1511[[#This Row],[Manufacturing New Orders]]+[1]!Tabela1511[[#This Row],[Services New Orders]])/2)</f>
        <v>58.400000000000006</v>
      </c>
      <c r="AB342" s="25">
        <f>IF([1]!Tabela1511[[#This Row],[Services Employment]]="",#N/A,([1]!Tabela1511[[#This Row],[Manufacturing Employment]]+[1]!Tabela1511[[#This Row],[Services Employment]])/2)</f>
        <v>54.400000000000006</v>
      </c>
    </row>
    <row r="343" spans="1:28">
      <c r="A343" s="6">
        <v>38838</v>
      </c>
      <c r="B343" s="36"/>
      <c r="C343" s="8"/>
      <c r="D343" s="8"/>
      <c r="E343" s="7">
        <v>98.705200000000005</v>
      </c>
      <c r="F343" s="8">
        <f>IF(Tabela1511[[#This Row],[Industrial Production]]="",#N/A,((Tabela1511[[#This Row],[Industrial Production]]*1)/E342)-1)</f>
        <v>2.8679457907587746E-4</v>
      </c>
      <c r="G343" s="8">
        <f>IF(Tabela1511[[#This Row],[Industrial Production]]="",#N/A,((Tabela1511[[#This Row],[Industrial Production]]*1)/E331)-1)</f>
        <v>2.0413395554250702E-2</v>
      </c>
      <c r="H343" s="32">
        <v>356704</v>
      </c>
      <c r="I343" s="8">
        <f>IF(Tabela1511[[#This Row],[Retail Sales]]="",#N/A,((Tabela1511[[#This Row],[Retail Sales]]*1)/H342)-1)</f>
        <v>-2.0116220836375875E-3</v>
      </c>
      <c r="J343" s="8">
        <f>IF(Tabela1511[[#This Row],[Retail Sales]]="",#N/A,((Tabela1511[[#This Row],[Retail Sales]]*1)/H331)-1)</f>
        <v>6.6309540179719129E-2</v>
      </c>
      <c r="K343" s="32">
        <v>282623</v>
      </c>
      <c r="L343" s="8">
        <f>IF(Tabela1511[[#This Row],[Core-Retail Sales]]="",#N/A,((Tabela1511[[#This Row],[Core-Retail Sales]]*1)/K342)-1)</f>
        <v>3.4687195823379646E-4</v>
      </c>
      <c r="M343" s="8">
        <f>IF(Tabela1511[[#This Row],[Core-Retail Sales]]="",#N/A,((Tabela1511[[#This Row],[Core-Retail Sales]]*1)/K331)-1)</f>
        <v>8.1615938950695854E-2</v>
      </c>
      <c r="N343" s="84">
        <v>177200</v>
      </c>
      <c r="O343" s="8">
        <f>IF(Tabela1511[[#This Row],[Real Retail Sales]]="",#N/A,((Tabela1511[[#This Row],[Real Retail Sales]]*1)/N342)-1)</f>
        <v>-4.9862989084048515E-3</v>
      </c>
      <c r="P343" s="8">
        <f>IF(Tabela1511[[#This Row],[Real Retail Sales]]="",#N/A,((Tabela1511[[#This Row],[Real Retail Sales]]*1)/N331)-1)</f>
        <v>2.5522310318884189E-2</v>
      </c>
      <c r="Q343" s="32">
        <v>246464</v>
      </c>
      <c r="R343" s="8">
        <f>IF(Tabela1511[[#This Row],[Core²-Retail Sales]]="",#N/A,((Tabela1511[[#This Row],[Core²-Retail Sales]]*1)/Q342)-1)</f>
        <v>-1.6809854220083409E-3</v>
      </c>
      <c r="S343" s="8">
        <f>IF(Tabela1511[[#This Row],[Core²-Retail Sales]]="",#N/A,((Tabela1511[[#This Row],[Core²-Retail Sales]]*1)/Q331)-1)</f>
        <v>6.1626399376284224E-2</v>
      </c>
      <c r="T343" s="5">
        <v>79.099999999999994</v>
      </c>
      <c r="U343" s="7">
        <v>53.7</v>
      </c>
      <c r="V343" s="25">
        <v>54.9</v>
      </c>
      <c r="W343" s="25">
        <v>53.2</v>
      </c>
      <c r="X343" s="25">
        <v>57</v>
      </c>
      <c r="Y343" s="25">
        <v>58.6</v>
      </c>
      <c r="Z343" s="25">
        <v>51.2</v>
      </c>
      <c r="AA343" s="25">
        <f>IF([1]!Tabela1511[[#This Row],[Services New Orders]]="","",([1]!Tabela1511[[#This Row],[Manufacturing New Orders]]+[1]!Tabela1511[[#This Row],[Services New Orders]])/2)</f>
        <v>56.75</v>
      </c>
      <c r="AB343" s="25">
        <f>IF([1]!Tabela1511[[#This Row],[Services Employment]]="",#N/A,([1]!Tabela1511[[#This Row],[Manufacturing Employment]]+[1]!Tabela1511[[#This Row],[Services Employment]])/2)</f>
        <v>52.2</v>
      </c>
    </row>
    <row r="344" spans="1:28">
      <c r="A344" s="6">
        <v>38869</v>
      </c>
      <c r="B344" s="36"/>
      <c r="C344" s="8"/>
      <c r="D344" s="8"/>
      <c r="E344" s="7">
        <v>99.042699999999996</v>
      </c>
      <c r="F344" s="8">
        <f>IF(Tabela1511[[#This Row],[Industrial Production]]="",#N/A,((Tabela1511[[#This Row],[Industrial Production]]*1)/E343)-1)</f>
        <v>3.4192727434825265E-3</v>
      </c>
      <c r="G344" s="8">
        <f>IF(Tabela1511[[#This Row],[Industrial Production]]="",#N/A,((Tabela1511[[#This Row],[Industrial Production]]*1)/E332)-1)</f>
        <v>1.9494836786455361E-2</v>
      </c>
      <c r="H344" s="32">
        <v>357879</v>
      </c>
      <c r="I344" s="8">
        <f>IF(Tabela1511[[#This Row],[Retail Sales]]="",#N/A,((Tabela1511[[#This Row],[Retail Sales]]*1)/H343)-1)</f>
        <v>3.294047725845628E-3</v>
      </c>
      <c r="J344" s="8">
        <f>IF(Tabela1511[[#This Row],[Retail Sales]]="",#N/A,((Tabela1511[[#This Row],[Retail Sales]]*1)/H332)-1)</f>
        <v>4.0351978790574394E-2</v>
      </c>
      <c r="K344" s="32">
        <v>282510</v>
      </c>
      <c r="L344" s="8">
        <f>IF(Tabela1511[[#This Row],[Core-Retail Sales]]="",#N/A,((Tabela1511[[#This Row],[Core-Retail Sales]]*1)/K343)-1)</f>
        <v>-3.9982591650356003E-4</v>
      </c>
      <c r="M344" s="8">
        <f>IF(Tabela1511[[#This Row],[Core-Retail Sales]]="",#N/A,((Tabela1511[[#This Row],[Core-Retail Sales]]*1)/K332)-1)</f>
        <v>6.8660420110531417E-2</v>
      </c>
      <c r="N344" s="84">
        <v>177343</v>
      </c>
      <c r="O344" s="8">
        <f>IF(Tabela1511[[#This Row],[Real Retail Sales]]="",#N/A,((Tabela1511[[#This Row],[Real Retail Sales]]*1)/N343)-1)</f>
        <v>8.0699774266368429E-4</v>
      </c>
      <c r="P344" s="8">
        <f>IF(Tabela1511[[#This Row],[Real Retail Sales]]="",#N/A,((Tabela1511[[#This Row],[Real Retail Sales]]*1)/N332)-1)</f>
        <v>-1.4077131418468447E-3</v>
      </c>
      <c r="Q344" s="32">
        <v>246282</v>
      </c>
      <c r="R344" s="8">
        <f>IF(Tabela1511[[#This Row],[Core²-Retail Sales]]="",#N/A,((Tabela1511[[#This Row],[Core²-Retail Sales]]*1)/Q343)-1)</f>
        <v>-7.3844455985461188E-4</v>
      </c>
      <c r="S344" s="8">
        <f>IF(Tabela1511[[#This Row],[Core²-Retail Sales]]="",#N/A,((Tabela1511[[#This Row],[Core²-Retail Sales]]*1)/Q332)-1)</f>
        <v>5.0377447008145948E-2</v>
      </c>
      <c r="T344" s="5">
        <v>84.9</v>
      </c>
      <c r="U344" s="7">
        <v>52</v>
      </c>
      <c r="V344" s="25">
        <v>55</v>
      </c>
      <c r="W344" s="25">
        <v>49.9</v>
      </c>
      <c r="X344" s="25">
        <v>55.2</v>
      </c>
      <c r="Y344" s="25">
        <v>57</v>
      </c>
      <c r="Z344" s="25">
        <v>53.6</v>
      </c>
      <c r="AA344" s="25">
        <f>IF([1]!Tabela1511[[#This Row],[Services New Orders]]="","",([1]!Tabela1511[[#This Row],[Manufacturing New Orders]]+[1]!Tabela1511[[#This Row],[Services New Orders]])/2)</f>
        <v>56</v>
      </c>
      <c r="AB344" s="25">
        <f>IF([1]!Tabela1511[[#This Row],[Services Employment]]="",#N/A,([1]!Tabela1511[[#This Row],[Manufacturing Employment]]+[1]!Tabela1511[[#This Row],[Services Employment]])/2)</f>
        <v>51.75</v>
      </c>
    </row>
    <row r="345" spans="1:28">
      <c r="A345" s="6">
        <v>38899</v>
      </c>
      <c r="B345" s="36"/>
      <c r="C345" s="8"/>
      <c r="D345" s="8"/>
      <c r="E345" s="7">
        <v>98.980400000000003</v>
      </c>
      <c r="F345" s="8">
        <f>IF(Tabela1511[[#This Row],[Industrial Production]]="",#N/A,((Tabela1511[[#This Row],[Industrial Production]]*1)/E344)-1)</f>
        <v>-6.2902162400657602E-4</v>
      </c>
      <c r="G345" s="8">
        <f>IF(Tabela1511[[#This Row],[Industrial Production]]="",#N/A,((Tabela1511[[#This Row],[Industrial Production]]*1)/E333)-1)</f>
        <v>2.2120380056238176E-2</v>
      </c>
      <c r="H345" s="32">
        <v>359006</v>
      </c>
      <c r="I345" s="8">
        <f>IF(Tabela1511[[#This Row],[Retail Sales]]="",#N/A,((Tabela1511[[#This Row],[Retail Sales]]*1)/H344)-1)</f>
        <v>3.1491090564128577E-3</v>
      </c>
      <c r="J345" s="8">
        <f>IF(Tabela1511[[#This Row],[Retail Sales]]="",#N/A,((Tabela1511[[#This Row],[Retail Sales]]*1)/H333)-1)</f>
        <v>3.5865149346752334E-2</v>
      </c>
      <c r="K345" s="32">
        <v>283042</v>
      </c>
      <c r="L345" s="8">
        <f>IF(Tabela1511[[#This Row],[Core-Retail Sales]]="",#N/A,((Tabela1511[[#This Row],[Core-Retail Sales]]*1)/K344)-1)</f>
        <v>1.8831191816219839E-3</v>
      </c>
      <c r="M345" s="8">
        <f>IF(Tabela1511[[#This Row],[Core-Retail Sales]]="",#N/A,((Tabela1511[[#This Row],[Core-Retail Sales]]*1)/K333)-1)</f>
        <v>6.8199916217246415E-2</v>
      </c>
      <c r="N345" s="84">
        <v>176937</v>
      </c>
      <c r="O345" s="8">
        <f>IF(Tabela1511[[#This Row],[Real Retail Sales]]="",#N/A,((Tabela1511[[#This Row],[Real Retail Sales]]*1)/N344)-1)</f>
        <v>-2.2893488888763303E-3</v>
      </c>
      <c r="P345" s="8">
        <f>IF(Tabela1511[[#This Row],[Real Retail Sales]]="",#N/A,((Tabela1511[[#This Row],[Real Retail Sales]]*1)/N333)-1)</f>
        <v>-4.9768869993589426E-3</v>
      </c>
      <c r="Q345" s="32">
        <v>246079</v>
      </c>
      <c r="R345" s="8">
        <f>IF(Tabela1511[[#This Row],[Core²-Retail Sales]]="",#N/A,((Tabela1511[[#This Row],[Core²-Retail Sales]]*1)/Q344)-1)</f>
        <v>-8.2425837048583084E-4</v>
      </c>
      <c r="S345" s="8">
        <f>IF(Tabela1511[[#This Row],[Core²-Retail Sales]]="",#N/A,((Tabela1511[[#This Row],[Core²-Retail Sales]]*1)/Q333)-1)</f>
        <v>5.1642129105322843E-2</v>
      </c>
      <c r="T345" s="5">
        <v>84.7</v>
      </c>
      <c r="U345" s="7">
        <v>53</v>
      </c>
      <c r="V345" s="25">
        <v>55.8</v>
      </c>
      <c r="W345" s="25">
        <v>50.7</v>
      </c>
      <c r="X345" s="25">
        <v>55.6</v>
      </c>
      <c r="Y345" s="25">
        <v>58.1</v>
      </c>
      <c r="Z345" s="25">
        <v>52.2</v>
      </c>
      <c r="AA345" s="25">
        <f>IF([1]!Tabela1511[[#This Row],[Services New Orders]]="","",([1]!Tabela1511[[#This Row],[Manufacturing New Orders]]+[1]!Tabela1511[[#This Row],[Services New Orders]])/2)</f>
        <v>56.95</v>
      </c>
      <c r="AB345" s="25">
        <f>IF([1]!Tabela1511[[#This Row],[Services Employment]]="",#N/A,([1]!Tabela1511[[#This Row],[Manufacturing Employment]]+[1]!Tabela1511[[#This Row],[Services Employment]])/2)</f>
        <v>51.45</v>
      </c>
    </row>
    <row r="346" spans="1:28">
      <c r="A346" s="6">
        <v>38930</v>
      </c>
      <c r="B346" s="36"/>
      <c r="C346" s="8"/>
      <c r="D346" s="8"/>
      <c r="E346" s="7">
        <v>99.410600000000002</v>
      </c>
      <c r="F346" s="8">
        <f>IF(Tabela1511[[#This Row],[Industrial Production]]="",#N/A,((Tabela1511[[#This Row],[Industrial Production]]*1)/E345)-1)</f>
        <v>4.3463150280258489E-3</v>
      </c>
      <c r="G346" s="8">
        <f>IF(Tabela1511[[#This Row],[Industrial Production]]="",#N/A,((Tabela1511[[#This Row],[Industrial Production]]*1)/E334)-1)</f>
        <v>2.3160694234167556E-2</v>
      </c>
      <c r="H346" s="32">
        <v>360691</v>
      </c>
      <c r="I346" s="8">
        <f>IF(Tabela1511[[#This Row],[Retail Sales]]="",#N/A,((Tabela1511[[#This Row],[Retail Sales]]*1)/H345)-1)</f>
        <v>4.6935148716178432E-3</v>
      </c>
      <c r="J346" s="8">
        <f>IF(Tabela1511[[#This Row],[Retail Sales]]="",#N/A,((Tabela1511[[#This Row],[Retail Sales]]*1)/H334)-1)</f>
        <v>5.0636893509308001E-2</v>
      </c>
      <c r="K346" s="32">
        <v>285504</v>
      </c>
      <c r="L346" s="8">
        <f>IF(Tabela1511[[#This Row],[Core-Retail Sales]]="",#N/A,((Tabela1511[[#This Row],[Core-Retail Sales]]*1)/K345)-1)</f>
        <v>8.6983557210591478E-3</v>
      </c>
      <c r="M346" s="8">
        <f>IF(Tabela1511[[#This Row],[Core-Retail Sales]]="",#N/A,((Tabela1511[[#This Row],[Core-Retail Sales]]*1)/K334)-1)</f>
        <v>5.930543187889592E-2</v>
      </c>
      <c r="N346" s="84">
        <v>176983</v>
      </c>
      <c r="O346" s="8">
        <f>IF(Tabela1511[[#This Row],[Real Retail Sales]]="",#N/A,((Tabela1511[[#This Row],[Real Retail Sales]]*1)/N345)-1)</f>
        <v>2.599795407405292E-4</v>
      </c>
      <c r="P346" s="8">
        <f>IF(Tabela1511[[#This Row],[Real Retail Sales]]="",#N/A,((Tabela1511[[#This Row],[Real Retail Sales]]*1)/N334)-1)</f>
        <v>1.0944381294018868E-2</v>
      </c>
      <c r="Q346" s="32">
        <v>247808</v>
      </c>
      <c r="R346" s="8">
        <f>IF(Tabela1511[[#This Row],[Core²-Retail Sales]]="",#N/A,((Tabela1511[[#This Row],[Core²-Retail Sales]]*1)/Q345)-1)</f>
        <v>7.0261989036042305E-3</v>
      </c>
      <c r="S346" s="8">
        <f>IF(Tabela1511[[#This Row],[Core²-Retail Sales]]="",#N/A,((Tabela1511[[#This Row],[Core²-Retail Sales]]*1)/Q334)-1)</f>
        <v>4.9495809351984832E-2</v>
      </c>
      <c r="T346" s="5">
        <v>82</v>
      </c>
      <c r="U346" s="7">
        <v>53.7</v>
      </c>
      <c r="V346" s="25">
        <v>55.3</v>
      </c>
      <c r="W346" s="25">
        <v>52.6</v>
      </c>
      <c r="X346" s="25">
        <v>53.9</v>
      </c>
      <c r="Y346" s="25">
        <v>53.1</v>
      </c>
      <c r="Z346" s="25">
        <v>52.9</v>
      </c>
      <c r="AA346" s="25">
        <f>IF([1]!Tabela1511[[#This Row],[Services New Orders]]="","",([1]!Tabela1511[[#This Row],[Manufacturing New Orders]]+[1]!Tabela1511[[#This Row],[Services New Orders]])/2)</f>
        <v>54.2</v>
      </c>
      <c r="AB346" s="25">
        <f>IF([1]!Tabela1511[[#This Row],[Services Employment]]="",#N/A,([1]!Tabela1511[[#This Row],[Manufacturing Employment]]+[1]!Tabela1511[[#This Row],[Services Employment]])/2)</f>
        <v>52.75</v>
      </c>
    </row>
    <row r="347" spans="1:28">
      <c r="A347" s="6">
        <v>38961</v>
      </c>
      <c r="B347" s="36"/>
      <c r="C347" s="8"/>
      <c r="D347" s="8"/>
      <c r="E347" s="7">
        <v>99.220699999999994</v>
      </c>
      <c r="F347" s="8">
        <f>IF(Tabela1511[[#This Row],[Industrial Production]]="",#N/A,((Tabela1511[[#This Row],[Industrial Production]]*1)/E346)-1)</f>
        <v>-1.910259066940645E-3</v>
      </c>
      <c r="G347" s="8">
        <f>IF(Tabela1511[[#This Row],[Industrial Production]]="",#N/A,((Tabela1511[[#This Row],[Industrial Production]]*1)/E335)-1)</f>
        <v>4.1436756937177188E-2</v>
      </c>
      <c r="H347" s="32">
        <v>358961</v>
      </c>
      <c r="I347" s="8">
        <f>IF(Tabela1511[[#This Row],[Retail Sales]]="",#N/A,((Tabela1511[[#This Row],[Retail Sales]]*1)/H346)-1)</f>
        <v>-4.7963492296730914E-3</v>
      </c>
      <c r="J347" s="8">
        <f>IF(Tabela1511[[#This Row],[Retail Sales]]="",#N/A,((Tabela1511[[#This Row],[Retail Sales]]*1)/H335)-1)</f>
        <v>4.3624765958436562E-2</v>
      </c>
      <c r="K347" s="32">
        <v>284382</v>
      </c>
      <c r="L347" s="8">
        <f>IF(Tabela1511[[#This Row],[Core-Retail Sales]]="",#N/A,((Tabela1511[[#This Row],[Core-Retail Sales]]*1)/K346)-1)</f>
        <v>-3.9298924008069891E-3</v>
      </c>
      <c r="M347" s="8">
        <f>IF(Tabela1511[[#This Row],[Core-Retail Sales]]="",#N/A,((Tabela1511[[#This Row],[Core-Retail Sales]]*1)/K335)-1)</f>
        <v>4.0438445975363058E-2</v>
      </c>
      <c r="N347" s="84">
        <v>177002</v>
      </c>
      <c r="O347" s="8">
        <f>IF(Tabela1511[[#This Row],[Real Retail Sales]]="",#N/A,((Tabela1511[[#This Row],[Real Retail Sales]]*1)/N346)-1)</f>
        <v>1.073549436951815E-4</v>
      </c>
      <c r="P347" s="8">
        <f>IF(Tabela1511[[#This Row],[Real Retail Sales]]="",#N/A,((Tabela1511[[#This Row],[Real Retail Sales]]*1)/N335)-1)</f>
        <v>2.3038331714985816E-2</v>
      </c>
      <c r="Q347" s="32">
        <v>249447</v>
      </c>
      <c r="R347" s="8">
        <f>IF(Tabela1511[[#This Row],[Core²-Retail Sales]]="",#N/A,((Tabela1511[[#This Row],[Core²-Retail Sales]]*1)/Q346)-1)</f>
        <v>6.6139914772727071E-3</v>
      </c>
      <c r="S347" s="8">
        <f>IF(Tabela1511[[#This Row],[Core²-Retail Sales]]="",#N/A,((Tabela1511[[#This Row],[Core²-Retail Sales]]*1)/Q335)-1)</f>
        <v>5.1573901936234456E-2</v>
      </c>
      <c r="T347" s="5">
        <v>85.4</v>
      </c>
      <c r="U347" s="7">
        <v>52.2</v>
      </c>
      <c r="V347" s="25">
        <v>54.8</v>
      </c>
      <c r="W347" s="25">
        <v>49.9</v>
      </c>
      <c r="X347" s="25">
        <v>54.5</v>
      </c>
      <c r="Y347" s="25">
        <v>56.5</v>
      </c>
      <c r="Z347" s="25">
        <v>52.9</v>
      </c>
      <c r="AA347" s="25">
        <f>IF([1]!Tabela1511[[#This Row],[Services New Orders]]="","",([1]!Tabela1511[[#This Row],[Manufacturing New Orders]]+[1]!Tabela1511[[#This Row],[Services New Orders]])/2)</f>
        <v>55.65</v>
      </c>
      <c r="AB347" s="25">
        <f>IF([1]!Tabela1511[[#This Row],[Services Employment]]="",#N/A,([1]!Tabela1511[[#This Row],[Manufacturing Employment]]+[1]!Tabela1511[[#This Row],[Services Employment]])/2)</f>
        <v>51.4</v>
      </c>
    </row>
    <row r="348" spans="1:28">
      <c r="A348" s="6">
        <v>38991</v>
      </c>
      <c r="B348" s="36"/>
      <c r="C348" s="8"/>
      <c r="D348" s="8"/>
      <c r="E348" s="7">
        <v>99.125299999999996</v>
      </c>
      <c r="F348" s="8">
        <f>IF(Tabela1511[[#This Row],[Industrial Production]]="",#N/A,((Tabela1511[[#This Row],[Industrial Production]]*1)/E347)-1)</f>
        <v>-9.6149291428093697E-4</v>
      </c>
      <c r="G348" s="8">
        <f>IF(Tabela1511[[#This Row],[Industrial Production]]="",#N/A,((Tabela1511[[#This Row],[Industrial Production]]*1)/E336)-1)</f>
        <v>2.786237418121229E-2</v>
      </c>
      <c r="H348" s="32">
        <v>358462</v>
      </c>
      <c r="I348" s="8">
        <f>IF(Tabela1511[[#This Row],[Retail Sales]]="",#N/A,((Tabela1511[[#This Row],[Retail Sales]]*1)/H347)-1)</f>
        <v>-1.3901231610119469E-3</v>
      </c>
      <c r="J348" s="8">
        <f>IF(Tabela1511[[#This Row],[Retail Sales]]="",#N/A,((Tabela1511[[#This Row],[Retail Sales]]*1)/H336)-1)</f>
        <v>4.1746949261400212E-2</v>
      </c>
      <c r="K348" s="32">
        <v>283015</v>
      </c>
      <c r="L348" s="8">
        <f>IF(Tabela1511[[#This Row],[Core-Retail Sales]]="",#N/A,((Tabela1511[[#This Row],[Core-Retail Sales]]*1)/K347)-1)</f>
        <v>-4.8069146429802201E-3</v>
      </c>
      <c r="M348" s="8">
        <f>IF(Tabela1511[[#This Row],[Core-Retail Sales]]="",#N/A,((Tabela1511[[#This Row],[Core-Retail Sales]]*1)/K336)-1)</f>
        <v>2.4510939604118098E-2</v>
      </c>
      <c r="N348" s="84">
        <v>177544</v>
      </c>
      <c r="O348" s="8">
        <f>IF(Tabela1511[[#This Row],[Real Retail Sales]]="",#N/A,((Tabela1511[[#This Row],[Real Retail Sales]]*1)/N347)-1)</f>
        <v>3.0621122925165167E-3</v>
      </c>
      <c r="P348" s="8">
        <f>IF(Tabela1511[[#This Row],[Real Retail Sales]]="",#N/A,((Tabela1511[[#This Row],[Real Retail Sales]]*1)/N336)-1)</f>
        <v>2.7299133232268291E-2</v>
      </c>
      <c r="Q348" s="32">
        <v>250103</v>
      </c>
      <c r="R348" s="8">
        <f>IF(Tabela1511[[#This Row],[Core²-Retail Sales]]="",#N/A,((Tabela1511[[#This Row],[Core²-Retail Sales]]*1)/Q347)-1)</f>
        <v>2.6298171555481087E-3</v>
      </c>
      <c r="S348" s="8">
        <f>IF(Tabela1511[[#This Row],[Core²-Retail Sales]]="",#N/A,((Tabela1511[[#This Row],[Core²-Retail Sales]]*1)/Q336)-1)</f>
        <v>4.0651928782148072E-2</v>
      </c>
      <c r="T348" s="5">
        <v>93.6</v>
      </c>
      <c r="U348" s="7">
        <v>51.4</v>
      </c>
      <c r="V348" s="25">
        <v>54.1</v>
      </c>
      <c r="W348" s="25">
        <v>49.6</v>
      </c>
      <c r="X348" s="25">
        <v>54.9</v>
      </c>
      <c r="Y348" s="25">
        <v>55.3</v>
      </c>
      <c r="Z348" s="25">
        <v>52.2</v>
      </c>
      <c r="AA348" s="25">
        <f>IF([1]!Tabela1511[[#This Row],[Services New Orders]]="","",([1]!Tabela1511[[#This Row],[Manufacturing New Orders]]+[1]!Tabela1511[[#This Row],[Services New Orders]])/2)</f>
        <v>54.7</v>
      </c>
      <c r="AB348" s="25">
        <f>IF([1]!Tabela1511[[#This Row],[Services Employment]]="",#N/A,([1]!Tabela1511[[#This Row],[Manufacturing Employment]]+[1]!Tabela1511[[#This Row],[Services Employment]])/2)</f>
        <v>50.900000000000006</v>
      </c>
    </row>
    <row r="349" spans="1:28">
      <c r="A349" s="6">
        <v>39022</v>
      </c>
      <c r="B349" s="36"/>
      <c r="C349" s="8"/>
      <c r="D349" s="8"/>
      <c r="E349" s="7">
        <v>99.096900000000005</v>
      </c>
      <c r="F349" s="8">
        <f>IF(Tabela1511[[#This Row],[Industrial Production]]="",#N/A,((Tabela1511[[#This Row],[Industrial Production]]*1)/E348)-1)</f>
        <v>-2.8650606858182659E-4</v>
      </c>
      <c r="G349" s="8">
        <f>IF(Tabela1511[[#This Row],[Industrial Production]]="",#N/A,((Tabela1511[[#This Row],[Industrial Production]]*1)/E337)-1)</f>
        <v>1.6429543638603494E-2</v>
      </c>
      <c r="H349" s="32">
        <v>359266</v>
      </c>
      <c r="I349" s="8">
        <f>IF(Tabela1511[[#This Row],[Retail Sales]]="",#N/A,((Tabela1511[[#This Row],[Retail Sales]]*1)/H348)-1)</f>
        <v>2.2429155670615764E-3</v>
      </c>
      <c r="J349" s="8">
        <f>IF(Tabela1511[[#This Row],[Retail Sales]]="",#N/A,((Tabela1511[[#This Row],[Retail Sales]]*1)/H337)-1)</f>
        <v>3.4379903548549695E-2</v>
      </c>
      <c r="K349" s="32">
        <v>283202</v>
      </c>
      <c r="L349" s="8">
        <f>IF(Tabela1511[[#This Row],[Core-Retail Sales]]="",#N/A,((Tabela1511[[#This Row],[Core-Retail Sales]]*1)/K348)-1)</f>
        <v>6.607423634790166E-4</v>
      </c>
      <c r="M349" s="8">
        <f>IF(Tabela1511[[#This Row],[Core-Retail Sales]]="",#N/A,((Tabela1511[[#This Row],[Core-Retail Sales]]*1)/K337)-1)</f>
        <v>3.3154089174576962E-2</v>
      </c>
      <c r="N349" s="84">
        <v>177854</v>
      </c>
      <c r="O349" s="8">
        <f>IF(Tabela1511[[#This Row],[Real Retail Sales]]="",#N/A,((Tabela1511[[#This Row],[Real Retail Sales]]*1)/N348)-1)</f>
        <v>1.7460460505565045E-3</v>
      </c>
      <c r="P349" s="8">
        <f>IF(Tabela1511[[#This Row],[Real Retail Sales]]="",#N/A,((Tabela1511[[#This Row],[Real Retail Sales]]*1)/N337)-1)</f>
        <v>1.4407282350793915E-2</v>
      </c>
      <c r="Q349" s="32">
        <v>249880</v>
      </c>
      <c r="R349" s="8">
        <f>IF(Tabela1511[[#This Row],[Core²-Retail Sales]]="",#N/A,((Tabela1511[[#This Row],[Core²-Retail Sales]]*1)/Q348)-1)</f>
        <v>-8.9163264734926084E-4</v>
      </c>
      <c r="S349" s="8">
        <f>IF(Tabela1511[[#This Row],[Core²-Retail Sales]]="",#N/A,((Tabela1511[[#This Row],[Core²-Retail Sales]]*1)/Q337)-1)</f>
        <v>3.7152024040277398E-2</v>
      </c>
      <c r="T349" s="5">
        <v>92.1</v>
      </c>
      <c r="U349" s="7">
        <v>50.3</v>
      </c>
      <c r="V349" s="25">
        <v>50.8</v>
      </c>
      <c r="W349" s="25">
        <v>49.2</v>
      </c>
      <c r="X349" s="25">
        <v>54.5</v>
      </c>
      <c r="Y349" s="25">
        <v>56.7</v>
      </c>
      <c r="Z349" s="25">
        <v>52.7</v>
      </c>
      <c r="AA349" s="25">
        <f>IF([1]!Tabela1511[[#This Row],[Services New Orders]]="","",([1]!Tabela1511[[#This Row],[Manufacturing New Orders]]+[1]!Tabela1511[[#This Row],[Services New Orders]])/2)</f>
        <v>53.75</v>
      </c>
      <c r="AB349" s="25">
        <f>IF([1]!Tabela1511[[#This Row],[Services Employment]]="",#N/A,([1]!Tabela1511[[#This Row],[Manufacturing Employment]]+[1]!Tabela1511[[#This Row],[Services Employment]])/2)</f>
        <v>50.95</v>
      </c>
    </row>
    <row r="350" spans="1:28">
      <c r="A350" s="6">
        <v>39052</v>
      </c>
      <c r="B350" s="36"/>
      <c r="C350" s="8"/>
      <c r="D350" s="8"/>
      <c r="E350" s="7">
        <v>100.1122</v>
      </c>
      <c r="F350" s="8">
        <f>IF(Tabela1511[[#This Row],[Industrial Production]]="",#N/A,((Tabela1511[[#This Row],[Industrial Production]]*1)/E349)-1)</f>
        <v>1.024552735756612E-2</v>
      </c>
      <c r="G350" s="8">
        <f>IF(Tabela1511[[#This Row],[Industrial Production]]="",#N/A,((Tabela1511[[#This Row],[Industrial Production]]*1)/E338)-1)</f>
        <v>2.1774098070194814E-2</v>
      </c>
      <c r="H350" s="32">
        <v>363730</v>
      </c>
      <c r="I350" s="8">
        <f>IF(Tabela1511[[#This Row],[Retail Sales]]="",#N/A,((Tabela1511[[#This Row],[Retail Sales]]*1)/H349)-1)</f>
        <v>1.2425333875178746E-2</v>
      </c>
      <c r="J350" s="8">
        <f>IF(Tabela1511[[#This Row],[Retail Sales]]="",#N/A,((Tabela1511[[#This Row],[Retail Sales]]*1)/H338)-1)</f>
        <v>4.6991263798736416E-2</v>
      </c>
      <c r="K350" s="32">
        <v>288292</v>
      </c>
      <c r="L350" s="8">
        <f>IF(Tabela1511[[#This Row],[Core-Retail Sales]]="",#N/A,((Tabela1511[[#This Row],[Core-Retail Sales]]*1)/K349)-1)</f>
        <v>1.7973036913581097E-2</v>
      </c>
      <c r="M350" s="8">
        <f>IF(Tabela1511[[#This Row],[Core-Retail Sales]]="",#N/A,((Tabela1511[[#This Row],[Core-Retail Sales]]*1)/K338)-1)</f>
        <v>5.1880338449975083E-2</v>
      </c>
      <c r="N350" s="84">
        <v>179089</v>
      </c>
      <c r="O350" s="8">
        <f>IF(Tabela1511[[#This Row],[Real Retail Sales]]="",#N/A,((Tabela1511[[#This Row],[Real Retail Sales]]*1)/N349)-1)</f>
        <v>6.9438978038165455E-3</v>
      </c>
      <c r="P350" s="8">
        <f>IF(Tabela1511[[#This Row],[Real Retail Sales]]="",#N/A,((Tabela1511[[#This Row],[Real Retail Sales]]*1)/N338)-1)</f>
        <v>2.1212414965016579E-2</v>
      </c>
      <c r="Q350" s="32">
        <v>253397</v>
      </c>
      <c r="R350" s="8">
        <f>IF(Tabela1511[[#This Row],[Core²-Retail Sales]]="",#N/A,((Tabela1511[[#This Row],[Core²-Retail Sales]]*1)/Q349)-1)</f>
        <v>1.4074755882823808E-2</v>
      </c>
      <c r="S350" s="8">
        <f>IF(Tabela1511[[#This Row],[Core²-Retail Sales]]="",#N/A,((Tabela1511[[#This Row],[Core²-Retail Sales]]*1)/Q338)-1)</f>
        <v>5.179334133048874E-2</v>
      </c>
      <c r="T350" s="5">
        <v>91.7</v>
      </c>
      <c r="U350" s="7">
        <v>51.4</v>
      </c>
      <c r="V350" s="25">
        <v>51.4</v>
      </c>
      <c r="W350" s="25">
        <v>49.8</v>
      </c>
      <c r="X350" s="25">
        <v>53.7</v>
      </c>
      <c r="Y350" s="25">
        <v>54.8</v>
      </c>
      <c r="Z350" s="25">
        <v>54.5</v>
      </c>
      <c r="AA350" s="25">
        <f>IF([1]!Tabela1511[[#This Row],[Services New Orders]]="","",([1]!Tabela1511[[#This Row],[Manufacturing New Orders]]+[1]!Tabela1511[[#This Row],[Services New Orders]])/2)</f>
        <v>53.099999999999994</v>
      </c>
      <c r="AB350" s="25">
        <f>IF([1]!Tabela1511[[#This Row],[Services Employment]]="",#N/A,([1]!Tabela1511[[#This Row],[Manufacturing Employment]]+[1]!Tabela1511[[#This Row],[Services Employment]])/2)</f>
        <v>52.15</v>
      </c>
    </row>
    <row r="351" spans="1:28">
      <c r="A351" s="6">
        <v>39083</v>
      </c>
      <c r="B351" s="36">
        <v>11181</v>
      </c>
      <c r="C351" s="8"/>
      <c r="D351" s="8"/>
      <c r="E351" s="7">
        <v>99.757099999999994</v>
      </c>
      <c r="F351" s="8">
        <f>IF(Tabela1511[[#This Row],[Industrial Production]]="",#N/A,((Tabela1511[[#This Row],[Industrial Production]]*1)/E350)-1)</f>
        <v>-3.5470202432871245E-3</v>
      </c>
      <c r="G351" s="8">
        <f>IF(Tabela1511[[#This Row],[Industrial Production]]="",#N/A,((Tabela1511[[#This Row],[Industrial Production]]*1)/E339)-1)</f>
        <v>1.6575886192366163E-2</v>
      </c>
      <c r="H351" s="32">
        <v>363616</v>
      </c>
      <c r="I351" s="8">
        <f>IF(Tabela1511[[#This Row],[Retail Sales]]="",#N/A,((Tabela1511[[#This Row],[Retail Sales]]*1)/H350)-1)</f>
        <v>-3.1341929453165829E-4</v>
      </c>
      <c r="J351" s="8">
        <f>IF(Tabela1511[[#This Row],[Retail Sales]]="",#N/A,((Tabela1511[[#This Row],[Retail Sales]]*1)/H339)-1)</f>
        <v>1.758873425479468E-2</v>
      </c>
      <c r="K351" s="32">
        <v>288217</v>
      </c>
      <c r="L351" s="8">
        <f>IF(Tabela1511[[#This Row],[Core-Retail Sales]]="",#N/A,((Tabela1511[[#This Row],[Core-Retail Sales]]*1)/K350)-1)</f>
        <v>-2.6015290053138518E-4</v>
      </c>
      <c r="M351" s="8">
        <f>IF(Tabela1511[[#This Row],[Core-Retail Sales]]="",#N/A,((Tabela1511[[#This Row],[Core-Retail Sales]]*1)/K339)-1)</f>
        <v>2.724058537141727E-2</v>
      </c>
      <c r="N351" s="84">
        <v>178736</v>
      </c>
      <c r="O351" s="8">
        <f>IF(Tabela1511[[#This Row],[Real Retail Sales]]="",#N/A,((Tabela1511[[#This Row],[Real Retail Sales]]*1)/N350)-1)</f>
        <v>-1.9710870014350013E-3</v>
      </c>
      <c r="P351" s="8">
        <f>IF(Tabela1511[[#This Row],[Real Retail Sales]]="",#N/A,((Tabela1511[[#This Row],[Real Retail Sales]]*1)/N339)-1)</f>
        <v>-3.1066466621675337E-3</v>
      </c>
      <c r="Q351" s="32">
        <v>253973</v>
      </c>
      <c r="R351" s="8">
        <f>IF(Tabela1511[[#This Row],[Core²-Retail Sales]]="",#N/A,((Tabela1511[[#This Row],[Core²-Retail Sales]]*1)/Q350)-1)</f>
        <v>2.2731129413529061E-3</v>
      </c>
      <c r="S351" s="8">
        <f>IF(Tabela1511[[#This Row],[Core²-Retail Sales]]="",#N/A,((Tabela1511[[#This Row],[Core²-Retail Sales]]*1)/Q339)-1)</f>
        <v>3.1253552924361383E-2</v>
      </c>
      <c r="T351" s="5">
        <v>96.9</v>
      </c>
      <c r="U351" s="7">
        <v>50.4</v>
      </c>
      <c r="V351" s="25">
        <v>55.5</v>
      </c>
      <c r="W351" s="25">
        <v>52.1</v>
      </c>
      <c r="X351" s="25">
        <v>55.6</v>
      </c>
      <c r="Y351" s="25">
        <v>55.8</v>
      </c>
      <c r="Z351" s="25">
        <v>52.2</v>
      </c>
      <c r="AA351" s="25">
        <f>IF([1]!Tabela1511[[#This Row],[Services New Orders]]="","",([1]!Tabela1511[[#This Row],[Manufacturing New Orders]]+[1]!Tabela1511[[#This Row],[Services New Orders]])/2)</f>
        <v>55.65</v>
      </c>
      <c r="AB351" s="25">
        <f>IF([1]!Tabela1511[[#This Row],[Services Employment]]="",#N/A,([1]!Tabela1511[[#This Row],[Manufacturing Employment]]+[1]!Tabela1511[[#This Row],[Services Employment]])/2)</f>
        <v>52.150000000000006</v>
      </c>
    </row>
    <row r="352" spans="1:28">
      <c r="A352" s="6">
        <v>39114</v>
      </c>
      <c r="B352" s="36">
        <v>11178.2</v>
      </c>
      <c r="C352" s="8">
        <f>IF(Tabela1511[[#This Row],[Real PCE]]="",#N/A,((Tabela1511[[#This Row],[Real PCE]]*1)/B351)-1)</f>
        <v>-2.5042482783288467E-4</v>
      </c>
      <c r="D352" s="8"/>
      <c r="E352" s="7">
        <v>100.72750000000001</v>
      </c>
      <c r="F352" s="8">
        <f>IF(Tabela1511[[#This Row],[Industrial Production]]="",#N/A,((Tabela1511[[#This Row],[Industrial Production]]*1)/E351)-1)</f>
        <v>9.7276284094065524E-3</v>
      </c>
      <c r="G352" s="8">
        <f>IF(Tabela1511[[#This Row],[Industrial Production]]="",#N/A,((Tabela1511[[#This Row],[Industrial Production]]*1)/E340)-1)</f>
        <v>2.596918451097463E-2</v>
      </c>
      <c r="H352" s="32">
        <v>364006</v>
      </c>
      <c r="I352" s="8">
        <f>IF(Tabela1511[[#This Row],[Retail Sales]]="",#N/A,((Tabela1511[[#This Row],[Retail Sales]]*1)/H351)-1)</f>
        <v>1.0725600633636478E-3</v>
      </c>
      <c r="J352" s="8">
        <f>IF(Tabela1511[[#This Row],[Retail Sales]]="",#N/A,((Tabela1511[[#This Row],[Retail Sales]]*1)/H340)-1)</f>
        <v>2.6218896776485368E-2</v>
      </c>
      <c r="K352" s="32">
        <v>288165</v>
      </c>
      <c r="L352" s="8">
        <f>IF(Tabela1511[[#This Row],[Core-Retail Sales]]="",#N/A,((Tabela1511[[#This Row],[Core-Retail Sales]]*1)/K351)-1)</f>
        <v>-1.8041961438775012E-4</v>
      </c>
      <c r="M352" s="8">
        <f>IF(Tabela1511[[#This Row],[Core-Retail Sales]]="",#N/A,((Tabela1511[[#This Row],[Core-Retail Sales]]*1)/K340)-1)</f>
        <v>2.6967405327193994E-2</v>
      </c>
      <c r="N352" s="84">
        <v>178237</v>
      </c>
      <c r="O352" s="8">
        <f>IF(Tabela1511[[#This Row],[Real Retail Sales]]="",#N/A,((Tabela1511[[#This Row],[Real Retail Sales]]*1)/N351)-1)</f>
        <v>-2.7918270521887223E-3</v>
      </c>
      <c r="P352" s="8">
        <f>IF(Tabela1511[[#This Row],[Real Retail Sales]]="",#N/A,((Tabela1511[[#This Row],[Real Retail Sales]]*1)/N340)-1)</f>
        <v>1.967541191880251E-3</v>
      </c>
      <c r="Q352" s="32">
        <v>253233</v>
      </c>
      <c r="R352" s="8">
        <f>IF(Tabela1511[[#This Row],[Core²-Retail Sales]]="",#N/A,((Tabela1511[[#This Row],[Core²-Retail Sales]]*1)/Q351)-1)</f>
        <v>-2.9136955503143991E-3</v>
      </c>
      <c r="S352" s="8">
        <f>IF(Tabela1511[[#This Row],[Core²-Retail Sales]]="",#N/A,((Tabela1511[[#This Row],[Core²-Retail Sales]]*1)/Q340)-1)</f>
        <v>2.7631237217154103E-2</v>
      </c>
      <c r="T352" s="5">
        <v>91.3</v>
      </c>
      <c r="U352" s="7">
        <v>54.1</v>
      </c>
      <c r="V352" s="25">
        <v>59.1</v>
      </c>
      <c r="W352" s="25">
        <v>54.7</v>
      </c>
      <c r="X352" s="25">
        <v>54.2</v>
      </c>
      <c r="Y352" s="25">
        <v>56.1</v>
      </c>
      <c r="Z352" s="25">
        <v>51.7</v>
      </c>
      <c r="AA352" s="25">
        <f>IF([1]!Tabela1511[[#This Row],[Services New Orders]]="","",([1]!Tabela1511[[#This Row],[Manufacturing New Orders]]+[1]!Tabela1511[[#This Row],[Services New Orders]])/2)</f>
        <v>57.6</v>
      </c>
      <c r="AB352" s="25">
        <f>IF([1]!Tabela1511[[#This Row],[Services Employment]]="",#N/A,([1]!Tabela1511[[#This Row],[Manufacturing Employment]]+[1]!Tabela1511[[#This Row],[Services Employment]])/2)</f>
        <v>53.2</v>
      </c>
    </row>
    <row r="353" spans="1:28">
      <c r="A353" s="6">
        <v>39142</v>
      </c>
      <c r="B353" s="36">
        <v>11190.7</v>
      </c>
      <c r="C353" s="8">
        <f>IF(Tabela1511[[#This Row],[Real PCE]]="",#N/A,((Tabela1511[[#This Row],[Real PCE]]*1)/B352)-1)</f>
        <v>1.1182480184646071E-3</v>
      </c>
      <c r="D353" s="8"/>
      <c r="E353" s="7">
        <v>100.9023</v>
      </c>
      <c r="F353" s="8">
        <f>IF(Tabela1511[[#This Row],[Industrial Production]]="",#N/A,((Tabela1511[[#This Row],[Industrial Production]]*1)/E352)-1)</f>
        <v>1.735375145814011E-3</v>
      </c>
      <c r="G353" s="8">
        <f>IF(Tabela1511[[#This Row],[Industrial Production]]="",#N/A,((Tabela1511[[#This Row],[Industrial Production]]*1)/E341)-1)</f>
        <v>2.5536183628790843E-2</v>
      </c>
      <c r="H353" s="32">
        <v>367158</v>
      </c>
      <c r="I353" s="8">
        <f>IF(Tabela1511[[#This Row],[Retail Sales]]="",#N/A,((Tabela1511[[#This Row],[Retail Sales]]*1)/H352)-1)</f>
        <v>8.6591979253090035E-3</v>
      </c>
      <c r="J353" s="8">
        <f>IF(Tabela1511[[#This Row],[Retail Sales]]="",#N/A,((Tabela1511[[#This Row],[Retail Sales]]*1)/H341)-1)</f>
        <v>3.2314115811226785E-2</v>
      </c>
      <c r="K353" s="32">
        <v>291686</v>
      </c>
      <c r="L353" s="8">
        <f>IF(Tabela1511[[#This Row],[Core-Retail Sales]]="",#N/A,((Tabela1511[[#This Row],[Core-Retail Sales]]*1)/K352)-1)</f>
        <v>1.2218694150920584E-2</v>
      </c>
      <c r="M353" s="8">
        <f>IF(Tabela1511[[#This Row],[Core-Retail Sales]]="",#N/A,((Tabela1511[[#This Row],[Core-Retail Sales]]*1)/K341)-1)</f>
        <v>3.7821644085164419E-2</v>
      </c>
      <c r="N353" s="84">
        <v>178850</v>
      </c>
      <c r="O353" s="8">
        <f>IF(Tabela1511[[#This Row],[Real Retail Sales]]="",#N/A,((Tabela1511[[#This Row],[Real Retail Sales]]*1)/N352)-1)</f>
        <v>3.4392410105645865E-3</v>
      </c>
      <c r="P353" s="8">
        <f>IF(Tabela1511[[#This Row],[Real Retail Sales]]="",#N/A,((Tabela1511[[#This Row],[Real Retail Sales]]*1)/N341)-1)</f>
        <v>4.2111173498033949E-3</v>
      </c>
      <c r="Q353" s="32">
        <v>255687</v>
      </c>
      <c r="R353" s="8">
        <f>IF(Tabela1511[[#This Row],[Core²-Retail Sales]]="",#N/A,((Tabela1511[[#This Row],[Core²-Retail Sales]]*1)/Q352)-1)</f>
        <v>9.6906801246283703E-3</v>
      </c>
      <c r="S353" s="8">
        <f>IF(Tabela1511[[#This Row],[Core²-Retail Sales]]="",#N/A,((Tabela1511[[#This Row],[Core²-Retail Sales]]*1)/Q341)-1)</f>
        <v>3.5752913582947521E-2</v>
      </c>
      <c r="T353" s="5">
        <v>88.4</v>
      </c>
      <c r="U353" s="7">
        <v>52.8</v>
      </c>
      <c r="V353" s="25">
        <v>56</v>
      </c>
      <c r="W353" s="25">
        <v>52.8</v>
      </c>
      <c r="X353" s="25">
        <v>52</v>
      </c>
      <c r="Y353" s="25">
        <v>53.7</v>
      </c>
      <c r="Z353" s="25">
        <v>51.9</v>
      </c>
      <c r="AA353" s="25">
        <f>IF([1]!Tabela1511[[#This Row],[Services New Orders]]="","",([1]!Tabela1511[[#This Row],[Manufacturing New Orders]]+[1]!Tabela1511[[#This Row],[Services New Orders]])/2)</f>
        <v>54.85</v>
      </c>
      <c r="AB353" s="25">
        <f>IF([1]!Tabela1511[[#This Row],[Services Employment]]="",#N/A,([1]!Tabela1511[[#This Row],[Manufacturing Employment]]+[1]!Tabela1511[[#This Row],[Services Employment]])/2)</f>
        <v>52.349999999999994</v>
      </c>
    </row>
    <row r="354" spans="1:28">
      <c r="A354" s="6">
        <v>39173</v>
      </c>
      <c r="B354" s="36">
        <v>11201.5</v>
      </c>
      <c r="C354" s="8">
        <f>IF(Tabela1511[[#This Row],[Real PCE]]="",#N/A,((Tabela1511[[#This Row],[Real PCE]]*1)/B353)-1)</f>
        <v>9.6508708123699272E-4</v>
      </c>
      <c r="D354" s="8"/>
      <c r="E354" s="7">
        <v>101.5874</v>
      </c>
      <c r="F354" s="8">
        <f>IF(Tabela1511[[#This Row],[Industrial Production]]="",#N/A,((Tabela1511[[#This Row],[Industrial Production]]*1)/E353)-1)</f>
        <v>6.7897362101756453E-3</v>
      </c>
      <c r="G354" s="8">
        <f>IF(Tabela1511[[#This Row],[Industrial Production]]="",#N/A,((Tabela1511[[#This Row],[Industrial Production]]*1)/E342)-1)</f>
        <v>2.9495251674910739E-2</v>
      </c>
      <c r="H354" s="32">
        <v>366187</v>
      </c>
      <c r="I354" s="8">
        <f>IF(Tabela1511[[#This Row],[Retail Sales]]="",#N/A,((Tabela1511[[#This Row],[Retail Sales]]*1)/H353)-1)</f>
        <v>-2.6446380032574268E-3</v>
      </c>
      <c r="J354" s="8">
        <f>IF(Tabela1511[[#This Row],[Retail Sales]]="",#N/A,((Tabela1511[[#This Row],[Retail Sales]]*1)/H342)-1)</f>
        <v>2.4519966538247395E-2</v>
      </c>
      <c r="K354" s="32">
        <v>289982</v>
      </c>
      <c r="L354" s="8">
        <f>IF(Tabela1511[[#This Row],[Core-Retail Sales]]="",#N/A,((Tabela1511[[#This Row],[Core-Retail Sales]]*1)/K353)-1)</f>
        <v>-5.841898479872154E-3</v>
      </c>
      <c r="M354" s="8">
        <f>IF(Tabela1511[[#This Row],[Core-Retail Sales]]="",#N/A,((Tabela1511[[#This Row],[Core-Retail Sales]]*1)/K342)-1)</f>
        <v>2.6394124413768649E-2</v>
      </c>
      <c r="N354" s="84">
        <v>177844</v>
      </c>
      <c r="O354" s="8">
        <f>IF(Tabela1511[[#This Row],[Real Retail Sales]]="",#N/A,((Tabela1511[[#This Row],[Real Retail Sales]]*1)/N353)-1)</f>
        <v>-5.624825272574796E-3</v>
      </c>
      <c r="P354" s="8">
        <f>IF(Tabela1511[[#This Row],[Real Retail Sales]]="",#N/A,((Tabela1511[[#This Row],[Real Retail Sales]]*1)/N342)-1)</f>
        <v>-1.3701091595166304E-3</v>
      </c>
      <c r="Q354" s="32">
        <v>253632</v>
      </c>
      <c r="R354" s="8">
        <f>IF(Tabela1511[[#This Row],[Core²-Retail Sales]]="",#N/A,((Tabela1511[[#This Row],[Core²-Retail Sales]]*1)/Q353)-1)</f>
        <v>-8.037170446678954E-3</v>
      </c>
      <c r="S354" s="8">
        <f>IF(Tabela1511[[#This Row],[Core²-Retail Sales]]="",#N/A,((Tabela1511[[#This Row],[Core²-Retail Sales]]*1)/Q342)-1)</f>
        <v>2.7353480854993784E-2</v>
      </c>
      <c r="T354" s="5">
        <v>87.1</v>
      </c>
      <c r="U354" s="7">
        <v>52.7</v>
      </c>
      <c r="V354" s="25">
        <v>57.1</v>
      </c>
      <c r="W354" s="25">
        <v>52.7</v>
      </c>
      <c r="X354" s="25">
        <v>53.3</v>
      </c>
      <c r="Y354" s="25">
        <v>54.5</v>
      </c>
      <c r="Z354" s="25">
        <v>52.5</v>
      </c>
      <c r="AA354" s="25">
        <f>IF([1]!Tabela1511[[#This Row],[Services New Orders]]="","",([1]!Tabela1511[[#This Row],[Manufacturing New Orders]]+[1]!Tabela1511[[#This Row],[Services New Orders]])/2)</f>
        <v>55.8</v>
      </c>
      <c r="AB354" s="25">
        <f>IF([1]!Tabela1511[[#This Row],[Services Employment]]="",#N/A,([1]!Tabela1511[[#This Row],[Manufacturing Employment]]+[1]!Tabela1511[[#This Row],[Services Employment]])/2)</f>
        <v>52.6</v>
      </c>
    </row>
    <row r="355" spans="1:28">
      <c r="A355" s="6">
        <v>39203</v>
      </c>
      <c r="B355" s="36">
        <v>11218</v>
      </c>
      <c r="C355" s="8">
        <f>IF(Tabela1511[[#This Row],[Real PCE]]="",#N/A,((Tabela1511[[#This Row],[Real PCE]]*1)/B354)-1)</f>
        <v>1.4730170066508119E-3</v>
      </c>
      <c r="D355" s="8"/>
      <c r="E355" s="7">
        <v>101.62990000000001</v>
      </c>
      <c r="F355" s="8">
        <f>IF(Tabela1511[[#This Row],[Industrial Production]]="",#N/A,((Tabela1511[[#This Row],[Industrial Production]]*1)/E354)-1)</f>
        <v>4.1835896971487152E-4</v>
      </c>
      <c r="G355" s="8">
        <f>IF(Tabela1511[[#This Row],[Industrial Production]]="",#N/A,((Tabela1511[[#This Row],[Industrial Production]]*1)/E343)-1)</f>
        <v>2.9630657756632983E-2</v>
      </c>
      <c r="H355" s="32">
        <v>370934</v>
      </c>
      <c r="I355" s="8">
        <f>IF(Tabela1511[[#This Row],[Retail Sales]]="",#N/A,((Tabela1511[[#This Row],[Retail Sales]]*1)/H354)-1)</f>
        <v>1.2963322018531453E-2</v>
      </c>
      <c r="J355" s="8">
        <f>IF(Tabela1511[[#This Row],[Retail Sales]]="",#N/A,((Tabela1511[[#This Row],[Retail Sales]]*1)/H343)-1)</f>
        <v>3.9893020543644075E-2</v>
      </c>
      <c r="K355" s="32">
        <v>293748</v>
      </c>
      <c r="L355" s="8">
        <f>IF(Tabela1511[[#This Row],[Core-Retail Sales]]="",#N/A,((Tabela1511[[#This Row],[Core-Retail Sales]]*1)/K354)-1)</f>
        <v>1.298701298701288E-2</v>
      </c>
      <c r="M355" s="8">
        <f>IF(Tabela1511[[#This Row],[Core-Retail Sales]]="",#N/A,((Tabela1511[[#This Row],[Core-Retail Sales]]*1)/K343)-1)</f>
        <v>3.9363392222147464E-2</v>
      </c>
      <c r="N355" s="84">
        <v>179408</v>
      </c>
      <c r="O355" s="8">
        <f>IF(Tabela1511[[#This Row],[Real Retail Sales]]="",#N/A,((Tabela1511[[#This Row],[Real Retail Sales]]*1)/N354)-1)</f>
        <v>8.7942241515035491E-3</v>
      </c>
      <c r="P355" s="8">
        <f>IF(Tabela1511[[#This Row],[Real Retail Sales]]="",#N/A,((Tabela1511[[#This Row],[Real Retail Sales]]*1)/N343)-1)</f>
        <v>1.2460496613995398E-2</v>
      </c>
      <c r="Q355" s="32">
        <v>255752</v>
      </c>
      <c r="R355" s="8">
        <f>IF(Tabela1511[[#This Row],[Core²-Retail Sales]]="",#N/A,((Tabela1511[[#This Row],[Core²-Retail Sales]]*1)/Q354)-1)</f>
        <v>8.3585667423669019E-3</v>
      </c>
      <c r="S355" s="8">
        <f>IF(Tabela1511[[#This Row],[Core²-Retail Sales]]="",#N/A,((Tabela1511[[#This Row],[Core²-Retail Sales]]*1)/Q343)-1)</f>
        <v>3.7685016878732824E-2</v>
      </c>
      <c r="T355" s="5">
        <v>88.3</v>
      </c>
      <c r="U355" s="7">
        <v>53.1</v>
      </c>
      <c r="V355" s="25">
        <v>57</v>
      </c>
      <c r="W355" s="25">
        <v>51.1</v>
      </c>
      <c r="X355" s="25">
        <v>54.2</v>
      </c>
      <c r="Y355" s="25">
        <v>56.9</v>
      </c>
      <c r="Z355" s="25">
        <v>53.2</v>
      </c>
      <c r="AA355" s="25">
        <f>IF([1]!Tabela1511[[#This Row],[Services New Orders]]="","",([1]!Tabela1511[[#This Row],[Manufacturing New Orders]]+[1]!Tabela1511[[#This Row],[Services New Orders]])/2)</f>
        <v>56.95</v>
      </c>
      <c r="AB355" s="25">
        <f>IF([1]!Tabela1511[[#This Row],[Services Employment]]="",#N/A,([1]!Tabela1511[[#This Row],[Manufacturing Employment]]+[1]!Tabela1511[[#This Row],[Services Employment]])/2)</f>
        <v>52.150000000000006</v>
      </c>
    </row>
    <row r="356" spans="1:28">
      <c r="A356" s="6">
        <v>39234</v>
      </c>
      <c r="B356" s="36">
        <v>11218.5</v>
      </c>
      <c r="C356" s="8">
        <f>IF(Tabela1511[[#This Row],[Real PCE]]="",#N/A,((Tabela1511[[#This Row],[Real PCE]]*1)/B355)-1)</f>
        <v>4.4571224817158139E-5</v>
      </c>
      <c r="D356" s="8"/>
      <c r="E356" s="7">
        <v>101.6482</v>
      </c>
      <c r="F356" s="8">
        <f>IF(Tabela1511[[#This Row],[Industrial Production]]="",#N/A,((Tabela1511[[#This Row],[Industrial Production]]*1)/E355)-1)</f>
        <v>1.8006511863144503E-4</v>
      </c>
      <c r="G356" s="8">
        <f>IF(Tabela1511[[#This Row],[Industrial Production]]="",#N/A,((Tabela1511[[#This Row],[Industrial Production]]*1)/E344)-1)</f>
        <v>2.6306835334658718E-2</v>
      </c>
      <c r="H356" s="32">
        <v>368154</v>
      </c>
      <c r="I356" s="8">
        <f>IF(Tabela1511[[#This Row],[Retail Sales]]="",#N/A,((Tabela1511[[#This Row],[Retail Sales]]*1)/H355)-1)</f>
        <v>-7.4945947257463175E-3</v>
      </c>
      <c r="J356" s="8">
        <f>IF(Tabela1511[[#This Row],[Retail Sales]]="",#N/A,((Tabela1511[[#This Row],[Retail Sales]]*1)/H344)-1)</f>
        <v>2.8710821255228725E-2</v>
      </c>
      <c r="K356" s="32">
        <v>293360</v>
      </c>
      <c r="L356" s="8">
        <f>IF(Tabela1511[[#This Row],[Core-Retail Sales]]="",#N/A,((Tabela1511[[#This Row],[Core-Retail Sales]]*1)/K355)-1)</f>
        <v>-1.3208600569195594E-3</v>
      </c>
      <c r="M356" s="8">
        <f>IF(Tabela1511[[#This Row],[Core-Retail Sales]]="",#N/A,((Tabela1511[[#This Row],[Core-Retail Sales]]*1)/K344)-1)</f>
        <v>3.8405720151499123E-2</v>
      </c>
      <c r="N356" s="84">
        <v>177651</v>
      </c>
      <c r="O356" s="8">
        <f>IF(Tabela1511[[#This Row],[Real Retail Sales]]="",#N/A,((Tabela1511[[#This Row],[Real Retail Sales]]*1)/N355)-1)</f>
        <v>-9.7933202532773933E-3</v>
      </c>
      <c r="P356" s="8">
        <f>IF(Tabela1511[[#This Row],[Real Retail Sales]]="",#N/A,((Tabela1511[[#This Row],[Real Retail Sales]]*1)/N344)-1)</f>
        <v>1.7367474329406107E-3</v>
      </c>
      <c r="Q356" s="32">
        <v>256050</v>
      </c>
      <c r="R356" s="8">
        <f>IF(Tabela1511[[#This Row],[Core²-Retail Sales]]="",#N/A,((Tabela1511[[#This Row],[Core²-Retail Sales]]*1)/Q355)-1)</f>
        <v>1.1651912790515695E-3</v>
      </c>
      <c r="S356" s="8">
        <f>IF(Tabela1511[[#This Row],[Core²-Retail Sales]]="",#N/A,((Tabela1511[[#This Row],[Core²-Retail Sales]]*1)/Q344)-1)</f>
        <v>3.9661851048797825E-2</v>
      </c>
      <c r="T356" s="5">
        <v>85.3</v>
      </c>
      <c r="U356" s="7">
        <v>54</v>
      </c>
      <c r="V356" s="25">
        <v>58.4</v>
      </c>
      <c r="W356" s="25">
        <v>55.7</v>
      </c>
      <c r="X356" s="25">
        <v>55.3</v>
      </c>
      <c r="Y356" s="25">
        <v>56.8</v>
      </c>
      <c r="Z356" s="25">
        <v>51.3</v>
      </c>
      <c r="AA356" s="25">
        <f>IF([1]!Tabela1511[[#This Row],[Services New Orders]]="","",([1]!Tabela1511[[#This Row],[Manufacturing New Orders]]+[1]!Tabela1511[[#This Row],[Services New Orders]])/2)</f>
        <v>57.599999999999994</v>
      </c>
      <c r="AB356" s="25">
        <f>IF([1]!Tabela1511[[#This Row],[Services Employment]]="",#N/A,([1]!Tabela1511[[#This Row],[Manufacturing Employment]]+[1]!Tabela1511[[#This Row],[Services Employment]])/2)</f>
        <v>53.5</v>
      </c>
    </row>
    <row r="357" spans="1:28">
      <c r="A357" s="6">
        <v>39264</v>
      </c>
      <c r="B357" s="36">
        <v>11252.6</v>
      </c>
      <c r="C357" s="8">
        <f>IF(Tabela1511[[#This Row],[Real PCE]]="",#N/A,((Tabela1511[[#This Row],[Real PCE]]*1)/B356)-1)</f>
        <v>3.0396220528592366E-3</v>
      </c>
      <c r="D357" s="8"/>
      <c r="E357" s="7">
        <v>101.49250000000001</v>
      </c>
      <c r="F357" s="8">
        <f>IF(Tabela1511[[#This Row],[Industrial Production]]="",#N/A,((Tabela1511[[#This Row],[Industrial Production]]*1)/E356)-1)</f>
        <v>-1.5317536365621054E-3</v>
      </c>
      <c r="G357" s="8">
        <f>IF(Tabela1511[[#This Row],[Industrial Production]]="",#N/A,((Tabela1511[[#This Row],[Industrial Production]]*1)/E345)-1)</f>
        <v>2.5379772156912006E-2</v>
      </c>
      <c r="H357" s="32">
        <v>369614</v>
      </c>
      <c r="I357" s="8">
        <f>IF(Tabela1511[[#This Row],[Retail Sales]]="",#N/A,((Tabela1511[[#This Row],[Retail Sales]]*1)/H356)-1)</f>
        <v>3.9657317318295693E-3</v>
      </c>
      <c r="J357" s="8">
        <f>IF(Tabela1511[[#This Row],[Retail Sales]]="",#N/A,((Tabela1511[[#This Row],[Retail Sales]]*1)/H345)-1)</f>
        <v>2.9548252675442699E-2</v>
      </c>
      <c r="K357" s="32">
        <v>294682</v>
      </c>
      <c r="L357" s="8">
        <f>IF(Tabela1511[[#This Row],[Core-Retail Sales]]="",#N/A,((Tabela1511[[#This Row],[Core-Retail Sales]]*1)/K356)-1)</f>
        <v>4.5064085083175165E-3</v>
      </c>
      <c r="M357" s="8">
        <f>IF(Tabela1511[[#This Row],[Core-Retail Sales]]="",#N/A,((Tabela1511[[#This Row],[Core-Retail Sales]]*1)/K345)-1)</f>
        <v>4.1124638746193209E-2</v>
      </c>
      <c r="N357" s="84">
        <v>178039</v>
      </c>
      <c r="O357" s="8">
        <f>IF(Tabela1511[[#This Row],[Real Retail Sales]]="",#N/A,((Tabela1511[[#This Row],[Real Retail Sales]]*1)/N356)-1)</f>
        <v>2.1840575060090295E-3</v>
      </c>
      <c r="P357" s="8">
        <f>IF(Tabela1511[[#This Row],[Real Retail Sales]]="",#N/A,((Tabela1511[[#This Row],[Real Retail Sales]]*1)/N345)-1)</f>
        <v>6.228205519478669E-3</v>
      </c>
      <c r="Q357" s="32">
        <v>257719</v>
      </c>
      <c r="R357" s="8">
        <f>IF(Tabela1511[[#This Row],[Core²-Retail Sales]]="",#N/A,((Tabela1511[[#This Row],[Core²-Retail Sales]]*1)/Q356)-1)</f>
        <v>6.5182581527045702E-3</v>
      </c>
      <c r="S357" s="8">
        <f>IF(Tabela1511[[#This Row],[Core²-Retail Sales]]="",#N/A,((Tabela1511[[#This Row],[Core²-Retail Sales]]*1)/Q345)-1)</f>
        <v>4.7301882728717271E-2</v>
      </c>
      <c r="T357" s="5">
        <v>90.4</v>
      </c>
      <c r="U357" s="7">
        <v>51.8</v>
      </c>
      <c r="V357" s="25">
        <v>57.5</v>
      </c>
      <c r="W357" s="25">
        <v>50.4</v>
      </c>
      <c r="X357" s="25">
        <v>53.6</v>
      </c>
      <c r="Y357" s="25">
        <v>54.4</v>
      </c>
      <c r="Z357" s="25">
        <v>48.3</v>
      </c>
      <c r="AA357" s="25">
        <f>IF([1]!Tabela1511[[#This Row],[Services New Orders]]="","",([1]!Tabela1511[[#This Row],[Manufacturing New Orders]]+[1]!Tabela1511[[#This Row],[Services New Orders]])/2)</f>
        <v>55.95</v>
      </c>
      <c r="AB357" s="25">
        <f>IF([1]!Tabela1511[[#This Row],[Services Employment]]="",#N/A,([1]!Tabela1511[[#This Row],[Manufacturing Employment]]+[1]!Tabela1511[[#This Row],[Services Employment]])/2)</f>
        <v>49.349999999999994</v>
      </c>
    </row>
    <row r="358" spans="1:28">
      <c r="A358" s="6">
        <v>39295</v>
      </c>
      <c r="B358" s="36">
        <v>11300.1</v>
      </c>
      <c r="C358" s="8">
        <f>IF(Tabela1511[[#This Row],[Real PCE]]="",#N/A,((Tabela1511[[#This Row],[Real PCE]]*1)/B357)-1)</f>
        <v>4.2212466452198338E-3</v>
      </c>
      <c r="D358" s="8"/>
      <c r="E358" s="7">
        <v>101.6874</v>
      </c>
      <c r="F358" s="8">
        <f>IF(Tabela1511[[#This Row],[Industrial Production]]="",#N/A,((Tabela1511[[#This Row],[Industrial Production]]*1)/E357)-1)</f>
        <v>1.9203389413009475E-3</v>
      </c>
      <c r="G358" s="8">
        <f>IF(Tabela1511[[#This Row],[Industrial Production]]="",#N/A,((Tabela1511[[#This Row],[Industrial Production]]*1)/E346)-1)</f>
        <v>2.2902990224382469E-2</v>
      </c>
      <c r="H358" s="32">
        <v>371358</v>
      </c>
      <c r="I358" s="8">
        <f>IF(Tabela1511[[#This Row],[Retail Sales]]="",#N/A,((Tabela1511[[#This Row],[Retail Sales]]*1)/H357)-1)</f>
        <v>4.7184359899787864E-3</v>
      </c>
      <c r="J358" s="8">
        <f>IF(Tabela1511[[#This Row],[Retail Sales]]="",#N/A,((Tabela1511[[#This Row],[Retail Sales]]*1)/H346)-1)</f>
        <v>2.9573790308047521E-2</v>
      </c>
      <c r="K358" s="32">
        <v>294809</v>
      </c>
      <c r="L358" s="8">
        <f>IF(Tabela1511[[#This Row],[Core-Retail Sales]]="",#N/A,((Tabela1511[[#This Row],[Core-Retail Sales]]*1)/K357)-1)</f>
        <v>4.309730489138186E-4</v>
      </c>
      <c r="M358" s="8">
        <f>IF(Tabela1511[[#This Row],[Core-Retail Sales]]="",#N/A,((Tabela1511[[#This Row],[Core-Retail Sales]]*1)/K346)-1)</f>
        <v>3.2591487334678426E-2</v>
      </c>
      <c r="N358" s="84">
        <v>178824</v>
      </c>
      <c r="O358" s="8">
        <f>IF(Tabela1511[[#This Row],[Real Retail Sales]]="",#N/A,((Tabela1511[[#This Row],[Real Retail Sales]]*1)/N357)-1)</f>
        <v>4.4091463106397111E-3</v>
      </c>
      <c r="P358" s="8">
        <f>IF(Tabela1511[[#This Row],[Real Retail Sales]]="",#N/A,((Tabela1511[[#This Row],[Real Retail Sales]]*1)/N346)-1)</f>
        <v>1.0402129018041384E-2</v>
      </c>
      <c r="Q358" s="32">
        <v>257586</v>
      </c>
      <c r="R358" s="8">
        <f>IF(Tabela1511[[#This Row],[Core²-Retail Sales]]="",#N/A,((Tabela1511[[#This Row],[Core²-Retail Sales]]*1)/Q357)-1)</f>
        <v>-5.160659477958518E-4</v>
      </c>
      <c r="S358" s="8">
        <f>IF(Tabela1511[[#This Row],[Core²-Retail Sales]]="",#N/A,((Tabela1511[[#This Row],[Core²-Retail Sales]]*1)/Q346)-1)</f>
        <v>3.945796745867769E-2</v>
      </c>
      <c r="T358" s="5">
        <v>83.4</v>
      </c>
      <c r="U358" s="7">
        <v>52.2</v>
      </c>
      <c r="V358" s="25">
        <v>56.1</v>
      </c>
      <c r="W358" s="25">
        <v>50.7</v>
      </c>
      <c r="X358" s="25">
        <v>52.8</v>
      </c>
      <c r="Y358" s="25">
        <v>56.3</v>
      </c>
      <c r="Z358" s="25">
        <v>52.2</v>
      </c>
      <c r="AA358" s="25">
        <f>IF([1]!Tabela1511[[#This Row],[Services New Orders]]="","",([1]!Tabela1511[[#This Row],[Manufacturing New Orders]]+[1]!Tabela1511[[#This Row],[Services New Orders]])/2)</f>
        <v>56.2</v>
      </c>
      <c r="AB358" s="25">
        <f>IF([1]!Tabela1511[[#This Row],[Services Employment]]="",#N/A,([1]!Tabela1511[[#This Row],[Manufacturing Employment]]+[1]!Tabela1511[[#This Row],[Services Employment]])/2)</f>
        <v>51.45</v>
      </c>
    </row>
    <row r="359" spans="1:28">
      <c r="A359" s="6">
        <v>39326</v>
      </c>
      <c r="B359" s="36">
        <v>11309.6</v>
      </c>
      <c r="C359" s="8">
        <f>IF(Tabela1511[[#This Row],[Real PCE]]="",#N/A,((Tabela1511[[#This Row],[Real PCE]]*1)/B358)-1)</f>
        <v>8.4070052477414059E-4</v>
      </c>
      <c r="D359" s="8"/>
      <c r="E359" s="7">
        <v>101.93980000000001</v>
      </c>
      <c r="F359" s="8">
        <f>IF(Tabela1511[[#This Row],[Industrial Production]]="",#N/A,((Tabela1511[[#This Row],[Industrial Production]]*1)/E358)-1)</f>
        <v>2.482116761762132E-3</v>
      </c>
      <c r="G359" s="8">
        <f>IF(Tabela1511[[#This Row],[Industrial Production]]="",#N/A,((Tabela1511[[#This Row],[Industrial Production]]*1)/E347)-1)</f>
        <v>2.7404563765424106E-2</v>
      </c>
      <c r="H359" s="32">
        <v>372869</v>
      </c>
      <c r="I359" s="8">
        <f>IF(Tabela1511[[#This Row],[Retail Sales]]="",#N/A,((Tabela1511[[#This Row],[Retail Sales]]*1)/H358)-1)</f>
        <v>4.0688500045777953E-3</v>
      </c>
      <c r="J359" s="8">
        <f>IF(Tabela1511[[#This Row],[Retail Sales]]="",#N/A,((Tabela1511[[#This Row],[Retail Sales]]*1)/H347)-1)</f>
        <v>3.874515615902574E-2</v>
      </c>
      <c r="K359" s="32">
        <v>295693</v>
      </c>
      <c r="L359" s="8">
        <f>IF(Tabela1511[[#This Row],[Core-Retail Sales]]="",#N/A,((Tabela1511[[#This Row],[Core-Retail Sales]]*1)/K358)-1)</f>
        <v>2.9985516045982763E-3</v>
      </c>
      <c r="M359" s="8">
        <f>IF(Tabela1511[[#This Row],[Core-Retail Sales]]="",#N/A,((Tabela1511[[#This Row],[Core-Retail Sales]]*1)/K347)-1)</f>
        <v>3.9773966003474159E-2</v>
      </c>
      <c r="N359" s="84">
        <v>178794</v>
      </c>
      <c r="O359" s="8">
        <f>IF(Tabela1511[[#This Row],[Real Retail Sales]]="",#N/A,((Tabela1511[[#This Row],[Real Retail Sales]]*1)/N358)-1)</f>
        <v>-1.6776271641394391E-4</v>
      </c>
      <c r="P359" s="8">
        <f>IF(Tabela1511[[#This Row],[Real Retail Sales]]="",#N/A,((Tabela1511[[#This Row],[Real Retail Sales]]*1)/N347)-1)</f>
        <v>1.0124179387803522E-2</v>
      </c>
      <c r="Q359" s="32">
        <v>257483</v>
      </c>
      <c r="R359" s="8">
        <f>IF(Tabela1511[[#This Row],[Core²-Retail Sales]]="",#N/A,((Tabela1511[[#This Row],[Core²-Retail Sales]]*1)/Q358)-1)</f>
        <v>-3.9986645236933516E-4</v>
      </c>
      <c r="S359" s="8">
        <f>IF(Tabela1511[[#This Row],[Core²-Retail Sales]]="",#N/A,((Tabela1511[[#This Row],[Core²-Retail Sales]]*1)/Q347)-1)</f>
        <v>3.2215260155463943E-2</v>
      </c>
      <c r="T359" s="5">
        <v>83.4</v>
      </c>
      <c r="U359" s="7">
        <v>53.8</v>
      </c>
      <c r="V359" s="25">
        <v>59.4</v>
      </c>
      <c r="W359" s="25">
        <v>53.9</v>
      </c>
      <c r="X359" s="25">
        <v>52.5</v>
      </c>
      <c r="Y359" s="25">
        <v>52.8</v>
      </c>
      <c r="Z359" s="25">
        <v>53.4</v>
      </c>
      <c r="AA359" s="25">
        <f>IF([1]!Tabela1511[[#This Row],[Services New Orders]]="","",([1]!Tabela1511[[#This Row],[Manufacturing New Orders]]+[1]!Tabela1511[[#This Row],[Services New Orders]])/2)</f>
        <v>56.099999999999994</v>
      </c>
      <c r="AB359" s="25">
        <f>IF([1]!Tabela1511[[#This Row],[Services Employment]]="",#N/A,([1]!Tabela1511[[#This Row],[Manufacturing Employment]]+[1]!Tabela1511[[#This Row],[Services Employment]])/2)</f>
        <v>53.65</v>
      </c>
    </row>
    <row r="360" spans="1:28">
      <c r="A360" s="6">
        <v>39356</v>
      </c>
      <c r="B360" s="36">
        <v>11318.6</v>
      </c>
      <c r="C360" s="8">
        <f>IF(Tabela1511[[#This Row],[Real PCE]]="",#N/A,((Tabela1511[[#This Row],[Real PCE]]*1)/B359)-1)</f>
        <v>7.9578411261227444E-4</v>
      </c>
      <c r="D360" s="8"/>
      <c r="E360" s="7">
        <v>101.6345</v>
      </c>
      <c r="F360" s="8">
        <f>IF(Tabela1511[[#This Row],[Industrial Production]]="",#N/A,((Tabela1511[[#This Row],[Industrial Production]]*1)/E359)-1)</f>
        <v>-2.9949048359914077E-3</v>
      </c>
      <c r="G360" s="8">
        <f>IF(Tabela1511[[#This Row],[Industrial Production]]="",#N/A,((Tabela1511[[#This Row],[Industrial Production]]*1)/E348)-1)</f>
        <v>2.5313416453720761E-2</v>
      </c>
      <c r="H360" s="32">
        <v>375289</v>
      </c>
      <c r="I360" s="8">
        <f>IF(Tabela1511[[#This Row],[Retail Sales]]="",#N/A,((Tabela1511[[#This Row],[Retail Sales]]*1)/H359)-1)</f>
        <v>6.4902150621264365E-3</v>
      </c>
      <c r="J360" s="8">
        <f>IF(Tabela1511[[#This Row],[Retail Sales]]="",#N/A,((Tabela1511[[#This Row],[Retail Sales]]*1)/H348)-1)</f>
        <v>4.6942214237492452E-2</v>
      </c>
      <c r="K360" s="32">
        <v>297672</v>
      </c>
      <c r="L360" s="8">
        <f>IF(Tabela1511[[#This Row],[Core-Retail Sales]]="",#N/A,((Tabela1511[[#This Row],[Core-Retail Sales]]*1)/K359)-1)</f>
        <v>6.6927522802366912E-3</v>
      </c>
      <c r="M360" s="8">
        <f>IF(Tabela1511[[#This Row],[Core-Retail Sales]]="",#N/A,((Tabela1511[[#This Row],[Core-Retail Sales]]*1)/K348)-1)</f>
        <v>5.178877444658414E-2</v>
      </c>
      <c r="N360" s="84">
        <v>179401</v>
      </c>
      <c r="O360" s="8">
        <f>IF(Tabela1511[[#This Row],[Real Retail Sales]]="",#N/A,((Tabela1511[[#This Row],[Real Retail Sales]]*1)/N359)-1)</f>
        <v>3.3949685112475425E-3</v>
      </c>
      <c r="P360" s="8">
        <f>IF(Tabela1511[[#This Row],[Real Retail Sales]]="",#N/A,((Tabela1511[[#This Row],[Real Retail Sales]]*1)/N348)-1)</f>
        <v>1.0459379083494813E-2</v>
      </c>
      <c r="Q360" s="32">
        <v>258365</v>
      </c>
      <c r="R360" s="8">
        <f>IF(Tabela1511[[#This Row],[Core²-Retail Sales]]="",#N/A,((Tabela1511[[#This Row],[Core²-Retail Sales]]*1)/Q359)-1)</f>
        <v>3.4254688659056676E-3</v>
      </c>
      <c r="S360" s="8">
        <f>IF(Tabela1511[[#This Row],[Core²-Retail Sales]]="",#N/A,((Tabela1511[[#This Row],[Core²-Retail Sales]]*1)/Q348)-1)</f>
        <v>3.3034389831389399E-2</v>
      </c>
      <c r="T360" s="5">
        <v>80.900000000000006</v>
      </c>
      <c r="U360" s="7">
        <v>52.8</v>
      </c>
      <c r="V360" s="25">
        <v>55.8</v>
      </c>
      <c r="W360" s="25">
        <v>53.5</v>
      </c>
      <c r="X360" s="25">
        <v>53.5</v>
      </c>
      <c r="Y360" s="25">
        <v>55.6</v>
      </c>
      <c r="Z360" s="25">
        <v>51.8</v>
      </c>
      <c r="AA360" s="25">
        <f>IF([1]!Tabela1511[[#This Row],[Services New Orders]]="","",([1]!Tabela1511[[#This Row],[Manufacturing New Orders]]+[1]!Tabela1511[[#This Row],[Services New Orders]])/2)</f>
        <v>55.7</v>
      </c>
      <c r="AB360" s="25">
        <f>IF([1]!Tabela1511[[#This Row],[Services Employment]]="",#N/A,([1]!Tabela1511[[#This Row],[Manufacturing Employment]]+[1]!Tabela1511[[#This Row],[Services Employment]])/2)</f>
        <v>52.65</v>
      </c>
    </row>
    <row r="361" spans="1:28">
      <c r="A361" s="6">
        <v>39387</v>
      </c>
      <c r="B361" s="36">
        <v>11342.2</v>
      </c>
      <c r="C361" s="8">
        <f>IF(Tabela1511[[#This Row],[Real PCE]]="",#N/A,((Tabela1511[[#This Row],[Real PCE]]*1)/B360)-1)</f>
        <v>2.0850635237574799E-3</v>
      </c>
      <c r="D361" s="8"/>
      <c r="E361" s="7">
        <v>102.2068</v>
      </c>
      <c r="F361" s="8">
        <f>IF(Tabela1511[[#This Row],[Industrial Production]]="",#N/A,((Tabela1511[[#This Row],[Industrial Production]]*1)/E360)-1)</f>
        <v>5.6309619272982836E-3</v>
      </c>
      <c r="G361" s="8">
        <f>IF(Tabela1511[[#This Row],[Industrial Production]]="",#N/A,((Tabela1511[[#This Row],[Industrial Production]]*1)/E349)-1)</f>
        <v>3.1382414586127227E-2</v>
      </c>
      <c r="H361" s="32">
        <v>378860</v>
      </c>
      <c r="I361" s="8">
        <f>IF(Tabela1511[[#This Row],[Retail Sales]]="",#N/A,((Tabela1511[[#This Row],[Retail Sales]]*1)/H360)-1)</f>
        <v>9.5153335163034036E-3</v>
      </c>
      <c r="J361" s="8">
        <f>IF(Tabela1511[[#This Row],[Retail Sales]]="",#N/A,((Tabela1511[[#This Row],[Retail Sales]]*1)/H349)-1)</f>
        <v>5.4538976691365093E-2</v>
      </c>
      <c r="K361" s="32">
        <v>302939</v>
      </c>
      <c r="L361" s="8">
        <f>IF(Tabela1511[[#This Row],[Core-Retail Sales]]="",#N/A,((Tabela1511[[#This Row],[Core-Retail Sales]]*1)/K360)-1)</f>
        <v>1.769397188852162E-2</v>
      </c>
      <c r="M361" s="8">
        <f>IF(Tabela1511[[#This Row],[Core-Retail Sales]]="",#N/A,((Tabela1511[[#This Row],[Core-Retail Sales]]*1)/K349)-1)</f>
        <v>6.9692304432878327E-2</v>
      </c>
      <c r="N361" s="84">
        <v>179696</v>
      </c>
      <c r="O361" s="8">
        <f>IF(Tabela1511[[#This Row],[Real Retail Sales]]="",#N/A,((Tabela1511[[#This Row],[Real Retail Sales]]*1)/N360)-1)</f>
        <v>1.6443609567393658E-3</v>
      </c>
      <c r="P361" s="8">
        <f>IF(Tabela1511[[#This Row],[Real Retail Sales]]="",#N/A,((Tabela1511[[#This Row],[Real Retail Sales]]*1)/N349)-1)</f>
        <v>1.0356809517919174E-2</v>
      </c>
      <c r="Q361" s="32">
        <v>260954</v>
      </c>
      <c r="R361" s="8">
        <f>IF(Tabela1511[[#This Row],[Core²-Retail Sales]]="",#N/A,((Tabela1511[[#This Row],[Core²-Retail Sales]]*1)/Q360)-1)</f>
        <v>1.0020707139124951E-2</v>
      </c>
      <c r="S361" s="8">
        <f>IF(Tabela1511[[#This Row],[Core²-Retail Sales]]="",#N/A,((Tabela1511[[#This Row],[Core²-Retail Sales]]*1)/Q349)-1)</f>
        <v>4.4317272290699483E-2</v>
      </c>
      <c r="T361" s="5">
        <v>76.099999999999994</v>
      </c>
      <c r="U361" s="7">
        <v>51.5</v>
      </c>
      <c r="V361" s="25">
        <v>53.1</v>
      </c>
      <c r="W361" s="25">
        <v>53.2</v>
      </c>
      <c r="X361" s="25">
        <v>52.7</v>
      </c>
      <c r="Y361" s="25">
        <v>51.9</v>
      </c>
      <c r="Z361" s="25">
        <v>51.6</v>
      </c>
      <c r="AA361" s="25">
        <f>IF([1]!Tabela1511[[#This Row],[Services New Orders]]="","",([1]!Tabela1511[[#This Row],[Manufacturing New Orders]]+[1]!Tabela1511[[#This Row],[Services New Orders]])/2)</f>
        <v>52.5</v>
      </c>
      <c r="AB361" s="25">
        <f>IF([1]!Tabela1511[[#This Row],[Services Employment]]="",#N/A,([1]!Tabela1511[[#This Row],[Manufacturing Employment]]+[1]!Tabela1511[[#This Row],[Services Employment]])/2)</f>
        <v>52.400000000000006</v>
      </c>
    </row>
    <row r="362" spans="1:28">
      <c r="A362" s="6">
        <v>39417</v>
      </c>
      <c r="B362" s="36">
        <v>11335.1</v>
      </c>
      <c r="C362" s="8">
        <f>IF(Tabela1511[[#This Row],[Real PCE]]="",#N/A,((Tabela1511[[#This Row],[Real PCE]]*1)/B361)-1)</f>
        <v>-6.2598085027598671E-4</v>
      </c>
      <c r="D362" s="8"/>
      <c r="E362" s="7">
        <v>102.2604</v>
      </c>
      <c r="F362" s="8">
        <f>IF(Tabela1511[[#This Row],[Industrial Production]]="",#N/A,((Tabela1511[[#This Row],[Industrial Production]]*1)/E361)-1)</f>
        <v>5.2442694615240093E-4</v>
      </c>
      <c r="G362" s="8">
        <f>IF(Tabela1511[[#This Row],[Industrial Production]]="",#N/A,((Tabela1511[[#This Row],[Industrial Production]]*1)/E350)-1)</f>
        <v>2.1457924209037582E-2</v>
      </c>
      <c r="H362" s="32">
        <v>374298</v>
      </c>
      <c r="I362" s="8">
        <f>IF(Tabela1511[[#This Row],[Retail Sales]]="",#N/A,((Tabela1511[[#This Row],[Retail Sales]]*1)/H361)-1)</f>
        <v>-1.2041387319854269E-2</v>
      </c>
      <c r="J362" s="8">
        <f>IF(Tabela1511[[#This Row],[Retail Sales]]="",#N/A,((Tabela1511[[#This Row],[Retail Sales]]*1)/H350)-1)</f>
        <v>2.9054518461496093E-2</v>
      </c>
      <c r="K362" s="32">
        <v>300953</v>
      </c>
      <c r="L362" s="8">
        <f>IF(Tabela1511[[#This Row],[Core-Retail Sales]]="",#N/A,((Tabela1511[[#This Row],[Core-Retail Sales]]*1)/K361)-1)</f>
        <v>-6.5557752550843285E-3</v>
      </c>
      <c r="M362" s="8">
        <f>IF(Tabela1511[[#This Row],[Core-Retail Sales]]="",#N/A,((Tabela1511[[#This Row],[Core-Retail Sales]]*1)/K350)-1)</f>
        <v>4.3917278315041663E-2</v>
      </c>
      <c r="N362" s="84">
        <v>177019</v>
      </c>
      <c r="O362" s="8">
        <f>IF(Tabela1511[[#This Row],[Real Retail Sales]]="",#N/A,((Tabela1511[[#This Row],[Real Retail Sales]]*1)/N361)-1)</f>
        <v>-1.4897382245570245E-2</v>
      </c>
      <c r="P362" s="8">
        <f>IF(Tabela1511[[#This Row],[Real Retail Sales]]="",#N/A,((Tabela1511[[#This Row],[Real Retail Sales]]*1)/N350)-1)</f>
        <v>-1.1558498846942045E-2</v>
      </c>
      <c r="Q362" s="32">
        <v>259360</v>
      </c>
      <c r="R362" s="8">
        <f>IF(Tabela1511[[#This Row],[Core²-Retail Sales]]="",#N/A,((Tabela1511[[#This Row],[Core²-Retail Sales]]*1)/Q361)-1)</f>
        <v>-6.1083562620232179E-3</v>
      </c>
      <c r="S362" s="8">
        <f>IF(Tabela1511[[#This Row],[Core²-Retail Sales]]="",#N/A,((Tabela1511[[#This Row],[Core²-Retail Sales]]*1)/Q350)-1)</f>
        <v>2.3532243870290515E-2</v>
      </c>
      <c r="T362" s="5">
        <v>75.5</v>
      </c>
      <c r="U362" s="7">
        <v>50.1</v>
      </c>
      <c r="V362" s="25">
        <v>49.9</v>
      </c>
      <c r="W362" s="25">
        <v>51.1</v>
      </c>
      <c r="X362" s="25">
        <v>52.5</v>
      </c>
      <c r="Y362" s="25">
        <v>52.5</v>
      </c>
      <c r="Z362" s="25">
        <v>45.2</v>
      </c>
      <c r="AA362" s="25">
        <f>IF([1]!Tabela1511[[#This Row],[Services New Orders]]="","",([1]!Tabela1511[[#This Row],[Manufacturing New Orders]]+[1]!Tabela1511[[#This Row],[Services New Orders]])/2)</f>
        <v>51.2</v>
      </c>
      <c r="AB362" s="25">
        <f>IF([1]!Tabela1511[[#This Row],[Services Employment]]="",#N/A,([1]!Tabela1511[[#This Row],[Manufacturing Employment]]+[1]!Tabela1511[[#This Row],[Services Employment]])/2)</f>
        <v>48.150000000000006</v>
      </c>
    </row>
    <row r="363" spans="1:28">
      <c r="A363" s="6">
        <v>39448</v>
      </c>
      <c r="B363" s="36">
        <v>11333.2</v>
      </c>
      <c r="C363" s="8">
        <f>IF(Tabela1511[[#This Row],[Real PCE]]="",#N/A,((Tabela1511[[#This Row],[Real PCE]]*1)/B362)-1)</f>
        <v>-1.6762092967859132E-4</v>
      </c>
      <c r="D363" s="8">
        <f>IF(Tabela1511[[#This Row],[Real PCE]]="",#N/A,((Tabela1511[[#This Row],[Real PCE]]*1)/B351)-1)</f>
        <v>1.3612378141490078E-2</v>
      </c>
      <c r="E363" s="7">
        <v>102.14</v>
      </c>
      <c r="F363" s="8">
        <f>IF(Tabela1511[[#This Row],[Industrial Production]]="",#N/A,((Tabela1511[[#This Row],[Industrial Production]]*1)/E362)-1)</f>
        <v>-1.177386358746868E-3</v>
      </c>
      <c r="G363" s="8">
        <f>IF(Tabela1511[[#This Row],[Industrial Production]]="",#N/A,((Tabela1511[[#This Row],[Industrial Production]]*1)/E351)-1)</f>
        <v>2.3887021575406786E-2</v>
      </c>
      <c r="H363" s="32">
        <v>375236</v>
      </c>
      <c r="I363" s="8">
        <f>IF(Tabela1511[[#This Row],[Retail Sales]]="",#N/A,((Tabela1511[[#This Row],[Retail Sales]]*1)/H362)-1)</f>
        <v>2.5060246114059215E-3</v>
      </c>
      <c r="J363" s="8">
        <f>IF(Tabela1511[[#This Row],[Retail Sales]]="",#N/A,((Tabela1511[[#This Row],[Retail Sales]]*1)/H351)-1)</f>
        <v>3.1956789580216416E-2</v>
      </c>
      <c r="K363" s="32">
        <v>301402</v>
      </c>
      <c r="L363" s="8">
        <f>IF(Tabela1511[[#This Row],[Core-Retail Sales]]="",#N/A,((Tabela1511[[#This Row],[Core-Retail Sales]]*1)/K362)-1)</f>
        <v>1.4919273109090803E-3</v>
      </c>
      <c r="M363" s="8">
        <f>IF(Tabela1511[[#This Row],[Core-Retail Sales]]="",#N/A,((Tabela1511[[#This Row],[Core-Retail Sales]]*1)/K351)-1)</f>
        <v>4.5746781071206666E-2</v>
      </c>
      <c r="N363" s="84">
        <v>176853</v>
      </c>
      <c r="O363" s="8">
        <f>IF(Tabela1511[[#This Row],[Real Retail Sales]]="",#N/A,((Tabela1511[[#This Row],[Real Retail Sales]]*1)/N362)-1)</f>
        <v>-9.3775244465288399E-4</v>
      </c>
      <c r="P363" s="8">
        <f>IF(Tabela1511[[#This Row],[Real Retail Sales]]="",#N/A,((Tabela1511[[#This Row],[Real Retail Sales]]*1)/N351)-1)</f>
        <v>-1.0535090860263163E-2</v>
      </c>
      <c r="Q363" s="32">
        <v>258979</v>
      </c>
      <c r="R363" s="8">
        <f>IF(Tabela1511[[#This Row],[Core²-Retail Sales]]="",#N/A,((Tabela1511[[#This Row],[Core²-Retail Sales]]*1)/Q362)-1)</f>
        <v>-1.4690006169031378E-3</v>
      </c>
      <c r="S363" s="8">
        <f>IF(Tabela1511[[#This Row],[Core²-Retail Sales]]="",#N/A,((Tabela1511[[#This Row],[Core²-Retail Sales]]*1)/Q351)-1)</f>
        <v>1.9710756655235029E-2</v>
      </c>
      <c r="T363" s="5">
        <v>78.400000000000006</v>
      </c>
      <c r="U363" s="7">
        <v>50.9</v>
      </c>
      <c r="V363" s="25">
        <v>49.5</v>
      </c>
      <c r="W363" s="25">
        <v>49.6</v>
      </c>
      <c r="X363" s="25">
        <v>44.8</v>
      </c>
      <c r="Y363" s="25">
        <v>43.5</v>
      </c>
      <c r="Z363" s="25">
        <v>46.9</v>
      </c>
      <c r="AA363" s="25">
        <f>IF([1]!Tabela1511[[#This Row],[Services New Orders]]="","",([1]!Tabela1511[[#This Row],[Manufacturing New Orders]]+[1]!Tabela1511[[#This Row],[Services New Orders]])/2)</f>
        <v>46.5</v>
      </c>
      <c r="AB363" s="25">
        <f>IF([1]!Tabela1511[[#This Row],[Services Employment]]="",#N/A,([1]!Tabela1511[[#This Row],[Manufacturing Employment]]+[1]!Tabela1511[[#This Row],[Services Employment]])/2)</f>
        <v>48.25</v>
      </c>
    </row>
    <row r="364" spans="1:28">
      <c r="A364" s="6">
        <v>39479</v>
      </c>
      <c r="B364" s="36">
        <v>11293.9</v>
      </c>
      <c r="C364" s="8">
        <f>IF(Tabela1511[[#This Row],[Real PCE]]="",#N/A,((Tabela1511[[#This Row],[Real PCE]]*1)/B363)-1)</f>
        <v>-3.4676878551512802E-3</v>
      </c>
      <c r="D364" s="8">
        <f>IF(Tabela1511[[#This Row],[Real PCE]]="",#N/A,((Tabela1511[[#This Row],[Real PCE]]*1)/B352)-1)</f>
        <v>1.0350503658907328E-2</v>
      </c>
      <c r="E364" s="7">
        <v>101.7671</v>
      </c>
      <c r="F364" s="8">
        <f>IF(Tabela1511[[#This Row],[Industrial Production]]="",#N/A,((Tabela1511[[#This Row],[Industrial Production]]*1)/E363)-1)</f>
        <v>-3.6508713530448711E-3</v>
      </c>
      <c r="G364" s="8">
        <f>IF(Tabela1511[[#This Row],[Industrial Production]]="",#N/A,((Tabela1511[[#This Row],[Industrial Production]]*1)/E352)-1)</f>
        <v>1.0320915340894965E-2</v>
      </c>
      <c r="H364" s="32">
        <v>371833</v>
      </c>
      <c r="I364" s="8">
        <f>IF(Tabela1511[[#This Row],[Retail Sales]]="",#N/A,((Tabela1511[[#This Row],[Retail Sales]]*1)/H363)-1)</f>
        <v>-9.068959268300536E-3</v>
      </c>
      <c r="J364" s="8">
        <f>IF(Tabela1511[[#This Row],[Retail Sales]]="",#N/A,((Tabela1511[[#This Row],[Retail Sales]]*1)/H352)-1)</f>
        <v>2.1502392817700722E-2</v>
      </c>
      <c r="K364" s="32">
        <v>299627</v>
      </c>
      <c r="L364" s="8">
        <f>IF(Tabela1511[[#This Row],[Core-Retail Sales]]="",#N/A,((Tabela1511[[#This Row],[Core-Retail Sales]]*1)/K363)-1)</f>
        <v>-5.8891447302937827E-3</v>
      </c>
      <c r="M364" s="8">
        <f>IF(Tabela1511[[#This Row],[Core-Retail Sales]]="",#N/A,((Tabela1511[[#This Row],[Core-Retail Sales]]*1)/K352)-1)</f>
        <v>3.9775822879253298E-2</v>
      </c>
      <c r="N364" s="84">
        <v>174826</v>
      </c>
      <c r="O364" s="8">
        <f>IF(Tabela1511[[#This Row],[Real Retail Sales]]="",#N/A,((Tabela1511[[#This Row],[Real Retail Sales]]*1)/N363)-1)</f>
        <v>-1.1461496270914306E-2</v>
      </c>
      <c r="P364" s="8">
        <f>IF(Tabela1511[[#This Row],[Real Retail Sales]]="",#N/A,((Tabela1511[[#This Row],[Real Retail Sales]]*1)/N352)-1)</f>
        <v>-1.913744059875333E-2</v>
      </c>
      <c r="Q364" s="32">
        <v>257123</v>
      </c>
      <c r="R364" s="8">
        <f>IF(Tabela1511[[#This Row],[Core²-Retail Sales]]="",#N/A,((Tabela1511[[#This Row],[Core²-Retail Sales]]*1)/Q363)-1)</f>
        <v>-7.16660424204274E-3</v>
      </c>
      <c r="S364" s="8">
        <f>IF(Tabela1511[[#This Row],[Core²-Retail Sales]]="",#N/A,((Tabela1511[[#This Row],[Core²-Retail Sales]]*1)/Q352)-1)</f>
        <v>1.5361347059822394E-2</v>
      </c>
      <c r="T364" s="5">
        <v>70.8</v>
      </c>
      <c r="U364" s="7">
        <v>48.8</v>
      </c>
      <c r="V364" s="25">
        <v>50.5</v>
      </c>
      <c r="W364" s="25">
        <v>47.3</v>
      </c>
      <c r="X364" s="25">
        <v>49.9</v>
      </c>
      <c r="Y364" s="25">
        <v>50.5</v>
      </c>
      <c r="Z364" s="25">
        <v>47</v>
      </c>
      <c r="AA364" s="25">
        <f>IF([1]!Tabela1511[[#This Row],[Services New Orders]]="","",([1]!Tabela1511[[#This Row],[Manufacturing New Orders]]+[1]!Tabela1511[[#This Row],[Services New Orders]])/2)</f>
        <v>50.5</v>
      </c>
      <c r="AB364" s="25">
        <f>IF([1]!Tabela1511[[#This Row],[Services Employment]]="",#N/A,([1]!Tabela1511[[#This Row],[Manufacturing Employment]]+[1]!Tabela1511[[#This Row],[Services Employment]])/2)</f>
        <v>47.15</v>
      </c>
    </row>
    <row r="365" spans="1:28">
      <c r="A365" s="6">
        <v>39508</v>
      </c>
      <c r="B365" s="36">
        <v>11322.1</v>
      </c>
      <c r="C365" s="8">
        <f>IF(Tabela1511[[#This Row],[Real PCE]]="",#N/A,((Tabela1511[[#This Row],[Real PCE]]*1)/B364)-1)</f>
        <v>2.4969231177893736E-3</v>
      </c>
      <c r="D365" s="8">
        <f>IF(Tabela1511[[#This Row],[Real PCE]]="",#N/A,((Tabela1511[[#This Row],[Real PCE]]*1)/B353)-1)</f>
        <v>1.1741892821717892E-2</v>
      </c>
      <c r="E365" s="7">
        <v>101.4355</v>
      </c>
      <c r="F365" s="8">
        <f>IF(Tabela1511[[#This Row],[Industrial Production]]="",#N/A,((Tabela1511[[#This Row],[Industrial Production]]*1)/E364)-1)</f>
        <v>-3.2584204521892701E-3</v>
      </c>
      <c r="G365" s="8">
        <f>IF(Tabela1511[[#This Row],[Industrial Production]]="",#N/A,((Tabela1511[[#This Row],[Industrial Production]]*1)/E353)-1)</f>
        <v>5.2843195843901292E-3</v>
      </c>
      <c r="H365" s="32">
        <v>372745</v>
      </c>
      <c r="I365" s="8">
        <f>IF(Tabela1511[[#This Row],[Retail Sales]]="",#N/A,((Tabela1511[[#This Row],[Retail Sales]]*1)/H364)-1)</f>
        <v>2.4527139871932668E-3</v>
      </c>
      <c r="J365" s="8">
        <f>IF(Tabela1511[[#This Row],[Retail Sales]]="",#N/A,((Tabela1511[[#This Row],[Retail Sales]]*1)/H353)-1)</f>
        <v>1.5216882105251628E-2</v>
      </c>
      <c r="K365" s="32">
        <v>300971</v>
      </c>
      <c r="L365" s="8">
        <f>IF(Tabela1511[[#This Row],[Core-Retail Sales]]="",#N/A,((Tabela1511[[#This Row],[Core-Retail Sales]]*1)/K364)-1)</f>
        <v>4.4855770674872009E-3</v>
      </c>
      <c r="M365" s="8">
        <f>IF(Tabela1511[[#This Row],[Core-Retail Sales]]="",#N/A,((Tabela1511[[#This Row],[Core-Retail Sales]]*1)/K353)-1)</f>
        <v>3.183217569578245E-2</v>
      </c>
      <c r="N365" s="84">
        <v>174630</v>
      </c>
      <c r="O365" s="8">
        <f>IF(Tabela1511[[#This Row],[Real Retail Sales]]="",#N/A,((Tabela1511[[#This Row],[Real Retail Sales]]*1)/N364)-1)</f>
        <v>-1.1211147083385331E-3</v>
      </c>
      <c r="P365" s="8">
        <f>IF(Tabela1511[[#This Row],[Real Retail Sales]]="",#N/A,((Tabela1511[[#This Row],[Real Retail Sales]]*1)/N353)-1)</f>
        <v>-2.3595191501257995E-2</v>
      </c>
      <c r="Q365" s="32">
        <v>257927</v>
      </c>
      <c r="R365" s="8">
        <f>IF(Tabela1511[[#This Row],[Core²-Retail Sales]]="",#N/A,((Tabela1511[[#This Row],[Core²-Retail Sales]]*1)/Q364)-1)</f>
        <v>3.1269081334615034E-3</v>
      </c>
      <c r="S365" s="8">
        <f>IF(Tabela1511[[#This Row],[Core²-Retail Sales]]="",#N/A,((Tabela1511[[#This Row],[Core²-Retail Sales]]*1)/Q353)-1)</f>
        <v>8.7607113384724489E-3</v>
      </c>
      <c r="T365" s="5">
        <v>69.5</v>
      </c>
      <c r="U365" s="7">
        <v>49.7</v>
      </c>
      <c r="V365" s="25">
        <v>49.2</v>
      </c>
      <c r="W365" s="25">
        <v>52.2</v>
      </c>
      <c r="X365" s="25">
        <v>49.4</v>
      </c>
      <c r="Y365" s="25">
        <v>49.4</v>
      </c>
      <c r="Z365" s="25">
        <v>50.7</v>
      </c>
      <c r="AA365" s="25">
        <f>IF([1]!Tabela1511[[#This Row],[Services New Orders]]="","",([1]!Tabela1511[[#This Row],[Manufacturing New Orders]]+[1]!Tabela1511[[#This Row],[Services New Orders]])/2)</f>
        <v>49.3</v>
      </c>
      <c r="AB365" s="25">
        <f>IF([1]!Tabela1511[[#This Row],[Services Employment]]="",#N/A,([1]!Tabela1511[[#This Row],[Manufacturing Employment]]+[1]!Tabela1511[[#This Row],[Services Employment]])/2)</f>
        <v>51.45</v>
      </c>
    </row>
    <row r="366" spans="1:28">
      <c r="A366" s="6">
        <v>39539</v>
      </c>
      <c r="B366" s="36">
        <v>11340.5</v>
      </c>
      <c r="C366" s="8">
        <f>IF(Tabela1511[[#This Row],[Real PCE]]="",#N/A,((Tabela1511[[#This Row],[Real PCE]]*1)/B365)-1)</f>
        <v>1.6251402125047054E-3</v>
      </c>
      <c r="D366" s="8">
        <f>IF(Tabela1511[[#This Row],[Real PCE]]="",#N/A,((Tabela1511[[#This Row],[Real PCE]]*1)/B354)-1)</f>
        <v>1.2409052359058981E-2</v>
      </c>
      <c r="E366" s="7">
        <v>100.7424</v>
      </c>
      <c r="F366" s="8">
        <f>IF(Tabela1511[[#This Row],[Industrial Production]]="",#N/A,((Tabela1511[[#This Row],[Industrial Production]]*1)/E365)-1)</f>
        <v>-6.8329135263295315E-3</v>
      </c>
      <c r="G366" s="8">
        <f>IF(Tabela1511[[#This Row],[Industrial Production]]="",#N/A,((Tabela1511[[#This Row],[Industrial Production]]*1)/E354)-1)</f>
        <v>-8.3179606919755456E-3</v>
      </c>
      <c r="H366" s="32">
        <v>372572</v>
      </c>
      <c r="I366" s="8">
        <f>IF(Tabela1511[[#This Row],[Retail Sales]]="",#N/A,((Tabela1511[[#This Row],[Retail Sales]]*1)/H365)-1)</f>
        <v>-4.6412426726050171E-4</v>
      </c>
      <c r="J366" s="8">
        <f>IF(Tabela1511[[#This Row],[Retail Sales]]="",#N/A,((Tabela1511[[#This Row],[Retail Sales]]*1)/H354)-1)</f>
        <v>1.7436446405798112E-2</v>
      </c>
      <c r="K366" s="32">
        <v>302520</v>
      </c>
      <c r="L366" s="8">
        <f>IF(Tabela1511[[#This Row],[Core-Retail Sales]]="",#N/A,((Tabela1511[[#This Row],[Core-Retail Sales]]*1)/K365)-1)</f>
        <v>5.1466752610715982E-3</v>
      </c>
      <c r="M366" s="8">
        <f>IF(Tabela1511[[#This Row],[Core-Retail Sales]]="",#N/A,((Tabela1511[[#This Row],[Core-Retail Sales]]*1)/K354)-1)</f>
        <v>4.3237166444813901E-2</v>
      </c>
      <c r="N366" s="84">
        <v>174146</v>
      </c>
      <c r="O366" s="8">
        <f>IF(Tabela1511[[#This Row],[Real Retail Sales]]="",#N/A,((Tabela1511[[#This Row],[Real Retail Sales]]*1)/N365)-1)</f>
        <v>-2.7715741854206222E-3</v>
      </c>
      <c r="P366" s="8">
        <f>IF(Tabela1511[[#This Row],[Real Retail Sales]]="",#N/A,((Tabela1511[[#This Row],[Real Retail Sales]]*1)/N354)-1)</f>
        <v>-2.0793504419603703E-2</v>
      </c>
      <c r="Q366" s="32">
        <v>259587</v>
      </c>
      <c r="R366" s="8">
        <f>IF(Tabela1511[[#This Row],[Core²-Retail Sales]]="",#N/A,((Tabela1511[[#This Row],[Core²-Retail Sales]]*1)/Q365)-1)</f>
        <v>6.4359295459568422E-3</v>
      </c>
      <c r="S366" s="8">
        <f>IF(Tabela1511[[#This Row],[Core²-Retail Sales]]="",#N/A,((Tabela1511[[#This Row],[Core²-Retail Sales]]*1)/Q354)-1)</f>
        <v>2.3478898561695605E-2</v>
      </c>
      <c r="T366" s="5">
        <v>62.6</v>
      </c>
      <c r="U366" s="7">
        <v>48.5</v>
      </c>
      <c r="V366" s="25">
        <v>46.2</v>
      </c>
      <c r="W366" s="25">
        <v>45.4</v>
      </c>
      <c r="X366" s="25">
        <v>51.9</v>
      </c>
      <c r="Y366" s="25">
        <v>49.9</v>
      </c>
      <c r="Z366" s="25">
        <v>47.6</v>
      </c>
      <c r="AA366" s="25">
        <f>IF([1]!Tabela1511[[#This Row],[Services New Orders]]="","",([1]!Tabela1511[[#This Row],[Manufacturing New Orders]]+[1]!Tabela1511[[#This Row],[Services New Orders]])/2)</f>
        <v>48.05</v>
      </c>
      <c r="AB366" s="25">
        <f>IF([1]!Tabela1511[[#This Row],[Services Employment]]="",#N/A,([1]!Tabela1511[[#This Row],[Manufacturing Employment]]+[1]!Tabela1511[[#This Row],[Services Employment]])/2)</f>
        <v>46.5</v>
      </c>
    </row>
    <row r="367" spans="1:28">
      <c r="A367" s="6">
        <v>39569</v>
      </c>
      <c r="B367" s="36">
        <v>11361.6</v>
      </c>
      <c r="C367" s="8">
        <f>IF(Tabela1511[[#This Row],[Real PCE]]="",#N/A,((Tabela1511[[#This Row],[Real PCE]]*1)/B366)-1)</f>
        <v>1.8605881574886851E-3</v>
      </c>
      <c r="D367" s="8">
        <f>IF(Tabela1511[[#This Row],[Real PCE]]="",#N/A,((Tabela1511[[#This Row],[Real PCE]]*1)/B355)-1)</f>
        <v>1.280085576751655E-2</v>
      </c>
      <c r="E367" s="7">
        <v>100.13200000000001</v>
      </c>
      <c r="F367" s="8">
        <f>IF(Tabela1511[[#This Row],[Industrial Production]]="",#N/A,((Tabela1511[[#This Row],[Industrial Production]]*1)/E366)-1)</f>
        <v>-6.0590178514706716E-3</v>
      </c>
      <c r="G367" s="8">
        <f>IF(Tabela1511[[#This Row],[Industrial Production]]="",#N/A,((Tabela1511[[#This Row],[Industrial Production]]*1)/E355)-1)</f>
        <v>-1.4738772743060902E-2</v>
      </c>
      <c r="H367" s="32">
        <v>376036</v>
      </c>
      <c r="I367" s="8">
        <f>IF(Tabela1511[[#This Row],[Retail Sales]]="",#N/A,((Tabela1511[[#This Row],[Retail Sales]]*1)/H366)-1)</f>
        <v>9.2975317522518974E-3</v>
      </c>
      <c r="J367" s="8">
        <f>IF(Tabela1511[[#This Row],[Retail Sales]]="",#N/A,((Tabela1511[[#This Row],[Retail Sales]]*1)/H355)-1)</f>
        <v>1.3754468449912904E-2</v>
      </c>
      <c r="K367" s="32">
        <v>306893</v>
      </c>
      <c r="L367" s="8">
        <f>IF(Tabela1511[[#This Row],[Core-Retail Sales]]="",#N/A,((Tabela1511[[#This Row],[Core-Retail Sales]]*1)/K366)-1)</f>
        <v>1.445524262858644E-2</v>
      </c>
      <c r="M367" s="8">
        <f>IF(Tabela1511[[#This Row],[Core-Retail Sales]]="",#N/A,((Tabela1511[[#This Row],[Core-Retail Sales]]*1)/K355)-1)</f>
        <v>4.4749240845895155E-2</v>
      </c>
      <c r="N367" s="84">
        <v>174731</v>
      </c>
      <c r="O367" s="8">
        <f>IF(Tabela1511[[#This Row],[Real Retail Sales]]="",#N/A,((Tabela1511[[#This Row],[Real Retail Sales]]*1)/N366)-1)</f>
        <v>3.3592502842443306E-3</v>
      </c>
      <c r="P367" s="8">
        <f>IF(Tabela1511[[#This Row],[Real Retail Sales]]="",#N/A,((Tabela1511[[#This Row],[Real Retail Sales]]*1)/N355)-1)</f>
        <v>-2.6069071613305961E-2</v>
      </c>
      <c r="Q367" s="32">
        <v>262549</v>
      </c>
      <c r="R367" s="8">
        <f>IF(Tabela1511[[#This Row],[Core²-Retail Sales]]="",#N/A,((Tabela1511[[#This Row],[Core²-Retail Sales]]*1)/Q366)-1)</f>
        <v>1.1410432725829978E-2</v>
      </c>
      <c r="S367" s="8">
        <f>IF(Tabela1511[[#This Row],[Core²-Retail Sales]]="",#N/A,((Tabela1511[[#This Row],[Core²-Retail Sales]]*1)/Q355)-1)</f>
        <v>2.6576527260783855E-2</v>
      </c>
      <c r="T367" s="5">
        <v>59.8</v>
      </c>
      <c r="U367" s="7">
        <v>48.9</v>
      </c>
      <c r="V367" s="25">
        <v>47.9</v>
      </c>
      <c r="W367" s="25">
        <v>45</v>
      </c>
      <c r="X367" s="25">
        <v>51.5</v>
      </c>
      <c r="Y367" s="25">
        <v>53.9</v>
      </c>
      <c r="Z367" s="25">
        <v>43.4</v>
      </c>
      <c r="AA367" s="25">
        <f>IF([1]!Tabela1511[[#This Row],[Services New Orders]]="","",([1]!Tabela1511[[#This Row],[Manufacturing New Orders]]+[1]!Tabela1511[[#This Row],[Services New Orders]])/2)</f>
        <v>50.9</v>
      </c>
      <c r="AB367" s="25">
        <f>IF([1]!Tabela1511[[#This Row],[Services Employment]]="",#N/A,([1]!Tabela1511[[#This Row],[Manufacturing Employment]]+[1]!Tabela1511[[#This Row],[Services Employment]])/2)</f>
        <v>44.2</v>
      </c>
    </row>
    <row r="368" spans="1:28">
      <c r="A368" s="6">
        <v>39600</v>
      </c>
      <c r="B368" s="36">
        <v>11340.7</v>
      </c>
      <c r="C368" s="8">
        <f>IF(Tabela1511[[#This Row],[Real PCE]]="",#N/A,((Tabela1511[[#This Row],[Real PCE]]*1)/B367)-1)</f>
        <v>-1.8395296437121456E-3</v>
      </c>
      <c r="D368" s="8">
        <f>IF(Tabela1511[[#This Row],[Real PCE]]="",#N/A,((Tabela1511[[#This Row],[Real PCE]]*1)/B356)-1)</f>
        <v>1.0892721843383857E-2</v>
      </c>
      <c r="E368" s="7">
        <v>99.865099999999998</v>
      </c>
      <c r="F368" s="8">
        <f>IF(Tabela1511[[#This Row],[Industrial Production]]="",#N/A,((Tabela1511[[#This Row],[Industrial Production]]*1)/E367)-1)</f>
        <v>-2.6654815643351037E-3</v>
      </c>
      <c r="G368" s="8">
        <f>IF(Tabela1511[[#This Row],[Industrial Production]]="",#N/A,((Tabela1511[[#This Row],[Industrial Production]]*1)/E356)-1)</f>
        <v>-1.754187481922953E-2</v>
      </c>
      <c r="H368" s="32">
        <v>376455</v>
      </c>
      <c r="I368" s="8">
        <f>IF(Tabela1511[[#This Row],[Retail Sales]]="",#N/A,((Tabela1511[[#This Row],[Retail Sales]]*1)/H367)-1)</f>
        <v>1.1142550181366673E-3</v>
      </c>
      <c r="J368" s="8">
        <f>IF(Tabela1511[[#This Row],[Retail Sales]]="",#N/A,((Tabela1511[[#This Row],[Retail Sales]]*1)/H356)-1)</f>
        <v>2.2547629524601209E-2</v>
      </c>
      <c r="K368" s="32">
        <v>309294</v>
      </c>
      <c r="L368" s="8">
        <f>IF(Tabela1511[[#This Row],[Core-Retail Sales]]="",#N/A,((Tabela1511[[#This Row],[Core-Retail Sales]]*1)/K367)-1)</f>
        <v>7.8235736885494678E-3</v>
      </c>
      <c r="M368" s="8">
        <f>IF(Tabela1511[[#This Row],[Core-Retail Sales]]="",#N/A,((Tabela1511[[#This Row],[Core-Retail Sales]]*1)/K356)-1)</f>
        <v>5.431551677120261E-2</v>
      </c>
      <c r="N368" s="84">
        <v>173112</v>
      </c>
      <c r="O368" s="8">
        <f>IF(Tabela1511[[#This Row],[Real Retail Sales]]="",#N/A,((Tabela1511[[#This Row],[Real Retail Sales]]*1)/N367)-1)</f>
        <v>-9.2656712317791268E-3</v>
      </c>
      <c r="P368" s="8">
        <f>IF(Tabela1511[[#This Row],[Real Retail Sales]]="",#N/A,((Tabela1511[[#This Row],[Real Retail Sales]]*1)/N356)-1)</f>
        <v>-2.5550095411790541E-2</v>
      </c>
      <c r="Q368" s="32">
        <v>262747</v>
      </c>
      <c r="R368" s="8">
        <f>IF(Tabela1511[[#This Row],[Core²-Retail Sales]]="",#N/A,((Tabela1511[[#This Row],[Core²-Retail Sales]]*1)/Q367)-1)</f>
        <v>7.5414494056347259E-4</v>
      </c>
      <c r="S368" s="8">
        <f>IF(Tabela1511[[#This Row],[Core²-Retail Sales]]="",#N/A,((Tabela1511[[#This Row],[Core²-Retail Sales]]*1)/Q356)-1)</f>
        <v>2.6155047842218337E-2</v>
      </c>
      <c r="T368" s="5">
        <v>56.4</v>
      </c>
      <c r="U368" s="7">
        <v>49.9</v>
      </c>
      <c r="V368" s="25">
        <v>49.5</v>
      </c>
      <c r="W368" s="25">
        <v>45</v>
      </c>
      <c r="X368" s="25">
        <v>48.1</v>
      </c>
      <c r="Y368" s="25">
        <v>49</v>
      </c>
      <c r="Z368" s="25">
        <v>46.4</v>
      </c>
      <c r="AA368" s="25">
        <f>IF([1]!Tabela1511[[#This Row],[Services New Orders]]="","",([1]!Tabela1511[[#This Row],[Manufacturing New Orders]]+[1]!Tabela1511[[#This Row],[Services New Orders]])/2)</f>
        <v>49.25</v>
      </c>
      <c r="AB368" s="25">
        <f>IF([1]!Tabela1511[[#This Row],[Services Employment]]="",#N/A,([1]!Tabela1511[[#This Row],[Manufacturing Employment]]+[1]!Tabela1511[[#This Row],[Services Employment]])/2)</f>
        <v>45.7</v>
      </c>
    </row>
    <row r="369" spans="1:28">
      <c r="A369" s="6">
        <v>39630</v>
      </c>
      <c r="B369" s="36">
        <v>11286</v>
      </c>
      <c r="C369" s="8">
        <f>IF(Tabela1511[[#This Row],[Real PCE]]="",#N/A,((Tabela1511[[#This Row],[Real PCE]]*1)/B368)-1)</f>
        <v>-4.8233354202121825E-3</v>
      </c>
      <c r="D369" s="8">
        <f>IF(Tabela1511[[#This Row],[Real PCE]]="",#N/A,((Tabela1511[[#This Row],[Real PCE]]*1)/B357)-1)</f>
        <v>2.9682029042177316E-3</v>
      </c>
      <c r="E369" s="7">
        <v>99.421400000000006</v>
      </c>
      <c r="F369" s="8">
        <f>IF(Tabela1511[[#This Row],[Industrial Production]]="",#N/A,((Tabela1511[[#This Row],[Industrial Production]]*1)/E368)-1)</f>
        <v>-4.4429935983640867E-3</v>
      </c>
      <c r="G369" s="8">
        <f>IF(Tabela1511[[#This Row],[Industrial Production]]="",#N/A,((Tabela1511[[#This Row],[Industrial Production]]*1)/E357)-1)</f>
        <v>-2.0406433972953719E-2</v>
      </c>
      <c r="H369" s="32">
        <v>375038</v>
      </c>
      <c r="I369" s="8">
        <f>IF(Tabela1511[[#This Row],[Retail Sales]]="",#N/A,((Tabela1511[[#This Row],[Retail Sales]]*1)/H368)-1)</f>
        <v>-3.7640621056965751E-3</v>
      </c>
      <c r="J369" s="8">
        <f>IF(Tabela1511[[#This Row],[Retail Sales]]="",#N/A,((Tabela1511[[#This Row],[Retail Sales]]*1)/H357)-1)</f>
        <v>1.4674768812869665E-2</v>
      </c>
      <c r="K369" s="32">
        <v>310641</v>
      </c>
      <c r="L369" s="8">
        <f>IF(Tabela1511[[#This Row],[Core-Retail Sales]]="",#N/A,((Tabela1511[[#This Row],[Core-Retail Sales]]*1)/K368)-1)</f>
        <v>4.3550796329705488E-3</v>
      </c>
      <c r="M369" s="8">
        <f>IF(Tabela1511[[#This Row],[Core-Retail Sales]]="",#N/A,((Tabela1511[[#This Row],[Core-Retail Sales]]*1)/K357)-1)</f>
        <v>5.4156684154444523E-2</v>
      </c>
      <c r="N369" s="84">
        <v>171238</v>
      </c>
      <c r="O369" s="8">
        <f>IF(Tabela1511[[#This Row],[Real Retail Sales]]="",#N/A,((Tabela1511[[#This Row],[Real Retail Sales]]*1)/N368)-1)</f>
        <v>-1.0825361615601437E-2</v>
      </c>
      <c r="P369" s="8">
        <f>IF(Tabela1511[[#This Row],[Real Retail Sales]]="",#N/A,((Tabela1511[[#This Row],[Real Retail Sales]]*1)/N357)-1)</f>
        <v>-3.8199495616129009E-2</v>
      </c>
      <c r="Q369" s="32">
        <v>263828</v>
      </c>
      <c r="R369" s="8">
        <f>IF(Tabela1511[[#This Row],[Core²-Retail Sales]]="",#N/A,((Tabela1511[[#This Row],[Core²-Retail Sales]]*1)/Q368)-1)</f>
        <v>4.1142239492744093E-3</v>
      </c>
      <c r="S369" s="8">
        <f>IF(Tabela1511[[#This Row],[Core²-Retail Sales]]="",#N/A,((Tabela1511[[#This Row],[Core²-Retail Sales]]*1)/Q357)-1)</f>
        <v>2.3704111842743458E-2</v>
      </c>
      <c r="T369" s="5">
        <v>61.2</v>
      </c>
      <c r="U369" s="7">
        <v>50.8</v>
      </c>
      <c r="V369" s="25">
        <v>48.4</v>
      </c>
      <c r="W369" s="25">
        <v>54.7</v>
      </c>
      <c r="X369" s="25">
        <v>50.1</v>
      </c>
      <c r="Y369" s="25">
        <v>49.4</v>
      </c>
      <c r="Z369" s="25">
        <v>45.2</v>
      </c>
      <c r="AA369" s="25">
        <f>IF([1]!Tabela1511[[#This Row],[Services New Orders]]="","",([1]!Tabela1511[[#This Row],[Manufacturing New Orders]]+[1]!Tabela1511[[#This Row],[Services New Orders]])/2)</f>
        <v>48.9</v>
      </c>
      <c r="AB369" s="25">
        <f>IF([1]!Tabela1511[[#This Row],[Services Employment]]="",#N/A,([1]!Tabela1511[[#This Row],[Manufacturing Employment]]+[1]!Tabela1511[[#This Row],[Services Employment]])/2)</f>
        <v>49.95</v>
      </c>
    </row>
    <row r="370" spans="1:28">
      <c r="A370" s="6">
        <v>39661</v>
      </c>
      <c r="B370" s="36">
        <v>11284.7</v>
      </c>
      <c r="C370" s="8">
        <f>IF(Tabela1511[[#This Row],[Real PCE]]="",#N/A,((Tabela1511[[#This Row],[Real PCE]]*1)/B369)-1)</f>
        <v>-1.1518695729217932E-4</v>
      </c>
      <c r="D370" s="8">
        <f>IF(Tabela1511[[#This Row],[Real PCE]]="",#N/A,((Tabela1511[[#This Row],[Real PCE]]*1)/B358)-1)</f>
        <v>-1.3628197980548595E-3</v>
      </c>
      <c r="E370" s="7">
        <v>97.844800000000006</v>
      </c>
      <c r="F370" s="8">
        <f>IF(Tabela1511[[#This Row],[Industrial Production]]="",#N/A,((Tabela1511[[#This Row],[Industrial Production]]*1)/E369)-1)</f>
        <v>-1.5857752958618576E-2</v>
      </c>
      <c r="G370" s="8">
        <f>IF(Tabela1511[[#This Row],[Industrial Production]]="",#N/A,((Tabela1511[[#This Row],[Industrial Production]]*1)/E358)-1)</f>
        <v>-3.7788359226413437E-2</v>
      </c>
      <c r="H370" s="32">
        <v>372284</v>
      </c>
      <c r="I370" s="8">
        <f>IF(Tabela1511[[#This Row],[Retail Sales]]="",#N/A,((Tabela1511[[#This Row],[Retail Sales]]*1)/H369)-1)</f>
        <v>-7.3432558834037875E-3</v>
      </c>
      <c r="J370" s="8">
        <f>IF(Tabela1511[[#This Row],[Retail Sales]]="",#N/A,((Tabela1511[[#This Row],[Retail Sales]]*1)/H358)-1)</f>
        <v>2.4935506977095123E-3</v>
      </c>
      <c r="K370" s="32">
        <v>307299</v>
      </c>
      <c r="L370" s="8">
        <f>IF(Tabela1511[[#This Row],[Core-Retail Sales]]="",#N/A,((Tabela1511[[#This Row],[Core-Retail Sales]]*1)/K369)-1)</f>
        <v>-1.0758399567346255E-2</v>
      </c>
      <c r="M370" s="8">
        <f>IF(Tabela1511[[#This Row],[Core-Retail Sales]]="",#N/A,((Tabela1511[[#This Row],[Core-Retail Sales]]*1)/K358)-1)</f>
        <v>4.2366413508407197E-2</v>
      </c>
      <c r="N370" s="84">
        <v>170234</v>
      </c>
      <c r="O370" s="8">
        <f>IF(Tabela1511[[#This Row],[Real Retail Sales]]="",#N/A,((Tabela1511[[#This Row],[Real Retail Sales]]*1)/N369)-1)</f>
        <v>-5.8631845735175325E-3</v>
      </c>
      <c r="P370" s="8">
        <f>IF(Tabela1511[[#This Row],[Real Retail Sales]]="",#N/A,((Tabela1511[[#This Row],[Real Retail Sales]]*1)/N358)-1)</f>
        <v>-4.8036057799847875E-2</v>
      </c>
      <c r="Q370" s="32">
        <v>261654</v>
      </c>
      <c r="R370" s="8">
        <f>IF(Tabela1511[[#This Row],[Core²-Retail Sales]]="",#N/A,((Tabela1511[[#This Row],[Core²-Retail Sales]]*1)/Q369)-1)</f>
        <v>-8.2402171111481959E-3</v>
      </c>
      <c r="S370" s="8">
        <f>IF(Tabela1511[[#This Row],[Core²-Retail Sales]]="",#N/A,((Tabela1511[[#This Row],[Core²-Retail Sales]]*1)/Q358)-1)</f>
        <v>1.5792783769304153E-2</v>
      </c>
      <c r="T370" s="5">
        <v>63</v>
      </c>
      <c r="U370" s="7">
        <v>50.1</v>
      </c>
      <c r="V370" s="25">
        <v>48.6</v>
      </c>
      <c r="W370" s="25">
        <v>50.2</v>
      </c>
      <c r="X370" s="25">
        <v>50.6</v>
      </c>
      <c r="Y370" s="25">
        <v>50.5</v>
      </c>
      <c r="Z370" s="25">
        <v>44.1</v>
      </c>
      <c r="AA370" s="25">
        <f>IF([1]!Tabela1511[[#This Row],[Services New Orders]]="","",([1]!Tabela1511[[#This Row],[Manufacturing New Orders]]+[1]!Tabela1511[[#This Row],[Services New Orders]])/2)</f>
        <v>49.55</v>
      </c>
      <c r="AB370" s="25">
        <f>IF([1]!Tabela1511[[#This Row],[Services Employment]]="",#N/A,([1]!Tabela1511[[#This Row],[Manufacturing Employment]]+[1]!Tabela1511[[#This Row],[Services Employment]])/2)</f>
        <v>47.150000000000006</v>
      </c>
    </row>
    <row r="371" spans="1:28">
      <c r="A371" s="6">
        <v>39692</v>
      </c>
      <c r="B371" s="36">
        <v>11209.7</v>
      </c>
      <c r="C371" s="8">
        <f>IF(Tabela1511[[#This Row],[Real PCE]]="",#N/A,((Tabela1511[[#This Row],[Real PCE]]*1)/B370)-1)</f>
        <v>-6.6461669339902274E-3</v>
      </c>
      <c r="D371" s="8">
        <f>IF(Tabela1511[[#This Row],[Real PCE]]="",#N/A,((Tabela1511[[#This Row],[Real PCE]]*1)/B359)-1)</f>
        <v>-8.8332036499964017E-3</v>
      </c>
      <c r="E371" s="7">
        <v>93.558999999999997</v>
      </c>
      <c r="F371" s="8">
        <f>IF(Tabela1511[[#This Row],[Industrial Production]]="",#N/A,((Tabela1511[[#This Row],[Industrial Production]]*1)/E370)-1)</f>
        <v>-4.3802021160041282E-2</v>
      </c>
      <c r="G371" s="8">
        <f>IF(Tabela1511[[#This Row],[Industrial Production]]="",#N/A,((Tabela1511[[#This Row],[Industrial Production]]*1)/E359)-1)</f>
        <v>-8.2213227806999911E-2</v>
      </c>
      <c r="H371" s="32">
        <v>366729</v>
      </c>
      <c r="I371" s="8">
        <f>IF(Tabela1511[[#This Row],[Retail Sales]]="",#N/A,((Tabela1511[[#This Row],[Retail Sales]]*1)/H370)-1)</f>
        <v>-1.4921404089351165E-2</v>
      </c>
      <c r="J371" s="8">
        <f>IF(Tabela1511[[#This Row],[Retail Sales]]="",#N/A,((Tabela1511[[#This Row],[Retail Sales]]*1)/H359)-1)</f>
        <v>-1.6466909289857834E-2</v>
      </c>
      <c r="K371" s="32">
        <v>304180</v>
      </c>
      <c r="L371" s="8">
        <f>IF(Tabela1511[[#This Row],[Core-Retail Sales]]="",#N/A,((Tabela1511[[#This Row],[Core-Retail Sales]]*1)/K370)-1)</f>
        <v>-1.0149723884555484E-2</v>
      </c>
      <c r="M371" s="8">
        <f>IF(Tabela1511[[#This Row],[Core-Retail Sales]]="",#N/A,((Tabela1511[[#This Row],[Core-Retail Sales]]*1)/K359)-1)</f>
        <v>2.8702065994122172E-2</v>
      </c>
      <c r="N371" s="84">
        <v>167550</v>
      </c>
      <c r="O371" s="8">
        <f>IF(Tabela1511[[#This Row],[Real Retail Sales]]="",#N/A,((Tabela1511[[#This Row],[Real Retail Sales]]*1)/N370)-1)</f>
        <v>-1.5766533124992654E-2</v>
      </c>
      <c r="P371" s="8">
        <f>IF(Tabela1511[[#This Row],[Real Retail Sales]]="",#N/A,((Tabela1511[[#This Row],[Real Retail Sales]]*1)/N359)-1)</f>
        <v>-6.2888016376388522E-2</v>
      </c>
      <c r="Q371" s="32">
        <v>258403</v>
      </c>
      <c r="R371" s="8">
        <f>IF(Tabela1511[[#This Row],[Core²-Retail Sales]]="",#N/A,((Tabela1511[[#This Row],[Core²-Retail Sales]]*1)/Q370)-1)</f>
        <v>-1.2424805277198137E-2</v>
      </c>
      <c r="S371" s="8">
        <f>IF(Tabela1511[[#This Row],[Core²-Retail Sales]]="",#N/A,((Tabela1511[[#This Row],[Core²-Retail Sales]]*1)/Q359)-1)</f>
        <v>3.5730514247542811E-3</v>
      </c>
      <c r="T371" s="5">
        <v>70.3</v>
      </c>
      <c r="U371" s="7">
        <v>47.2</v>
      </c>
      <c r="V371" s="25">
        <v>45.1</v>
      </c>
      <c r="W371" s="25">
        <v>45.4</v>
      </c>
      <c r="X371" s="25">
        <v>49.4</v>
      </c>
      <c r="Y371" s="25">
        <v>49.5</v>
      </c>
      <c r="Z371" s="25">
        <v>42.8</v>
      </c>
      <c r="AA371" s="25">
        <f>IF([1]!Tabela1511[[#This Row],[Services New Orders]]="","",([1]!Tabela1511[[#This Row],[Manufacturing New Orders]]+[1]!Tabela1511[[#This Row],[Services New Orders]])/2)</f>
        <v>47.3</v>
      </c>
      <c r="AB371" s="25">
        <f>IF([1]!Tabela1511[[#This Row],[Services Employment]]="",#N/A,([1]!Tabela1511[[#This Row],[Manufacturing Employment]]+[1]!Tabela1511[[#This Row],[Services Employment]])/2)</f>
        <v>44.099999999999994</v>
      </c>
    </row>
    <row r="372" spans="1:28">
      <c r="A372" s="6">
        <v>39722</v>
      </c>
      <c r="B372" s="36">
        <v>11192.5</v>
      </c>
      <c r="C372" s="8">
        <f>IF(Tabela1511[[#This Row],[Real PCE]]="",#N/A,((Tabela1511[[#This Row],[Real PCE]]*1)/B371)-1)</f>
        <v>-1.5343853983603717E-3</v>
      </c>
      <c r="D372" s="8">
        <f>IF(Tabela1511[[#This Row],[Real PCE]]="",#N/A,((Tabela1511[[#This Row],[Real PCE]]*1)/B360)-1)</f>
        <v>-1.1140953828212008E-2</v>
      </c>
      <c r="E372" s="7">
        <v>94.495599999999996</v>
      </c>
      <c r="F372" s="8">
        <f>IF(Tabela1511[[#This Row],[Industrial Production]]="",#N/A,((Tabela1511[[#This Row],[Industrial Production]]*1)/E371)-1)</f>
        <v>1.0010795327012989E-2</v>
      </c>
      <c r="G372" s="8">
        <f>IF(Tabela1511[[#This Row],[Industrial Production]]="",#N/A,((Tabela1511[[#This Row],[Industrial Production]]*1)/E360)-1)</f>
        <v>-7.0240912288642154E-2</v>
      </c>
      <c r="H372" s="32">
        <v>352950</v>
      </c>
      <c r="I372" s="8">
        <f>IF(Tabela1511[[#This Row],[Retail Sales]]="",#N/A,((Tabela1511[[#This Row],[Retail Sales]]*1)/H371)-1)</f>
        <v>-3.7572703549487496E-2</v>
      </c>
      <c r="J372" s="8">
        <f>IF(Tabela1511[[#This Row],[Retail Sales]]="",#N/A,((Tabela1511[[#This Row],[Retail Sales]]*1)/H360)-1)</f>
        <v>-5.9524792892943879E-2</v>
      </c>
      <c r="K372" s="32">
        <v>296351</v>
      </c>
      <c r="L372" s="8">
        <f>IF(Tabela1511[[#This Row],[Core-Retail Sales]]="",#N/A,((Tabela1511[[#This Row],[Core-Retail Sales]]*1)/K371)-1)</f>
        <v>-2.5738049838911148E-2</v>
      </c>
      <c r="M372" s="8">
        <f>IF(Tabela1511[[#This Row],[Core-Retail Sales]]="",#N/A,((Tabela1511[[#This Row],[Core-Retail Sales]]*1)/K360)-1)</f>
        <v>-4.4377704318847577E-3</v>
      </c>
      <c r="N372" s="84">
        <v>162654</v>
      </c>
      <c r="O372" s="8">
        <f>IF(Tabela1511[[#This Row],[Real Retail Sales]]="",#N/A,((Tabela1511[[#This Row],[Real Retail Sales]]*1)/N371)-1)</f>
        <v>-2.9221128021486131E-2</v>
      </c>
      <c r="P372" s="8">
        <f>IF(Tabela1511[[#This Row],[Real Retail Sales]]="",#N/A,((Tabela1511[[#This Row],[Real Retail Sales]]*1)/N360)-1)</f>
        <v>-9.3349535398353445E-2</v>
      </c>
      <c r="Q372" s="32">
        <v>255767</v>
      </c>
      <c r="R372" s="8">
        <f>IF(Tabela1511[[#This Row],[Core²-Retail Sales]]="",#N/A,((Tabela1511[[#This Row],[Core²-Retail Sales]]*1)/Q371)-1)</f>
        <v>-1.0201119956037674E-2</v>
      </c>
      <c r="S372" s="8">
        <f>IF(Tabela1511[[#This Row],[Core²-Retail Sales]]="",#N/A,((Tabela1511[[#This Row],[Core²-Retail Sales]]*1)/Q360)-1)</f>
        <v>-1.0055541578774196E-2</v>
      </c>
      <c r="T372" s="5">
        <v>57.6</v>
      </c>
      <c r="U372" s="7">
        <v>38.200000000000003</v>
      </c>
      <c r="V372" s="25">
        <v>32</v>
      </c>
      <c r="W372" s="25">
        <v>33</v>
      </c>
      <c r="X372" s="25">
        <v>44.7</v>
      </c>
      <c r="Y372" s="25">
        <v>44.2</v>
      </c>
      <c r="Z372" s="25">
        <v>32</v>
      </c>
      <c r="AA372" s="25">
        <f>IF([1]!Tabela1511[[#This Row],[Services New Orders]]="","",([1]!Tabela1511[[#This Row],[Manufacturing New Orders]]+[1]!Tabela1511[[#This Row],[Services New Orders]])/2)</f>
        <v>38.1</v>
      </c>
      <c r="AB372" s="25">
        <f>IF([1]!Tabela1511[[#This Row],[Services Employment]]="",#N/A,([1]!Tabela1511[[#This Row],[Manufacturing Employment]]+[1]!Tabela1511[[#This Row],[Services Employment]])/2)</f>
        <v>32.5</v>
      </c>
    </row>
    <row r="373" spans="1:28">
      <c r="A373" s="6">
        <v>39753</v>
      </c>
      <c r="B373" s="36">
        <v>11158.2</v>
      </c>
      <c r="C373" s="8">
        <f>IF(Tabela1511[[#This Row],[Real PCE]]="",#N/A,((Tabela1511[[#This Row],[Real PCE]]*1)/B372)-1)</f>
        <v>-3.0645521554611976E-3</v>
      </c>
      <c r="D373" s="8">
        <f>IF(Tabela1511[[#This Row],[Real PCE]]="",#N/A,((Tabela1511[[#This Row],[Real PCE]]*1)/B361)-1)</f>
        <v>-1.6222602317010781E-2</v>
      </c>
      <c r="E373" s="7">
        <v>93.268900000000002</v>
      </c>
      <c r="F373" s="8">
        <f>IF(Tabela1511[[#This Row],[Industrial Production]]="",#N/A,((Tabela1511[[#This Row],[Industrial Production]]*1)/E372)-1)</f>
        <v>-1.2981556813227213E-2</v>
      </c>
      <c r="G373" s="8">
        <f>IF(Tabela1511[[#This Row],[Industrial Production]]="",#N/A,((Tabela1511[[#This Row],[Industrial Production]]*1)/E361)-1)</f>
        <v>-8.7449171679379489E-2</v>
      </c>
      <c r="H373" s="32">
        <v>339350</v>
      </c>
      <c r="I373" s="8">
        <f>IF(Tabela1511[[#This Row],[Retail Sales]]="",#N/A,((Tabela1511[[#This Row],[Retail Sales]]*1)/H372)-1)</f>
        <v>-3.8532370024082718E-2</v>
      </c>
      <c r="J373" s="8">
        <f>IF(Tabela1511[[#This Row],[Retail Sales]]="",#N/A,((Tabela1511[[#This Row],[Retail Sales]]*1)/H361)-1)</f>
        <v>-0.10428654384205249</v>
      </c>
      <c r="K373" s="32">
        <v>284366</v>
      </c>
      <c r="L373" s="8">
        <f>IF(Tabela1511[[#This Row],[Core-Retail Sales]]="",#N/A,((Tabela1511[[#This Row],[Core-Retail Sales]]*1)/K372)-1)</f>
        <v>-4.0441908412659267E-2</v>
      </c>
      <c r="M373" s="8">
        <f>IF(Tabela1511[[#This Row],[Core-Retail Sales]]="",#N/A,((Tabela1511[[#This Row],[Core-Retail Sales]]*1)/K361)-1)</f>
        <v>-6.130937251393842E-2</v>
      </c>
      <c r="N373" s="84">
        <v>159205</v>
      </c>
      <c r="O373" s="8">
        <f>IF(Tabela1511[[#This Row],[Real Retail Sales]]="",#N/A,((Tabela1511[[#This Row],[Real Retail Sales]]*1)/N372)-1)</f>
        <v>-2.1204520024100226E-2</v>
      </c>
      <c r="P373" s="8">
        <f>IF(Tabela1511[[#This Row],[Real Retail Sales]]="",#N/A,((Tabela1511[[#This Row],[Real Retail Sales]]*1)/N361)-1)</f>
        <v>-0.11403147538064284</v>
      </c>
      <c r="Q373" s="32">
        <v>252590</v>
      </c>
      <c r="R373" s="8">
        <f>IF(Tabela1511[[#This Row],[Core²-Retail Sales]]="",#N/A,((Tabela1511[[#This Row],[Core²-Retail Sales]]*1)/Q372)-1)</f>
        <v>-1.2421461721019544E-2</v>
      </c>
      <c r="S373" s="8">
        <f>IF(Tabela1511[[#This Row],[Core²-Retail Sales]]="",#N/A,((Tabela1511[[#This Row],[Core²-Retail Sales]]*1)/Q361)-1)</f>
        <v>-3.2051625957065233E-2</v>
      </c>
      <c r="T373" s="5">
        <v>55.3</v>
      </c>
      <c r="U373" s="7">
        <v>39</v>
      </c>
      <c r="V373" s="25">
        <v>34.5</v>
      </c>
      <c r="W373" s="25">
        <v>36.799999999999997</v>
      </c>
      <c r="X373" s="25">
        <v>37.799999999999997</v>
      </c>
      <c r="Y373" s="25">
        <v>35.4</v>
      </c>
      <c r="Z373" s="25">
        <v>34.6</v>
      </c>
      <c r="AA373" s="25">
        <f>IF([1]!Tabela1511[[#This Row],[Services New Orders]]="","",([1]!Tabela1511[[#This Row],[Manufacturing New Orders]]+[1]!Tabela1511[[#This Row],[Services New Orders]])/2)</f>
        <v>34.950000000000003</v>
      </c>
      <c r="AB373" s="25">
        <f>IF([1]!Tabela1511[[#This Row],[Services Employment]]="",#N/A,([1]!Tabela1511[[#This Row],[Manufacturing Employment]]+[1]!Tabela1511[[#This Row],[Services Employment]])/2)</f>
        <v>35.700000000000003</v>
      </c>
    </row>
    <row r="374" spans="1:28">
      <c r="A374" s="6">
        <v>39783</v>
      </c>
      <c r="B374" s="36">
        <v>11125.8</v>
      </c>
      <c r="C374" s="8">
        <f>IF(Tabela1511[[#This Row],[Real PCE]]="",#N/A,((Tabela1511[[#This Row],[Real PCE]]*1)/B373)-1)</f>
        <v>-2.9036941442169839E-3</v>
      </c>
      <c r="D374" s="8">
        <f>IF(Tabela1511[[#This Row],[Real PCE]]="",#N/A,((Tabela1511[[#This Row],[Real PCE]]*1)/B362)-1)</f>
        <v>-1.8464768727227909E-2</v>
      </c>
      <c r="E374" s="7">
        <v>90.628</v>
      </c>
      <c r="F374" s="8">
        <f>IF(Tabela1511[[#This Row],[Industrial Production]]="",#N/A,((Tabela1511[[#This Row],[Industrial Production]]*1)/E373)-1)</f>
        <v>-2.8314904539455288E-2</v>
      </c>
      <c r="G374" s="8">
        <f>IF(Tabela1511[[#This Row],[Industrial Production]]="",#N/A,((Tabela1511[[#This Row],[Industrial Production]]*1)/E362)-1)</f>
        <v>-0.11375273321833279</v>
      </c>
      <c r="H374" s="32">
        <v>332091</v>
      </c>
      <c r="I374" s="8">
        <f>IF(Tabela1511[[#This Row],[Retail Sales]]="",#N/A,((Tabela1511[[#This Row],[Retail Sales]]*1)/H373)-1)</f>
        <v>-2.1390894356858703E-2</v>
      </c>
      <c r="J374" s="8">
        <f>IF(Tabela1511[[#This Row],[Retail Sales]]="",#N/A,((Tabela1511[[#This Row],[Retail Sales]]*1)/H362)-1)</f>
        <v>-0.11276309250917715</v>
      </c>
      <c r="K374" s="32">
        <v>277968</v>
      </c>
      <c r="L374" s="8">
        <f>IF(Tabela1511[[#This Row],[Core-Retail Sales]]="",#N/A,((Tabela1511[[#This Row],[Core-Retail Sales]]*1)/K373)-1)</f>
        <v>-2.2499173600219469E-2</v>
      </c>
      <c r="M374" s="8">
        <f>IF(Tabela1511[[#This Row],[Core-Retail Sales]]="",#N/A,((Tabela1511[[#This Row],[Core-Retail Sales]]*1)/K362)-1)</f>
        <v>-7.6374051762235329E-2</v>
      </c>
      <c r="N374" s="84">
        <v>157093</v>
      </c>
      <c r="O374" s="8">
        <f>IF(Tabela1511[[#This Row],[Real Retail Sales]]="",#N/A,((Tabela1511[[#This Row],[Real Retail Sales]]*1)/N373)-1)</f>
        <v>-1.3265915015231888E-2</v>
      </c>
      <c r="P374" s="8">
        <f>IF(Tabela1511[[#This Row],[Real Retail Sales]]="",#N/A,((Tabela1511[[#This Row],[Real Retail Sales]]*1)/N362)-1)</f>
        <v>-0.11256418802501422</v>
      </c>
      <c r="Q374" s="32">
        <v>249969</v>
      </c>
      <c r="R374" s="8">
        <f>IF(Tabela1511[[#This Row],[Core²-Retail Sales]]="",#N/A,((Tabela1511[[#This Row],[Core²-Retail Sales]]*1)/Q373)-1)</f>
        <v>-1.0376499465536981E-2</v>
      </c>
      <c r="S374" s="8">
        <f>IF(Tabela1511[[#This Row],[Core²-Retail Sales]]="",#N/A,((Tabela1511[[#This Row],[Core²-Retail Sales]]*1)/Q362)-1)</f>
        <v>-3.6208359037631088E-2</v>
      </c>
      <c r="T374" s="5">
        <v>60.1</v>
      </c>
      <c r="U374" s="7">
        <v>34.5</v>
      </c>
      <c r="V374" s="25">
        <v>25.9</v>
      </c>
      <c r="W374" s="25">
        <v>32.5</v>
      </c>
      <c r="X374" s="25">
        <v>40</v>
      </c>
      <c r="Y374" s="25">
        <v>38.700000000000003</v>
      </c>
      <c r="Z374" s="25">
        <v>35.799999999999997</v>
      </c>
      <c r="AA374" s="25">
        <f>IF([1]!Tabela1511[[#This Row],[Services New Orders]]="","",([1]!Tabela1511[[#This Row],[Manufacturing New Orders]]+[1]!Tabela1511[[#This Row],[Services New Orders]])/2)</f>
        <v>32.299999999999997</v>
      </c>
      <c r="AB374" s="25">
        <f>IF([1]!Tabela1511[[#This Row],[Services Employment]]="",#N/A,([1]!Tabela1511[[#This Row],[Manufacturing Employment]]+[1]!Tabela1511[[#This Row],[Services Employment]])/2)</f>
        <v>34.15</v>
      </c>
    </row>
    <row r="375" spans="1:28">
      <c r="A375" s="6">
        <v>39814</v>
      </c>
      <c r="B375" s="36">
        <v>11176.3</v>
      </c>
      <c r="C375" s="8">
        <f>IF(Tabela1511[[#This Row],[Real PCE]]="",#N/A,((Tabela1511[[#This Row],[Real PCE]]*1)/B374)-1)</f>
        <v>4.5389994427367242E-3</v>
      </c>
      <c r="D375" s="8">
        <f>IF(Tabela1511[[#This Row],[Real PCE]]="",#N/A,((Tabela1511[[#This Row],[Real PCE]]*1)/B363)-1)</f>
        <v>-1.3844280520947438E-2</v>
      </c>
      <c r="E375" s="7">
        <v>88.381100000000004</v>
      </c>
      <c r="F375" s="8">
        <f>IF(Tabela1511[[#This Row],[Industrial Production]]="",#N/A,((Tabela1511[[#This Row],[Industrial Production]]*1)/E374)-1)</f>
        <v>-2.4792558591163805E-2</v>
      </c>
      <c r="G375" s="8">
        <f>IF(Tabela1511[[#This Row],[Industrial Production]]="",#N/A,((Tabela1511[[#This Row],[Industrial Production]]*1)/E363)-1)</f>
        <v>-0.13470628549050323</v>
      </c>
      <c r="H375" s="32">
        <v>336929</v>
      </c>
      <c r="I375" s="8">
        <f>IF(Tabela1511[[#This Row],[Retail Sales]]="",#N/A,((Tabela1511[[#This Row],[Retail Sales]]*1)/H374)-1)</f>
        <v>1.4568296039338513E-2</v>
      </c>
      <c r="J375" s="8">
        <f>IF(Tabela1511[[#This Row],[Retail Sales]]="",#N/A,((Tabela1511[[#This Row],[Retail Sales]]*1)/H363)-1)</f>
        <v>-0.10208775277425408</v>
      </c>
      <c r="K375" s="32">
        <v>281139</v>
      </c>
      <c r="L375" s="8">
        <f>IF(Tabela1511[[#This Row],[Core-Retail Sales]]="",#N/A,((Tabela1511[[#This Row],[Core-Retail Sales]]*1)/K374)-1)</f>
        <v>1.1407787946813963E-2</v>
      </c>
      <c r="M375" s="8">
        <f>IF(Tabela1511[[#This Row],[Core-Retail Sales]]="",#N/A,((Tabela1511[[#This Row],[Core-Retail Sales]]*1)/K363)-1)</f>
        <v>-6.7229149109826691E-2</v>
      </c>
      <c r="N375" s="84">
        <v>158979</v>
      </c>
      <c r="O375" s="8">
        <f>IF(Tabela1511[[#This Row],[Real Retail Sales]]="",#N/A,((Tabela1511[[#This Row],[Real Retail Sales]]*1)/N374)-1)</f>
        <v>1.2005627239915162E-2</v>
      </c>
      <c r="P375" s="8">
        <f>IF(Tabela1511[[#This Row],[Real Retail Sales]]="",#N/A,((Tabela1511[[#This Row],[Real Retail Sales]]*1)/N363)-1)</f>
        <v>-0.10106698783735646</v>
      </c>
      <c r="Q375" s="32">
        <v>252321</v>
      </c>
      <c r="R375" s="8">
        <f>IF(Tabela1511[[#This Row],[Core²-Retail Sales]]="",#N/A,((Tabela1511[[#This Row],[Core²-Retail Sales]]*1)/Q374)-1)</f>
        <v>9.4091667366753562E-3</v>
      </c>
      <c r="S375" s="8">
        <f>IF(Tabela1511[[#This Row],[Core²-Retail Sales]]="",#N/A,((Tabela1511[[#This Row],[Core²-Retail Sales]]*1)/Q363)-1)</f>
        <v>-2.5708648191552164E-2</v>
      </c>
      <c r="T375" s="5">
        <v>61.2</v>
      </c>
      <c r="U375" s="7">
        <v>36.4</v>
      </c>
      <c r="V375" s="25">
        <v>32.5</v>
      </c>
      <c r="W375" s="25">
        <v>30.5</v>
      </c>
      <c r="X375" s="25">
        <v>43</v>
      </c>
      <c r="Y375" s="25">
        <v>40.6</v>
      </c>
      <c r="Z375" s="25">
        <v>36.9</v>
      </c>
      <c r="AA375" s="25">
        <f>IF([1]!Tabela1511[[#This Row],[Services New Orders]]="","",([1]!Tabela1511[[#This Row],[Manufacturing New Orders]]+[1]!Tabela1511[[#This Row],[Services New Orders]])/2)</f>
        <v>36.549999999999997</v>
      </c>
      <c r="AB375" s="25">
        <f>IF([1]!Tabela1511[[#This Row],[Services Employment]]="",#N/A,([1]!Tabela1511[[#This Row],[Manufacturing Employment]]+[1]!Tabela1511[[#This Row],[Services Employment]])/2)</f>
        <v>33.700000000000003</v>
      </c>
    </row>
    <row r="376" spans="1:28">
      <c r="A376" s="6">
        <v>39845</v>
      </c>
      <c r="B376" s="36">
        <v>11130.5</v>
      </c>
      <c r="C376" s="8">
        <f>IF(Tabela1511[[#This Row],[Real PCE]]="",#N/A,((Tabela1511[[#This Row],[Real PCE]]*1)/B375)-1)</f>
        <v>-4.0979572846111534E-3</v>
      </c>
      <c r="D376" s="8">
        <f>IF(Tabela1511[[#This Row],[Real PCE]]="",#N/A,((Tabela1511[[#This Row],[Real PCE]]*1)/B364)-1)</f>
        <v>-1.446798714350217E-2</v>
      </c>
      <c r="E376" s="7">
        <v>87.841200000000001</v>
      </c>
      <c r="F376" s="8">
        <f>IF(Tabela1511[[#This Row],[Industrial Production]]="",#N/A,((Tabela1511[[#This Row],[Industrial Production]]*1)/E375)-1)</f>
        <v>-6.1087721243568982E-3</v>
      </c>
      <c r="G376" s="8">
        <f>IF(Tabela1511[[#This Row],[Industrial Production]]="",#N/A,((Tabela1511[[#This Row],[Industrial Production]]*1)/E364)-1)</f>
        <v>-0.13684088472600675</v>
      </c>
      <c r="H376" s="32">
        <v>335576</v>
      </c>
      <c r="I376" s="8">
        <f>IF(Tabela1511[[#This Row],[Retail Sales]]="",#N/A,((Tabela1511[[#This Row],[Retail Sales]]*1)/H375)-1)</f>
        <v>-4.0156828293200775E-3</v>
      </c>
      <c r="J376" s="8">
        <f>IF(Tabela1511[[#This Row],[Retail Sales]]="",#N/A,((Tabela1511[[#This Row],[Retail Sales]]*1)/H364)-1)</f>
        <v>-9.7508827887788363E-2</v>
      </c>
      <c r="K376" s="32">
        <v>281388</v>
      </c>
      <c r="L376" s="8">
        <f>IF(Tabela1511[[#This Row],[Core-Retail Sales]]="",#N/A,((Tabela1511[[#This Row],[Core-Retail Sales]]*1)/K375)-1)</f>
        <v>8.8568288284451846E-4</v>
      </c>
      <c r="M376" s="8">
        <f>IF(Tabela1511[[#This Row],[Core-Retail Sales]]="",#N/A,((Tabela1511[[#This Row],[Core-Retail Sales]]*1)/K364)-1)</f>
        <v>-6.0872351290104043E-2</v>
      </c>
      <c r="N376" s="84">
        <v>157766</v>
      </c>
      <c r="O376" s="8">
        <f>IF(Tabela1511[[#This Row],[Real Retail Sales]]="",#N/A,((Tabela1511[[#This Row],[Real Retail Sales]]*1)/N375)-1)</f>
        <v>-7.6299385453424406E-3</v>
      </c>
      <c r="P376" s="8">
        <f>IF(Tabela1511[[#This Row],[Real Retail Sales]]="",#N/A,((Tabela1511[[#This Row],[Real Retail Sales]]*1)/N364)-1)</f>
        <v>-9.7582739409469932E-2</v>
      </c>
      <c r="Q376" s="32">
        <v>251528</v>
      </c>
      <c r="R376" s="8">
        <f>IF(Tabela1511[[#This Row],[Core²-Retail Sales]]="",#N/A,((Tabela1511[[#This Row],[Core²-Retail Sales]]*1)/Q375)-1)</f>
        <v>-3.1428220401790163E-3</v>
      </c>
      <c r="S376" s="8">
        <f>IF(Tabela1511[[#This Row],[Core²-Retail Sales]]="",#N/A,((Tabela1511[[#This Row],[Core²-Retail Sales]]*1)/Q364)-1)</f>
        <v>-2.1760013689946067E-2</v>
      </c>
      <c r="T376" s="5">
        <v>56.3</v>
      </c>
      <c r="U376" s="7">
        <v>36.6</v>
      </c>
      <c r="V376" s="25">
        <v>32.700000000000003</v>
      </c>
      <c r="W376" s="25">
        <v>28</v>
      </c>
      <c r="X376" s="25">
        <v>41.6</v>
      </c>
      <c r="Y376" s="25">
        <v>40.6</v>
      </c>
      <c r="Z376" s="25">
        <v>31.8</v>
      </c>
      <c r="AA376" s="25">
        <f>IF([1]!Tabela1511[[#This Row],[Services New Orders]]="","",([1]!Tabela1511[[#This Row],[Manufacturing New Orders]]+[1]!Tabela1511[[#This Row],[Services New Orders]])/2)</f>
        <v>36.650000000000006</v>
      </c>
      <c r="AB376" s="25">
        <f>IF([1]!Tabela1511[[#This Row],[Services Employment]]="",#N/A,([1]!Tabela1511[[#This Row],[Manufacturing Employment]]+[1]!Tabela1511[[#This Row],[Services Employment]])/2)</f>
        <v>29.9</v>
      </c>
    </row>
    <row r="377" spans="1:28">
      <c r="A377" s="6">
        <v>39873</v>
      </c>
      <c r="B377" s="36">
        <v>11084.6</v>
      </c>
      <c r="C377" s="8">
        <f>IF(Tabela1511[[#This Row],[Real PCE]]="",#N/A,((Tabela1511[[#This Row],[Real PCE]]*1)/B376)-1)</f>
        <v>-4.1238039620861144E-3</v>
      </c>
      <c r="D377" s="8">
        <f>IF(Tabela1511[[#This Row],[Real PCE]]="",#N/A,((Tabela1511[[#This Row],[Real PCE]]*1)/B365)-1)</f>
        <v>-2.097667393858027E-2</v>
      </c>
      <c r="E377" s="7">
        <v>86.479399999999998</v>
      </c>
      <c r="F377" s="8">
        <f>IF(Tabela1511[[#This Row],[Industrial Production]]="",#N/A,((Tabela1511[[#This Row],[Industrial Production]]*1)/E376)-1)</f>
        <v>-1.5502975824556176E-2</v>
      </c>
      <c r="G377" s="8">
        <f>IF(Tabela1511[[#This Row],[Industrial Production]]="",#N/A,((Tabela1511[[#This Row],[Industrial Production]]*1)/E365)-1)</f>
        <v>-0.14744443513365646</v>
      </c>
      <c r="H377" s="32">
        <v>329747</v>
      </c>
      <c r="I377" s="8">
        <f>IF(Tabela1511[[#This Row],[Retail Sales]]="",#N/A,((Tabela1511[[#This Row],[Retail Sales]]*1)/H376)-1)</f>
        <v>-1.7370133740195914E-2</v>
      </c>
      <c r="J377" s="8">
        <f>IF(Tabela1511[[#This Row],[Retail Sales]]="",#N/A,((Tabela1511[[#This Row],[Retail Sales]]*1)/H365)-1)</f>
        <v>-0.11535500140846955</v>
      </c>
      <c r="K377" s="32">
        <v>276647</v>
      </c>
      <c r="L377" s="8">
        <f>IF(Tabela1511[[#This Row],[Core-Retail Sales]]="",#N/A,((Tabela1511[[#This Row],[Core-Retail Sales]]*1)/K376)-1)</f>
        <v>-1.6848621831776711E-2</v>
      </c>
      <c r="M377" s="8">
        <f>IF(Tabela1511[[#This Row],[Core-Retail Sales]]="",#N/A,((Tabela1511[[#This Row],[Core-Retail Sales]]*1)/K365)-1)</f>
        <v>-8.0818417721308711E-2</v>
      </c>
      <c r="N377" s="84">
        <v>155179</v>
      </c>
      <c r="O377" s="8">
        <f>IF(Tabela1511[[#This Row],[Real Retail Sales]]="",#N/A,((Tabela1511[[#This Row],[Real Retail Sales]]*1)/N376)-1)</f>
        <v>-1.639770292711995E-2</v>
      </c>
      <c r="P377" s="8">
        <f>IF(Tabela1511[[#This Row],[Real Retail Sales]]="",#N/A,((Tabela1511[[#This Row],[Real Retail Sales]]*1)/N365)-1)</f>
        <v>-0.11138406917482679</v>
      </c>
      <c r="Q377" s="32">
        <v>247822</v>
      </c>
      <c r="R377" s="8">
        <f>IF(Tabela1511[[#This Row],[Core²-Retail Sales]]="",#N/A,((Tabela1511[[#This Row],[Core²-Retail Sales]]*1)/Q376)-1)</f>
        <v>-1.4733946121306629E-2</v>
      </c>
      <c r="S377" s="8">
        <f>IF(Tabela1511[[#This Row],[Core²-Retail Sales]]="",#N/A,((Tabela1511[[#This Row],[Core²-Retail Sales]]*1)/Q365)-1)</f>
        <v>-3.9177751844514108E-2</v>
      </c>
      <c r="T377" s="5">
        <v>57.3</v>
      </c>
      <c r="U377" s="7">
        <v>37.200000000000003</v>
      </c>
      <c r="V377" s="25">
        <v>41.3</v>
      </c>
      <c r="W377" s="25">
        <v>30.5</v>
      </c>
      <c r="X377" s="25">
        <v>40.1</v>
      </c>
      <c r="Y377" s="25">
        <v>37.200000000000003</v>
      </c>
      <c r="Z377" s="25">
        <v>37.200000000000003</v>
      </c>
      <c r="AA377" s="25">
        <f>IF([1]!Tabela1511[[#This Row],[Services New Orders]]="","",([1]!Tabela1511[[#This Row],[Manufacturing New Orders]]+[1]!Tabela1511[[#This Row],[Services New Orders]])/2)</f>
        <v>39.25</v>
      </c>
      <c r="AB377" s="25">
        <f>IF([1]!Tabela1511[[#This Row],[Services Employment]]="",#N/A,([1]!Tabela1511[[#This Row],[Manufacturing Employment]]+[1]!Tabela1511[[#This Row],[Services Employment]])/2)</f>
        <v>33.85</v>
      </c>
    </row>
    <row r="378" spans="1:28">
      <c r="A378" s="6">
        <v>39904</v>
      </c>
      <c r="B378" s="36">
        <v>11068</v>
      </c>
      <c r="C378" s="8">
        <f>IF(Tabela1511[[#This Row],[Real PCE]]="",#N/A,((Tabela1511[[#This Row],[Real PCE]]*1)/B377)-1)</f>
        <v>-1.4975732096783601E-3</v>
      </c>
      <c r="D378" s="8">
        <f>IF(Tabela1511[[#This Row],[Real PCE]]="",#N/A,((Tabela1511[[#This Row],[Real PCE]]*1)/B366)-1)</f>
        <v>-2.4028922886997983E-2</v>
      </c>
      <c r="E378" s="7">
        <v>85.788300000000007</v>
      </c>
      <c r="F378" s="8">
        <f>IF(Tabela1511[[#This Row],[Industrial Production]]="",#N/A,((Tabela1511[[#This Row],[Industrial Production]]*1)/E377)-1)</f>
        <v>-7.9914985534126348E-3</v>
      </c>
      <c r="G378" s="8">
        <f>IF(Tabela1511[[#This Row],[Industrial Production]]="",#N/A,((Tabela1511[[#This Row],[Industrial Production]]*1)/E366)-1)</f>
        <v>-0.14843898894606433</v>
      </c>
      <c r="H378" s="32">
        <v>331352</v>
      </c>
      <c r="I378" s="8">
        <f>IF(Tabela1511[[#This Row],[Retail Sales]]="",#N/A,((Tabela1511[[#This Row],[Retail Sales]]*1)/H377)-1)</f>
        <v>4.8673680124458052E-3</v>
      </c>
      <c r="J378" s="8">
        <f>IF(Tabela1511[[#This Row],[Retail Sales]]="",#N/A,((Tabela1511[[#This Row],[Retail Sales]]*1)/H366)-1)</f>
        <v>-0.11063633337985679</v>
      </c>
      <c r="K378" s="32">
        <v>277795</v>
      </c>
      <c r="L378" s="8">
        <f>IF(Tabela1511[[#This Row],[Core-Retail Sales]]="",#N/A,((Tabela1511[[#This Row],[Core-Retail Sales]]*1)/K377)-1)</f>
        <v>4.1496925685078345E-3</v>
      </c>
      <c r="M378" s="8">
        <f>IF(Tabela1511[[#This Row],[Core-Retail Sales]]="",#N/A,((Tabela1511[[#This Row],[Core-Retail Sales]]*1)/K366)-1)</f>
        <v>-8.1730133544889561E-2</v>
      </c>
      <c r="N378" s="84">
        <v>155777</v>
      </c>
      <c r="O378" s="8">
        <f>IF(Tabela1511[[#This Row],[Real Retail Sales]]="",#N/A,((Tabela1511[[#This Row],[Real Retail Sales]]*1)/N377)-1)</f>
        <v>3.8536142132634676E-3</v>
      </c>
      <c r="P378" s="8">
        <f>IF(Tabela1511[[#This Row],[Real Retail Sales]]="",#N/A,((Tabela1511[[#This Row],[Real Retail Sales]]*1)/N366)-1)</f>
        <v>-0.10548045892526958</v>
      </c>
      <c r="Q378" s="32">
        <v>249048</v>
      </c>
      <c r="R378" s="8">
        <f>IF(Tabela1511[[#This Row],[Core²-Retail Sales]]="",#N/A,((Tabela1511[[#This Row],[Core²-Retail Sales]]*1)/Q377)-1)</f>
        <v>4.9470991275997189E-3</v>
      </c>
      <c r="S378" s="8">
        <f>IF(Tabela1511[[#This Row],[Core²-Retail Sales]]="",#N/A,((Tabela1511[[#This Row],[Core²-Retail Sales]]*1)/Q366)-1)</f>
        <v>-4.0599105502201582E-2</v>
      </c>
      <c r="T378" s="5">
        <v>65.099999999999994</v>
      </c>
      <c r="U378" s="7">
        <v>39.9</v>
      </c>
      <c r="V378" s="25">
        <v>46</v>
      </c>
      <c r="W378" s="25">
        <v>33.5</v>
      </c>
      <c r="X378" s="25">
        <v>43.7</v>
      </c>
      <c r="Y378" s="25">
        <v>46.8</v>
      </c>
      <c r="Z378" s="25">
        <v>38.4</v>
      </c>
      <c r="AA378" s="25">
        <f>IF([1]!Tabela1511[[#This Row],[Services New Orders]]="","",([1]!Tabela1511[[#This Row],[Manufacturing New Orders]]+[1]!Tabela1511[[#This Row],[Services New Orders]])/2)</f>
        <v>46.4</v>
      </c>
      <c r="AB378" s="25">
        <f>IF([1]!Tabela1511[[#This Row],[Services Employment]]="",#N/A,([1]!Tabela1511[[#This Row],[Manufacturing Employment]]+[1]!Tabela1511[[#This Row],[Services Employment]])/2)</f>
        <v>35.950000000000003</v>
      </c>
    </row>
    <row r="379" spans="1:28">
      <c r="A379" s="6">
        <v>39934</v>
      </c>
      <c r="B379" s="36">
        <v>11078.1</v>
      </c>
      <c r="C379" s="8">
        <f>IF(Tabela1511[[#This Row],[Real PCE]]="",#N/A,((Tabela1511[[#This Row],[Real PCE]]*1)/B378)-1)</f>
        <v>9.1254065775214777E-4</v>
      </c>
      <c r="D379" s="8">
        <f>IF(Tabela1511[[#This Row],[Real PCE]]="",#N/A,((Tabela1511[[#This Row],[Real PCE]]*1)/B367)-1)</f>
        <v>-2.4952471482889704E-2</v>
      </c>
      <c r="E379" s="7">
        <v>84.951599999999999</v>
      </c>
      <c r="F379" s="8">
        <f>IF(Tabela1511[[#This Row],[Industrial Production]]="",#N/A,((Tabela1511[[#This Row],[Industrial Production]]*1)/E378)-1)</f>
        <v>-9.7530782169596986E-3</v>
      </c>
      <c r="G379" s="8">
        <f>IF(Tabela1511[[#This Row],[Industrial Production]]="",#N/A,((Tabela1511[[#This Row],[Industrial Production]]*1)/E367)-1)</f>
        <v>-0.15160388287460558</v>
      </c>
      <c r="H379" s="32">
        <v>334256</v>
      </c>
      <c r="I379" s="8">
        <f>IF(Tabela1511[[#This Row],[Retail Sales]]="",#N/A,((Tabela1511[[#This Row],[Retail Sales]]*1)/H378)-1)</f>
        <v>8.7640937733890478E-3</v>
      </c>
      <c r="J379" s="8">
        <f>IF(Tabela1511[[#This Row],[Retail Sales]]="",#N/A,((Tabela1511[[#This Row],[Retail Sales]]*1)/H367)-1)</f>
        <v>-0.11110638343137358</v>
      </c>
      <c r="K379" s="32">
        <v>280167</v>
      </c>
      <c r="L379" s="8">
        <f>IF(Tabela1511[[#This Row],[Core-Retail Sales]]="",#N/A,((Tabela1511[[#This Row],[Core-Retail Sales]]*1)/K378)-1)</f>
        <v>8.5386706024226378E-3</v>
      </c>
      <c r="M379" s="8">
        <f>IF(Tabela1511[[#This Row],[Core-Retail Sales]]="",#N/A,((Tabela1511[[#This Row],[Core-Retail Sales]]*1)/K367)-1)</f>
        <v>-8.7085726947176978E-2</v>
      </c>
      <c r="N379" s="84">
        <v>156911</v>
      </c>
      <c r="O379" s="8">
        <f>IF(Tabela1511[[#This Row],[Real Retail Sales]]="",#N/A,((Tabela1511[[#This Row],[Real Retail Sales]]*1)/N378)-1)</f>
        <v>7.2796369168748321E-3</v>
      </c>
      <c r="P379" s="8">
        <f>IF(Tabela1511[[#This Row],[Real Retail Sales]]="",#N/A,((Tabela1511[[#This Row],[Real Retail Sales]]*1)/N367)-1)</f>
        <v>-0.10198533746158378</v>
      </c>
      <c r="Q379" s="32">
        <v>249679</v>
      </c>
      <c r="R379" s="8">
        <f>IF(Tabela1511[[#This Row],[Core²-Retail Sales]]="",#N/A,((Tabela1511[[#This Row],[Core²-Retail Sales]]*1)/Q378)-1)</f>
        <v>2.5336481320870075E-3</v>
      </c>
      <c r="S379" s="8">
        <f>IF(Tabela1511[[#This Row],[Core²-Retail Sales]]="",#N/A,((Tabela1511[[#This Row],[Core²-Retail Sales]]*1)/Q367)-1)</f>
        <v>-4.901942113662594E-2</v>
      </c>
      <c r="T379" s="5">
        <v>68.7</v>
      </c>
      <c r="U379" s="7">
        <v>44.1</v>
      </c>
      <c r="V379" s="25">
        <v>51</v>
      </c>
      <c r="W379" s="25">
        <v>35.299999999999997</v>
      </c>
      <c r="X379" s="25">
        <v>44.4</v>
      </c>
      <c r="Y379" s="25">
        <v>45.9</v>
      </c>
      <c r="Z379" s="25">
        <v>41.5</v>
      </c>
      <c r="AA379" s="25">
        <f>IF([1]!Tabela1511[[#This Row],[Services New Orders]]="","",([1]!Tabela1511[[#This Row],[Manufacturing New Orders]]+[1]!Tabela1511[[#This Row],[Services New Orders]])/2)</f>
        <v>48.45</v>
      </c>
      <c r="AB379" s="25">
        <f>IF([1]!Tabela1511[[#This Row],[Services Employment]]="",#N/A,([1]!Tabela1511[[#This Row],[Manufacturing Employment]]+[1]!Tabela1511[[#This Row],[Services Employment]])/2)</f>
        <v>38.4</v>
      </c>
    </row>
    <row r="380" spans="1:28">
      <c r="A380" s="6">
        <v>39965</v>
      </c>
      <c r="B380" s="36">
        <v>11081.1</v>
      </c>
      <c r="C380" s="8">
        <f>IF(Tabela1511[[#This Row],[Real PCE]]="",#N/A,((Tabela1511[[#This Row],[Real PCE]]*1)/B379)-1)</f>
        <v>2.7080456034878075E-4</v>
      </c>
      <c r="D380" s="8">
        <f>IF(Tabela1511[[#This Row],[Real PCE]]="",#N/A,((Tabela1511[[#This Row],[Real PCE]]*1)/B368)-1)</f>
        <v>-2.2891003200860682E-2</v>
      </c>
      <c r="E380" s="7">
        <v>84.692800000000005</v>
      </c>
      <c r="F380" s="8">
        <f>IF(Tabela1511[[#This Row],[Industrial Production]]="",#N/A,((Tabela1511[[#This Row],[Industrial Production]]*1)/E379)-1)</f>
        <v>-3.046440561448982E-3</v>
      </c>
      <c r="G380" s="8">
        <f>IF(Tabela1511[[#This Row],[Industrial Production]]="",#N/A,((Tabela1511[[#This Row],[Industrial Production]]*1)/E368)-1)</f>
        <v>-0.1519279508056367</v>
      </c>
      <c r="H380" s="32">
        <v>339883</v>
      </c>
      <c r="I380" s="8">
        <f>IF(Tabela1511[[#This Row],[Retail Sales]]="",#N/A,((Tabela1511[[#This Row],[Retail Sales]]*1)/H379)-1)</f>
        <v>1.6834402374228175E-2</v>
      </c>
      <c r="J380" s="8">
        <f>IF(Tabela1511[[#This Row],[Retail Sales]]="",#N/A,((Tabela1511[[#This Row],[Retail Sales]]*1)/H368)-1)</f>
        <v>-9.7148397550836041E-2</v>
      </c>
      <c r="K380" s="32">
        <v>283272</v>
      </c>
      <c r="L380" s="8">
        <f>IF(Tabela1511[[#This Row],[Core-Retail Sales]]="",#N/A,((Tabela1511[[#This Row],[Core-Retail Sales]]*1)/K379)-1)</f>
        <v>1.1082675689856325E-2</v>
      </c>
      <c r="M380" s="8">
        <f>IF(Tabela1511[[#This Row],[Core-Retail Sales]]="",#N/A,((Tabela1511[[#This Row],[Core-Retail Sales]]*1)/K368)-1)</f>
        <v>-8.4133542842732112E-2</v>
      </c>
      <c r="N380" s="84">
        <v>158240</v>
      </c>
      <c r="O380" s="8">
        <f>IF(Tabela1511[[#This Row],[Real Retail Sales]]="",#N/A,((Tabela1511[[#This Row],[Real Retail Sales]]*1)/N379)-1)</f>
        <v>8.4697694871616047E-3</v>
      </c>
      <c r="P380" s="8">
        <f>IF(Tabela1511[[#This Row],[Real Retail Sales]]="",#N/A,((Tabela1511[[#This Row],[Real Retail Sales]]*1)/N368)-1)</f>
        <v>-8.5909700078561801E-2</v>
      </c>
      <c r="Q380" s="32">
        <v>249897</v>
      </c>
      <c r="R380" s="8">
        <f>IF(Tabela1511[[#This Row],[Core²-Retail Sales]]="",#N/A,((Tabela1511[[#This Row],[Core²-Retail Sales]]*1)/Q379)-1)</f>
        <v>8.7312108747639172E-4</v>
      </c>
      <c r="S380" s="8">
        <f>IF(Tabela1511[[#This Row],[Core²-Retail Sales]]="",#N/A,((Tabela1511[[#This Row],[Core²-Retail Sales]]*1)/Q368)-1)</f>
        <v>-4.8906362394242398E-2</v>
      </c>
      <c r="T380" s="5">
        <v>70.8</v>
      </c>
      <c r="U380" s="7">
        <v>46.3</v>
      </c>
      <c r="V380" s="25">
        <v>49</v>
      </c>
      <c r="W380" s="25">
        <v>45</v>
      </c>
      <c r="X380" s="25">
        <v>46.4</v>
      </c>
      <c r="Y380" s="25">
        <v>49.4</v>
      </c>
      <c r="Z380" s="25">
        <v>41.2</v>
      </c>
      <c r="AA380" s="25">
        <f>IF([1]!Tabela1511[[#This Row],[Services New Orders]]="","",([1]!Tabela1511[[#This Row],[Manufacturing New Orders]]+[1]!Tabela1511[[#This Row],[Services New Orders]])/2)</f>
        <v>49.2</v>
      </c>
      <c r="AB380" s="25">
        <f>IF([1]!Tabela1511[[#This Row],[Services Employment]]="",#N/A,([1]!Tabela1511[[#This Row],[Manufacturing Employment]]+[1]!Tabela1511[[#This Row],[Services Employment]])/2)</f>
        <v>43.1</v>
      </c>
    </row>
    <row r="381" spans="1:28">
      <c r="A381" s="6">
        <v>39995</v>
      </c>
      <c r="B381" s="36">
        <v>11118.1</v>
      </c>
      <c r="C381" s="8">
        <f>IF(Tabela1511[[#This Row],[Real PCE]]="",#N/A,((Tabela1511[[#This Row],[Real PCE]]*1)/B380)-1)</f>
        <v>3.3390186894803886E-3</v>
      </c>
      <c r="D381" s="8">
        <f>IF(Tabela1511[[#This Row],[Real PCE]]="",#N/A,((Tabela1511[[#This Row],[Real PCE]]*1)/B369)-1)</f>
        <v>-1.4876838561049044E-2</v>
      </c>
      <c r="E381" s="7">
        <v>85.704400000000007</v>
      </c>
      <c r="F381" s="8">
        <f>IF(Tabela1511[[#This Row],[Industrial Production]]="",#N/A,((Tabela1511[[#This Row],[Industrial Production]]*1)/E380)-1)</f>
        <v>1.194434473768724E-2</v>
      </c>
      <c r="G381" s="8">
        <f>IF(Tabela1511[[#This Row],[Industrial Production]]="",#N/A,((Tabela1511[[#This Row],[Industrial Production]]*1)/E369)-1)</f>
        <v>-0.13796828449408272</v>
      </c>
      <c r="H381" s="32">
        <v>340517</v>
      </c>
      <c r="I381" s="8">
        <f>IF(Tabela1511[[#This Row],[Retail Sales]]="",#N/A,((Tabela1511[[#This Row],[Retail Sales]]*1)/H380)-1)</f>
        <v>1.865347781442539E-3</v>
      </c>
      <c r="J381" s="8">
        <f>IF(Tabela1511[[#This Row],[Retail Sales]]="",#N/A,((Tabela1511[[#This Row],[Retail Sales]]*1)/H369)-1)</f>
        <v>-9.2046672603842805E-2</v>
      </c>
      <c r="K381" s="32">
        <v>282769</v>
      </c>
      <c r="L381" s="8">
        <f>IF(Tabela1511[[#This Row],[Core-Retail Sales]]="",#N/A,((Tabela1511[[#This Row],[Core-Retail Sales]]*1)/K380)-1)</f>
        <v>-1.7756784998164132E-3</v>
      </c>
      <c r="M381" s="8">
        <f>IF(Tabela1511[[#This Row],[Core-Retail Sales]]="",#N/A,((Tabela1511[[#This Row],[Core-Retail Sales]]*1)/K369)-1)</f>
        <v>-8.9724151029645149E-2</v>
      </c>
      <c r="N381" s="84">
        <v>158582</v>
      </c>
      <c r="O381" s="8">
        <f>IF(Tabela1511[[#This Row],[Real Retail Sales]]="",#N/A,((Tabela1511[[#This Row],[Real Retail Sales]]*1)/N380)-1)</f>
        <v>2.1612740141556674E-3</v>
      </c>
      <c r="P381" s="8">
        <f>IF(Tabela1511[[#This Row],[Real Retail Sales]]="",#N/A,((Tabela1511[[#This Row],[Real Retail Sales]]*1)/N369)-1)</f>
        <v>-7.3908828647846869E-2</v>
      </c>
      <c r="Q381" s="32">
        <v>249703</v>
      </c>
      <c r="R381" s="8">
        <f>IF(Tabela1511[[#This Row],[Core²-Retail Sales]]="",#N/A,((Tabela1511[[#This Row],[Core²-Retail Sales]]*1)/Q380)-1)</f>
        <v>-7.7631984377568575E-4</v>
      </c>
      <c r="S381" s="8">
        <f>IF(Tabela1511[[#This Row],[Core²-Retail Sales]]="",#N/A,((Tabela1511[[#This Row],[Core²-Retail Sales]]*1)/Q369)-1)</f>
        <v>-5.3538669132919936E-2</v>
      </c>
      <c r="T381" s="5">
        <v>66</v>
      </c>
      <c r="U381" s="7">
        <v>49.7</v>
      </c>
      <c r="V381" s="25">
        <v>56.6</v>
      </c>
      <c r="W381" s="25">
        <v>47.1</v>
      </c>
      <c r="X381" s="25">
        <v>47.1</v>
      </c>
      <c r="Y381" s="25">
        <v>49.8</v>
      </c>
      <c r="Z381" s="25">
        <v>43.1</v>
      </c>
      <c r="AA381" s="25">
        <f>IF([1]!Tabela1511[[#This Row],[Services New Orders]]="","",([1]!Tabela1511[[#This Row],[Manufacturing New Orders]]+[1]!Tabela1511[[#This Row],[Services New Orders]])/2)</f>
        <v>53.2</v>
      </c>
      <c r="AB381" s="25">
        <f>IF([1]!Tabela1511[[#This Row],[Services Employment]]="",#N/A,([1]!Tabela1511[[#This Row],[Manufacturing Employment]]+[1]!Tabela1511[[#This Row],[Services Employment]])/2)</f>
        <v>45.1</v>
      </c>
    </row>
    <row r="382" spans="1:28">
      <c r="A382" s="6">
        <v>40026</v>
      </c>
      <c r="B382" s="36">
        <v>11218</v>
      </c>
      <c r="C382" s="8">
        <f>IF(Tabela1511[[#This Row],[Real PCE]]="",#N/A,((Tabela1511[[#This Row],[Real PCE]]*1)/B381)-1)</f>
        <v>8.9853482159720777E-3</v>
      </c>
      <c r="D382" s="8">
        <f>IF(Tabela1511[[#This Row],[Real PCE]]="",#N/A,((Tabela1511[[#This Row],[Real PCE]]*1)/B370)-1)</f>
        <v>-5.9106577932953597E-3</v>
      </c>
      <c r="E382" s="7">
        <v>86.661699999999996</v>
      </c>
      <c r="F382" s="8">
        <f>IF(Tabela1511[[#This Row],[Industrial Production]]="",#N/A,((Tabela1511[[#This Row],[Industrial Production]]*1)/E381)-1)</f>
        <v>1.1169788248911239E-2</v>
      </c>
      <c r="G382" s="8">
        <f>IF(Tabela1511[[#This Row],[Industrial Production]]="",#N/A,((Tabela1511[[#This Row],[Industrial Production]]*1)/E370)-1)</f>
        <v>-0.11429427010939786</v>
      </c>
      <c r="H382" s="32">
        <v>346668</v>
      </c>
      <c r="I382" s="8">
        <f>IF(Tabela1511[[#This Row],[Retail Sales]]="",#N/A,((Tabela1511[[#This Row],[Retail Sales]]*1)/H381)-1)</f>
        <v>1.8063709007186235E-2</v>
      </c>
      <c r="J382" s="8">
        <f>IF(Tabela1511[[#This Row],[Retail Sales]]="",#N/A,((Tabela1511[[#This Row],[Retail Sales]]*1)/H370)-1)</f>
        <v>-6.8807684455952978E-2</v>
      </c>
      <c r="K382" s="32">
        <v>284405</v>
      </c>
      <c r="L382" s="8">
        <f>IF(Tabela1511[[#This Row],[Core-Retail Sales]]="",#N/A,((Tabela1511[[#This Row],[Core-Retail Sales]]*1)/K381)-1)</f>
        <v>5.7856412831676085E-3</v>
      </c>
      <c r="M382" s="8">
        <f>IF(Tabela1511[[#This Row],[Core-Retail Sales]]="",#N/A,((Tabela1511[[#This Row],[Core-Retail Sales]]*1)/K370)-1)</f>
        <v>-7.4500730558836881E-2</v>
      </c>
      <c r="N382" s="84">
        <v>160908</v>
      </c>
      <c r="O382" s="8">
        <f>IF(Tabela1511[[#This Row],[Real Retail Sales]]="",#N/A,((Tabela1511[[#This Row],[Real Retail Sales]]*1)/N381)-1)</f>
        <v>1.4667490635759339E-2</v>
      </c>
      <c r="P382" s="8">
        <f>IF(Tabela1511[[#This Row],[Real Retail Sales]]="",#N/A,((Tabela1511[[#This Row],[Real Retail Sales]]*1)/N370)-1)</f>
        <v>-5.4783415768882793E-2</v>
      </c>
      <c r="Q382" s="32">
        <v>249747</v>
      </c>
      <c r="R382" s="8">
        <f>IF(Tabela1511[[#This Row],[Core²-Retail Sales]]="",#N/A,((Tabela1511[[#This Row],[Core²-Retail Sales]]*1)/Q381)-1)</f>
        <v>1.7620933669193484E-4</v>
      </c>
      <c r="S382" s="8">
        <f>IF(Tabela1511[[#This Row],[Core²-Retail Sales]]="",#N/A,((Tabela1511[[#This Row],[Core²-Retail Sales]]*1)/Q370)-1)</f>
        <v>-4.5506661468962872E-2</v>
      </c>
      <c r="T382" s="5">
        <v>65.7</v>
      </c>
      <c r="U382" s="7">
        <v>53.4</v>
      </c>
      <c r="V382" s="25">
        <v>64.099999999999994</v>
      </c>
      <c r="W382" s="25">
        <v>47.5</v>
      </c>
      <c r="X382" s="25">
        <v>48.9</v>
      </c>
      <c r="Y382" s="25">
        <v>51.5</v>
      </c>
      <c r="Z382" s="25">
        <v>44.3</v>
      </c>
      <c r="AA382" s="25">
        <f>IF([1]!Tabela1511[[#This Row],[Services New Orders]]="","",([1]!Tabela1511[[#This Row],[Manufacturing New Orders]]+[1]!Tabela1511[[#This Row],[Services New Orders]])/2)</f>
        <v>57.8</v>
      </c>
      <c r="AB382" s="25">
        <f>IF([1]!Tabela1511[[#This Row],[Services Employment]]="",#N/A,([1]!Tabela1511[[#This Row],[Manufacturing Employment]]+[1]!Tabela1511[[#This Row],[Services Employment]])/2)</f>
        <v>45.9</v>
      </c>
    </row>
    <row r="383" spans="1:28">
      <c r="A383" s="6">
        <v>40057</v>
      </c>
      <c r="B383" s="36">
        <v>11114.6</v>
      </c>
      <c r="C383" s="8">
        <f>IF(Tabela1511[[#This Row],[Real PCE]]="",#N/A,((Tabela1511[[#This Row],[Real PCE]]*1)/B382)-1)</f>
        <v>-9.2173292922088645E-3</v>
      </c>
      <c r="D383" s="8">
        <f>IF(Tabela1511[[#This Row],[Real PCE]]="",#N/A,((Tabela1511[[#This Row],[Real PCE]]*1)/B371)-1)</f>
        <v>-8.4837239176784873E-3</v>
      </c>
      <c r="E383" s="7">
        <v>87.403300000000002</v>
      </c>
      <c r="F383" s="8">
        <f>IF(Tabela1511[[#This Row],[Industrial Production]]="",#N/A,((Tabela1511[[#This Row],[Industrial Production]]*1)/E382)-1)</f>
        <v>8.557413482541909E-3</v>
      </c>
      <c r="G383" s="8">
        <f>IF(Tabela1511[[#This Row],[Industrial Production]]="",#N/A,((Tabela1511[[#This Row],[Industrial Production]]*1)/E371)-1)</f>
        <v>-6.5794846032984466E-2</v>
      </c>
      <c r="H383" s="32">
        <v>338507</v>
      </c>
      <c r="I383" s="8">
        <f>IF(Tabela1511[[#This Row],[Retail Sales]]="",#N/A,((Tabela1511[[#This Row],[Retail Sales]]*1)/H382)-1)</f>
        <v>-2.3541255610555312E-2</v>
      </c>
      <c r="J383" s="8">
        <f>IF(Tabela1511[[#This Row],[Retail Sales]]="",#N/A,((Tabela1511[[#This Row],[Retail Sales]]*1)/H371)-1)</f>
        <v>-7.6956008387665031E-2</v>
      </c>
      <c r="K383" s="32">
        <v>284973</v>
      </c>
      <c r="L383" s="8">
        <f>IF(Tabela1511[[#This Row],[Core-Retail Sales]]="",#N/A,((Tabela1511[[#This Row],[Core-Retail Sales]]*1)/K382)-1)</f>
        <v>1.9971519488053424E-3</v>
      </c>
      <c r="M383" s="8">
        <f>IF(Tabela1511[[#This Row],[Core-Retail Sales]]="",#N/A,((Tabela1511[[#This Row],[Core-Retail Sales]]*1)/K371)-1)</f>
        <v>-6.31435334341508E-2</v>
      </c>
      <c r="N383" s="84">
        <v>156817</v>
      </c>
      <c r="O383" s="8">
        <f>IF(Tabela1511[[#This Row],[Real Retail Sales]]="",#N/A,((Tabela1511[[#This Row],[Real Retail Sales]]*1)/N382)-1)</f>
        <v>-2.5424466154572833E-2</v>
      </c>
      <c r="P383" s="8">
        <f>IF(Tabela1511[[#This Row],[Real Retail Sales]]="",#N/A,((Tabela1511[[#This Row],[Real Retail Sales]]*1)/N371)-1)</f>
        <v>-6.4058490002984136E-2</v>
      </c>
      <c r="Q383" s="32">
        <v>250173</v>
      </c>
      <c r="R383" s="8">
        <f>IF(Tabela1511[[#This Row],[Core²-Retail Sales]]="",#N/A,((Tabela1511[[#This Row],[Core²-Retail Sales]]*1)/Q382)-1)</f>
        <v>1.7057261949091629E-3</v>
      </c>
      <c r="S383" s="8">
        <f>IF(Tabela1511[[#This Row],[Core²-Retail Sales]]="",#N/A,((Tabela1511[[#This Row],[Core²-Retail Sales]]*1)/Q371)-1)</f>
        <v>-3.1849475431786733E-2</v>
      </c>
      <c r="T383" s="5">
        <v>73.5</v>
      </c>
      <c r="U383" s="7">
        <v>54.9</v>
      </c>
      <c r="V383" s="25">
        <v>64.7</v>
      </c>
      <c r="W383" s="25">
        <v>48.6</v>
      </c>
      <c r="X383" s="25">
        <v>50.1</v>
      </c>
      <c r="Y383" s="25">
        <v>52.7</v>
      </c>
      <c r="Z383" s="25">
        <v>42.7</v>
      </c>
      <c r="AA383" s="25">
        <f>IF([1]!Tabela1511[[#This Row],[Services New Orders]]="","",([1]!Tabela1511[[#This Row],[Manufacturing New Orders]]+[1]!Tabela1511[[#This Row],[Services New Orders]])/2)</f>
        <v>58.7</v>
      </c>
      <c r="AB383" s="25">
        <f>IF([1]!Tabela1511[[#This Row],[Services Employment]]="",#N/A,([1]!Tabela1511[[#This Row],[Manufacturing Employment]]+[1]!Tabela1511[[#This Row],[Services Employment]])/2)</f>
        <v>45.650000000000006</v>
      </c>
    </row>
    <row r="384" spans="1:28">
      <c r="A384" s="6">
        <v>40087</v>
      </c>
      <c r="B384" s="36">
        <v>11127.1</v>
      </c>
      <c r="C384" s="8">
        <f>IF(Tabela1511[[#This Row],[Real PCE]]="",#N/A,((Tabela1511[[#This Row],[Real PCE]]*1)/B383)-1)</f>
        <v>1.1246468608856475E-3</v>
      </c>
      <c r="D384" s="8">
        <f>IF(Tabela1511[[#This Row],[Real PCE]]="",#N/A,((Tabela1511[[#This Row],[Real PCE]]*1)/B372)-1)</f>
        <v>-5.8431985704712197E-3</v>
      </c>
      <c r="E384" s="7">
        <v>87.603499999999997</v>
      </c>
      <c r="F384" s="8">
        <f>IF(Tabela1511[[#This Row],[Industrial Production]]="",#N/A,((Tabela1511[[#This Row],[Industrial Production]]*1)/E383)-1)</f>
        <v>2.2905313643764025E-3</v>
      </c>
      <c r="G384" s="8">
        <f>IF(Tabela1511[[#This Row],[Industrial Production]]="",#N/A,((Tabela1511[[#This Row],[Industrial Production]]*1)/E372)-1)</f>
        <v>-7.2935671078865005E-2</v>
      </c>
      <c r="H384" s="32">
        <v>341654</v>
      </c>
      <c r="I384" s="8">
        <f>IF(Tabela1511[[#This Row],[Retail Sales]]="",#N/A,((Tabela1511[[#This Row],[Retail Sales]]*1)/H383)-1)</f>
        <v>9.296705828830687E-3</v>
      </c>
      <c r="J384" s="8">
        <f>IF(Tabela1511[[#This Row],[Retail Sales]]="",#N/A,((Tabela1511[[#This Row],[Retail Sales]]*1)/H372)-1)</f>
        <v>-3.2004533220002851E-2</v>
      </c>
      <c r="K384" s="32">
        <v>285185</v>
      </c>
      <c r="L384" s="8">
        <f>IF(Tabela1511[[#This Row],[Core-Retail Sales]]="",#N/A,((Tabela1511[[#This Row],[Core-Retail Sales]]*1)/K383)-1)</f>
        <v>7.4393012671380987E-4</v>
      </c>
      <c r="M384" s="8">
        <f>IF(Tabela1511[[#This Row],[Core-Retail Sales]]="",#N/A,((Tabela1511[[#This Row],[Core-Retail Sales]]*1)/K372)-1)</f>
        <v>-3.7678293645035832E-2</v>
      </c>
      <c r="N384" s="84">
        <v>157801</v>
      </c>
      <c r="O384" s="8">
        <f>IF(Tabela1511[[#This Row],[Real Retail Sales]]="",#N/A,((Tabela1511[[#This Row],[Real Retail Sales]]*1)/N383)-1)</f>
        <v>6.2748298972687966E-3</v>
      </c>
      <c r="P384" s="8">
        <f>IF(Tabela1511[[#This Row],[Real Retail Sales]]="",#N/A,((Tabela1511[[#This Row],[Real Retail Sales]]*1)/N372)-1)</f>
        <v>-2.9836339714977789E-2</v>
      </c>
      <c r="Q384" s="32">
        <v>250300</v>
      </c>
      <c r="R384" s="8">
        <f>IF(Tabela1511[[#This Row],[Core²-Retail Sales]]="",#N/A,((Tabela1511[[#This Row],[Core²-Retail Sales]]*1)/Q383)-1)</f>
        <v>5.076487070947433E-4</v>
      </c>
      <c r="S384" s="8">
        <f>IF(Tabela1511[[#This Row],[Core²-Retail Sales]]="",#N/A,((Tabela1511[[#This Row],[Core²-Retail Sales]]*1)/Q372)-1)</f>
        <v>-2.1374923270007451E-2</v>
      </c>
      <c r="T384" s="5">
        <v>70.599999999999994</v>
      </c>
      <c r="U384" s="7">
        <v>57.6</v>
      </c>
      <c r="V384" s="25">
        <v>57.7</v>
      </c>
      <c r="W384" s="25">
        <v>53.5</v>
      </c>
      <c r="X384" s="25">
        <v>51</v>
      </c>
      <c r="Y384" s="25">
        <v>55.7</v>
      </c>
      <c r="Z384" s="25">
        <v>43.4</v>
      </c>
      <c r="AA384" s="25">
        <f>IF([1]!Tabela1511[[#This Row],[Services New Orders]]="","",([1]!Tabela1511[[#This Row],[Manufacturing New Orders]]+[1]!Tabela1511[[#This Row],[Services New Orders]])/2)</f>
        <v>56.7</v>
      </c>
      <c r="AB384" s="25">
        <f>IF([1]!Tabela1511[[#This Row],[Services Employment]]="",#N/A,([1]!Tabela1511[[#This Row],[Manufacturing Employment]]+[1]!Tabela1511[[#This Row],[Services Employment]])/2)</f>
        <v>48.45</v>
      </c>
    </row>
    <row r="385" spans="1:28">
      <c r="A385" s="6">
        <v>40118</v>
      </c>
      <c r="B385" s="36">
        <v>11109.4</v>
      </c>
      <c r="C385" s="8">
        <f>IF(Tabela1511[[#This Row],[Real PCE]]="",#N/A,((Tabela1511[[#This Row],[Real PCE]]*1)/B384)-1)</f>
        <v>-1.5907109669186514E-3</v>
      </c>
      <c r="D385" s="8">
        <f>IF(Tabela1511[[#This Row],[Real PCE]]="",#N/A,((Tabela1511[[#This Row],[Real PCE]]*1)/B373)-1)</f>
        <v>-4.3734652542525287E-3</v>
      </c>
      <c r="E385" s="7">
        <v>87.9559</v>
      </c>
      <c r="F385" s="8">
        <f>IF(Tabela1511[[#This Row],[Industrial Production]]="",#N/A,((Tabela1511[[#This Row],[Industrial Production]]*1)/E384)-1)</f>
        <v>4.0226703270989095E-3</v>
      </c>
      <c r="G385" s="8">
        <f>IF(Tabela1511[[#This Row],[Industrial Production]]="",#N/A,((Tabela1511[[#This Row],[Industrial Production]]*1)/E373)-1)</f>
        <v>-5.6964325729155219E-2</v>
      </c>
      <c r="H385" s="32">
        <v>344375</v>
      </c>
      <c r="I385" s="8">
        <f>IF(Tabela1511[[#This Row],[Retail Sales]]="",#N/A,((Tabela1511[[#This Row],[Retail Sales]]*1)/H384)-1)</f>
        <v>7.9641976970854511E-3</v>
      </c>
      <c r="J385" s="8">
        <f>IF(Tabela1511[[#This Row],[Retail Sales]]="",#N/A,((Tabela1511[[#This Row],[Retail Sales]]*1)/H373)-1)</f>
        <v>1.4807720642404654E-2</v>
      </c>
      <c r="K385" s="32">
        <v>287020</v>
      </c>
      <c r="L385" s="8">
        <f>IF(Tabela1511[[#This Row],[Core-Retail Sales]]="",#N/A,((Tabela1511[[#This Row],[Core-Retail Sales]]*1)/K384)-1)</f>
        <v>6.4344197626102773E-3</v>
      </c>
      <c r="M385" s="8">
        <f>IF(Tabela1511[[#This Row],[Core-Retail Sales]]="",#N/A,((Tabela1511[[#This Row],[Core-Retail Sales]]*1)/K373)-1)</f>
        <v>9.3330426281623691E-3</v>
      </c>
      <c r="N385" s="84">
        <v>158527</v>
      </c>
      <c r="O385" s="8">
        <f>IF(Tabela1511[[#This Row],[Real Retail Sales]]="",#N/A,((Tabela1511[[#This Row],[Real Retail Sales]]*1)/N384)-1)</f>
        <v>4.6007313008156192E-3</v>
      </c>
      <c r="P385" s="8">
        <f>IF(Tabela1511[[#This Row],[Real Retail Sales]]="",#N/A,((Tabela1511[[#This Row],[Real Retail Sales]]*1)/N373)-1)</f>
        <v>-4.2586602179579547E-3</v>
      </c>
      <c r="Q385" s="32">
        <v>250447</v>
      </c>
      <c r="R385" s="8">
        <f>IF(Tabela1511[[#This Row],[Core²-Retail Sales]]="",#N/A,((Tabela1511[[#This Row],[Core²-Retail Sales]]*1)/Q384)-1)</f>
        <v>5.872952457051106E-4</v>
      </c>
      <c r="S385" s="8">
        <f>IF(Tabela1511[[#This Row],[Core²-Retail Sales]]="",#N/A,((Tabela1511[[#This Row],[Core²-Retail Sales]]*1)/Q373)-1)</f>
        <v>-8.4841046755611549E-3</v>
      </c>
      <c r="T385" s="5">
        <v>67.400000000000006</v>
      </c>
      <c r="U385" s="7">
        <v>55.4</v>
      </c>
      <c r="V385" s="25">
        <v>64.2</v>
      </c>
      <c r="W385" s="25">
        <v>51.2</v>
      </c>
      <c r="X385" s="25">
        <v>49.5</v>
      </c>
      <c r="Y385" s="25">
        <v>54.6</v>
      </c>
      <c r="Z385" s="25">
        <v>44.4</v>
      </c>
      <c r="AA385" s="25">
        <f>IF([1]!Tabela1511[[#This Row],[Services New Orders]]="","",([1]!Tabela1511[[#This Row],[Manufacturing New Orders]]+[1]!Tabela1511[[#This Row],[Services New Orders]])/2)</f>
        <v>59.400000000000006</v>
      </c>
      <c r="AB385" s="25">
        <f>IF([1]!Tabela1511[[#This Row],[Services Employment]]="",#N/A,([1]!Tabela1511[[#This Row],[Manufacturing Employment]]+[1]!Tabela1511[[#This Row],[Services Employment]])/2)</f>
        <v>47.8</v>
      </c>
    </row>
    <row r="386" spans="1:28">
      <c r="A386" s="6">
        <v>40148</v>
      </c>
      <c r="B386" s="36">
        <v>11177.3</v>
      </c>
      <c r="C386" s="8">
        <f>IF(Tabela1511[[#This Row],[Real PCE]]="",#N/A,((Tabela1511[[#This Row],[Real PCE]]*1)/B385)-1)</f>
        <v>6.1119412389507577E-3</v>
      </c>
      <c r="D386" s="8">
        <f>IF(Tabela1511[[#This Row],[Real PCE]]="",#N/A,((Tabela1511[[#This Row],[Real PCE]]*1)/B374)-1)</f>
        <v>4.6288806198206967E-3</v>
      </c>
      <c r="E386" s="7">
        <v>88.246799999999993</v>
      </c>
      <c r="F386" s="8">
        <f>IF(Tabela1511[[#This Row],[Industrial Production]]="",#N/A,((Tabela1511[[#This Row],[Industrial Production]]*1)/E385)-1)</f>
        <v>3.3073392461449025E-3</v>
      </c>
      <c r="G386" s="8">
        <f>IF(Tabela1511[[#This Row],[Industrial Production]]="",#N/A,((Tabela1511[[#This Row],[Industrial Production]]*1)/E374)-1)</f>
        <v>-2.6274440570243307E-2</v>
      </c>
      <c r="H386" s="32">
        <v>346072</v>
      </c>
      <c r="I386" s="8">
        <f>IF(Tabela1511[[#This Row],[Retail Sales]]="",#N/A,((Tabela1511[[#This Row],[Retail Sales]]*1)/H385)-1)</f>
        <v>4.9277676950998384E-3</v>
      </c>
      <c r="J386" s="8">
        <f>IF(Tabela1511[[#This Row],[Retail Sales]]="",#N/A,((Tabela1511[[#This Row],[Retail Sales]]*1)/H374)-1)</f>
        <v>4.2099906350970162E-2</v>
      </c>
      <c r="K386" s="32">
        <v>288993</v>
      </c>
      <c r="L386" s="8">
        <f>IF(Tabela1511[[#This Row],[Core-Retail Sales]]="",#N/A,((Tabela1511[[#This Row],[Core-Retail Sales]]*1)/K385)-1)</f>
        <v>6.8740854295867848E-3</v>
      </c>
      <c r="M386" s="8">
        <f>IF(Tabela1511[[#This Row],[Core-Retail Sales]]="",#N/A,((Tabela1511[[#This Row],[Core-Retail Sales]]*1)/K374)-1)</f>
        <v>3.9662838887929652E-2</v>
      </c>
      <c r="N386" s="84">
        <v>159226</v>
      </c>
      <c r="O386" s="8">
        <f>IF(Tabela1511[[#This Row],[Real Retail Sales]]="",#N/A,((Tabela1511[[#This Row],[Real Retail Sales]]*1)/N385)-1)</f>
        <v>4.4093435187697594E-3</v>
      </c>
      <c r="P386" s="8">
        <f>IF(Tabela1511[[#This Row],[Real Retail Sales]]="",#N/A,((Tabela1511[[#This Row],[Real Retail Sales]]*1)/N374)-1)</f>
        <v>1.3577944275047216E-2</v>
      </c>
      <c r="Q386" s="32">
        <v>251811</v>
      </c>
      <c r="R386" s="8">
        <f>IF(Tabela1511[[#This Row],[Core²-Retail Sales]]="",#N/A,((Tabela1511[[#This Row],[Core²-Retail Sales]]*1)/Q385)-1)</f>
        <v>5.4462620833948261E-3</v>
      </c>
      <c r="S386" s="8">
        <f>IF(Tabela1511[[#This Row],[Core²-Retail Sales]]="",#N/A,((Tabela1511[[#This Row],[Core²-Retail Sales]]*1)/Q374)-1)</f>
        <v>7.3689137453043507E-3</v>
      </c>
      <c r="T386" s="5">
        <v>72.5</v>
      </c>
      <c r="U386" s="7">
        <v>55.8</v>
      </c>
      <c r="V386" s="25">
        <v>63.8</v>
      </c>
      <c r="W386" s="25">
        <v>52.6</v>
      </c>
      <c r="X386" s="25">
        <v>49.7</v>
      </c>
      <c r="Y386" s="25">
        <v>51.5</v>
      </c>
      <c r="Z386" s="25">
        <v>44.8</v>
      </c>
      <c r="AA386" s="25">
        <f>IF([1]!Tabela1511[[#This Row],[Services New Orders]]="","",([1]!Tabela1511[[#This Row],[Manufacturing New Orders]]+[1]!Tabela1511[[#This Row],[Services New Orders]])/2)</f>
        <v>57.65</v>
      </c>
      <c r="AB386" s="25">
        <f>IF([1]!Tabela1511[[#This Row],[Services Employment]]="",#N/A,([1]!Tabela1511[[#This Row],[Manufacturing Employment]]+[1]!Tabela1511[[#This Row],[Services Employment]])/2)</f>
        <v>48.7</v>
      </c>
    </row>
    <row r="387" spans="1:28">
      <c r="A387" s="6">
        <v>40179</v>
      </c>
      <c r="B387" s="36">
        <v>11156.8</v>
      </c>
      <c r="C387" s="8">
        <f>IF(Tabela1511[[#This Row],[Real PCE]]="",#N/A,((Tabela1511[[#This Row],[Real PCE]]*1)/B386)-1)</f>
        <v>-1.834074418687881E-3</v>
      </c>
      <c r="D387" s="8">
        <f>IF(Tabela1511[[#This Row],[Real PCE]]="",#N/A,((Tabela1511[[#This Row],[Real PCE]]*1)/B375)-1)</f>
        <v>-1.7447634727056904E-3</v>
      </c>
      <c r="E387" s="7">
        <v>89.191100000000006</v>
      </c>
      <c r="F387" s="8">
        <f>IF(Tabela1511[[#This Row],[Industrial Production]]="",#N/A,((Tabela1511[[#This Row],[Industrial Production]]*1)/E386)-1)</f>
        <v>1.0700671299129327E-2</v>
      </c>
      <c r="G387" s="8">
        <f>IF(Tabela1511[[#This Row],[Industrial Production]]="",#N/A,((Tabela1511[[#This Row],[Industrial Production]]*1)/E375)-1)</f>
        <v>9.1648553819765333E-3</v>
      </c>
      <c r="H387" s="32">
        <v>346046</v>
      </c>
      <c r="I387" s="8">
        <f>IF(Tabela1511[[#This Row],[Retail Sales]]="",#N/A,((Tabela1511[[#This Row],[Retail Sales]]*1)/H386)-1)</f>
        <v>-7.5128874916230437E-5</v>
      </c>
      <c r="J387" s="8">
        <f>IF(Tabela1511[[#This Row],[Retail Sales]]="",#N/A,((Tabela1511[[#This Row],[Retail Sales]]*1)/H375)-1)</f>
        <v>2.7059113344354513E-2</v>
      </c>
      <c r="K387" s="32">
        <v>289190</v>
      </c>
      <c r="L387" s="8">
        <f>IF(Tabela1511[[#This Row],[Core-Retail Sales]]="",#N/A,((Tabela1511[[#This Row],[Core-Retail Sales]]*1)/K386)-1)</f>
        <v>6.8167741087155065E-4</v>
      </c>
      <c r="M387" s="8">
        <f>IF(Tabela1511[[#This Row],[Core-Retail Sales]]="",#N/A,((Tabela1511[[#This Row],[Core-Retail Sales]]*1)/K375)-1)</f>
        <v>2.8637079878636618E-2</v>
      </c>
      <c r="N387" s="84">
        <v>159110</v>
      </c>
      <c r="O387" s="8">
        <f>IF(Tabela1511[[#This Row],[Real Retail Sales]]="",#N/A,((Tabela1511[[#This Row],[Real Retail Sales]]*1)/N386)-1)</f>
        <v>-7.2852423599156779E-4</v>
      </c>
      <c r="P387" s="8">
        <f>IF(Tabela1511[[#This Row],[Real Retail Sales]]="",#N/A,((Tabela1511[[#This Row],[Real Retail Sales]]*1)/N375)-1)</f>
        <v>8.2400820234118655E-4</v>
      </c>
      <c r="Q387" s="32">
        <v>251791</v>
      </c>
      <c r="R387" s="8">
        <f>IF(Tabela1511[[#This Row],[Core²-Retail Sales]]="",#N/A,((Tabela1511[[#This Row],[Core²-Retail Sales]]*1)/Q386)-1)</f>
        <v>-7.9424647850934171E-5</v>
      </c>
      <c r="S387" s="8">
        <f>IF(Tabela1511[[#This Row],[Core²-Retail Sales]]="",#N/A,((Tabela1511[[#This Row],[Core²-Retail Sales]]*1)/Q375)-1)</f>
        <v>-2.1004989675849073E-3</v>
      </c>
      <c r="T387" s="5">
        <v>74.400000000000006</v>
      </c>
      <c r="U387" s="7">
        <v>56.3</v>
      </c>
      <c r="V387" s="25">
        <v>59.9</v>
      </c>
      <c r="W387" s="25">
        <v>55.2</v>
      </c>
      <c r="X387" s="25">
        <v>50</v>
      </c>
      <c r="Y387" s="25">
        <v>52.9</v>
      </c>
      <c r="Z387" s="25">
        <v>46.7</v>
      </c>
      <c r="AA387" s="25">
        <f>IF([1]!Tabela1511[[#This Row],[Services New Orders]]="","",([1]!Tabela1511[[#This Row],[Manufacturing New Orders]]+[1]!Tabela1511[[#This Row],[Services New Orders]])/2)</f>
        <v>56.4</v>
      </c>
      <c r="AB387" s="25">
        <f>IF([1]!Tabela1511[[#This Row],[Services Employment]]="",#N/A,([1]!Tabela1511[[#This Row],[Manufacturing Employment]]+[1]!Tabela1511[[#This Row],[Services Employment]])/2)</f>
        <v>50.95</v>
      </c>
    </row>
    <row r="388" spans="1:28">
      <c r="A388" s="6">
        <v>40210</v>
      </c>
      <c r="B388" s="36">
        <v>11198.6</v>
      </c>
      <c r="C388" s="8">
        <f>IF(Tabela1511[[#This Row],[Real PCE]]="",#N/A,((Tabela1511[[#This Row],[Real PCE]]*1)/B387)-1)</f>
        <v>3.7465940054497437E-3</v>
      </c>
      <c r="D388" s="8">
        <f>IF(Tabela1511[[#This Row],[Real PCE]]="",#N/A,((Tabela1511[[#This Row],[Real PCE]]*1)/B376)-1)</f>
        <v>6.118323525448055E-3</v>
      </c>
      <c r="E388" s="7">
        <v>89.497200000000007</v>
      </c>
      <c r="F388" s="8">
        <f>IF(Tabela1511[[#This Row],[Industrial Production]]="",#N/A,((Tabela1511[[#This Row],[Industrial Production]]*1)/E387)-1)</f>
        <v>3.431956775956424E-3</v>
      </c>
      <c r="G388" s="8">
        <f>IF(Tabela1511[[#This Row],[Industrial Production]]="",#N/A,((Tabela1511[[#This Row],[Industrial Production]]*1)/E376)-1)</f>
        <v>1.8852201472657537E-2</v>
      </c>
      <c r="H388" s="32">
        <v>346702</v>
      </c>
      <c r="I388" s="8">
        <f>IF(Tabela1511[[#This Row],[Retail Sales]]="",#N/A,((Tabela1511[[#This Row],[Retail Sales]]*1)/H387)-1)</f>
        <v>1.8957017275160748E-3</v>
      </c>
      <c r="J388" s="8">
        <f>IF(Tabela1511[[#This Row],[Retail Sales]]="",#N/A,((Tabela1511[[#This Row],[Retail Sales]]*1)/H376)-1)</f>
        <v>3.3154933606694081E-2</v>
      </c>
      <c r="K388" s="32">
        <v>290899</v>
      </c>
      <c r="L388" s="8">
        <f>IF(Tabela1511[[#This Row],[Core-Retail Sales]]="",#N/A,((Tabela1511[[#This Row],[Core-Retail Sales]]*1)/K387)-1)</f>
        <v>5.9096095992254849E-3</v>
      </c>
      <c r="M388" s="8">
        <f>IF(Tabela1511[[#This Row],[Core-Retail Sales]]="",#N/A,((Tabela1511[[#This Row],[Core-Retail Sales]]*1)/K376)-1)</f>
        <v>3.3800304206291765E-2</v>
      </c>
      <c r="N388" s="84">
        <v>159564</v>
      </c>
      <c r="O388" s="8">
        <f>IF(Tabela1511[[#This Row],[Real Retail Sales]]="",#N/A,((Tabela1511[[#This Row],[Real Retail Sales]]*1)/N387)-1)</f>
        <v>2.8533718810885844E-3</v>
      </c>
      <c r="P388" s="8">
        <f>IF(Tabela1511[[#This Row],[Real Retail Sales]]="",#N/A,((Tabela1511[[#This Row],[Real Retail Sales]]*1)/N376)-1)</f>
        <v>1.1396625381894676E-2</v>
      </c>
      <c r="Q388" s="32">
        <v>253949</v>
      </c>
      <c r="R388" s="8">
        <f>IF(Tabela1511[[#This Row],[Core²-Retail Sales]]="",#N/A,((Tabela1511[[#This Row],[Core²-Retail Sales]]*1)/Q387)-1)</f>
        <v>8.5706002200236497E-3</v>
      </c>
      <c r="S388" s="8">
        <f>IF(Tabela1511[[#This Row],[Core²-Retail Sales]]="",#N/A,((Tabela1511[[#This Row],[Core²-Retail Sales]]*1)/Q376)-1)</f>
        <v>9.6251709551222753E-3</v>
      </c>
      <c r="T388" s="5">
        <v>73.599999999999994</v>
      </c>
      <c r="U388" s="7">
        <v>55.5</v>
      </c>
      <c r="V388" s="25">
        <v>57.7</v>
      </c>
      <c r="W388" s="25">
        <v>55.7</v>
      </c>
      <c r="X388" s="25">
        <v>51.7</v>
      </c>
      <c r="Y388" s="25">
        <v>53.4</v>
      </c>
      <c r="Z388" s="25">
        <v>47.8</v>
      </c>
      <c r="AA388" s="25">
        <f>IF([1]!Tabela1511[[#This Row],[Services New Orders]]="","",([1]!Tabela1511[[#This Row],[Manufacturing New Orders]]+[1]!Tabela1511[[#This Row],[Services New Orders]])/2)</f>
        <v>55.55</v>
      </c>
      <c r="AB388" s="25">
        <f>IF([1]!Tabela1511[[#This Row],[Services Employment]]="",#N/A,([1]!Tabela1511[[#This Row],[Manufacturing Employment]]+[1]!Tabela1511[[#This Row],[Services Employment]])/2)</f>
        <v>51.75</v>
      </c>
    </row>
    <row r="389" spans="1:28">
      <c r="A389" s="6">
        <v>40238</v>
      </c>
      <c r="B389" s="36">
        <v>11252.1</v>
      </c>
      <c r="C389" s="8">
        <f>IF(Tabela1511[[#This Row],[Real PCE]]="",#N/A,((Tabela1511[[#This Row],[Real PCE]]*1)/B388)-1)</f>
        <v>4.7773828871466861E-3</v>
      </c>
      <c r="D389" s="8">
        <f>IF(Tabela1511[[#This Row],[Real PCE]]="",#N/A,((Tabela1511[[#This Row],[Real PCE]]*1)/B377)-1)</f>
        <v>1.5111054977175575E-2</v>
      </c>
      <c r="E389" s="7">
        <v>90.141900000000007</v>
      </c>
      <c r="F389" s="8">
        <f>IF(Tabela1511[[#This Row],[Industrial Production]]="",#N/A,((Tabela1511[[#This Row],[Industrial Production]]*1)/E388)-1)</f>
        <v>7.2035773186200913E-3</v>
      </c>
      <c r="G389" s="8">
        <f>IF(Tabela1511[[#This Row],[Industrial Production]]="",#N/A,((Tabela1511[[#This Row],[Industrial Production]]*1)/E377)-1)</f>
        <v>4.2351126395419048E-2</v>
      </c>
      <c r="H389" s="32">
        <v>354147</v>
      </c>
      <c r="I389" s="8">
        <f>IF(Tabela1511[[#This Row],[Retail Sales]]="",#N/A,((Tabela1511[[#This Row],[Retail Sales]]*1)/H388)-1)</f>
        <v>2.147377286545793E-2</v>
      </c>
      <c r="J389" s="8">
        <f>IF(Tabela1511[[#This Row],[Retail Sales]]="",#N/A,((Tabela1511[[#This Row],[Retail Sales]]*1)/H377)-1)</f>
        <v>7.3996124301358268E-2</v>
      </c>
      <c r="K389" s="32">
        <v>293292</v>
      </c>
      <c r="L389" s="8">
        <f>IF(Tabela1511[[#This Row],[Core-Retail Sales]]="",#N/A,((Tabela1511[[#This Row],[Core-Retail Sales]]*1)/K388)-1)</f>
        <v>8.226222847105058E-3</v>
      </c>
      <c r="M389" s="8">
        <f>IF(Tabela1511[[#This Row],[Core-Retail Sales]]="",#N/A,((Tabela1511[[#This Row],[Core-Retail Sales]]*1)/K377)-1)</f>
        <v>6.0166927528583436E-2</v>
      </c>
      <c r="N389" s="84">
        <v>162936</v>
      </c>
      <c r="O389" s="8">
        <f>IF(Tabela1511[[#This Row],[Real Retail Sales]]="",#N/A,((Tabela1511[[#This Row],[Real Retail Sales]]*1)/N388)-1)</f>
        <v>2.1132586297661016E-2</v>
      </c>
      <c r="P389" s="8">
        <f>IF(Tabela1511[[#This Row],[Real Retail Sales]]="",#N/A,((Tabela1511[[#This Row],[Real Retail Sales]]*1)/N377)-1)</f>
        <v>4.9987433866695907E-2</v>
      </c>
      <c r="Q389" s="32">
        <v>256132</v>
      </c>
      <c r="R389" s="8">
        <f>IF(Tabela1511[[#This Row],[Core²-Retail Sales]]="",#N/A,((Tabela1511[[#This Row],[Core²-Retail Sales]]*1)/Q388)-1)</f>
        <v>8.5962142004891717E-3</v>
      </c>
      <c r="S389" s="8">
        <f>IF(Tabela1511[[#This Row],[Core²-Retail Sales]]="",#N/A,((Tabela1511[[#This Row],[Core²-Retail Sales]]*1)/Q377)-1)</f>
        <v>3.3532131933403875E-2</v>
      </c>
      <c r="T389" s="5">
        <v>73.599999999999994</v>
      </c>
      <c r="U389" s="7">
        <v>58.8</v>
      </c>
      <c r="V389" s="25">
        <v>60.1</v>
      </c>
      <c r="W389" s="25">
        <v>55.8</v>
      </c>
      <c r="X389" s="25">
        <v>53.3</v>
      </c>
      <c r="Y389" s="25">
        <v>58.1</v>
      </c>
      <c r="Z389" s="25">
        <v>49.9</v>
      </c>
      <c r="AA389" s="25">
        <f>IF([1]!Tabela1511[[#This Row],[Services New Orders]]="","",([1]!Tabela1511[[#This Row],[Manufacturing New Orders]]+[1]!Tabela1511[[#This Row],[Services New Orders]])/2)</f>
        <v>59.1</v>
      </c>
      <c r="AB389" s="25">
        <f>IF([1]!Tabela1511[[#This Row],[Services Employment]]="",#N/A,([1]!Tabela1511[[#This Row],[Manufacturing Employment]]+[1]!Tabela1511[[#This Row],[Services Employment]])/2)</f>
        <v>52.849999999999994</v>
      </c>
    </row>
    <row r="390" spans="1:28">
      <c r="A390" s="6">
        <v>40269</v>
      </c>
      <c r="B390" s="36">
        <v>11275.1</v>
      </c>
      <c r="C390" s="8">
        <f>IF(Tabela1511[[#This Row],[Real PCE]]="",#N/A,((Tabela1511[[#This Row],[Real PCE]]*1)/B389)-1)</f>
        <v>2.0440628860389776E-3</v>
      </c>
      <c r="D390" s="8">
        <f>IF(Tabela1511[[#This Row],[Real PCE]]="",#N/A,((Tabela1511[[#This Row],[Real PCE]]*1)/B378)-1)</f>
        <v>1.8711601011926371E-2</v>
      </c>
      <c r="E390" s="7">
        <v>90.459100000000007</v>
      </c>
      <c r="F390" s="8">
        <f>IF(Tabela1511[[#This Row],[Industrial Production]]="",#N/A,((Tabela1511[[#This Row],[Industrial Production]]*1)/E389)-1)</f>
        <v>3.5188963179164645E-3</v>
      </c>
      <c r="G390" s="8">
        <f>IF(Tabela1511[[#This Row],[Industrial Production]]="",#N/A,((Tabela1511[[#This Row],[Industrial Production]]*1)/E378)-1)</f>
        <v>5.4445652845434678E-2</v>
      </c>
      <c r="H390" s="32">
        <v>357304</v>
      </c>
      <c r="I390" s="8">
        <f>IF(Tabela1511[[#This Row],[Retail Sales]]="",#N/A,((Tabela1511[[#This Row],[Retail Sales]]*1)/H389)-1)</f>
        <v>8.9143773630724343E-3</v>
      </c>
      <c r="J390" s="8">
        <f>IF(Tabela1511[[#This Row],[Retail Sales]]="",#N/A,((Tabela1511[[#This Row],[Retail Sales]]*1)/H378)-1)</f>
        <v>7.8321543253096371E-2</v>
      </c>
      <c r="K390" s="32">
        <v>295488</v>
      </c>
      <c r="L390" s="8">
        <f>IF(Tabela1511[[#This Row],[Core-Retail Sales]]="",#N/A,((Tabela1511[[#This Row],[Core-Retail Sales]]*1)/K389)-1)</f>
        <v>7.4874186817233124E-3</v>
      </c>
      <c r="M390" s="8">
        <f>IF(Tabela1511[[#This Row],[Core-Retail Sales]]="",#N/A,((Tabela1511[[#This Row],[Core-Retail Sales]]*1)/K378)-1)</f>
        <v>6.3690851167227613E-2</v>
      </c>
      <c r="N390" s="84">
        <v>164351</v>
      </c>
      <c r="O390" s="8">
        <f>IF(Tabela1511[[#This Row],[Real Retail Sales]]="",#N/A,((Tabela1511[[#This Row],[Real Retail Sales]]*1)/N389)-1)</f>
        <v>8.6843914174890013E-3</v>
      </c>
      <c r="P390" s="8">
        <f>IF(Tabela1511[[#This Row],[Real Retail Sales]]="",#N/A,((Tabela1511[[#This Row],[Real Retail Sales]]*1)/N378)-1)</f>
        <v>5.5040217747164277E-2</v>
      </c>
      <c r="Q390" s="32">
        <v>258306</v>
      </c>
      <c r="R390" s="8">
        <f>IF(Tabela1511[[#This Row],[Core²-Retail Sales]]="",#N/A,((Tabela1511[[#This Row],[Core²-Retail Sales]]*1)/Q389)-1)</f>
        <v>8.4878109724673134E-3</v>
      </c>
      <c r="S390" s="8">
        <f>IF(Tabela1511[[#This Row],[Core²-Retail Sales]]="",#N/A,((Tabela1511[[#This Row],[Core²-Retail Sales]]*1)/Q378)-1)</f>
        <v>3.717355690469315E-2</v>
      </c>
      <c r="T390" s="5">
        <v>72.2</v>
      </c>
      <c r="U390" s="7">
        <v>58.1</v>
      </c>
      <c r="V390" s="25">
        <v>64</v>
      </c>
      <c r="W390" s="25">
        <v>54.8</v>
      </c>
      <c r="X390" s="25">
        <v>55.3</v>
      </c>
      <c r="Y390" s="25">
        <v>58</v>
      </c>
      <c r="Z390" s="25">
        <v>49.9</v>
      </c>
      <c r="AA390" s="25">
        <f>IF([1]!Tabela1511[[#This Row],[Services New Orders]]="","",([1]!Tabela1511[[#This Row],[Manufacturing New Orders]]+[1]!Tabela1511[[#This Row],[Services New Orders]])/2)</f>
        <v>61</v>
      </c>
      <c r="AB390" s="25">
        <f>IF([1]!Tabela1511[[#This Row],[Services Employment]]="",#N/A,([1]!Tabela1511[[#This Row],[Manufacturing Employment]]+[1]!Tabela1511[[#This Row],[Services Employment]])/2)</f>
        <v>52.349999999999994</v>
      </c>
    </row>
    <row r="391" spans="1:28">
      <c r="A391" s="6">
        <v>40299</v>
      </c>
      <c r="B391" s="36">
        <v>11303.2</v>
      </c>
      <c r="C391" s="8">
        <f>IF(Tabela1511[[#This Row],[Real PCE]]="",#N/A,((Tabela1511[[#This Row],[Real PCE]]*1)/B390)-1)</f>
        <v>2.4922173639259082E-3</v>
      </c>
      <c r="D391" s="8">
        <f>IF(Tabela1511[[#This Row],[Real PCE]]="",#N/A,((Tabela1511[[#This Row],[Real PCE]]*1)/B379)-1)</f>
        <v>2.0319368844837982E-2</v>
      </c>
      <c r="E391" s="7">
        <v>91.701999999999998</v>
      </c>
      <c r="F391" s="8">
        <f>IF(Tabela1511[[#This Row],[Industrial Production]]="",#N/A,((Tabela1511[[#This Row],[Industrial Production]]*1)/E390)-1)</f>
        <v>1.3739911186381404E-2</v>
      </c>
      <c r="G391" s="8">
        <f>IF(Tabela1511[[#This Row],[Industrial Production]]="",#N/A,((Tabela1511[[#This Row],[Industrial Production]]*1)/E379)-1)</f>
        <v>7.9461717024752909E-2</v>
      </c>
      <c r="H391" s="32">
        <v>354015</v>
      </c>
      <c r="I391" s="8">
        <f>IF(Tabela1511[[#This Row],[Retail Sales]]="",#N/A,((Tabela1511[[#This Row],[Retail Sales]]*1)/H390)-1)</f>
        <v>-9.2050466829366462E-3</v>
      </c>
      <c r="J391" s="8">
        <f>IF(Tabela1511[[#This Row],[Retail Sales]]="",#N/A,((Tabela1511[[#This Row],[Retail Sales]]*1)/H379)-1)</f>
        <v>5.9113374180268963E-2</v>
      </c>
      <c r="K391" s="32">
        <v>292496</v>
      </c>
      <c r="L391" s="8">
        <f>IF(Tabela1511[[#This Row],[Core-Retail Sales]]="",#N/A,((Tabela1511[[#This Row],[Core-Retail Sales]]*1)/K390)-1)</f>
        <v>-1.0125622698722081E-2</v>
      </c>
      <c r="M391" s="8">
        <f>IF(Tabela1511[[#This Row],[Core-Retail Sales]]="",#N/A,((Tabela1511[[#This Row],[Core-Retail Sales]]*1)/K379)-1)</f>
        <v>4.4005896483168883E-2</v>
      </c>
      <c r="N391" s="84">
        <v>162923</v>
      </c>
      <c r="O391" s="8">
        <f>IF(Tabela1511[[#This Row],[Real Retail Sales]]="",#N/A,((Tabela1511[[#This Row],[Real Retail Sales]]*1)/N390)-1)</f>
        <v>-8.6887210908360712E-3</v>
      </c>
      <c r="P391" s="8">
        <f>IF(Tabela1511[[#This Row],[Real Retail Sales]]="",#N/A,((Tabela1511[[#This Row],[Real Retail Sales]]*1)/N379)-1)</f>
        <v>3.8314713436279124E-2</v>
      </c>
      <c r="Q391" s="32">
        <v>255890</v>
      </c>
      <c r="R391" s="8">
        <f>IF(Tabela1511[[#This Row],[Core²-Retail Sales]]="",#N/A,((Tabela1511[[#This Row],[Core²-Retail Sales]]*1)/Q390)-1)</f>
        <v>-9.3532476984661272E-3</v>
      </c>
      <c r="S391" s="8">
        <f>IF(Tabela1511[[#This Row],[Core²-Retail Sales]]="",#N/A,((Tabela1511[[#This Row],[Core²-Retail Sales]]*1)/Q379)-1)</f>
        <v>2.4875940707868915E-2</v>
      </c>
      <c r="T391" s="5">
        <v>73.599999999999994</v>
      </c>
      <c r="U391" s="7">
        <v>57.4</v>
      </c>
      <c r="V391" s="25">
        <v>61.3</v>
      </c>
      <c r="W391" s="25">
        <v>57.9</v>
      </c>
      <c r="X391" s="25">
        <v>55.5</v>
      </c>
      <c r="Y391" s="25">
        <v>57.9</v>
      </c>
      <c r="Z391" s="25">
        <v>48.8</v>
      </c>
      <c r="AA391" s="25">
        <f>IF([1]!Tabela1511[[#This Row],[Services New Orders]]="","",([1]!Tabela1511[[#This Row],[Manufacturing New Orders]]+[1]!Tabela1511[[#This Row],[Services New Orders]])/2)</f>
        <v>59.599999999999994</v>
      </c>
      <c r="AB391" s="25">
        <f>IF([1]!Tabela1511[[#This Row],[Services Employment]]="",#N/A,([1]!Tabela1511[[#This Row],[Manufacturing Employment]]+[1]!Tabela1511[[#This Row],[Services Employment]])/2)</f>
        <v>53.349999999999994</v>
      </c>
    </row>
    <row r="392" spans="1:28">
      <c r="A392" s="6">
        <v>40330</v>
      </c>
      <c r="B392" s="36">
        <v>11330.6</v>
      </c>
      <c r="C392" s="8">
        <f>IF(Tabela1511[[#This Row],[Real PCE]]="",#N/A,((Tabela1511[[#This Row],[Real PCE]]*1)/B391)-1)</f>
        <v>2.4240922924481101E-3</v>
      </c>
      <c r="D392" s="8">
        <f>IF(Tabela1511[[#This Row],[Real PCE]]="",#N/A,((Tabela1511[[#This Row],[Real PCE]]*1)/B380)-1)</f>
        <v>2.2515815216900936E-2</v>
      </c>
      <c r="E392" s="7">
        <v>91.899699999999996</v>
      </c>
      <c r="F392" s="8">
        <f>IF(Tabela1511[[#This Row],[Industrial Production]]="",#N/A,((Tabela1511[[#This Row],[Industrial Production]]*1)/E391)-1)</f>
        <v>2.1558962727095121E-3</v>
      </c>
      <c r="G392" s="8">
        <f>IF(Tabela1511[[#This Row],[Industrial Production]]="",#N/A,((Tabela1511[[#This Row],[Industrial Production]]*1)/E380)-1)</f>
        <v>8.5094600721666858E-2</v>
      </c>
      <c r="H392" s="32">
        <v>353683</v>
      </c>
      <c r="I392" s="8">
        <f>IF(Tabela1511[[#This Row],[Retail Sales]]="",#N/A,((Tabela1511[[#This Row],[Retail Sales]]*1)/H391)-1)</f>
        <v>-9.378133694899482E-4</v>
      </c>
      <c r="J392" s="8">
        <f>IF(Tabela1511[[#This Row],[Retail Sales]]="",#N/A,((Tabela1511[[#This Row],[Retail Sales]]*1)/H380)-1)</f>
        <v>4.0602207230135079E-2</v>
      </c>
      <c r="K392" s="32">
        <v>292310</v>
      </c>
      <c r="L392" s="8">
        <f>IF(Tabela1511[[#This Row],[Core-Retail Sales]]="",#N/A,((Tabela1511[[#This Row],[Core-Retail Sales]]*1)/K391)-1)</f>
        <v>-6.3590613204966839E-4</v>
      </c>
      <c r="M392" s="8">
        <f>IF(Tabela1511[[#This Row],[Core-Retail Sales]]="",#N/A,((Tabela1511[[#This Row],[Core-Retail Sales]]*1)/K380)-1)</f>
        <v>3.1905730181592151E-2</v>
      </c>
      <c r="N392" s="84">
        <v>162838</v>
      </c>
      <c r="O392" s="8">
        <f>IF(Tabela1511[[#This Row],[Real Retail Sales]]="",#N/A,((Tabela1511[[#This Row],[Real Retail Sales]]*1)/N391)-1)</f>
        <v>-5.2171884878127184E-4</v>
      </c>
      <c r="P392" s="8">
        <f>IF(Tabela1511[[#This Row],[Real Retail Sales]]="",#N/A,((Tabela1511[[#This Row],[Real Retail Sales]]*1)/N380)-1)</f>
        <v>2.9057128412537825E-2</v>
      </c>
      <c r="Q392" s="32">
        <v>256635</v>
      </c>
      <c r="R392" s="8">
        <f>IF(Tabela1511[[#This Row],[Core²-Retail Sales]]="",#N/A,((Tabela1511[[#This Row],[Core²-Retail Sales]]*1)/Q391)-1)</f>
        <v>2.9114072453007012E-3</v>
      </c>
      <c r="S392" s="8">
        <f>IF(Tabela1511[[#This Row],[Core²-Retail Sales]]="",#N/A,((Tabela1511[[#This Row],[Core²-Retail Sales]]*1)/Q380)-1)</f>
        <v>2.6963108800825974E-2</v>
      </c>
      <c r="T392" s="5">
        <v>76</v>
      </c>
      <c r="U392" s="7">
        <v>56.5</v>
      </c>
      <c r="V392" s="25">
        <v>58.6</v>
      </c>
      <c r="W392" s="25">
        <v>56.8</v>
      </c>
      <c r="X392" s="25">
        <v>54.4</v>
      </c>
      <c r="Y392" s="25">
        <v>56.6</v>
      </c>
      <c r="Z392" s="25">
        <v>50.9</v>
      </c>
      <c r="AA392" s="25">
        <f>IF([1]!Tabela1511[[#This Row],[Services New Orders]]="","",([1]!Tabela1511[[#This Row],[Manufacturing New Orders]]+[1]!Tabela1511[[#This Row],[Services New Orders]])/2)</f>
        <v>57.6</v>
      </c>
      <c r="AB392" s="25">
        <f>IF([1]!Tabela1511[[#This Row],[Services Employment]]="",#N/A,([1]!Tabela1511[[#This Row],[Manufacturing Employment]]+[1]!Tabela1511[[#This Row],[Services Employment]])/2)</f>
        <v>53.849999999999994</v>
      </c>
    </row>
    <row r="393" spans="1:28">
      <c r="A393" s="6">
        <v>40360</v>
      </c>
      <c r="B393" s="36">
        <v>11361.7</v>
      </c>
      <c r="C393" s="8">
        <f>IF(Tabela1511[[#This Row],[Real PCE]]="",#N/A,((Tabela1511[[#This Row],[Real PCE]]*1)/B392)-1)</f>
        <v>2.7447796233208699E-3</v>
      </c>
      <c r="D393" s="8">
        <f>IF(Tabela1511[[#This Row],[Real PCE]]="",#N/A,((Tabela1511[[#This Row],[Real PCE]]*1)/B381)-1)</f>
        <v>2.1910218472580789E-2</v>
      </c>
      <c r="E393" s="7">
        <v>92.252200000000002</v>
      </c>
      <c r="F393" s="8">
        <f>IF(Tabela1511[[#This Row],[Industrial Production]]="",#N/A,((Tabela1511[[#This Row],[Industrial Production]]*1)/E392)-1)</f>
        <v>3.8357034897829045E-3</v>
      </c>
      <c r="G393" s="8">
        <f>IF(Tabela1511[[#This Row],[Industrial Production]]="",#N/A,((Tabela1511[[#This Row],[Industrial Production]]*1)/E381)-1)</f>
        <v>7.6399811444920029E-2</v>
      </c>
      <c r="H393" s="32">
        <v>354622</v>
      </c>
      <c r="I393" s="8">
        <f>IF(Tabela1511[[#This Row],[Retail Sales]]="",#N/A,((Tabela1511[[#This Row],[Retail Sales]]*1)/H392)-1)</f>
        <v>2.6549198010648034E-3</v>
      </c>
      <c r="J393" s="8">
        <f>IF(Tabela1511[[#This Row],[Retail Sales]]="",#N/A,((Tabela1511[[#This Row],[Retail Sales]]*1)/H381)-1)</f>
        <v>4.1422307843661299E-2</v>
      </c>
      <c r="K393" s="32">
        <v>291943</v>
      </c>
      <c r="L393" s="8">
        <f>IF(Tabela1511[[#This Row],[Core-Retail Sales]]="",#N/A,((Tabela1511[[#This Row],[Core-Retail Sales]]*1)/K392)-1)</f>
        <v>-1.2555164038178246E-3</v>
      </c>
      <c r="M393" s="8">
        <f>IF(Tabela1511[[#This Row],[Core-Retail Sales]]="",#N/A,((Tabela1511[[#This Row],[Core-Retail Sales]]*1)/K381)-1)</f>
        <v>3.2443443234583702E-2</v>
      </c>
      <c r="N393" s="84">
        <v>162966</v>
      </c>
      <c r="O393" s="8">
        <f>IF(Tabela1511[[#This Row],[Real Retail Sales]]="",#N/A,((Tabela1511[[#This Row],[Real Retail Sales]]*1)/N392)-1)</f>
        <v>7.8605730849057309E-4</v>
      </c>
      <c r="P393" s="8">
        <f>IF(Tabela1511[[#This Row],[Real Retail Sales]]="",#N/A,((Tabela1511[[#This Row],[Real Retail Sales]]*1)/N381)-1)</f>
        <v>2.7645003846590299E-2</v>
      </c>
      <c r="Q393" s="32">
        <v>256146</v>
      </c>
      <c r="R393" s="8">
        <f>IF(Tabela1511[[#This Row],[Core²-Retail Sales]]="",#N/A,((Tabela1511[[#This Row],[Core²-Retail Sales]]*1)/Q392)-1)</f>
        <v>-1.9054298907007494E-3</v>
      </c>
      <c r="S393" s="8">
        <f>IF(Tabela1511[[#This Row],[Core²-Retail Sales]]="",#N/A,((Tabela1511[[#This Row],[Core²-Retail Sales]]*1)/Q381)-1)</f>
        <v>2.5802653552420285E-2</v>
      </c>
      <c r="T393" s="5">
        <v>67.8</v>
      </c>
      <c r="U393" s="7">
        <v>56.1</v>
      </c>
      <c r="V393" s="25">
        <v>54.7</v>
      </c>
      <c r="W393" s="25">
        <v>58.6</v>
      </c>
      <c r="X393" s="25">
        <v>54.6</v>
      </c>
      <c r="Y393" s="25">
        <v>58.2</v>
      </c>
      <c r="Z393" s="25">
        <v>48.7</v>
      </c>
      <c r="AA393" s="25">
        <f>IF([1]!Tabela1511[[#This Row],[Services New Orders]]="","",([1]!Tabela1511[[#This Row],[Manufacturing New Orders]]+[1]!Tabela1511[[#This Row],[Services New Orders]])/2)</f>
        <v>56.45</v>
      </c>
      <c r="AB393" s="25">
        <f>IF([1]!Tabela1511[[#This Row],[Services Employment]]="",#N/A,([1]!Tabela1511[[#This Row],[Manufacturing Employment]]+[1]!Tabela1511[[#This Row],[Services Employment]])/2)</f>
        <v>53.650000000000006</v>
      </c>
    </row>
    <row r="394" spans="1:28">
      <c r="A394" s="6">
        <v>40391</v>
      </c>
      <c r="B394" s="36">
        <v>11389.2</v>
      </c>
      <c r="C394" s="8">
        <f>IF(Tabela1511[[#This Row],[Real PCE]]="",#N/A,((Tabela1511[[#This Row],[Real PCE]]*1)/B393)-1)</f>
        <v>2.4204124382793957E-3</v>
      </c>
      <c r="D394" s="8">
        <f>IF(Tabela1511[[#This Row],[Real PCE]]="",#N/A,((Tabela1511[[#This Row],[Real PCE]]*1)/B382)-1)</f>
        <v>1.5261187377429097E-2</v>
      </c>
      <c r="E394" s="7">
        <v>92.5899</v>
      </c>
      <c r="F394" s="8">
        <f>IF(Tabela1511[[#This Row],[Industrial Production]]="",#N/A,((Tabela1511[[#This Row],[Industrial Production]]*1)/E393)-1)</f>
        <v>3.6606173077715631E-3</v>
      </c>
      <c r="G394" s="8">
        <f>IF(Tabela1511[[#This Row],[Industrial Production]]="",#N/A,((Tabela1511[[#This Row],[Industrial Production]]*1)/E382)-1)</f>
        <v>6.8406227895367877E-2</v>
      </c>
      <c r="H394" s="32">
        <v>356573</v>
      </c>
      <c r="I394" s="8">
        <f>IF(Tabela1511[[#This Row],[Retail Sales]]="",#N/A,((Tabela1511[[#This Row],[Retail Sales]]*1)/H393)-1)</f>
        <v>5.5016327244221674E-3</v>
      </c>
      <c r="J394" s="8">
        <f>IF(Tabela1511[[#This Row],[Retail Sales]]="",#N/A,((Tabela1511[[#This Row],[Retail Sales]]*1)/H382)-1)</f>
        <v>2.8572005492286667E-2</v>
      </c>
      <c r="K394" s="32">
        <v>293981</v>
      </c>
      <c r="L394" s="8">
        <f>IF(Tabela1511[[#This Row],[Core-Retail Sales]]="",#N/A,((Tabela1511[[#This Row],[Core-Retail Sales]]*1)/K393)-1)</f>
        <v>6.9808147480843186E-3</v>
      </c>
      <c r="M394" s="8">
        <f>IF(Tabela1511[[#This Row],[Core-Retail Sales]]="",#N/A,((Tabela1511[[#This Row],[Core-Retail Sales]]*1)/K382)-1)</f>
        <v>3.3670294122817745E-2</v>
      </c>
      <c r="N394" s="84">
        <v>163623</v>
      </c>
      <c r="O394" s="8">
        <f>IF(Tabela1511[[#This Row],[Real Retail Sales]]="",#N/A,((Tabela1511[[#This Row],[Real Retail Sales]]*1)/N393)-1)</f>
        <v>4.0315157762969012E-3</v>
      </c>
      <c r="P394" s="8">
        <f>IF(Tabela1511[[#This Row],[Real Retail Sales]]="",#N/A,((Tabela1511[[#This Row],[Real Retail Sales]]*1)/N382)-1)</f>
        <v>1.687299574912382E-2</v>
      </c>
      <c r="Q394" s="32">
        <v>257792</v>
      </c>
      <c r="R394" s="8">
        <f>IF(Tabela1511[[#This Row],[Core²-Retail Sales]]="",#N/A,((Tabela1511[[#This Row],[Core²-Retail Sales]]*1)/Q393)-1)</f>
        <v>6.4260226589523128E-3</v>
      </c>
      <c r="S394" s="8">
        <f>IF(Tabela1511[[#This Row],[Core²-Retail Sales]]="",#N/A,((Tabela1511[[#This Row],[Core²-Retail Sales]]*1)/Q382)-1)</f>
        <v>3.2212599150340138E-2</v>
      </c>
      <c r="T394" s="5">
        <v>68.900000000000006</v>
      </c>
      <c r="U394" s="7">
        <v>56.4</v>
      </c>
      <c r="V394" s="25">
        <v>54</v>
      </c>
      <c r="W394" s="25">
        <v>61.2</v>
      </c>
      <c r="X394" s="25">
        <v>52.4</v>
      </c>
      <c r="Y394" s="25">
        <v>54.3</v>
      </c>
      <c r="Z394" s="25">
        <v>51</v>
      </c>
      <c r="AA394" s="25">
        <f>IF([1]!Tabela1511[[#This Row],[Services New Orders]]="","",([1]!Tabela1511[[#This Row],[Manufacturing New Orders]]+[1]!Tabela1511[[#This Row],[Services New Orders]])/2)</f>
        <v>54.15</v>
      </c>
      <c r="AB394" s="25">
        <f>IF([1]!Tabela1511[[#This Row],[Services Employment]]="",#N/A,([1]!Tabela1511[[#This Row],[Manufacturing Employment]]+[1]!Tabela1511[[#This Row],[Services Employment]])/2)</f>
        <v>56.1</v>
      </c>
    </row>
    <row r="395" spans="1:28">
      <c r="A395" s="6">
        <v>40422</v>
      </c>
      <c r="B395" s="36">
        <v>11399.9</v>
      </c>
      <c r="C395" s="8">
        <f>IF(Tabela1511[[#This Row],[Real PCE]]="",#N/A,((Tabela1511[[#This Row],[Real PCE]]*1)/B394)-1)</f>
        <v>9.3948653109943159E-4</v>
      </c>
      <c r="D395" s="8">
        <f>IF(Tabela1511[[#This Row],[Real PCE]]="",#N/A,((Tabela1511[[#This Row],[Real PCE]]*1)/B383)-1)</f>
        <v>2.5668939952854686E-2</v>
      </c>
      <c r="E395" s="7">
        <v>92.856399999999994</v>
      </c>
      <c r="F395" s="8">
        <f>IF(Tabela1511[[#This Row],[Industrial Production]]="",#N/A,((Tabela1511[[#This Row],[Industrial Production]]*1)/E394)-1)</f>
        <v>2.8782837004899253E-3</v>
      </c>
      <c r="G395" s="8">
        <f>IF(Tabela1511[[#This Row],[Industrial Production]]="",#N/A,((Tabela1511[[#This Row],[Industrial Production]]*1)/E383)-1)</f>
        <v>6.2390092822582233E-2</v>
      </c>
      <c r="H395" s="32">
        <v>359257</v>
      </c>
      <c r="I395" s="8">
        <f>IF(Tabela1511[[#This Row],[Retail Sales]]="",#N/A,((Tabela1511[[#This Row],[Retail Sales]]*1)/H394)-1)</f>
        <v>7.5272104169412657E-3</v>
      </c>
      <c r="J395" s="8">
        <f>IF(Tabela1511[[#This Row],[Retail Sales]]="",#N/A,((Tabela1511[[#This Row],[Retail Sales]]*1)/H383)-1)</f>
        <v>6.1298584667377698E-2</v>
      </c>
      <c r="K395" s="32">
        <v>295990</v>
      </c>
      <c r="L395" s="8">
        <f>IF(Tabela1511[[#This Row],[Core-Retail Sales]]="",#N/A,((Tabela1511[[#This Row],[Core-Retail Sales]]*1)/K394)-1)</f>
        <v>6.8337749718518914E-3</v>
      </c>
      <c r="M395" s="8">
        <f>IF(Tabela1511[[#This Row],[Core-Retail Sales]]="",#N/A,((Tabela1511[[#This Row],[Core-Retail Sales]]*1)/K383)-1)</f>
        <v>3.8659802858516334E-2</v>
      </c>
      <c r="N395" s="84">
        <v>164589</v>
      </c>
      <c r="O395" s="8">
        <f>IF(Tabela1511[[#This Row],[Real Retail Sales]]="",#N/A,((Tabela1511[[#This Row],[Real Retail Sales]]*1)/N394)-1)</f>
        <v>5.9038154782640184E-3</v>
      </c>
      <c r="P395" s="8">
        <f>IF(Tabela1511[[#This Row],[Real Retail Sales]]="",#N/A,((Tabela1511[[#This Row],[Real Retail Sales]]*1)/N383)-1)</f>
        <v>4.9560953212980818E-2</v>
      </c>
      <c r="Q395" s="32">
        <v>258671</v>
      </c>
      <c r="R395" s="8">
        <f>IF(Tabela1511[[#This Row],[Core²-Retail Sales]]="",#N/A,((Tabela1511[[#This Row],[Core²-Retail Sales]]*1)/Q394)-1)</f>
        <v>3.4097256703078394E-3</v>
      </c>
      <c r="S395" s="8">
        <f>IF(Tabela1511[[#This Row],[Core²-Retail Sales]]="",#N/A,((Tabela1511[[#This Row],[Core²-Retail Sales]]*1)/Q383)-1)</f>
        <v>3.3968493802288835E-2</v>
      </c>
      <c r="T395" s="5">
        <v>68.2</v>
      </c>
      <c r="U395" s="7">
        <v>55.3</v>
      </c>
      <c r="V395" s="25">
        <v>51.9</v>
      </c>
      <c r="W395" s="25">
        <v>58</v>
      </c>
      <c r="X395" s="25">
        <v>53.3</v>
      </c>
      <c r="Y395" s="25">
        <v>54.2</v>
      </c>
      <c r="Z395" s="25">
        <v>51.9</v>
      </c>
      <c r="AA395" s="25">
        <f>IF([1]!Tabela1511[[#This Row],[Services New Orders]]="","",([1]!Tabela1511[[#This Row],[Manufacturing New Orders]]+[1]!Tabela1511[[#This Row],[Services New Orders]])/2)</f>
        <v>53.05</v>
      </c>
      <c r="AB395" s="25">
        <f>IF([1]!Tabela1511[[#This Row],[Services Employment]]="",#N/A,([1]!Tabela1511[[#This Row],[Manufacturing Employment]]+[1]!Tabela1511[[#This Row],[Services Employment]])/2)</f>
        <v>54.95</v>
      </c>
    </row>
    <row r="396" spans="1:28">
      <c r="A396" s="6">
        <v>40452</v>
      </c>
      <c r="B396" s="36">
        <v>11428.9</v>
      </c>
      <c r="C396" s="8">
        <f>IF(Tabela1511[[#This Row],[Real PCE]]="",#N/A,((Tabela1511[[#This Row],[Real PCE]]*1)/B395)-1)</f>
        <v>2.5438819638767818E-3</v>
      </c>
      <c r="D396" s="8">
        <f>IF(Tabela1511[[#This Row],[Real PCE]]="",#N/A,((Tabela1511[[#This Row],[Real PCE]]*1)/B384)-1)</f>
        <v>2.7122970046103534E-2</v>
      </c>
      <c r="E396" s="7">
        <v>92.603700000000003</v>
      </c>
      <c r="F396" s="8">
        <f>IF(Tabela1511[[#This Row],[Industrial Production]]="",#N/A,((Tabela1511[[#This Row],[Industrial Production]]*1)/E395)-1)</f>
        <v>-2.7214063866356497E-3</v>
      </c>
      <c r="G396" s="8">
        <f>IF(Tabela1511[[#This Row],[Industrial Production]]="",#N/A,((Tabela1511[[#This Row],[Industrial Production]]*1)/E384)-1)</f>
        <v>5.7077628176956496E-2</v>
      </c>
      <c r="H396" s="32">
        <v>363557</v>
      </c>
      <c r="I396" s="8">
        <f>IF(Tabela1511[[#This Row],[Retail Sales]]="",#N/A,((Tabela1511[[#This Row],[Retail Sales]]*1)/H395)-1)</f>
        <v>1.1969147434844674E-2</v>
      </c>
      <c r="J396" s="8">
        <f>IF(Tabela1511[[#This Row],[Retail Sales]]="",#N/A,((Tabela1511[[#This Row],[Retail Sales]]*1)/H384)-1)</f>
        <v>6.4108718176868917E-2</v>
      </c>
      <c r="K396" s="32">
        <v>298641</v>
      </c>
      <c r="L396" s="8">
        <f>IF(Tabela1511[[#This Row],[Core-Retail Sales]]="",#N/A,((Tabela1511[[#This Row],[Core-Retail Sales]]*1)/K395)-1)</f>
        <v>8.9563836616102233E-3</v>
      </c>
      <c r="M396" s="8">
        <f>IF(Tabela1511[[#This Row],[Core-Retail Sales]]="",#N/A,((Tabela1511[[#This Row],[Core-Retail Sales]]*1)/K384)-1)</f>
        <v>4.7183407261952803E-2</v>
      </c>
      <c r="N396" s="84">
        <v>165981</v>
      </c>
      <c r="O396" s="8">
        <f>IF(Tabela1511[[#This Row],[Real Retail Sales]]="",#N/A,((Tabela1511[[#This Row],[Real Retail Sales]]*1)/N395)-1)</f>
        <v>8.4574303264495221E-3</v>
      </c>
      <c r="P396" s="8">
        <f>IF(Tabela1511[[#This Row],[Real Retail Sales]]="",#N/A,((Tabela1511[[#This Row],[Real Retail Sales]]*1)/N384)-1)</f>
        <v>5.1837440827371184E-2</v>
      </c>
      <c r="Q396" s="32">
        <v>260161</v>
      </c>
      <c r="R396" s="8">
        <f>IF(Tabela1511[[#This Row],[Core²-Retail Sales]]="",#N/A,((Tabela1511[[#This Row],[Core²-Retail Sales]]*1)/Q395)-1)</f>
        <v>5.7602127799405434E-3</v>
      </c>
      <c r="S396" s="8">
        <f>IF(Tabela1511[[#This Row],[Core²-Retail Sales]]="",#N/A,((Tabela1511[[#This Row],[Core²-Retail Sales]]*1)/Q384)-1)</f>
        <v>3.9396723931282462E-2</v>
      </c>
      <c r="T396" s="5">
        <v>67.7</v>
      </c>
      <c r="U396" s="7">
        <v>56.9</v>
      </c>
      <c r="V396" s="25">
        <v>57.8</v>
      </c>
      <c r="W396" s="25">
        <v>57.5</v>
      </c>
      <c r="X396" s="25">
        <v>55.3</v>
      </c>
      <c r="Y396" s="25">
        <v>58.4</v>
      </c>
      <c r="Z396" s="25">
        <v>55.6</v>
      </c>
      <c r="AA396" s="25">
        <f>IF([1]!Tabela1511[[#This Row],[Services New Orders]]="","",([1]!Tabela1511[[#This Row],[Manufacturing New Orders]]+[1]!Tabela1511[[#This Row],[Services New Orders]])/2)</f>
        <v>58.099999999999994</v>
      </c>
      <c r="AB396" s="25">
        <f>IF([1]!Tabela1511[[#This Row],[Services Employment]]="",#N/A,([1]!Tabela1511[[#This Row],[Manufacturing Employment]]+[1]!Tabela1511[[#This Row],[Services Employment]])/2)</f>
        <v>56.55</v>
      </c>
    </row>
    <row r="397" spans="1:28">
      <c r="A397" s="6">
        <v>40483</v>
      </c>
      <c r="B397" s="36">
        <v>11458</v>
      </c>
      <c r="C397" s="8">
        <f>IF(Tabela1511[[#This Row],[Real PCE]]="",#N/A,((Tabela1511[[#This Row],[Real PCE]]*1)/B396)-1)</f>
        <v>2.5461767974170879E-3</v>
      </c>
      <c r="D397" s="8">
        <f>IF(Tabela1511[[#This Row],[Real PCE]]="",#N/A,((Tabela1511[[#This Row],[Real PCE]]*1)/B385)-1)</f>
        <v>3.1378832340180463E-2</v>
      </c>
      <c r="E397" s="7">
        <v>92.677300000000002</v>
      </c>
      <c r="F397" s="8">
        <f>IF(Tabela1511[[#This Row],[Industrial Production]]="",#N/A,((Tabela1511[[#This Row],[Industrial Production]]*1)/E396)-1)</f>
        <v>7.9478465763238582E-4</v>
      </c>
      <c r="G397" s="8">
        <f>IF(Tabela1511[[#This Row],[Industrial Production]]="",#N/A,((Tabela1511[[#This Row],[Industrial Production]]*1)/E385)-1)</f>
        <v>5.367917331298977E-2</v>
      </c>
      <c r="H397" s="32">
        <v>367050</v>
      </c>
      <c r="I397" s="8">
        <f>IF(Tabela1511[[#This Row],[Retail Sales]]="",#N/A,((Tabela1511[[#This Row],[Retail Sales]]*1)/H396)-1)</f>
        <v>9.6078469125886468E-3</v>
      </c>
      <c r="J397" s="8">
        <f>IF(Tabela1511[[#This Row],[Retail Sales]]="",#N/A,((Tabela1511[[#This Row],[Retail Sales]]*1)/H385)-1)</f>
        <v>6.5843920145190582E-2</v>
      </c>
      <c r="K397" s="32">
        <v>301677</v>
      </c>
      <c r="L397" s="8">
        <f>IF(Tabela1511[[#This Row],[Core-Retail Sales]]="",#N/A,((Tabela1511[[#This Row],[Core-Retail Sales]]*1)/K396)-1)</f>
        <v>1.0166052216540988E-2</v>
      </c>
      <c r="M397" s="8">
        <f>IF(Tabela1511[[#This Row],[Core-Retail Sales]]="",#N/A,((Tabela1511[[#This Row],[Core-Retail Sales]]*1)/K385)-1)</f>
        <v>5.1066127795972305E-2</v>
      </c>
      <c r="N397" s="84">
        <v>167152</v>
      </c>
      <c r="O397" s="8">
        <f>IF(Tabela1511[[#This Row],[Real Retail Sales]]="",#N/A,((Tabela1511[[#This Row],[Real Retail Sales]]*1)/N396)-1)</f>
        <v>7.0550243702591775E-3</v>
      </c>
      <c r="P397" s="8">
        <f>IF(Tabela1511[[#This Row],[Real Retail Sales]]="",#N/A,((Tabela1511[[#This Row],[Real Retail Sales]]*1)/N385)-1)</f>
        <v>5.4407135692973396E-2</v>
      </c>
      <c r="Q397" s="32">
        <v>262405</v>
      </c>
      <c r="R397" s="8">
        <f>IF(Tabela1511[[#This Row],[Core²-Retail Sales]]="",#N/A,((Tabela1511[[#This Row],[Core²-Retail Sales]]*1)/Q396)-1)</f>
        <v>8.6254281002917654E-3</v>
      </c>
      <c r="S397" s="8">
        <f>IF(Tabela1511[[#This Row],[Core²-Retail Sales]]="",#N/A,((Tabela1511[[#This Row],[Core²-Retail Sales]]*1)/Q385)-1)</f>
        <v>4.7746629027299203E-2</v>
      </c>
      <c r="T397" s="5">
        <v>71.599999999999994</v>
      </c>
      <c r="U397" s="7">
        <v>57.3</v>
      </c>
      <c r="V397" s="25">
        <v>58.3</v>
      </c>
      <c r="W397" s="25">
        <v>60.2</v>
      </c>
      <c r="X397" s="25">
        <v>56.4</v>
      </c>
      <c r="Y397" s="25">
        <v>58.4</v>
      </c>
      <c r="Z397" s="25">
        <v>51.5</v>
      </c>
      <c r="AA397" s="25">
        <f>IF([1]!Tabela1511[[#This Row],[Services New Orders]]="","",([1]!Tabela1511[[#This Row],[Manufacturing New Orders]]+[1]!Tabela1511[[#This Row],[Services New Orders]])/2)</f>
        <v>58.349999999999994</v>
      </c>
      <c r="AB397" s="25">
        <f>IF([1]!Tabela1511[[#This Row],[Services Employment]]="",#N/A,([1]!Tabela1511[[#This Row],[Manufacturing Employment]]+[1]!Tabela1511[[#This Row],[Services Employment]])/2)</f>
        <v>55.85</v>
      </c>
    </row>
    <row r="398" spans="1:28">
      <c r="A398" s="6">
        <v>40513</v>
      </c>
      <c r="B398" s="36">
        <v>11473.2</v>
      </c>
      <c r="C398" s="8">
        <f>IF(Tabela1511[[#This Row],[Real PCE]]="",#N/A,((Tabela1511[[#This Row],[Real PCE]]*1)/B397)-1)</f>
        <v>1.326584046081436E-3</v>
      </c>
      <c r="D398" s="8">
        <f>IF(Tabela1511[[#This Row],[Real PCE]]="",#N/A,((Tabela1511[[#This Row],[Real PCE]]*1)/B386)-1)</f>
        <v>2.6473298560475422E-2</v>
      </c>
      <c r="E398" s="7">
        <v>93.585099999999997</v>
      </c>
      <c r="F398" s="8">
        <f>IF(Tabela1511[[#This Row],[Industrial Production]]="",#N/A,((Tabela1511[[#This Row],[Industrial Production]]*1)/E397)-1)</f>
        <v>9.795278887062997E-3</v>
      </c>
      <c r="G398" s="8">
        <f>IF(Tabela1511[[#This Row],[Industrial Production]]="",#N/A,((Tabela1511[[#This Row],[Industrial Production]]*1)/E386)-1)</f>
        <v>6.0492845066336676E-2</v>
      </c>
      <c r="H398" s="32">
        <v>369192</v>
      </c>
      <c r="I398" s="8">
        <f>IF(Tabela1511[[#This Row],[Retail Sales]]="",#N/A,((Tabela1511[[#This Row],[Retail Sales]]*1)/H397)-1)</f>
        <v>5.8357172047405204E-3</v>
      </c>
      <c r="J398" s="8">
        <f>IF(Tabela1511[[#This Row],[Retail Sales]]="",#N/A,((Tabela1511[[#This Row],[Retail Sales]]*1)/H386)-1)</f>
        <v>6.6806907233176949E-2</v>
      </c>
      <c r="K398" s="32">
        <v>303896</v>
      </c>
      <c r="L398" s="8">
        <f>IF(Tabela1511[[#This Row],[Core-Retail Sales]]="",#N/A,((Tabela1511[[#This Row],[Core-Retail Sales]]*1)/K397)-1)</f>
        <v>7.3555491469352585E-3</v>
      </c>
      <c r="M398" s="8">
        <f>IF(Tabela1511[[#This Row],[Core-Retail Sales]]="",#N/A,((Tabela1511[[#This Row],[Core-Retail Sales]]*1)/K386)-1)</f>
        <v>5.1568723117860982E-2</v>
      </c>
      <c r="N398" s="84">
        <v>167455</v>
      </c>
      <c r="O398" s="8">
        <f>IF(Tabela1511[[#This Row],[Real Retail Sales]]="",#N/A,((Tabela1511[[#This Row],[Real Retail Sales]]*1)/N397)-1)</f>
        <v>1.812721355413105E-3</v>
      </c>
      <c r="P398" s="8">
        <f>IF(Tabela1511[[#This Row],[Real Retail Sales]]="",#N/A,((Tabela1511[[#This Row],[Real Retail Sales]]*1)/N386)-1)</f>
        <v>5.1681258085990889E-2</v>
      </c>
      <c r="Q398" s="32">
        <v>262617</v>
      </c>
      <c r="R398" s="8">
        <f>IF(Tabela1511[[#This Row],[Core²-Retail Sales]]="",#N/A,((Tabela1511[[#This Row],[Core²-Retail Sales]]*1)/Q397)-1)</f>
        <v>8.0791143461445003E-4</v>
      </c>
      <c r="S398" s="8">
        <f>IF(Tabela1511[[#This Row],[Core²-Retail Sales]]="",#N/A,((Tabela1511[[#This Row],[Core²-Retail Sales]]*1)/Q386)-1)</f>
        <v>4.2913137233877796E-2</v>
      </c>
      <c r="T398" s="5">
        <v>74.5</v>
      </c>
      <c r="U398" s="7">
        <v>56.6</v>
      </c>
      <c r="V398" s="25">
        <v>59.6</v>
      </c>
      <c r="W398" s="25">
        <v>56.7</v>
      </c>
      <c r="X398" s="25">
        <v>56.9</v>
      </c>
      <c r="Y398" s="25">
        <v>62.2</v>
      </c>
      <c r="Z398" s="25">
        <v>52.1</v>
      </c>
      <c r="AA398" s="25">
        <f>IF([1]!Tabela1511[[#This Row],[Services New Orders]]="","",([1]!Tabela1511[[#This Row],[Manufacturing New Orders]]+[1]!Tabela1511[[#This Row],[Services New Orders]])/2)</f>
        <v>60.900000000000006</v>
      </c>
      <c r="AB398" s="25">
        <f>IF([1]!Tabela1511[[#This Row],[Services Employment]]="",#N/A,([1]!Tabela1511[[#This Row],[Manufacturing Employment]]+[1]!Tabela1511[[#This Row],[Services Employment]])/2)</f>
        <v>54.400000000000006</v>
      </c>
    </row>
    <row r="399" spans="1:28">
      <c r="A399" s="6">
        <v>40544</v>
      </c>
      <c r="B399" s="36">
        <v>11486</v>
      </c>
      <c r="C399" s="8">
        <f>IF(Tabela1511[[#This Row],[Real PCE]]="",#N/A,((Tabela1511[[#This Row],[Real PCE]]*1)/B398)-1)</f>
        <v>1.1156434124741654E-3</v>
      </c>
      <c r="D399" s="8">
        <f>IF(Tabela1511[[#This Row],[Real PCE]]="",#N/A,((Tabela1511[[#This Row],[Real PCE]]*1)/B387)-1)</f>
        <v>2.9506668578804129E-2</v>
      </c>
      <c r="E399" s="7">
        <v>93.394400000000005</v>
      </c>
      <c r="F399" s="8">
        <f>IF(Tabela1511[[#This Row],[Industrial Production]]="",#N/A,((Tabela1511[[#This Row],[Industrial Production]]*1)/E398)-1)</f>
        <v>-2.037717542642925E-3</v>
      </c>
      <c r="G399" s="8">
        <f>IF(Tabela1511[[#This Row],[Industrial Production]]="",#N/A,((Tabela1511[[#This Row],[Industrial Production]]*1)/E387)-1)</f>
        <v>4.7126899432790914E-2</v>
      </c>
      <c r="H399" s="32">
        <v>371782</v>
      </c>
      <c r="I399" s="8">
        <f>IF(Tabela1511[[#This Row],[Retail Sales]]="",#N/A,((Tabela1511[[#This Row],[Retail Sales]]*1)/H398)-1)</f>
        <v>7.0153199419271672E-3</v>
      </c>
      <c r="J399" s="8">
        <f>IF(Tabela1511[[#This Row],[Retail Sales]]="",#N/A,((Tabela1511[[#This Row],[Retail Sales]]*1)/H387)-1)</f>
        <v>7.4371615334377417E-2</v>
      </c>
      <c r="K399" s="32">
        <v>305564</v>
      </c>
      <c r="L399" s="8">
        <f>IF(Tabela1511[[#This Row],[Core-Retail Sales]]="",#N/A,((Tabela1511[[#This Row],[Core-Retail Sales]]*1)/K398)-1)</f>
        <v>5.4887198252033809E-3</v>
      </c>
      <c r="M399" s="8">
        <f>IF(Tabela1511[[#This Row],[Core-Retail Sales]]="",#N/A,((Tabela1511[[#This Row],[Core-Retail Sales]]*1)/K387)-1)</f>
        <v>5.6620215083509118E-2</v>
      </c>
      <c r="N399" s="84">
        <v>168085</v>
      </c>
      <c r="O399" s="8">
        <f>IF(Tabela1511[[#This Row],[Real Retail Sales]]="",#N/A,((Tabela1511[[#This Row],[Real Retail Sales]]*1)/N398)-1)</f>
        <v>3.7622047714311879E-3</v>
      </c>
      <c r="P399" s="8">
        <f>IF(Tabela1511[[#This Row],[Real Retail Sales]]="",#N/A,((Tabela1511[[#This Row],[Real Retail Sales]]*1)/N387)-1)</f>
        <v>5.6407516812268188E-2</v>
      </c>
      <c r="Q399" s="32">
        <v>263786</v>
      </c>
      <c r="R399" s="8">
        <f>IF(Tabela1511[[#This Row],[Core²-Retail Sales]]="",#N/A,((Tabela1511[[#This Row],[Core²-Retail Sales]]*1)/Q398)-1)</f>
        <v>4.4513493033582208E-3</v>
      </c>
      <c r="S399" s="8">
        <f>IF(Tabela1511[[#This Row],[Core²-Retail Sales]]="",#N/A,((Tabela1511[[#This Row],[Core²-Retail Sales]]*1)/Q387)-1)</f>
        <v>4.7638716236878986E-2</v>
      </c>
      <c r="T399" s="5">
        <v>74.2</v>
      </c>
      <c r="U399" s="7">
        <v>59.1</v>
      </c>
      <c r="V399" s="25">
        <v>64.5</v>
      </c>
      <c r="W399" s="25">
        <v>61.6</v>
      </c>
      <c r="X399" s="25">
        <v>57.6</v>
      </c>
      <c r="Y399" s="25">
        <v>63</v>
      </c>
      <c r="Z399" s="25">
        <v>54.2</v>
      </c>
      <c r="AA399" s="25">
        <f>IF([1]!Tabela1511[[#This Row],[Services New Orders]]="","",([1]!Tabela1511[[#This Row],[Manufacturing New Orders]]+[1]!Tabela1511[[#This Row],[Services New Orders]])/2)</f>
        <v>63.75</v>
      </c>
      <c r="AB399" s="25">
        <f>IF([1]!Tabela1511[[#This Row],[Services Employment]]="",#N/A,([1]!Tabela1511[[#This Row],[Manufacturing Employment]]+[1]!Tabela1511[[#This Row],[Services Employment]])/2)</f>
        <v>57.900000000000006</v>
      </c>
    </row>
    <row r="400" spans="1:28">
      <c r="A400" s="6">
        <v>40575</v>
      </c>
      <c r="B400" s="36">
        <v>11482.8</v>
      </c>
      <c r="C400" s="8">
        <f>IF(Tabela1511[[#This Row],[Real PCE]]="",#N/A,((Tabela1511[[#This Row],[Real PCE]]*1)/B399)-1)</f>
        <v>-2.7860003482504947E-4</v>
      </c>
      <c r="D400" s="8">
        <f>IF(Tabela1511[[#This Row],[Real PCE]]="",#N/A,((Tabela1511[[#This Row],[Real PCE]]*1)/B388)-1)</f>
        <v>2.5378172271533828E-2</v>
      </c>
      <c r="E400" s="7">
        <v>92.992999999999995</v>
      </c>
      <c r="F400" s="8">
        <f>IF(Tabela1511[[#This Row],[Industrial Production]]="",#N/A,((Tabela1511[[#This Row],[Industrial Production]]*1)/E399)-1)</f>
        <v>-4.2979022296840697E-3</v>
      </c>
      <c r="G400" s="8">
        <f>IF(Tabela1511[[#This Row],[Industrial Production]]="",#N/A,((Tabela1511[[#This Row],[Industrial Production]]*1)/E388)-1)</f>
        <v>3.9060439879683218E-2</v>
      </c>
      <c r="H400" s="32">
        <v>375001</v>
      </c>
      <c r="I400" s="8">
        <f>IF(Tabela1511[[#This Row],[Retail Sales]]="",#N/A,((Tabela1511[[#This Row],[Retail Sales]]*1)/H399)-1)</f>
        <v>8.6582997563087183E-3</v>
      </c>
      <c r="J400" s="8">
        <f>IF(Tabela1511[[#This Row],[Retail Sales]]="",#N/A,((Tabela1511[[#This Row],[Retail Sales]]*1)/H388)-1)</f>
        <v>8.1623411459985862E-2</v>
      </c>
      <c r="K400" s="32">
        <v>307681</v>
      </c>
      <c r="L400" s="8">
        <f>IF(Tabela1511[[#This Row],[Core-Retail Sales]]="",#N/A,((Tabela1511[[#This Row],[Core-Retail Sales]]*1)/K399)-1)</f>
        <v>6.9281721668783547E-3</v>
      </c>
      <c r="M400" s="8">
        <f>IF(Tabela1511[[#This Row],[Core-Retail Sales]]="",#N/A,((Tabela1511[[#This Row],[Core-Retail Sales]]*1)/K388)-1)</f>
        <v>5.7690126126249908E-2</v>
      </c>
      <c r="N400" s="84">
        <v>168997</v>
      </c>
      <c r="O400" s="8">
        <f>IF(Tabela1511[[#This Row],[Real Retail Sales]]="",#N/A,((Tabela1511[[#This Row],[Real Retail Sales]]*1)/N399)-1)</f>
        <v>5.4258262188773276E-3</v>
      </c>
      <c r="P400" s="8">
        <f>IF(Tabela1511[[#This Row],[Real Retail Sales]]="",#N/A,((Tabela1511[[#This Row],[Real Retail Sales]]*1)/N388)-1)</f>
        <v>5.9117344764483271E-2</v>
      </c>
      <c r="Q400" s="32">
        <v>265387</v>
      </c>
      <c r="R400" s="8">
        <f>IF(Tabela1511[[#This Row],[Core²-Retail Sales]]="",#N/A,((Tabela1511[[#This Row],[Core²-Retail Sales]]*1)/Q399)-1)</f>
        <v>6.0693137619129978E-3</v>
      </c>
      <c r="S400" s="8">
        <f>IF(Tabela1511[[#This Row],[Core²-Retail Sales]]="",#N/A,((Tabela1511[[#This Row],[Core²-Retail Sales]]*1)/Q388)-1)</f>
        <v>4.5040539635911037E-2</v>
      </c>
      <c r="T400" s="5">
        <v>77.5</v>
      </c>
      <c r="U400" s="7">
        <v>59.2</v>
      </c>
      <c r="V400" s="25">
        <v>64.2</v>
      </c>
      <c r="W400" s="25">
        <v>62.3</v>
      </c>
      <c r="X400" s="25">
        <v>58</v>
      </c>
      <c r="Y400" s="25">
        <v>61.9</v>
      </c>
      <c r="Z400" s="25">
        <v>53.3</v>
      </c>
      <c r="AA400" s="25">
        <f>IF([1]!Tabela1511[[#This Row],[Services New Orders]]="","",([1]!Tabela1511[[#This Row],[Manufacturing New Orders]]+[1]!Tabela1511[[#This Row],[Services New Orders]])/2)</f>
        <v>63.05</v>
      </c>
      <c r="AB400" s="25">
        <f>IF([1]!Tabela1511[[#This Row],[Services Employment]]="",#N/A,([1]!Tabela1511[[#This Row],[Manufacturing Employment]]+[1]!Tabela1511[[#This Row],[Services Employment]])/2)</f>
        <v>57.8</v>
      </c>
    </row>
    <row r="401" spans="1:28">
      <c r="A401" s="6">
        <v>40603</v>
      </c>
      <c r="B401" s="36">
        <v>11522.6</v>
      </c>
      <c r="C401" s="8">
        <f>IF(Tabela1511[[#This Row],[Real PCE]]="",#N/A,((Tabela1511[[#This Row],[Real PCE]]*1)/B400)-1)</f>
        <v>3.4660535757831124E-3</v>
      </c>
      <c r="D401" s="8">
        <f>IF(Tabela1511[[#This Row],[Real PCE]]="",#N/A,((Tabela1511[[#This Row],[Real PCE]]*1)/B389)-1)</f>
        <v>2.4039956985807187E-2</v>
      </c>
      <c r="E401" s="7">
        <v>93.981999999999999</v>
      </c>
      <c r="F401" s="8">
        <f>IF(Tabela1511[[#This Row],[Industrial Production]]="",#N/A,((Tabela1511[[#This Row],[Industrial Production]]*1)/E400)-1)</f>
        <v>1.0635209101760301E-2</v>
      </c>
      <c r="G401" s="8">
        <f>IF(Tabela1511[[#This Row],[Industrial Production]]="",#N/A,((Tabela1511[[#This Row],[Industrial Production]]*1)/E389)-1)</f>
        <v>4.2600610814726547E-2</v>
      </c>
      <c r="H401" s="32">
        <v>378434</v>
      </c>
      <c r="I401" s="8">
        <f>IF(Tabela1511[[#This Row],[Retail Sales]]="",#N/A,((Tabela1511[[#This Row],[Retail Sales]]*1)/H400)-1)</f>
        <v>9.1546422542874151E-3</v>
      </c>
      <c r="J401" s="8">
        <f>IF(Tabela1511[[#This Row],[Retail Sales]]="",#N/A,((Tabela1511[[#This Row],[Retail Sales]]*1)/H389)-1)</f>
        <v>6.8578866967671681E-2</v>
      </c>
      <c r="K401" s="32">
        <v>310853</v>
      </c>
      <c r="L401" s="8">
        <f>IF(Tabela1511[[#This Row],[Core-Retail Sales]]="",#N/A,((Tabela1511[[#This Row],[Core-Retail Sales]]*1)/K400)-1)</f>
        <v>1.0309378869673536E-2</v>
      </c>
      <c r="M401" s="8">
        <f>IF(Tabela1511[[#This Row],[Core-Retail Sales]]="",#N/A,((Tabela1511[[#This Row],[Core-Retail Sales]]*1)/K389)-1)</f>
        <v>5.987548245434593E-2</v>
      </c>
      <c r="N401" s="84">
        <v>169666</v>
      </c>
      <c r="O401" s="8">
        <f>IF(Tabela1511[[#This Row],[Real Retail Sales]]="",#N/A,((Tabela1511[[#This Row],[Real Retail Sales]]*1)/N400)-1)</f>
        <v>3.9586501535531227E-3</v>
      </c>
      <c r="P401" s="8">
        <f>IF(Tabela1511[[#This Row],[Real Retail Sales]]="",#N/A,((Tabela1511[[#This Row],[Real Retail Sales]]*1)/N389)-1)</f>
        <v>4.1304561300142373E-2</v>
      </c>
      <c r="Q401" s="32">
        <v>267030</v>
      </c>
      <c r="R401" s="8">
        <f>IF(Tabela1511[[#This Row],[Core²-Retail Sales]]="",#N/A,((Tabela1511[[#This Row],[Core²-Retail Sales]]*1)/Q400)-1)</f>
        <v>6.1909588638477953E-3</v>
      </c>
      <c r="S401" s="8">
        <f>IF(Tabela1511[[#This Row],[Core²-Retail Sales]]="",#N/A,((Tabela1511[[#This Row],[Core²-Retail Sales]]*1)/Q389)-1)</f>
        <v>4.254837349491658E-2</v>
      </c>
      <c r="T401" s="5">
        <v>67.5</v>
      </c>
      <c r="U401" s="7">
        <v>58.4</v>
      </c>
      <c r="V401" s="25">
        <v>61.3</v>
      </c>
      <c r="W401" s="25">
        <v>60.5</v>
      </c>
      <c r="X401" s="25">
        <v>55.8</v>
      </c>
      <c r="Y401" s="25">
        <v>59.6</v>
      </c>
      <c r="Z401" s="25">
        <v>54.3</v>
      </c>
      <c r="AA401" s="25">
        <f>IF([1]!Tabela1511[[#This Row],[Services New Orders]]="","",([1]!Tabela1511[[#This Row],[Manufacturing New Orders]]+[1]!Tabela1511[[#This Row],[Services New Orders]])/2)</f>
        <v>60.45</v>
      </c>
      <c r="AB401" s="25">
        <f>IF([1]!Tabela1511[[#This Row],[Services Employment]]="",#N/A,([1]!Tabela1511[[#This Row],[Manufacturing Employment]]+[1]!Tabela1511[[#This Row],[Services Employment]])/2)</f>
        <v>57.4</v>
      </c>
    </row>
    <row r="402" spans="1:28">
      <c r="A402" s="6">
        <v>40634</v>
      </c>
      <c r="B402" s="36">
        <v>11508.9</v>
      </c>
      <c r="C402" s="8">
        <f>IF(Tabela1511[[#This Row],[Real PCE]]="",#N/A,((Tabela1511[[#This Row],[Real PCE]]*1)/B401)-1)</f>
        <v>-1.1889677676913957E-3</v>
      </c>
      <c r="D402" s="8">
        <f>IF(Tabela1511[[#This Row],[Real PCE]]="",#N/A,((Tabela1511[[#This Row],[Real PCE]]*1)/B390)-1)</f>
        <v>2.0735957995937859E-2</v>
      </c>
      <c r="E402" s="7">
        <v>93.652500000000003</v>
      </c>
      <c r="F402" s="8">
        <f>IF(Tabela1511[[#This Row],[Industrial Production]]="",#N/A,((Tabela1511[[#This Row],[Industrial Production]]*1)/E401)-1)</f>
        <v>-3.5059905088208332E-3</v>
      </c>
      <c r="G402" s="8">
        <f>IF(Tabela1511[[#This Row],[Industrial Production]]="",#N/A,((Tabela1511[[#This Row],[Industrial Production]]*1)/E390)-1)</f>
        <v>3.5302142073047271E-2</v>
      </c>
      <c r="H402" s="32">
        <v>380295</v>
      </c>
      <c r="I402" s="8">
        <f>IF(Tabela1511[[#This Row],[Retail Sales]]="",#N/A,((Tabela1511[[#This Row],[Retail Sales]]*1)/H401)-1)</f>
        <v>4.9176342506223047E-3</v>
      </c>
      <c r="J402" s="8">
        <f>IF(Tabela1511[[#This Row],[Retail Sales]]="",#N/A,((Tabela1511[[#This Row],[Retail Sales]]*1)/H390)-1)</f>
        <v>6.4345767189843972E-2</v>
      </c>
      <c r="K402" s="32">
        <v>313642</v>
      </c>
      <c r="L402" s="8">
        <f>IF(Tabela1511[[#This Row],[Core-Retail Sales]]="",#N/A,((Tabela1511[[#This Row],[Core-Retail Sales]]*1)/K401)-1)</f>
        <v>8.9720864846085657E-3</v>
      </c>
      <c r="M402" s="8">
        <f>IF(Tabela1511[[#This Row],[Core-Retail Sales]]="",#N/A,((Tabela1511[[#This Row],[Core-Retail Sales]]*1)/K390)-1)</f>
        <v>6.1437351093783787E-2</v>
      </c>
      <c r="N402" s="84">
        <v>169704</v>
      </c>
      <c r="O402" s="8">
        <f>IF(Tabela1511[[#This Row],[Real Retail Sales]]="",#N/A,((Tabela1511[[#This Row],[Real Retail Sales]]*1)/N401)-1)</f>
        <v>2.2396944585234557E-4</v>
      </c>
      <c r="P402" s="8">
        <f>IF(Tabela1511[[#This Row],[Real Retail Sales]]="",#N/A,((Tabela1511[[#This Row],[Real Retail Sales]]*1)/N390)-1)</f>
        <v>3.2570535013477286E-2</v>
      </c>
      <c r="Q402" s="32">
        <v>269038</v>
      </c>
      <c r="R402" s="8">
        <f>IF(Tabela1511[[#This Row],[Core²-Retail Sales]]="",#N/A,((Tabela1511[[#This Row],[Core²-Retail Sales]]*1)/Q401)-1)</f>
        <v>7.5197543347189644E-3</v>
      </c>
      <c r="S402" s="8">
        <f>IF(Tabela1511[[#This Row],[Core²-Retail Sales]]="",#N/A,((Tabela1511[[#This Row],[Core²-Retail Sales]]*1)/Q390)-1)</f>
        <v>4.1547621812888513E-2</v>
      </c>
      <c r="T402" s="5">
        <v>69.8</v>
      </c>
      <c r="U402" s="7">
        <v>57.9</v>
      </c>
      <c r="V402" s="25">
        <v>61.1</v>
      </c>
      <c r="W402" s="25">
        <v>59.2</v>
      </c>
      <c r="X402" s="25">
        <v>55.2</v>
      </c>
      <c r="Y402" s="25">
        <v>56.3</v>
      </c>
      <c r="Z402" s="25">
        <v>55.1</v>
      </c>
      <c r="AA402" s="25">
        <f>IF([1]!Tabela1511[[#This Row],[Services New Orders]]="","",([1]!Tabela1511[[#This Row],[Manufacturing New Orders]]+[1]!Tabela1511[[#This Row],[Services New Orders]])/2)</f>
        <v>58.7</v>
      </c>
      <c r="AB402" s="25">
        <f>IF([1]!Tabela1511[[#This Row],[Services Employment]]="",#N/A,([1]!Tabela1511[[#This Row],[Manufacturing Employment]]+[1]!Tabela1511[[#This Row],[Services Employment]])/2)</f>
        <v>57.150000000000006</v>
      </c>
    </row>
    <row r="403" spans="1:28">
      <c r="A403" s="6">
        <v>40664</v>
      </c>
      <c r="B403" s="36">
        <v>11495.6</v>
      </c>
      <c r="C403" s="8">
        <f>IF(Tabela1511[[#This Row],[Real PCE]]="",#N/A,((Tabela1511[[#This Row],[Real PCE]]*1)/B402)-1)</f>
        <v>-1.1556273840245268E-3</v>
      </c>
      <c r="D403" s="8">
        <f>IF(Tabela1511[[#This Row],[Real PCE]]="",#N/A,((Tabela1511[[#This Row],[Real PCE]]*1)/B391)-1)</f>
        <v>1.70217283601104E-2</v>
      </c>
      <c r="E403" s="7">
        <v>93.777500000000003</v>
      </c>
      <c r="F403" s="8">
        <f>IF(Tabela1511[[#This Row],[Industrial Production]]="",#N/A,((Tabela1511[[#This Row],[Industrial Production]]*1)/E402)-1)</f>
        <v>1.3347214436347787E-3</v>
      </c>
      <c r="G403" s="8">
        <f>IF(Tabela1511[[#This Row],[Industrial Production]]="",#N/A,((Tabela1511[[#This Row],[Industrial Production]]*1)/E391)-1)</f>
        <v>2.2633094152799238E-2</v>
      </c>
      <c r="H403" s="32">
        <v>380140</v>
      </c>
      <c r="I403" s="8">
        <f>IF(Tabela1511[[#This Row],[Retail Sales]]="",#N/A,((Tabela1511[[#This Row],[Retail Sales]]*1)/H402)-1)</f>
        <v>-4.0757832735116573E-4</v>
      </c>
      <c r="J403" s="8">
        <f>IF(Tabela1511[[#This Row],[Retail Sales]]="",#N/A,((Tabela1511[[#This Row],[Retail Sales]]*1)/H391)-1)</f>
        <v>7.3796308066042426E-2</v>
      </c>
      <c r="K403" s="32">
        <v>314236</v>
      </c>
      <c r="L403" s="8">
        <f>IF(Tabela1511[[#This Row],[Core-Retail Sales]]="",#N/A,((Tabela1511[[#This Row],[Core-Retail Sales]]*1)/K402)-1)</f>
        <v>1.8938790085512025E-3</v>
      </c>
      <c r="M403" s="8">
        <f>IF(Tabela1511[[#This Row],[Core-Retail Sales]]="",#N/A,((Tabela1511[[#This Row],[Core-Retail Sales]]*1)/K391)-1)</f>
        <v>7.432580274602052E-2</v>
      </c>
      <c r="N403" s="84">
        <v>169097</v>
      </c>
      <c r="O403" s="8">
        <f>IF(Tabela1511[[#This Row],[Real Retail Sales]]="",#N/A,((Tabela1511[[#This Row],[Real Retail Sales]]*1)/N402)-1)</f>
        <v>-3.576816103332825E-3</v>
      </c>
      <c r="P403" s="8">
        <f>IF(Tabela1511[[#This Row],[Real Retail Sales]]="",#N/A,((Tabela1511[[#This Row],[Real Retail Sales]]*1)/N391)-1)</f>
        <v>3.7895202027951935E-2</v>
      </c>
      <c r="Q403" s="32">
        <v>268936</v>
      </c>
      <c r="R403" s="8">
        <f>IF(Tabela1511[[#This Row],[Core²-Retail Sales]]="",#N/A,((Tabela1511[[#This Row],[Core²-Retail Sales]]*1)/Q402)-1)</f>
        <v>-3.7912859893396433E-4</v>
      </c>
      <c r="S403" s="8">
        <f>IF(Tabela1511[[#This Row],[Core²-Retail Sales]]="",#N/A,((Tabela1511[[#This Row],[Core²-Retail Sales]]*1)/Q391)-1)</f>
        <v>5.0982844190863297E-2</v>
      </c>
      <c r="T403" s="5">
        <v>74.3</v>
      </c>
      <c r="U403" s="7">
        <v>54.8</v>
      </c>
      <c r="V403" s="25">
        <v>54.6</v>
      </c>
      <c r="W403" s="25">
        <v>58.1</v>
      </c>
      <c r="X403" s="25">
        <v>55</v>
      </c>
      <c r="Y403" s="25">
        <v>56</v>
      </c>
      <c r="Z403" s="25">
        <v>53.1</v>
      </c>
      <c r="AA403" s="25">
        <f>IF([1]!Tabela1511[[#This Row],[Services New Orders]]="","",([1]!Tabela1511[[#This Row],[Manufacturing New Orders]]+[1]!Tabela1511[[#This Row],[Services New Orders]])/2)</f>
        <v>55.3</v>
      </c>
      <c r="AB403" s="25">
        <f>IF([1]!Tabela1511[[#This Row],[Services Employment]]="",#N/A,([1]!Tabela1511[[#This Row],[Manufacturing Employment]]+[1]!Tabela1511[[#This Row],[Services Employment]])/2)</f>
        <v>55.6</v>
      </c>
    </row>
    <row r="404" spans="1:28">
      <c r="A404" s="6">
        <v>40695</v>
      </c>
      <c r="B404" s="36">
        <v>11522.3</v>
      </c>
      <c r="C404" s="8">
        <f>IF(Tabela1511[[#This Row],[Real PCE]]="",#N/A,((Tabela1511[[#This Row],[Real PCE]]*1)/B403)-1)</f>
        <v>2.3226277880230572E-3</v>
      </c>
      <c r="D404" s="8">
        <f>IF(Tabela1511[[#This Row],[Real PCE]]="",#N/A,((Tabela1511[[#This Row],[Real PCE]]*1)/B392)-1)</f>
        <v>1.691878629551824E-2</v>
      </c>
      <c r="E404" s="7">
        <v>94.046700000000001</v>
      </c>
      <c r="F404" s="8">
        <f>IF(Tabela1511[[#This Row],[Industrial Production]]="",#N/A,((Tabela1511[[#This Row],[Industrial Production]]*1)/E403)-1)</f>
        <v>2.8706246167791161E-3</v>
      </c>
      <c r="G404" s="8">
        <f>IF(Tabela1511[[#This Row],[Industrial Production]]="",#N/A,((Tabela1511[[#This Row],[Industrial Production]]*1)/E392)-1)</f>
        <v>2.3362426645571199E-2</v>
      </c>
      <c r="H404" s="32">
        <v>383141</v>
      </c>
      <c r="I404" s="8">
        <f>IF(Tabela1511[[#This Row],[Retail Sales]]="",#N/A,((Tabela1511[[#This Row],[Retail Sales]]*1)/H403)-1)</f>
        <v>7.8944599358130585E-3</v>
      </c>
      <c r="J404" s="8">
        <f>IF(Tabela1511[[#This Row],[Retail Sales]]="",#N/A,((Tabela1511[[#This Row],[Retail Sales]]*1)/H392)-1)</f>
        <v>8.3289273162690858E-2</v>
      </c>
      <c r="K404" s="32">
        <v>316367</v>
      </c>
      <c r="L404" s="8">
        <f>IF(Tabela1511[[#This Row],[Core-Retail Sales]]="",#N/A,((Tabela1511[[#This Row],[Core-Retail Sales]]*1)/K403)-1)</f>
        <v>6.78152725976644E-3</v>
      </c>
      <c r="M404" s="8">
        <f>IF(Tabela1511[[#This Row],[Core-Retail Sales]]="",#N/A,((Tabela1511[[#This Row],[Core-Retail Sales]]*1)/K392)-1)</f>
        <v>8.2299613424104523E-2</v>
      </c>
      <c r="N404" s="84">
        <v>170432</v>
      </c>
      <c r="O404" s="8">
        <f>IF(Tabela1511[[#This Row],[Real Retail Sales]]="",#N/A,((Tabela1511[[#This Row],[Real Retail Sales]]*1)/N403)-1)</f>
        <v>7.8948769049715928E-3</v>
      </c>
      <c r="P404" s="8">
        <f>IF(Tabela1511[[#This Row],[Real Retail Sales]]="",#N/A,((Tabela1511[[#This Row],[Real Retail Sales]]*1)/N392)-1)</f>
        <v>4.663530625529666E-2</v>
      </c>
      <c r="Q404" s="32">
        <v>271711</v>
      </c>
      <c r="R404" s="8">
        <f>IF(Tabela1511[[#This Row],[Core²-Retail Sales]]="",#N/A,((Tabela1511[[#This Row],[Core²-Retail Sales]]*1)/Q403)-1)</f>
        <v>1.0318440074962076E-2</v>
      </c>
      <c r="S404" s="8">
        <f>IF(Tabela1511[[#This Row],[Core²-Retail Sales]]="",#N/A,((Tabela1511[[#This Row],[Core²-Retail Sales]]*1)/Q392)-1)</f>
        <v>5.8744910086309332E-2</v>
      </c>
      <c r="T404" s="5">
        <v>71.5</v>
      </c>
      <c r="U404" s="7">
        <v>55.8</v>
      </c>
      <c r="V404" s="25">
        <v>54.6</v>
      </c>
      <c r="W404" s="25">
        <v>62.1</v>
      </c>
      <c r="X404" s="25">
        <v>54.2</v>
      </c>
      <c r="Y404" s="25">
        <v>55.4</v>
      </c>
      <c r="Z404" s="25">
        <v>53.4</v>
      </c>
      <c r="AA404" s="25">
        <f>IF([1]!Tabela1511[[#This Row],[Services New Orders]]="","",([1]!Tabela1511[[#This Row],[Manufacturing New Orders]]+[1]!Tabela1511[[#This Row],[Services New Orders]])/2)</f>
        <v>55</v>
      </c>
      <c r="AB404" s="25">
        <f>IF([1]!Tabela1511[[#This Row],[Services Employment]]="",#N/A,([1]!Tabela1511[[#This Row],[Manufacturing Employment]]+[1]!Tabela1511[[#This Row],[Services Employment]])/2)</f>
        <v>57.75</v>
      </c>
    </row>
    <row r="405" spans="1:28">
      <c r="A405" s="6">
        <v>40725</v>
      </c>
      <c r="B405" s="36">
        <v>11542.3</v>
      </c>
      <c r="C405" s="8">
        <f>IF(Tabela1511[[#This Row],[Real PCE]]="",#N/A,((Tabela1511[[#This Row],[Real PCE]]*1)/B404)-1)</f>
        <v>1.7357645608948591E-3</v>
      </c>
      <c r="D405" s="8">
        <f>IF(Tabela1511[[#This Row],[Real PCE]]="",#N/A,((Tabela1511[[#This Row],[Real PCE]]*1)/B393)-1)</f>
        <v>1.5895508594664376E-2</v>
      </c>
      <c r="E405" s="7">
        <v>94.493099999999998</v>
      </c>
      <c r="F405" s="8">
        <f>IF(Tabela1511[[#This Row],[Industrial Production]]="",#N/A,((Tabela1511[[#This Row],[Industrial Production]]*1)/E404)-1)</f>
        <v>4.7465780298510118E-3</v>
      </c>
      <c r="G405" s="8">
        <f>IF(Tabela1511[[#This Row],[Industrial Production]]="",#N/A,((Tabela1511[[#This Row],[Industrial Production]]*1)/E393)-1)</f>
        <v>2.4291019617960208E-2</v>
      </c>
      <c r="H405" s="32">
        <v>382882</v>
      </c>
      <c r="I405" s="8">
        <f>IF(Tabela1511[[#This Row],[Retail Sales]]="",#N/A,((Tabela1511[[#This Row],[Retail Sales]]*1)/H404)-1)</f>
        <v>-6.759913452227817E-4</v>
      </c>
      <c r="J405" s="8">
        <f>IF(Tabela1511[[#This Row],[Retail Sales]]="",#N/A,((Tabela1511[[#This Row],[Retail Sales]]*1)/H393)-1)</f>
        <v>7.9690487335811078E-2</v>
      </c>
      <c r="K405" s="32">
        <v>316346</v>
      </c>
      <c r="L405" s="8">
        <f>IF(Tabela1511[[#This Row],[Core-Retail Sales]]="",#N/A,((Tabela1511[[#This Row],[Core-Retail Sales]]*1)/K404)-1)</f>
        <v>-6.6378604595240809E-5</v>
      </c>
      <c r="M405" s="8">
        <f>IF(Tabela1511[[#This Row],[Core-Retail Sales]]="",#N/A,((Tabela1511[[#This Row],[Core-Retail Sales]]*1)/K393)-1)</f>
        <v>8.3588234689648377E-2</v>
      </c>
      <c r="N405" s="84">
        <v>169872</v>
      </c>
      <c r="O405" s="8">
        <f>IF(Tabela1511[[#This Row],[Real Retail Sales]]="",#N/A,((Tabela1511[[#This Row],[Real Retail Sales]]*1)/N404)-1)</f>
        <v>-3.2857679309049592E-3</v>
      </c>
      <c r="P405" s="8">
        <f>IF(Tabela1511[[#This Row],[Real Retail Sales]]="",#N/A,((Tabela1511[[#This Row],[Real Retail Sales]]*1)/N393)-1)</f>
        <v>4.2376937520709923E-2</v>
      </c>
      <c r="Q405" s="32">
        <v>271550</v>
      </c>
      <c r="R405" s="8">
        <f>IF(Tabela1511[[#This Row],[Core²-Retail Sales]]="",#N/A,((Tabela1511[[#This Row],[Core²-Retail Sales]]*1)/Q404)-1)</f>
        <v>-5.9254133987951541E-4</v>
      </c>
      <c r="S405" s="8">
        <f>IF(Tabela1511[[#This Row],[Core²-Retail Sales]]="",#N/A,((Tabela1511[[#This Row],[Core²-Retail Sales]]*1)/Q393)-1)</f>
        <v>6.013757778766804E-2</v>
      </c>
      <c r="T405" s="5">
        <v>63.7</v>
      </c>
      <c r="U405" s="7">
        <v>52.9</v>
      </c>
      <c r="V405" s="25">
        <v>56.9</v>
      </c>
      <c r="W405" s="25">
        <v>53.2</v>
      </c>
      <c r="X405" s="25">
        <v>53.5</v>
      </c>
      <c r="Y405" s="25">
        <v>53.7</v>
      </c>
      <c r="Z405" s="25">
        <v>51.5</v>
      </c>
      <c r="AA405" s="25">
        <f>IF([1]!Tabela1511[[#This Row],[Services New Orders]]="","",([1]!Tabela1511[[#This Row],[Manufacturing New Orders]]+[1]!Tabela1511[[#This Row],[Services New Orders]])/2)</f>
        <v>55.3</v>
      </c>
      <c r="AB405" s="25">
        <f>IF([1]!Tabela1511[[#This Row],[Services Employment]]="",#N/A,([1]!Tabela1511[[#This Row],[Manufacturing Employment]]+[1]!Tabela1511[[#This Row],[Services Employment]])/2)</f>
        <v>52.35</v>
      </c>
    </row>
    <row r="406" spans="1:28">
      <c r="A406" s="6">
        <v>40756</v>
      </c>
      <c r="B406" s="36">
        <v>11535.3</v>
      </c>
      <c r="C406" s="8">
        <f>IF(Tabela1511[[#This Row],[Real PCE]]="",#N/A,((Tabela1511[[#This Row],[Real PCE]]*1)/B405)-1)</f>
        <v>-6.0646491600457875E-4</v>
      </c>
      <c r="D406" s="8">
        <f>IF(Tabela1511[[#This Row],[Real PCE]]="",#N/A,((Tabela1511[[#This Row],[Real PCE]]*1)/B394)-1)</f>
        <v>1.2827942261089298E-2</v>
      </c>
      <c r="E406" s="7">
        <v>95.096900000000005</v>
      </c>
      <c r="F406" s="8">
        <f>IF(Tabela1511[[#This Row],[Industrial Production]]="",#N/A,((Tabela1511[[#This Row],[Industrial Production]]*1)/E405)-1)</f>
        <v>6.3898845524170689E-3</v>
      </c>
      <c r="G406" s="8">
        <f>IF(Tabela1511[[#This Row],[Industrial Production]]="",#N/A,((Tabela1511[[#This Row],[Industrial Production]]*1)/E394)-1)</f>
        <v>2.7076387381345102E-2</v>
      </c>
      <c r="H406" s="32">
        <v>383682</v>
      </c>
      <c r="I406" s="8">
        <f>IF(Tabela1511[[#This Row],[Retail Sales]]="",#N/A,((Tabela1511[[#This Row],[Retail Sales]]*1)/H405)-1)</f>
        <v>2.0894165826546018E-3</v>
      </c>
      <c r="J406" s="8">
        <f>IF(Tabela1511[[#This Row],[Retail Sales]]="",#N/A,((Tabela1511[[#This Row],[Retail Sales]]*1)/H394)-1)</f>
        <v>7.6026507895998963E-2</v>
      </c>
      <c r="K406" s="32">
        <v>317925</v>
      </c>
      <c r="L406" s="8">
        <f>IF(Tabela1511[[#This Row],[Core-Retail Sales]]="",#N/A,((Tabela1511[[#This Row],[Core-Retail Sales]]*1)/K405)-1)</f>
        <v>4.9913702085691014E-3</v>
      </c>
      <c r="M406" s="8">
        <f>IF(Tabela1511[[#This Row],[Core-Retail Sales]]="",#N/A,((Tabela1511[[#This Row],[Core-Retail Sales]]*1)/K394)-1)</f>
        <v>8.14474404808474E-2</v>
      </c>
      <c r="N406" s="84">
        <v>169691</v>
      </c>
      <c r="O406" s="8">
        <f>IF(Tabela1511[[#This Row],[Real Retail Sales]]="",#N/A,((Tabela1511[[#This Row],[Real Retail Sales]]*1)/N405)-1)</f>
        <v>-1.0655081473108785E-3</v>
      </c>
      <c r="P406" s="8">
        <f>IF(Tabela1511[[#This Row],[Real Retail Sales]]="",#N/A,((Tabela1511[[#This Row],[Real Retail Sales]]*1)/N394)-1)</f>
        <v>3.7085250851041751E-2</v>
      </c>
      <c r="Q406" s="32">
        <v>272850</v>
      </c>
      <c r="R406" s="8">
        <f>IF(Tabela1511[[#This Row],[Core²-Retail Sales]]="",#N/A,((Tabela1511[[#This Row],[Core²-Retail Sales]]*1)/Q405)-1)</f>
        <v>4.7873319830602501E-3</v>
      </c>
      <c r="S406" s="8">
        <f>IF(Tabela1511[[#This Row],[Core²-Retail Sales]]="",#N/A,((Tabela1511[[#This Row],[Core²-Retail Sales]]*1)/Q394)-1)</f>
        <v>5.8411432472691205E-2</v>
      </c>
      <c r="T406" s="5">
        <v>55.8</v>
      </c>
      <c r="U406" s="7">
        <v>52.6</v>
      </c>
      <c r="V406" s="25">
        <v>52.9</v>
      </c>
      <c r="W406" s="25">
        <v>51.8</v>
      </c>
      <c r="X406" s="25">
        <v>53.5</v>
      </c>
      <c r="Y406" s="25">
        <v>53.9</v>
      </c>
      <c r="Z406" s="25">
        <v>48.8</v>
      </c>
      <c r="AA406" s="25">
        <f>IF([1]!Tabela1511[[#This Row],[Services New Orders]]="","",([1]!Tabela1511[[#This Row],[Manufacturing New Orders]]+[1]!Tabela1511[[#This Row],[Services New Orders]])/2)</f>
        <v>53.4</v>
      </c>
      <c r="AB406" s="25">
        <f>IF([1]!Tabela1511[[#This Row],[Services Employment]]="",#N/A,([1]!Tabela1511[[#This Row],[Manufacturing Employment]]+[1]!Tabela1511[[#This Row],[Services Employment]])/2)</f>
        <v>50.3</v>
      </c>
    </row>
    <row r="407" spans="1:28">
      <c r="A407" s="6">
        <v>40787</v>
      </c>
      <c r="B407" s="36">
        <v>11554.3</v>
      </c>
      <c r="C407" s="8">
        <f>IF(Tabela1511[[#This Row],[Real PCE]]="",#N/A,((Tabela1511[[#This Row],[Real PCE]]*1)/B406)-1)</f>
        <v>1.6471179769923516E-3</v>
      </c>
      <c r="D407" s="8">
        <f>IF(Tabela1511[[#This Row],[Real PCE]]="",#N/A,((Tabela1511[[#This Row],[Real PCE]]*1)/B395)-1)</f>
        <v>1.3543978455951233E-2</v>
      </c>
      <c r="E407" s="7">
        <v>95.028099999999995</v>
      </c>
      <c r="F407" s="8">
        <f>IF(Tabela1511[[#This Row],[Industrial Production]]="",#N/A,((Tabela1511[[#This Row],[Industrial Production]]*1)/E406)-1)</f>
        <v>-7.2347258427996053E-4</v>
      </c>
      <c r="G407" s="8">
        <f>IF(Tabela1511[[#This Row],[Industrial Production]]="",#N/A,((Tabela1511[[#This Row],[Industrial Production]]*1)/E395)-1)</f>
        <v>2.3387725563343009E-2</v>
      </c>
      <c r="H407" s="32">
        <v>387558</v>
      </c>
      <c r="I407" s="8">
        <f>IF(Tabela1511[[#This Row],[Retail Sales]]="",#N/A,((Tabela1511[[#This Row],[Retail Sales]]*1)/H406)-1)</f>
        <v>1.010211581465903E-2</v>
      </c>
      <c r="J407" s="8">
        <f>IF(Tabela1511[[#This Row],[Retail Sales]]="",#N/A,((Tabela1511[[#This Row],[Retail Sales]]*1)/H395)-1)</f>
        <v>7.8776474779892913E-2</v>
      </c>
      <c r="K407" s="32">
        <v>318685</v>
      </c>
      <c r="L407" s="8">
        <f>IF(Tabela1511[[#This Row],[Core-Retail Sales]]="",#N/A,((Tabela1511[[#This Row],[Core-Retail Sales]]*1)/K406)-1)</f>
        <v>2.3905009043012626E-3</v>
      </c>
      <c r="M407" s="8">
        <f>IF(Tabela1511[[#This Row],[Core-Retail Sales]]="",#N/A,((Tabela1511[[#This Row],[Core-Retail Sales]]*1)/K395)-1)</f>
        <v>7.6674887665123759E-2</v>
      </c>
      <c r="N407" s="84">
        <v>171034</v>
      </c>
      <c r="O407" s="8">
        <f>IF(Tabela1511[[#This Row],[Real Retail Sales]]="",#N/A,((Tabela1511[[#This Row],[Real Retail Sales]]*1)/N406)-1)</f>
        <v>7.9143855596348622E-3</v>
      </c>
      <c r="P407" s="8">
        <f>IF(Tabela1511[[#This Row],[Real Retail Sales]]="",#N/A,((Tabela1511[[#This Row],[Real Retail Sales]]*1)/N395)-1)</f>
        <v>3.9158145441068326E-2</v>
      </c>
      <c r="Q407" s="32">
        <v>273558</v>
      </c>
      <c r="R407" s="8">
        <f>IF(Tabela1511[[#This Row],[Core²-Retail Sales]]="",#N/A,((Tabela1511[[#This Row],[Core²-Retail Sales]]*1)/Q406)-1)</f>
        <v>2.5948323254536554E-3</v>
      </c>
      <c r="S407" s="8">
        <f>IF(Tabela1511[[#This Row],[Core²-Retail Sales]]="",#N/A,((Tabela1511[[#This Row],[Core²-Retail Sales]]*1)/Q395)-1)</f>
        <v>5.7551870909379188E-2</v>
      </c>
      <c r="T407" s="5">
        <v>59.5</v>
      </c>
      <c r="U407" s="7">
        <v>53.7</v>
      </c>
      <c r="V407" s="25">
        <v>51.8</v>
      </c>
      <c r="W407" s="25">
        <v>56.6</v>
      </c>
      <c r="X407" s="25">
        <v>52.3</v>
      </c>
      <c r="Y407" s="25">
        <v>54.6</v>
      </c>
      <c r="Z407" s="25">
        <v>51.8</v>
      </c>
      <c r="AA407" s="25">
        <f>IF([1]!Tabela1511[[#This Row],[Services New Orders]]="","",([1]!Tabela1511[[#This Row],[Manufacturing New Orders]]+[1]!Tabela1511[[#This Row],[Services New Orders]])/2)</f>
        <v>53.2</v>
      </c>
      <c r="AB407" s="25">
        <f>IF([1]!Tabela1511[[#This Row],[Services Employment]]="",#N/A,([1]!Tabela1511[[#This Row],[Manufacturing Employment]]+[1]!Tabela1511[[#This Row],[Services Employment]])/2)</f>
        <v>54.2</v>
      </c>
    </row>
    <row r="408" spans="1:28">
      <c r="A408" s="6">
        <v>40817</v>
      </c>
      <c r="B408" s="36">
        <v>11575.1</v>
      </c>
      <c r="C408" s="8">
        <f>IF(Tabela1511[[#This Row],[Real PCE]]="",#N/A,((Tabela1511[[#This Row],[Real PCE]]*1)/B407)-1)</f>
        <v>1.8001955981756801E-3</v>
      </c>
      <c r="D408" s="8">
        <f>IF(Tabela1511[[#This Row],[Real PCE]]="",#N/A,((Tabela1511[[#This Row],[Real PCE]]*1)/B396)-1)</f>
        <v>1.2792132226198571E-2</v>
      </c>
      <c r="E408" s="7">
        <v>95.692400000000006</v>
      </c>
      <c r="F408" s="8">
        <f>IF(Tabela1511[[#This Row],[Industrial Production]]="",#N/A,((Tabela1511[[#This Row],[Industrial Production]]*1)/E407)-1)</f>
        <v>6.9905638437472994E-3</v>
      </c>
      <c r="G408" s="8">
        <f>IF(Tabela1511[[#This Row],[Industrial Production]]="",#N/A,((Tabela1511[[#This Row],[Industrial Production]]*1)/E396)-1)</f>
        <v>3.3353958859095201E-2</v>
      </c>
      <c r="H408" s="32">
        <v>389844</v>
      </c>
      <c r="I408" s="8">
        <f>IF(Tabela1511[[#This Row],[Retail Sales]]="",#N/A,((Tabela1511[[#This Row],[Retail Sales]]*1)/H407)-1)</f>
        <v>5.8984719706469679E-3</v>
      </c>
      <c r="J408" s="8">
        <f>IF(Tabela1511[[#This Row],[Retail Sales]]="",#N/A,((Tabela1511[[#This Row],[Retail Sales]]*1)/H396)-1)</f>
        <v>7.230503057292248E-2</v>
      </c>
      <c r="K408" s="32">
        <v>319958</v>
      </c>
      <c r="L408" s="8">
        <f>IF(Tabela1511[[#This Row],[Core-Retail Sales]]="",#N/A,((Tabela1511[[#This Row],[Core-Retail Sales]]*1)/K407)-1)</f>
        <v>3.9945400630716499E-3</v>
      </c>
      <c r="M408" s="8">
        <f>IF(Tabela1511[[#This Row],[Core-Retail Sales]]="",#N/A,((Tabela1511[[#This Row],[Core-Retail Sales]]*1)/K396)-1)</f>
        <v>7.1380018148881064E-2</v>
      </c>
      <c r="N408" s="84">
        <v>171927</v>
      </c>
      <c r="O408" s="8">
        <f>IF(Tabela1511[[#This Row],[Real Retail Sales]]="",#N/A,((Tabela1511[[#This Row],[Real Retail Sales]]*1)/N407)-1)</f>
        <v>5.221184092051967E-3</v>
      </c>
      <c r="P408" s="8">
        <f>IF(Tabela1511[[#This Row],[Real Retail Sales]]="",#N/A,((Tabela1511[[#This Row],[Real Retail Sales]]*1)/N396)-1)</f>
        <v>3.5823377374518683E-2</v>
      </c>
      <c r="Q408" s="32">
        <v>275157</v>
      </c>
      <c r="R408" s="8">
        <f>IF(Tabela1511[[#This Row],[Core²-Retail Sales]]="",#N/A,((Tabela1511[[#This Row],[Core²-Retail Sales]]*1)/Q407)-1)</f>
        <v>5.8451955344021034E-3</v>
      </c>
      <c r="S408" s="8">
        <f>IF(Tabela1511[[#This Row],[Core²-Retail Sales]]="",#N/A,((Tabela1511[[#This Row],[Core²-Retail Sales]]*1)/Q396)-1)</f>
        <v>5.7641229853821363E-2</v>
      </c>
      <c r="T408" s="5">
        <v>60.8</v>
      </c>
      <c r="U408" s="7">
        <v>51.4</v>
      </c>
      <c r="V408" s="25">
        <v>52</v>
      </c>
      <c r="W408" s="25">
        <v>53</v>
      </c>
      <c r="X408" s="25">
        <v>52.8</v>
      </c>
      <c r="Y408" s="25">
        <v>53.4</v>
      </c>
      <c r="Z408" s="25">
        <v>52.5</v>
      </c>
      <c r="AA408" s="25">
        <f>IF([1]!Tabela1511[[#This Row],[Services New Orders]]="","",([1]!Tabela1511[[#This Row],[Manufacturing New Orders]]+[1]!Tabela1511[[#This Row],[Services New Orders]])/2)</f>
        <v>52.7</v>
      </c>
      <c r="AB408" s="25">
        <f>IF([1]!Tabela1511[[#This Row],[Services Employment]]="",#N/A,([1]!Tabela1511[[#This Row],[Manufacturing Employment]]+[1]!Tabela1511[[#This Row],[Services Employment]])/2)</f>
        <v>52.75</v>
      </c>
    </row>
    <row r="409" spans="1:28">
      <c r="A409" s="6">
        <v>40848</v>
      </c>
      <c r="B409" s="36">
        <v>11555.7</v>
      </c>
      <c r="C409" s="8">
        <f>IF(Tabela1511[[#This Row],[Real PCE]]="",#N/A,((Tabela1511[[#This Row],[Real PCE]]*1)/B408)-1)</f>
        <v>-1.6760114383460589E-3</v>
      </c>
      <c r="D409" s="8">
        <f>IF(Tabela1511[[#This Row],[Real PCE]]="",#N/A,((Tabela1511[[#This Row],[Real PCE]]*1)/B397)-1)</f>
        <v>8.5267935067203648E-3</v>
      </c>
      <c r="E409" s="7">
        <v>95.691299999999998</v>
      </c>
      <c r="F409" s="8">
        <f>IF(Tabela1511[[#This Row],[Industrial Production]]="",#N/A,((Tabela1511[[#This Row],[Industrial Production]]*1)/E408)-1)</f>
        <v>-1.1495165760377901E-5</v>
      </c>
      <c r="G409" s="8">
        <f>IF(Tabela1511[[#This Row],[Industrial Production]]="",#N/A,((Tabela1511[[#This Row],[Industrial Production]]*1)/E397)-1)</f>
        <v>3.252144807843993E-2</v>
      </c>
      <c r="H409" s="32">
        <v>391167</v>
      </c>
      <c r="I409" s="8">
        <f>IF(Tabela1511[[#This Row],[Retail Sales]]="",#N/A,((Tabela1511[[#This Row],[Retail Sales]]*1)/H408)-1)</f>
        <v>3.3936651583710287E-3</v>
      </c>
      <c r="J409" s="8">
        <f>IF(Tabela1511[[#This Row],[Retail Sales]]="",#N/A,((Tabela1511[[#This Row],[Retail Sales]]*1)/H397)-1)</f>
        <v>6.5704944830404566E-2</v>
      </c>
      <c r="K409" s="32">
        <v>321007</v>
      </c>
      <c r="L409" s="8">
        <f>IF(Tabela1511[[#This Row],[Core-Retail Sales]]="",#N/A,((Tabela1511[[#This Row],[Core-Retail Sales]]*1)/K408)-1)</f>
        <v>3.2785553103844567E-3</v>
      </c>
      <c r="M409" s="8">
        <f>IF(Tabela1511[[#This Row],[Core-Retail Sales]]="",#N/A,((Tabela1511[[#This Row],[Core-Retail Sales]]*1)/K397)-1)</f>
        <v>6.4075153226795578E-2</v>
      </c>
      <c r="N409" s="84">
        <v>172192</v>
      </c>
      <c r="O409" s="8">
        <f>IF(Tabela1511[[#This Row],[Real Retail Sales]]="",#N/A,((Tabela1511[[#This Row],[Real Retail Sales]]*1)/N408)-1)</f>
        <v>1.5413518528213377E-3</v>
      </c>
      <c r="P409" s="8">
        <f>IF(Tabela1511[[#This Row],[Real Retail Sales]]="",#N/A,((Tabela1511[[#This Row],[Real Retail Sales]]*1)/N397)-1)</f>
        <v>3.0152196802909925E-2</v>
      </c>
      <c r="Q409" s="32">
        <v>275433</v>
      </c>
      <c r="R409" s="8">
        <f>IF(Tabela1511[[#This Row],[Core²-Retail Sales]]="",#N/A,((Tabela1511[[#This Row],[Core²-Retail Sales]]*1)/Q408)-1)</f>
        <v>1.0030637054481151E-3</v>
      </c>
      <c r="S409" s="8">
        <f>IF(Tabela1511[[#This Row],[Core²-Retail Sales]]="",#N/A,((Tabela1511[[#This Row],[Core²-Retail Sales]]*1)/Q397)-1)</f>
        <v>4.9648444198852948E-2</v>
      </c>
      <c r="T409" s="5">
        <v>63.7</v>
      </c>
      <c r="U409" s="7">
        <v>51.8</v>
      </c>
      <c r="V409" s="25">
        <v>54.9</v>
      </c>
      <c r="W409" s="25">
        <v>51.3</v>
      </c>
      <c r="X409" s="25">
        <v>52.9</v>
      </c>
      <c r="Y409" s="25">
        <v>53.4</v>
      </c>
      <c r="Z409" s="25">
        <v>48.5</v>
      </c>
      <c r="AA409" s="25">
        <f>IF([1]!Tabela1511[[#This Row],[Services New Orders]]="","",([1]!Tabela1511[[#This Row],[Manufacturing New Orders]]+[1]!Tabela1511[[#This Row],[Services New Orders]])/2)</f>
        <v>54.15</v>
      </c>
      <c r="AB409" s="25">
        <f>IF([1]!Tabela1511[[#This Row],[Services Employment]]="",#N/A,([1]!Tabela1511[[#This Row],[Manufacturing Employment]]+[1]!Tabela1511[[#This Row],[Services Employment]])/2)</f>
        <v>49.9</v>
      </c>
    </row>
    <row r="410" spans="1:28">
      <c r="A410" s="6">
        <v>40878</v>
      </c>
      <c r="B410" s="36">
        <v>11560.9</v>
      </c>
      <c r="C410" s="8">
        <f>IF(Tabela1511[[#This Row],[Real PCE]]="",#N/A,((Tabela1511[[#This Row],[Real PCE]]*1)/B409)-1)</f>
        <v>4.4999437507020623E-4</v>
      </c>
      <c r="D410" s="8">
        <f>IF(Tabela1511[[#This Row],[Real PCE]]="",#N/A,((Tabela1511[[#This Row],[Real PCE]]*1)/B398)-1)</f>
        <v>7.6439005682806815E-3</v>
      </c>
      <c r="E410" s="7">
        <v>96.193799999999996</v>
      </c>
      <c r="F410" s="8">
        <f>IF(Tabela1511[[#This Row],[Industrial Production]]="",#N/A,((Tabela1511[[#This Row],[Industrial Production]]*1)/E409)-1)</f>
        <v>5.2512610864310361E-3</v>
      </c>
      <c r="G410" s="8">
        <f>IF(Tabela1511[[#This Row],[Industrial Production]]="",#N/A,((Tabela1511[[#This Row],[Industrial Production]]*1)/E398)-1)</f>
        <v>2.7875163888268606E-2</v>
      </c>
      <c r="H410" s="32">
        <v>391535</v>
      </c>
      <c r="I410" s="8">
        <f>IF(Tabela1511[[#This Row],[Retail Sales]]="",#N/A,((Tabela1511[[#This Row],[Retail Sales]]*1)/H409)-1)</f>
        <v>9.4077465634878621E-4</v>
      </c>
      <c r="J410" s="8">
        <f>IF(Tabela1511[[#This Row],[Retail Sales]]="",#N/A,((Tabela1511[[#This Row],[Retail Sales]]*1)/H398)-1)</f>
        <v>6.0518646124509745E-2</v>
      </c>
      <c r="K410" s="32">
        <v>320050</v>
      </c>
      <c r="L410" s="8">
        <f>IF(Tabela1511[[#This Row],[Core-Retail Sales]]="",#N/A,((Tabela1511[[#This Row],[Core-Retail Sales]]*1)/K409)-1)</f>
        <v>-2.9812433996766474E-3</v>
      </c>
      <c r="M410" s="8">
        <f>IF(Tabela1511[[#This Row],[Core-Retail Sales]]="",#N/A,((Tabela1511[[#This Row],[Core-Retail Sales]]*1)/K398)-1)</f>
        <v>5.31563429594335E-2</v>
      </c>
      <c r="N410" s="84">
        <v>172313</v>
      </c>
      <c r="O410" s="8">
        <f>IF(Tabela1511[[#This Row],[Real Retail Sales]]="",#N/A,((Tabela1511[[#This Row],[Real Retail Sales]]*1)/N409)-1)</f>
        <v>7.027039583720196E-4</v>
      </c>
      <c r="P410" s="8">
        <f>IF(Tabela1511[[#This Row],[Real Retail Sales]]="",#N/A,((Tabela1511[[#This Row],[Real Retail Sales]]*1)/N398)-1)</f>
        <v>2.9010779015257837E-2</v>
      </c>
      <c r="Q410" s="32">
        <v>274711</v>
      </c>
      <c r="R410" s="8">
        <f>IF(Tabela1511[[#This Row],[Core²-Retail Sales]]="",#N/A,((Tabela1511[[#This Row],[Core²-Retail Sales]]*1)/Q409)-1)</f>
        <v>-2.6213271467108168E-3</v>
      </c>
      <c r="S410" s="8">
        <f>IF(Tabela1511[[#This Row],[Core²-Retail Sales]]="",#N/A,((Tabela1511[[#This Row],[Core²-Retail Sales]]*1)/Q398)-1)</f>
        <v>4.6051854982731566E-2</v>
      </c>
      <c r="T410" s="5">
        <v>69.900000000000006</v>
      </c>
      <c r="U410" s="7">
        <v>53</v>
      </c>
      <c r="V410" s="25">
        <v>55.4</v>
      </c>
      <c r="W410" s="25">
        <v>54.9</v>
      </c>
      <c r="X410" s="25">
        <v>52.6</v>
      </c>
      <c r="Y410" s="25">
        <v>54.2</v>
      </c>
      <c r="Z410" s="25">
        <v>54.2</v>
      </c>
      <c r="AA410" s="25">
        <f>IF([1]!Tabela1511[[#This Row],[Services New Orders]]="","",([1]!Tabela1511[[#This Row],[Manufacturing New Orders]]+[1]!Tabela1511[[#This Row],[Services New Orders]])/2)</f>
        <v>54.8</v>
      </c>
      <c r="AB410" s="25">
        <f>IF([1]!Tabela1511[[#This Row],[Services Employment]]="",#N/A,([1]!Tabela1511[[#This Row],[Manufacturing Employment]]+[1]!Tabela1511[[#This Row],[Services Employment]])/2)</f>
        <v>54.55</v>
      </c>
    </row>
    <row r="411" spans="1:28">
      <c r="A411" s="6">
        <v>40909</v>
      </c>
      <c r="B411" s="36">
        <v>11605.5</v>
      </c>
      <c r="C411" s="8">
        <f>IF(Tabela1511[[#This Row],[Real PCE]]="",#N/A,((Tabela1511[[#This Row],[Real PCE]]*1)/B410)-1)</f>
        <v>3.8578311377142072E-3</v>
      </c>
      <c r="D411" s="8">
        <f>IF(Tabela1511[[#This Row],[Real PCE]]="",#N/A,((Tabela1511[[#This Row],[Real PCE]]*1)/B399)-1)</f>
        <v>1.0403970050496314E-2</v>
      </c>
      <c r="E411" s="7">
        <v>96.778999999999996</v>
      </c>
      <c r="F411" s="8">
        <f>IF(Tabela1511[[#This Row],[Industrial Production]]="",#N/A,((Tabela1511[[#This Row],[Industrial Production]]*1)/E410)-1)</f>
        <v>6.0835521624054145E-3</v>
      </c>
      <c r="G411" s="8">
        <f>IF(Tabela1511[[#This Row],[Industrial Production]]="",#N/A,((Tabela1511[[#This Row],[Industrial Production]]*1)/E399)-1)</f>
        <v>3.6239860205750984E-2</v>
      </c>
      <c r="H411" s="32">
        <v>395459</v>
      </c>
      <c r="I411" s="8">
        <f>IF(Tabela1511[[#This Row],[Retail Sales]]="",#N/A,((Tabela1511[[#This Row],[Retail Sales]]*1)/H410)-1)</f>
        <v>1.0022092533234606E-2</v>
      </c>
      <c r="J411" s="8">
        <f>IF(Tabela1511[[#This Row],[Retail Sales]]="",#N/A,((Tabela1511[[#This Row],[Retail Sales]]*1)/H399)-1)</f>
        <v>6.3685170341759356E-2</v>
      </c>
      <c r="K411" s="32">
        <v>323747</v>
      </c>
      <c r="L411" s="8">
        <f>IF(Tabela1511[[#This Row],[Core-Retail Sales]]="",#N/A,((Tabela1511[[#This Row],[Core-Retail Sales]]*1)/K410)-1)</f>
        <v>1.1551320106233387E-2</v>
      </c>
      <c r="M411" s="8">
        <f>IF(Tabela1511[[#This Row],[Core-Retail Sales]]="",#N/A,((Tabela1511[[#This Row],[Core-Retail Sales]]*1)/K399)-1)</f>
        <v>5.9506355460721805E-2</v>
      </c>
      <c r="N411" s="84">
        <v>173567</v>
      </c>
      <c r="O411" s="8">
        <f>IF(Tabela1511[[#This Row],[Real Retail Sales]]="",#N/A,((Tabela1511[[#This Row],[Real Retail Sales]]*1)/N410)-1)</f>
        <v>7.2774543998421759E-3</v>
      </c>
      <c r="P411" s="8">
        <f>IF(Tabela1511[[#This Row],[Real Retail Sales]]="",#N/A,((Tabela1511[[#This Row],[Real Retail Sales]]*1)/N399)-1)</f>
        <v>3.2614451021804491E-2</v>
      </c>
      <c r="Q411" s="32">
        <v>278045</v>
      </c>
      <c r="R411" s="8">
        <f>IF(Tabela1511[[#This Row],[Core²-Retail Sales]]="",#N/A,((Tabela1511[[#This Row],[Core²-Retail Sales]]*1)/Q410)-1)</f>
        <v>1.2136390606855896E-2</v>
      </c>
      <c r="S411" s="8">
        <f>IF(Tabela1511[[#This Row],[Core²-Retail Sales]]="",#N/A,((Tabela1511[[#This Row],[Core²-Retail Sales]]*1)/Q399)-1)</f>
        <v>5.4055181093765503E-2</v>
      </c>
      <c r="T411" s="5">
        <v>75</v>
      </c>
      <c r="U411" s="7">
        <v>54.2</v>
      </c>
      <c r="V411" s="25">
        <v>60</v>
      </c>
      <c r="W411" s="25">
        <v>52.9</v>
      </c>
      <c r="X411" s="25">
        <v>57.3</v>
      </c>
      <c r="Y411" s="25">
        <v>62.8</v>
      </c>
      <c r="Z411" s="25">
        <v>53.9</v>
      </c>
      <c r="AA411" s="25">
        <f>IF([1]!Tabela1511[[#This Row],[Services New Orders]]="","",([1]!Tabela1511[[#This Row],[Manufacturing New Orders]]+[1]!Tabela1511[[#This Row],[Services New Orders]])/2)</f>
        <v>61.4</v>
      </c>
      <c r="AB411" s="25">
        <f>IF([1]!Tabela1511[[#This Row],[Services Employment]]="",#N/A,([1]!Tabela1511[[#This Row],[Manufacturing Employment]]+[1]!Tabela1511[[#This Row],[Services Employment]])/2)</f>
        <v>53.4</v>
      </c>
    </row>
    <row r="412" spans="1:28">
      <c r="A412" s="6">
        <v>40940</v>
      </c>
      <c r="B412" s="36">
        <v>11675.8</v>
      </c>
      <c r="C412" s="8">
        <f>IF(Tabela1511[[#This Row],[Real PCE]]="",#N/A,((Tabela1511[[#This Row],[Real PCE]]*1)/B411)-1)</f>
        <v>6.0574727499891345E-3</v>
      </c>
      <c r="D412" s="8">
        <f>IF(Tabela1511[[#This Row],[Real PCE]]="",#N/A,((Tabela1511[[#This Row],[Real PCE]]*1)/B400)-1)</f>
        <v>1.6807747239349302E-2</v>
      </c>
      <c r="E412" s="7">
        <v>97.0959</v>
      </c>
      <c r="F412" s="8">
        <f>IF(Tabela1511[[#This Row],[Industrial Production]]="",#N/A,((Tabela1511[[#This Row],[Industrial Production]]*1)/E411)-1)</f>
        <v>3.2744707012886121E-3</v>
      </c>
      <c r="G412" s="8">
        <f>IF(Tabela1511[[#This Row],[Industrial Production]]="",#N/A,((Tabela1511[[#This Row],[Industrial Production]]*1)/E400)-1)</f>
        <v>4.4120525200821659E-2</v>
      </c>
      <c r="H412" s="32">
        <v>400155</v>
      </c>
      <c r="I412" s="8">
        <f>IF(Tabela1511[[#This Row],[Retail Sales]]="",#N/A,((Tabela1511[[#This Row],[Retail Sales]]*1)/H411)-1)</f>
        <v>1.1874808766521916E-2</v>
      </c>
      <c r="J412" s="8">
        <f>IF(Tabela1511[[#This Row],[Retail Sales]]="",#N/A,((Tabela1511[[#This Row],[Retail Sales]]*1)/H400)-1)</f>
        <v>6.707715446092144E-2</v>
      </c>
      <c r="K412" s="32">
        <v>327558</v>
      </c>
      <c r="L412" s="8">
        <f>IF(Tabela1511[[#This Row],[Core-Retail Sales]]="",#N/A,((Tabela1511[[#This Row],[Core-Retail Sales]]*1)/K411)-1)</f>
        <v>1.1771537651314112E-2</v>
      </c>
      <c r="M412" s="8">
        <f>IF(Tabela1511[[#This Row],[Core-Retail Sales]]="",#N/A,((Tabela1511[[#This Row],[Core-Retail Sales]]*1)/K400)-1)</f>
        <v>6.4602624146437471E-2</v>
      </c>
      <c r="N412" s="84">
        <v>175254</v>
      </c>
      <c r="O412" s="8">
        <f>IF(Tabela1511[[#This Row],[Real Retail Sales]]="",#N/A,((Tabela1511[[#This Row],[Real Retail Sales]]*1)/N411)-1)</f>
        <v>9.7195895533137566E-3</v>
      </c>
      <c r="P412" s="8">
        <f>IF(Tabela1511[[#This Row],[Real Retail Sales]]="",#N/A,((Tabela1511[[#This Row],[Real Retail Sales]]*1)/N400)-1)</f>
        <v>3.7024325875607333E-2</v>
      </c>
      <c r="Q412" s="32">
        <v>280440</v>
      </c>
      <c r="R412" s="8">
        <f>IF(Tabela1511[[#This Row],[Core²-Retail Sales]]="",#N/A,((Tabela1511[[#This Row],[Core²-Retail Sales]]*1)/Q411)-1)</f>
        <v>8.61371360750951E-3</v>
      </c>
      <c r="S412" s="8">
        <f>IF(Tabela1511[[#This Row],[Core²-Retail Sales]]="",#N/A,((Tabela1511[[#This Row],[Core²-Retail Sales]]*1)/Q400)-1)</f>
        <v>5.6720939608948528E-2</v>
      </c>
      <c r="T412" s="5">
        <v>75.3</v>
      </c>
      <c r="U412" s="7">
        <v>53.3</v>
      </c>
      <c r="V412" s="25">
        <v>58.3</v>
      </c>
      <c r="W412" s="25">
        <v>53.7</v>
      </c>
      <c r="X412" s="25">
        <v>55.9</v>
      </c>
      <c r="Y412" s="25">
        <v>59.5</v>
      </c>
      <c r="Z412" s="25">
        <v>55.5</v>
      </c>
      <c r="AA412" s="25">
        <f>IF([1]!Tabela1511[[#This Row],[Services New Orders]]="","",([1]!Tabela1511[[#This Row],[Manufacturing New Orders]]+[1]!Tabela1511[[#This Row],[Services New Orders]])/2)</f>
        <v>58.9</v>
      </c>
      <c r="AB412" s="25">
        <f>IF([1]!Tabela1511[[#This Row],[Services Employment]]="",#N/A,([1]!Tabela1511[[#This Row],[Manufacturing Employment]]+[1]!Tabela1511[[#This Row],[Services Employment]])/2)</f>
        <v>54.6</v>
      </c>
    </row>
    <row r="413" spans="1:28">
      <c r="A413" s="6">
        <v>40969</v>
      </c>
      <c r="B413" s="36">
        <v>11660.5</v>
      </c>
      <c r="C413" s="8">
        <f>IF(Tabela1511[[#This Row],[Real PCE]]="",#N/A,((Tabela1511[[#This Row],[Real PCE]]*1)/B412)-1)</f>
        <v>-1.3104027133044038E-3</v>
      </c>
      <c r="D413" s="8">
        <f>IF(Tabela1511[[#This Row],[Real PCE]]="",#N/A,((Tabela1511[[#This Row],[Real PCE]]*1)/B401)-1)</f>
        <v>1.1967785048513369E-2</v>
      </c>
      <c r="E413" s="7">
        <v>96.591899999999995</v>
      </c>
      <c r="F413" s="8">
        <f>IF(Tabela1511[[#This Row],[Industrial Production]]="",#N/A,((Tabela1511[[#This Row],[Industrial Production]]*1)/E412)-1)</f>
        <v>-5.1907444083633125E-3</v>
      </c>
      <c r="G413" s="8">
        <f>IF(Tabela1511[[#This Row],[Industrial Production]]="",#N/A,((Tabela1511[[#This Row],[Industrial Production]]*1)/E401)-1)</f>
        <v>2.7770211317060589E-2</v>
      </c>
      <c r="H413" s="32">
        <v>401556</v>
      </c>
      <c r="I413" s="8">
        <f>IF(Tabela1511[[#This Row],[Retail Sales]]="",#N/A,((Tabela1511[[#This Row],[Retail Sales]]*1)/H412)-1)</f>
        <v>3.5011433069684905E-3</v>
      </c>
      <c r="J413" s="8">
        <f>IF(Tabela1511[[#This Row],[Retail Sales]]="",#N/A,((Tabela1511[[#This Row],[Retail Sales]]*1)/H401)-1)</f>
        <v>6.1099161280434577E-2</v>
      </c>
      <c r="K413" s="32">
        <v>328905</v>
      </c>
      <c r="L413" s="8">
        <f>IF(Tabela1511[[#This Row],[Core-Retail Sales]]="",#N/A,((Tabela1511[[#This Row],[Core-Retail Sales]]*1)/K412)-1)</f>
        <v>4.1122488231091214E-3</v>
      </c>
      <c r="M413" s="8">
        <f>IF(Tabela1511[[#This Row],[Core-Retail Sales]]="",#N/A,((Tabela1511[[#This Row],[Core-Retail Sales]]*1)/K401)-1)</f>
        <v>5.8072465120169392E-2</v>
      </c>
      <c r="N413" s="84">
        <v>175500</v>
      </c>
      <c r="O413" s="8">
        <f>IF(Tabela1511[[#This Row],[Real Retail Sales]]="",#N/A,((Tabela1511[[#This Row],[Real Retail Sales]]*1)/N412)-1)</f>
        <v>1.4036769488856571E-3</v>
      </c>
      <c r="P413" s="8">
        <f>IF(Tabela1511[[#This Row],[Real Retail Sales]]="",#N/A,((Tabela1511[[#This Row],[Real Retail Sales]]*1)/N401)-1)</f>
        <v>3.4385203871134973E-2</v>
      </c>
      <c r="Q413" s="32">
        <v>281317</v>
      </c>
      <c r="R413" s="8">
        <f>IF(Tabela1511[[#This Row],[Core²-Retail Sales]]="",#N/A,((Tabela1511[[#This Row],[Core²-Retail Sales]]*1)/Q412)-1)</f>
        <v>3.127228640707358E-3</v>
      </c>
      <c r="S413" s="8">
        <f>IF(Tabela1511[[#This Row],[Core²-Retail Sales]]="",#N/A,((Tabela1511[[#This Row],[Core²-Retail Sales]]*1)/Q401)-1)</f>
        <v>5.3503351683331424E-2</v>
      </c>
      <c r="T413" s="5">
        <v>76.2</v>
      </c>
      <c r="U413" s="7">
        <v>53.5</v>
      </c>
      <c r="V413" s="25">
        <v>57</v>
      </c>
      <c r="W413" s="25">
        <v>55.6</v>
      </c>
      <c r="X413" s="25">
        <v>55.6</v>
      </c>
      <c r="Y413" s="25">
        <v>58.2</v>
      </c>
      <c r="Z413" s="25">
        <v>56.2</v>
      </c>
      <c r="AA413" s="25">
        <f>IF([1]!Tabela1511[[#This Row],[Services New Orders]]="","",([1]!Tabela1511[[#This Row],[Manufacturing New Orders]]+[1]!Tabela1511[[#This Row],[Services New Orders]])/2)</f>
        <v>57.6</v>
      </c>
      <c r="AB413" s="25">
        <f>IF([1]!Tabela1511[[#This Row],[Services Employment]]="",#N/A,([1]!Tabela1511[[#This Row],[Manufacturing Employment]]+[1]!Tabela1511[[#This Row],[Services Employment]])/2)</f>
        <v>55.900000000000006</v>
      </c>
    </row>
    <row r="414" spans="1:28">
      <c r="A414" s="6">
        <v>41000</v>
      </c>
      <c r="B414" s="36">
        <v>11671.4</v>
      </c>
      <c r="C414" s="8">
        <f>IF(Tabela1511[[#This Row],[Real PCE]]="",#N/A,((Tabela1511[[#This Row],[Real PCE]]*1)/B413)-1)</f>
        <v>9.3477981218637041E-4</v>
      </c>
      <c r="D414" s="8">
        <f>IF(Tabela1511[[#This Row],[Real PCE]]="",#N/A,((Tabela1511[[#This Row],[Real PCE]]*1)/B402)-1)</f>
        <v>1.4119507511578089E-2</v>
      </c>
      <c r="E414" s="7">
        <v>97.294200000000004</v>
      </c>
      <c r="F414" s="8">
        <f>IF(Tabela1511[[#This Row],[Industrial Production]]="",#N/A,((Tabela1511[[#This Row],[Industrial Production]]*1)/E413)-1)</f>
        <v>7.2707959984223969E-3</v>
      </c>
      <c r="G414" s="8">
        <f>IF(Tabela1511[[#This Row],[Industrial Production]]="",#N/A,((Tabela1511[[#This Row],[Industrial Production]]*1)/E402)-1)</f>
        <v>3.8885240650276209E-2</v>
      </c>
      <c r="H414" s="32">
        <v>399953</v>
      </c>
      <c r="I414" s="8">
        <f>IF(Tabela1511[[#This Row],[Retail Sales]]="",#N/A,((Tabela1511[[#This Row],[Retail Sales]]*1)/H413)-1)</f>
        <v>-3.9919712319078648E-3</v>
      </c>
      <c r="J414" s="8">
        <f>IF(Tabela1511[[#This Row],[Retail Sales]]="",#N/A,((Tabela1511[[#This Row],[Retail Sales]]*1)/H402)-1)</f>
        <v>5.1691450058507282E-2</v>
      </c>
      <c r="K414" s="32">
        <v>327016</v>
      </c>
      <c r="L414" s="8">
        <f>IF(Tabela1511[[#This Row],[Core-Retail Sales]]="",#N/A,((Tabela1511[[#This Row],[Core-Retail Sales]]*1)/K413)-1)</f>
        <v>-5.7432997370061578E-3</v>
      </c>
      <c r="M414" s="8">
        <f>IF(Tabela1511[[#This Row],[Core-Retail Sales]]="",#N/A,((Tabela1511[[#This Row],[Core-Retail Sales]]*1)/K402)-1)</f>
        <v>4.2640972828894119E-2</v>
      </c>
      <c r="N414" s="84">
        <v>174509</v>
      </c>
      <c r="O414" s="8">
        <f>IF(Tabela1511[[#This Row],[Real Retail Sales]]="",#N/A,((Tabela1511[[#This Row],[Real Retail Sales]]*1)/N413)-1)</f>
        <v>-5.6467236467236948E-3</v>
      </c>
      <c r="P414" s="8">
        <f>IF(Tabela1511[[#This Row],[Real Retail Sales]]="",#N/A,((Tabela1511[[#This Row],[Real Retail Sales]]*1)/N402)-1)</f>
        <v>2.8314005562626754E-2</v>
      </c>
      <c r="Q414" s="32">
        <v>280056</v>
      </c>
      <c r="R414" s="8">
        <f>IF(Tabela1511[[#This Row],[Core²-Retail Sales]]="",#N/A,((Tabela1511[[#This Row],[Core²-Retail Sales]]*1)/Q413)-1)</f>
        <v>-4.4824877273680341E-3</v>
      </c>
      <c r="S414" s="8">
        <f>IF(Tabela1511[[#This Row],[Core²-Retail Sales]]="",#N/A,((Tabela1511[[#This Row],[Core²-Retail Sales]]*1)/Q402)-1)</f>
        <v>4.0953322578966445E-2</v>
      </c>
      <c r="T414" s="5">
        <v>76.400000000000006</v>
      </c>
      <c r="U414" s="7">
        <v>55.2</v>
      </c>
      <c r="V414" s="25">
        <v>59.2</v>
      </c>
      <c r="W414" s="25">
        <v>56.1</v>
      </c>
      <c r="X414" s="25">
        <v>55.3</v>
      </c>
      <c r="Y414" s="25">
        <v>56.6</v>
      </c>
      <c r="Z414" s="25">
        <v>55.1</v>
      </c>
      <c r="AA414" s="25">
        <f>IF([1]!Tabela1511[[#This Row],[Services New Orders]]="","",([1]!Tabela1511[[#This Row],[Manufacturing New Orders]]+[1]!Tabela1511[[#This Row],[Services New Orders]])/2)</f>
        <v>57.900000000000006</v>
      </c>
      <c r="AB414" s="25">
        <f>IF([1]!Tabela1511[[#This Row],[Services Employment]]="",#N/A,([1]!Tabela1511[[#This Row],[Manufacturing Employment]]+[1]!Tabela1511[[#This Row],[Services Employment]])/2)</f>
        <v>55.6</v>
      </c>
    </row>
    <row r="415" spans="1:28">
      <c r="A415" s="6">
        <v>41030</v>
      </c>
      <c r="B415" s="36">
        <v>11672</v>
      </c>
      <c r="C415" s="8">
        <f>IF(Tabela1511[[#This Row],[Real PCE]]="",#N/A,((Tabela1511[[#This Row],[Real PCE]]*1)/B414)-1)</f>
        <v>5.1407714584339459E-5</v>
      </c>
      <c r="D415" s="8">
        <f>IF(Tabela1511[[#This Row],[Real PCE]]="",#N/A,((Tabela1511[[#This Row],[Real PCE]]*1)/B403)-1)</f>
        <v>1.534500156581653E-2</v>
      </c>
      <c r="E415" s="7">
        <v>97.485299999999995</v>
      </c>
      <c r="F415" s="8">
        <f>IF(Tabela1511[[#This Row],[Industrial Production]]="",#N/A,((Tabela1511[[#This Row],[Industrial Production]]*1)/E414)-1)</f>
        <v>1.9641458586430183E-3</v>
      </c>
      <c r="G415" s="8">
        <f>IF(Tabela1511[[#This Row],[Industrial Production]]="",#N/A,((Tabela1511[[#This Row],[Industrial Production]]*1)/E403)-1)</f>
        <v>3.9538268774492735E-2</v>
      </c>
      <c r="H415" s="32">
        <v>399106</v>
      </c>
      <c r="I415" s="8">
        <f>IF(Tabela1511[[#This Row],[Retail Sales]]="",#N/A,((Tabela1511[[#This Row],[Retail Sales]]*1)/H414)-1)</f>
        <v>-2.117748835488209E-3</v>
      </c>
      <c r="J415" s="8">
        <f>IF(Tabela1511[[#This Row],[Retail Sales]]="",#N/A,((Tabela1511[[#This Row],[Retail Sales]]*1)/H403)-1)</f>
        <v>4.9892144999210908E-2</v>
      </c>
      <c r="K415" s="32">
        <v>325521</v>
      </c>
      <c r="L415" s="8">
        <f>IF(Tabela1511[[#This Row],[Core-Retail Sales]]="",#N/A,((Tabela1511[[#This Row],[Core-Retail Sales]]*1)/K414)-1)</f>
        <v>-4.5716417545318411E-3</v>
      </c>
      <c r="M415" s="8">
        <f>IF(Tabela1511[[#This Row],[Core-Retail Sales]]="",#N/A,((Tabela1511[[#This Row],[Core-Retail Sales]]*1)/K403)-1)</f>
        <v>3.5912498886187416E-2</v>
      </c>
      <c r="N415" s="84">
        <v>174501</v>
      </c>
      <c r="O415" s="8">
        <f>IF(Tabela1511[[#This Row],[Real Retail Sales]]="",#N/A,((Tabela1511[[#This Row],[Real Retail Sales]]*1)/N414)-1)</f>
        <v>-4.5842907815618616E-5</v>
      </c>
      <c r="P415" s="8">
        <f>IF(Tabela1511[[#This Row],[Real Retail Sales]]="",#N/A,((Tabela1511[[#This Row],[Real Retail Sales]]*1)/N403)-1)</f>
        <v>3.1957988610087806E-2</v>
      </c>
      <c r="Q415" s="32">
        <v>279755</v>
      </c>
      <c r="R415" s="8">
        <f>IF(Tabela1511[[#This Row],[Core²-Retail Sales]]="",#N/A,((Tabela1511[[#This Row],[Core²-Retail Sales]]*1)/Q414)-1)</f>
        <v>-1.0747850429914108E-3</v>
      </c>
      <c r="S415" s="8">
        <f>IF(Tabela1511[[#This Row],[Core²-Retail Sales]]="",#N/A,((Tabela1511[[#This Row],[Core²-Retail Sales]]*1)/Q403)-1)</f>
        <v>4.022890204360885E-2</v>
      </c>
      <c r="T415" s="5">
        <v>79.3</v>
      </c>
      <c r="U415" s="7">
        <v>53.2</v>
      </c>
      <c r="V415" s="25">
        <v>58.2</v>
      </c>
      <c r="W415" s="25">
        <v>54.8</v>
      </c>
      <c r="X415" s="25">
        <v>55.1</v>
      </c>
      <c r="Y415" s="25">
        <v>56.3</v>
      </c>
      <c r="Z415" s="25">
        <v>52.9</v>
      </c>
      <c r="AA415" s="25">
        <f>IF([1]!Tabela1511[[#This Row],[Services New Orders]]="","",([1]!Tabela1511[[#This Row],[Manufacturing New Orders]]+[1]!Tabela1511[[#This Row],[Services New Orders]])/2)</f>
        <v>57.25</v>
      </c>
      <c r="AB415" s="25">
        <f>IF([1]!Tabela1511[[#This Row],[Services Employment]]="",#N/A,([1]!Tabela1511[[#This Row],[Manufacturing Employment]]+[1]!Tabela1511[[#This Row],[Services Employment]])/2)</f>
        <v>53.849999999999994</v>
      </c>
    </row>
    <row r="416" spans="1:28">
      <c r="A416" s="6">
        <v>41061</v>
      </c>
      <c r="B416" s="36">
        <v>11659.9</v>
      </c>
      <c r="C416" s="8">
        <f>IF(Tabela1511[[#This Row],[Real PCE]]="",#N/A,((Tabela1511[[#This Row],[Real PCE]]*1)/B415)-1)</f>
        <v>-1.0366689513365834E-3</v>
      </c>
      <c r="D416" s="8">
        <f>IF(Tabela1511[[#This Row],[Real PCE]]="",#N/A,((Tabela1511[[#This Row],[Real PCE]]*1)/B404)-1)</f>
        <v>1.194206017895727E-2</v>
      </c>
      <c r="E416" s="7">
        <v>97.495900000000006</v>
      </c>
      <c r="F416" s="8">
        <f>IF(Tabela1511[[#This Row],[Industrial Production]]="",#N/A,((Tabela1511[[#This Row],[Industrial Production]]*1)/E415)-1)</f>
        <v>1.0873434251124081E-4</v>
      </c>
      <c r="G416" s="8">
        <f>IF(Tabela1511[[#This Row],[Industrial Production]]="",#N/A,((Tabela1511[[#This Row],[Industrial Production]]*1)/E404)-1)</f>
        <v>3.6675396372227942E-2</v>
      </c>
      <c r="H416" s="32">
        <v>395630</v>
      </c>
      <c r="I416" s="8">
        <f>IF(Tabela1511[[#This Row],[Retail Sales]]="",#N/A,((Tabela1511[[#This Row],[Retail Sales]]*1)/H415)-1)</f>
        <v>-8.7094656557406003E-3</v>
      </c>
      <c r="J416" s="8">
        <f>IF(Tabela1511[[#This Row],[Retail Sales]]="",#N/A,((Tabela1511[[#This Row],[Retail Sales]]*1)/H404)-1)</f>
        <v>3.259635486674628E-2</v>
      </c>
      <c r="K416" s="32">
        <v>323244</v>
      </c>
      <c r="L416" s="8">
        <f>IF(Tabela1511[[#This Row],[Core-Retail Sales]]="",#N/A,((Tabela1511[[#This Row],[Core-Retail Sales]]*1)/K415)-1)</f>
        <v>-6.9949404185905006E-3</v>
      </c>
      <c r="M416" s="8">
        <f>IF(Tabela1511[[#This Row],[Core-Retail Sales]]="",#N/A,((Tabela1511[[#This Row],[Core-Retail Sales]]*1)/K404)-1)</f>
        <v>2.1737412561992908E-2</v>
      </c>
      <c r="N416" s="84">
        <v>173124</v>
      </c>
      <c r="O416" s="8">
        <f>IF(Tabela1511[[#This Row],[Real Retail Sales]]="",#N/A,((Tabela1511[[#This Row],[Real Retail Sales]]*1)/N415)-1)</f>
        <v>-7.8910722574655479E-3</v>
      </c>
      <c r="P416" s="8">
        <f>IF(Tabela1511[[#This Row],[Real Retail Sales]]="",#N/A,((Tabela1511[[#This Row],[Real Retail Sales]]*1)/N404)-1)</f>
        <v>1.579515583927904E-2</v>
      </c>
      <c r="Q416" s="32">
        <v>279475</v>
      </c>
      <c r="R416" s="8">
        <f>IF(Tabela1511[[#This Row],[Core²-Retail Sales]]="",#N/A,((Tabela1511[[#This Row],[Core²-Retail Sales]]*1)/Q415)-1)</f>
        <v>-1.0008757662954837E-3</v>
      </c>
      <c r="S416" s="8">
        <f>IF(Tabela1511[[#This Row],[Core²-Retail Sales]]="",#N/A,((Tabela1511[[#This Row],[Core²-Retail Sales]]*1)/Q404)-1)</f>
        <v>2.8574478029965711E-2</v>
      </c>
      <c r="T416" s="5">
        <v>73.2</v>
      </c>
      <c r="U416" s="7">
        <v>49.5</v>
      </c>
      <c r="V416" s="25">
        <v>47.3</v>
      </c>
      <c r="W416" s="25">
        <v>55.1</v>
      </c>
      <c r="X416" s="25">
        <v>53.6</v>
      </c>
      <c r="Y416" s="25">
        <v>54.3</v>
      </c>
      <c r="Z416" s="25">
        <v>51.1</v>
      </c>
      <c r="AA416" s="25">
        <f>IF([1]!Tabela1511[[#This Row],[Services New Orders]]="","",([1]!Tabela1511[[#This Row],[Manufacturing New Orders]]+[1]!Tabela1511[[#This Row],[Services New Orders]])/2)</f>
        <v>50.8</v>
      </c>
      <c r="AB416" s="25">
        <f>IF([1]!Tabela1511[[#This Row],[Services Employment]]="",#N/A,([1]!Tabela1511[[#This Row],[Manufacturing Employment]]+[1]!Tabela1511[[#This Row],[Services Employment]])/2)</f>
        <v>53.1</v>
      </c>
    </row>
    <row r="417" spans="1:28">
      <c r="A417" s="6">
        <v>41091</v>
      </c>
      <c r="B417" s="36">
        <v>11684.4</v>
      </c>
      <c r="C417" s="8">
        <f>IF(Tabela1511[[#This Row],[Real PCE]]="",#N/A,((Tabela1511[[#This Row],[Real PCE]]*1)/B416)-1)</f>
        <v>2.1012187068498722E-3</v>
      </c>
      <c r="D417" s="8">
        <f>IF(Tabela1511[[#This Row],[Real PCE]]="",#N/A,((Tabela1511[[#This Row],[Real PCE]]*1)/B405)-1)</f>
        <v>1.2311237794893515E-2</v>
      </c>
      <c r="E417" s="7">
        <v>97.6922</v>
      </c>
      <c r="F417" s="8">
        <f>IF(Tabela1511[[#This Row],[Industrial Production]]="",#N/A,((Tabela1511[[#This Row],[Industrial Production]]*1)/E416)-1)</f>
        <v>2.0134180001414315E-3</v>
      </c>
      <c r="G417" s="8">
        <f>IF(Tabela1511[[#This Row],[Industrial Production]]="",#N/A,((Tabela1511[[#This Row],[Industrial Production]]*1)/E405)-1)</f>
        <v>3.3855382033185499E-2</v>
      </c>
      <c r="H417" s="32">
        <v>397399</v>
      </c>
      <c r="I417" s="8">
        <f>IF(Tabela1511[[#This Row],[Retail Sales]]="",#N/A,((Tabela1511[[#This Row],[Retail Sales]]*1)/H416)-1)</f>
        <v>4.4713494932133724E-3</v>
      </c>
      <c r="J417" s="8">
        <f>IF(Tabela1511[[#This Row],[Retail Sales]]="",#N/A,((Tabela1511[[#This Row],[Retail Sales]]*1)/H405)-1)</f>
        <v>3.791507566299801E-2</v>
      </c>
      <c r="K417" s="32">
        <v>324209</v>
      </c>
      <c r="L417" s="8">
        <f>IF(Tabela1511[[#This Row],[Core-Retail Sales]]="",#N/A,((Tabela1511[[#This Row],[Core-Retail Sales]]*1)/K416)-1)</f>
        <v>2.9853609038372753E-3</v>
      </c>
      <c r="M417" s="8">
        <f>IF(Tabela1511[[#This Row],[Core-Retail Sales]]="",#N/A,((Tabela1511[[#This Row],[Core-Retail Sales]]*1)/K405)-1)</f>
        <v>2.4855695978454051E-2</v>
      </c>
      <c r="N417" s="84">
        <v>173848</v>
      </c>
      <c r="O417" s="8">
        <f>IF(Tabela1511[[#This Row],[Real Retail Sales]]="",#N/A,((Tabela1511[[#This Row],[Real Retail Sales]]*1)/N416)-1)</f>
        <v>4.1819736142880704E-3</v>
      </c>
      <c r="P417" s="8">
        <f>IF(Tabela1511[[#This Row],[Real Retail Sales]]="",#N/A,((Tabela1511[[#This Row],[Real Retail Sales]]*1)/N405)-1)</f>
        <v>2.3405858528774637E-2</v>
      </c>
      <c r="Q417" s="32">
        <v>280725</v>
      </c>
      <c r="R417" s="8">
        <f>IF(Tabela1511[[#This Row],[Core²-Retail Sales]]="",#N/A,((Tabela1511[[#This Row],[Core²-Retail Sales]]*1)/Q416)-1)</f>
        <v>4.4726719742373966E-3</v>
      </c>
      <c r="S417" s="8">
        <f>IF(Tabela1511[[#This Row],[Core²-Retail Sales]]="",#N/A,((Tabela1511[[#This Row],[Core²-Retail Sales]]*1)/Q405)-1)</f>
        <v>3.3787516111213334E-2</v>
      </c>
      <c r="T417" s="5">
        <v>72.3</v>
      </c>
      <c r="U417" s="7">
        <v>49.6</v>
      </c>
      <c r="V417" s="25">
        <v>47.8</v>
      </c>
      <c r="W417" s="25">
        <v>51.3</v>
      </c>
      <c r="X417" s="25">
        <v>52.1</v>
      </c>
      <c r="Y417" s="25">
        <v>52.9</v>
      </c>
      <c r="Z417" s="25">
        <v>52</v>
      </c>
      <c r="AA417" s="25">
        <f>IF([1]!Tabela1511[[#This Row],[Services New Orders]]="","",([1]!Tabela1511[[#This Row],[Manufacturing New Orders]]+[1]!Tabela1511[[#This Row],[Services New Orders]])/2)</f>
        <v>50.349999999999994</v>
      </c>
      <c r="AB417" s="25">
        <f>IF([1]!Tabela1511[[#This Row],[Services Employment]]="",#N/A,([1]!Tabela1511[[#This Row],[Manufacturing Employment]]+[1]!Tabela1511[[#This Row],[Services Employment]])/2)</f>
        <v>51.65</v>
      </c>
    </row>
    <row r="418" spans="1:28">
      <c r="A418" s="6">
        <v>41122</v>
      </c>
      <c r="B418" s="36">
        <v>11686.7</v>
      </c>
      <c r="C418" s="8">
        <f>IF(Tabela1511[[#This Row],[Real PCE]]="",#N/A,((Tabela1511[[#This Row],[Real PCE]]*1)/B417)-1)</f>
        <v>1.9684365478767063E-4</v>
      </c>
      <c r="D418" s="8">
        <f>IF(Tabela1511[[#This Row],[Real PCE]]="",#N/A,((Tabela1511[[#This Row],[Real PCE]]*1)/B406)-1)</f>
        <v>1.3124929564034105E-2</v>
      </c>
      <c r="E418" s="7">
        <v>97.306100000000001</v>
      </c>
      <c r="F418" s="8">
        <f>IF(Tabela1511[[#This Row],[Industrial Production]]="",#N/A,((Tabela1511[[#This Row],[Industrial Production]]*1)/E417)-1)</f>
        <v>-3.9522090811753285E-3</v>
      </c>
      <c r="G418" s="8">
        <f>IF(Tabela1511[[#This Row],[Industrial Production]]="",#N/A,((Tabela1511[[#This Row],[Industrial Production]]*1)/E406)-1)</f>
        <v>2.3231041180101553E-2</v>
      </c>
      <c r="H418" s="32">
        <v>402164</v>
      </c>
      <c r="I418" s="8">
        <f>IF(Tabela1511[[#This Row],[Retail Sales]]="",#N/A,((Tabela1511[[#This Row],[Retail Sales]]*1)/H417)-1)</f>
        <v>1.1990468018288958E-2</v>
      </c>
      <c r="J418" s="8">
        <f>IF(Tabela1511[[#This Row],[Retail Sales]]="",#N/A,((Tabela1511[[#This Row],[Retail Sales]]*1)/H406)-1)</f>
        <v>4.8170099196730654E-2</v>
      </c>
      <c r="K418" s="32">
        <v>328182</v>
      </c>
      <c r="L418" s="8">
        <f>IF(Tabela1511[[#This Row],[Core-Retail Sales]]="",#N/A,((Tabela1511[[#This Row],[Core-Retail Sales]]*1)/K417)-1)</f>
        <v>1.2254440808244116E-2</v>
      </c>
      <c r="M418" s="8">
        <f>IF(Tabela1511[[#This Row],[Core-Retail Sales]]="",#N/A,((Tabela1511[[#This Row],[Core-Retail Sales]]*1)/K406)-1)</f>
        <v>3.226232602028789E-2</v>
      </c>
      <c r="N418" s="84">
        <v>174916</v>
      </c>
      <c r="O418" s="8">
        <f>IF(Tabela1511[[#This Row],[Real Retail Sales]]="",#N/A,((Tabela1511[[#This Row],[Real Retail Sales]]*1)/N417)-1)</f>
        <v>6.1432975932997902E-3</v>
      </c>
      <c r="P418" s="8">
        <f>IF(Tabela1511[[#This Row],[Real Retail Sales]]="",#N/A,((Tabela1511[[#This Row],[Real Retail Sales]]*1)/N406)-1)</f>
        <v>3.079126176403002E-2</v>
      </c>
      <c r="Q418" s="32">
        <v>281791</v>
      </c>
      <c r="R418" s="8">
        <f>IF(Tabela1511[[#This Row],[Core²-Retail Sales]]="",#N/A,((Tabela1511[[#This Row],[Core²-Retail Sales]]*1)/Q417)-1)</f>
        <v>3.7973105352213654E-3</v>
      </c>
      <c r="S418" s="8">
        <f>IF(Tabela1511[[#This Row],[Core²-Retail Sales]]="",#N/A,((Tabela1511[[#This Row],[Core²-Retail Sales]]*1)/Q406)-1)</f>
        <v>3.2768920652373135E-2</v>
      </c>
      <c r="T418" s="5">
        <v>74.3</v>
      </c>
      <c r="U418" s="7">
        <v>49</v>
      </c>
      <c r="V418" s="25">
        <v>45.1</v>
      </c>
      <c r="W418" s="25">
        <v>50.4</v>
      </c>
      <c r="X418" s="25">
        <v>52.1</v>
      </c>
      <c r="Y418" s="25">
        <v>52.8</v>
      </c>
      <c r="Z418" s="25">
        <v>52.1</v>
      </c>
      <c r="AA418" s="25">
        <f>IF([1]!Tabela1511[[#This Row],[Services New Orders]]="","",([1]!Tabela1511[[#This Row],[Manufacturing New Orders]]+[1]!Tabela1511[[#This Row],[Services New Orders]])/2)</f>
        <v>48.95</v>
      </c>
      <c r="AB418" s="25">
        <f>IF([1]!Tabela1511[[#This Row],[Services Employment]]="",#N/A,([1]!Tabela1511[[#This Row],[Manufacturing Employment]]+[1]!Tabela1511[[#This Row],[Services Employment]])/2)</f>
        <v>51.25</v>
      </c>
    </row>
    <row r="419" spans="1:28">
      <c r="A419" s="6">
        <v>41153</v>
      </c>
      <c r="B419" s="36">
        <v>11703.2</v>
      </c>
      <c r="C419" s="8">
        <f>IF(Tabela1511[[#This Row],[Real PCE]]="",#N/A,((Tabela1511[[#This Row],[Real PCE]]*1)/B418)-1)</f>
        <v>1.411861346658938E-3</v>
      </c>
      <c r="D419" s="8">
        <f>IF(Tabela1511[[#This Row],[Real PCE]]="",#N/A,((Tabela1511[[#This Row],[Real PCE]]*1)/B407)-1)</f>
        <v>1.2886977142708922E-2</v>
      </c>
      <c r="E419" s="7">
        <v>97.238299999999995</v>
      </c>
      <c r="F419" s="8">
        <f>IF(Tabela1511[[#This Row],[Industrial Production]]="",#N/A,((Tabela1511[[#This Row],[Industrial Production]]*1)/E418)-1)</f>
        <v>-6.9677029497638987E-4</v>
      </c>
      <c r="G419" s="8">
        <f>IF(Tabela1511[[#This Row],[Industrial Production]]="",#N/A,((Tabela1511[[#This Row],[Industrial Production]]*1)/E407)-1)</f>
        <v>2.3258383572859032E-2</v>
      </c>
      <c r="H419" s="32">
        <v>405251</v>
      </c>
      <c r="I419" s="8">
        <f>IF(Tabela1511[[#This Row],[Retail Sales]]="",#N/A,((Tabela1511[[#This Row],[Retail Sales]]*1)/H418)-1)</f>
        <v>7.6759729861448633E-3</v>
      </c>
      <c r="J419" s="8">
        <f>IF(Tabela1511[[#This Row],[Retail Sales]]="",#N/A,((Tabela1511[[#This Row],[Retail Sales]]*1)/H407)-1)</f>
        <v>4.5652521687076453E-2</v>
      </c>
      <c r="K419" s="32">
        <v>330056</v>
      </c>
      <c r="L419" s="8">
        <f>IF(Tabela1511[[#This Row],[Core-Retail Sales]]="",#N/A,((Tabela1511[[#This Row],[Core-Retail Sales]]*1)/K418)-1)</f>
        <v>5.7102461439080265E-3</v>
      </c>
      <c r="M419" s="8">
        <f>IF(Tabela1511[[#This Row],[Core-Retail Sales]]="",#N/A,((Tabela1511[[#This Row],[Core-Retail Sales]]*1)/K407)-1)</f>
        <v>3.5681001616015839E-2</v>
      </c>
      <c r="N419" s="84">
        <v>175422</v>
      </c>
      <c r="O419" s="8">
        <f>IF(Tabela1511[[#This Row],[Real Retail Sales]]="",#N/A,((Tabela1511[[#This Row],[Real Retail Sales]]*1)/N418)-1)</f>
        <v>2.8928171236479727E-3</v>
      </c>
      <c r="P419" s="8">
        <f>IF(Tabela1511[[#This Row],[Real Retail Sales]]="",#N/A,((Tabela1511[[#This Row],[Real Retail Sales]]*1)/N407)-1)</f>
        <v>2.5655717576622106E-2</v>
      </c>
      <c r="Q419" s="32">
        <v>282996</v>
      </c>
      <c r="R419" s="8">
        <f>IF(Tabela1511[[#This Row],[Core²-Retail Sales]]="",#N/A,((Tabela1511[[#This Row],[Core²-Retail Sales]]*1)/Q418)-1)</f>
        <v>4.2762188998228812E-3</v>
      </c>
      <c r="S419" s="8">
        <f>IF(Tabela1511[[#This Row],[Core²-Retail Sales]]="",#N/A,((Tabela1511[[#This Row],[Core²-Retail Sales]]*1)/Q407)-1)</f>
        <v>3.4500910227447168E-2</v>
      </c>
      <c r="T419" s="5">
        <v>78.3</v>
      </c>
      <c r="U419" s="7">
        <v>50.8</v>
      </c>
      <c r="V419" s="25">
        <v>52.2</v>
      </c>
      <c r="W419" s="25">
        <v>52.4</v>
      </c>
      <c r="X419" s="25">
        <v>53.8</v>
      </c>
      <c r="Y419" s="25">
        <v>53.7</v>
      </c>
      <c r="Z419" s="25">
        <v>51.6</v>
      </c>
      <c r="AA419" s="25">
        <f>IF([1]!Tabela1511[[#This Row],[Services New Orders]]="","",([1]!Tabela1511[[#This Row],[Manufacturing New Orders]]+[1]!Tabela1511[[#This Row],[Services New Orders]])/2)</f>
        <v>52.95</v>
      </c>
      <c r="AB419" s="25">
        <f>IF([1]!Tabela1511[[#This Row],[Services Employment]]="",#N/A,([1]!Tabela1511[[#This Row],[Manufacturing Employment]]+[1]!Tabela1511[[#This Row],[Services Employment]])/2)</f>
        <v>52</v>
      </c>
    </row>
    <row r="420" spans="1:28">
      <c r="A420" s="6">
        <v>41183</v>
      </c>
      <c r="B420" s="36">
        <v>11702.3</v>
      </c>
      <c r="C420" s="8">
        <f>IF(Tabela1511[[#This Row],[Real PCE]]="",#N/A,((Tabela1511[[#This Row],[Real PCE]]*1)/B419)-1)</f>
        <v>-7.6902043885551663E-5</v>
      </c>
      <c r="D420" s="8">
        <f>IF(Tabela1511[[#This Row],[Real PCE]]="",#N/A,((Tabela1511[[#This Row],[Real PCE]]*1)/B408)-1)</f>
        <v>1.0989105925650611E-2</v>
      </c>
      <c r="E420" s="7">
        <v>97.542500000000004</v>
      </c>
      <c r="F420" s="8">
        <f>IF(Tabela1511[[#This Row],[Industrial Production]]="",#N/A,((Tabela1511[[#This Row],[Industrial Production]]*1)/E419)-1)</f>
        <v>3.1283969382436272E-3</v>
      </c>
      <c r="G420" s="8">
        <f>IF(Tabela1511[[#This Row],[Industrial Production]]="",#N/A,((Tabela1511[[#This Row],[Industrial Production]]*1)/E408)-1)</f>
        <v>1.9333823793739047E-2</v>
      </c>
      <c r="H420" s="32">
        <v>405422</v>
      </c>
      <c r="I420" s="8">
        <f>IF(Tabela1511[[#This Row],[Retail Sales]]="",#N/A,((Tabela1511[[#This Row],[Retail Sales]]*1)/H419)-1)</f>
        <v>4.2196071076938679E-4</v>
      </c>
      <c r="J420" s="8">
        <f>IF(Tabela1511[[#This Row],[Retail Sales]]="",#N/A,((Tabela1511[[#This Row],[Retail Sales]]*1)/H408)-1)</f>
        <v>3.9959573573018936E-2</v>
      </c>
      <c r="K420" s="32">
        <v>330673</v>
      </c>
      <c r="L420" s="8">
        <f>IF(Tabela1511[[#This Row],[Core-Retail Sales]]="",#N/A,((Tabela1511[[#This Row],[Core-Retail Sales]]*1)/K419)-1)</f>
        <v>1.8693797416196034E-3</v>
      </c>
      <c r="M420" s="8">
        <f>IF(Tabela1511[[#This Row],[Core-Retail Sales]]="",#N/A,((Tabela1511[[#This Row],[Core-Retail Sales]]*1)/K408)-1)</f>
        <v>3.3488770401115087E-2</v>
      </c>
      <c r="N420" s="84">
        <v>175024</v>
      </c>
      <c r="O420" s="8">
        <f>IF(Tabela1511[[#This Row],[Real Retail Sales]]="",#N/A,((Tabela1511[[#This Row],[Real Retail Sales]]*1)/N419)-1)</f>
        <v>-2.2688146298639467E-3</v>
      </c>
      <c r="P420" s="8">
        <f>IF(Tabela1511[[#This Row],[Real Retail Sales]]="",#N/A,((Tabela1511[[#This Row],[Real Retail Sales]]*1)/N408)-1)</f>
        <v>1.8013459200707294E-2</v>
      </c>
      <c r="Q420" s="32">
        <v>282697</v>
      </c>
      <c r="R420" s="8">
        <f>IF(Tabela1511[[#This Row],[Core²-Retail Sales]]="",#N/A,((Tabela1511[[#This Row],[Core²-Retail Sales]]*1)/Q419)-1)</f>
        <v>-1.0565520360711345E-3</v>
      </c>
      <c r="S420" s="8">
        <f>IF(Tabela1511[[#This Row],[Core²-Retail Sales]]="",#N/A,((Tabela1511[[#This Row],[Core²-Retail Sales]]*1)/Q408)-1)</f>
        <v>2.7402537460431642E-2</v>
      </c>
      <c r="T420" s="5">
        <v>82.6</v>
      </c>
      <c r="U420" s="7">
        <v>50.5</v>
      </c>
      <c r="V420" s="25">
        <v>51.8</v>
      </c>
      <c r="W420" s="25">
        <v>52.8</v>
      </c>
      <c r="X420" s="25">
        <v>54.3</v>
      </c>
      <c r="Y420" s="25">
        <v>56.5</v>
      </c>
      <c r="Z420" s="25">
        <v>52.8</v>
      </c>
      <c r="AA420" s="25">
        <f>IF([1]!Tabela1511[[#This Row],[Services New Orders]]="","",([1]!Tabela1511[[#This Row],[Manufacturing New Orders]]+[1]!Tabela1511[[#This Row],[Services New Orders]])/2)</f>
        <v>54.15</v>
      </c>
      <c r="AB420" s="25">
        <f>IF([1]!Tabela1511[[#This Row],[Services Employment]]="",#N/A,([1]!Tabela1511[[#This Row],[Manufacturing Employment]]+[1]!Tabela1511[[#This Row],[Services Employment]])/2)</f>
        <v>52.8</v>
      </c>
    </row>
    <row r="421" spans="1:28">
      <c r="A421" s="6">
        <v>41214</v>
      </c>
      <c r="B421" s="36">
        <v>11753.4</v>
      </c>
      <c r="C421" s="8">
        <f>IF(Tabela1511[[#This Row],[Real PCE]]="",#N/A,((Tabela1511[[#This Row],[Real PCE]]*1)/B420)-1)</f>
        <v>4.366662963690926E-3</v>
      </c>
      <c r="D421" s="8">
        <f>IF(Tabela1511[[#This Row],[Real PCE]]="",#N/A,((Tabela1511[[#This Row],[Real PCE]]*1)/B409)-1)</f>
        <v>1.7108439990653812E-2</v>
      </c>
      <c r="E421" s="7">
        <v>97.933999999999997</v>
      </c>
      <c r="F421" s="8">
        <f>IF(Tabela1511[[#This Row],[Industrial Production]]="",#N/A,((Tabela1511[[#This Row],[Industrial Production]]*1)/E420)-1)</f>
        <v>4.0136350821435851E-3</v>
      </c>
      <c r="G421" s="8">
        <f>IF(Tabela1511[[#This Row],[Industrial Production]]="",#N/A,((Tabela1511[[#This Row],[Industrial Production]]*1)/E409)-1)</f>
        <v>2.3436822365251686E-2</v>
      </c>
      <c r="H421" s="32">
        <v>407266</v>
      </c>
      <c r="I421" s="8">
        <f>IF(Tabela1511[[#This Row],[Retail Sales]]="",#N/A,((Tabela1511[[#This Row],[Retail Sales]]*1)/H420)-1)</f>
        <v>4.5483471543230625E-3</v>
      </c>
      <c r="J421" s="8">
        <f>IF(Tabela1511[[#This Row],[Retail Sales]]="",#N/A,((Tabela1511[[#This Row],[Retail Sales]]*1)/H409)-1)</f>
        <v>4.1156334762390445E-2</v>
      </c>
      <c r="K421" s="32">
        <v>331359</v>
      </c>
      <c r="L421" s="8">
        <f>IF(Tabela1511[[#This Row],[Core-Retail Sales]]="",#N/A,((Tabela1511[[#This Row],[Core-Retail Sales]]*1)/K420)-1)</f>
        <v>2.0745570397340263E-3</v>
      </c>
      <c r="M421" s="8">
        <f>IF(Tabela1511[[#This Row],[Core-Retail Sales]]="",#N/A,((Tabela1511[[#This Row],[Core-Retail Sales]]*1)/K409)-1)</f>
        <v>3.2248517945091537E-2</v>
      </c>
      <c r="N421" s="84">
        <v>176116</v>
      </c>
      <c r="O421" s="8">
        <f>IF(Tabela1511[[#This Row],[Real Retail Sales]]="",#N/A,((Tabela1511[[#This Row],[Real Retail Sales]]*1)/N420)-1)</f>
        <v>6.2391443459182128E-3</v>
      </c>
      <c r="P421" s="8">
        <f>IF(Tabela1511[[#This Row],[Real Retail Sales]]="",#N/A,((Tabela1511[[#This Row],[Real Retail Sales]]*1)/N409)-1)</f>
        <v>2.2788515145883759E-2</v>
      </c>
      <c r="Q421" s="32">
        <v>284537</v>
      </c>
      <c r="R421" s="8">
        <f>IF(Tabela1511[[#This Row],[Core²-Retail Sales]]="",#N/A,((Tabela1511[[#This Row],[Core²-Retail Sales]]*1)/Q420)-1)</f>
        <v>6.5087355012609649E-3</v>
      </c>
      <c r="S421" s="8">
        <f>IF(Tabela1511[[#This Row],[Core²-Retail Sales]]="",#N/A,((Tabela1511[[#This Row],[Core²-Retail Sales]]*1)/Q409)-1)</f>
        <v>3.3053410448276033E-2</v>
      </c>
      <c r="T421" s="5">
        <v>82.7</v>
      </c>
      <c r="U421" s="7">
        <v>48</v>
      </c>
      <c r="V421" s="25">
        <v>47.9</v>
      </c>
      <c r="W421" s="25">
        <v>47.3</v>
      </c>
      <c r="X421" s="25">
        <v>53.9</v>
      </c>
      <c r="Y421" s="25">
        <v>56.3</v>
      </c>
      <c r="Z421" s="25">
        <v>53.8</v>
      </c>
      <c r="AA421" s="25">
        <f>IF([1]!Tabela1511[[#This Row],[Services New Orders]]="","",([1]!Tabela1511[[#This Row],[Manufacturing New Orders]]+[1]!Tabela1511[[#This Row],[Services New Orders]])/2)</f>
        <v>52.099999999999994</v>
      </c>
      <c r="AB421" s="25">
        <f>IF([1]!Tabela1511[[#This Row],[Services Employment]]="",#N/A,([1]!Tabela1511[[#This Row],[Manufacturing Employment]]+[1]!Tabela1511[[#This Row],[Services Employment]])/2)</f>
        <v>50.55</v>
      </c>
    </row>
    <row r="422" spans="1:28">
      <c r="A422" s="6">
        <v>41244</v>
      </c>
      <c r="B422" s="36">
        <v>11758.3</v>
      </c>
      <c r="C422" s="8">
        <f>IF(Tabela1511[[#This Row],[Real PCE]]="",#N/A,((Tabela1511[[#This Row],[Real PCE]]*1)/B421)-1)</f>
        <v>4.169006415164489E-4</v>
      </c>
      <c r="D422" s="8">
        <f>IF(Tabela1511[[#This Row],[Real PCE]]="",#N/A,((Tabela1511[[#This Row],[Real PCE]]*1)/B410)-1)</f>
        <v>1.7074795214905292E-2</v>
      </c>
      <c r="E422" s="7">
        <v>98.198400000000007</v>
      </c>
      <c r="F422" s="8">
        <f>IF(Tabela1511[[#This Row],[Industrial Production]]="",#N/A,((Tabela1511[[#This Row],[Industrial Production]]*1)/E421)-1)</f>
        <v>2.6997774011070508E-3</v>
      </c>
      <c r="G422" s="8">
        <f>IF(Tabela1511[[#This Row],[Industrial Production]]="",#N/A,((Tabela1511[[#This Row],[Industrial Production]]*1)/E410)-1)</f>
        <v>2.083918090355108E-2</v>
      </c>
      <c r="H422" s="32">
        <v>408758</v>
      </c>
      <c r="I422" s="8">
        <f>IF(Tabela1511[[#This Row],[Retail Sales]]="",#N/A,((Tabela1511[[#This Row],[Retail Sales]]*1)/H421)-1)</f>
        <v>3.6634533695423244E-3</v>
      </c>
      <c r="J422" s="8">
        <f>IF(Tabela1511[[#This Row],[Retail Sales]]="",#N/A,((Tabela1511[[#This Row],[Retail Sales]]*1)/H410)-1)</f>
        <v>4.398840461261444E-2</v>
      </c>
      <c r="K422" s="32">
        <v>331963</v>
      </c>
      <c r="L422" s="8">
        <f>IF(Tabela1511[[#This Row],[Core-Retail Sales]]="",#N/A,((Tabela1511[[#This Row],[Core-Retail Sales]]*1)/K421)-1)</f>
        <v>1.8227964232147009E-3</v>
      </c>
      <c r="M422" s="8">
        <f>IF(Tabela1511[[#This Row],[Core-Retail Sales]]="",#N/A,((Tabela1511[[#This Row],[Core-Retail Sales]]*1)/K410)-1)</f>
        <v>3.7222309014216526E-2</v>
      </c>
      <c r="N422" s="84">
        <v>176782</v>
      </c>
      <c r="O422" s="8">
        <f>IF(Tabela1511[[#This Row],[Real Retail Sales]]="",#N/A,((Tabela1511[[#This Row],[Real Retail Sales]]*1)/N421)-1)</f>
        <v>3.7815984919029599E-3</v>
      </c>
      <c r="P422" s="8">
        <f>IF(Tabela1511[[#This Row],[Real Retail Sales]]="",#N/A,((Tabela1511[[#This Row],[Real Retail Sales]]*1)/N410)-1)</f>
        <v>2.5935361812515545E-2</v>
      </c>
      <c r="Q422" s="32">
        <v>286077</v>
      </c>
      <c r="R422" s="8">
        <f>IF(Tabela1511[[#This Row],[Core²-Retail Sales]]="",#N/A,((Tabela1511[[#This Row],[Core²-Retail Sales]]*1)/Q421)-1)</f>
        <v>5.4123013878686344E-3</v>
      </c>
      <c r="S422" s="8">
        <f>IF(Tabela1511[[#This Row],[Core²-Retail Sales]]="",#N/A,((Tabela1511[[#This Row],[Core²-Retail Sales]]*1)/Q410)-1)</f>
        <v>4.1374389813294776E-2</v>
      </c>
      <c r="T422" s="5">
        <v>72.900000000000006</v>
      </c>
      <c r="U422" s="7">
        <v>50.1</v>
      </c>
      <c r="V422" s="25">
        <v>48.3</v>
      </c>
      <c r="W422" s="25">
        <v>52.5</v>
      </c>
      <c r="X422" s="25">
        <v>55.7</v>
      </c>
      <c r="Y422" s="25">
        <v>58.9</v>
      </c>
      <c r="Z422" s="25">
        <v>55.3</v>
      </c>
      <c r="AA422" s="25">
        <f>IF([1]!Tabela1511[[#This Row],[Services New Orders]]="","",([1]!Tabela1511[[#This Row],[Manufacturing New Orders]]+[1]!Tabela1511[[#This Row],[Services New Orders]])/2)</f>
        <v>53.599999999999994</v>
      </c>
      <c r="AB422" s="25">
        <f>IF([1]!Tabela1511[[#This Row],[Services Employment]]="",#N/A,([1]!Tabela1511[[#This Row],[Manufacturing Employment]]+[1]!Tabela1511[[#This Row],[Services Employment]])/2)</f>
        <v>53.9</v>
      </c>
    </row>
    <row r="423" spans="1:28">
      <c r="A423" s="6">
        <v>41275</v>
      </c>
      <c r="B423" s="36">
        <v>11810.6</v>
      </c>
      <c r="C423" s="8">
        <f>IF(Tabela1511[[#This Row],[Real PCE]]="",#N/A,((Tabela1511[[#This Row],[Real PCE]]*1)/B422)-1)</f>
        <v>4.4479218934709852E-3</v>
      </c>
      <c r="D423" s="8">
        <f>IF(Tabela1511[[#This Row],[Real PCE]]="",#N/A,((Tabela1511[[#This Row],[Real PCE]]*1)/B411)-1)</f>
        <v>1.7672655206583121E-2</v>
      </c>
      <c r="E423" s="7">
        <v>98.2029</v>
      </c>
      <c r="F423" s="8">
        <f>IF(Tabela1511[[#This Row],[Industrial Production]]="",#N/A,((Tabela1511[[#This Row],[Industrial Production]]*1)/E422)-1)</f>
        <v>4.5825593899539996E-5</v>
      </c>
      <c r="G423" s="8">
        <f>IF(Tabela1511[[#This Row],[Industrial Production]]="",#N/A,((Tabela1511[[#This Row],[Industrial Production]]*1)/E411)-1)</f>
        <v>1.4712902592504573E-2</v>
      </c>
      <c r="H423" s="32">
        <v>412017</v>
      </c>
      <c r="I423" s="8">
        <f>IF(Tabela1511[[#This Row],[Retail Sales]]="",#N/A,((Tabela1511[[#This Row],[Retail Sales]]*1)/H422)-1)</f>
        <v>7.9729326398505496E-3</v>
      </c>
      <c r="J423" s="8">
        <f>IF(Tabela1511[[#This Row],[Retail Sales]]="",#N/A,((Tabela1511[[#This Row],[Retail Sales]]*1)/H411)-1)</f>
        <v>4.1870332954870193E-2</v>
      </c>
      <c r="K423" s="32">
        <v>334307</v>
      </c>
      <c r="L423" s="8">
        <f>IF(Tabela1511[[#This Row],[Core-Retail Sales]]="",#N/A,((Tabela1511[[#This Row],[Core-Retail Sales]]*1)/K422)-1)</f>
        <v>7.0610278856377828E-3</v>
      </c>
      <c r="M423" s="8">
        <f>IF(Tabela1511[[#This Row],[Core-Retail Sales]]="",#N/A,((Tabela1511[[#This Row],[Core-Retail Sales]]*1)/K411)-1)</f>
        <v>3.2618062870080733E-2</v>
      </c>
      <c r="N423" s="84">
        <v>177840</v>
      </c>
      <c r="O423" s="8">
        <f>IF(Tabela1511[[#This Row],[Real Retail Sales]]="",#N/A,((Tabela1511[[#This Row],[Real Retail Sales]]*1)/N422)-1)</f>
        <v>5.9847722053150143E-3</v>
      </c>
      <c r="P423" s="8">
        <f>IF(Tabela1511[[#This Row],[Real Retail Sales]]="",#N/A,((Tabela1511[[#This Row],[Real Retail Sales]]*1)/N411)-1)</f>
        <v>2.4618735128221436E-2</v>
      </c>
      <c r="Q423" s="32">
        <v>288315</v>
      </c>
      <c r="R423" s="8">
        <f>IF(Tabela1511[[#This Row],[Core²-Retail Sales]]="",#N/A,((Tabela1511[[#This Row],[Core²-Retail Sales]]*1)/Q422)-1)</f>
        <v>7.8230686143940797E-3</v>
      </c>
      <c r="S423" s="8">
        <f>IF(Tabela1511[[#This Row],[Core²-Retail Sales]]="",#N/A,((Tabela1511[[#This Row],[Core²-Retail Sales]]*1)/Q411)-1)</f>
        <v>3.6936467118631855E-2</v>
      </c>
      <c r="T423" s="5">
        <v>73.8</v>
      </c>
      <c r="U423" s="7">
        <v>53.3</v>
      </c>
      <c r="V423" s="25">
        <v>54.9</v>
      </c>
      <c r="W423" s="25">
        <v>53</v>
      </c>
      <c r="X423" s="25">
        <v>55.9</v>
      </c>
      <c r="Y423" s="25">
        <v>58.5</v>
      </c>
      <c r="Z423" s="25">
        <v>56.6</v>
      </c>
      <c r="AA423" s="25">
        <f>IF([1]!Tabela1511[[#This Row],[Services New Orders]]="","",([1]!Tabela1511[[#This Row],[Manufacturing New Orders]]+[1]!Tabela1511[[#This Row],[Services New Orders]])/2)</f>
        <v>56.7</v>
      </c>
      <c r="AB423" s="25">
        <f>IF([1]!Tabela1511[[#This Row],[Services Employment]]="",#N/A,([1]!Tabela1511[[#This Row],[Manufacturing Employment]]+[1]!Tabela1511[[#This Row],[Services Employment]])/2)</f>
        <v>54.8</v>
      </c>
    </row>
    <row r="424" spans="1:28">
      <c r="A424" s="6">
        <v>41306</v>
      </c>
      <c r="B424" s="36">
        <v>11808.6</v>
      </c>
      <c r="C424" s="8">
        <f>IF(Tabela1511[[#This Row],[Real PCE]]="",#N/A,((Tabela1511[[#This Row],[Real PCE]]*1)/B423)-1)</f>
        <v>-1.6933940697339001E-4</v>
      </c>
      <c r="D424" s="8">
        <f>IF(Tabela1511[[#This Row],[Real PCE]]="",#N/A,((Tabela1511[[#This Row],[Real PCE]]*1)/B412)-1)</f>
        <v>1.137395296253807E-2</v>
      </c>
      <c r="E424" s="7">
        <v>98.673299999999998</v>
      </c>
      <c r="F424" s="8">
        <f>IF(Tabela1511[[#This Row],[Industrial Production]]="",#N/A,((Tabela1511[[#This Row],[Industrial Production]]*1)/E423)-1)</f>
        <v>4.7900825739362052E-3</v>
      </c>
      <c r="G424" s="8">
        <f>IF(Tabela1511[[#This Row],[Industrial Production]]="",#N/A,((Tabela1511[[#This Row],[Industrial Production]]*1)/E412)-1)</f>
        <v>1.6245794106651168E-2</v>
      </c>
      <c r="H424" s="32">
        <v>417067</v>
      </c>
      <c r="I424" s="8">
        <f>IF(Tabela1511[[#This Row],[Retail Sales]]="",#N/A,((Tabela1511[[#This Row],[Retail Sales]]*1)/H423)-1)</f>
        <v>1.2256775812648613E-2</v>
      </c>
      <c r="J424" s="8">
        <f>IF(Tabela1511[[#This Row],[Retail Sales]]="",#N/A,((Tabela1511[[#This Row],[Retail Sales]]*1)/H412)-1)</f>
        <v>4.2263622846147042E-2</v>
      </c>
      <c r="K424" s="32">
        <v>338246</v>
      </c>
      <c r="L424" s="8">
        <f>IF(Tabela1511[[#This Row],[Core-Retail Sales]]="",#N/A,((Tabela1511[[#This Row],[Core-Retail Sales]]*1)/K423)-1)</f>
        <v>1.1782583074838371E-2</v>
      </c>
      <c r="M424" s="8">
        <f>IF(Tabela1511[[#This Row],[Core-Retail Sales]]="",#N/A,((Tabela1511[[#This Row],[Core-Retail Sales]]*1)/K412)-1)</f>
        <v>3.2629335873341603E-2</v>
      </c>
      <c r="N424" s="84">
        <v>179047</v>
      </c>
      <c r="O424" s="8">
        <f>IF(Tabela1511[[#This Row],[Real Retail Sales]]="",#N/A,((Tabela1511[[#This Row],[Real Retail Sales]]*1)/N423)-1)</f>
        <v>6.7869995501574909E-3</v>
      </c>
      <c r="P424" s="8">
        <f>IF(Tabela1511[[#This Row],[Real Retail Sales]]="",#N/A,((Tabela1511[[#This Row],[Real Retail Sales]]*1)/N412)-1)</f>
        <v>2.1642872630581955E-2</v>
      </c>
      <c r="Q424" s="32">
        <v>289202</v>
      </c>
      <c r="R424" s="8">
        <f>IF(Tabela1511[[#This Row],[Core²-Retail Sales]]="",#N/A,((Tabela1511[[#This Row],[Core²-Retail Sales]]*1)/Q423)-1)</f>
        <v>3.0764961933995583E-3</v>
      </c>
      <c r="S424" s="8">
        <f>IF(Tabela1511[[#This Row],[Core²-Retail Sales]]="",#N/A,((Tabela1511[[#This Row],[Core²-Retail Sales]]*1)/Q412)-1)</f>
        <v>3.1243759806019122E-2</v>
      </c>
      <c r="T424" s="5">
        <v>77.599999999999994</v>
      </c>
      <c r="U424" s="7">
        <v>54.2</v>
      </c>
      <c r="V424" s="25">
        <v>58.9</v>
      </c>
      <c r="W424" s="25">
        <v>53.2</v>
      </c>
      <c r="X424" s="25">
        <v>56.6</v>
      </c>
      <c r="Y424" s="25">
        <v>60</v>
      </c>
      <c r="Z424" s="25">
        <v>53.6</v>
      </c>
      <c r="AA424" s="25">
        <f>IF([1]!Tabela1511[[#This Row],[Services New Orders]]="","",([1]!Tabela1511[[#This Row],[Manufacturing New Orders]]+[1]!Tabela1511[[#This Row],[Services New Orders]])/2)</f>
        <v>59.45</v>
      </c>
      <c r="AB424" s="25">
        <f>IF([1]!Tabela1511[[#This Row],[Services Employment]]="",#N/A,([1]!Tabela1511[[#This Row],[Manufacturing Employment]]+[1]!Tabela1511[[#This Row],[Services Employment]])/2)</f>
        <v>53.400000000000006</v>
      </c>
    </row>
    <row r="425" spans="1:28">
      <c r="A425" s="6">
        <v>41334</v>
      </c>
      <c r="B425" s="36">
        <v>11823.8</v>
      </c>
      <c r="C425" s="8">
        <f>IF(Tabela1511[[#This Row],[Real PCE]]="",#N/A,((Tabela1511[[#This Row],[Real PCE]]*1)/B424)-1)</f>
        <v>1.2871974662533869E-3</v>
      </c>
      <c r="D425" s="8">
        <f>IF(Tabela1511[[#This Row],[Real PCE]]="",#N/A,((Tabela1511[[#This Row],[Real PCE]]*1)/B413)-1)</f>
        <v>1.4004545259637124E-2</v>
      </c>
      <c r="E425" s="7">
        <v>99.078800000000001</v>
      </c>
      <c r="F425" s="8">
        <f>IF(Tabela1511[[#This Row],[Industrial Production]]="",#N/A,((Tabela1511[[#This Row],[Industrial Production]]*1)/E424)-1)</f>
        <v>4.1095210153101469E-3</v>
      </c>
      <c r="G425" s="8">
        <f>IF(Tabela1511[[#This Row],[Industrial Production]]="",#N/A,((Tabela1511[[#This Row],[Industrial Production]]*1)/E413)-1)</f>
        <v>2.5746465283320807E-2</v>
      </c>
      <c r="H425" s="32">
        <v>414115</v>
      </c>
      <c r="I425" s="8">
        <f>IF(Tabela1511[[#This Row],[Retail Sales]]="",#N/A,((Tabela1511[[#This Row],[Retail Sales]]*1)/H424)-1)</f>
        <v>-7.0779994581205985E-3</v>
      </c>
      <c r="J425" s="8">
        <f>IF(Tabela1511[[#This Row],[Retail Sales]]="",#N/A,((Tabela1511[[#This Row],[Retail Sales]]*1)/H413)-1)</f>
        <v>3.1275836994093087E-2</v>
      </c>
      <c r="K425" s="32">
        <v>336148</v>
      </c>
      <c r="L425" s="8">
        <f>IF(Tabela1511[[#This Row],[Core-Retail Sales]]="",#N/A,((Tabela1511[[#This Row],[Core-Retail Sales]]*1)/K424)-1)</f>
        <v>-6.2025862833559042E-3</v>
      </c>
      <c r="M425" s="8">
        <f>IF(Tabela1511[[#This Row],[Core-Retail Sales]]="",#N/A,((Tabela1511[[#This Row],[Core-Retail Sales]]*1)/K413)-1)</f>
        <v>2.2021556376461193E-2</v>
      </c>
      <c r="N425" s="84">
        <v>178281</v>
      </c>
      <c r="O425" s="8">
        <f>IF(Tabela1511[[#This Row],[Real Retail Sales]]="",#N/A,((Tabela1511[[#This Row],[Real Retail Sales]]*1)/N424)-1)</f>
        <v>-4.2782062810323707E-3</v>
      </c>
      <c r="P425" s="8">
        <f>IF(Tabela1511[[#This Row],[Real Retail Sales]]="",#N/A,((Tabela1511[[#This Row],[Real Retail Sales]]*1)/N413)-1)</f>
        <v>1.5846153846153843E-2</v>
      </c>
      <c r="Q425" s="32">
        <v>288515</v>
      </c>
      <c r="R425" s="8">
        <f>IF(Tabela1511[[#This Row],[Core²-Retail Sales]]="",#N/A,((Tabela1511[[#This Row],[Core²-Retail Sales]]*1)/Q424)-1)</f>
        <v>-2.375502244106209E-3</v>
      </c>
      <c r="S425" s="8">
        <f>IF(Tabela1511[[#This Row],[Core²-Retail Sales]]="",#N/A,((Tabela1511[[#This Row],[Core²-Retail Sales]]*1)/Q413)-1)</f>
        <v>2.5586793546070741E-2</v>
      </c>
      <c r="T425" s="5">
        <v>78.599999999999994</v>
      </c>
      <c r="U425" s="7">
        <v>51.9</v>
      </c>
      <c r="V425" s="25">
        <v>52.3</v>
      </c>
      <c r="W425" s="25">
        <v>53.3</v>
      </c>
      <c r="X425" s="25">
        <v>55.9</v>
      </c>
      <c r="Y425" s="25">
        <v>57.8</v>
      </c>
      <c r="Z425" s="25">
        <v>54.2</v>
      </c>
      <c r="AA425" s="25">
        <f>IF([1]!Tabela1511[[#This Row],[Services New Orders]]="","",([1]!Tabela1511[[#This Row],[Manufacturing New Orders]]+[1]!Tabela1511[[#This Row],[Services New Orders]])/2)</f>
        <v>55.05</v>
      </c>
      <c r="AB425" s="25">
        <f>IF([1]!Tabela1511[[#This Row],[Services Employment]]="",#N/A,([1]!Tabela1511[[#This Row],[Manufacturing Employment]]+[1]!Tabela1511[[#This Row],[Services Employment]])/2)</f>
        <v>53.75</v>
      </c>
    </row>
    <row r="426" spans="1:28">
      <c r="A426" s="6">
        <v>41365</v>
      </c>
      <c r="B426" s="36">
        <v>11826.4</v>
      </c>
      <c r="C426" s="8">
        <f>IF(Tabela1511[[#This Row],[Real PCE]]="",#N/A,((Tabela1511[[#This Row],[Real PCE]]*1)/B425)-1)</f>
        <v>2.1989546507894531E-4</v>
      </c>
      <c r="D426" s="8">
        <f>IF(Tabela1511[[#This Row],[Real PCE]]="",#N/A,((Tabela1511[[#This Row],[Real PCE]]*1)/B414)-1)</f>
        <v>1.328032626762865E-2</v>
      </c>
      <c r="E426" s="7">
        <v>98.965800000000002</v>
      </c>
      <c r="F426" s="8">
        <f>IF(Tabela1511[[#This Row],[Industrial Production]]="",#N/A,((Tabela1511[[#This Row],[Industrial Production]]*1)/E425)-1)</f>
        <v>-1.1405063444450692E-3</v>
      </c>
      <c r="G426" s="8">
        <f>IF(Tabela1511[[#This Row],[Industrial Production]]="",#N/A,((Tabela1511[[#This Row],[Industrial Production]]*1)/E414)-1)</f>
        <v>1.7180880258021558E-2</v>
      </c>
      <c r="H426" s="32">
        <v>411862</v>
      </c>
      <c r="I426" s="8">
        <f>IF(Tabela1511[[#This Row],[Retail Sales]]="",#N/A,((Tabela1511[[#This Row],[Retail Sales]]*1)/H425)-1)</f>
        <v>-5.4405177305820729E-3</v>
      </c>
      <c r="J426" s="8">
        <f>IF(Tabela1511[[#This Row],[Retail Sales]]="",#N/A,((Tabela1511[[#This Row],[Retail Sales]]*1)/H414)-1)</f>
        <v>2.9775998679844928E-2</v>
      </c>
      <c r="K426" s="32">
        <v>333546</v>
      </c>
      <c r="L426" s="8">
        <f>IF(Tabela1511[[#This Row],[Core-Retail Sales]]="",#N/A,((Tabela1511[[#This Row],[Core-Retail Sales]]*1)/K425)-1)</f>
        <v>-7.7406380522865303E-3</v>
      </c>
      <c r="M426" s="8">
        <f>IF(Tabela1511[[#This Row],[Core-Retail Sales]]="",#N/A,((Tabela1511[[#This Row],[Core-Retail Sales]]*1)/K414)-1)</f>
        <v>1.9968441911099255E-2</v>
      </c>
      <c r="N426" s="84">
        <v>177682</v>
      </c>
      <c r="O426" s="8">
        <f>IF(Tabela1511[[#This Row],[Real Retail Sales]]="",#N/A,((Tabela1511[[#This Row],[Real Retail Sales]]*1)/N425)-1)</f>
        <v>-3.3598644835961533E-3</v>
      </c>
      <c r="P426" s="8">
        <f>IF(Tabela1511[[#This Row],[Real Retail Sales]]="",#N/A,((Tabela1511[[#This Row],[Real Retail Sales]]*1)/N414)-1)</f>
        <v>1.8182443312379393E-2</v>
      </c>
      <c r="Q426" s="32">
        <v>287380</v>
      </c>
      <c r="R426" s="8">
        <f>IF(Tabela1511[[#This Row],[Core²-Retail Sales]]="",#N/A,((Tabela1511[[#This Row],[Core²-Retail Sales]]*1)/Q425)-1)</f>
        <v>-3.9339375769024132E-3</v>
      </c>
      <c r="S426" s="8">
        <f>IF(Tabela1511[[#This Row],[Core²-Retail Sales]]="",#N/A,((Tabela1511[[#This Row],[Core²-Retail Sales]]*1)/Q414)-1)</f>
        <v>2.6151912474647876E-2</v>
      </c>
      <c r="T426" s="5">
        <v>76.400000000000006</v>
      </c>
      <c r="U426" s="7">
        <v>51</v>
      </c>
      <c r="V426" s="25">
        <v>53</v>
      </c>
      <c r="W426" s="25">
        <v>50.7</v>
      </c>
      <c r="X426" s="25">
        <v>54.3</v>
      </c>
      <c r="Y426" s="25">
        <v>56.1</v>
      </c>
      <c r="Z426" s="25">
        <v>53.2</v>
      </c>
      <c r="AA426" s="25">
        <f>IF([1]!Tabela1511[[#This Row],[Services New Orders]]="","",([1]!Tabela1511[[#This Row],[Manufacturing New Orders]]+[1]!Tabela1511[[#This Row],[Services New Orders]])/2)</f>
        <v>54.55</v>
      </c>
      <c r="AB426" s="25">
        <f>IF([1]!Tabela1511[[#This Row],[Services Employment]]="",#N/A,([1]!Tabela1511[[#This Row],[Manufacturing Employment]]+[1]!Tabela1511[[#This Row],[Services Employment]])/2)</f>
        <v>51.95</v>
      </c>
    </row>
    <row r="427" spans="1:28">
      <c r="A427" s="6">
        <v>41395</v>
      </c>
      <c r="B427" s="36">
        <v>11860.1</v>
      </c>
      <c r="C427" s="8">
        <f>IF(Tabela1511[[#This Row],[Real PCE]]="",#N/A,((Tabela1511[[#This Row],[Real PCE]]*1)/B426)-1)</f>
        <v>2.8495569234932017E-3</v>
      </c>
      <c r="D427" s="8">
        <f>IF(Tabela1511[[#This Row],[Real PCE]]="",#N/A,((Tabela1511[[#This Row],[Real PCE]]*1)/B415)-1)</f>
        <v>1.6115490061686222E-2</v>
      </c>
      <c r="E427" s="7">
        <v>99.056700000000006</v>
      </c>
      <c r="F427" s="8">
        <f>IF(Tabela1511[[#This Row],[Industrial Production]]="",#N/A,((Tabela1511[[#This Row],[Industrial Production]]*1)/E426)-1)</f>
        <v>9.1849911787722505E-4</v>
      </c>
      <c r="G427" s="8">
        <f>IF(Tabela1511[[#This Row],[Industrial Production]]="",#N/A,((Tabela1511[[#This Row],[Industrial Production]]*1)/E415)-1)</f>
        <v>1.6119353379432599E-2</v>
      </c>
      <c r="H427" s="32">
        <v>414350</v>
      </c>
      <c r="I427" s="8">
        <f>IF(Tabela1511[[#This Row],[Retail Sales]]="",#N/A,((Tabela1511[[#This Row],[Retail Sales]]*1)/H426)-1)</f>
        <v>6.0408583457565168E-3</v>
      </c>
      <c r="J427" s="8">
        <f>IF(Tabela1511[[#This Row],[Retail Sales]]="",#N/A,((Tabela1511[[#This Row],[Retail Sales]]*1)/H415)-1)</f>
        <v>3.8195366644450335E-2</v>
      </c>
      <c r="K427" s="32">
        <v>334563</v>
      </c>
      <c r="L427" s="8">
        <f>IF(Tabela1511[[#This Row],[Core-Retail Sales]]="",#N/A,((Tabela1511[[#This Row],[Core-Retail Sales]]*1)/K426)-1)</f>
        <v>3.049054703099463E-3</v>
      </c>
      <c r="M427" s="8">
        <f>IF(Tabela1511[[#This Row],[Core-Retail Sales]]="",#N/A,((Tabela1511[[#This Row],[Core-Retail Sales]]*1)/K415)-1)</f>
        <v>2.7777009778171102E-2</v>
      </c>
      <c r="N427" s="84">
        <v>178682</v>
      </c>
      <c r="O427" s="8">
        <f>IF(Tabela1511[[#This Row],[Real Retail Sales]]="",#N/A,((Tabela1511[[#This Row],[Real Retail Sales]]*1)/N426)-1)</f>
        <v>5.6280321022950108E-3</v>
      </c>
      <c r="P427" s="8">
        <f>IF(Tabela1511[[#This Row],[Real Retail Sales]]="",#N/A,((Tabela1511[[#This Row],[Real Retail Sales]]*1)/N415)-1)</f>
        <v>2.3959748081672894E-2</v>
      </c>
      <c r="Q427" s="32">
        <v>288974</v>
      </c>
      <c r="R427" s="8">
        <f>IF(Tabela1511[[#This Row],[Core²-Retail Sales]]="",#N/A,((Tabela1511[[#This Row],[Core²-Retail Sales]]*1)/Q426)-1)</f>
        <v>5.5466629549725255E-3</v>
      </c>
      <c r="S427" s="8">
        <f>IF(Tabela1511[[#This Row],[Core²-Retail Sales]]="",#N/A,((Tabela1511[[#This Row],[Core²-Retail Sales]]*1)/Q415)-1)</f>
        <v>3.2953834605279564E-2</v>
      </c>
      <c r="T427" s="5">
        <v>84.5</v>
      </c>
      <c r="U427" s="7">
        <v>50.8</v>
      </c>
      <c r="V427" s="25">
        <v>52.1</v>
      </c>
      <c r="W427" s="25">
        <v>50.3</v>
      </c>
      <c r="X427" s="25">
        <v>54.8</v>
      </c>
      <c r="Y427" s="25">
        <v>56.7</v>
      </c>
      <c r="Z427" s="25">
        <v>55.3</v>
      </c>
      <c r="AA427" s="25">
        <f>IF([1]!Tabela1511[[#This Row],[Services New Orders]]="","",([1]!Tabela1511[[#This Row],[Manufacturing New Orders]]+[1]!Tabela1511[[#This Row],[Services New Orders]])/2)</f>
        <v>54.400000000000006</v>
      </c>
      <c r="AB427" s="25">
        <f>IF([1]!Tabela1511[[#This Row],[Services Employment]]="",#N/A,([1]!Tabela1511[[#This Row],[Manufacturing Employment]]+[1]!Tabela1511[[#This Row],[Services Employment]])/2)</f>
        <v>52.8</v>
      </c>
    </row>
    <row r="428" spans="1:28">
      <c r="A428" s="6">
        <v>41426</v>
      </c>
      <c r="B428" s="36">
        <v>11857.7</v>
      </c>
      <c r="C428" s="8">
        <f>IF(Tabela1511[[#This Row],[Real PCE]]="",#N/A,((Tabela1511[[#This Row],[Real PCE]]*1)/B427)-1)</f>
        <v>-2.0235917066468989E-4</v>
      </c>
      <c r="D428" s="8">
        <f>IF(Tabela1511[[#This Row],[Real PCE]]="",#N/A,((Tabela1511[[#This Row],[Real PCE]]*1)/B416)-1)</f>
        <v>1.6964124906731604E-2</v>
      </c>
      <c r="E428" s="7">
        <v>99.242400000000004</v>
      </c>
      <c r="F428" s="8">
        <f>IF(Tabela1511[[#This Row],[Industrial Production]]="",#N/A,((Tabela1511[[#This Row],[Industrial Production]]*1)/E427)-1)</f>
        <v>1.8746838931642529E-3</v>
      </c>
      <c r="G428" s="8">
        <f>IF(Tabela1511[[#This Row],[Industrial Production]]="",#N/A,((Tabela1511[[#This Row],[Industrial Production]]*1)/E416)-1)</f>
        <v>1.7913573801564997E-2</v>
      </c>
      <c r="H428" s="32">
        <v>415454</v>
      </c>
      <c r="I428" s="8">
        <f>IF(Tabela1511[[#This Row],[Retail Sales]]="",#N/A,((Tabela1511[[#This Row],[Retail Sales]]*1)/H427)-1)</f>
        <v>2.6644141426330759E-3</v>
      </c>
      <c r="J428" s="8">
        <f>IF(Tabela1511[[#This Row],[Retail Sales]]="",#N/A,((Tabela1511[[#This Row],[Retail Sales]]*1)/H416)-1)</f>
        <v>5.0107423602861356E-2</v>
      </c>
      <c r="K428" s="32">
        <v>334135</v>
      </c>
      <c r="L428" s="8">
        <f>IF(Tabela1511[[#This Row],[Core-Retail Sales]]="",#N/A,((Tabela1511[[#This Row],[Core-Retail Sales]]*1)/K427)-1)</f>
        <v>-1.279280733374577E-3</v>
      </c>
      <c r="M428" s="8">
        <f>IF(Tabela1511[[#This Row],[Core-Retail Sales]]="",#N/A,((Tabela1511[[#This Row],[Core-Retail Sales]]*1)/K416)-1)</f>
        <v>3.3692814097090684E-2</v>
      </c>
      <c r="N428" s="84">
        <v>178732</v>
      </c>
      <c r="O428" s="8">
        <f>IF(Tabela1511[[#This Row],[Real Retail Sales]]="",#N/A,((Tabela1511[[#This Row],[Real Retail Sales]]*1)/N427)-1)</f>
        <v>2.7982673128801316E-4</v>
      </c>
      <c r="P428" s="8">
        <f>IF(Tabela1511[[#This Row],[Real Retail Sales]]="",#N/A,((Tabela1511[[#This Row],[Real Retail Sales]]*1)/N416)-1)</f>
        <v>3.2392966890783415E-2</v>
      </c>
      <c r="Q428" s="32">
        <v>288311</v>
      </c>
      <c r="R428" s="8">
        <f>IF(Tabela1511[[#This Row],[Core²-Retail Sales]]="",#N/A,((Tabela1511[[#This Row],[Core²-Retail Sales]]*1)/Q427)-1)</f>
        <v>-2.294324056835606E-3</v>
      </c>
      <c r="S428" s="8">
        <f>IF(Tabela1511[[#This Row],[Core²-Retail Sales]]="",#N/A,((Tabela1511[[#This Row],[Core²-Retail Sales]]*1)/Q416)-1)</f>
        <v>3.1616423651489312E-2</v>
      </c>
      <c r="T428" s="5">
        <v>84.1</v>
      </c>
      <c r="U428" s="7">
        <v>51.1</v>
      </c>
      <c r="V428" s="25">
        <v>52</v>
      </c>
      <c r="W428" s="25">
        <v>49.6</v>
      </c>
      <c r="X428" s="25">
        <v>53.6</v>
      </c>
      <c r="Y428" s="25">
        <v>52.9</v>
      </c>
      <c r="Z428" s="25">
        <v>54.4</v>
      </c>
      <c r="AA428" s="25">
        <f>IF([1]!Tabela1511[[#This Row],[Services New Orders]]="","",([1]!Tabela1511[[#This Row],[Manufacturing New Orders]]+[1]!Tabela1511[[#This Row],[Services New Orders]])/2)</f>
        <v>52.45</v>
      </c>
      <c r="AB428" s="25">
        <f>IF([1]!Tabela1511[[#This Row],[Services Employment]]="",#N/A,([1]!Tabela1511[[#This Row],[Manufacturing Employment]]+[1]!Tabela1511[[#This Row],[Services Employment]])/2)</f>
        <v>52</v>
      </c>
    </row>
    <row r="429" spans="1:28">
      <c r="A429" s="6">
        <v>41456</v>
      </c>
      <c r="B429" s="36">
        <v>11872.3</v>
      </c>
      <c r="C429" s="8">
        <f>IF(Tabela1511[[#This Row],[Real PCE]]="",#N/A,((Tabela1511[[#This Row],[Real PCE]]*1)/B428)-1)</f>
        <v>1.2312674464691753E-3</v>
      </c>
      <c r="D429" s="8">
        <f>IF(Tabela1511[[#This Row],[Real PCE]]="",#N/A,((Tabela1511[[#This Row],[Real PCE]]*1)/B417)-1)</f>
        <v>1.6081270754167987E-2</v>
      </c>
      <c r="E429" s="7">
        <v>98.925799999999995</v>
      </c>
      <c r="F429" s="8">
        <f>IF(Tabela1511[[#This Row],[Industrial Production]]="",#N/A,((Tabela1511[[#This Row],[Industrial Production]]*1)/E428)-1)</f>
        <v>-3.1901687182092076E-3</v>
      </c>
      <c r="G429" s="8">
        <f>IF(Tabela1511[[#This Row],[Industrial Production]]="",#N/A,((Tabela1511[[#This Row],[Industrial Production]]*1)/E417)-1)</f>
        <v>1.2627415494788741E-2</v>
      </c>
      <c r="H429" s="32">
        <v>418215</v>
      </c>
      <c r="I429" s="8">
        <f>IF(Tabela1511[[#This Row],[Retail Sales]]="",#N/A,((Tabela1511[[#This Row],[Retail Sales]]*1)/H428)-1)</f>
        <v>6.6457417668381868E-3</v>
      </c>
      <c r="J429" s="8">
        <f>IF(Tabela1511[[#This Row],[Retail Sales]]="",#N/A,((Tabela1511[[#This Row],[Retail Sales]]*1)/H417)-1)</f>
        <v>5.2380604883253357E-2</v>
      </c>
      <c r="K429" s="32">
        <v>336564</v>
      </c>
      <c r="L429" s="8">
        <f>IF(Tabela1511[[#This Row],[Core-Retail Sales]]="",#N/A,((Tabela1511[[#This Row],[Core-Retail Sales]]*1)/K428)-1)</f>
        <v>7.2695168120668896E-3</v>
      </c>
      <c r="M429" s="8">
        <f>IF(Tabela1511[[#This Row],[Core-Retail Sales]]="",#N/A,((Tabela1511[[#This Row],[Core-Retail Sales]]*1)/K417)-1)</f>
        <v>3.8108133950630618E-2</v>
      </c>
      <c r="N429" s="84">
        <v>179568</v>
      </c>
      <c r="O429" s="8">
        <f>IF(Tabela1511[[#This Row],[Real Retail Sales]]="",#N/A,((Tabela1511[[#This Row],[Real Retail Sales]]*1)/N428)-1)</f>
        <v>4.6773940872366637E-3</v>
      </c>
      <c r="P429" s="8">
        <f>IF(Tabela1511[[#This Row],[Real Retail Sales]]="",#N/A,((Tabela1511[[#This Row],[Real Retail Sales]]*1)/N417)-1)</f>
        <v>3.290230546224282E-2</v>
      </c>
      <c r="Q429" s="32">
        <v>290561</v>
      </c>
      <c r="R429" s="8">
        <f>IF(Tabela1511[[#This Row],[Core²-Retail Sales]]="",#N/A,((Tabela1511[[#This Row],[Core²-Retail Sales]]*1)/Q428)-1)</f>
        <v>7.804072685398733E-3</v>
      </c>
      <c r="S429" s="8">
        <f>IF(Tabela1511[[#This Row],[Core²-Retail Sales]]="",#N/A,((Tabela1511[[#This Row],[Core²-Retail Sales]]*1)/Q417)-1)</f>
        <v>3.5037848428177032E-2</v>
      </c>
      <c r="T429" s="5">
        <v>85.1</v>
      </c>
      <c r="U429" s="7">
        <v>53.8</v>
      </c>
      <c r="V429" s="25">
        <v>56.4</v>
      </c>
      <c r="W429" s="25">
        <v>52.1</v>
      </c>
      <c r="X429" s="25">
        <v>55.2</v>
      </c>
      <c r="Y429" s="25">
        <v>54.6</v>
      </c>
      <c r="Z429" s="25">
        <v>55.2</v>
      </c>
      <c r="AA429" s="25">
        <f>IF([1]!Tabela1511[[#This Row],[Services New Orders]]="","",([1]!Tabela1511[[#This Row],[Manufacturing New Orders]]+[1]!Tabela1511[[#This Row],[Services New Orders]])/2)</f>
        <v>55.5</v>
      </c>
      <c r="AB429" s="25">
        <f>IF([1]!Tabela1511[[#This Row],[Services Employment]]="",#N/A,([1]!Tabela1511[[#This Row],[Manufacturing Employment]]+[1]!Tabela1511[[#This Row],[Services Employment]])/2)</f>
        <v>53.650000000000006</v>
      </c>
    </row>
    <row r="430" spans="1:28">
      <c r="A430" s="6">
        <v>41487</v>
      </c>
      <c r="B430" s="36">
        <v>11890.3</v>
      </c>
      <c r="C430" s="8">
        <f>IF(Tabela1511[[#This Row],[Real PCE]]="",#N/A,((Tabela1511[[#This Row],[Real PCE]]*1)/B429)-1)</f>
        <v>1.5161341947220741E-3</v>
      </c>
      <c r="D430" s="8">
        <f>IF(Tabela1511[[#This Row],[Real PCE]]="",#N/A,((Tabela1511[[#This Row],[Real PCE]]*1)/B418)-1)</f>
        <v>1.7421513344228812E-2</v>
      </c>
      <c r="E430" s="7">
        <v>99.505899999999997</v>
      </c>
      <c r="F430" s="8">
        <f>IF(Tabela1511[[#This Row],[Industrial Production]]="",#N/A,((Tabela1511[[#This Row],[Industrial Production]]*1)/E429)-1)</f>
        <v>5.8639909912276966E-3</v>
      </c>
      <c r="G430" s="8">
        <f>IF(Tabela1511[[#This Row],[Industrial Production]]="",#N/A,((Tabela1511[[#This Row],[Industrial Production]]*1)/E418)-1)</f>
        <v>2.2607010249100501E-2</v>
      </c>
      <c r="H430" s="32">
        <v>417389</v>
      </c>
      <c r="I430" s="8">
        <f>IF(Tabela1511[[#This Row],[Retail Sales]]="",#N/A,((Tabela1511[[#This Row],[Retail Sales]]*1)/H429)-1)</f>
        <v>-1.9750606745334576E-3</v>
      </c>
      <c r="J430" s="8">
        <f>IF(Tabela1511[[#This Row],[Retail Sales]]="",#N/A,((Tabela1511[[#This Row],[Retail Sales]]*1)/H418)-1)</f>
        <v>3.7857689897653701E-2</v>
      </c>
      <c r="K430" s="32">
        <v>336082</v>
      </c>
      <c r="L430" s="8">
        <f>IF(Tabela1511[[#This Row],[Core-Retail Sales]]="",#N/A,((Tabela1511[[#This Row],[Core-Retail Sales]]*1)/K429)-1)</f>
        <v>-1.4321198939875046E-3</v>
      </c>
      <c r="M430" s="8">
        <f>IF(Tabela1511[[#This Row],[Core-Retail Sales]]="",#N/A,((Tabela1511[[#This Row],[Core-Retail Sales]]*1)/K418)-1)</f>
        <v>2.4072008824371771E-2</v>
      </c>
      <c r="N430" s="84">
        <v>178787</v>
      </c>
      <c r="O430" s="8">
        <f>IF(Tabela1511[[#This Row],[Real Retail Sales]]="",#N/A,((Tabela1511[[#This Row],[Real Retail Sales]]*1)/N429)-1)</f>
        <v>-4.3493272743473366E-3</v>
      </c>
      <c r="P430" s="8">
        <f>IF(Tabela1511[[#This Row],[Real Retail Sales]]="",#N/A,((Tabela1511[[#This Row],[Real Retail Sales]]*1)/N418)-1)</f>
        <v>2.2130622698895541E-2</v>
      </c>
      <c r="Q430" s="32">
        <v>290408</v>
      </c>
      <c r="R430" s="8">
        <f>IF(Tabela1511[[#This Row],[Core²-Retail Sales]]="",#N/A,((Tabela1511[[#This Row],[Core²-Retail Sales]]*1)/Q429)-1)</f>
        <v>-5.2656757100921769E-4</v>
      </c>
      <c r="S430" s="8">
        <f>IF(Tabela1511[[#This Row],[Core²-Retail Sales]]="",#N/A,((Tabela1511[[#This Row],[Core²-Retail Sales]]*1)/Q418)-1)</f>
        <v>3.0579401045455645E-2</v>
      </c>
      <c r="T430" s="5">
        <v>82.1</v>
      </c>
      <c r="U430" s="7">
        <v>54</v>
      </c>
      <c r="V430" s="25">
        <v>58</v>
      </c>
      <c r="W430" s="25">
        <v>53.5</v>
      </c>
      <c r="X430" s="25">
        <v>55.3</v>
      </c>
      <c r="Y430" s="25">
        <v>55.5</v>
      </c>
      <c r="Z430" s="25">
        <v>52.3</v>
      </c>
      <c r="AA430" s="25">
        <f>IF([1]!Tabela1511[[#This Row],[Services New Orders]]="","",([1]!Tabela1511[[#This Row],[Manufacturing New Orders]]+[1]!Tabela1511[[#This Row],[Services New Orders]])/2)</f>
        <v>56.75</v>
      </c>
      <c r="AB430" s="25">
        <f>IF([1]!Tabela1511[[#This Row],[Services Employment]]="",#N/A,([1]!Tabela1511[[#This Row],[Manufacturing Employment]]+[1]!Tabela1511[[#This Row],[Services Employment]])/2)</f>
        <v>52.9</v>
      </c>
    </row>
    <row r="431" spans="1:28">
      <c r="A431" s="6">
        <v>41518</v>
      </c>
      <c r="B431" s="36">
        <v>11926.1</v>
      </c>
      <c r="C431" s="8">
        <f>IF(Tabela1511[[#This Row],[Real PCE]]="",#N/A,((Tabela1511[[#This Row],[Real PCE]]*1)/B430)-1)</f>
        <v>3.0108575898002421E-3</v>
      </c>
      <c r="D431" s="8">
        <f>IF(Tabela1511[[#This Row],[Real PCE]]="",#N/A,((Tabela1511[[#This Row],[Real PCE]]*1)/B419)-1)</f>
        <v>1.9046072868958985E-2</v>
      </c>
      <c r="E431" s="7">
        <v>100.0391</v>
      </c>
      <c r="F431" s="8">
        <f>IF(Tabela1511[[#This Row],[Industrial Production]]="",#N/A,((Tabela1511[[#This Row],[Industrial Production]]*1)/E430)-1)</f>
        <v>5.3584762310576739E-3</v>
      </c>
      <c r="G431" s="8">
        <f>IF(Tabela1511[[#This Row],[Industrial Production]]="",#N/A,((Tabela1511[[#This Row],[Industrial Production]]*1)/E419)-1)</f>
        <v>2.8803465301223907E-2</v>
      </c>
      <c r="H431" s="32">
        <v>417699</v>
      </c>
      <c r="I431" s="8">
        <f>IF(Tabela1511[[#This Row],[Retail Sales]]="",#N/A,((Tabela1511[[#This Row],[Retail Sales]]*1)/H430)-1)</f>
        <v>7.4271243372492357E-4</v>
      </c>
      <c r="J431" s="8">
        <f>IF(Tabela1511[[#This Row],[Retail Sales]]="",#N/A,((Tabela1511[[#This Row],[Retail Sales]]*1)/H419)-1)</f>
        <v>3.0716765658813872E-2</v>
      </c>
      <c r="K431" s="32">
        <v>337505</v>
      </c>
      <c r="L431" s="8">
        <f>IF(Tabela1511[[#This Row],[Core-Retail Sales]]="",#N/A,((Tabela1511[[#This Row],[Core-Retail Sales]]*1)/K430)-1)</f>
        <v>4.2340857290781297E-3</v>
      </c>
      <c r="M431" s="8">
        <f>IF(Tabela1511[[#This Row],[Core-Retail Sales]]="",#N/A,((Tabela1511[[#This Row],[Core-Retail Sales]]*1)/K419)-1)</f>
        <v>2.2568897399229293E-2</v>
      </c>
      <c r="N431" s="84">
        <v>178852</v>
      </c>
      <c r="O431" s="8">
        <f>IF(Tabela1511[[#This Row],[Real Retail Sales]]="",#N/A,((Tabela1511[[#This Row],[Real Retail Sales]]*1)/N430)-1)</f>
        <v>3.635611090291313E-4</v>
      </c>
      <c r="P431" s="8">
        <f>IF(Tabela1511[[#This Row],[Real Retail Sales]]="",#N/A,((Tabela1511[[#This Row],[Real Retail Sales]]*1)/N419)-1)</f>
        <v>1.9552849699581598E-2</v>
      </c>
      <c r="Q431" s="32">
        <v>291760</v>
      </c>
      <c r="R431" s="8">
        <f>IF(Tabela1511[[#This Row],[Core²-Retail Sales]]="",#N/A,((Tabela1511[[#This Row],[Core²-Retail Sales]]*1)/Q430)-1)</f>
        <v>4.6555191317043665E-3</v>
      </c>
      <c r="S431" s="8">
        <f>IF(Tabela1511[[#This Row],[Core²-Retail Sales]]="",#N/A,((Tabela1511[[#This Row],[Core²-Retail Sales]]*1)/Q419)-1)</f>
        <v>3.0968635599089689E-2</v>
      </c>
      <c r="T431" s="5">
        <v>77.5</v>
      </c>
      <c r="U431" s="7">
        <v>54.6</v>
      </c>
      <c r="V431" s="25">
        <v>60.2</v>
      </c>
      <c r="W431" s="25">
        <v>52.8</v>
      </c>
      <c r="X431" s="25">
        <v>53.6</v>
      </c>
      <c r="Y431" s="25">
        <v>57</v>
      </c>
      <c r="Z431" s="25">
        <v>53</v>
      </c>
      <c r="AA431" s="25">
        <f>IF([1]!Tabela1511[[#This Row],[Services New Orders]]="","",([1]!Tabela1511[[#This Row],[Manufacturing New Orders]]+[1]!Tabela1511[[#This Row],[Services New Orders]])/2)</f>
        <v>58.6</v>
      </c>
      <c r="AB431" s="25">
        <f>IF([1]!Tabela1511[[#This Row],[Services Employment]]="",#N/A,([1]!Tabela1511[[#This Row],[Manufacturing Employment]]+[1]!Tabela1511[[#This Row],[Services Employment]])/2)</f>
        <v>52.9</v>
      </c>
    </row>
    <row r="432" spans="1:28">
      <c r="A432" s="6">
        <v>41548</v>
      </c>
      <c r="B432" s="36">
        <v>11964.6</v>
      </c>
      <c r="C432" s="8">
        <f>IF(Tabela1511[[#This Row],[Real PCE]]="",#N/A,((Tabela1511[[#This Row],[Real PCE]]*1)/B431)-1)</f>
        <v>3.2282137496750796E-3</v>
      </c>
      <c r="D432" s="8">
        <f>IF(Tabela1511[[#This Row],[Real PCE]]="",#N/A,((Tabela1511[[#This Row],[Real PCE]]*1)/B420)-1)</f>
        <v>2.2414397169787215E-2</v>
      </c>
      <c r="E432" s="7">
        <v>99.920299999999997</v>
      </c>
      <c r="F432" s="8">
        <f>IF(Tabela1511[[#This Row],[Industrial Production]]="",#N/A,((Tabela1511[[#This Row],[Industrial Production]]*1)/E431)-1)</f>
        <v>-1.1875356735516762E-3</v>
      </c>
      <c r="G432" s="8">
        <f>IF(Tabela1511[[#This Row],[Industrial Production]]="",#N/A,((Tabela1511[[#This Row],[Industrial Production]]*1)/E420)-1)</f>
        <v>2.4377066406950698E-2</v>
      </c>
      <c r="H432" s="32">
        <v>419288</v>
      </c>
      <c r="I432" s="8">
        <f>IF(Tabela1511[[#This Row],[Retail Sales]]="",#N/A,((Tabela1511[[#This Row],[Retail Sales]]*1)/H431)-1)</f>
        <v>3.8041747765735767E-3</v>
      </c>
      <c r="J432" s="8">
        <f>IF(Tabela1511[[#This Row],[Retail Sales]]="",#N/A,((Tabela1511[[#This Row],[Retail Sales]]*1)/H420)-1)</f>
        <v>3.4201400022692452E-2</v>
      </c>
      <c r="K432" s="32">
        <v>337798</v>
      </c>
      <c r="L432" s="8">
        <f>IF(Tabela1511[[#This Row],[Core-Retail Sales]]="",#N/A,((Tabela1511[[#This Row],[Core-Retail Sales]]*1)/K431)-1)</f>
        <v>8.6813528688467478E-4</v>
      </c>
      <c r="M432" s="8">
        <f>IF(Tabela1511[[#This Row],[Core-Retail Sales]]="",#N/A,((Tabela1511[[#This Row],[Core-Retail Sales]]*1)/K420)-1)</f>
        <v>2.1546966338346296E-2</v>
      </c>
      <c r="N432" s="84">
        <v>179437</v>
      </c>
      <c r="O432" s="8">
        <f>IF(Tabela1511[[#This Row],[Real Retail Sales]]="",#N/A,((Tabela1511[[#This Row],[Real Retail Sales]]*1)/N431)-1)</f>
        <v>3.2708608234741643E-3</v>
      </c>
      <c r="P432" s="8">
        <f>IF(Tabela1511[[#This Row],[Real Retail Sales]]="",#N/A,((Tabela1511[[#This Row],[Real Retail Sales]]*1)/N420)-1)</f>
        <v>2.5213684980345485E-2</v>
      </c>
      <c r="Q432" s="32">
        <v>292817</v>
      </c>
      <c r="R432" s="8">
        <f>IF(Tabela1511[[#This Row],[Core²-Retail Sales]]="",#N/A,((Tabela1511[[#This Row],[Core²-Retail Sales]]*1)/Q431)-1)</f>
        <v>3.6228406909788458E-3</v>
      </c>
      <c r="S432" s="8">
        <f>IF(Tabela1511[[#This Row],[Core²-Retail Sales]]="",#N/A,((Tabela1511[[#This Row],[Core²-Retail Sales]]*1)/Q420)-1)</f>
        <v>3.5798045256935973E-2</v>
      </c>
      <c r="T432" s="5">
        <v>73.2</v>
      </c>
      <c r="U432" s="7">
        <v>54.6</v>
      </c>
      <c r="V432" s="25">
        <v>57.4</v>
      </c>
      <c r="W432" s="25">
        <v>53.2</v>
      </c>
      <c r="X432" s="25">
        <v>53.9</v>
      </c>
      <c r="Y432" s="25">
        <v>56.1</v>
      </c>
      <c r="Z432" s="25">
        <v>53.5</v>
      </c>
      <c r="AA432" s="25">
        <f>IF([1]!Tabela1511[[#This Row],[Services New Orders]]="","",([1]!Tabela1511[[#This Row],[Manufacturing New Orders]]+[1]!Tabela1511[[#This Row],[Services New Orders]])/2)</f>
        <v>56.75</v>
      </c>
      <c r="AB432" s="25">
        <f>IF([1]!Tabela1511[[#This Row],[Services Employment]]="",#N/A,([1]!Tabela1511[[#This Row],[Manufacturing Employment]]+[1]!Tabela1511[[#This Row],[Services Employment]])/2)</f>
        <v>53.35</v>
      </c>
    </row>
    <row r="433" spans="1:28">
      <c r="A433" s="6">
        <v>41579</v>
      </c>
      <c r="B433" s="36">
        <v>12013.7</v>
      </c>
      <c r="C433" s="8">
        <f>IF(Tabela1511[[#This Row],[Real PCE]]="",#N/A,((Tabela1511[[#This Row],[Real PCE]]*1)/B432)-1)</f>
        <v>4.1037727964161608E-3</v>
      </c>
      <c r="D433" s="8">
        <f>IF(Tabela1511[[#This Row],[Real PCE]]="",#N/A,((Tabela1511[[#This Row],[Real PCE]]*1)/B421)-1)</f>
        <v>2.2146783058519359E-2</v>
      </c>
      <c r="E433" s="7">
        <v>100.1661</v>
      </c>
      <c r="F433" s="8">
        <f>IF(Tabela1511[[#This Row],[Industrial Production]]="",#N/A,((Tabela1511[[#This Row],[Industrial Production]]*1)/E432)-1)</f>
        <v>2.4599605885891052E-3</v>
      </c>
      <c r="G433" s="8">
        <f>IF(Tabela1511[[#This Row],[Industrial Production]]="",#N/A,((Tabela1511[[#This Row],[Industrial Production]]*1)/E421)-1)</f>
        <v>2.279188024587997E-2</v>
      </c>
      <c r="H433" s="32">
        <v>420468</v>
      </c>
      <c r="I433" s="8">
        <f>IF(Tabela1511[[#This Row],[Retail Sales]]="",#N/A,((Tabela1511[[#This Row],[Retail Sales]]*1)/H432)-1)</f>
        <v>2.8142947091258641E-3</v>
      </c>
      <c r="J433" s="8">
        <f>IF(Tabela1511[[#This Row],[Retail Sales]]="",#N/A,((Tabela1511[[#This Row],[Retail Sales]]*1)/H421)-1)</f>
        <v>3.2416160445507325E-2</v>
      </c>
      <c r="K433" s="32">
        <v>338640</v>
      </c>
      <c r="L433" s="8">
        <f>IF(Tabela1511[[#This Row],[Core-Retail Sales]]="",#N/A,((Tabela1511[[#This Row],[Core-Retail Sales]]*1)/K432)-1)</f>
        <v>2.4926139290344373E-3</v>
      </c>
      <c r="M433" s="8">
        <f>IF(Tabela1511[[#This Row],[Core-Retail Sales]]="",#N/A,((Tabela1511[[#This Row],[Core-Retail Sales]]*1)/K421)-1)</f>
        <v>2.1973146949381128E-2</v>
      </c>
      <c r="N433" s="84">
        <v>179610</v>
      </c>
      <c r="O433" s="8">
        <f>IF(Tabela1511[[#This Row],[Real Retail Sales]]="",#N/A,((Tabela1511[[#This Row],[Real Retail Sales]]*1)/N432)-1)</f>
        <v>9.6412668513190525E-4</v>
      </c>
      <c r="P433" s="8">
        <f>IF(Tabela1511[[#This Row],[Real Retail Sales]]="",#N/A,((Tabela1511[[#This Row],[Real Retail Sales]]*1)/N421)-1)</f>
        <v>1.983919689295699E-2</v>
      </c>
      <c r="Q433" s="32">
        <v>293878</v>
      </c>
      <c r="R433" s="8">
        <f>IF(Tabela1511[[#This Row],[Core²-Retail Sales]]="",#N/A,((Tabela1511[[#This Row],[Core²-Retail Sales]]*1)/Q432)-1)</f>
        <v>3.6234235034167117E-3</v>
      </c>
      <c r="S433" s="8">
        <f>IF(Tabela1511[[#This Row],[Core²-Retail Sales]]="",#N/A,((Tabela1511[[#This Row],[Core²-Retail Sales]]*1)/Q421)-1)</f>
        <v>3.2828770950702468E-2</v>
      </c>
      <c r="T433" s="5">
        <v>75.099999999999994</v>
      </c>
      <c r="U433" s="7">
        <v>55.5</v>
      </c>
      <c r="V433" s="25">
        <v>59.5</v>
      </c>
      <c r="W433" s="25">
        <v>54.4</v>
      </c>
      <c r="X433" s="25">
        <v>53.1</v>
      </c>
      <c r="Y433" s="25">
        <v>54.4</v>
      </c>
      <c r="Z433" s="25">
        <v>54.3</v>
      </c>
      <c r="AA433" s="25">
        <f>IF([1]!Tabela1511[[#This Row],[Services New Orders]]="","",([1]!Tabela1511[[#This Row],[Manufacturing New Orders]]+[1]!Tabela1511[[#This Row],[Services New Orders]])/2)</f>
        <v>56.95</v>
      </c>
      <c r="AB433" s="25">
        <f>IF([1]!Tabela1511[[#This Row],[Services Employment]]="",#N/A,([1]!Tabela1511[[#This Row],[Manufacturing Employment]]+[1]!Tabela1511[[#This Row],[Services Employment]])/2)</f>
        <v>54.349999999999994</v>
      </c>
    </row>
    <row r="434" spans="1:28">
      <c r="A434" s="6">
        <v>41609</v>
      </c>
      <c r="B434" s="36">
        <v>12024.7</v>
      </c>
      <c r="C434" s="8">
        <f>IF(Tabela1511[[#This Row],[Real PCE]]="",#N/A,((Tabela1511[[#This Row],[Real PCE]]*1)/B433)-1)</f>
        <v>9.1562133231226639E-4</v>
      </c>
      <c r="D434" s="8">
        <f>IF(Tabela1511[[#This Row],[Real PCE]]="",#N/A,((Tabela1511[[#This Row],[Real PCE]]*1)/B422)-1)</f>
        <v>2.2656336375156405E-2</v>
      </c>
      <c r="E434" s="7">
        <v>100.3777</v>
      </c>
      <c r="F434" s="8">
        <f>IF(Tabela1511[[#This Row],[Industrial Production]]="",#N/A,((Tabela1511[[#This Row],[Industrial Production]]*1)/E433)-1)</f>
        <v>2.1124911521961387E-3</v>
      </c>
      <c r="G434" s="8">
        <f>IF(Tabela1511[[#This Row],[Industrial Production]]="",#N/A,((Tabela1511[[#This Row],[Industrial Production]]*1)/E422)-1)</f>
        <v>2.2192825952357609E-2</v>
      </c>
      <c r="H434" s="32">
        <v>422930</v>
      </c>
      <c r="I434" s="8">
        <f>IF(Tabela1511[[#This Row],[Retail Sales]]="",#N/A,((Tabela1511[[#This Row],[Retail Sales]]*1)/H433)-1)</f>
        <v>5.8553801954013274E-3</v>
      </c>
      <c r="J434" s="8">
        <f>IF(Tabela1511[[#This Row],[Retail Sales]]="",#N/A,((Tabela1511[[#This Row],[Retail Sales]]*1)/H422)-1)</f>
        <v>3.467088105920868E-2</v>
      </c>
      <c r="K434" s="32">
        <v>341465</v>
      </c>
      <c r="L434" s="8">
        <f>IF(Tabela1511[[#This Row],[Core-Retail Sales]]="",#N/A,((Tabela1511[[#This Row],[Core-Retail Sales]]*1)/K433)-1)</f>
        <v>8.3421922986062214E-3</v>
      </c>
      <c r="M434" s="8">
        <f>IF(Tabela1511[[#This Row],[Core-Retail Sales]]="",#N/A,((Tabela1511[[#This Row],[Core-Retail Sales]]*1)/K422)-1)</f>
        <v>2.8623671915243509E-2</v>
      </c>
      <c r="N434" s="84">
        <v>180186</v>
      </c>
      <c r="O434" s="8">
        <f>IF(Tabela1511[[#This Row],[Real Retail Sales]]="",#N/A,((Tabela1511[[#This Row],[Real Retail Sales]]*1)/N433)-1)</f>
        <v>3.2069483881744798E-3</v>
      </c>
      <c r="P434" s="8">
        <f>IF(Tabela1511[[#This Row],[Real Retail Sales]]="",#N/A,((Tabela1511[[#This Row],[Real Retail Sales]]*1)/N422)-1)</f>
        <v>1.9255354051883167E-2</v>
      </c>
      <c r="Q434" s="32">
        <v>294851</v>
      </c>
      <c r="R434" s="8">
        <f>IF(Tabela1511[[#This Row],[Core²-Retail Sales]]="",#N/A,((Tabela1511[[#This Row],[Core²-Retail Sales]]*1)/Q433)-1)</f>
        <v>3.3108977194618028E-3</v>
      </c>
      <c r="S434" s="8">
        <f>IF(Tabela1511[[#This Row],[Core²-Retail Sales]]="",#N/A,((Tabela1511[[#This Row],[Core²-Retail Sales]]*1)/Q422)-1)</f>
        <v>3.067006435330355E-2</v>
      </c>
      <c r="T434" s="5">
        <v>82.5</v>
      </c>
      <c r="U434" s="7">
        <v>56.5</v>
      </c>
      <c r="V434" s="25">
        <v>63.9</v>
      </c>
      <c r="W434" s="25">
        <v>53</v>
      </c>
      <c r="X434" s="25">
        <v>53.5</v>
      </c>
      <c r="Y434" s="25">
        <v>51.6</v>
      </c>
      <c r="Z434" s="25">
        <v>56.5</v>
      </c>
      <c r="AA434" s="25">
        <f>IF([1]!Tabela1511[[#This Row],[Services New Orders]]="","",([1]!Tabela1511[[#This Row],[Manufacturing New Orders]]+[1]!Tabela1511[[#This Row],[Services New Orders]])/2)</f>
        <v>57.75</v>
      </c>
      <c r="AB434" s="25">
        <f>IF([1]!Tabela1511[[#This Row],[Services Employment]]="",#N/A,([1]!Tabela1511[[#This Row],[Manufacturing Employment]]+[1]!Tabela1511[[#This Row],[Services Employment]])/2)</f>
        <v>54.75</v>
      </c>
    </row>
    <row r="435" spans="1:28">
      <c r="A435" s="6">
        <v>41640</v>
      </c>
      <c r="B435" s="36">
        <v>11985</v>
      </c>
      <c r="C435" s="8">
        <f>IF(Tabela1511[[#This Row],[Real PCE]]="",#N/A,((Tabela1511[[#This Row],[Real PCE]]*1)/B434)-1)</f>
        <v>-3.3015376682994368E-3</v>
      </c>
      <c r="D435" s="8">
        <f>IF(Tabela1511[[#This Row],[Real PCE]]="",#N/A,((Tabela1511[[#This Row],[Real PCE]]*1)/B423)-1)</f>
        <v>1.4766396288080186E-2</v>
      </c>
      <c r="E435" s="7">
        <v>99.998999999999995</v>
      </c>
      <c r="F435" s="8">
        <f>IF(Tabela1511[[#This Row],[Industrial Production]]="",#N/A,((Tabela1511[[#This Row],[Industrial Production]]*1)/E434)-1)</f>
        <v>-3.7727503220337244E-3</v>
      </c>
      <c r="G435" s="8">
        <f>IF(Tabela1511[[#This Row],[Industrial Production]]="",#N/A,((Tabela1511[[#This Row],[Industrial Production]]*1)/E423)-1)</f>
        <v>1.8289683909538335E-2</v>
      </c>
      <c r="H435" s="32">
        <v>419051</v>
      </c>
      <c r="I435" s="8">
        <f>IF(Tabela1511[[#This Row],[Retail Sales]]="",#N/A,((Tabela1511[[#This Row],[Retail Sales]]*1)/H434)-1)</f>
        <v>-9.1717305464261711E-3</v>
      </c>
      <c r="J435" s="8">
        <f>IF(Tabela1511[[#This Row],[Retail Sales]]="",#N/A,((Tabela1511[[#This Row],[Retail Sales]]*1)/H423)-1)</f>
        <v>1.7072111102211851E-2</v>
      </c>
      <c r="K435" s="32">
        <v>339933</v>
      </c>
      <c r="L435" s="8">
        <f>IF(Tabela1511[[#This Row],[Core-Retail Sales]]="",#N/A,((Tabela1511[[#This Row],[Core-Retail Sales]]*1)/K434)-1)</f>
        <v>-4.4865505981579457E-3</v>
      </c>
      <c r="M435" s="8">
        <f>IF(Tabela1511[[#This Row],[Core-Retail Sales]]="",#N/A,((Tabela1511[[#This Row],[Core-Retail Sales]]*1)/K423)-1)</f>
        <v>1.682884294974385E-2</v>
      </c>
      <c r="N435" s="84">
        <v>178101</v>
      </c>
      <c r="O435" s="8">
        <f>IF(Tabela1511[[#This Row],[Real Retail Sales]]="",#N/A,((Tabela1511[[#This Row],[Real Retail Sales]]*1)/N434)-1)</f>
        <v>-1.1571376244547293E-2</v>
      </c>
      <c r="P435" s="8">
        <f>IF(Tabela1511[[#This Row],[Real Retail Sales]]="",#N/A,((Tabela1511[[#This Row],[Real Retail Sales]]*1)/N423)-1)</f>
        <v>1.4676113360323484E-3</v>
      </c>
      <c r="Q435" s="32">
        <v>292805</v>
      </c>
      <c r="R435" s="8">
        <f>IF(Tabela1511[[#This Row],[Core²-Retail Sales]]="",#N/A,((Tabela1511[[#This Row],[Core²-Retail Sales]]*1)/Q434)-1)</f>
        <v>-6.9390980529148161E-3</v>
      </c>
      <c r="S435" s="8">
        <f>IF(Tabela1511[[#This Row],[Core²-Retail Sales]]="",#N/A,((Tabela1511[[#This Row],[Core²-Retail Sales]]*1)/Q423)-1)</f>
        <v>1.5573244541560394E-2</v>
      </c>
      <c r="T435" s="5">
        <v>81.2</v>
      </c>
      <c r="U435" s="7">
        <v>52.5</v>
      </c>
      <c r="V435" s="25">
        <v>54.6</v>
      </c>
      <c r="W435" s="25">
        <v>53.3</v>
      </c>
      <c r="X435" s="25">
        <v>55.2</v>
      </c>
      <c r="Y435" s="25">
        <v>54.1</v>
      </c>
      <c r="Z435" s="25">
        <v>48.7</v>
      </c>
      <c r="AA435" s="25">
        <f>IF([1]!Tabela1511[[#This Row],[Services New Orders]]="","",([1]!Tabela1511[[#This Row],[Manufacturing New Orders]]+[1]!Tabela1511[[#This Row],[Services New Orders]])/2)</f>
        <v>54.35</v>
      </c>
      <c r="AB435" s="25">
        <f>IF([1]!Tabela1511[[#This Row],[Services Employment]]="",#N/A,([1]!Tabela1511[[#This Row],[Manufacturing Employment]]+[1]!Tabela1511[[#This Row],[Services Employment]])/2)</f>
        <v>51</v>
      </c>
    </row>
    <row r="436" spans="1:28">
      <c r="A436" s="6">
        <v>41671</v>
      </c>
      <c r="B436" s="36">
        <v>12039.4</v>
      </c>
      <c r="C436" s="8">
        <f>IF(Tabela1511[[#This Row],[Real PCE]]="",#N/A,((Tabela1511[[#This Row],[Real PCE]]*1)/B435)-1)</f>
        <v>4.5390070921984549E-3</v>
      </c>
      <c r="D436" s="8">
        <f>IF(Tabela1511[[#This Row],[Real PCE]]="",#N/A,((Tabela1511[[#This Row],[Real PCE]]*1)/B424)-1)</f>
        <v>1.9545077316531989E-2</v>
      </c>
      <c r="E436" s="7">
        <v>100.75830000000001</v>
      </c>
      <c r="F436" s="8">
        <f>IF(Tabela1511[[#This Row],[Industrial Production]]="",#N/A,((Tabela1511[[#This Row],[Industrial Production]]*1)/E435)-1)</f>
        <v>7.5930759307594187E-3</v>
      </c>
      <c r="G436" s="8">
        <f>IF(Tabela1511[[#This Row],[Industrial Production]]="",#N/A,((Tabela1511[[#This Row],[Industrial Production]]*1)/E424)-1)</f>
        <v>2.1130336169967068E-2</v>
      </c>
      <c r="H436" s="32">
        <v>424784</v>
      </c>
      <c r="I436" s="8">
        <f>IF(Tabela1511[[#This Row],[Retail Sales]]="",#N/A,((Tabela1511[[#This Row],[Retail Sales]]*1)/H435)-1)</f>
        <v>1.3680912347184382E-2</v>
      </c>
      <c r="J436" s="8">
        <f>IF(Tabela1511[[#This Row],[Retail Sales]]="",#N/A,((Tabela1511[[#This Row],[Retail Sales]]*1)/H424)-1)</f>
        <v>1.8503022296177729E-2</v>
      </c>
      <c r="K436" s="32">
        <v>343294</v>
      </c>
      <c r="L436" s="8">
        <f>IF(Tabela1511[[#This Row],[Core-Retail Sales]]="",#N/A,((Tabela1511[[#This Row],[Core-Retail Sales]]*1)/K435)-1)</f>
        <v>9.8872424860192432E-3</v>
      </c>
      <c r="M436" s="8">
        <f>IF(Tabela1511[[#This Row],[Core-Retail Sales]]="",#N/A,((Tabela1511[[#This Row],[Core-Retail Sales]]*1)/K424)-1)</f>
        <v>1.4924049360524494E-2</v>
      </c>
      <c r="N436" s="84">
        <v>180339</v>
      </c>
      <c r="O436" s="8">
        <f>IF(Tabela1511[[#This Row],[Real Retail Sales]]="",#N/A,((Tabela1511[[#This Row],[Real Retail Sales]]*1)/N435)-1)</f>
        <v>1.2565903616487351E-2</v>
      </c>
      <c r="P436" s="8">
        <f>IF(Tabela1511[[#This Row],[Real Retail Sales]]="",#N/A,((Tabela1511[[#This Row],[Real Retail Sales]]*1)/N424)-1)</f>
        <v>7.2159823956838842E-3</v>
      </c>
      <c r="Q436" s="32">
        <v>295780</v>
      </c>
      <c r="R436" s="8">
        <f>IF(Tabela1511[[#This Row],[Core²-Retail Sales]]="",#N/A,((Tabela1511[[#This Row],[Core²-Retail Sales]]*1)/Q435)-1)</f>
        <v>1.0160345622513223E-2</v>
      </c>
      <c r="S436" s="8">
        <f>IF(Tabela1511[[#This Row],[Core²-Retail Sales]]="",#N/A,((Tabela1511[[#This Row],[Core²-Retail Sales]]*1)/Q424)-1)</f>
        <v>2.2745347542548089E-2</v>
      </c>
      <c r="T436" s="5">
        <v>81.599999999999994</v>
      </c>
      <c r="U436" s="7">
        <v>55</v>
      </c>
      <c r="V436" s="25">
        <v>58.6</v>
      </c>
      <c r="W436" s="25">
        <v>54.6</v>
      </c>
      <c r="X436" s="25">
        <v>53.4</v>
      </c>
      <c r="Y436" s="25">
        <v>54.9</v>
      </c>
      <c r="Z436" s="25">
        <v>54.5</v>
      </c>
      <c r="AA436" s="25">
        <f>IF([1]!Tabela1511[[#This Row],[Services New Orders]]="","",([1]!Tabela1511[[#This Row],[Manufacturing New Orders]]+[1]!Tabela1511[[#This Row],[Services New Orders]])/2)</f>
        <v>56.75</v>
      </c>
      <c r="AB436" s="25">
        <f>IF([1]!Tabela1511[[#This Row],[Services Employment]]="",#N/A,([1]!Tabela1511[[#This Row],[Manufacturing Employment]]+[1]!Tabela1511[[#This Row],[Services Employment]])/2)</f>
        <v>54.55</v>
      </c>
    </row>
    <row r="437" spans="1:28">
      <c r="A437" s="6">
        <v>41699</v>
      </c>
      <c r="B437" s="36">
        <v>12108.3</v>
      </c>
      <c r="C437" s="8">
        <f>IF(Tabela1511[[#This Row],[Real PCE]]="",#N/A,((Tabela1511[[#This Row],[Real PCE]]*1)/B436)-1)</f>
        <v>5.7228765553101191E-3</v>
      </c>
      <c r="D437" s="8">
        <f>IF(Tabela1511[[#This Row],[Real PCE]]="",#N/A,((Tabela1511[[#This Row],[Real PCE]]*1)/B425)-1)</f>
        <v>2.4061638390365125E-2</v>
      </c>
      <c r="E437" s="7">
        <v>101.77670000000001</v>
      </c>
      <c r="F437" s="8">
        <f>IF(Tabela1511[[#This Row],[Industrial Production]]="",#N/A,((Tabela1511[[#This Row],[Industrial Production]]*1)/E436)-1)</f>
        <v>1.0107355920058181E-2</v>
      </c>
      <c r="G437" s="8">
        <f>IF(Tabela1511[[#This Row],[Industrial Production]]="",#N/A,((Tabela1511[[#This Row],[Industrial Production]]*1)/E425)-1)</f>
        <v>2.7229841298037627E-2</v>
      </c>
      <c r="H437" s="32">
        <v>429251</v>
      </c>
      <c r="I437" s="8">
        <f>IF(Tabela1511[[#This Row],[Retail Sales]]="",#N/A,((Tabela1511[[#This Row],[Retail Sales]]*1)/H436)-1)</f>
        <v>1.0515932803495387E-2</v>
      </c>
      <c r="J437" s="8">
        <f>IF(Tabela1511[[#This Row],[Retail Sales]]="",#N/A,((Tabela1511[[#This Row],[Retail Sales]]*1)/H425)-1)</f>
        <v>3.6550233630754825E-2</v>
      </c>
      <c r="K437" s="32">
        <v>344817</v>
      </c>
      <c r="L437" s="8">
        <f>IF(Tabela1511[[#This Row],[Core-Retail Sales]]="",#N/A,((Tabela1511[[#This Row],[Core-Retail Sales]]*1)/K436)-1)</f>
        <v>4.4364305813675564E-3</v>
      </c>
      <c r="M437" s="8">
        <f>IF(Tabela1511[[#This Row],[Core-Retail Sales]]="",#N/A,((Tabela1511[[#This Row],[Core-Retail Sales]]*1)/K425)-1)</f>
        <v>2.5789235693801649E-2</v>
      </c>
      <c r="N437" s="84">
        <v>181864</v>
      </c>
      <c r="O437" s="8">
        <f>IF(Tabela1511[[#This Row],[Real Retail Sales]]="",#N/A,((Tabela1511[[#This Row],[Real Retail Sales]]*1)/N436)-1)</f>
        <v>8.4562961977165951E-3</v>
      </c>
      <c r="P437" s="8">
        <f>IF(Tabela1511[[#This Row],[Real Retail Sales]]="",#N/A,((Tabela1511[[#This Row],[Real Retail Sales]]*1)/N425)-1)</f>
        <v>2.0097486552128396E-2</v>
      </c>
      <c r="Q437" s="32">
        <v>297957</v>
      </c>
      <c r="R437" s="8">
        <f>IF(Tabela1511[[#This Row],[Core²-Retail Sales]]="",#N/A,((Tabela1511[[#This Row],[Core²-Retail Sales]]*1)/Q436)-1)</f>
        <v>7.3602001487591551E-3</v>
      </c>
      <c r="S437" s="8">
        <f>IF(Tabela1511[[#This Row],[Core²-Retail Sales]]="",#N/A,((Tabela1511[[#This Row],[Core²-Retail Sales]]*1)/Q425)-1)</f>
        <v>3.2726201410671951E-2</v>
      </c>
      <c r="T437" s="5">
        <v>80</v>
      </c>
      <c r="U437" s="7">
        <v>55.9</v>
      </c>
      <c r="V437" s="25">
        <v>58.8</v>
      </c>
      <c r="W437" s="25">
        <v>54</v>
      </c>
      <c r="X437" s="25">
        <v>54.9</v>
      </c>
      <c r="Y437" s="25">
        <v>56</v>
      </c>
      <c r="Z437" s="25">
        <v>53.1</v>
      </c>
      <c r="AA437" s="25">
        <f>IF([1]!Tabela1511[[#This Row],[Services New Orders]]="","",([1]!Tabela1511[[#This Row],[Manufacturing New Orders]]+[1]!Tabela1511[[#This Row],[Services New Orders]])/2)</f>
        <v>57.4</v>
      </c>
      <c r="AB437" s="25">
        <f>IF([1]!Tabela1511[[#This Row],[Services Employment]]="",#N/A,([1]!Tabela1511[[#This Row],[Manufacturing Employment]]+[1]!Tabela1511[[#This Row],[Services Employment]])/2)</f>
        <v>53.55</v>
      </c>
    </row>
    <row r="438" spans="1:28">
      <c r="A438" s="6">
        <v>41730</v>
      </c>
      <c r="B438" s="36">
        <v>12128.1</v>
      </c>
      <c r="C438" s="8">
        <f>IF(Tabela1511[[#This Row],[Real PCE]]="",#N/A,((Tabela1511[[#This Row],[Real PCE]]*1)/B437)-1)</f>
        <v>1.6352419414782382E-3</v>
      </c>
      <c r="D438" s="8">
        <f>IF(Tabela1511[[#This Row],[Real PCE]]="",#N/A,((Tabela1511[[#This Row],[Real PCE]]*1)/B426)-1)</f>
        <v>2.5510721775011902E-2</v>
      </c>
      <c r="E438" s="7">
        <v>101.8425</v>
      </c>
      <c r="F438" s="8">
        <f>IF(Tabela1511[[#This Row],[Industrial Production]]="",#N/A,((Tabela1511[[#This Row],[Industrial Production]]*1)/E437)-1)</f>
        <v>6.4651339648458261E-4</v>
      </c>
      <c r="G438" s="8">
        <f>IF(Tabela1511[[#This Row],[Industrial Production]]="",#N/A,((Tabela1511[[#This Row],[Industrial Production]]*1)/E426)-1)</f>
        <v>2.9067617298096815E-2</v>
      </c>
      <c r="H438" s="32">
        <v>433581</v>
      </c>
      <c r="I438" s="8">
        <f>IF(Tabela1511[[#This Row],[Retail Sales]]="",#N/A,((Tabela1511[[#This Row],[Retail Sales]]*1)/H437)-1)</f>
        <v>1.0087338177430016E-2</v>
      </c>
      <c r="J438" s="8">
        <f>IF(Tabela1511[[#This Row],[Retail Sales]]="",#N/A,((Tabela1511[[#This Row],[Retail Sales]]*1)/H426)-1)</f>
        <v>5.2733682641272983E-2</v>
      </c>
      <c r="K438" s="32">
        <v>347766</v>
      </c>
      <c r="L438" s="8">
        <f>IF(Tabela1511[[#This Row],[Core-Retail Sales]]="",#N/A,((Tabela1511[[#This Row],[Core-Retail Sales]]*1)/K437)-1)</f>
        <v>8.5523625575305573E-3</v>
      </c>
      <c r="M438" s="8">
        <f>IF(Tabela1511[[#This Row],[Core-Retail Sales]]="",#N/A,((Tabela1511[[#This Row],[Core-Retail Sales]]*1)/K426)-1)</f>
        <v>4.2632800273425531E-2</v>
      </c>
      <c r="N438" s="84">
        <v>183357</v>
      </c>
      <c r="O438" s="8">
        <f>IF(Tabela1511[[#This Row],[Real Retail Sales]]="",#N/A,((Tabela1511[[#This Row],[Real Retail Sales]]*1)/N437)-1)</f>
        <v>8.2094312233316202E-3</v>
      </c>
      <c r="P438" s="8">
        <f>IF(Tabela1511[[#This Row],[Real Retail Sales]]="",#N/A,((Tabela1511[[#This Row],[Real Retail Sales]]*1)/N426)-1)</f>
        <v>3.1939082180524769E-2</v>
      </c>
      <c r="Q438" s="32">
        <v>300686</v>
      </c>
      <c r="R438" s="8">
        <f>IF(Tabela1511[[#This Row],[Core²-Retail Sales]]="",#N/A,((Tabela1511[[#This Row],[Core²-Retail Sales]]*1)/Q437)-1)</f>
        <v>9.1590397272089952E-3</v>
      </c>
      <c r="S438" s="8">
        <f>IF(Tabela1511[[#This Row],[Core²-Retail Sales]]="",#N/A,((Tabela1511[[#This Row],[Core²-Retail Sales]]*1)/Q426)-1)</f>
        <v>4.6301064792261037E-2</v>
      </c>
      <c r="T438" s="5">
        <v>84.1</v>
      </c>
      <c r="U438" s="7">
        <v>56.6</v>
      </c>
      <c r="V438" s="25">
        <v>57.3</v>
      </c>
      <c r="W438" s="25">
        <v>57.5</v>
      </c>
      <c r="X438" s="25">
        <v>55.7</v>
      </c>
      <c r="Y438" s="25">
        <v>58.7</v>
      </c>
      <c r="Z438" s="25">
        <v>55.2</v>
      </c>
      <c r="AA438" s="25">
        <f>IF([1]!Tabela1511[[#This Row],[Services New Orders]]="","",([1]!Tabela1511[[#This Row],[Manufacturing New Orders]]+[1]!Tabela1511[[#This Row],[Services New Orders]])/2)</f>
        <v>58</v>
      </c>
      <c r="AB438" s="25">
        <f>IF([1]!Tabela1511[[#This Row],[Services Employment]]="",#N/A,([1]!Tabela1511[[#This Row],[Manufacturing Employment]]+[1]!Tabela1511[[#This Row],[Services Employment]])/2)</f>
        <v>56.35</v>
      </c>
    </row>
    <row r="439" spans="1:28">
      <c r="A439" s="6">
        <v>41760</v>
      </c>
      <c r="B439" s="36">
        <v>12154.5</v>
      </c>
      <c r="C439" s="8">
        <f>IF(Tabela1511[[#This Row],[Real PCE]]="",#N/A,((Tabela1511[[#This Row],[Real PCE]]*1)/B438)-1)</f>
        <v>2.1767630543942929E-3</v>
      </c>
      <c r="D439" s="8">
        <f>IF(Tabela1511[[#This Row],[Real PCE]]="",#N/A,((Tabela1511[[#This Row],[Real PCE]]*1)/B427)-1)</f>
        <v>2.4822724934865592E-2</v>
      </c>
      <c r="E439" s="7">
        <v>102.2594</v>
      </c>
      <c r="F439" s="8">
        <f>IF(Tabela1511[[#This Row],[Industrial Production]]="",#N/A,((Tabela1511[[#This Row],[Industrial Production]]*1)/E438)-1)</f>
        <v>4.0935758646929443E-3</v>
      </c>
      <c r="G439" s="8">
        <f>IF(Tabela1511[[#This Row],[Industrial Production]]="",#N/A,((Tabela1511[[#This Row],[Industrial Production]]*1)/E427)-1)</f>
        <v>3.2331987639402371E-2</v>
      </c>
      <c r="H439" s="32">
        <v>434292</v>
      </c>
      <c r="I439" s="8">
        <f>IF(Tabela1511[[#This Row],[Retail Sales]]="",#N/A,((Tabela1511[[#This Row],[Retail Sales]]*1)/H438)-1)</f>
        <v>1.6398320037085412E-3</v>
      </c>
      <c r="J439" s="8">
        <f>IF(Tabela1511[[#This Row],[Retail Sales]]="",#N/A,((Tabela1511[[#This Row],[Retail Sales]]*1)/H427)-1)</f>
        <v>4.812839386991663E-2</v>
      </c>
      <c r="K439" s="32">
        <v>348378</v>
      </c>
      <c r="L439" s="8">
        <f>IF(Tabela1511[[#This Row],[Core-Retail Sales]]="",#N/A,((Tabela1511[[#This Row],[Core-Retail Sales]]*1)/K438)-1)</f>
        <v>1.7598040061419518E-3</v>
      </c>
      <c r="M439" s="8">
        <f>IF(Tabela1511[[#This Row],[Core-Retail Sales]]="",#N/A,((Tabela1511[[#This Row],[Core-Retail Sales]]*1)/K427)-1)</f>
        <v>4.1292671335443565E-2</v>
      </c>
      <c r="N439" s="84">
        <v>183309</v>
      </c>
      <c r="O439" s="8">
        <f>IF(Tabela1511[[#This Row],[Real Retail Sales]]="",#N/A,((Tabela1511[[#This Row],[Real Retail Sales]]*1)/N438)-1)</f>
        <v>-2.617843878335302E-4</v>
      </c>
      <c r="P439" s="8">
        <f>IF(Tabela1511[[#This Row],[Real Retail Sales]]="",#N/A,((Tabela1511[[#This Row],[Real Retail Sales]]*1)/N427)-1)</f>
        <v>2.5895165713390345E-2</v>
      </c>
      <c r="Q439" s="32">
        <v>301556</v>
      </c>
      <c r="R439" s="8">
        <f>IF(Tabela1511[[#This Row],[Core²-Retail Sales]]="",#N/A,((Tabela1511[[#This Row],[Core²-Retail Sales]]*1)/Q438)-1)</f>
        <v>2.8933837957203501E-3</v>
      </c>
      <c r="S439" s="8">
        <f>IF(Tabela1511[[#This Row],[Core²-Retail Sales]]="",#N/A,((Tabela1511[[#This Row],[Core²-Retail Sales]]*1)/Q427)-1)</f>
        <v>4.3540249295784372E-2</v>
      </c>
      <c r="T439" s="5">
        <v>81.900000000000006</v>
      </c>
      <c r="U439" s="7">
        <v>55.7</v>
      </c>
      <c r="V439" s="25">
        <v>57.9</v>
      </c>
      <c r="W439" s="25">
        <v>55.1</v>
      </c>
      <c r="X439" s="25">
        <v>56</v>
      </c>
      <c r="Y439" s="25">
        <v>58.8</v>
      </c>
      <c r="Z439" s="25">
        <v>54.7</v>
      </c>
      <c r="AA439" s="25">
        <f>IF([1]!Tabela1511[[#This Row],[Services New Orders]]="","",([1]!Tabela1511[[#This Row],[Manufacturing New Orders]]+[1]!Tabela1511[[#This Row],[Services New Orders]])/2)</f>
        <v>58.349999999999994</v>
      </c>
      <c r="AB439" s="25">
        <f>IF([1]!Tabela1511[[#This Row],[Services Employment]]="",#N/A,([1]!Tabela1511[[#This Row],[Manufacturing Employment]]+[1]!Tabela1511[[#This Row],[Services Employment]])/2)</f>
        <v>54.900000000000006</v>
      </c>
    </row>
    <row r="440" spans="1:28">
      <c r="A440" s="6">
        <v>41791</v>
      </c>
      <c r="B440" s="36">
        <v>12197.1</v>
      </c>
      <c r="C440" s="8">
        <f>IF(Tabela1511[[#This Row],[Real PCE]]="",#N/A,((Tabela1511[[#This Row],[Real PCE]]*1)/B439)-1)</f>
        <v>3.5048747377515177E-3</v>
      </c>
      <c r="D440" s="8">
        <f>IF(Tabela1511[[#This Row],[Real PCE]]="",#N/A,((Tabela1511[[#This Row],[Real PCE]]*1)/B428)-1)</f>
        <v>2.8622751461075957E-2</v>
      </c>
      <c r="E440" s="7">
        <v>102.5986</v>
      </c>
      <c r="F440" s="8">
        <f>IF(Tabela1511[[#This Row],[Industrial Production]]="",#N/A,((Tabela1511[[#This Row],[Industrial Production]]*1)/E439)-1)</f>
        <v>3.3170544712759487E-3</v>
      </c>
      <c r="G440" s="8">
        <f>IF(Tabela1511[[#This Row],[Industrial Production]]="",#N/A,((Tabela1511[[#This Row],[Industrial Production]]*1)/E428)-1)</f>
        <v>3.3818206734218537E-2</v>
      </c>
      <c r="H440" s="32">
        <v>435487</v>
      </c>
      <c r="I440" s="8">
        <f>IF(Tabela1511[[#This Row],[Retail Sales]]="",#N/A,((Tabela1511[[#This Row],[Retail Sales]]*1)/H439)-1)</f>
        <v>2.7516049109814755E-3</v>
      </c>
      <c r="J440" s="8">
        <f>IF(Tabela1511[[#This Row],[Retail Sales]]="",#N/A,((Tabela1511[[#This Row],[Retail Sales]]*1)/H428)-1)</f>
        <v>4.8219538143813745E-2</v>
      </c>
      <c r="K440" s="32">
        <v>349266</v>
      </c>
      <c r="L440" s="8">
        <f>IF(Tabela1511[[#This Row],[Core-Retail Sales]]="",#N/A,((Tabela1511[[#This Row],[Core-Retail Sales]]*1)/K439)-1)</f>
        <v>2.5489554449478202E-3</v>
      </c>
      <c r="M440" s="8">
        <f>IF(Tabela1511[[#This Row],[Core-Retail Sales]]="",#N/A,((Tabela1511[[#This Row],[Core-Retail Sales]]*1)/K428)-1)</f>
        <v>4.5284091759318912E-2</v>
      </c>
      <c r="N440" s="84">
        <v>183571</v>
      </c>
      <c r="O440" s="8">
        <f>IF(Tabela1511[[#This Row],[Real Retail Sales]]="",#N/A,((Tabela1511[[#This Row],[Real Retail Sales]]*1)/N439)-1)</f>
        <v>1.4292806136086966E-3</v>
      </c>
      <c r="P440" s="8">
        <f>IF(Tabela1511[[#This Row],[Real Retail Sales]]="",#N/A,((Tabela1511[[#This Row],[Real Retail Sales]]*1)/N428)-1)</f>
        <v>2.7074055009735254E-2</v>
      </c>
      <c r="Q440" s="32">
        <v>303535</v>
      </c>
      <c r="R440" s="8">
        <f>IF(Tabela1511[[#This Row],[Core²-Retail Sales]]="",#N/A,((Tabela1511[[#This Row],[Core²-Retail Sales]]*1)/Q439)-1)</f>
        <v>6.5626285001789686E-3</v>
      </c>
      <c r="S440" s="8">
        <f>IF(Tabela1511[[#This Row],[Core²-Retail Sales]]="",#N/A,((Tabela1511[[#This Row],[Core²-Retail Sales]]*1)/Q428)-1)</f>
        <v>5.2804090027782413E-2</v>
      </c>
      <c r="T440" s="5">
        <v>82.5</v>
      </c>
      <c r="U440" s="7">
        <v>55</v>
      </c>
      <c r="V440" s="25">
        <v>56.8</v>
      </c>
      <c r="W440" s="25">
        <v>53.4</v>
      </c>
      <c r="X440" s="25">
        <v>56.8</v>
      </c>
      <c r="Y440" s="25">
        <v>61.1</v>
      </c>
      <c r="Z440" s="25">
        <v>56.2</v>
      </c>
      <c r="AA440" s="25">
        <f>IF([1]!Tabela1511[[#This Row],[Services New Orders]]="","",([1]!Tabela1511[[#This Row],[Manufacturing New Orders]]+[1]!Tabela1511[[#This Row],[Services New Orders]])/2)</f>
        <v>58.95</v>
      </c>
      <c r="AB440" s="25">
        <f>IF([1]!Tabela1511[[#This Row],[Services Employment]]="",#N/A,([1]!Tabela1511[[#This Row],[Manufacturing Employment]]+[1]!Tabela1511[[#This Row],[Services Employment]])/2)</f>
        <v>54.8</v>
      </c>
    </row>
    <row r="441" spans="1:28">
      <c r="A441" s="6">
        <v>41821</v>
      </c>
      <c r="B441" s="36">
        <v>12223.6</v>
      </c>
      <c r="C441" s="8">
        <f>IF(Tabela1511[[#This Row],[Real PCE]]="",#N/A,((Tabela1511[[#This Row],[Real PCE]]*1)/B440)-1)</f>
        <v>2.1726475965597736E-3</v>
      </c>
      <c r="D441" s="8">
        <f>IF(Tabela1511[[#This Row],[Real PCE]]="",#N/A,((Tabela1511[[#This Row],[Real PCE]]*1)/B429)-1)</f>
        <v>2.9589885700327834E-2</v>
      </c>
      <c r="E441" s="7">
        <v>102.8163</v>
      </c>
      <c r="F441" s="8">
        <f>IF(Tabela1511[[#This Row],[Industrial Production]]="",#N/A,((Tabela1511[[#This Row],[Industrial Production]]*1)/E440)-1)</f>
        <v>2.1218613119475815E-3</v>
      </c>
      <c r="G441" s="8">
        <f>IF(Tabela1511[[#This Row],[Industrial Production]]="",#N/A,((Tabela1511[[#This Row],[Industrial Production]]*1)/E429)-1)</f>
        <v>3.9327455527274013E-2</v>
      </c>
      <c r="H441" s="32">
        <v>436102</v>
      </c>
      <c r="I441" s="8">
        <f>IF(Tabela1511[[#This Row],[Retail Sales]]="",#N/A,((Tabela1511[[#This Row],[Retail Sales]]*1)/H440)-1)</f>
        <v>1.4122120752169121E-3</v>
      </c>
      <c r="J441" s="8">
        <f>IF(Tabela1511[[#This Row],[Retail Sales]]="",#N/A,((Tabela1511[[#This Row],[Retail Sales]]*1)/H429)-1)</f>
        <v>4.2769867173582998E-2</v>
      </c>
      <c r="K441" s="32">
        <v>349579</v>
      </c>
      <c r="L441" s="8">
        <f>IF(Tabela1511[[#This Row],[Core-Retail Sales]]="",#N/A,((Tabela1511[[#This Row],[Core-Retail Sales]]*1)/K440)-1)</f>
        <v>8.9616510052503706E-4</v>
      </c>
      <c r="M441" s="8">
        <f>IF(Tabela1511[[#This Row],[Core-Retail Sales]]="",#N/A,((Tabela1511[[#This Row],[Core-Retail Sales]]*1)/K429)-1)</f>
        <v>3.8670208340761292E-2</v>
      </c>
      <c r="N441" s="84">
        <v>183623</v>
      </c>
      <c r="O441" s="8">
        <f>IF(Tabela1511[[#This Row],[Real Retail Sales]]="",#N/A,((Tabela1511[[#This Row],[Real Retail Sales]]*1)/N440)-1)</f>
        <v>2.8326914381904267E-4</v>
      </c>
      <c r="P441" s="8">
        <f>IF(Tabela1511[[#This Row],[Real Retail Sales]]="",#N/A,((Tabela1511[[#This Row],[Real Retail Sales]]*1)/N429)-1)</f>
        <v>2.2581974516617587E-2</v>
      </c>
      <c r="Q441" s="32">
        <v>303774</v>
      </c>
      <c r="R441" s="8">
        <f>IF(Tabela1511[[#This Row],[Core²-Retail Sales]]="",#N/A,((Tabela1511[[#This Row],[Core²-Retail Sales]]*1)/Q440)-1)</f>
        <v>7.8738860427951529E-4</v>
      </c>
      <c r="S441" s="8">
        <f>IF(Tabela1511[[#This Row],[Core²-Retail Sales]]="",#N/A,((Tabela1511[[#This Row],[Core²-Retail Sales]]*1)/Q429)-1)</f>
        <v>4.5474100102904425E-2</v>
      </c>
      <c r="T441" s="5">
        <v>81.8</v>
      </c>
      <c r="U441" s="7">
        <v>55.1</v>
      </c>
      <c r="V441" s="25">
        <v>57.4</v>
      </c>
      <c r="W441" s="25">
        <v>55.1</v>
      </c>
      <c r="X441" s="25">
        <v>56.9</v>
      </c>
      <c r="Y441" s="25">
        <v>60.4</v>
      </c>
      <c r="Z441" s="25">
        <v>56.4</v>
      </c>
      <c r="AA441" s="25">
        <f>IF([1]!Tabela1511[[#This Row],[Services New Orders]]="","",([1]!Tabela1511[[#This Row],[Manufacturing New Orders]]+[1]!Tabela1511[[#This Row],[Services New Orders]])/2)</f>
        <v>58.9</v>
      </c>
      <c r="AB441" s="25">
        <f>IF([1]!Tabela1511[[#This Row],[Services Employment]]="",#N/A,([1]!Tabela1511[[#This Row],[Manufacturing Employment]]+[1]!Tabela1511[[#This Row],[Services Employment]])/2)</f>
        <v>55.75</v>
      </c>
    </row>
    <row r="442" spans="1:28">
      <c r="A442" s="6">
        <v>41852</v>
      </c>
      <c r="B442" s="36">
        <v>12306.5</v>
      </c>
      <c r="C442" s="8">
        <f>IF(Tabela1511[[#This Row],[Real PCE]]="",#N/A,((Tabela1511[[#This Row],[Real PCE]]*1)/B441)-1)</f>
        <v>6.7819627605614219E-3</v>
      </c>
      <c r="D442" s="8">
        <f>IF(Tabela1511[[#This Row],[Real PCE]]="",#N/A,((Tabela1511[[#This Row],[Real PCE]]*1)/B430)-1)</f>
        <v>3.5003322035608964E-2</v>
      </c>
      <c r="E442" s="7">
        <v>102.6562</v>
      </c>
      <c r="F442" s="8">
        <f>IF(Tabela1511[[#This Row],[Industrial Production]]="",#N/A,((Tabela1511[[#This Row],[Industrial Production]]*1)/E441)-1)</f>
        <v>-1.5571460945394966E-3</v>
      </c>
      <c r="G442" s="8">
        <f>IF(Tabela1511[[#This Row],[Industrial Production]]="",#N/A,((Tabela1511[[#This Row],[Industrial Production]]*1)/E430)-1)</f>
        <v>3.1659429239874193E-2</v>
      </c>
      <c r="H442" s="32">
        <v>439643</v>
      </c>
      <c r="I442" s="8">
        <f>IF(Tabela1511[[#This Row],[Retail Sales]]="",#N/A,((Tabela1511[[#This Row],[Retail Sales]]*1)/H441)-1)</f>
        <v>8.1196600795225837E-3</v>
      </c>
      <c r="J442" s="8">
        <f>IF(Tabela1511[[#This Row],[Retail Sales]]="",#N/A,((Tabela1511[[#This Row],[Retail Sales]]*1)/H430)-1)</f>
        <v>5.3317169355205918E-2</v>
      </c>
      <c r="K442" s="32">
        <v>352198</v>
      </c>
      <c r="L442" s="8">
        <f>IF(Tabela1511[[#This Row],[Core-Retail Sales]]="",#N/A,((Tabela1511[[#This Row],[Core-Retail Sales]]*1)/K441)-1)</f>
        <v>7.4918687907454817E-3</v>
      </c>
      <c r="M442" s="8">
        <f>IF(Tabela1511[[#This Row],[Core-Retail Sales]]="",#N/A,((Tabela1511[[#This Row],[Core-Retail Sales]]*1)/K430)-1)</f>
        <v>4.7952583000577143E-2</v>
      </c>
      <c r="N442" s="84">
        <v>185144</v>
      </c>
      <c r="O442" s="8">
        <f>IF(Tabela1511[[#This Row],[Real Retail Sales]]="",#N/A,((Tabela1511[[#This Row],[Real Retail Sales]]*1)/N441)-1)</f>
        <v>8.2832760601885269E-3</v>
      </c>
      <c r="P442" s="8">
        <f>IF(Tabela1511[[#This Row],[Real Retail Sales]]="",#N/A,((Tabela1511[[#This Row],[Real Retail Sales]]*1)/N430)-1)</f>
        <v>3.5556276463053704E-2</v>
      </c>
      <c r="Q442" s="32">
        <v>306293</v>
      </c>
      <c r="R442" s="8">
        <f>IF(Tabela1511[[#This Row],[Core²-Retail Sales]]="",#N/A,((Tabela1511[[#This Row],[Core²-Retail Sales]]*1)/Q441)-1)</f>
        <v>8.2923489172872511E-3</v>
      </c>
      <c r="S442" s="8">
        <f>IF(Tabela1511[[#This Row],[Core²-Retail Sales]]="",#N/A,((Tabela1511[[#This Row],[Core²-Retail Sales]]*1)/Q430)-1)</f>
        <v>5.4698906366215772E-2</v>
      </c>
      <c r="T442" s="5">
        <v>82.5</v>
      </c>
      <c r="U442" s="7">
        <v>56.3</v>
      </c>
      <c r="V442" s="25">
        <v>60.1</v>
      </c>
      <c r="W442" s="25">
        <v>56.9</v>
      </c>
      <c r="X442" s="25">
        <v>58</v>
      </c>
      <c r="Y442" s="25">
        <v>61.1</v>
      </c>
      <c r="Z442" s="25">
        <v>55.9</v>
      </c>
      <c r="AA442" s="25">
        <f>IF([1]!Tabela1511[[#This Row],[Services New Orders]]="","",([1]!Tabela1511[[#This Row],[Manufacturing New Orders]]+[1]!Tabela1511[[#This Row],[Services New Orders]])/2)</f>
        <v>60.6</v>
      </c>
      <c r="AB442" s="25">
        <f>IF([1]!Tabela1511[[#This Row],[Services Employment]]="",#N/A,([1]!Tabela1511[[#This Row],[Manufacturing Employment]]+[1]!Tabela1511[[#This Row],[Services Employment]])/2)</f>
        <v>56.4</v>
      </c>
    </row>
    <row r="443" spans="1:28">
      <c r="A443" s="6">
        <v>41883</v>
      </c>
      <c r="B443" s="36">
        <v>12310.2</v>
      </c>
      <c r="C443" s="8">
        <f>IF(Tabela1511[[#This Row],[Real PCE]]="",#N/A,((Tabela1511[[#This Row],[Real PCE]]*1)/B442)-1)</f>
        <v>3.0065412586854912E-4</v>
      </c>
      <c r="D443" s="8">
        <f>IF(Tabela1511[[#This Row],[Real PCE]]="",#N/A,((Tabela1511[[#This Row],[Real PCE]]*1)/B431)-1)</f>
        <v>3.2206672759745425E-2</v>
      </c>
      <c r="E443" s="7">
        <v>102.9776</v>
      </c>
      <c r="F443" s="8">
        <f>IF(Tabela1511[[#This Row],[Industrial Production]]="",#N/A,((Tabela1511[[#This Row],[Industrial Production]]*1)/E442)-1)</f>
        <v>3.1308386634221197E-3</v>
      </c>
      <c r="G443" s="8">
        <f>IF(Tabela1511[[#This Row],[Industrial Production]]="",#N/A,((Tabela1511[[#This Row],[Industrial Production]]*1)/E431)-1)</f>
        <v>2.9373514955652213E-2</v>
      </c>
      <c r="H443" s="32">
        <v>438535</v>
      </c>
      <c r="I443" s="8">
        <f>IF(Tabela1511[[#This Row],[Retail Sales]]="",#N/A,((Tabela1511[[#This Row],[Retail Sales]]*1)/H442)-1)</f>
        <v>-2.5202266384316552E-3</v>
      </c>
      <c r="J443" s="8">
        <f>IF(Tabela1511[[#This Row],[Retail Sales]]="",#N/A,((Tabela1511[[#This Row],[Retail Sales]]*1)/H431)-1)</f>
        <v>4.9882810349079154E-2</v>
      </c>
      <c r="K443" s="32">
        <v>352105</v>
      </c>
      <c r="L443" s="8">
        <f>IF(Tabela1511[[#This Row],[Core-Retail Sales]]="",#N/A,((Tabela1511[[#This Row],[Core-Retail Sales]]*1)/K442)-1)</f>
        <v>-2.6405601394674516E-4</v>
      </c>
      <c r="M443" s="8">
        <f>IF(Tabela1511[[#This Row],[Core-Retail Sales]]="",#N/A,((Tabela1511[[#This Row],[Core-Retail Sales]]*1)/K431)-1)</f>
        <v>4.3258618390838555E-2</v>
      </c>
      <c r="N443" s="84">
        <v>184664</v>
      </c>
      <c r="O443" s="8">
        <f>IF(Tabela1511[[#This Row],[Real Retail Sales]]="",#N/A,((Tabela1511[[#This Row],[Real Retail Sales]]*1)/N442)-1)</f>
        <v>-2.5925765890334462E-3</v>
      </c>
      <c r="P443" s="8">
        <f>IF(Tabela1511[[#This Row],[Real Retail Sales]]="",#N/A,((Tabela1511[[#This Row],[Real Retail Sales]]*1)/N431)-1)</f>
        <v>3.2496142061592792E-2</v>
      </c>
      <c r="Q443" s="32">
        <v>306674</v>
      </c>
      <c r="R443" s="8">
        <f>IF(Tabela1511[[#This Row],[Core²-Retail Sales]]="",#N/A,((Tabela1511[[#This Row],[Core²-Retail Sales]]*1)/Q442)-1)</f>
        <v>1.2439069779590639E-3</v>
      </c>
      <c r="S443" s="8">
        <f>IF(Tabela1511[[#This Row],[Core²-Retail Sales]]="",#N/A,((Tabela1511[[#This Row],[Core²-Retail Sales]]*1)/Q431)-1)</f>
        <v>5.1117356731560148E-2</v>
      </c>
      <c r="T443" s="5">
        <v>84.6</v>
      </c>
      <c r="U443" s="7">
        <v>55.7</v>
      </c>
      <c r="V443" s="25">
        <v>58.9</v>
      </c>
      <c r="W443" s="25">
        <v>54.1</v>
      </c>
      <c r="X443" s="25">
        <v>57.3</v>
      </c>
      <c r="Y443" s="25">
        <v>59.5</v>
      </c>
      <c r="Z443" s="25">
        <v>56.2</v>
      </c>
      <c r="AA443" s="25">
        <f>IF([1]!Tabela1511[[#This Row],[Services New Orders]]="","",([1]!Tabela1511[[#This Row],[Manufacturing New Orders]]+[1]!Tabela1511[[#This Row],[Services New Orders]])/2)</f>
        <v>59.2</v>
      </c>
      <c r="AB443" s="25">
        <f>IF([1]!Tabela1511[[#This Row],[Services Employment]]="",#N/A,([1]!Tabela1511[[#This Row],[Manufacturing Employment]]+[1]!Tabela1511[[#This Row],[Services Employment]])/2)</f>
        <v>55.150000000000006</v>
      </c>
    </row>
    <row r="444" spans="1:28">
      <c r="A444" s="6">
        <v>41913</v>
      </c>
      <c r="B444" s="36">
        <v>12389.1</v>
      </c>
      <c r="C444" s="8">
        <f>IF(Tabela1511[[#This Row],[Real PCE]]="",#N/A,((Tabela1511[[#This Row],[Real PCE]]*1)/B443)-1)</f>
        <v>6.4093191012331019E-3</v>
      </c>
      <c r="D444" s="8">
        <f>IF(Tabela1511[[#This Row],[Real PCE]]="",#N/A,((Tabela1511[[#This Row],[Real PCE]]*1)/B432)-1)</f>
        <v>3.5479665011784789E-2</v>
      </c>
      <c r="E444" s="7">
        <v>102.9892</v>
      </c>
      <c r="F444" s="8">
        <f>IF(Tabela1511[[#This Row],[Industrial Production]]="",#N/A,((Tabela1511[[#This Row],[Industrial Production]]*1)/E443)-1)</f>
        <v>1.1264585696313389E-4</v>
      </c>
      <c r="G444" s="8">
        <f>IF(Tabela1511[[#This Row],[Industrial Production]]="",#N/A,((Tabela1511[[#This Row],[Industrial Production]]*1)/E432)-1)</f>
        <v>3.0713478642478087E-2</v>
      </c>
      <c r="H444" s="32">
        <v>440128</v>
      </c>
      <c r="I444" s="8">
        <f>IF(Tabela1511[[#This Row],[Retail Sales]]="",#N/A,((Tabela1511[[#This Row],[Retail Sales]]*1)/H443)-1)</f>
        <v>3.632549283409503E-3</v>
      </c>
      <c r="J444" s="8">
        <f>IF(Tabela1511[[#This Row],[Retail Sales]]="",#N/A,((Tabela1511[[#This Row],[Retail Sales]]*1)/H432)-1)</f>
        <v>4.9703306557783655E-2</v>
      </c>
      <c r="K444" s="32">
        <v>353287</v>
      </c>
      <c r="L444" s="8">
        <f>IF(Tabela1511[[#This Row],[Core-Retail Sales]]="",#N/A,((Tabela1511[[#This Row],[Core-Retail Sales]]*1)/K443)-1)</f>
        <v>3.3569531815793585E-3</v>
      </c>
      <c r="M444" s="8">
        <f>IF(Tabela1511[[#This Row],[Core-Retail Sales]]="",#N/A,((Tabela1511[[#This Row],[Core-Retail Sales]]*1)/K432)-1)</f>
        <v>4.5852846967714411E-2</v>
      </c>
      <c r="N444" s="84">
        <v>185372</v>
      </c>
      <c r="O444" s="8">
        <f>IF(Tabela1511[[#This Row],[Real Retail Sales]]="",#N/A,((Tabela1511[[#This Row],[Real Retail Sales]]*1)/N443)-1)</f>
        <v>3.833990382532626E-3</v>
      </c>
      <c r="P444" s="8">
        <f>IF(Tabela1511[[#This Row],[Real Retail Sales]]="",#N/A,((Tabela1511[[#This Row],[Real Retail Sales]]*1)/N432)-1)</f>
        <v>3.3075675585302999E-2</v>
      </c>
      <c r="Q444" s="32">
        <v>308785</v>
      </c>
      <c r="R444" s="8">
        <f>IF(Tabela1511[[#This Row],[Core²-Retail Sales]]="",#N/A,((Tabela1511[[#This Row],[Core²-Retail Sales]]*1)/Q443)-1)</f>
        <v>6.8835310459967047E-3</v>
      </c>
      <c r="S444" s="8">
        <f>IF(Tabela1511[[#This Row],[Core²-Retail Sales]]="",#N/A,((Tabela1511[[#This Row],[Core²-Retail Sales]]*1)/Q432)-1)</f>
        <v>5.4532352971309761E-2</v>
      </c>
      <c r="T444" s="5">
        <v>86.9</v>
      </c>
      <c r="U444" s="7">
        <v>56.2</v>
      </c>
      <c r="V444" s="25">
        <v>59.8</v>
      </c>
      <c r="W444" s="25">
        <v>53.8</v>
      </c>
      <c r="X444" s="25">
        <v>55.8</v>
      </c>
      <c r="Y444" s="25">
        <v>58.6</v>
      </c>
      <c r="Z444" s="25">
        <v>55.2</v>
      </c>
      <c r="AA444" s="25">
        <f>IF([1]!Tabela1511[[#This Row],[Services New Orders]]="","",([1]!Tabela1511[[#This Row],[Manufacturing New Orders]]+[1]!Tabela1511[[#This Row],[Services New Orders]])/2)</f>
        <v>59.2</v>
      </c>
      <c r="AB444" s="25">
        <f>IF([1]!Tabela1511[[#This Row],[Services Employment]]="",#N/A,([1]!Tabela1511[[#This Row],[Manufacturing Employment]]+[1]!Tabela1511[[#This Row],[Services Employment]])/2)</f>
        <v>54.5</v>
      </c>
    </row>
    <row r="445" spans="1:28">
      <c r="A445" s="6">
        <v>41944</v>
      </c>
      <c r="B445" s="36">
        <v>12420.6</v>
      </c>
      <c r="C445" s="8">
        <f>IF(Tabela1511[[#This Row],[Real PCE]]="",#N/A,((Tabela1511[[#This Row],[Real PCE]]*1)/B444)-1)</f>
        <v>2.5425575707678227E-3</v>
      </c>
      <c r="D445" s="8">
        <f>IF(Tabela1511[[#This Row],[Real PCE]]="",#N/A,((Tabela1511[[#This Row],[Real PCE]]*1)/B433)-1)</f>
        <v>3.3869665465260379E-2</v>
      </c>
      <c r="E445" s="7">
        <v>103.64019999999999</v>
      </c>
      <c r="F445" s="8">
        <f>IF(Tabela1511[[#This Row],[Industrial Production]]="",#N/A,((Tabela1511[[#This Row],[Industrial Production]]*1)/E444)-1)</f>
        <v>6.3210511393427815E-3</v>
      </c>
      <c r="G445" s="8">
        <f>IF(Tabela1511[[#This Row],[Industrial Production]]="",#N/A,((Tabela1511[[#This Row],[Industrial Production]]*1)/E433)-1)</f>
        <v>3.468339088773531E-2</v>
      </c>
      <c r="H445" s="32">
        <v>441139</v>
      </c>
      <c r="I445" s="8">
        <f>IF(Tabela1511[[#This Row],[Retail Sales]]="",#N/A,((Tabela1511[[#This Row],[Retail Sales]]*1)/H444)-1)</f>
        <v>2.2970590373709854E-3</v>
      </c>
      <c r="J445" s="8">
        <f>IF(Tabela1511[[#This Row],[Retail Sales]]="",#N/A,((Tabela1511[[#This Row],[Retail Sales]]*1)/H433)-1)</f>
        <v>4.9161886279098566E-2</v>
      </c>
      <c r="K445" s="32">
        <v>353316</v>
      </c>
      <c r="L445" s="8">
        <f>IF(Tabela1511[[#This Row],[Core-Retail Sales]]="",#N/A,((Tabela1511[[#This Row],[Core-Retail Sales]]*1)/K444)-1)</f>
        <v>8.2086235836609234E-5</v>
      </c>
      <c r="M445" s="8">
        <f>IF(Tabela1511[[#This Row],[Core-Retail Sales]]="",#N/A,((Tabela1511[[#This Row],[Core-Retail Sales]]*1)/K433)-1)</f>
        <v>4.3338058114812172E-2</v>
      </c>
      <c r="N445" s="84">
        <v>186148</v>
      </c>
      <c r="O445" s="8">
        <f>IF(Tabela1511[[#This Row],[Real Retail Sales]]="",#N/A,((Tabela1511[[#This Row],[Real Retail Sales]]*1)/N444)-1)</f>
        <v>4.1861769846578412E-3</v>
      </c>
      <c r="P445" s="8">
        <f>IF(Tabela1511[[#This Row],[Real Retail Sales]]="",#N/A,((Tabela1511[[#This Row],[Real Retail Sales]]*1)/N433)-1)</f>
        <v>3.6401091253271067E-2</v>
      </c>
      <c r="Q445" s="32">
        <v>309732</v>
      </c>
      <c r="R445" s="8">
        <f>IF(Tabela1511[[#This Row],[Core²-Retail Sales]]="",#N/A,((Tabela1511[[#This Row],[Core²-Retail Sales]]*1)/Q444)-1)</f>
        <v>3.0668588176239187E-3</v>
      </c>
      <c r="S445" s="8">
        <f>IF(Tabela1511[[#This Row],[Core²-Retail Sales]]="",#N/A,((Tabela1511[[#This Row],[Core²-Retail Sales]]*1)/Q433)-1)</f>
        <v>5.394755646901106E-2</v>
      </c>
      <c r="T445" s="5">
        <v>88.8</v>
      </c>
      <c r="U445" s="7">
        <v>56.3</v>
      </c>
      <c r="V445" s="25">
        <v>61.6</v>
      </c>
      <c r="W445" s="25">
        <v>53.7</v>
      </c>
      <c r="X445" s="25">
        <v>58.2</v>
      </c>
      <c r="Y445" s="25">
        <v>61.1</v>
      </c>
      <c r="Z445" s="25">
        <v>54.8</v>
      </c>
      <c r="AA445" s="25">
        <f>IF([1]!Tabela1511[[#This Row],[Services New Orders]]="","",([1]!Tabela1511[[#This Row],[Manufacturing New Orders]]+[1]!Tabela1511[[#This Row],[Services New Orders]])/2)</f>
        <v>61.35</v>
      </c>
      <c r="AB445" s="25">
        <f>IF([1]!Tabela1511[[#This Row],[Services Employment]]="",#N/A,([1]!Tabela1511[[#This Row],[Manufacturing Employment]]+[1]!Tabela1511[[#This Row],[Services Employment]])/2)</f>
        <v>54.25</v>
      </c>
    </row>
    <row r="446" spans="1:28">
      <c r="A446" s="6">
        <v>41974</v>
      </c>
      <c r="B446" s="36">
        <v>12455.1</v>
      </c>
      <c r="C446" s="8">
        <f>IF(Tabela1511[[#This Row],[Real PCE]]="",#N/A,((Tabela1511[[#This Row],[Real PCE]]*1)/B445)-1)</f>
        <v>2.7776435920969789E-3</v>
      </c>
      <c r="D446" s="8">
        <f>IF(Tabela1511[[#This Row],[Real PCE]]="",#N/A,((Tabela1511[[#This Row],[Real PCE]]*1)/B434)-1)</f>
        <v>3.5792992756576103E-2</v>
      </c>
      <c r="E446" s="7">
        <v>103.6345</v>
      </c>
      <c r="F446" s="8">
        <f>IF(Tabela1511[[#This Row],[Industrial Production]]="",#N/A,((Tabela1511[[#This Row],[Industrial Production]]*1)/E445)-1)</f>
        <v>-5.4997964110348185E-5</v>
      </c>
      <c r="G446" s="8">
        <f>IF(Tabela1511[[#This Row],[Industrial Production]]="",#N/A,((Tabela1511[[#This Row],[Industrial Production]]*1)/E434)-1)</f>
        <v>3.2445453522047307E-2</v>
      </c>
      <c r="H446" s="32">
        <v>438604</v>
      </c>
      <c r="I446" s="8">
        <f>IF(Tabela1511[[#This Row],[Retail Sales]]="",#N/A,((Tabela1511[[#This Row],[Retail Sales]]*1)/H445)-1)</f>
        <v>-5.7464880683866237E-3</v>
      </c>
      <c r="J446" s="8">
        <f>IF(Tabela1511[[#This Row],[Retail Sales]]="",#N/A,((Tabela1511[[#This Row],[Retail Sales]]*1)/H434)-1)</f>
        <v>3.7060506466791265E-2</v>
      </c>
      <c r="K446" s="32">
        <v>351214</v>
      </c>
      <c r="L446" s="8">
        <f>IF(Tabela1511[[#This Row],[Core-Retail Sales]]="",#N/A,((Tabela1511[[#This Row],[Core-Retail Sales]]*1)/K445)-1)</f>
        <v>-5.9493484586036205E-3</v>
      </c>
      <c r="M446" s="8">
        <f>IF(Tabela1511[[#This Row],[Core-Retail Sales]]="",#N/A,((Tabela1511[[#This Row],[Core-Retail Sales]]*1)/K434)-1)</f>
        <v>2.8550510301202259E-2</v>
      </c>
      <c r="N446" s="84">
        <v>185651</v>
      </c>
      <c r="O446" s="8">
        <f>IF(Tabela1511[[#This Row],[Real Retail Sales]]="",#N/A,((Tabela1511[[#This Row],[Real Retail Sales]]*1)/N445)-1)</f>
        <v>-2.6699185594258878E-3</v>
      </c>
      <c r="P446" s="8">
        <f>IF(Tabela1511[[#This Row],[Real Retail Sales]]="",#N/A,((Tabela1511[[#This Row],[Real Retail Sales]]*1)/N434)-1)</f>
        <v>3.0329770348417773E-2</v>
      </c>
      <c r="Q446" s="32">
        <v>310767</v>
      </c>
      <c r="R446" s="8">
        <f>IF(Tabela1511[[#This Row],[Core²-Retail Sales]]="",#N/A,((Tabela1511[[#This Row],[Core²-Retail Sales]]*1)/Q445)-1)</f>
        <v>3.3415985432567741E-3</v>
      </c>
      <c r="S446" s="8">
        <f>IF(Tabela1511[[#This Row],[Core²-Retail Sales]]="",#N/A,((Tabela1511[[#This Row],[Core²-Retail Sales]]*1)/Q434)-1)</f>
        <v>5.3979806749850034E-2</v>
      </c>
      <c r="T446" s="5">
        <v>93.6</v>
      </c>
      <c r="U446" s="7">
        <v>55.7</v>
      </c>
      <c r="V446" s="25">
        <v>58.2</v>
      </c>
      <c r="W446" s="25">
        <v>57.2</v>
      </c>
      <c r="X446" s="25">
        <v>57.2</v>
      </c>
      <c r="Y446" s="25">
        <v>60.2</v>
      </c>
      <c r="Z446" s="25">
        <v>52</v>
      </c>
      <c r="AA446" s="25">
        <f>IF([1]!Tabela1511[[#This Row],[Services New Orders]]="","",([1]!Tabela1511[[#This Row],[Manufacturing New Orders]]+[1]!Tabela1511[[#This Row],[Services New Orders]])/2)</f>
        <v>59.2</v>
      </c>
      <c r="AB446" s="25">
        <f>IF([1]!Tabela1511[[#This Row],[Services Employment]]="",#N/A,([1]!Tabela1511[[#This Row],[Manufacturing Employment]]+[1]!Tabela1511[[#This Row],[Services Employment]])/2)</f>
        <v>54.6</v>
      </c>
    </row>
    <row r="447" spans="1:28">
      <c r="A447" s="6">
        <v>42005</v>
      </c>
      <c r="B447" s="36">
        <v>12484.7</v>
      </c>
      <c r="C447" s="8">
        <f>IF(Tabela1511[[#This Row],[Real PCE]]="",#N/A,((Tabela1511[[#This Row],[Real PCE]]*1)/B446)-1)</f>
        <v>2.3765365191770194E-3</v>
      </c>
      <c r="D447" s="8">
        <f>IF(Tabela1511[[#This Row],[Real PCE]]="",#N/A,((Tabela1511[[#This Row],[Real PCE]]*1)/B435)-1)</f>
        <v>4.169378389653744E-2</v>
      </c>
      <c r="E447" s="7">
        <v>102.82389999999999</v>
      </c>
      <c r="F447" s="8">
        <f>IF(Tabela1511[[#This Row],[Industrial Production]]="",#N/A,((Tabela1511[[#This Row],[Industrial Production]]*1)/E446)-1)</f>
        <v>-7.8217196010981205E-3</v>
      </c>
      <c r="G447" s="8">
        <f>IF(Tabela1511[[#This Row],[Industrial Production]]="",#N/A,((Tabela1511[[#This Row],[Industrial Production]]*1)/E435)-1)</f>
        <v>2.8249282492824879E-2</v>
      </c>
      <c r="H447" s="32">
        <v>436142</v>
      </c>
      <c r="I447" s="8">
        <f>IF(Tabela1511[[#This Row],[Retail Sales]]="",#N/A,((Tabela1511[[#This Row],[Retail Sales]]*1)/H446)-1)</f>
        <v>-5.6132639009219831E-3</v>
      </c>
      <c r="J447" s="8">
        <f>IF(Tabela1511[[#This Row],[Retail Sales]]="",#N/A,((Tabela1511[[#This Row],[Retail Sales]]*1)/H435)-1)</f>
        <v>4.0785011848199826E-2</v>
      </c>
      <c r="K447" s="32">
        <v>347631</v>
      </c>
      <c r="L447" s="8">
        <f>IF(Tabela1511[[#This Row],[Core-Retail Sales]]="",#N/A,((Tabela1511[[#This Row],[Core-Retail Sales]]*1)/K446)-1)</f>
        <v>-1.0201757333135886E-2</v>
      </c>
      <c r="M447" s="8">
        <f>IF(Tabela1511[[#This Row],[Core-Retail Sales]]="",#N/A,((Tabela1511[[#This Row],[Core-Retail Sales]]*1)/K435)-1)</f>
        <v>2.2645638993566308E-2</v>
      </c>
      <c r="N447" s="84">
        <v>185792</v>
      </c>
      <c r="O447" s="8">
        <f>IF(Tabela1511[[#This Row],[Real Retail Sales]]="",#N/A,((Tabela1511[[#This Row],[Real Retail Sales]]*1)/N446)-1)</f>
        <v>7.5948957991078814E-4</v>
      </c>
      <c r="P447" s="8">
        <f>IF(Tabela1511[[#This Row],[Real Retail Sales]]="",#N/A,((Tabela1511[[#This Row],[Real Retail Sales]]*1)/N435)-1)</f>
        <v>4.3183362249510138E-2</v>
      </c>
      <c r="Q447" s="32">
        <v>311016</v>
      </c>
      <c r="R447" s="8">
        <f>IF(Tabela1511[[#This Row],[Core²-Retail Sales]]="",#N/A,((Tabela1511[[#This Row],[Core²-Retail Sales]]*1)/Q446)-1)</f>
        <v>8.0124337526177314E-4</v>
      </c>
      <c r="S447" s="8">
        <f>IF(Tabela1511[[#This Row],[Core²-Retail Sales]]="",#N/A,((Tabela1511[[#This Row],[Core²-Retail Sales]]*1)/Q435)-1)</f>
        <v>6.2194976178685524E-2</v>
      </c>
      <c r="T447" s="5">
        <v>98.1</v>
      </c>
      <c r="U447" s="7">
        <v>54</v>
      </c>
      <c r="V447" s="25">
        <v>54.7</v>
      </c>
      <c r="W447" s="25">
        <v>55</v>
      </c>
      <c r="X447" s="25">
        <v>56.2</v>
      </c>
      <c r="Y447" s="25">
        <v>59</v>
      </c>
      <c r="Z447" s="25">
        <v>57.4</v>
      </c>
      <c r="AA447" s="25">
        <f>IF([1]!Tabela1511[[#This Row],[Services New Orders]]="","",([1]!Tabela1511[[#This Row],[Manufacturing New Orders]]+[1]!Tabela1511[[#This Row],[Services New Orders]])/2)</f>
        <v>56.85</v>
      </c>
      <c r="AB447" s="25">
        <f>IF([1]!Tabela1511[[#This Row],[Services Employment]]="",#N/A,([1]!Tabela1511[[#This Row],[Manufacturing Employment]]+[1]!Tabela1511[[#This Row],[Services Employment]])/2)</f>
        <v>56.2</v>
      </c>
    </row>
    <row r="448" spans="1:28">
      <c r="A448" s="6">
        <v>42036</v>
      </c>
      <c r="B448" s="36">
        <v>12514.1</v>
      </c>
      <c r="C448" s="8">
        <f>IF(Tabela1511[[#This Row],[Real PCE]]="",#N/A,((Tabela1511[[#This Row],[Real PCE]]*1)/B447)-1)</f>
        <v>2.3548823760282112E-3</v>
      </c>
      <c r="D448" s="8">
        <f>IF(Tabela1511[[#This Row],[Real PCE]]="",#N/A,((Tabela1511[[#This Row],[Real PCE]]*1)/B436)-1)</f>
        <v>3.9428875193115998E-2</v>
      </c>
      <c r="E448" s="7">
        <v>102.15130000000001</v>
      </c>
      <c r="F448" s="8">
        <f>IF(Tabela1511[[#This Row],[Industrial Production]]="",#N/A,((Tabela1511[[#This Row],[Industrial Production]]*1)/E447)-1)</f>
        <v>-6.5412807722716737E-3</v>
      </c>
      <c r="G448" s="8">
        <f>IF(Tabela1511[[#This Row],[Industrial Production]]="",#N/A,((Tabela1511[[#This Row],[Industrial Production]]*1)/E436)-1)</f>
        <v>1.3825163783033334E-2</v>
      </c>
      <c r="H448" s="32">
        <v>435398</v>
      </c>
      <c r="I448" s="8">
        <f>IF(Tabela1511[[#This Row],[Retail Sales]]="",#N/A,((Tabela1511[[#This Row],[Retail Sales]]*1)/H447)-1)</f>
        <v>-1.7058664379949739E-3</v>
      </c>
      <c r="J448" s="8">
        <f>IF(Tabela1511[[#This Row],[Retail Sales]]="",#N/A,((Tabela1511[[#This Row],[Retail Sales]]*1)/H436)-1)</f>
        <v>2.4986816829259073E-2</v>
      </c>
      <c r="K448" s="32">
        <v>348205</v>
      </c>
      <c r="L448" s="8">
        <f>IF(Tabela1511[[#This Row],[Core-Retail Sales]]="",#N/A,((Tabela1511[[#This Row],[Core-Retail Sales]]*1)/K447)-1)</f>
        <v>1.6511761033970451E-3</v>
      </c>
      <c r="M448" s="8">
        <f>IF(Tabela1511[[#This Row],[Core-Retail Sales]]="",#N/A,((Tabela1511[[#This Row],[Core-Retail Sales]]*1)/K436)-1)</f>
        <v>1.4305522380233748E-2</v>
      </c>
      <c r="N448" s="84">
        <v>185007</v>
      </c>
      <c r="O448" s="8">
        <f>IF(Tabela1511[[#This Row],[Real Retail Sales]]="",#N/A,((Tabela1511[[#This Row],[Real Retail Sales]]*1)/N447)-1)</f>
        <v>-4.2251550120564474E-3</v>
      </c>
      <c r="P448" s="8">
        <f>IF(Tabela1511[[#This Row],[Real Retail Sales]]="",#N/A,((Tabela1511[[#This Row],[Real Retail Sales]]*1)/N436)-1)</f>
        <v>2.5884584033403657E-2</v>
      </c>
      <c r="Q448" s="32">
        <v>310361</v>
      </c>
      <c r="R448" s="8">
        <f>IF(Tabela1511[[#This Row],[Core²-Retail Sales]]="",#N/A,((Tabela1511[[#This Row],[Core²-Retail Sales]]*1)/Q447)-1)</f>
        <v>-2.1060009774416244E-3</v>
      </c>
      <c r="S448" s="8">
        <f>IF(Tabela1511[[#This Row],[Core²-Retail Sales]]="",#N/A,((Tabela1511[[#This Row],[Core²-Retail Sales]]*1)/Q436)-1)</f>
        <v>4.9296774629792317E-2</v>
      </c>
      <c r="T448" s="5">
        <v>95.4</v>
      </c>
      <c r="U448" s="7">
        <v>53.1</v>
      </c>
      <c r="V448" s="25">
        <v>54.3</v>
      </c>
      <c r="W448" s="25">
        <v>51.8</v>
      </c>
      <c r="X448" s="25">
        <v>57.6</v>
      </c>
      <c r="Y448" s="25">
        <v>58</v>
      </c>
      <c r="Z448" s="25">
        <v>57.8</v>
      </c>
      <c r="AA448" s="25">
        <f>IF([1]!Tabela1511[[#This Row],[Services New Orders]]="","",([1]!Tabela1511[[#This Row],[Manufacturing New Orders]]+[1]!Tabela1511[[#This Row],[Services New Orders]])/2)</f>
        <v>56.15</v>
      </c>
      <c r="AB448" s="25">
        <f>IF([1]!Tabela1511[[#This Row],[Services Employment]]="",#N/A,([1]!Tabela1511[[#This Row],[Manufacturing Employment]]+[1]!Tabela1511[[#This Row],[Services Employment]])/2)</f>
        <v>54.8</v>
      </c>
    </row>
    <row r="449" spans="1:28">
      <c r="A449" s="6">
        <v>42064</v>
      </c>
      <c r="B449" s="36">
        <v>12551.8</v>
      </c>
      <c r="C449" s="8">
        <f>IF(Tabela1511[[#This Row],[Real PCE]]="",#N/A,((Tabela1511[[#This Row],[Real PCE]]*1)/B448)-1)</f>
        <v>3.012601785186142E-3</v>
      </c>
      <c r="D449" s="8">
        <f>IF(Tabela1511[[#This Row],[Real PCE]]="",#N/A,((Tabela1511[[#This Row],[Real PCE]]*1)/B437)-1)</f>
        <v>3.6627767729573879E-2</v>
      </c>
      <c r="E449" s="7">
        <v>101.824</v>
      </c>
      <c r="F449" s="8">
        <f>IF(Tabela1511[[#This Row],[Industrial Production]]="",#N/A,((Tabela1511[[#This Row],[Industrial Production]]*1)/E448)-1)</f>
        <v>-3.2040708243556981E-3</v>
      </c>
      <c r="G449" s="8">
        <f>IF(Tabela1511[[#This Row],[Industrial Production]]="",#N/A,((Tabela1511[[#This Row],[Industrial Production]]*1)/E437)-1)</f>
        <v>4.6474291267051271E-4</v>
      </c>
      <c r="H449" s="32">
        <v>442001</v>
      </c>
      <c r="I449" s="8">
        <f>IF(Tabela1511[[#This Row],[Retail Sales]]="",#N/A,((Tabela1511[[#This Row],[Retail Sales]]*1)/H448)-1)</f>
        <v>1.5165434843522396E-2</v>
      </c>
      <c r="J449" s="8">
        <f>IF(Tabela1511[[#This Row],[Retail Sales]]="",#N/A,((Tabela1511[[#This Row],[Retail Sales]]*1)/H437)-1)</f>
        <v>2.9702901099822654E-2</v>
      </c>
      <c r="K449" s="32">
        <v>350867</v>
      </c>
      <c r="L449" s="8">
        <f>IF(Tabela1511[[#This Row],[Core-Retail Sales]]="",#N/A,((Tabela1511[[#This Row],[Core-Retail Sales]]*1)/K448)-1)</f>
        <v>7.6449218132996766E-3</v>
      </c>
      <c r="M449" s="8">
        <f>IF(Tabela1511[[#This Row],[Core-Retail Sales]]="",#N/A,((Tabela1511[[#This Row],[Core-Retail Sales]]*1)/K437)-1)</f>
        <v>1.7545538648036541E-2</v>
      </c>
      <c r="N449" s="84">
        <v>187308</v>
      </c>
      <c r="O449" s="8">
        <f>IF(Tabela1511[[#This Row],[Real Retail Sales]]="",#N/A,((Tabela1511[[#This Row],[Real Retail Sales]]*1)/N448)-1)</f>
        <v>1.2437367234753305E-2</v>
      </c>
      <c r="P449" s="8">
        <f>IF(Tabela1511[[#This Row],[Real Retail Sales]]="",#N/A,((Tabela1511[[#This Row],[Real Retail Sales]]*1)/N437)-1)</f>
        <v>2.9934456516957697E-2</v>
      </c>
      <c r="Q449" s="32">
        <v>312500</v>
      </c>
      <c r="R449" s="8">
        <f>IF(Tabela1511[[#This Row],[Core²-Retail Sales]]="",#N/A,((Tabela1511[[#This Row],[Core²-Retail Sales]]*1)/Q448)-1)</f>
        <v>6.8919741849007288E-3</v>
      </c>
      <c r="S449" s="8">
        <f>IF(Tabela1511[[#This Row],[Core²-Retail Sales]]="",#N/A,((Tabela1511[[#This Row],[Core²-Retail Sales]]*1)/Q437)-1)</f>
        <v>4.8809056340344492E-2</v>
      </c>
      <c r="T449" s="5">
        <v>93</v>
      </c>
      <c r="U449" s="7">
        <v>52.3</v>
      </c>
      <c r="V449" s="25">
        <v>53.1</v>
      </c>
      <c r="W449" s="25">
        <v>51.3</v>
      </c>
      <c r="X449" s="25">
        <v>58.4</v>
      </c>
      <c r="Y449" s="25">
        <v>60.6</v>
      </c>
      <c r="Z449" s="25">
        <v>58</v>
      </c>
      <c r="AA449" s="25">
        <f>IF([1]!Tabela1511[[#This Row],[Services New Orders]]="","",([1]!Tabela1511[[#This Row],[Manufacturing New Orders]]+[1]!Tabela1511[[#This Row],[Services New Orders]])/2)</f>
        <v>56.85</v>
      </c>
      <c r="AB449" s="25">
        <f>IF([1]!Tabela1511[[#This Row],[Services Employment]]="",#N/A,([1]!Tabela1511[[#This Row],[Manufacturing Employment]]+[1]!Tabela1511[[#This Row],[Services Employment]])/2)</f>
        <v>54.65</v>
      </c>
    </row>
    <row r="450" spans="1:28">
      <c r="A450" s="6">
        <v>42095</v>
      </c>
      <c r="B450" s="36">
        <v>12574.8</v>
      </c>
      <c r="C450" s="8">
        <f>IF(Tabela1511[[#This Row],[Real PCE]]="",#N/A,((Tabela1511[[#This Row],[Real PCE]]*1)/B449)-1)</f>
        <v>1.8324065074331042E-3</v>
      </c>
      <c r="D450" s="8">
        <f>IF(Tabela1511[[#This Row],[Real PCE]]="",#N/A,((Tabela1511[[#This Row],[Real PCE]]*1)/B438)-1)</f>
        <v>3.6831820318104169E-2</v>
      </c>
      <c r="E450" s="7">
        <v>101.244</v>
      </c>
      <c r="F450" s="8">
        <f>IF(Tabela1511[[#This Row],[Industrial Production]]="",#N/A,((Tabela1511[[#This Row],[Industrial Production]]*1)/E449)-1)</f>
        <v>-5.6961030798240442E-3</v>
      </c>
      <c r="G450" s="8">
        <f>IF(Tabela1511[[#This Row],[Industrial Production]]="",#N/A,((Tabela1511[[#This Row],[Industrial Production]]*1)/E438)-1)</f>
        <v>-5.8767214080566177E-3</v>
      </c>
      <c r="H450" s="32">
        <v>442898</v>
      </c>
      <c r="I450" s="8">
        <f>IF(Tabela1511[[#This Row],[Retail Sales]]="",#N/A,((Tabela1511[[#This Row],[Retail Sales]]*1)/H449)-1)</f>
        <v>2.0294071732869234E-3</v>
      </c>
      <c r="J450" s="8">
        <f>IF(Tabela1511[[#This Row],[Retail Sales]]="",#N/A,((Tabela1511[[#This Row],[Retail Sales]]*1)/H438)-1)</f>
        <v>2.1488487733549277E-2</v>
      </c>
      <c r="K450" s="32">
        <v>351209</v>
      </c>
      <c r="L450" s="8">
        <f>IF(Tabela1511[[#This Row],[Core-Retail Sales]]="",#N/A,((Tabela1511[[#This Row],[Core-Retail Sales]]*1)/K449)-1)</f>
        <v>9.7472831585765363E-4</v>
      </c>
      <c r="M450" s="8">
        <f>IF(Tabela1511[[#This Row],[Core-Retail Sales]]="",#N/A,((Tabela1511[[#This Row],[Core-Retail Sales]]*1)/K438)-1)</f>
        <v>9.9003352829201141E-3</v>
      </c>
      <c r="N450" s="84">
        <v>187492</v>
      </c>
      <c r="O450" s="8">
        <f>IF(Tabela1511[[#This Row],[Real Retail Sales]]="",#N/A,((Tabela1511[[#This Row],[Real Retail Sales]]*1)/N449)-1)</f>
        <v>9.823392487240401E-4</v>
      </c>
      <c r="P450" s="8">
        <f>IF(Tabela1511[[#This Row],[Real Retail Sales]]="",#N/A,((Tabela1511[[#This Row],[Real Retail Sales]]*1)/N438)-1)</f>
        <v>2.2551634243579421E-2</v>
      </c>
      <c r="Q450" s="32">
        <v>313387</v>
      </c>
      <c r="R450" s="8">
        <f>IF(Tabela1511[[#This Row],[Core²-Retail Sales]]="",#N/A,((Tabela1511[[#This Row],[Core²-Retail Sales]]*1)/Q449)-1)</f>
        <v>2.8383999999999077E-3</v>
      </c>
      <c r="S450" s="8">
        <f>IF(Tabela1511[[#This Row],[Core²-Retail Sales]]="",#N/A,((Tabela1511[[#This Row],[Core²-Retail Sales]]*1)/Q438)-1)</f>
        <v>4.2240077689017719E-2</v>
      </c>
      <c r="T450" s="5">
        <v>95.9</v>
      </c>
      <c r="U450" s="7">
        <v>52.1</v>
      </c>
      <c r="V450" s="25">
        <v>53.7</v>
      </c>
      <c r="W450" s="25">
        <v>50.4</v>
      </c>
      <c r="X450" s="25">
        <v>57.5</v>
      </c>
      <c r="Y450" s="25">
        <v>58.1</v>
      </c>
      <c r="Z450" s="25">
        <v>57.2</v>
      </c>
      <c r="AA450" s="25">
        <f>IF([1]!Tabela1511[[#This Row],[Services New Orders]]="","",([1]!Tabela1511[[#This Row],[Manufacturing New Orders]]+[1]!Tabela1511[[#This Row],[Services New Orders]])/2)</f>
        <v>55.900000000000006</v>
      </c>
      <c r="AB450" s="25">
        <f>IF([1]!Tabela1511[[#This Row],[Services Employment]]="",#N/A,([1]!Tabela1511[[#This Row],[Manufacturing Employment]]+[1]!Tabela1511[[#This Row],[Services Employment]])/2)</f>
        <v>53.8</v>
      </c>
    </row>
    <row r="451" spans="1:28">
      <c r="A451" s="6">
        <v>42125</v>
      </c>
      <c r="B451" s="36">
        <v>12612.7</v>
      </c>
      <c r="C451" s="8">
        <f>IF(Tabela1511[[#This Row],[Real PCE]]="",#N/A,((Tabela1511[[#This Row],[Real PCE]]*1)/B450)-1)</f>
        <v>3.0139644368103458E-3</v>
      </c>
      <c r="D451" s="8">
        <f>IF(Tabela1511[[#This Row],[Real PCE]]="",#N/A,((Tabela1511[[#This Row],[Real PCE]]*1)/B439)-1)</f>
        <v>3.7697971944547382E-2</v>
      </c>
      <c r="E451" s="7">
        <v>100.783</v>
      </c>
      <c r="F451" s="8">
        <f>IF(Tabela1511[[#This Row],[Industrial Production]]="",#N/A,((Tabela1511[[#This Row],[Industrial Production]]*1)/E450)-1)</f>
        <v>-4.5533562482714673E-3</v>
      </c>
      <c r="G451" s="8">
        <f>IF(Tabela1511[[#This Row],[Industrial Production]]="",#N/A,((Tabela1511[[#This Row],[Industrial Production]]*1)/E439)-1)</f>
        <v>-1.4437792515895831E-2</v>
      </c>
      <c r="H451" s="32">
        <v>446305</v>
      </c>
      <c r="I451" s="8">
        <f>IF(Tabela1511[[#This Row],[Retail Sales]]="",#N/A,((Tabela1511[[#This Row],[Retail Sales]]*1)/H450)-1)</f>
        <v>7.6925161098040373E-3</v>
      </c>
      <c r="J451" s="8">
        <f>IF(Tabela1511[[#This Row],[Retail Sales]]="",#N/A,((Tabela1511[[#This Row],[Retail Sales]]*1)/H439)-1)</f>
        <v>2.7661112799683085E-2</v>
      </c>
      <c r="K451" s="32">
        <v>353920</v>
      </c>
      <c r="L451" s="8">
        <f>IF(Tabela1511[[#This Row],[Core-Retail Sales]]="",#N/A,((Tabela1511[[#This Row],[Core-Retail Sales]]*1)/K450)-1)</f>
        <v>7.7190504799136139E-3</v>
      </c>
      <c r="M451" s="8">
        <f>IF(Tabela1511[[#This Row],[Core-Retail Sales]]="",#N/A,((Tabela1511[[#This Row],[Core-Retail Sales]]*1)/K439)-1)</f>
        <v>1.590800796835623E-2</v>
      </c>
      <c r="N451" s="84">
        <v>188314</v>
      </c>
      <c r="O451" s="8">
        <f>IF(Tabela1511[[#This Row],[Real Retail Sales]]="",#N/A,((Tabela1511[[#This Row],[Real Retail Sales]]*1)/N450)-1)</f>
        <v>4.3841870586478482E-3</v>
      </c>
      <c r="P451" s="8">
        <f>IF(Tabela1511[[#This Row],[Real Retail Sales]]="",#N/A,((Tabela1511[[#This Row],[Real Retail Sales]]*1)/N439)-1)</f>
        <v>2.7303623935540644E-2</v>
      </c>
      <c r="Q451" s="32">
        <v>314625</v>
      </c>
      <c r="R451" s="8">
        <f>IF(Tabela1511[[#This Row],[Core²-Retail Sales]]="",#N/A,((Tabela1511[[#This Row],[Core²-Retail Sales]]*1)/Q450)-1)</f>
        <v>3.9503872209121216E-3</v>
      </c>
      <c r="S451" s="8">
        <f>IF(Tabela1511[[#This Row],[Core²-Retail Sales]]="",#N/A,((Tabela1511[[#This Row],[Core²-Retail Sales]]*1)/Q439)-1)</f>
        <v>4.3338550716948143E-2</v>
      </c>
      <c r="T451" s="5">
        <v>90.7</v>
      </c>
      <c r="U451" s="7">
        <v>52.7</v>
      </c>
      <c r="V451" s="25">
        <v>52.8</v>
      </c>
      <c r="W451" s="25">
        <v>52.8</v>
      </c>
      <c r="X451" s="25">
        <v>56.7</v>
      </c>
      <c r="Y451" s="25">
        <v>58.9</v>
      </c>
      <c r="Z451" s="25">
        <v>53</v>
      </c>
      <c r="AA451" s="25">
        <f>IF([1]!Tabela1511[[#This Row],[Services New Orders]]="","",([1]!Tabela1511[[#This Row],[Manufacturing New Orders]]+[1]!Tabela1511[[#This Row],[Services New Orders]])/2)</f>
        <v>55.849999999999994</v>
      </c>
      <c r="AB451" s="25">
        <f>IF([1]!Tabela1511[[#This Row],[Services Employment]]="",#N/A,([1]!Tabela1511[[#This Row],[Manufacturing Employment]]+[1]!Tabela1511[[#This Row],[Services Employment]])/2)</f>
        <v>52.9</v>
      </c>
    </row>
    <row r="452" spans="1:28">
      <c r="A452" s="6">
        <v>42156</v>
      </c>
      <c r="B452" s="36">
        <v>12621.6</v>
      </c>
      <c r="C452" s="8">
        <f>IF(Tabela1511[[#This Row],[Real PCE]]="",#N/A,((Tabela1511[[#This Row],[Real PCE]]*1)/B451)-1)</f>
        <v>7.0563796807965318E-4</v>
      </c>
      <c r="D452" s="8">
        <f>IF(Tabela1511[[#This Row],[Real PCE]]="",#N/A,((Tabela1511[[#This Row],[Real PCE]]*1)/B440)-1)</f>
        <v>3.480335489583597E-2</v>
      </c>
      <c r="E452" s="7">
        <v>100.4781</v>
      </c>
      <c r="F452" s="8">
        <f>IF(Tabela1511[[#This Row],[Industrial Production]]="",#N/A,((Tabela1511[[#This Row],[Industrial Production]]*1)/E451)-1)</f>
        <v>-3.025311808539155E-3</v>
      </c>
      <c r="G452" s="8">
        <f>IF(Tabela1511[[#This Row],[Industrial Production]]="",#N/A,((Tabela1511[[#This Row],[Industrial Production]]*1)/E440)-1)</f>
        <v>-2.0667923343983263E-2</v>
      </c>
      <c r="H452" s="32">
        <v>446649</v>
      </c>
      <c r="I452" s="8">
        <f>IF(Tabela1511[[#This Row],[Retail Sales]]="",#N/A,((Tabela1511[[#This Row],[Retail Sales]]*1)/H451)-1)</f>
        <v>7.7077335006325853E-4</v>
      </c>
      <c r="J452" s="8">
        <f>IF(Tabela1511[[#This Row],[Retail Sales]]="",#N/A,((Tabela1511[[#This Row],[Retail Sales]]*1)/H440)-1)</f>
        <v>2.5631075095238209E-2</v>
      </c>
      <c r="K452" s="32">
        <v>354338</v>
      </c>
      <c r="L452" s="8">
        <f>IF(Tabela1511[[#This Row],[Core-Retail Sales]]="",#N/A,((Tabela1511[[#This Row],[Core-Retail Sales]]*1)/K451)-1)</f>
        <v>1.1810578661843874E-3</v>
      </c>
      <c r="M452" s="8">
        <f>IF(Tabela1511[[#This Row],[Core-Retail Sales]]="",#N/A,((Tabela1511[[#This Row],[Core-Retail Sales]]*1)/K440)-1)</f>
        <v>1.4521883034707139E-2</v>
      </c>
      <c r="N452" s="84">
        <v>187938</v>
      </c>
      <c r="O452" s="8">
        <f>IF(Tabela1511[[#This Row],[Real Retail Sales]]="",#N/A,((Tabela1511[[#This Row],[Real Retail Sales]]*1)/N451)-1)</f>
        <v>-1.9966651443864558E-3</v>
      </c>
      <c r="P452" s="8">
        <f>IF(Tabela1511[[#This Row],[Real Retail Sales]]="",#N/A,((Tabela1511[[#This Row],[Real Retail Sales]]*1)/N440)-1)</f>
        <v>2.3789160597261994E-2</v>
      </c>
      <c r="Q452" s="32">
        <v>314502</v>
      </c>
      <c r="R452" s="8">
        <f>IF(Tabela1511[[#This Row],[Core²-Retail Sales]]="",#N/A,((Tabela1511[[#This Row],[Core²-Retail Sales]]*1)/Q451)-1)</f>
        <v>-3.9094159713948251E-4</v>
      </c>
      <c r="S452" s="8">
        <f>IF(Tabela1511[[#This Row],[Core²-Retail Sales]]="",#N/A,((Tabela1511[[#This Row],[Core²-Retail Sales]]*1)/Q440)-1)</f>
        <v>3.613092394616757E-2</v>
      </c>
      <c r="T452" s="5">
        <v>96.1</v>
      </c>
      <c r="U452" s="7">
        <v>52.6</v>
      </c>
      <c r="V452" s="25">
        <v>53.8</v>
      </c>
      <c r="W452" s="25">
        <v>54.6</v>
      </c>
      <c r="X452" s="25">
        <v>55.7</v>
      </c>
      <c r="Y452" s="25">
        <v>57.7</v>
      </c>
      <c r="Z452" s="25">
        <v>59.4</v>
      </c>
      <c r="AA452" s="25">
        <f>IF([1]!Tabela1511[[#This Row],[Services New Orders]]="","",([1]!Tabela1511[[#This Row],[Manufacturing New Orders]]+[1]!Tabela1511[[#This Row],[Services New Orders]])/2)</f>
        <v>55.75</v>
      </c>
      <c r="AB452" s="25">
        <f>IF([1]!Tabela1511[[#This Row],[Services Employment]]="",#N/A,([1]!Tabela1511[[#This Row],[Manufacturing Employment]]+[1]!Tabela1511[[#This Row],[Services Employment]])/2)</f>
        <v>57</v>
      </c>
    </row>
    <row r="453" spans="1:28">
      <c r="A453" s="6">
        <v>42186</v>
      </c>
      <c r="B453" s="36">
        <v>12668.4</v>
      </c>
      <c r="C453" s="8">
        <f>IF(Tabela1511[[#This Row],[Real PCE]]="",#N/A,((Tabela1511[[#This Row],[Real PCE]]*1)/B452)-1)</f>
        <v>3.7079292641186701E-3</v>
      </c>
      <c r="D453" s="8">
        <f>IF(Tabela1511[[#This Row],[Real PCE]]="",#N/A,((Tabela1511[[#This Row],[Real PCE]]*1)/B441)-1)</f>
        <v>3.6388625282240961E-2</v>
      </c>
      <c r="E453" s="7">
        <v>101.1052</v>
      </c>
      <c r="F453" s="8">
        <f>IF(Tabela1511[[#This Row],[Industrial Production]]="",#N/A,((Tabela1511[[#This Row],[Industrial Production]]*1)/E452)-1)</f>
        <v>6.2411610092150127E-3</v>
      </c>
      <c r="G453" s="8">
        <f>IF(Tabela1511[[#This Row],[Industrial Production]]="",#N/A,((Tabela1511[[#This Row],[Industrial Production]]*1)/E441)-1)</f>
        <v>-1.6642302825524813E-2</v>
      </c>
      <c r="H453" s="32">
        <v>450262</v>
      </c>
      <c r="I453" s="8">
        <f>IF(Tabela1511[[#This Row],[Retail Sales]]="",#N/A,((Tabela1511[[#This Row],[Retail Sales]]*1)/H452)-1)</f>
        <v>8.0891259131889992E-3</v>
      </c>
      <c r="J453" s="8">
        <f>IF(Tabela1511[[#This Row],[Retail Sales]]="",#N/A,((Tabela1511[[#This Row],[Retail Sales]]*1)/H441)-1)</f>
        <v>3.2469468151946179E-2</v>
      </c>
      <c r="K453" s="32">
        <v>357691</v>
      </c>
      <c r="L453" s="8">
        <f>IF(Tabela1511[[#This Row],[Core-Retail Sales]]="",#N/A,((Tabela1511[[#This Row],[Core-Retail Sales]]*1)/K452)-1)</f>
        <v>9.4627163894360766E-3</v>
      </c>
      <c r="M453" s="8">
        <f>IF(Tabela1511[[#This Row],[Core-Retail Sales]]="",#N/A,((Tabela1511[[#This Row],[Core-Retail Sales]]*1)/K441)-1)</f>
        <v>2.3205055223568971E-2</v>
      </c>
      <c r="N453" s="84">
        <v>189159</v>
      </c>
      <c r="O453" s="8">
        <f>IF(Tabela1511[[#This Row],[Real Retail Sales]]="",#N/A,((Tabela1511[[#This Row],[Real Retail Sales]]*1)/N452)-1)</f>
        <v>6.496823420489628E-3</v>
      </c>
      <c r="P453" s="8">
        <f>IF(Tabela1511[[#This Row],[Real Retail Sales]]="",#N/A,((Tabela1511[[#This Row],[Real Retail Sales]]*1)/N441)-1)</f>
        <v>3.0148728645104317E-2</v>
      </c>
      <c r="Q453" s="32">
        <v>317339</v>
      </c>
      <c r="R453" s="8">
        <f>IF(Tabela1511[[#This Row],[Core²-Retail Sales]]="",#N/A,((Tabela1511[[#This Row],[Core²-Retail Sales]]*1)/Q452)-1)</f>
        <v>9.0206103617782585E-3</v>
      </c>
      <c r="S453" s="8">
        <f>IF(Tabela1511[[#This Row],[Core²-Retail Sales]]="",#N/A,((Tabela1511[[#This Row],[Core²-Retail Sales]]*1)/Q441)-1)</f>
        <v>4.4654907924970511E-2</v>
      </c>
      <c r="T453" s="5">
        <v>93.1</v>
      </c>
      <c r="U453" s="7">
        <v>51.9</v>
      </c>
      <c r="V453" s="25">
        <v>52.6</v>
      </c>
      <c r="W453" s="25">
        <v>51.7</v>
      </c>
      <c r="X453" s="25">
        <v>60.1</v>
      </c>
      <c r="Y453" s="25">
        <v>62.8</v>
      </c>
      <c r="Z453" s="25">
        <v>56.2</v>
      </c>
      <c r="AA453" s="25">
        <f>IF([1]!Tabela1511[[#This Row],[Services New Orders]]="","",([1]!Tabela1511[[#This Row],[Manufacturing New Orders]]+[1]!Tabela1511[[#This Row],[Services New Orders]])/2)</f>
        <v>57.7</v>
      </c>
      <c r="AB453" s="25">
        <f>IF([1]!Tabela1511[[#This Row],[Services Employment]]="",#N/A,([1]!Tabela1511[[#This Row],[Manufacturing Employment]]+[1]!Tabela1511[[#This Row],[Services Employment]])/2)</f>
        <v>53.95</v>
      </c>
    </row>
    <row r="454" spans="1:28">
      <c r="A454" s="6">
        <v>42217</v>
      </c>
      <c r="B454" s="36">
        <v>12699.7</v>
      </c>
      <c r="C454" s="8">
        <f>IF(Tabela1511[[#This Row],[Real PCE]]="",#N/A,((Tabela1511[[#This Row],[Real PCE]]*1)/B453)-1)</f>
        <v>2.4707145338007663E-3</v>
      </c>
      <c r="D454" s="8">
        <f>IF(Tabela1511[[#This Row],[Real PCE]]="",#N/A,((Tabela1511[[#This Row],[Real PCE]]*1)/B442)-1)</f>
        <v>3.1950595213911415E-2</v>
      </c>
      <c r="E454" s="7">
        <v>100.9442</v>
      </c>
      <c r="F454" s="8">
        <f>IF(Tabela1511[[#This Row],[Industrial Production]]="",#N/A,((Tabela1511[[#This Row],[Industrial Production]]*1)/E453)-1)</f>
        <v>-1.5924007865075751E-3</v>
      </c>
      <c r="G454" s="8">
        <f>IF(Tabela1511[[#This Row],[Industrial Production]]="",#N/A,((Tabela1511[[#This Row],[Industrial Production]]*1)/E442)-1)</f>
        <v>-1.6677024865522028E-2</v>
      </c>
      <c r="H454" s="32">
        <v>450270</v>
      </c>
      <c r="I454" s="8">
        <f>IF(Tabela1511[[#This Row],[Retail Sales]]="",#N/A,((Tabela1511[[#This Row],[Retail Sales]]*1)/H453)-1)</f>
        <v>1.7767433183379922E-5</v>
      </c>
      <c r="J454" s="8">
        <f>IF(Tabela1511[[#This Row],[Retail Sales]]="",#N/A,((Tabela1511[[#This Row],[Retail Sales]]*1)/H442)-1)</f>
        <v>2.4171884915715758E-2</v>
      </c>
      <c r="K454" s="32">
        <v>357061</v>
      </c>
      <c r="L454" s="8">
        <f>IF(Tabela1511[[#This Row],[Core-Retail Sales]]="",#N/A,((Tabela1511[[#This Row],[Core-Retail Sales]]*1)/K453)-1)</f>
        <v>-1.7612967617300912E-3</v>
      </c>
      <c r="M454" s="8">
        <f>IF(Tabela1511[[#This Row],[Core-Retail Sales]]="",#N/A,((Tabela1511[[#This Row],[Core-Retail Sales]]*1)/K442)-1)</f>
        <v>1.3807574148632318E-2</v>
      </c>
      <c r="N454" s="84">
        <v>189163</v>
      </c>
      <c r="O454" s="8">
        <f>IF(Tabela1511[[#This Row],[Real Retail Sales]]="",#N/A,((Tabela1511[[#This Row],[Real Retail Sales]]*1)/N453)-1)</f>
        <v>2.1146231477198185E-5</v>
      </c>
      <c r="P454" s="8">
        <f>IF(Tabela1511[[#This Row],[Real Retail Sales]]="",#N/A,((Tabela1511[[#This Row],[Real Retail Sales]]*1)/N442)-1)</f>
        <v>2.1707427731927575E-2</v>
      </c>
      <c r="Q454" s="32">
        <v>317884</v>
      </c>
      <c r="R454" s="8">
        <f>IF(Tabela1511[[#This Row],[Core²-Retail Sales]]="",#N/A,((Tabela1511[[#This Row],[Core²-Retail Sales]]*1)/Q453)-1)</f>
        <v>1.7174063068201573E-3</v>
      </c>
      <c r="S454" s="8">
        <f>IF(Tabela1511[[#This Row],[Core²-Retail Sales]]="",#N/A,((Tabela1511[[#This Row],[Core²-Retail Sales]]*1)/Q442)-1)</f>
        <v>3.7842849820270086E-2</v>
      </c>
      <c r="T454" s="5">
        <v>91.9</v>
      </c>
      <c r="U454" s="7">
        <v>50</v>
      </c>
      <c r="V454" s="25">
        <v>51.2</v>
      </c>
      <c r="W454" s="25">
        <v>48.6</v>
      </c>
      <c r="X454" s="25">
        <v>58.6</v>
      </c>
      <c r="Y454" s="25">
        <v>62.5</v>
      </c>
      <c r="Z454" s="25">
        <v>55.5</v>
      </c>
      <c r="AA454" s="25">
        <f>IF([1]!Tabela1511[[#This Row],[Services New Orders]]="","",([1]!Tabela1511[[#This Row],[Manufacturing New Orders]]+[1]!Tabela1511[[#This Row],[Services New Orders]])/2)</f>
        <v>56.85</v>
      </c>
      <c r="AB454" s="25">
        <f>IF([1]!Tabela1511[[#This Row],[Services Employment]]="",#N/A,([1]!Tabela1511[[#This Row],[Manufacturing Employment]]+[1]!Tabela1511[[#This Row],[Services Employment]])/2)</f>
        <v>52.05</v>
      </c>
    </row>
    <row r="455" spans="1:28">
      <c r="A455" s="6">
        <v>42248</v>
      </c>
      <c r="B455" s="36">
        <v>12707.2</v>
      </c>
      <c r="C455" s="8">
        <f>IF(Tabela1511[[#This Row],[Real PCE]]="",#N/A,((Tabela1511[[#This Row],[Real PCE]]*1)/B454)-1)</f>
        <v>5.9056513145971934E-4</v>
      </c>
      <c r="D455" s="8">
        <f>IF(Tabela1511[[#This Row],[Real PCE]]="",#N/A,((Tabela1511[[#This Row],[Real PCE]]*1)/B443)-1)</f>
        <v>3.2249679127877684E-2</v>
      </c>
      <c r="E455" s="7">
        <v>100.6507</v>
      </c>
      <c r="F455" s="8">
        <f>IF(Tabela1511[[#This Row],[Industrial Production]]="",#N/A,((Tabela1511[[#This Row],[Industrial Production]]*1)/E454)-1)</f>
        <v>-2.9075469417757516E-3</v>
      </c>
      <c r="G455" s="8">
        <f>IF(Tabela1511[[#This Row],[Industrial Production]]="",#N/A,((Tabela1511[[#This Row],[Industrial Production]]*1)/E443)-1)</f>
        <v>-2.259617625580701E-2</v>
      </c>
      <c r="H455" s="32">
        <v>448091</v>
      </c>
      <c r="I455" s="8">
        <f>IF(Tabela1511[[#This Row],[Retail Sales]]="",#N/A,((Tabela1511[[#This Row],[Retail Sales]]*1)/H454)-1)</f>
        <v>-4.8393186310435876E-3</v>
      </c>
      <c r="J455" s="8">
        <f>IF(Tabela1511[[#This Row],[Retail Sales]]="",#N/A,((Tabela1511[[#This Row],[Retail Sales]]*1)/H443)-1)</f>
        <v>2.1790735061055555E-2</v>
      </c>
      <c r="K455" s="32">
        <v>354482</v>
      </c>
      <c r="L455" s="8">
        <f>IF(Tabela1511[[#This Row],[Core-Retail Sales]]="",#N/A,((Tabela1511[[#This Row],[Core-Retail Sales]]*1)/K454)-1)</f>
        <v>-7.222855478475676E-3</v>
      </c>
      <c r="M455" s="8">
        <f>IF(Tabela1511[[#This Row],[Core-Retail Sales]]="",#N/A,((Tabela1511[[#This Row],[Core-Retail Sales]]*1)/K443)-1)</f>
        <v>6.7508271680323251E-3</v>
      </c>
      <c r="N455" s="84">
        <v>188671</v>
      </c>
      <c r="O455" s="8">
        <f>IF(Tabela1511[[#This Row],[Real Retail Sales]]="",#N/A,((Tabela1511[[#This Row],[Real Retail Sales]]*1)/N454)-1)</f>
        <v>-2.6009314717994059E-3</v>
      </c>
      <c r="P455" s="8">
        <f>IF(Tabela1511[[#This Row],[Real Retail Sales]]="",#N/A,((Tabela1511[[#This Row],[Real Retail Sales]]*1)/N443)-1)</f>
        <v>2.1698869297751555E-2</v>
      </c>
      <c r="Q455" s="32">
        <v>317578</v>
      </c>
      <c r="R455" s="8">
        <f>IF(Tabela1511[[#This Row],[Core²-Retail Sales]]="",#N/A,((Tabela1511[[#This Row],[Core²-Retail Sales]]*1)/Q454)-1)</f>
        <v>-9.6261529362917653E-4</v>
      </c>
      <c r="S455" s="8">
        <f>IF(Tabela1511[[#This Row],[Core²-Retail Sales]]="",#N/A,((Tabela1511[[#This Row],[Core²-Retail Sales]]*1)/Q443)-1)</f>
        <v>3.555567149481198E-2</v>
      </c>
      <c r="T455" s="5">
        <v>87.2</v>
      </c>
      <c r="U455" s="7">
        <v>50</v>
      </c>
      <c r="V455" s="25">
        <v>50.2</v>
      </c>
      <c r="W455" s="25">
        <v>49.6</v>
      </c>
      <c r="X455" s="25">
        <v>56.1</v>
      </c>
      <c r="Y455" s="25">
        <v>56.6</v>
      </c>
      <c r="Z455" s="25">
        <v>56.8</v>
      </c>
      <c r="AA455" s="25">
        <f>IF([1]!Tabela1511[[#This Row],[Services New Orders]]="","",([1]!Tabela1511[[#This Row],[Manufacturing New Orders]]+[1]!Tabela1511[[#This Row],[Services New Orders]])/2)</f>
        <v>53.400000000000006</v>
      </c>
      <c r="AB455" s="25">
        <f>IF([1]!Tabela1511[[#This Row],[Services Employment]]="",#N/A,([1]!Tabela1511[[#This Row],[Manufacturing Employment]]+[1]!Tabela1511[[#This Row],[Services Employment]])/2)</f>
        <v>53.2</v>
      </c>
    </row>
    <row r="456" spans="1:28">
      <c r="A456" s="6">
        <v>42278</v>
      </c>
      <c r="B456" s="36">
        <v>12715.9</v>
      </c>
      <c r="C456" s="8">
        <f>IF(Tabela1511[[#This Row],[Real PCE]]="",#N/A,((Tabela1511[[#This Row],[Real PCE]]*1)/B455)-1)</f>
        <v>6.8465122135474843E-4</v>
      </c>
      <c r="D456" s="8">
        <f>IF(Tabela1511[[#This Row],[Real PCE]]="",#N/A,((Tabela1511[[#This Row],[Real PCE]]*1)/B444)-1)</f>
        <v>2.6378025845299469E-2</v>
      </c>
      <c r="E456" s="7">
        <v>100.1871</v>
      </c>
      <c r="F456" s="8">
        <f>IF(Tabela1511[[#This Row],[Industrial Production]]="",#N/A,((Tabela1511[[#This Row],[Industrial Production]]*1)/E455)-1)</f>
        <v>-4.6060285720814775E-3</v>
      </c>
      <c r="G456" s="8">
        <f>IF(Tabela1511[[#This Row],[Industrial Production]]="",#N/A,((Tabela1511[[#This Row],[Industrial Production]]*1)/E444)-1)</f>
        <v>-2.7207707215902155E-2</v>
      </c>
      <c r="H456" s="32">
        <v>447083</v>
      </c>
      <c r="I456" s="8">
        <f>IF(Tabela1511[[#This Row],[Retail Sales]]="",#N/A,((Tabela1511[[#This Row],[Retail Sales]]*1)/H455)-1)</f>
        <v>-2.249543061565662E-3</v>
      </c>
      <c r="J456" s="8">
        <f>IF(Tabela1511[[#This Row],[Retail Sales]]="",#N/A,((Tabela1511[[#This Row],[Retail Sales]]*1)/H444)-1)</f>
        <v>1.580222117202279E-2</v>
      </c>
      <c r="K456" s="32">
        <v>354183</v>
      </c>
      <c r="L456" s="8">
        <f>IF(Tabela1511[[#This Row],[Core-Retail Sales]]="",#N/A,((Tabela1511[[#This Row],[Core-Retail Sales]]*1)/K455)-1)</f>
        <v>-8.4348429539438108E-4</v>
      </c>
      <c r="M456" s="8">
        <f>IF(Tabela1511[[#This Row],[Core-Retail Sales]]="",#N/A,((Tabela1511[[#This Row],[Core-Retail Sales]]*1)/K444)-1)</f>
        <v>2.536181631364931E-3</v>
      </c>
      <c r="N456" s="84">
        <v>188061</v>
      </c>
      <c r="O456" s="8">
        <f>IF(Tabela1511[[#This Row],[Real Retail Sales]]="",#N/A,((Tabela1511[[#This Row],[Real Retail Sales]]*1)/N455)-1)</f>
        <v>-3.2331412882743438E-3</v>
      </c>
      <c r="P456" s="8">
        <f>IF(Tabela1511[[#This Row],[Real Retail Sales]]="",#N/A,((Tabela1511[[#This Row],[Real Retail Sales]]*1)/N444)-1)</f>
        <v>1.4505966381114677E-2</v>
      </c>
      <c r="Q456" s="32">
        <v>317636</v>
      </c>
      <c r="R456" s="8">
        <f>IF(Tabela1511[[#This Row],[Core²-Retail Sales]]="",#N/A,((Tabela1511[[#This Row],[Core²-Retail Sales]]*1)/Q455)-1)</f>
        <v>1.8263229820703053E-4</v>
      </c>
      <c r="S456" s="8">
        <f>IF(Tabela1511[[#This Row],[Core²-Retail Sales]]="",#N/A,((Tabela1511[[#This Row],[Core²-Retail Sales]]*1)/Q444)-1)</f>
        <v>2.8663957122269546E-2</v>
      </c>
      <c r="T456" s="5">
        <v>90</v>
      </c>
      <c r="U456" s="7">
        <v>49</v>
      </c>
      <c r="V456" s="25">
        <v>51.7</v>
      </c>
      <c r="W456" s="25">
        <v>45.3</v>
      </c>
      <c r="X456" s="25">
        <v>56.9</v>
      </c>
      <c r="Y456" s="25">
        <v>59.2</v>
      </c>
      <c r="Z456" s="25">
        <v>53.6</v>
      </c>
      <c r="AA456" s="25">
        <f>IF([1]!Tabela1511[[#This Row],[Services New Orders]]="","",([1]!Tabela1511[[#This Row],[Manufacturing New Orders]]+[1]!Tabela1511[[#This Row],[Services New Orders]])/2)</f>
        <v>55.45</v>
      </c>
      <c r="AB456" s="25">
        <f>IF([1]!Tabela1511[[#This Row],[Services Employment]]="",#N/A,([1]!Tabela1511[[#This Row],[Manufacturing Employment]]+[1]!Tabela1511[[#This Row],[Services Employment]])/2)</f>
        <v>49.45</v>
      </c>
    </row>
    <row r="457" spans="1:28">
      <c r="A457" s="6">
        <v>42309</v>
      </c>
      <c r="B457" s="36">
        <v>12737</v>
      </c>
      <c r="C457" s="8">
        <f>IF(Tabela1511[[#This Row],[Real PCE]]="",#N/A,((Tabela1511[[#This Row],[Real PCE]]*1)/B456)-1)</f>
        <v>1.6593398815656357E-3</v>
      </c>
      <c r="D457" s="8">
        <f>IF(Tabela1511[[#This Row],[Real PCE]]="",#N/A,((Tabela1511[[#This Row],[Real PCE]]*1)/B445)-1)</f>
        <v>2.5473809638825839E-2</v>
      </c>
      <c r="E457" s="7">
        <v>99.438199999999995</v>
      </c>
      <c r="F457" s="8">
        <f>IF(Tabela1511[[#This Row],[Industrial Production]]="",#N/A,((Tabela1511[[#This Row],[Industrial Production]]*1)/E456)-1)</f>
        <v>-7.475014248341405E-3</v>
      </c>
      <c r="G457" s="8">
        <f>IF(Tabela1511[[#This Row],[Industrial Production]]="",#N/A,((Tabela1511[[#This Row],[Industrial Production]]*1)/E445)-1)</f>
        <v>-4.054411319159934E-2</v>
      </c>
      <c r="H457" s="32">
        <v>448892</v>
      </c>
      <c r="I457" s="8">
        <f>IF(Tabela1511[[#This Row],[Retail Sales]]="",#N/A,((Tabela1511[[#This Row],[Retail Sales]]*1)/H456)-1)</f>
        <v>4.0462285526401409E-3</v>
      </c>
      <c r="J457" s="8">
        <f>IF(Tabela1511[[#This Row],[Retail Sales]]="",#N/A,((Tabela1511[[#This Row],[Retail Sales]]*1)/H445)-1)</f>
        <v>1.7574959366548848E-2</v>
      </c>
      <c r="K457" s="32">
        <v>354854</v>
      </c>
      <c r="L457" s="8">
        <f>IF(Tabela1511[[#This Row],[Core-Retail Sales]]="",#N/A,((Tabela1511[[#This Row],[Core-Retail Sales]]*1)/K456)-1)</f>
        <v>1.8945008653719064E-3</v>
      </c>
      <c r="M457" s="8">
        <f>IF(Tabela1511[[#This Row],[Core-Retail Sales]]="",#N/A,((Tabela1511[[#This Row],[Core-Retail Sales]]*1)/K445)-1)</f>
        <v>4.3530437342209627E-3</v>
      </c>
      <c r="N457" s="84">
        <v>188597</v>
      </c>
      <c r="O457" s="8">
        <f>IF(Tabela1511[[#This Row],[Real Retail Sales]]="",#N/A,((Tabela1511[[#This Row],[Real Retail Sales]]*1)/N456)-1)</f>
        <v>2.8501390506272539E-3</v>
      </c>
      <c r="P457" s="8">
        <f>IF(Tabela1511[[#This Row],[Real Retail Sales]]="",#N/A,((Tabela1511[[#This Row],[Real Retail Sales]]*1)/N445)-1)</f>
        <v>1.3156198293830634E-2</v>
      </c>
      <c r="Q457" s="32">
        <v>318776</v>
      </c>
      <c r="R457" s="8">
        <f>IF(Tabela1511[[#This Row],[Core²-Retail Sales]]="",#N/A,((Tabela1511[[#This Row],[Core²-Retail Sales]]*1)/Q456)-1)</f>
        <v>3.5890138397411953E-3</v>
      </c>
      <c r="S457" s="8">
        <f>IF(Tabela1511[[#This Row],[Core²-Retail Sales]]="",#N/A,((Tabela1511[[#This Row],[Core²-Retail Sales]]*1)/Q445)-1)</f>
        <v>2.9199436932573875E-2</v>
      </c>
      <c r="T457" s="5">
        <v>91.3</v>
      </c>
      <c r="U457" s="7">
        <v>49.1</v>
      </c>
      <c r="V457" s="25">
        <v>50.6</v>
      </c>
      <c r="W457" s="25">
        <v>51</v>
      </c>
      <c r="X457" s="25">
        <v>56.1</v>
      </c>
      <c r="Y457" s="25">
        <v>59.3</v>
      </c>
      <c r="Z457" s="25">
        <v>55.1</v>
      </c>
      <c r="AA457" s="25">
        <f>IF([1]!Tabela1511[[#This Row],[Services New Orders]]="","",([1]!Tabela1511[[#This Row],[Manufacturing New Orders]]+[1]!Tabela1511[[#This Row],[Services New Orders]])/2)</f>
        <v>54.95</v>
      </c>
      <c r="AB457" s="25">
        <f>IF([1]!Tabela1511[[#This Row],[Services Employment]]="",#N/A,([1]!Tabela1511[[#This Row],[Manufacturing Employment]]+[1]!Tabela1511[[#This Row],[Services Employment]])/2)</f>
        <v>53.05</v>
      </c>
    </row>
    <row r="458" spans="1:28">
      <c r="A458" s="6">
        <v>42339</v>
      </c>
      <c r="B458" s="36">
        <v>12777.3</v>
      </c>
      <c r="C458" s="8">
        <f>IF(Tabela1511[[#This Row],[Real PCE]]="",#N/A,((Tabela1511[[#This Row],[Real PCE]]*1)/B457)-1)</f>
        <v>3.1640103635077743E-3</v>
      </c>
      <c r="D458" s="8">
        <f>IF(Tabela1511[[#This Row],[Real PCE]]="",#N/A,((Tabela1511[[#This Row],[Real PCE]]*1)/B446)-1)</f>
        <v>2.5868921164823977E-2</v>
      </c>
      <c r="E458" s="7">
        <v>98.938999999999993</v>
      </c>
      <c r="F458" s="8">
        <f>IF(Tabela1511[[#This Row],[Industrial Production]]="",#N/A,((Tabela1511[[#This Row],[Industrial Production]]*1)/E457)-1)</f>
        <v>-5.0202035032814729E-3</v>
      </c>
      <c r="G458" s="8">
        <f>IF(Tabela1511[[#This Row],[Industrial Production]]="",#N/A,((Tabela1511[[#This Row],[Industrial Production]]*1)/E446)-1)</f>
        <v>-4.5308270894345082E-2</v>
      </c>
      <c r="H458" s="32">
        <v>450611</v>
      </c>
      <c r="I458" s="8">
        <f>IF(Tabela1511[[#This Row],[Retail Sales]]="",#N/A,((Tabela1511[[#This Row],[Retail Sales]]*1)/H457)-1)</f>
        <v>3.8294289049480845E-3</v>
      </c>
      <c r="J458" s="8">
        <f>IF(Tabela1511[[#This Row],[Retail Sales]]="",#N/A,((Tabela1511[[#This Row],[Retail Sales]]*1)/H446)-1)</f>
        <v>2.7375491331588453E-2</v>
      </c>
      <c r="K458" s="32">
        <v>357119</v>
      </c>
      <c r="L458" s="8">
        <f>IF(Tabela1511[[#This Row],[Core-Retail Sales]]="",#N/A,((Tabela1511[[#This Row],[Core-Retail Sales]]*1)/K457)-1)</f>
        <v>6.3829067729264111E-3</v>
      </c>
      <c r="M458" s="8">
        <f>IF(Tabela1511[[#This Row],[Core-Retail Sales]]="",#N/A,((Tabela1511[[#This Row],[Core-Retail Sales]]*1)/K446)-1)</f>
        <v>1.6813111094660327E-2</v>
      </c>
      <c r="N458" s="84">
        <v>189523</v>
      </c>
      <c r="O458" s="8">
        <f>IF(Tabela1511[[#This Row],[Real Retail Sales]]="",#N/A,((Tabela1511[[#This Row],[Real Retail Sales]]*1)/N457)-1)</f>
        <v>4.9099402429519934E-3</v>
      </c>
      <c r="P458" s="8">
        <f>IF(Tabela1511[[#This Row],[Real Retail Sales]]="",#N/A,((Tabela1511[[#This Row],[Real Retail Sales]]*1)/N446)-1)</f>
        <v>2.0856337967476657E-2</v>
      </c>
      <c r="Q458" s="32">
        <v>321198</v>
      </c>
      <c r="R458" s="8">
        <f>IF(Tabela1511[[#This Row],[Core²-Retail Sales]]="",#N/A,((Tabela1511[[#This Row],[Core²-Retail Sales]]*1)/Q457)-1)</f>
        <v>7.5978116294828091E-3</v>
      </c>
      <c r="S458" s="8">
        <f>IF(Tabela1511[[#This Row],[Core²-Retail Sales]]="",#N/A,((Tabela1511[[#This Row],[Core²-Retail Sales]]*1)/Q446)-1)</f>
        <v>3.3565339949222395E-2</v>
      </c>
      <c r="T458" s="5">
        <v>92.6</v>
      </c>
      <c r="U458" s="7">
        <v>48.8</v>
      </c>
      <c r="V458" s="25">
        <v>49.5</v>
      </c>
      <c r="W458" s="25">
        <v>46.7</v>
      </c>
      <c r="X458" s="25">
        <v>55.3</v>
      </c>
      <c r="Y458" s="25">
        <v>58.2</v>
      </c>
      <c r="Z458" s="25">
        <v>52</v>
      </c>
      <c r="AA458" s="25">
        <f>IF([1]!Tabela1511[[#This Row],[Services New Orders]]="","",([1]!Tabela1511[[#This Row],[Manufacturing New Orders]]+[1]!Tabela1511[[#This Row],[Services New Orders]])/2)</f>
        <v>53.85</v>
      </c>
      <c r="AB458" s="25">
        <f>IF([1]!Tabela1511[[#This Row],[Services Employment]]="",#N/A,([1]!Tabela1511[[#This Row],[Manufacturing Employment]]+[1]!Tabela1511[[#This Row],[Services Employment]])/2)</f>
        <v>49.35</v>
      </c>
    </row>
    <row r="459" spans="1:28">
      <c r="A459" s="6">
        <v>42370</v>
      </c>
      <c r="B459" s="36">
        <v>12798.7</v>
      </c>
      <c r="C459" s="8">
        <f>IF(Tabela1511[[#This Row],[Real PCE]]="",#N/A,((Tabela1511[[#This Row],[Real PCE]]*1)/B458)-1)</f>
        <v>1.6748452333437136E-3</v>
      </c>
      <c r="D459" s="8">
        <f>IF(Tabela1511[[#This Row],[Real PCE]]="",#N/A,((Tabela1511[[#This Row],[Real PCE]]*1)/B447)-1)</f>
        <v>2.5150784560301842E-2</v>
      </c>
      <c r="E459" s="7">
        <v>99.455799999999996</v>
      </c>
      <c r="F459" s="8">
        <f>IF(Tabela1511[[#This Row],[Industrial Production]]="",#N/A,((Tabela1511[[#This Row],[Industrial Production]]*1)/E458)-1)</f>
        <v>5.2234204914138882E-3</v>
      </c>
      <c r="G459" s="8">
        <f>IF(Tabela1511[[#This Row],[Industrial Production]]="",#N/A,((Tabela1511[[#This Row],[Industrial Production]]*1)/E447)-1)</f>
        <v>-3.2756003224931107E-2</v>
      </c>
      <c r="H459" s="32">
        <v>447561</v>
      </c>
      <c r="I459" s="8">
        <f>IF(Tabela1511[[#This Row],[Retail Sales]]="",#N/A,((Tabela1511[[#This Row],[Retail Sales]]*1)/H458)-1)</f>
        <v>-6.7685875400289586E-3</v>
      </c>
      <c r="J459" s="8">
        <f>IF(Tabela1511[[#This Row],[Retail Sales]]="",#N/A,((Tabela1511[[#This Row],[Retail Sales]]*1)/H447)-1)</f>
        <v>2.6181839859495293E-2</v>
      </c>
      <c r="K459" s="32">
        <v>354343</v>
      </c>
      <c r="L459" s="8">
        <f>IF(Tabela1511[[#This Row],[Core-Retail Sales]]="",#N/A,((Tabela1511[[#This Row],[Core-Retail Sales]]*1)/K458)-1)</f>
        <v>-7.7733192577263965E-3</v>
      </c>
      <c r="M459" s="8">
        <f>IF(Tabela1511[[#This Row],[Core-Retail Sales]]="",#N/A,((Tabela1511[[#This Row],[Core-Retail Sales]]*1)/K447)-1)</f>
        <v>1.9307829278746746E-2</v>
      </c>
      <c r="N459" s="84">
        <v>188326</v>
      </c>
      <c r="O459" s="8">
        <f>IF(Tabela1511[[#This Row],[Real Retail Sales]]="",#N/A,((Tabela1511[[#This Row],[Real Retail Sales]]*1)/N458)-1)</f>
        <v>-6.3158561230035604E-3</v>
      </c>
      <c r="P459" s="8">
        <f>IF(Tabela1511[[#This Row],[Real Retail Sales]]="",#N/A,((Tabela1511[[#This Row],[Real Retail Sales]]*1)/N447)-1)</f>
        <v>1.3638908026179841E-2</v>
      </c>
      <c r="Q459" s="32">
        <v>319788</v>
      </c>
      <c r="R459" s="8">
        <f>IF(Tabela1511[[#This Row],[Core²-Retail Sales]]="",#N/A,((Tabela1511[[#This Row],[Core²-Retail Sales]]*1)/Q458)-1)</f>
        <v>-4.389815627743654E-3</v>
      </c>
      <c r="S459" s="8">
        <f>IF(Tabela1511[[#This Row],[Core²-Retail Sales]]="",#N/A,((Tabela1511[[#This Row],[Core²-Retail Sales]]*1)/Q447)-1)</f>
        <v>2.8204336754379167E-2</v>
      </c>
      <c r="T459" s="5">
        <v>92</v>
      </c>
      <c r="U459" s="7">
        <v>47.5</v>
      </c>
      <c r="V459" s="25">
        <v>49.6</v>
      </c>
      <c r="W459" s="25">
        <v>44.5</v>
      </c>
      <c r="X459" s="25">
        <v>53.8</v>
      </c>
      <c r="Y459" s="25">
        <v>56.9</v>
      </c>
      <c r="Z459" s="25">
        <v>51.4</v>
      </c>
      <c r="AA459" s="25">
        <f>IF([1]!Tabela1511[[#This Row],[Services New Orders]]="","",([1]!Tabela1511[[#This Row],[Manufacturing New Orders]]+[1]!Tabela1511[[#This Row],[Services New Orders]])/2)</f>
        <v>53.25</v>
      </c>
      <c r="AB459" s="25">
        <f>IF([1]!Tabela1511[[#This Row],[Services Employment]]="",#N/A,([1]!Tabela1511[[#This Row],[Manufacturing Employment]]+[1]!Tabela1511[[#This Row],[Services Employment]])/2)</f>
        <v>47.95</v>
      </c>
    </row>
    <row r="460" spans="1:28">
      <c r="A460" s="6">
        <v>42401</v>
      </c>
      <c r="B460" s="36">
        <v>12884</v>
      </c>
      <c r="C460" s="8">
        <f>IF(Tabela1511[[#This Row],[Real PCE]]="",#N/A,((Tabela1511[[#This Row],[Real PCE]]*1)/B459)-1)</f>
        <v>6.6647393875940431E-3</v>
      </c>
      <c r="D460" s="8">
        <f>IF(Tabela1511[[#This Row],[Real PCE]]="",#N/A,((Tabela1511[[#This Row],[Real PCE]]*1)/B448)-1)</f>
        <v>2.9558657833963276E-2</v>
      </c>
      <c r="E460" s="7">
        <v>98.913600000000002</v>
      </c>
      <c r="F460" s="8">
        <f>IF(Tabela1511[[#This Row],[Industrial Production]]="",#N/A,((Tabela1511[[#This Row],[Industrial Production]]*1)/E459)-1)</f>
        <v>-5.4516679771314802E-3</v>
      </c>
      <c r="G460" s="8">
        <f>IF(Tabela1511[[#This Row],[Industrial Production]]="",#N/A,((Tabela1511[[#This Row],[Industrial Production]]*1)/E448)-1)</f>
        <v>-3.1695142401516163E-2</v>
      </c>
      <c r="H460" s="32">
        <v>451821</v>
      </c>
      <c r="I460" s="8">
        <f>IF(Tabela1511[[#This Row],[Retail Sales]]="",#N/A,((Tabela1511[[#This Row],[Retail Sales]]*1)/H459)-1)</f>
        <v>9.5182556120840811E-3</v>
      </c>
      <c r="J460" s="8">
        <f>IF(Tabela1511[[#This Row],[Retail Sales]]="",#N/A,((Tabela1511[[#This Row],[Retail Sales]]*1)/H448)-1)</f>
        <v>3.7719511802994043E-2</v>
      </c>
      <c r="K460" s="32">
        <v>356499</v>
      </c>
      <c r="L460" s="8">
        <f>IF(Tabela1511[[#This Row],[Core-Retail Sales]]="",#N/A,((Tabela1511[[#This Row],[Core-Retail Sales]]*1)/K459)-1)</f>
        <v>6.0845000465650223E-3</v>
      </c>
      <c r="M460" s="8">
        <f>IF(Tabela1511[[#This Row],[Core-Retail Sales]]="",#N/A,((Tabela1511[[#This Row],[Core-Retail Sales]]*1)/K448)-1)</f>
        <v>2.3819301848049257E-2</v>
      </c>
      <c r="N460" s="84">
        <v>190372</v>
      </c>
      <c r="O460" s="8">
        <f>IF(Tabela1511[[#This Row],[Real Retail Sales]]="",#N/A,((Tabela1511[[#This Row],[Real Retail Sales]]*1)/N459)-1)</f>
        <v>1.0864139842613252E-2</v>
      </c>
      <c r="P460" s="8">
        <f>IF(Tabela1511[[#This Row],[Real Retail Sales]]="",#N/A,((Tabela1511[[#This Row],[Real Retail Sales]]*1)/N448)-1)</f>
        <v>2.8998902744220567E-2</v>
      </c>
      <c r="Q460" s="32">
        <v>323580</v>
      </c>
      <c r="R460" s="8">
        <f>IF(Tabela1511[[#This Row],[Core²-Retail Sales]]="",#N/A,((Tabela1511[[#This Row],[Core²-Retail Sales]]*1)/Q459)-1)</f>
        <v>1.1857855829487063E-2</v>
      </c>
      <c r="S460" s="8">
        <f>IF(Tabela1511[[#This Row],[Core²-Retail Sales]]="",#N/A,((Tabela1511[[#This Row],[Core²-Retail Sales]]*1)/Q448)-1)</f>
        <v>4.259233602160073E-2</v>
      </c>
      <c r="T460" s="5">
        <v>91.7</v>
      </c>
      <c r="U460" s="7">
        <v>49.2</v>
      </c>
      <c r="V460" s="25">
        <v>52.4</v>
      </c>
      <c r="W460" s="25">
        <v>47.5</v>
      </c>
      <c r="X460" s="25">
        <v>52.8</v>
      </c>
      <c r="Y460" s="25">
        <v>53.3</v>
      </c>
      <c r="Z460" s="25">
        <v>52.3</v>
      </c>
      <c r="AA460" s="25">
        <f>IF([1]!Tabela1511[[#This Row],[Services New Orders]]="","",([1]!Tabela1511[[#This Row],[Manufacturing New Orders]]+[1]!Tabela1511[[#This Row],[Services New Orders]])/2)</f>
        <v>52.849999999999994</v>
      </c>
      <c r="AB460" s="25">
        <f>IF([1]!Tabela1511[[#This Row],[Services Employment]]="",#N/A,([1]!Tabela1511[[#This Row],[Manufacturing Employment]]+[1]!Tabela1511[[#This Row],[Services Employment]])/2)</f>
        <v>49.9</v>
      </c>
    </row>
    <row r="461" spans="1:28">
      <c r="A461" s="6">
        <v>42430</v>
      </c>
      <c r="B461" s="36">
        <v>12836.1</v>
      </c>
      <c r="C461" s="8">
        <f>IF(Tabela1511[[#This Row],[Real PCE]]="",#N/A,((Tabela1511[[#This Row],[Real PCE]]*1)/B460)-1)</f>
        <v>-3.7177895063644772E-3</v>
      </c>
      <c r="D461" s="8">
        <f>IF(Tabela1511[[#This Row],[Real PCE]]="",#N/A,((Tabela1511[[#This Row],[Real PCE]]*1)/B449)-1)</f>
        <v>2.2650137828837291E-2</v>
      </c>
      <c r="E461" s="7">
        <v>98.190700000000007</v>
      </c>
      <c r="F461" s="8">
        <f>IF(Tabela1511[[#This Row],[Industrial Production]]="",#N/A,((Tabela1511[[#This Row],[Industrial Production]]*1)/E460)-1)</f>
        <v>-7.3083984406592251E-3</v>
      </c>
      <c r="G461" s="8">
        <f>IF(Tabela1511[[#This Row],[Industrial Production]]="",#N/A,((Tabela1511[[#This Row],[Industrial Production]]*1)/E449)-1)</f>
        <v>-3.5682157448145735E-2</v>
      </c>
      <c r="H461" s="32">
        <v>450561</v>
      </c>
      <c r="I461" s="8">
        <f>IF(Tabela1511[[#This Row],[Retail Sales]]="",#N/A,((Tabela1511[[#This Row],[Retail Sales]]*1)/H460)-1)</f>
        <v>-2.7887149999668015E-3</v>
      </c>
      <c r="J461" s="8">
        <f>IF(Tabela1511[[#This Row],[Retail Sales]]="",#N/A,((Tabela1511[[#This Row],[Retail Sales]]*1)/H449)-1)</f>
        <v>1.9366472021556502E-2</v>
      </c>
      <c r="K461" s="32">
        <v>357054</v>
      </c>
      <c r="L461" s="8">
        <f>IF(Tabela1511[[#This Row],[Core-Retail Sales]]="",#N/A,((Tabela1511[[#This Row],[Core-Retail Sales]]*1)/K460)-1)</f>
        <v>1.5568066109581391E-3</v>
      </c>
      <c r="M461" s="8">
        <f>IF(Tabela1511[[#This Row],[Core-Retail Sales]]="",#N/A,((Tabela1511[[#This Row],[Core-Retail Sales]]*1)/K449)-1)</f>
        <v>1.7633462252078402E-2</v>
      </c>
      <c r="N461" s="84">
        <v>189248</v>
      </c>
      <c r="O461" s="8">
        <f>IF(Tabela1511[[#This Row],[Real Retail Sales]]="",#N/A,((Tabela1511[[#This Row],[Real Retail Sales]]*1)/N460)-1)</f>
        <v>-5.9042296135985994E-3</v>
      </c>
      <c r="P461" s="8">
        <f>IF(Tabela1511[[#This Row],[Real Retail Sales]]="",#N/A,((Tabela1511[[#This Row],[Real Retail Sales]]*1)/N449)-1)</f>
        <v>1.035727251372065E-2</v>
      </c>
      <c r="Q461" s="32">
        <v>322875</v>
      </c>
      <c r="R461" s="8">
        <f>IF(Tabela1511[[#This Row],[Core²-Retail Sales]]="",#N/A,((Tabela1511[[#This Row],[Core²-Retail Sales]]*1)/Q460)-1)</f>
        <v>-2.1787502317819341E-3</v>
      </c>
      <c r="S461" s="8">
        <f>IF(Tabela1511[[#This Row],[Core²-Retail Sales]]="",#N/A,((Tabela1511[[#This Row],[Core²-Retail Sales]]*1)/Q449)-1)</f>
        <v>3.3199999999999896E-2</v>
      </c>
      <c r="T461" s="5">
        <v>91</v>
      </c>
      <c r="U461" s="7">
        <v>51.4</v>
      </c>
      <c r="V461" s="25">
        <v>55.4</v>
      </c>
      <c r="W461" s="25">
        <v>47.6</v>
      </c>
      <c r="X461" s="25">
        <v>55.4</v>
      </c>
      <c r="Y461" s="25">
        <v>58</v>
      </c>
      <c r="Z461" s="25">
        <v>55.1</v>
      </c>
      <c r="AA461" s="25">
        <f>IF([1]!Tabela1511[[#This Row],[Services New Orders]]="","",([1]!Tabela1511[[#This Row],[Manufacturing New Orders]]+[1]!Tabela1511[[#This Row],[Services New Orders]])/2)</f>
        <v>56.7</v>
      </c>
      <c r="AB461" s="25">
        <f>IF([1]!Tabela1511[[#This Row],[Services Employment]]="",#N/A,([1]!Tabela1511[[#This Row],[Manufacturing Employment]]+[1]!Tabela1511[[#This Row],[Services Employment]])/2)</f>
        <v>51.35</v>
      </c>
    </row>
    <row r="462" spans="1:28">
      <c r="A462" s="6">
        <v>42461</v>
      </c>
      <c r="B462" s="36">
        <v>12870.2</v>
      </c>
      <c r="C462" s="8">
        <f>IF(Tabela1511[[#This Row],[Real PCE]]="",#N/A,((Tabela1511[[#This Row],[Real PCE]]*1)/B461)-1)</f>
        <v>2.6565701420213639E-3</v>
      </c>
      <c r="D462" s="8">
        <f>IF(Tabela1511[[#This Row],[Real PCE]]="",#N/A,((Tabela1511[[#This Row],[Real PCE]]*1)/B450)-1)</f>
        <v>2.3491427299042744E-2</v>
      </c>
      <c r="E462" s="7">
        <v>98.466899999999995</v>
      </c>
      <c r="F462" s="8">
        <f>IF(Tabela1511[[#This Row],[Industrial Production]]="",#N/A,((Tabela1511[[#This Row],[Industrial Production]]*1)/E461)-1)</f>
        <v>2.8128936854507902E-3</v>
      </c>
      <c r="G462" s="8">
        <f>IF(Tabela1511[[#This Row],[Industrial Production]]="",#N/A,((Tabela1511[[#This Row],[Industrial Production]]*1)/E450)-1)</f>
        <v>-2.7429773616214348E-2</v>
      </c>
      <c r="H462" s="32">
        <v>452443</v>
      </c>
      <c r="I462" s="8">
        <f>IF(Tabela1511[[#This Row],[Retail Sales]]="",#N/A,((Tabela1511[[#This Row],[Retail Sales]]*1)/H461)-1)</f>
        <v>4.1770148770088333E-3</v>
      </c>
      <c r="J462" s="8">
        <f>IF(Tabela1511[[#This Row],[Retail Sales]]="",#N/A,((Tabela1511[[#This Row],[Retail Sales]]*1)/H450)-1)</f>
        <v>2.1551237530988976E-2</v>
      </c>
      <c r="K462" s="32">
        <v>358582</v>
      </c>
      <c r="L462" s="8">
        <f>IF(Tabela1511[[#This Row],[Core-Retail Sales]]="",#N/A,((Tabela1511[[#This Row],[Core-Retail Sales]]*1)/K461)-1)</f>
        <v>4.2794647308250777E-3</v>
      </c>
      <c r="M462" s="8">
        <f>IF(Tabela1511[[#This Row],[Core-Retail Sales]]="",#N/A,((Tabela1511[[#This Row],[Core-Retail Sales]]*1)/K450)-1)</f>
        <v>2.099319778251707E-2</v>
      </c>
      <c r="N462" s="84">
        <v>189313</v>
      </c>
      <c r="O462" s="8">
        <f>IF(Tabela1511[[#This Row],[Real Retail Sales]]="",#N/A,((Tabela1511[[#This Row],[Real Retail Sales]]*1)/N461)-1)</f>
        <v>3.4346466012857846E-4</v>
      </c>
      <c r="P462" s="8">
        <f>IF(Tabela1511[[#This Row],[Real Retail Sales]]="",#N/A,((Tabela1511[[#This Row],[Real Retail Sales]]*1)/N450)-1)</f>
        <v>9.7124143963476239E-3</v>
      </c>
      <c r="Q462" s="32">
        <v>323361</v>
      </c>
      <c r="R462" s="8">
        <f>IF(Tabela1511[[#This Row],[Core²-Retail Sales]]="",#N/A,((Tabela1511[[#This Row],[Core²-Retail Sales]]*1)/Q461)-1)</f>
        <v>1.5052264808361748E-3</v>
      </c>
      <c r="S462" s="8">
        <f>IF(Tabela1511[[#This Row],[Core²-Retail Sales]]="",#N/A,((Tabela1511[[#This Row],[Core²-Retail Sales]]*1)/Q450)-1)</f>
        <v>3.182646376524878E-2</v>
      </c>
      <c r="T462" s="5">
        <v>89</v>
      </c>
      <c r="U462" s="7">
        <v>51</v>
      </c>
      <c r="V462" s="25">
        <v>54.8</v>
      </c>
      <c r="W462" s="25">
        <v>50.3</v>
      </c>
      <c r="X462" s="25">
        <v>55.2</v>
      </c>
      <c r="Y462" s="25">
        <v>57.1</v>
      </c>
      <c r="Z462" s="25">
        <v>50.7</v>
      </c>
      <c r="AA462" s="25">
        <f>IF([1]!Tabela1511[[#This Row],[Services New Orders]]="","",([1]!Tabela1511[[#This Row],[Manufacturing New Orders]]+[1]!Tabela1511[[#This Row],[Services New Orders]])/2)</f>
        <v>55.95</v>
      </c>
      <c r="AB462" s="25">
        <f>IF([1]!Tabela1511[[#This Row],[Services Employment]]="",#N/A,([1]!Tabela1511[[#This Row],[Manufacturing Employment]]+[1]!Tabela1511[[#This Row],[Services Employment]])/2)</f>
        <v>50.5</v>
      </c>
    </row>
    <row r="463" spans="1:28">
      <c r="A463" s="6">
        <v>42491</v>
      </c>
      <c r="B463" s="36">
        <v>12891.2</v>
      </c>
      <c r="C463" s="8">
        <f>IF(Tabela1511[[#This Row],[Real PCE]]="",#N/A,((Tabela1511[[#This Row],[Real PCE]]*1)/B462)-1)</f>
        <v>1.6316762754269298E-3</v>
      </c>
      <c r="D463" s="8">
        <f>IF(Tabela1511[[#This Row],[Real PCE]]="",#N/A,((Tabela1511[[#This Row],[Real PCE]]*1)/B451)-1)</f>
        <v>2.2080918439350894E-2</v>
      </c>
      <c r="E463" s="7">
        <v>98.251800000000003</v>
      </c>
      <c r="F463" s="8">
        <f>IF(Tabela1511[[#This Row],[Industrial Production]]="",#N/A,((Tabela1511[[#This Row],[Industrial Production]]*1)/E462)-1)</f>
        <v>-2.1844904226698825E-3</v>
      </c>
      <c r="G463" s="8">
        <f>IF(Tabela1511[[#This Row],[Industrial Production]]="",#N/A,((Tabela1511[[#This Row],[Industrial Production]]*1)/E451)-1)</f>
        <v>-2.5115346834287511E-2</v>
      </c>
      <c r="H463" s="32">
        <v>454003</v>
      </c>
      <c r="I463" s="8">
        <f>IF(Tabela1511[[#This Row],[Retail Sales]]="",#N/A,((Tabela1511[[#This Row],[Retail Sales]]*1)/H462)-1)</f>
        <v>3.4479481393236977E-3</v>
      </c>
      <c r="J463" s="8">
        <f>IF(Tabela1511[[#This Row],[Retail Sales]]="",#N/A,((Tabela1511[[#This Row],[Retail Sales]]*1)/H451)-1)</f>
        <v>1.7248294327870006E-2</v>
      </c>
      <c r="K463" s="32">
        <v>359851</v>
      </c>
      <c r="L463" s="8">
        <f>IF(Tabela1511[[#This Row],[Core-Retail Sales]]="",#N/A,((Tabela1511[[#This Row],[Core-Retail Sales]]*1)/K462)-1)</f>
        <v>3.5389394894334014E-3</v>
      </c>
      <c r="M463" s="8">
        <f>IF(Tabela1511[[#This Row],[Core-Retail Sales]]="",#N/A,((Tabela1511[[#This Row],[Core-Retail Sales]]*1)/K451)-1)</f>
        <v>1.6758024412296457E-2</v>
      </c>
      <c r="N463" s="84">
        <v>189518</v>
      </c>
      <c r="O463" s="8">
        <f>IF(Tabela1511[[#This Row],[Real Retail Sales]]="",#N/A,((Tabela1511[[#This Row],[Real Retail Sales]]*1)/N462)-1)</f>
        <v>1.0828627722343498E-3</v>
      </c>
      <c r="P463" s="8">
        <f>IF(Tabela1511[[#This Row],[Real Retail Sales]]="",#N/A,((Tabela1511[[#This Row],[Real Retail Sales]]*1)/N451)-1)</f>
        <v>6.3935766857483589E-3</v>
      </c>
      <c r="Q463" s="32">
        <v>323843</v>
      </c>
      <c r="R463" s="8">
        <f>IF(Tabela1511[[#This Row],[Core²-Retail Sales]]="",#N/A,((Tabela1511[[#This Row],[Core²-Retail Sales]]*1)/Q462)-1)</f>
        <v>1.4905941038034776E-3</v>
      </c>
      <c r="S463" s="8">
        <f>IF(Tabela1511[[#This Row],[Core²-Retail Sales]]="",#N/A,((Tabela1511[[#This Row],[Core²-Retail Sales]]*1)/Q451)-1)</f>
        <v>2.9298371076678542E-2</v>
      </c>
      <c r="T463" s="5">
        <v>94.7</v>
      </c>
      <c r="U463" s="7">
        <v>51.3</v>
      </c>
      <c r="V463" s="25">
        <v>55.4</v>
      </c>
      <c r="W463" s="25">
        <v>49.1</v>
      </c>
      <c r="X463" s="25">
        <v>54.1</v>
      </c>
      <c r="Y463" s="25">
        <v>56.8</v>
      </c>
      <c r="Z463" s="25">
        <v>52.7</v>
      </c>
      <c r="AA463" s="25">
        <f>IF([1]!Tabela1511[[#This Row],[Services New Orders]]="","",([1]!Tabela1511[[#This Row],[Manufacturing New Orders]]+[1]!Tabela1511[[#This Row],[Services New Orders]])/2)</f>
        <v>56.099999999999994</v>
      </c>
      <c r="AB463" s="25">
        <f>IF([1]!Tabela1511[[#This Row],[Services Employment]]="",#N/A,([1]!Tabela1511[[#This Row],[Manufacturing Employment]]+[1]!Tabela1511[[#This Row],[Services Employment]])/2)</f>
        <v>50.900000000000006</v>
      </c>
    </row>
    <row r="464" spans="1:28">
      <c r="A464" s="6">
        <v>42522</v>
      </c>
      <c r="B464" s="36">
        <v>12948.6</v>
      </c>
      <c r="C464" s="8">
        <f>IF(Tabela1511[[#This Row],[Real PCE]]="",#N/A,((Tabela1511[[#This Row],[Real PCE]]*1)/B463)-1)</f>
        <v>4.4526498696784156E-3</v>
      </c>
      <c r="D464" s="8">
        <f>IF(Tabela1511[[#This Row],[Real PCE]]="",#N/A,((Tabela1511[[#This Row],[Real PCE]]*1)/B452)-1)</f>
        <v>2.5907967294162448E-2</v>
      </c>
      <c r="E464" s="7">
        <v>98.727500000000006</v>
      </c>
      <c r="F464" s="8">
        <f>IF(Tabela1511[[#This Row],[Industrial Production]]="",#N/A,((Tabela1511[[#This Row],[Industrial Production]]*1)/E463)-1)</f>
        <v>4.841641578067879E-3</v>
      </c>
      <c r="G464" s="8">
        <f>IF(Tabela1511[[#This Row],[Industrial Production]]="",#N/A,((Tabela1511[[#This Row],[Industrial Production]]*1)/E452)-1)</f>
        <v>-1.742270206144414E-2</v>
      </c>
      <c r="H464" s="32">
        <v>458757</v>
      </c>
      <c r="I464" s="8">
        <f>IF(Tabela1511[[#This Row],[Retail Sales]]="",#N/A,((Tabela1511[[#This Row],[Retail Sales]]*1)/H463)-1)</f>
        <v>1.0471296445177636E-2</v>
      </c>
      <c r="J464" s="8">
        <f>IF(Tabela1511[[#This Row],[Retail Sales]]="",#N/A,((Tabela1511[[#This Row],[Retail Sales]]*1)/H452)-1)</f>
        <v>2.7108534889812796E-2</v>
      </c>
      <c r="K464" s="32">
        <v>364045</v>
      </c>
      <c r="L464" s="8">
        <f>IF(Tabela1511[[#This Row],[Core-Retail Sales]]="",#N/A,((Tabela1511[[#This Row],[Core-Retail Sales]]*1)/K463)-1)</f>
        <v>1.1654823802073722E-2</v>
      </c>
      <c r="M464" s="8">
        <f>IF(Tabela1511[[#This Row],[Core-Retail Sales]]="",#N/A,((Tabela1511[[#This Row],[Core-Retail Sales]]*1)/K452)-1)</f>
        <v>2.7394747388087115E-2</v>
      </c>
      <c r="N464" s="84">
        <v>190972</v>
      </c>
      <c r="O464" s="8">
        <f>IF(Tabela1511[[#This Row],[Real Retail Sales]]="",#N/A,((Tabela1511[[#This Row],[Real Retail Sales]]*1)/N463)-1)</f>
        <v>7.6720944712376227E-3</v>
      </c>
      <c r="P464" s="8">
        <f>IF(Tabela1511[[#This Row],[Real Retail Sales]]="",#N/A,((Tabela1511[[#This Row],[Real Retail Sales]]*1)/N452)-1)</f>
        <v>1.6143621832731991E-2</v>
      </c>
      <c r="Q464" s="32">
        <v>326907</v>
      </c>
      <c r="R464" s="8">
        <f>IF(Tabela1511[[#This Row],[Core²-Retail Sales]]="",#N/A,((Tabela1511[[#This Row],[Core²-Retail Sales]]*1)/Q463)-1)</f>
        <v>9.4613748019873878E-3</v>
      </c>
      <c r="S464" s="8">
        <f>IF(Tabela1511[[#This Row],[Core²-Retail Sales]]="",#N/A,((Tabela1511[[#This Row],[Core²-Retail Sales]]*1)/Q452)-1)</f>
        <v>3.9443310376404694E-2</v>
      </c>
      <c r="T464" s="5">
        <v>93.5</v>
      </c>
      <c r="U464" s="7">
        <v>52.4</v>
      </c>
      <c r="V464" s="25">
        <v>56.9</v>
      </c>
      <c r="W464" s="25">
        <v>49.4</v>
      </c>
      <c r="X464" s="25">
        <v>55.8</v>
      </c>
      <c r="Y464" s="25">
        <v>58.5</v>
      </c>
      <c r="Z464" s="25">
        <v>51.7</v>
      </c>
      <c r="AA464" s="25">
        <f>IF([1]!Tabela1511[[#This Row],[Services New Orders]]="","",([1]!Tabela1511[[#This Row],[Manufacturing New Orders]]+[1]!Tabela1511[[#This Row],[Services New Orders]])/2)</f>
        <v>57.7</v>
      </c>
      <c r="AB464" s="25">
        <f>IF([1]!Tabela1511[[#This Row],[Services Employment]]="",#N/A,([1]!Tabela1511[[#This Row],[Manufacturing Employment]]+[1]!Tabela1511[[#This Row],[Services Employment]])/2)</f>
        <v>50.55</v>
      </c>
    </row>
    <row r="465" spans="1:28">
      <c r="A465" s="6">
        <v>42552</v>
      </c>
      <c r="B465" s="36">
        <v>12972.2</v>
      </c>
      <c r="C465" s="8">
        <f>IF(Tabela1511[[#This Row],[Real PCE]]="",#N/A,((Tabela1511[[#This Row],[Real PCE]]*1)/B464)-1)</f>
        <v>1.8225908592435225E-3</v>
      </c>
      <c r="D465" s="8">
        <f>IF(Tabela1511[[#This Row],[Real PCE]]="",#N/A,((Tabela1511[[#This Row],[Real PCE]]*1)/B453)-1)</f>
        <v>2.398092892551551E-2</v>
      </c>
      <c r="E465" s="7">
        <v>98.835999999999999</v>
      </c>
      <c r="F465" s="8">
        <f>IF(Tabela1511[[#This Row],[Industrial Production]]="",#N/A,((Tabela1511[[#This Row],[Industrial Production]]*1)/E464)-1)</f>
        <v>1.0989845787647834E-3</v>
      </c>
      <c r="G465" s="8">
        <f>IF(Tabela1511[[#This Row],[Industrial Production]]="",#N/A,((Tabela1511[[#This Row],[Industrial Production]]*1)/E453)-1)</f>
        <v>-2.2443949470452584E-2</v>
      </c>
      <c r="H465" s="32">
        <v>458192</v>
      </c>
      <c r="I465" s="8">
        <f>IF(Tabela1511[[#This Row],[Retail Sales]]="",#N/A,((Tabela1511[[#This Row],[Retail Sales]]*1)/H464)-1)</f>
        <v>-1.2315888367916417E-3</v>
      </c>
      <c r="J465" s="8">
        <f>IF(Tabela1511[[#This Row],[Retail Sales]]="",#N/A,((Tabela1511[[#This Row],[Retail Sales]]*1)/H453)-1)</f>
        <v>1.7611968142992263E-2</v>
      </c>
      <c r="K465" s="32">
        <v>362124</v>
      </c>
      <c r="L465" s="8">
        <f>IF(Tabela1511[[#This Row],[Core-Retail Sales]]="",#N/A,((Tabela1511[[#This Row],[Core-Retail Sales]]*1)/K464)-1)</f>
        <v>-5.2768201733301989E-3</v>
      </c>
      <c r="M465" s="8">
        <f>IF(Tabela1511[[#This Row],[Core-Retail Sales]]="",#N/A,((Tabela1511[[#This Row],[Core-Retail Sales]]*1)/K453)-1)</f>
        <v>1.2393378642459485E-2</v>
      </c>
      <c r="N465" s="84">
        <v>190833</v>
      </c>
      <c r="O465" s="8">
        <f>IF(Tabela1511[[#This Row],[Real Retail Sales]]="",#N/A,((Tabela1511[[#This Row],[Real Retail Sales]]*1)/N464)-1)</f>
        <v>-7.2785539241360109E-4</v>
      </c>
      <c r="P465" s="8">
        <f>IF(Tabela1511[[#This Row],[Real Retail Sales]]="",#N/A,((Tabela1511[[#This Row],[Real Retail Sales]]*1)/N453)-1)</f>
        <v>8.8496978732177656E-3</v>
      </c>
      <c r="Q465" s="32">
        <v>325270</v>
      </c>
      <c r="R465" s="8">
        <f>IF(Tabela1511[[#This Row],[Core²-Retail Sales]]="",#N/A,((Tabela1511[[#This Row],[Core²-Retail Sales]]*1)/Q464)-1)</f>
        <v>-5.0075403708088606E-3</v>
      </c>
      <c r="S465" s="8">
        <f>IF(Tabela1511[[#This Row],[Core²-Retail Sales]]="",#N/A,((Tabela1511[[#This Row],[Core²-Retail Sales]]*1)/Q453)-1)</f>
        <v>2.499220076952402E-2</v>
      </c>
      <c r="T465" s="5">
        <v>90</v>
      </c>
      <c r="U465" s="7">
        <v>52.4</v>
      </c>
      <c r="V465" s="25">
        <v>55.3</v>
      </c>
      <c r="W465" s="25">
        <v>49.4</v>
      </c>
      <c r="X465" s="25">
        <v>56.2</v>
      </c>
      <c r="Y465" s="25">
        <v>60.5</v>
      </c>
      <c r="Z465" s="25">
        <v>51</v>
      </c>
      <c r="AA465" s="25">
        <f>IF([1]!Tabela1511[[#This Row],[Services New Orders]]="","",([1]!Tabela1511[[#This Row],[Manufacturing New Orders]]+[1]!Tabela1511[[#This Row],[Services New Orders]])/2)</f>
        <v>57.9</v>
      </c>
      <c r="AB465" s="25">
        <f>IF([1]!Tabela1511[[#This Row],[Services Employment]]="",#N/A,([1]!Tabela1511[[#This Row],[Manufacturing Employment]]+[1]!Tabela1511[[#This Row],[Services Employment]])/2)</f>
        <v>50.2</v>
      </c>
    </row>
    <row r="466" spans="1:28">
      <c r="A466" s="6">
        <v>42583</v>
      </c>
      <c r="B466" s="36">
        <v>12986.1</v>
      </c>
      <c r="C466" s="8">
        <f>IF(Tabela1511[[#This Row],[Real PCE]]="",#N/A,((Tabela1511[[#This Row],[Real PCE]]*1)/B465)-1)</f>
        <v>1.0715221781965045E-3</v>
      </c>
      <c r="D466" s="8">
        <f>IF(Tabela1511[[#This Row],[Real PCE]]="",#N/A,((Tabela1511[[#This Row],[Real PCE]]*1)/B454)-1)</f>
        <v>2.2551713820011532E-2</v>
      </c>
      <c r="E466" s="7">
        <v>98.755399999999995</v>
      </c>
      <c r="F466" s="8">
        <f>IF(Tabela1511[[#This Row],[Industrial Production]]="",#N/A,((Tabela1511[[#This Row],[Industrial Production]]*1)/E465)-1)</f>
        <v>-8.1549233072975014E-4</v>
      </c>
      <c r="G466" s="8">
        <f>IF(Tabela1511[[#This Row],[Industrial Production]]="",#N/A,((Tabela1511[[#This Row],[Industrial Production]]*1)/E454)-1)</f>
        <v>-2.1683266596793094E-2</v>
      </c>
      <c r="H466" s="32">
        <v>458505</v>
      </c>
      <c r="I466" s="8">
        <f>IF(Tabela1511[[#This Row],[Retail Sales]]="",#N/A,((Tabela1511[[#This Row],[Retail Sales]]*1)/H465)-1)</f>
        <v>6.8311974019619193E-4</v>
      </c>
      <c r="J466" s="8">
        <f>IF(Tabela1511[[#This Row],[Retail Sales]]="",#N/A,((Tabela1511[[#This Row],[Retail Sales]]*1)/H454)-1)</f>
        <v>1.8289026584049628E-2</v>
      </c>
      <c r="K466" s="32">
        <v>362115</v>
      </c>
      <c r="L466" s="8">
        <f>IF(Tabela1511[[#This Row],[Core-Retail Sales]]="",#N/A,((Tabela1511[[#This Row],[Core-Retail Sales]]*1)/K465)-1)</f>
        <v>-2.4853365145682815E-5</v>
      </c>
      <c r="M466" s="8">
        <f>IF(Tabela1511[[#This Row],[Core-Retail Sales]]="",#N/A,((Tabela1511[[#This Row],[Core-Retail Sales]]*1)/K454)-1)</f>
        <v>1.4154444198610339E-2</v>
      </c>
      <c r="N466" s="84">
        <v>190611</v>
      </c>
      <c r="O466" s="8">
        <f>IF(Tabela1511[[#This Row],[Real Retail Sales]]="",#N/A,((Tabela1511[[#This Row],[Real Retail Sales]]*1)/N465)-1)</f>
        <v>-1.1633208092940439E-3</v>
      </c>
      <c r="P466" s="8">
        <f>IF(Tabela1511[[#This Row],[Real Retail Sales]]="",#N/A,((Tabela1511[[#This Row],[Real Retail Sales]]*1)/N454)-1)</f>
        <v>7.6547739251333624E-3</v>
      </c>
      <c r="Q466" s="32">
        <v>326184</v>
      </c>
      <c r="R466" s="8">
        <f>IF(Tabela1511[[#This Row],[Core²-Retail Sales]]="",#N/A,((Tabela1511[[#This Row],[Core²-Retail Sales]]*1)/Q465)-1)</f>
        <v>2.8099732529898169E-3</v>
      </c>
      <c r="S466" s="8">
        <f>IF(Tabela1511[[#This Row],[Core²-Retail Sales]]="",#N/A,((Tabela1511[[#This Row],[Core²-Retail Sales]]*1)/Q454)-1)</f>
        <v>2.6110153389286683E-2</v>
      </c>
      <c r="T466" s="5">
        <v>89.8</v>
      </c>
      <c r="U466" s="7">
        <v>49.7</v>
      </c>
      <c r="V466" s="25">
        <v>50.9</v>
      </c>
      <c r="W466" s="25">
        <v>47.5</v>
      </c>
      <c r="X466" s="25">
        <v>52.6</v>
      </c>
      <c r="Y466" s="25">
        <v>53.4</v>
      </c>
      <c r="Z466" s="25">
        <v>54.2</v>
      </c>
      <c r="AA466" s="25">
        <f>IF([1]!Tabela1511[[#This Row],[Services New Orders]]="","",([1]!Tabela1511[[#This Row],[Manufacturing New Orders]]+[1]!Tabela1511[[#This Row],[Services New Orders]])/2)</f>
        <v>52.15</v>
      </c>
      <c r="AB466" s="25">
        <f>IF([1]!Tabela1511[[#This Row],[Services Employment]]="",#N/A,([1]!Tabela1511[[#This Row],[Manufacturing Employment]]+[1]!Tabela1511[[#This Row],[Services Employment]])/2)</f>
        <v>50.85</v>
      </c>
    </row>
    <row r="467" spans="1:28">
      <c r="A467" s="6">
        <v>42614</v>
      </c>
      <c r="B467" s="36">
        <v>13020.9</v>
      </c>
      <c r="C467" s="8">
        <f>IF(Tabela1511[[#This Row],[Real PCE]]="",#N/A,((Tabela1511[[#This Row],[Real PCE]]*1)/B466)-1)</f>
        <v>2.6797883891236385E-3</v>
      </c>
      <c r="D467" s="8">
        <f>IF(Tabela1511[[#This Row],[Real PCE]]="",#N/A,((Tabela1511[[#This Row],[Real PCE]]*1)/B455)-1)</f>
        <v>2.4686791740115677E-2</v>
      </c>
      <c r="E467" s="7">
        <v>98.659599999999998</v>
      </c>
      <c r="F467" s="8">
        <f>IF(Tabela1511[[#This Row],[Industrial Production]]="",#N/A,((Tabela1511[[#This Row],[Industrial Production]]*1)/E466)-1)</f>
        <v>-9.7007353521927353E-4</v>
      </c>
      <c r="G467" s="8">
        <f>IF(Tabela1511[[#This Row],[Industrial Production]]="",#N/A,((Tabela1511[[#This Row],[Industrial Production]]*1)/E455)-1)</f>
        <v>-1.9782276725348158E-2</v>
      </c>
      <c r="H467" s="32">
        <v>461454</v>
      </c>
      <c r="I467" s="8">
        <f>IF(Tabela1511[[#This Row],[Retail Sales]]="",#N/A,((Tabela1511[[#This Row],[Retail Sales]]*1)/H466)-1)</f>
        <v>6.4317728269047691E-3</v>
      </c>
      <c r="J467" s="8">
        <f>IF(Tabela1511[[#This Row],[Retail Sales]]="",#N/A,((Tabela1511[[#This Row],[Retail Sales]]*1)/H455)-1)</f>
        <v>2.982206739256088E-2</v>
      </c>
      <c r="K467" s="32">
        <v>364149</v>
      </c>
      <c r="L467" s="8">
        <f>IF(Tabela1511[[#This Row],[Core-Retail Sales]]="",#N/A,((Tabela1511[[#This Row],[Core-Retail Sales]]*1)/K466)-1)</f>
        <v>5.6170001242699108E-3</v>
      </c>
      <c r="M467" s="8">
        <f>IF(Tabela1511[[#This Row],[Core-Retail Sales]]="",#N/A,((Tabela1511[[#This Row],[Core-Retail Sales]]*1)/K455)-1)</f>
        <v>2.7270778205945589E-2</v>
      </c>
      <c r="N467" s="84">
        <v>191335</v>
      </c>
      <c r="O467" s="8">
        <f>IF(Tabela1511[[#This Row],[Real Retail Sales]]="",#N/A,((Tabela1511[[#This Row],[Real Retail Sales]]*1)/N466)-1)</f>
        <v>3.7983117448625592E-3</v>
      </c>
      <c r="P467" s="8">
        <f>IF(Tabela1511[[#This Row],[Real Retail Sales]]="",#N/A,((Tabela1511[[#This Row],[Real Retail Sales]]*1)/N455)-1)</f>
        <v>1.4119817036004401E-2</v>
      </c>
      <c r="Q467" s="32">
        <v>327240</v>
      </c>
      <c r="R467" s="8">
        <f>IF(Tabela1511[[#This Row],[Core²-Retail Sales]]="",#N/A,((Tabela1511[[#This Row],[Core²-Retail Sales]]*1)/Q466)-1)</f>
        <v>3.2374365388860848E-3</v>
      </c>
      <c r="S467" s="8">
        <f>IF(Tabela1511[[#This Row],[Core²-Retail Sales]]="",#N/A,((Tabela1511[[#This Row],[Core²-Retail Sales]]*1)/Q455)-1)</f>
        <v>3.0424021815113056E-2</v>
      </c>
      <c r="T467" s="5">
        <v>91.2</v>
      </c>
      <c r="U467" s="7">
        <v>51</v>
      </c>
      <c r="V467" s="25">
        <v>53.4</v>
      </c>
      <c r="W467" s="25">
        <v>48.9</v>
      </c>
      <c r="X467" s="25">
        <v>55.4</v>
      </c>
      <c r="Y467" s="25">
        <v>58.4</v>
      </c>
      <c r="Z467" s="25">
        <v>51.4</v>
      </c>
      <c r="AA467" s="25">
        <f>IF([1]!Tabela1511[[#This Row],[Services New Orders]]="","",([1]!Tabela1511[[#This Row],[Manufacturing New Orders]]+[1]!Tabela1511[[#This Row],[Services New Orders]])/2)</f>
        <v>55.9</v>
      </c>
      <c r="AB467" s="25">
        <f>IF([1]!Tabela1511[[#This Row],[Services Employment]]="",#N/A,([1]!Tabela1511[[#This Row],[Manufacturing Employment]]+[1]!Tabela1511[[#This Row],[Services Employment]])/2)</f>
        <v>50.15</v>
      </c>
    </row>
    <row r="468" spans="1:28">
      <c r="A468" s="6">
        <v>42644</v>
      </c>
      <c r="B468" s="36">
        <v>13014.9</v>
      </c>
      <c r="C468" s="8">
        <f>IF(Tabela1511[[#This Row],[Real PCE]]="",#N/A,((Tabela1511[[#This Row],[Real PCE]]*1)/B467)-1)</f>
        <v>-4.6079764071604856E-4</v>
      </c>
      <c r="D468" s="8">
        <f>IF(Tabela1511[[#This Row],[Real PCE]]="",#N/A,((Tabela1511[[#This Row],[Real PCE]]*1)/B456)-1)</f>
        <v>2.3513868463891585E-2</v>
      </c>
      <c r="E468" s="7">
        <v>98.732200000000006</v>
      </c>
      <c r="F468" s="8">
        <f>IF(Tabela1511[[#This Row],[Industrial Production]]="",#N/A,((Tabela1511[[#This Row],[Industrial Production]]*1)/E467)-1)</f>
        <v>7.3586351454912879E-4</v>
      </c>
      <c r="G468" s="8">
        <f>IF(Tabela1511[[#This Row],[Industrial Production]]="",#N/A,((Tabela1511[[#This Row],[Industrial Production]]*1)/E456)-1)</f>
        <v>-1.4521829656712226E-2</v>
      </c>
      <c r="H468" s="32">
        <v>462455</v>
      </c>
      <c r="I468" s="8">
        <f>IF(Tabela1511[[#This Row],[Retail Sales]]="",#N/A,((Tabela1511[[#This Row],[Retail Sales]]*1)/H467)-1)</f>
        <v>2.1692303024787307E-3</v>
      </c>
      <c r="J468" s="8">
        <f>IF(Tabela1511[[#This Row],[Retail Sales]]="",#N/A,((Tabela1511[[#This Row],[Retail Sales]]*1)/H456)-1)</f>
        <v>3.4382877452285188E-2</v>
      </c>
      <c r="K468" s="32">
        <v>365464</v>
      </c>
      <c r="L468" s="8">
        <f>IF(Tabela1511[[#This Row],[Core-Retail Sales]]="",#N/A,((Tabela1511[[#This Row],[Core-Retail Sales]]*1)/K467)-1)</f>
        <v>3.611159168362299E-3</v>
      </c>
      <c r="M468" s="8">
        <f>IF(Tabela1511[[#This Row],[Core-Retail Sales]]="",#N/A,((Tabela1511[[#This Row],[Core-Retail Sales]]*1)/K456)-1)</f>
        <v>3.1850766411713805E-2</v>
      </c>
      <c r="N468" s="84">
        <v>191302</v>
      </c>
      <c r="O468" s="8">
        <f>IF(Tabela1511[[#This Row],[Real Retail Sales]]="",#N/A,((Tabela1511[[#This Row],[Real Retail Sales]]*1)/N467)-1)</f>
        <v>-1.7247236522333065E-4</v>
      </c>
      <c r="P468" s="8">
        <f>IF(Tabela1511[[#This Row],[Real Retail Sales]]="",#N/A,((Tabela1511[[#This Row],[Real Retail Sales]]*1)/N456)-1)</f>
        <v>1.723376989381098E-2</v>
      </c>
      <c r="Q468" s="32">
        <v>327637</v>
      </c>
      <c r="R468" s="8">
        <f>IF(Tabela1511[[#This Row],[Core²-Retail Sales]]="",#N/A,((Tabela1511[[#This Row],[Core²-Retail Sales]]*1)/Q467)-1)</f>
        <v>1.2131768732428494E-3</v>
      </c>
      <c r="S468" s="8">
        <f>IF(Tabela1511[[#This Row],[Core²-Retail Sales]]="",#N/A,((Tabela1511[[#This Row],[Core²-Retail Sales]]*1)/Q456)-1)</f>
        <v>3.1485725799342612E-2</v>
      </c>
      <c r="T468" s="5">
        <v>87.2</v>
      </c>
      <c r="U468" s="7">
        <v>51.8</v>
      </c>
      <c r="V468" s="25">
        <v>54.3</v>
      </c>
      <c r="W468" s="25">
        <v>50.9</v>
      </c>
      <c r="X468" s="25">
        <v>54.3</v>
      </c>
      <c r="Y468" s="25">
        <v>57.6</v>
      </c>
      <c r="Z468" s="25">
        <v>55.2</v>
      </c>
      <c r="AA468" s="25">
        <f>IF([1]!Tabela1511[[#This Row],[Services New Orders]]="","",([1]!Tabela1511[[#This Row],[Manufacturing New Orders]]+[1]!Tabela1511[[#This Row],[Services New Orders]])/2)</f>
        <v>55.95</v>
      </c>
      <c r="AB468" s="25">
        <f>IF([1]!Tabela1511[[#This Row],[Services Employment]]="",#N/A,([1]!Tabela1511[[#This Row],[Manufacturing Employment]]+[1]!Tabela1511[[#This Row],[Services Employment]])/2)</f>
        <v>53.05</v>
      </c>
    </row>
    <row r="469" spans="1:28">
      <c r="A469" s="6">
        <v>42675</v>
      </c>
      <c r="B469" s="36">
        <v>13036.8</v>
      </c>
      <c r="C469" s="8">
        <f>IF(Tabela1511[[#This Row],[Real PCE]]="",#N/A,((Tabela1511[[#This Row],[Real PCE]]*1)/B468)-1)</f>
        <v>1.6826867667059098E-3</v>
      </c>
      <c r="D469" s="8">
        <f>IF(Tabela1511[[#This Row],[Real PCE]]="",#N/A,((Tabela1511[[#This Row],[Real PCE]]*1)/B457)-1)</f>
        <v>2.3537724738949439E-2</v>
      </c>
      <c r="E469" s="7">
        <v>98.345200000000006</v>
      </c>
      <c r="F469" s="8">
        <f>IF(Tabela1511[[#This Row],[Industrial Production]]="",#N/A,((Tabela1511[[#This Row],[Industrial Production]]*1)/E468)-1)</f>
        <v>-3.9196938789979319E-3</v>
      </c>
      <c r="G469" s="8">
        <f>IF(Tabela1511[[#This Row],[Industrial Production]]="",#N/A,((Tabela1511[[#This Row],[Industrial Production]]*1)/E457)-1)</f>
        <v>-1.099175166083044E-2</v>
      </c>
      <c r="H469" s="32">
        <v>462288</v>
      </c>
      <c r="I469" s="8">
        <f>IF(Tabela1511[[#This Row],[Retail Sales]]="",#N/A,((Tabela1511[[#This Row],[Retail Sales]]*1)/H468)-1)</f>
        <v>-3.6111621671297556E-4</v>
      </c>
      <c r="J469" s="8">
        <f>IF(Tabela1511[[#This Row],[Retail Sales]]="",#N/A,((Tabela1511[[#This Row],[Retail Sales]]*1)/H457)-1)</f>
        <v>2.9842367429136596E-2</v>
      </c>
      <c r="K469" s="32">
        <v>365620</v>
      </c>
      <c r="L469" s="8">
        <f>IF(Tabela1511[[#This Row],[Core-Retail Sales]]="",#N/A,((Tabela1511[[#This Row],[Core-Retail Sales]]*1)/K468)-1)</f>
        <v>4.2685462863656376E-4</v>
      </c>
      <c r="M469" s="8">
        <f>IF(Tabela1511[[#This Row],[Core-Retail Sales]]="",#N/A,((Tabela1511[[#This Row],[Core-Retail Sales]]*1)/K457)-1)</f>
        <v>3.0339238109194255E-2</v>
      </c>
      <c r="N469" s="84">
        <v>191008</v>
      </c>
      <c r="O469" s="8">
        <f>IF(Tabela1511[[#This Row],[Real Retail Sales]]="",#N/A,((Tabela1511[[#This Row],[Real Retail Sales]]*1)/N468)-1)</f>
        <v>-1.5368370430001166E-3</v>
      </c>
      <c r="P469" s="8">
        <f>IF(Tabela1511[[#This Row],[Real Retail Sales]]="",#N/A,((Tabela1511[[#This Row],[Real Retail Sales]]*1)/N457)-1)</f>
        <v>1.2783872490018444E-2</v>
      </c>
      <c r="Q469" s="32">
        <v>328131</v>
      </c>
      <c r="R469" s="8">
        <f>IF(Tabela1511[[#This Row],[Core²-Retail Sales]]="",#N/A,((Tabela1511[[#This Row],[Core²-Retail Sales]]*1)/Q468)-1)</f>
        <v>1.507766216880313E-3</v>
      </c>
      <c r="S469" s="8">
        <f>IF(Tabela1511[[#This Row],[Core²-Retail Sales]]="",#N/A,((Tabela1511[[#This Row],[Core²-Retail Sales]]*1)/Q457)-1)</f>
        <v>2.9346625843852836E-2</v>
      </c>
      <c r="T469" s="5">
        <v>93.8</v>
      </c>
      <c r="U469" s="7">
        <v>53.3</v>
      </c>
      <c r="V469" s="25">
        <v>55.4</v>
      </c>
      <c r="W469" s="25">
        <v>51.4</v>
      </c>
      <c r="X469" s="25">
        <v>56.4</v>
      </c>
      <c r="Y469" s="25">
        <v>58.6</v>
      </c>
      <c r="Z469" s="25">
        <v>52.7</v>
      </c>
      <c r="AA469" s="25">
        <f>IF([1]!Tabela1511[[#This Row],[Services New Orders]]="","",([1]!Tabela1511[[#This Row],[Manufacturing New Orders]]+[1]!Tabela1511[[#This Row],[Services New Orders]])/2)</f>
        <v>57</v>
      </c>
      <c r="AB469" s="25">
        <f>IF([1]!Tabela1511[[#This Row],[Services Employment]]="",#N/A,([1]!Tabela1511[[#This Row],[Manufacturing Employment]]+[1]!Tabela1511[[#This Row],[Services Employment]])/2)</f>
        <v>52.05</v>
      </c>
    </row>
    <row r="470" spans="1:28">
      <c r="A470" s="6">
        <v>42705</v>
      </c>
      <c r="B470" s="36">
        <v>13128.5</v>
      </c>
      <c r="C470" s="8">
        <f>IF(Tabela1511[[#This Row],[Real PCE]]="",#N/A,((Tabela1511[[#This Row],[Real PCE]]*1)/B469)-1)</f>
        <v>7.0339347079038106E-3</v>
      </c>
      <c r="D470" s="8">
        <f>IF(Tabela1511[[#This Row],[Real PCE]]="",#N/A,((Tabela1511[[#This Row],[Real PCE]]*1)/B458)-1)</f>
        <v>2.7486245137861687E-2</v>
      </c>
      <c r="E470" s="7">
        <v>99.031400000000005</v>
      </c>
      <c r="F470" s="8">
        <f>IF(Tabela1511[[#This Row],[Industrial Production]]="",#N/A,((Tabela1511[[#This Row],[Industrial Production]]*1)/E469)-1)</f>
        <v>6.9774630586951769E-3</v>
      </c>
      <c r="G470" s="8">
        <f>IF(Tabela1511[[#This Row],[Industrial Production]]="",#N/A,((Tabela1511[[#This Row],[Industrial Production]]*1)/E458)-1)</f>
        <v>9.3390877207188971E-4</v>
      </c>
      <c r="H470" s="32">
        <v>467979</v>
      </c>
      <c r="I470" s="8">
        <f>IF(Tabela1511[[#This Row],[Retail Sales]]="",#N/A,((Tabela1511[[#This Row],[Retail Sales]]*1)/H469)-1)</f>
        <v>1.2310507735437737E-2</v>
      </c>
      <c r="J470" s="8">
        <f>IF(Tabela1511[[#This Row],[Retail Sales]]="",#N/A,((Tabela1511[[#This Row],[Retail Sales]]*1)/H458)-1)</f>
        <v>3.8543222424663348E-2</v>
      </c>
      <c r="K470" s="32">
        <v>368498</v>
      </c>
      <c r="L470" s="8">
        <f>IF(Tabela1511[[#This Row],[Core-Retail Sales]]="",#N/A,((Tabela1511[[#This Row],[Core-Retail Sales]]*1)/K469)-1)</f>
        <v>7.87156063672656E-3</v>
      </c>
      <c r="M470" s="8">
        <f>IF(Tabela1511[[#This Row],[Core-Retail Sales]]="",#N/A,((Tabela1511[[#This Row],[Core-Retail Sales]]*1)/K458)-1)</f>
        <v>3.186332847034179E-2</v>
      </c>
      <c r="N470" s="84">
        <v>192872</v>
      </c>
      <c r="O470" s="8">
        <f>IF(Tabela1511[[#This Row],[Real Retail Sales]]="",#N/A,((Tabela1511[[#This Row],[Real Retail Sales]]*1)/N469)-1)</f>
        <v>9.7587535600602848E-3</v>
      </c>
      <c r="P470" s="8">
        <f>IF(Tabela1511[[#This Row],[Real Retail Sales]]="",#N/A,((Tabela1511[[#This Row],[Real Retail Sales]]*1)/N458)-1)</f>
        <v>1.7670678492847758E-2</v>
      </c>
      <c r="Q470" s="32">
        <v>329145</v>
      </c>
      <c r="R470" s="8">
        <f>IF(Tabela1511[[#This Row],[Core²-Retail Sales]]="",#N/A,((Tabela1511[[#This Row],[Core²-Retail Sales]]*1)/Q469)-1)</f>
        <v>3.0902292072374493E-3</v>
      </c>
      <c r="S470" s="8">
        <f>IF(Tabela1511[[#This Row],[Core²-Retail Sales]]="",#N/A,((Tabela1511[[#This Row],[Core²-Retail Sales]]*1)/Q458)-1)</f>
        <v>2.4741748080623127E-2</v>
      </c>
      <c r="T470" s="5">
        <v>98.2</v>
      </c>
      <c r="U470" s="7">
        <v>54.2</v>
      </c>
      <c r="V470" s="25">
        <v>58.6</v>
      </c>
      <c r="W470" s="25">
        <v>53.2</v>
      </c>
      <c r="X470" s="25">
        <v>55.8</v>
      </c>
      <c r="Y470" s="25">
        <v>58.6</v>
      </c>
      <c r="Z470" s="25">
        <v>53.7</v>
      </c>
      <c r="AA470" s="25">
        <f>IF([1]!Tabela1511[[#This Row],[Services New Orders]]="","",([1]!Tabela1511[[#This Row],[Manufacturing New Orders]]+[1]!Tabela1511[[#This Row],[Services New Orders]])/2)</f>
        <v>58.6</v>
      </c>
      <c r="AB470" s="25">
        <f>IF([1]!Tabela1511[[#This Row],[Services Employment]]="",#N/A,([1]!Tabela1511[[#This Row],[Manufacturing Employment]]+[1]!Tabela1511[[#This Row],[Services Employment]])/2)</f>
        <v>53.45</v>
      </c>
    </row>
    <row r="471" spans="1:28">
      <c r="A471" s="6">
        <v>42736</v>
      </c>
      <c r="B471" s="36">
        <v>13136.3</v>
      </c>
      <c r="C471" s="8">
        <f>IF(Tabela1511[[#This Row],[Real PCE]]="",#N/A,((Tabela1511[[#This Row],[Real PCE]]*1)/B470)-1)</f>
        <v>5.9412728034424767E-4</v>
      </c>
      <c r="D471" s="8">
        <f>IF(Tabela1511[[#This Row],[Real PCE]]="",#N/A,((Tabela1511[[#This Row],[Real PCE]]*1)/B459)-1)</f>
        <v>2.637767898302168E-2</v>
      </c>
      <c r="E471" s="7">
        <v>98.798699999999997</v>
      </c>
      <c r="F471" s="8">
        <f>IF(Tabela1511[[#This Row],[Industrial Production]]="",#N/A,((Tabela1511[[#This Row],[Industrial Production]]*1)/E470)-1)</f>
        <v>-2.3497597731629849E-3</v>
      </c>
      <c r="G471" s="8">
        <f>IF(Tabela1511[[#This Row],[Industrial Production]]="",#N/A,((Tabela1511[[#This Row],[Industrial Production]]*1)/E459)-1)</f>
        <v>-6.6069550493786933E-3</v>
      </c>
      <c r="H471" s="32">
        <v>473101</v>
      </c>
      <c r="I471" s="8">
        <f>IF(Tabela1511[[#This Row],[Retail Sales]]="",#N/A,((Tabela1511[[#This Row],[Retail Sales]]*1)/H470)-1)</f>
        <v>1.0944935563347968E-2</v>
      </c>
      <c r="J471" s="8">
        <f>IF(Tabela1511[[#This Row],[Retail Sales]]="",#N/A,((Tabela1511[[#This Row],[Retail Sales]]*1)/H459)-1)</f>
        <v>5.706484702643877E-2</v>
      </c>
      <c r="K471" s="32">
        <v>373654</v>
      </c>
      <c r="L471" s="8">
        <f>IF(Tabela1511[[#This Row],[Core-Retail Sales]]="",#N/A,((Tabela1511[[#This Row],[Core-Retail Sales]]*1)/K470)-1)</f>
        <v>1.399193482732608E-2</v>
      </c>
      <c r="M471" s="8">
        <f>IF(Tabela1511[[#This Row],[Core-Retail Sales]]="",#N/A,((Tabela1511[[#This Row],[Core-Retail Sales]]*1)/K459)-1)</f>
        <v>5.449804285678006E-2</v>
      </c>
      <c r="N471" s="84">
        <v>194198</v>
      </c>
      <c r="O471" s="8">
        <f>IF(Tabela1511[[#This Row],[Real Retail Sales]]="",#N/A,((Tabela1511[[#This Row],[Real Retail Sales]]*1)/N470)-1)</f>
        <v>6.8750259239287459E-3</v>
      </c>
      <c r="P471" s="8">
        <f>IF(Tabela1511[[#This Row],[Real Retail Sales]]="",#N/A,((Tabela1511[[#This Row],[Real Retail Sales]]*1)/N459)-1)</f>
        <v>3.1179975149474792E-2</v>
      </c>
      <c r="Q471" s="32">
        <v>333696</v>
      </c>
      <c r="R471" s="8">
        <f>IF(Tabela1511[[#This Row],[Core²-Retail Sales]]="",#N/A,((Tabela1511[[#This Row],[Core²-Retail Sales]]*1)/Q470)-1)</f>
        <v>1.3826732898874372E-2</v>
      </c>
      <c r="S471" s="8">
        <f>IF(Tabela1511[[#This Row],[Core²-Retail Sales]]="",#N/A,((Tabela1511[[#This Row],[Core²-Retail Sales]]*1)/Q459)-1)</f>
        <v>4.3491312994859088E-2</v>
      </c>
      <c r="T471" s="5">
        <v>98.5</v>
      </c>
      <c r="U471" s="7">
        <v>55.7</v>
      </c>
      <c r="V471" s="25">
        <v>60</v>
      </c>
      <c r="W471" s="25">
        <v>55.3</v>
      </c>
      <c r="X471" s="25">
        <v>57</v>
      </c>
      <c r="Y471" s="25">
        <v>60.3</v>
      </c>
      <c r="Z471" s="25">
        <v>55.3</v>
      </c>
      <c r="AA471" s="25">
        <f>IF([1]!Tabela1511[[#This Row],[Services New Orders]]="","",([1]!Tabela1511[[#This Row],[Manufacturing New Orders]]+[1]!Tabela1511[[#This Row],[Services New Orders]])/2)</f>
        <v>60.15</v>
      </c>
      <c r="AB471" s="25">
        <f>IF([1]!Tabela1511[[#This Row],[Services Employment]]="",#N/A,([1]!Tabela1511[[#This Row],[Manufacturing Employment]]+[1]!Tabela1511[[#This Row],[Services Employment]])/2)</f>
        <v>55.3</v>
      </c>
    </row>
    <row r="472" spans="1:28">
      <c r="A472" s="6">
        <v>42767</v>
      </c>
      <c r="B472" s="36">
        <v>13143.4</v>
      </c>
      <c r="C472" s="8">
        <f>IF(Tabela1511[[#This Row],[Real PCE]]="",#N/A,((Tabela1511[[#This Row],[Real PCE]]*1)/B471)-1)</f>
        <v>5.4048704734221964E-4</v>
      </c>
      <c r="D472" s="8">
        <f>IF(Tabela1511[[#This Row],[Real PCE]]="",#N/A,((Tabela1511[[#This Row],[Real PCE]]*1)/B460)-1)</f>
        <v>2.0133498913381009E-2</v>
      </c>
      <c r="E472" s="7">
        <v>98.432199999999995</v>
      </c>
      <c r="F472" s="8">
        <f>IF(Tabela1511[[#This Row],[Industrial Production]]="",#N/A,((Tabela1511[[#This Row],[Industrial Production]]*1)/E471)-1)</f>
        <v>-3.7095629800797392E-3</v>
      </c>
      <c r="G472" s="8">
        <f>IF(Tabela1511[[#This Row],[Industrial Production]]="",#N/A,((Tabela1511[[#This Row],[Industrial Production]]*1)/E460)-1)</f>
        <v>-4.8668737160512121E-3</v>
      </c>
      <c r="H472" s="32">
        <v>472927</v>
      </c>
      <c r="I472" s="8">
        <f>IF(Tabela1511[[#This Row],[Retail Sales]]="",#N/A,((Tabela1511[[#This Row],[Retail Sales]]*1)/H471)-1)</f>
        <v>-3.6778615982635543E-4</v>
      </c>
      <c r="J472" s="8">
        <f>IF(Tabela1511[[#This Row],[Retail Sales]]="",#N/A,((Tabela1511[[#This Row],[Retail Sales]]*1)/H460)-1)</f>
        <v>4.6713189515317E-2</v>
      </c>
      <c r="K472" s="32">
        <v>374176</v>
      </c>
      <c r="L472" s="8">
        <f>IF(Tabela1511[[#This Row],[Core-Retail Sales]]="",#N/A,((Tabela1511[[#This Row],[Core-Retail Sales]]*1)/K471)-1)</f>
        <v>1.3970143501742527E-3</v>
      </c>
      <c r="M472" s="8">
        <f>IF(Tabela1511[[#This Row],[Core-Retail Sales]]="",#N/A,((Tabela1511[[#This Row],[Core-Retail Sales]]*1)/K460)-1)</f>
        <v>4.9584991823258928E-2</v>
      </c>
      <c r="N472" s="84">
        <v>193818</v>
      </c>
      <c r="O472" s="8">
        <f>IF(Tabela1511[[#This Row],[Real Retail Sales]]="",#N/A,((Tabela1511[[#This Row],[Real Retail Sales]]*1)/N471)-1)</f>
        <v>-1.956765775136704E-3</v>
      </c>
      <c r="P472" s="8">
        <f>IF(Tabela1511[[#This Row],[Real Retail Sales]]="",#N/A,((Tabela1511[[#This Row],[Real Retail Sales]]*1)/N460)-1)</f>
        <v>1.8101401466602329E-2</v>
      </c>
      <c r="Q472" s="32">
        <v>333973</v>
      </c>
      <c r="R472" s="8">
        <f>IF(Tabela1511[[#This Row],[Core²-Retail Sales]]="",#N/A,((Tabela1511[[#This Row],[Core²-Retail Sales]]*1)/Q471)-1)</f>
        <v>8.3009685462220872E-4</v>
      </c>
      <c r="S472" s="8">
        <f>IF(Tabela1511[[#This Row],[Core²-Retail Sales]]="",#N/A,((Tabela1511[[#This Row],[Core²-Retail Sales]]*1)/Q460)-1)</f>
        <v>3.2118795970084602E-2</v>
      </c>
      <c r="T472" s="5">
        <v>96.3</v>
      </c>
      <c r="U472" s="7">
        <v>57.7</v>
      </c>
      <c r="V472" s="25">
        <v>64.099999999999994</v>
      </c>
      <c r="W472" s="25">
        <v>54.4</v>
      </c>
      <c r="X472" s="25">
        <v>56.6</v>
      </c>
      <c r="Y472" s="25">
        <v>58.4</v>
      </c>
      <c r="Z472" s="25">
        <v>52.4</v>
      </c>
      <c r="AA472" s="25">
        <f>IF([1]!Tabela1511[[#This Row],[Services New Orders]]="","",([1]!Tabela1511[[#This Row],[Manufacturing New Orders]]+[1]!Tabela1511[[#This Row],[Services New Orders]])/2)</f>
        <v>61.25</v>
      </c>
      <c r="AB472" s="25">
        <f>IF([1]!Tabela1511[[#This Row],[Services Employment]]="",#N/A,([1]!Tabela1511[[#This Row],[Manufacturing Employment]]+[1]!Tabela1511[[#This Row],[Services Employment]])/2)</f>
        <v>53.4</v>
      </c>
    </row>
    <row r="473" spans="1:28">
      <c r="A473" s="6">
        <v>42795</v>
      </c>
      <c r="B473" s="36">
        <v>13201.7</v>
      </c>
      <c r="C473" s="8">
        <f>IF(Tabela1511[[#This Row],[Real PCE]]="",#N/A,((Tabela1511[[#This Row],[Real PCE]]*1)/B472)-1)</f>
        <v>4.4356863520855772E-3</v>
      </c>
      <c r="D473" s="8">
        <f>IF(Tabela1511[[#This Row],[Real PCE]]="",#N/A,((Tabela1511[[#This Row],[Real PCE]]*1)/B461)-1)</f>
        <v>2.8482171376041032E-2</v>
      </c>
      <c r="E473" s="7">
        <v>99.066299999999998</v>
      </c>
      <c r="F473" s="8">
        <f>IF(Tabela1511[[#This Row],[Industrial Production]]="",#N/A,((Tabela1511[[#This Row],[Industrial Production]]*1)/E472)-1)</f>
        <v>6.4419976389840095E-3</v>
      </c>
      <c r="G473" s="8">
        <f>IF(Tabela1511[[#This Row],[Industrial Production]]="",#N/A,((Tabela1511[[#This Row],[Industrial Production]]*1)/E461)-1)</f>
        <v>8.9173414590180133E-3</v>
      </c>
      <c r="H473" s="32">
        <v>472170</v>
      </c>
      <c r="I473" s="8">
        <f>IF(Tabela1511[[#This Row],[Retail Sales]]="",#N/A,((Tabela1511[[#This Row],[Retail Sales]]*1)/H472)-1)</f>
        <v>-1.6006698708257439E-3</v>
      </c>
      <c r="J473" s="8">
        <f>IF(Tabela1511[[#This Row],[Retail Sales]]="",#N/A,((Tabela1511[[#This Row],[Retail Sales]]*1)/H461)-1)</f>
        <v>4.7960209605358628E-2</v>
      </c>
      <c r="K473" s="32">
        <v>375353</v>
      </c>
      <c r="L473" s="8">
        <f>IF(Tabela1511[[#This Row],[Core-Retail Sales]]="",#N/A,((Tabela1511[[#This Row],[Core-Retail Sales]]*1)/K472)-1)</f>
        <v>3.1455785512699563E-3</v>
      </c>
      <c r="M473" s="8">
        <f>IF(Tabela1511[[#This Row],[Core-Retail Sales]]="",#N/A,((Tabela1511[[#This Row],[Core-Retail Sales]]*1)/K461)-1)</f>
        <v>5.1249950987805715E-2</v>
      </c>
      <c r="N473" s="84">
        <v>193598</v>
      </c>
      <c r="O473" s="8">
        <f>IF(Tabela1511[[#This Row],[Real Retail Sales]]="",#N/A,((Tabela1511[[#This Row],[Real Retail Sales]]*1)/N472)-1)</f>
        <v>-1.1350854925754605E-3</v>
      </c>
      <c r="P473" s="8">
        <f>IF(Tabela1511[[#This Row],[Real Retail Sales]]="",#N/A,((Tabela1511[[#This Row],[Real Retail Sales]]*1)/N461)-1)</f>
        <v>2.2985711870138648E-2</v>
      </c>
      <c r="Q473" s="32">
        <v>335446</v>
      </c>
      <c r="R473" s="8">
        <f>IF(Tabela1511[[#This Row],[Core²-Retail Sales]]="",#N/A,((Tabela1511[[#This Row],[Core²-Retail Sales]]*1)/Q472)-1)</f>
        <v>4.4105361810684585E-3</v>
      </c>
      <c r="S473" s="8">
        <f>IF(Tabela1511[[#This Row],[Core²-Retail Sales]]="",#N/A,((Tabela1511[[#This Row],[Core²-Retail Sales]]*1)/Q461)-1)</f>
        <v>3.8934572202864892E-2</v>
      </c>
      <c r="T473" s="5">
        <v>96.9</v>
      </c>
      <c r="U473" s="7">
        <v>56.8</v>
      </c>
      <c r="V473" s="25">
        <v>62</v>
      </c>
      <c r="W473" s="25">
        <v>58.8</v>
      </c>
      <c r="X473" s="25">
        <v>56.2</v>
      </c>
      <c r="Y473" s="25">
        <v>60.1</v>
      </c>
      <c r="Z473" s="25">
        <v>53.4</v>
      </c>
      <c r="AA473" s="25">
        <f>IF([1]!Tabela1511[[#This Row],[Services New Orders]]="","",([1]!Tabela1511[[#This Row],[Manufacturing New Orders]]+[1]!Tabela1511[[#This Row],[Services New Orders]])/2)</f>
        <v>61.05</v>
      </c>
      <c r="AB473" s="25">
        <f>IF([1]!Tabela1511[[#This Row],[Services Employment]]="",#N/A,([1]!Tabela1511[[#This Row],[Manufacturing Employment]]+[1]!Tabela1511[[#This Row],[Services Employment]])/2)</f>
        <v>56.099999999999994</v>
      </c>
    </row>
    <row r="474" spans="1:28">
      <c r="A474" s="6">
        <v>42826</v>
      </c>
      <c r="B474" s="36">
        <v>13206.1</v>
      </c>
      <c r="C474" s="8">
        <f>IF(Tabela1511[[#This Row],[Real PCE]]="",#N/A,((Tabela1511[[#This Row],[Real PCE]]*1)/B473)-1)</f>
        <v>3.3329040956853184E-4</v>
      </c>
      <c r="D474" s="8">
        <f>IF(Tabela1511[[#This Row],[Real PCE]]="",#N/A,((Tabela1511[[#This Row],[Real PCE]]*1)/B462)-1)</f>
        <v>2.6099050519805322E-2</v>
      </c>
      <c r="E474" s="7">
        <v>100.0082</v>
      </c>
      <c r="F474" s="8">
        <f>IF(Tabela1511[[#This Row],[Industrial Production]]="",#N/A,((Tabela1511[[#This Row],[Industrial Production]]*1)/E473)-1)</f>
        <v>9.5077740866471583E-3</v>
      </c>
      <c r="G474" s="8">
        <f>IF(Tabela1511[[#This Row],[Industrial Production]]="",#N/A,((Tabela1511[[#This Row],[Industrial Production]]*1)/E462)-1)</f>
        <v>1.5652975771553779E-2</v>
      </c>
      <c r="H474" s="32">
        <v>473916</v>
      </c>
      <c r="I474" s="8">
        <f>IF(Tabela1511[[#This Row],[Retail Sales]]="",#N/A,((Tabela1511[[#This Row],[Retail Sales]]*1)/H473)-1)</f>
        <v>3.6978207001714392E-3</v>
      </c>
      <c r="J474" s="8">
        <f>IF(Tabela1511[[#This Row],[Retail Sales]]="",#N/A,((Tabela1511[[#This Row],[Retail Sales]]*1)/H462)-1)</f>
        <v>4.7460122048523345E-2</v>
      </c>
      <c r="K474" s="32">
        <v>376622</v>
      </c>
      <c r="L474" s="8">
        <f>IF(Tabela1511[[#This Row],[Core-Retail Sales]]="",#N/A,((Tabela1511[[#This Row],[Core-Retail Sales]]*1)/K473)-1)</f>
        <v>3.3808175237710625E-3</v>
      </c>
      <c r="M474" s="8">
        <f>IF(Tabela1511[[#This Row],[Core-Retail Sales]]="",#N/A,((Tabela1511[[#This Row],[Core-Retail Sales]]*1)/K462)-1)</f>
        <v>5.0309273750495098E-2</v>
      </c>
      <c r="N474" s="84">
        <v>194074</v>
      </c>
      <c r="O474" s="8">
        <f>IF(Tabela1511[[#This Row],[Real Retail Sales]]="",#N/A,((Tabela1511[[#This Row],[Real Retail Sales]]*1)/N473)-1)</f>
        <v>2.4587030857756709E-3</v>
      </c>
      <c r="P474" s="8">
        <f>IF(Tabela1511[[#This Row],[Real Retail Sales]]="",#N/A,((Tabela1511[[#This Row],[Real Retail Sales]]*1)/N462)-1)</f>
        <v>2.514882760296433E-2</v>
      </c>
      <c r="Q474" s="32">
        <v>336836</v>
      </c>
      <c r="R474" s="8">
        <f>IF(Tabela1511[[#This Row],[Core²-Retail Sales]]="",#N/A,((Tabela1511[[#This Row],[Core²-Retail Sales]]*1)/Q473)-1)</f>
        <v>4.143736994926206E-3</v>
      </c>
      <c r="S474" s="8">
        <f>IF(Tabela1511[[#This Row],[Core²-Retail Sales]]="",#N/A,((Tabela1511[[#This Row],[Core²-Retail Sales]]*1)/Q462)-1)</f>
        <v>4.1671692009858985E-2</v>
      </c>
      <c r="T474" s="5">
        <v>97</v>
      </c>
      <c r="U474" s="7">
        <v>55.7</v>
      </c>
      <c r="V474" s="25">
        <v>57.4</v>
      </c>
      <c r="W474" s="25">
        <v>54.3</v>
      </c>
      <c r="X474" s="25">
        <v>57.2</v>
      </c>
      <c r="Y474" s="25">
        <v>61.1</v>
      </c>
      <c r="Z474" s="25">
        <v>57.3</v>
      </c>
      <c r="AA474" s="25">
        <f>IF([1]!Tabela1511[[#This Row],[Services New Orders]]="","",([1]!Tabela1511[[#This Row],[Manufacturing New Orders]]+[1]!Tabela1511[[#This Row],[Services New Orders]])/2)</f>
        <v>59.25</v>
      </c>
      <c r="AB474" s="25">
        <f>IF([1]!Tabela1511[[#This Row],[Services Employment]]="",#N/A,([1]!Tabela1511[[#This Row],[Manufacturing Employment]]+[1]!Tabela1511[[#This Row],[Services Employment]])/2)</f>
        <v>55.8</v>
      </c>
    </row>
    <row r="475" spans="1:28">
      <c r="A475" s="6">
        <v>42856</v>
      </c>
      <c r="B475" s="36">
        <v>13214.5</v>
      </c>
      <c r="C475" s="8">
        <f>IF(Tabela1511[[#This Row],[Real PCE]]="",#N/A,((Tabela1511[[#This Row],[Real PCE]]*1)/B474)-1)</f>
        <v>6.3606969506513344E-4</v>
      </c>
      <c r="D475" s="8">
        <f>IF(Tabela1511[[#This Row],[Real PCE]]="",#N/A,((Tabela1511[[#This Row],[Real PCE]]*1)/B463)-1)</f>
        <v>2.5079123743328768E-2</v>
      </c>
      <c r="E475" s="7">
        <v>100.12860000000001</v>
      </c>
      <c r="F475" s="8">
        <f>IF(Tabela1511[[#This Row],[Industrial Production]]="",#N/A,((Tabela1511[[#This Row],[Industrial Production]]*1)/E474)-1)</f>
        <v>1.2039012800950655E-3</v>
      </c>
      <c r="G475" s="8">
        <f>IF(Tabela1511[[#This Row],[Industrial Production]]="",#N/A,((Tabela1511[[#This Row],[Industrial Production]]*1)/E463)-1)</f>
        <v>1.9101940117127736E-2</v>
      </c>
      <c r="H475" s="32">
        <v>471486</v>
      </c>
      <c r="I475" s="8">
        <f>IF(Tabela1511[[#This Row],[Retail Sales]]="",#N/A,((Tabela1511[[#This Row],[Retail Sales]]*1)/H474)-1)</f>
        <v>-5.1274909477628805E-3</v>
      </c>
      <c r="J475" s="8">
        <f>IF(Tabela1511[[#This Row],[Retail Sales]]="",#N/A,((Tabela1511[[#This Row],[Retail Sales]]*1)/H463)-1)</f>
        <v>3.8508556110862679E-2</v>
      </c>
      <c r="K475" s="32">
        <v>373765</v>
      </c>
      <c r="L475" s="8">
        <f>IF(Tabela1511[[#This Row],[Core-Retail Sales]]="",#N/A,((Tabela1511[[#This Row],[Core-Retail Sales]]*1)/K474)-1)</f>
        <v>-7.5858553138159479E-3</v>
      </c>
      <c r="M475" s="8">
        <f>IF(Tabela1511[[#This Row],[Core-Retail Sales]]="",#N/A,((Tabela1511[[#This Row],[Core-Retail Sales]]*1)/K463)-1)</f>
        <v>3.8666003429197016E-2</v>
      </c>
      <c r="N475" s="84">
        <v>193229</v>
      </c>
      <c r="O475" s="8">
        <f>IF(Tabela1511[[#This Row],[Real Retail Sales]]="",#N/A,((Tabela1511[[#This Row],[Real Retail Sales]]*1)/N474)-1)</f>
        <v>-4.3540092954234E-3</v>
      </c>
      <c r="P475" s="8">
        <f>IF(Tabela1511[[#This Row],[Real Retail Sales]]="",#N/A,((Tabela1511[[#This Row],[Real Retail Sales]]*1)/N463)-1)</f>
        <v>1.9581253495710271E-2</v>
      </c>
      <c r="Q475" s="32">
        <v>335628</v>
      </c>
      <c r="R475" s="8">
        <f>IF(Tabela1511[[#This Row],[Core²-Retail Sales]]="",#N/A,((Tabela1511[[#This Row],[Core²-Retail Sales]]*1)/Q474)-1)</f>
        <v>-3.5863150019593837E-3</v>
      </c>
      <c r="S475" s="8">
        <f>IF(Tabela1511[[#This Row],[Core²-Retail Sales]]="",#N/A,((Tabela1511[[#This Row],[Core²-Retail Sales]]*1)/Q463)-1)</f>
        <v>3.6391090744589238E-2</v>
      </c>
      <c r="T475" s="5">
        <v>97.1</v>
      </c>
      <c r="U475" s="7">
        <v>56.4</v>
      </c>
      <c r="V475" s="25">
        <v>61.6</v>
      </c>
      <c r="W475" s="25">
        <v>53.9</v>
      </c>
      <c r="X475" s="25">
        <v>57.4</v>
      </c>
      <c r="Y475" s="25">
        <v>59.7</v>
      </c>
      <c r="Z475" s="25">
        <v>56.3</v>
      </c>
      <c r="AA475" s="25">
        <f>IF([1]!Tabela1511[[#This Row],[Services New Orders]]="","",([1]!Tabela1511[[#This Row],[Manufacturing New Orders]]+[1]!Tabela1511[[#This Row],[Services New Orders]])/2)</f>
        <v>60.650000000000006</v>
      </c>
      <c r="AB475" s="25">
        <f>IF([1]!Tabela1511[[#This Row],[Services Employment]]="",#N/A,([1]!Tabela1511[[#This Row],[Manufacturing Employment]]+[1]!Tabela1511[[#This Row],[Services Employment]])/2)</f>
        <v>55.099999999999994</v>
      </c>
    </row>
    <row r="476" spans="1:28">
      <c r="A476" s="6">
        <v>42887</v>
      </c>
      <c r="B476" s="36">
        <v>13256.7</v>
      </c>
      <c r="C476" s="8">
        <f>IF(Tabela1511[[#This Row],[Real PCE]]="",#N/A,((Tabela1511[[#This Row],[Real PCE]]*1)/B475)-1)</f>
        <v>3.1934617276476729E-3</v>
      </c>
      <c r="D476" s="8">
        <f>IF(Tabela1511[[#This Row],[Real PCE]]="",#N/A,((Tabela1511[[#This Row],[Real PCE]]*1)/B464)-1)</f>
        <v>2.379407812427603E-2</v>
      </c>
      <c r="E476" s="7">
        <v>100.3233</v>
      </c>
      <c r="F476" s="8">
        <f>IF(Tabela1511[[#This Row],[Industrial Production]]="",#N/A,((Tabela1511[[#This Row],[Industrial Production]]*1)/E475)-1)</f>
        <v>1.944499373805364E-3</v>
      </c>
      <c r="G476" s="8">
        <f>IF(Tabela1511[[#This Row],[Industrial Production]]="",#N/A,((Tabela1511[[#This Row],[Industrial Production]]*1)/E464)-1)</f>
        <v>1.6163682864450024E-2</v>
      </c>
      <c r="H476" s="32">
        <v>473538</v>
      </c>
      <c r="I476" s="8">
        <f>IF(Tabela1511[[#This Row],[Retail Sales]]="",#N/A,((Tabela1511[[#This Row],[Retail Sales]]*1)/H475)-1)</f>
        <v>4.3521970959901068E-3</v>
      </c>
      <c r="J476" s="8">
        <f>IF(Tabela1511[[#This Row],[Retail Sales]]="",#N/A,((Tabela1511[[#This Row],[Retail Sales]]*1)/H464)-1)</f>
        <v>3.2219671852418585E-2</v>
      </c>
      <c r="K476" s="32">
        <v>374742</v>
      </c>
      <c r="L476" s="8">
        <f>IF(Tabela1511[[#This Row],[Core-Retail Sales]]="",#N/A,((Tabela1511[[#This Row],[Core-Retail Sales]]*1)/K475)-1)</f>
        <v>2.6139419153745624E-3</v>
      </c>
      <c r="M476" s="8">
        <f>IF(Tabela1511[[#This Row],[Core-Retail Sales]]="",#N/A,((Tabela1511[[#This Row],[Core-Retail Sales]]*1)/K464)-1)</f>
        <v>2.9383730033375022E-2</v>
      </c>
      <c r="N476" s="84">
        <v>193943</v>
      </c>
      <c r="O476" s="8">
        <f>IF(Tabela1511[[#This Row],[Real Retail Sales]]="",#N/A,((Tabela1511[[#This Row],[Real Retail Sales]]*1)/N475)-1)</f>
        <v>3.6950975267686648E-3</v>
      </c>
      <c r="P476" s="8">
        <f>IF(Tabela1511[[#This Row],[Real Retail Sales]]="",#N/A,((Tabela1511[[#This Row],[Real Retail Sales]]*1)/N464)-1)</f>
        <v>1.5557254466623371E-2</v>
      </c>
      <c r="Q476" s="32">
        <v>337240</v>
      </c>
      <c r="R476" s="8">
        <f>IF(Tabela1511[[#This Row],[Core²-Retail Sales]]="",#N/A,((Tabela1511[[#This Row],[Core²-Retail Sales]]*1)/Q475)-1)</f>
        <v>4.8029365845518868E-3</v>
      </c>
      <c r="S476" s="8">
        <f>IF(Tabela1511[[#This Row],[Core²-Retail Sales]]="",#N/A,((Tabela1511[[#This Row],[Core²-Retail Sales]]*1)/Q464)-1)</f>
        <v>3.1608377917878849E-2</v>
      </c>
      <c r="T476" s="5">
        <v>95</v>
      </c>
      <c r="U476" s="7">
        <v>56.1</v>
      </c>
      <c r="V476" s="25">
        <v>60.3</v>
      </c>
      <c r="W476" s="25">
        <v>56.2</v>
      </c>
      <c r="X476" s="25">
        <v>56.8</v>
      </c>
      <c r="Y476" s="25">
        <v>59.4</v>
      </c>
      <c r="Z476" s="25">
        <v>54.4</v>
      </c>
      <c r="AA476" s="25">
        <f>IF([1]!Tabela1511[[#This Row],[Services New Orders]]="","",([1]!Tabela1511[[#This Row],[Manufacturing New Orders]]+[1]!Tabela1511[[#This Row],[Services New Orders]])/2)</f>
        <v>59.849999999999994</v>
      </c>
      <c r="AB476" s="25">
        <f>IF([1]!Tabela1511[[#This Row],[Services Employment]]="",#N/A,([1]!Tabela1511[[#This Row],[Manufacturing Employment]]+[1]!Tabela1511[[#This Row],[Services Employment]])/2)</f>
        <v>55.3</v>
      </c>
    </row>
    <row r="477" spans="1:28">
      <c r="A477" s="6">
        <v>42917</v>
      </c>
      <c r="B477" s="36">
        <v>13290.1</v>
      </c>
      <c r="C477" s="8">
        <f>IF(Tabela1511[[#This Row],[Real PCE]]="",#N/A,((Tabela1511[[#This Row],[Real PCE]]*1)/B476)-1)</f>
        <v>2.5194807154118593E-3</v>
      </c>
      <c r="D477" s="8">
        <f>IF(Tabela1511[[#This Row],[Real PCE]]="",#N/A,((Tabela1511[[#This Row],[Real PCE]]*1)/B465)-1)</f>
        <v>2.4506251830838321E-2</v>
      </c>
      <c r="E477" s="7">
        <v>100.0947</v>
      </c>
      <c r="F477" s="8">
        <f>IF(Tabela1511[[#This Row],[Industrial Production]]="",#N/A,((Tabela1511[[#This Row],[Industrial Production]]*1)/E476)-1)</f>
        <v>-2.2786331789325098E-3</v>
      </c>
      <c r="G477" s="8">
        <f>IF(Tabela1511[[#This Row],[Industrial Production]]="",#N/A,((Tabela1511[[#This Row],[Industrial Production]]*1)/E465)-1)</f>
        <v>1.2735238172326024E-2</v>
      </c>
      <c r="H477" s="32">
        <v>473583</v>
      </c>
      <c r="I477" s="8">
        <f>IF(Tabela1511[[#This Row],[Retail Sales]]="",#N/A,((Tabela1511[[#This Row],[Retail Sales]]*1)/H476)-1)</f>
        <v>9.5029332387364107E-5</v>
      </c>
      <c r="J477" s="8">
        <f>IF(Tabela1511[[#This Row],[Retail Sales]]="",#N/A,((Tabela1511[[#This Row],[Retail Sales]]*1)/H465)-1)</f>
        <v>3.359072179348388E-2</v>
      </c>
      <c r="K477" s="32">
        <v>374728</v>
      </c>
      <c r="L477" s="8">
        <f>IF(Tabela1511[[#This Row],[Core-Retail Sales]]="",#N/A,((Tabela1511[[#This Row],[Core-Retail Sales]]*1)/K476)-1)</f>
        <v>-3.7359036350381736E-5</v>
      </c>
      <c r="M477" s="8">
        <f>IF(Tabela1511[[#This Row],[Core-Retail Sales]]="",#N/A,((Tabela1511[[#This Row],[Core-Retail Sales]]*1)/K465)-1)</f>
        <v>3.4805757143961724E-2</v>
      </c>
      <c r="N477" s="84">
        <v>193898</v>
      </c>
      <c r="O477" s="8">
        <f>IF(Tabela1511[[#This Row],[Real Retail Sales]]="",#N/A,((Tabela1511[[#This Row],[Real Retail Sales]]*1)/N476)-1)</f>
        <v>-2.3202693574919664E-4</v>
      </c>
      <c r="P477" s="8">
        <f>IF(Tabela1511[[#This Row],[Real Retail Sales]]="",#N/A,((Tabela1511[[#This Row],[Real Retail Sales]]*1)/N465)-1)</f>
        <v>1.6061163425612923E-2</v>
      </c>
      <c r="Q477" s="32">
        <v>337281</v>
      </c>
      <c r="R477" s="8">
        <f>IF(Tabela1511[[#This Row],[Core²-Retail Sales]]="",#N/A,((Tabela1511[[#This Row],[Core²-Retail Sales]]*1)/Q476)-1)</f>
        <v>1.2157513936661424E-4</v>
      </c>
      <c r="S477" s="8">
        <f>IF(Tabela1511[[#This Row],[Core²-Retail Sales]]="",#N/A,((Tabela1511[[#This Row],[Core²-Retail Sales]]*1)/Q465)-1)</f>
        <v>3.6926245888031506E-2</v>
      </c>
      <c r="T477" s="5">
        <v>93.4</v>
      </c>
      <c r="U477" s="7">
        <v>56.5</v>
      </c>
      <c r="V477" s="25">
        <v>61.6</v>
      </c>
      <c r="W477" s="25">
        <v>55.4</v>
      </c>
      <c r="X477" s="25">
        <v>55.4</v>
      </c>
      <c r="Y477" s="25">
        <v>57.3</v>
      </c>
      <c r="Z477" s="25">
        <v>56.5</v>
      </c>
      <c r="AA477" s="25">
        <f>IF([1]!Tabela1511[[#This Row],[Services New Orders]]="","",([1]!Tabela1511[[#This Row],[Manufacturing New Orders]]+[1]!Tabela1511[[#This Row],[Services New Orders]])/2)</f>
        <v>59.45</v>
      </c>
      <c r="AB477" s="25">
        <f>IF([1]!Tabela1511[[#This Row],[Services Employment]]="",#N/A,([1]!Tabela1511[[#This Row],[Manufacturing Employment]]+[1]!Tabela1511[[#This Row],[Services Employment]])/2)</f>
        <v>55.95</v>
      </c>
    </row>
    <row r="478" spans="1:28">
      <c r="A478" s="6">
        <v>42948</v>
      </c>
      <c r="B478" s="36">
        <v>13291.7</v>
      </c>
      <c r="C478" s="8">
        <f>IF(Tabela1511[[#This Row],[Real PCE]]="",#N/A,((Tabela1511[[#This Row],[Real PCE]]*1)/B477)-1)</f>
        <v>1.203903657609473E-4</v>
      </c>
      <c r="D478" s="8">
        <f>IF(Tabela1511[[#This Row],[Real PCE]]="",#N/A,((Tabela1511[[#This Row],[Real PCE]]*1)/B466)-1)</f>
        <v>2.353285435966157E-2</v>
      </c>
      <c r="E478" s="7">
        <v>99.664199999999994</v>
      </c>
      <c r="F478" s="8">
        <f>IF(Tabela1511[[#This Row],[Industrial Production]]="",#N/A,((Tabela1511[[#This Row],[Industrial Production]]*1)/E477)-1)</f>
        <v>-4.300927022110157E-3</v>
      </c>
      <c r="G478" s="8">
        <f>IF(Tabela1511[[#This Row],[Industrial Production]]="",#N/A,((Tabela1511[[#This Row],[Industrial Production]]*1)/E466)-1)</f>
        <v>9.2025347474669061E-3</v>
      </c>
      <c r="H478" s="32">
        <v>474421</v>
      </c>
      <c r="I478" s="8">
        <f>IF(Tabela1511[[#This Row],[Retail Sales]]="",#N/A,((Tabela1511[[#This Row],[Retail Sales]]*1)/H477)-1)</f>
        <v>1.7694891919683986E-3</v>
      </c>
      <c r="J478" s="8">
        <f>IF(Tabela1511[[#This Row],[Retail Sales]]="",#N/A,((Tabela1511[[#This Row],[Retail Sales]]*1)/H466)-1)</f>
        <v>3.4712816654125955E-2</v>
      </c>
      <c r="K478" s="32">
        <v>377597</v>
      </c>
      <c r="L478" s="8">
        <f>IF(Tabela1511[[#This Row],[Core-Retail Sales]]="",#N/A,((Tabela1511[[#This Row],[Core-Retail Sales]]*1)/K477)-1)</f>
        <v>7.656219978224188E-3</v>
      </c>
      <c r="M478" s="8">
        <f>IF(Tabela1511[[#This Row],[Core-Retail Sales]]="",#N/A,((Tabela1511[[#This Row],[Core-Retail Sales]]*1)/K466)-1)</f>
        <v>4.275437361059331E-2</v>
      </c>
      <c r="N478" s="84">
        <v>193497</v>
      </c>
      <c r="O478" s="8">
        <f>IF(Tabela1511[[#This Row],[Real Retail Sales]]="",#N/A,((Tabela1511[[#This Row],[Real Retail Sales]]*1)/N477)-1)</f>
        <v>-2.0680976595942591E-3</v>
      </c>
      <c r="P478" s="8">
        <f>IF(Tabela1511[[#This Row],[Real Retail Sales]]="",#N/A,((Tabela1511[[#This Row],[Real Retail Sales]]*1)/N466)-1)</f>
        <v>1.5140784110046157E-2</v>
      </c>
      <c r="Q478" s="32">
        <v>338972</v>
      </c>
      <c r="R478" s="8">
        <f>IF(Tabela1511[[#This Row],[Core²-Retail Sales]]="",#N/A,((Tabela1511[[#This Row],[Core²-Retail Sales]]*1)/Q477)-1)</f>
        <v>5.013623655053312E-3</v>
      </c>
      <c r="S478" s="8">
        <f>IF(Tabela1511[[#This Row],[Core²-Retail Sales]]="",#N/A,((Tabela1511[[#This Row],[Core²-Retail Sales]]*1)/Q466)-1)</f>
        <v>3.9204865965221991E-2</v>
      </c>
      <c r="T478" s="5">
        <v>96.8</v>
      </c>
      <c r="U478" s="7">
        <v>58.5</v>
      </c>
      <c r="V478" s="25">
        <v>60.9</v>
      </c>
      <c r="W478" s="25">
        <v>59.3</v>
      </c>
      <c r="X478" s="25">
        <v>55.8</v>
      </c>
      <c r="Y478" s="25">
        <v>58.2</v>
      </c>
      <c r="Z478" s="25">
        <v>54.4</v>
      </c>
      <c r="AA478" s="25">
        <f>IF([1]!Tabela1511[[#This Row],[Services New Orders]]="","",([1]!Tabela1511[[#This Row],[Manufacturing New Orders]]+[1]!Tabela1511[[#This Row],[Services New Orders]])/2)</f>
        <v>59.55</v>
      </c>
      <c r="AB478" s="25">
        <f>IF([1]!Tabela1511[[#This Row],[Services Employment]]="",#N/A,([1]!Tabela1511[[#This Row],[Manufacturing Employment]]+[1]!Tabela1511[[#This Row],[Services Employment]])/2)</f>
        <v>56.849999999999994</v>
      </c>
    </row>
    <row r="479" spans="1:28">
      <c r="A479" s="6">
        <v>42979</v>
      </c>
      <c r="B479" s="36">
        <v>13364.4</v>
      </c>
      <c r="C479" s="8">
        <f>IF(Tabela1511[[#This Row],[Real PCE]]="",#N/A,((Tabela1511[[#This Row],[Real PCE]]*1)/B478)-1)</f>
        <v>5.4695787596770185E-3</v>
      </c>
      <c r="D479" s="8">
        <f>IF(Tabela1511[[#This Row],[Real PCE]]="",#N/A,((Tabela1511[[#This Row],[Real PCE]]*1)/B467)-1)</f>
        <v>2.6380664930995446E-2</v>
      </c>
      <c r="E479" s="7">
        <v>99.768600000000006</v>
      </c>
      <c r="F479" s="8">
        <f>IF(Tabela1511[[#This Row],[Industrial Production]]="",#N/A,((Tabela1511[[#This Row],[Industrial Production]]*1)/E478)-1)</f>
        <v>1.0475175639799161E-3</v>
      </c>
      <c r="G479" s="8">
        <f>IF(Tabela1511[[#This Row],[Industrial Production]]="",#N/A,((Tabela1511[[#This Row],[Industrial Production]]*1)/E467)-1)</f>
        <v>1.1240669939874159E-2</v>
      </c>
      <c r="H479" s="32">
        <v>484107</v>
      </c>
      <c r="I479" s="8">
        <f>IF(Tabela1511[[#This Row],[Retail Sales]]="",#N/A,((Tabela1511[[#This Row],[Retail Sales]]*1)/H478)-1)</f>
        <v>2.0416465544316198E-2</v>
      </c>
      <c r="J479" s="8">
        <f>IF(Tabela1511[[#This Row],[Retail Sales]]="",#N/A,((Tabela1511[[#This Row],[Retail Sales]]*1)/H467)-1)</f>
        <v>4.9090483558491105E-2</v>
      </c>
      <c r="K479" s="32">
        <v>383262</v>
      </c>
      <c r="L479" s="8">
        <f>IF(Tabela1511[[#This Row],[Core-Retail Sales]]="",#N/A,((Tabela1511[[#This Row],[Core-Retail Sales]]*1)/K478)-1)</f>
        <v>1.5002767500801095E-2</v>
      </c>
      <c r="M479" s="8">
        <f>IF(Tabela1511[[#This Row],[Core-Retail Sales]]="",#N/A,((Tabela1511[[#This Row],[Core-Retail Sales]]*1)/K467)-1)</f>
        <v>5.2486756794608791E-2</v>
      </c>
      <c r="N479" s="84">
        <v>196444</v>
      </c>
      <c r="O479" s="8">
        <f>IF(Tabela1511[[#This Row],[Real Retail Sales]]="",#N/A,((Tabela1511[[#This Row],[Real Retail Sales]]*1)/N478)-1)</f>
        <v>1.5230210287497936E-2</v>
      </c>
      <c r="P479" s="8">
        <f>IF(Tabela1511[[#This Row],[Real Retail Sales]]="",#N/A,((Tabela1511[[#This Row],[Real Retail Sales]]*1)/N467)-1)</f>
        <v>2.6701857997752709E-2</v>
      </c>
      <c r="Q479" s="32">
        <v>342484</v>
      </c>
      <c r="R479" s="8">
        <f>IF(Tabela1511[[#This Row],[Core²-Retail Sales]]="",#N/A,((Tabela1511[[#This Row],[Core²-Retail Sales]]*1)/Q478)-1)</f>
        <v>1.0360737760050975E-2</v>
      </c>
      <c r="S479" s="8">
        <f>IF(Tabela1511[[#This Row],[Core²-Retail Sales]]="",#N/A,((Tabela1511[[#This Row],[Core²-Retail Sales]]*1)/Q467)-1)</f>
        <v>4.6583547243613355E-2</v>
      </c>
      <c r="T479" s="5">
        <v>95.1</v>
      </c>
      <c r="U479" s="7">
        <v>59.9</v>
      </c>
      <c r="V479" s="25">
        <v>64.2</v>
      </c>
      <c r="W479" s="25">
        <v>58.2</v>
      </c>
      <c r="X479" s="25">
        <v>58.1</v>
      </c>
      <c r="Y479" s="25">
        <v>60.7</v>
      </c>
      <c r="Z479" s="25">
        <v>56.2</v>
      </c>
      <c r="AA479" s="25">
        <f>IF([1]!Tabela1511[[#This Row],[Services New Orders]]="","",([1]!Tabela1511[[#This Row],[Manufacturing New Orders]]+[1]!Tabela1511[[#This Row],[Services New Orders]])/2)</f>
        <v>62.45</v>
      </c>
      <c r="AB479" s="25">
        <f>IF([1]!Tabela1511[[#This Row],[Services Employment]]="",#N/A,([1]!Tabela1511[[#This Row],[Manufacturing Employment]]+[1]!Tabela1511[[#This Row],[Services Employment]])/2)</f>
        <v>57.2</v>
      </c>
    </row>
    <row r="480" spans="1:28">
      <c r="A480" s="6">
        <v>43009</v>
      </c>
      <c r="B480" s="36">
        <v>13377</v>
      </c>
      <c r="C480" s="8">
        <f>IF(Tabela1511[[#This Row],[Real PCE]]="",#N/A,((Tabela1511[[#This Row],[Real PCE]]*1)/B479)-1)</f>
        <v>9.4280326838469541E-4</v>
      </c>
      <c r="D480" s="8">
        <f>IF(Tabela1511[[#This Row],[Real PCE]]="",#N/A,((Tabela1511[[#This Row],[Real PCE]]*1)/B468)-1)</f>
        <v>2.7821957909780259E-2</v>
      </c>
      <c r="E480" s="7">
        <v>100.99809999999999</v>
      </c>
      <c r="F480" s="8">
        <f>IF(Tabela1511[[#This Row],[Industrial Production]]="",#N/A,((Tabela1511[[#This Row],[Industrial Production]]*1)/E479)-1)</f>
        <v>1.2323516617452679E-2</v>
      </c>
      <c r="G480" s="8">
        <f>IF(Tabela1511[[#This Row],[Industrial Production]]="",#N/A,((Tabela1511[[#This Row],[Industrial Production]]*1)/E468)-1)</f>
        <v>2.2949959587652113E-2</v>
      </c>
      <c r="H480" s="32">
        <v>485016</v>
      </c>
      <c r="I480" s="8">
        <f>IF(Tabela1511[[#This Row],[Retail Sales]]="",#N/A,((Tabela1511[[#This Row],[Retail Sales]]*1)/H479)-1)</f>
        <v>1.8776840657126481E-3</v>
      </c>
      <c r="J480" s="8">
        <f>IF(Tabela1511[[#This Row],[Retail Sales]]="",#N/A,((Tabela1511[[#This Row],[Retail Sales]]*1)/H468)-1)</f>
        <v>4.8785287217134599E-2</v>
      </c>
      <c r="K480" s="32">
        <v>383350</v>
      </c>
      <c r="L480" s="8">
        <f>IF(Tabela1511[[#This Row],[Core-Retail Sales]]="",#N/A,((Tabela1511[[#This Row],[Core-Retail Sales]]*1)/K479)-1)</f>
        <v>2.2960794443482868E-4</v>
      </c>
      <c r="M480" s="8">
        <f>IF(Tabela1511[[#This Row],[Core-Retail Sales]]="",#N/A,((Tabela1511[[#This Row],[Core-Retail Sales]]*1)/K468)-1)</f>
        <v>4.8940524921743389E-2</v>
      </c>
      <c r="N480" s="84">
        <v>196661</v>
      </c>
      <c r="O480" s="8">
        <f>IF(Tabela1511[[#This Row],[Real Retail Sales]]="",#N/A,((Tabela1511[[#This Row],[Real Retail Sales]]*1)/N479)-1)</f>
        <v>1.104640508236443E-3</v>
      </c>
      <c r="P480" s="8">
        <f>IF(Tabela1511[[#This Row],[Real Retail Sales]]="",#N/A,((Tabela1511[[#This Row],[Real Retail Sales]]*1)/N468)-1)</f>
        <v>2.8013298345025195E-2</v>
      </c>
      <c r="Q480" s="32">
        <v>342576</v>
      </c>
      <c r="R480" s="8">
        <f>IF(Tabela1511[[#This Row],[Core²-Retail Sales]]="",#N/A,((Tabela1511[[#This Row],[Core²-Retail Sales]]*1)/Q479)-1)</f>
        <v>2.6862568762342498E-4</v>
      </c>
      <c r="S480" s="8">
        <f>IF(Tabela1511[[#This Row],[Core²-Retail Sales]]="",#N/A,((Tabela1511[[#This Row],[Core²-Retail Sales]]*1)/Q468)-1)</f>
        <v>4.5596193348126146E-2</v>
      </c>
      <c r="T480" s="5">
        <v>100.7</v>
      </c>
      <c r="U480" s="7">
        <v>58.6</v>
      </c>
      <c r="V480" s="25">
        <v>64</v>
      </c>
      <c r="W480" s="25">
        <v>59.1</v>
      </c>
      <c r="X480" s="25">
        <v>60.4</v>
      </c>
      <c r="Y480" s="25">
        <v>64.8</v>
      </c>
      <c r="Z480" s="25">
        <v>55.1</v>
      </c>
      <c r="AA480" s="25">
        <f>IF([1]!Tabela1511[[#This Row],[Services New Orders]]="","",([1]!Tabela1511[[#This Row],[Manufacturing New Orders]]+[1]!Tabela1511[[#This Row],[Services New Orders]])/2)</f>
        <v>64.400000000000006</v>
      </c>
      <c r="AB480" s="25">
        <f>IF([1]!Tabela1511[[#This Row],[Services Employment]]="",#N/A,([1]!Tabela1511[[#This Row],[Manufacturing Employment]]+[1]!Tabela1511[[#This Row],[Services Employment]])/2)</f>
        <v>57.1</v>
      </c>
    </row>
    <row r="481" spans="1:28">
      <c r="A481" s="6">
        <v>43040</v>
      </c>
      <c r="B481" s="36">
        <v>13450.3</v>
      </c>
      <c r="C481" s="8">
        <f>IF(Tabela1511[[#This Row],[Real PCE]]="",#N/A,((Tabela1511[[#This Row],[Real PCE]]*1)/B480)-1)</f>
        <v>5.4795544591461631E-3</v>
      </c>
      <c r="D481" s="8">
        <f>IF(Tabela1511[[#This Row],[Real PCE]]="",#N/A,((Tabela1511[[#This Row],[Real PCE]]*1)/B469)-1)</f>
        <v>3.1717906234658866E-2</v>
      </c>
      <c r="E481" s="7">
        <v>101.2597</v>
      </c>
      <c r="F481" s="8">
        <f>IF(Tabela1511[[#This Row],[Industrial Production]]="",#N/A,((Tabela1511[[#This Row],[Industrial Production]]*1)/E480)-1)</f>
        <v>2.5901477354524083E-3</v>
      </c>
      <c r="G481" s="8">
        <f>IF(Tabela1511[[#This Row],[Industrial Production]]="",#N/A,((Tabela1511[[#This Row],[Industrial Production]]*1)/E469)-1)</f>
        <v>2.9635406710240897E-2</v>
      </c>
      <c r="H481" s="32">
        <v>489917</v>
      </c>
      <c r="I481" s="8">
        <f>IF(Tabela1511[[#This Row],[Retail Sales]]="",#N/A,((Tabela1511[[#This Row],[Retail Sales]]*1)/H480)-1)</f>
        <v>1.0104821284246279E-2</v>
      </c>
      <c r="J481" s="8">
        <f>IF(Tabela1511[[#This Row],[Retail Sales]]="",#N/A,((Tabela1511[[#This Row],[Retail Sales]]*1)/H469)-1)</f>
        <v>5.9765773716817128E-2</v>
      </c>
      <c r="K481" s="32">
        <v>389242</v>
      </c>
      <c r="L481" s="8">
        <f>IF(Tabela1511[[#This Row],[Core-Retail Sales]]="",#N/A,((Tabela1511[[#This Row],[Core-Retail Sales]]*1)/K480)-1)</f>
        <v>1.5369766531889928E-2</v>
      </c>
      <c r="M481" s="8">
        <f>IF(Tabela1511[[#This Row],[Core-Retail Sales]]="",#N/A,((Tabela1511[[#This Row],[Core-Retail Sales]]*1)/K469)-1)</f>
        <v>6.4608063016246442E-2</v>
      </c>
      <c r="N481" s="84">
        <v>198119</v>
      </c>
      <c r="O481" s="8">
        <f>IF(Tabela1511[[#This Row],[Real Retail Sales]]="",#N/A,((Tabela1511[[#This Row],[Real Retail Sales]]*1)/N480)-1)</f>
        <v>7.4137729392202978E-3</v>
      </c>
      <c r="P481" s="8">
        <f>IF(Tabela1511[[#This Row],[Real Retail Sales]]="",#N/A,((Tabela1511[[#This Row],[Real Retail Sales]]*1)/N469)-1)</f>
        <v>3.7228807170380351E-2</v>
      </c>
      <c r="Q481" s="32">
        <v>347425</v>
      </c>
      <c r="R481" s="8">
        <f>IF(Tabela1511[[#This Row],[Core²-Retail Sales]]="",#N/A,((Tabela1511[[#This Row],[Core²-Retail Sales]]*1)/Q480)-1)</f>
        <v>1.4154523375834893E-2</v>
      </c>
      <c r="S481" s="8">
        <f>IF(Tabela1511[[#This Row],[Core²-Retail Sales]]="",#N/A,((Tabela1511[[#This Row],[Core²-Retail Sales]]*1)/Q469)-1)</f>
        <v>5.8799686710490517E-2</v>
      </c>
      <c r="T481" s="5">
        <v>98.5</v>
      </c>
      <c r="U481" s="7">
        <v>57.9</v>
      </c>
      <c r="V481" s="25">
        <v>64</v>
      </c>
      <c r="W481" s="25">
        <v>58.2</v>
      </c>
      <c r="X481" s="25">
        <v>57.1</v>
      </c>
      <c r="Y481" s="25">
        <v>59</v>
      </c>
      <c r="Z481" s="25">
        <v>56.4</v>
      </c>
      <c r="AA481" s="25">
        <f>IF([1]!Tabela1511[[#This Row],[Services New Orders]]="","",([1]!Tabela1511[[#This Row],[Manufacturing New Orders]]+[1]!Tabela1511[[#This Row],[Services New Orders]])/2)</f>
        <v>61.5</v>
      </c>
      <c r="AB481" s="25">
        <f>IF([1]!Tabela1511[[#This Row],[Services Employment]]="",#N/A,([1]!Tabela1511[[#This Row],[Manufacturing Employment]]+[1]!Tabela1511[[#This Row],[Services Employment]])/2)</f>
        <v>57.3</v>
      </c>
    </row>
    <row r="482" spans="1:28">
      <c r="A482" s="6">
        <v>43070</v>
      </c>
      <c r="B482" s="36">
        <v>13555.4</v>
      </c>
      <c r="C482" s="8">
        <f>IF(Tabela1511[[#This Row],[Real PCE]]="",#N/A,((Tabela1511[[#This Row],[Real PCE]]*1)/B481)-1)</f>
        <v>7.8139521051574512E-3</v>
      </c>
      <c r="D482" s="8">
        <f>IF(Tabela1511[[#This Row],[Real PCE]]="",#N/A,((Tabela1511[[#This Row],[Real PCE]]*1)/B470)-1)</f>
        <v>3.2517043074227869E-2</v>
      </c>
      <c r="E482" s="7">
        <v>101.4573</v>
      </c>
      <c r="F482" s="8">
        <f>IF(Tabela1511[[#This Row],[Industrial Production]]="",#N/A,((Tabela1511[[#This Row],[Industrial Production]]*1)/E481)-1)</f>
        <v>1.9514179876101156E-3</v>
      </c>
      <c r="G482" s="8">
        <f>IF(Tabela1511[[#This Row],[Industrial Production]]="",#N/A,((Tabela1511[[#This Row],[Industrial Production]]*1)/E470)-1)</f>
        <v>2.4496270879741155E-2</v>
      </c>
      <c r="H482" s="32">
        <v>492859</v>
      </c>
      <c r="I482" s="8">
        <f>IF(Tabela1511[[#This Row],[Retail Sales]]="",#N/A,((Tabela1511[[#This Row],[Retail Sales]]*1)/H481)-1)</f>
        <v>6.0050988228619318E-3</v>
      </c>
      <c r="J482" s="8">
        <f>IF(Tabela1511[[#This Row],[Retail Sales]]="",#N/A,((Tabela1511[[#This Row],[Retail Sales]]*1)/H470)-1)</f>
        <v>5.3164778761440212E-2</v>
      </c>
      <c r="K482" s="32">
        <v>392277</v>
      </c>
      <c r="L482" s="8">
        <f>IF(Tabela1511[[#This Row],[Core-Retail Sales]]="",#N/A,((Tabela1511[[#This Row],[Core-Retail Sales]]*1)/K481)-1)</f>
        <v>7.7972058513726683E-3</v>
      </c>
      <c r="M482" s="8">
        <f>IF(Tabela1511[[#This Row],[Core-Retail Sales]]="",#N/A,((Tabela1511[[#This Row],[Core-Retail Sales]]*1)/K470)-1)</f>
        <v>6.4529522548290696E-2</v>
      </c>
      <c r="N482" s="84">
        <v>198890</v>
      </c>
      <c r="O482" s="8">
        <f>IF(Tabela1511[[#This Row],[Real Retail Sales]]="",#N/A,((Tabela1511[[#This Row],[Real Retail Sales]]*1)/N481)-1)</f>
        <v>3.8916005027280764E-3</v>
      </c>
      <c r="P482" s="8">
        <f>IF(Tabela1511[[#This Row],[Real Retail Sales]]="",#N/A,((Tabela1511[[#This Row],[Real Retail Sales]]*1)/N470)-1)</f>
        <v>3.1202040731676872E-2</v>
      </c>
      <c r="Q482" s="32">
        <v>349626</v>
      </c>
      <c r="R482" s="8">
        <f>IF(Tabela1511[[#This Row],[Core²-Retail Sales]]="",#N/A,((Tabela1511[[#This Row],[Core²-Retail Sales]]*1)/Q481)-1)</f>
        <v>6.3351802547313429E-3</v>
      </c>
      <c r="S482" s="8">
        <f>IF(Tabela1511[[#This Row],[Core²-Retail Sales]]="",#N/A,((Tabela1511[[#This Row],[Core²-Retail Sales]]*1)/Q470)-1)</f>
        <v>6.2224855306931559E-2</v>
      </c>
      <c r="T482" s="5">
        <v>95.9</v>
      </c>
      <c r="U482" s="7">
        <v>59.2</v>
      </c>
      <c r="V482" s="25">
        <v>65.7</v>
      </c>
      <c r="W482" s="25">
        <v>58.3</v>
      </c>
      <c r="X482" s="25">
        <v>56.3</v>
      </c>
      <c r="Y482" s="25">
        <v>54.2</v>
      </c>
      <c r="Z482" s="25">
        <v>60.3</v>
      </c>
      <c r="AA482" s="25">
        <f>IF([1]!Tabela1511[[#This Row],[Services New Orders]]="","",([1]!Tabela1511[[#This Row],[Manufacturing New Orders]]+[1]!Tabela1511[[#This Row],[Services New Orders]])/2)</f>
        <v>59.95</v>
      </c>
      <c r="AB482" s="25">
        <f>IF([1]!Tabela1511[[#This Row],[Services Employment]]="",#N/A,([1]!Tabela1511[[#This Row],[Manufacturing Employment]]+[1]!Tabela1511[[#This Row],[Services Employment]])/2)</f>
        <v>59.3</v>
      </c>
    </row>
    <row r="483" spans="1:28">
      <c r="A483" s="6">
        <v>43101</v>
      </c>
      <c r="B483" s="36">
        <v>13541.3</v>
      </c>
      <c r="C483" s="8">
        <f>IF(Tabela1511[[#This Row],[Real PCE]]="",#N/A,((Tabela1511[[#This Row],[Real PCE]]*1)/B482)-1)</f>
        <v>-1.0401758708706854E-3</v>
      </c>
      <c r="D483" s="8">
        <f>IF(Tabela1511[[#This Row],[Real PCE]]="",#N/A,((Tabela1511[[#This Row],[Real PCE]]*1)/B471)-1)</f>
        <v>3.0830599179373142E-2</v>
      </c>
      <c r="E483" s="7">
        <v>101.3939</v>
      </c>
      <c r="F483" s="8">
        <f>IF(Tabela1511[[#This Row],[Industrial Production]]="",#N/A,((Tabela1511[[#This Row],[Industrial Production]]*1)/E482)-1)</f>
        <v>-6.2489342807270365E-4</v>
      </c>
      <c r="G483" s="8">
        <f>IF(Tabela1511[[#This Row],[Industrial Production]]="",#N/A,((Tabela1511[[#This Row],[Industrial Production]]*1)/E471)-1)</f>
        <v>2.6267552103418357E-2</v>
      </c>
      <c r="H483" s="32">
        <v>490447</v>
      </c>
      <c r="I483" s="8">
        <f>IF(Tabela1511[[#This Row],[Retail Sales]]="",#N/A,((Tabela1511[[#This Row],[Retail Sales]]*1)/H482)-1)</f>
        <v>-4.8938946027159425E-3</v>
      </c>
      <c r="J483" s="8">
        <f>IF(Tabela1511[[#This Row],[Retail Sales]]="",#N/A,((Tabela1511[[#This Row],[Retail Sales]]*1)/H471)-1)</f>
        <v>3.6664475450273848E-2</v>
      </c>
      <c r="K483" s="32">
        <v>390491</v>
      </c>
      <c r="L483" s="8">
        <f>IF(Tabela1511[[#This Row],[Core-Retail Sales]]="",#N/A,((Tabela1511[[#This Row],[Core-Retail Sales]]*1)/K482)-1)</f>
        <v>-4.5529052174866358E-3</v>
      </c>
      <c r="M483" s="8">
        <f>IF(Tabela1511[[#This Row],[Core-Retail Sales]]="",#N/A,((Tabela1511[[#This Row],[Core-Retail Sales]]*1)/K471)-1)</f>
        <v>4.5060403474872501E-2</v>
      </c>
      <c r="N483" s="84">
        <v>197078</v>
      </c>
      <c r="O483" s="8">
        <f>IF(Tabela1511[[#This Row],[Real Retail Sales]]="",#N/A,((Tabela1511[[#This Row],[Real Retail Sales]]*1)/N482)-1)</f>
        <v>-9.1105636281361146E-3</v>
      </c>
      <c r="P483" s="8">
        <f>IF(Tabela1511[[#This Row],[Real Retail Sales]]="",#N/A,((Tabela1511[[#This Row],[Real Retail Sales]]*1)/N471)-1)</f>
        <v>1.4830224822088844E-2</v>
      </c>
      <c r="Q483" s="32">
        <v>347671</v>
      </c>
      <c r="R483" s="8">
        <f>IF(Tabela1511[[#This Row],[Core²-Retail Sales]]="",#N/A,((Tabela1511[[#This Row],[Core²-Retail Sales]]*1)/Q482)-1)</f>
        <v>-5.5916894052502331E-3</v>
      </c>
      <c r="S483" s="8">
        <f>IF(Tabela1511[[#This Row],[Core²-Retail Sales]]="",#N/A,((Tabela1511[[#This Row],[Core²-Retail Sales]]*1)/Q471)-1)</f>
        <v>4.1879435174530188E-2</v>
      </c>
      <c r="T483" s="5">
        <v>95.7</v>
      </c>
      <c r="U483" s="7">
        <v>59.4</v>
      </c>
      <c r="V483" s="25">
        <v>66.2</v>
      </c>
      <c r="W483" s="25">
        <v>54.9</v>
      </c>
      <c r="X483" s="25">
        <v>60</v>
      </c>
      <c r="Y483" s="25">
        <v>63.4</v>
      </c>
      <c r="Z483" s="25">
        <v>55.6</v>
      </c>
      <c r="AA483" s="25">
        <f>IF([1]!Tabela1511[[#This Row],[Services New Orders]]="","",([1]!Tabela1511[[#This Row],[Manufacturing New Orders]]+[1]!Tabela1511[[#This Row],[Services New Orders]])/2)</f>
        <v>64.8</v>
      </c>
      <c r="AB483" s="25">
        <f>IF([1]!Tabela1511[[#This Row],[Services Employment]]="",#N/A,([1]!Tabela1511[[#This Row],[Manufacturing Employment]]+[1]!Tabela1511[[#This Row],[Services Employment]])/2)</f>
        <v>55.25</v>
      </c>
    </row>
    <row r="484" spans="1:28">
      <c r="A484" s="6">
        <v>43132</v>
      </c>
      <c r="B484" s="36">
        <v>13547.3</v>
      </c>
      <c r="C484" s="8">
        <f>IF(Tabela1511[[#This Row],[Real PCE]]="",#N/A,((Tabela1511[[#This Row],[Real PCE]]*1)/B483)-1)</f>
        <v>4.430889205615518E-4</v>
      </c>
      <c r="D484" s="8">
        <f>IF(Tabela1511[[#This Row],[Real PCE]]="",#N/A,((Tabela1511[[#This Row],[Real PCE]]*1)/B472)-1)</f>
        <v>3.0730252446094619E-2</v>
      </c>
      <c r="E484" s="7">
        <v>101.76560000000001</v>
      </c>
      <c r="F484" s="8">
        <f>IF(Tabela1511[[#This Row],[Industrial Production]]="",#N/A,((Tabela1511[[#This Row],[Industrial Production]]*1)/E483)-1)</f>
        <v>3.6659010058790464E-3</v>
      </c>
      <c r="G484" s="8">
        <f>IF(Tabela1511[[#This Row],[Industrial Production]]="",#N/A,((Tabela1511[[#This Row],[Industrial Production]]*1)/E472)-1)</f>
        <v>3.3864934442184635E-2</v>
      </c>
      <c r="H484" s="32">
        <v>493422</v>
      </c>
      <c r="I484" s="8">
        <f>IF(Tabela1511[[#This Row],[Retail Sales]]="",#N/A,((Tabela1511[[#This Row],[Retail Sales]]*1)/H483)-1)</f>
        <v>6.0658949896725822E-3</v>
      </c>
      <c r="J484" s="8">
        <f>IF(Tabela1511[[#This Row],[Retail Sales]]="",#N/A,((Tabela1511[[#This Row],[Retail Sales]]*1)/H472)-1)</f>
        <v>4.3336498021893544E-2</v>
      </c>
      <c r="K484" s="32">
        <v>393691</v>
      </c>
      <c r="L484" s="8">
        <f>IF(Tabela1511[[#This Row],[Core-Retail Sales]]="",#N/A,((Tabela1511[[#This Row],[Core-Retail Sales]]*1)/K483)-1)</f>
        <v>8.1948111480161234E-3</v>
      </c>
      <c r="M484" s="8">
        <f>IF(Tabela1511[[#This Row],[Core-Retail Sales]]="",#N/A,((Tabela1511[[#This Row],[Core-Retail Sales]]*1)/K472)-1)</f>
        <v>5.2154601043359339E-2</v>
      </c>
      <c r="N484" s="84">
        <v>197741</v>
      </c>
      <c r="O484" s="8">
        <f>IF(Tabela1511[[#This Row],[Real Retail Sales]]="",#N/A,((Tabela1511[[#This Row],[Real Retail Sales]]*1)/N483)-1)</f>
        <v>3.364150234932417E-3</v>
      </c>
      <c r="P484" s="8">
        <f>IF(Tabela1511[[#This Row],[Real Retail Sales]]="",#N/A,((Tabela1511[[#This Row],[Real Retail Sales]]*1)/N472)-1)</f>
        <v>2.0240638124426003E-2</v>
      </c>
      <c r="Q484" s="32">
        <v>350503</v>
      </c>
      <c r="R484" s="8">
        <f>IF(Tabela1511[[#This Row],[Core²-Retail Sales]]="",#N/A,((Tabela1511[[#This Row],[Core²-Retail Sales]]*1)/Q483)-1)</f>
        <v>8.1456319336383753E-3</v>
      </c>
      <c r="S484" s="8">
        <f>IF(Tabela1511[[#This Row],[Core²-Retail Sales]]="",#N/A,((Tabela1511[[#This Row],[Core²-Retail Sales]]*1)/Q472)-1)</f>
        <v>4.9495019058426903E-2</v>
      </c>
      <c r="T484" s="5">
        <v>99.7</v>
      </c>
      <c r="U484" s="7">
        <v>60.8</v>
      </c>
      <c r="V484" s="25">
        <v>64.099999999999994</v>
      </c>
      <c r="W484" s="25">
        <v>59.8</v>
      </c>
      <c r="X484" s="25">
        <v>58.5</v>
      </c>
      <c r="Y484" s="25">
        <v>61.1</v>
      </c>
      <c r="Z484" s="25">
        <v>56.5</v>
      </c>
      <c r="AA484" s="25">
        <f>IF([1]!Tabela1511[[#This Row],[Services New Orders]]="","",([1]!Tabela1511[[#This Row],[Manufacturing New Orders]]+[1]!Tabela1511[[#This Row],[Services New Orders]])/2)</f>
        <v>62.599999999999994</v>
      </c>
      <c r="AB484" s="25">
        <f>IF([1]!Tabela1511[[#This Row],[Services Employment]]="",#N/A,([1]!Tabela1511[[#This Row],[Manufacturing Employment]]+[1]!Tabela1511[[#This Row],[Services Employment]])/2)</f>
        <v>58.15</v>
      </c>
    </row>
    <row r="485" spans="1:28">
      <c r="A485" s="6">
        <v>43160</v>
      </c>
      <c r="B485" s="36">
        <v>13586.5</v>
      </c>
      <c r="C485" s="8">
        <f>IF(Tabela1511[[#This Row],[Real PCE]]="",#N/A,((Tabela1511[[#This Row],[Real PCE]]*1)/B484)-1)</f>
        <v>2.893565507518181E-3</v>
      </c>
      <c r="D485" s="8">
        <f>IF(Tabela1511[[#This Row],[Real PCE]]="",#N/A,((Tabela1511[[#This Row],[Real PCE]]*1)/B473)-1)</f>
        <v>2.9147761273169204E-2</v>
      </c>
      <c r="E485" s="7">
        <v>102.2441</v>
      </c>
      <c r="F485" s="8">
        <f>IF(Tabela1511[[#This Row],[Industrial Production]]="",#N/A,((Tabela1511[[#This Row],[Industrial Production]]*1)/E484)-1)</f>
        <v>4.7019818091771359E-3</v>
      </c>
      <c r="G485" s="8">
        <f>IF(Tabela1511[[#This Row],[Industrial Production]]="",#N/A,((Tabela1511[[#This Row],[Industrial Production]]*1)/E473)-1)</f>
        <v>3.207750768929496E-2</v>
      </c>
      <c r="H485" s="32">
        <v>493123</v>
      </c>
      <c r="I485" s="8">
        <f>IF(Tabela1511[[#This Row],[Retail Sales]]="",#N/A,((Tabela1511[[#This Row],[Retail Sales]]*1)/H484)-1)</f>
        <v>-6.0597216986679747E-4</v>
      </c>
      <c r="J485" s="8">
        <f>IF(Tabela1511[[#This Row],[Retail Sales]]="",#N/A,((Tabela1511[[#This Row],[Retail Sales]]*1)/H473)-1)</f>
        <v>4.4375966283330071E-2</v>
      </c>
      <c r="K485" s="32">
        <v>393190</v>
      </c>
      <c r="L485" s="8">
        <f>IF(Tabela1511[[#This Row],[Core-Retail Sales]]="",#N/A,((Tabela1511[[#This Row],[Core-Retail Sales]]*1)/K484)-1)</f>
        <v>-1.2725716361309258E-3</v>
      </c>
      <c r="M485" s="8">
        <f>IF(Tabela1511[[#This Row],[Core-Retail Sales]]="",#N/A,((Tabela1511[[#This Row],[Core-Retail Sales]]*1)/K473)-1)</f>
        <v>4.752060060796115E-2</v>
      </c>
      <c r="N485" s="84">
        <v>197584</v>
      </c>
      <c r="O485" s="8">
        <f>IF(Tabela1511[[#This Row],[Real Retail Sales]]="",#N/A,((Tabela1511[[#This Row],[Real Retail Sales]]*1)/N484)-1)</f>
        <v>-7.9396786705843159E-4</v>
      </c>
      <c r="P485" s="8">
        <f>IF(Tabela1511[[#This Row],[Real Retail Sales]]="",#N/A,((Tabela1511[[#This Row],[Real Retail Sales]]*1)/N473)-1)</f>
        <v>2.0589055672062706E-2</v>
      </c>
      <c r="Q485" s="32">
        <v>350325</v>
      </c>
      <c r="R485" s="8">
        <f>IF(Tabela1511[[#This Row],[Core²-Retail Sales]]="",#N/A,((Tabela1511[[#This Row],[Core²-Retail Sales]]*1)/Q484)-1)</f>
        <v>-5.0784158766115084E-4</v>
      </c>
      <c r="S485" s="8">
        <f>IF(Tabela1511[[#This Row],[Core²-Retail Sales]]="",#N/A,((Tabela1511[[#This Row],[Core²-Retail Sales]]*1)/Q473)-1)</f>
        <v>4.4355872480220437E-2</v>
      </c>
      <c r="T485" s="5">
        <v>101.4</v>
      </c>
      <c r="U485" s="7">
        <v>59.2</v>
      </c>
      <c r="V485" s="25">
        <v>61.7</v>
      </c>
      <c r="W485" s="25">
        <v>57.3</v>
      </c>
      <c r="X485" s="25">
        <v>58.2</v>
      </c>
      <c r="Y485" s="25">
        <v>58.1</v>
      </c>
      <c r="Z485" s="25">
        <v>55.1</v>
      </c>
      <c r="AA485" s="25">
        <f>IF([1]!Tabela1511[[#This Row],[Services New Orders]]="","",([1]!Tabela1511[[#This Row],[Manufacturing New Orders]]+[1]!Tabela1511[[#This Row],[Services New Orders]])/2)</f>
        <v>59.900000000000006</v>
      </c>
      <c r="AB485" s="25">
        <f>IF([1]!Tabela1511[[#This Row],[Services Employment]]="",#N/A,([1]!Tabela1511[[#This Row],[Manufacturing Employment]]+[1]!Tabela1511[[#This Row],[Services Employment]])/2)</f>
        <v>56.2</v>
      </c>
    </row>
    <row r="486" spans="1:28">
      <c r="A486" s="6">
        <v>43191</v>
      </c>
      <c r="B486" s="36">
        <v>13598.7</v>
      </c>
      <c r="C486" s="8">
        <f>IF(Tabela1511[[#This Row],[Real PCE]]="",#N/A,((Tabela1511[[#This Row],[Real PCE]]*1)/B485)-1)</f>
        <v>8.9795017112570541E-4</v>
      </c>
      <c r="D486" s="8">
        <f>IF(Tabela1511[[#This Row],[Real PCE]]="",#N/A,((Tabela1511[[#This Row],[Real PCE]]*1)/B474)-1)</f>
        <v>2.9728685986021741E-2</v>
      </c>
      <c r="E486" s="7">
        <v>103.3468</v>
      </c>
      <c r="F486" s="8">
        <f>IF(Tabela1511[[#This Row],[Industrial Production]]="",#N/A,((Tabela1511[[#This Row],[Industrial Production]]*1)/E485)-1)</f>
        <v>1.078497438972037E-2</v>
      </c>
      <c r="G486" s="8">
        <f>IF(Tabela1511[[#This Row],[Industrial Production]]="",#N/A,((Tabela1511[[#This Row],[Industrial Production]]*1)/E474)-1)</f>
        <v>3.3383262572469041E-2</v>
      </c>
      <c r="H486" s="32">
        <v>494303</v>
      </c>
      <c r="I486" s="8">
        <f>IF(Tabela1511[[#This Row],[Retail Sales]]="",#N/A,((Tabela1511[[#This Row],[Retail Sales]]*1)/H485)-1)</f>
        <v>2.3929121132049147E-3</v>
      </c>
      <c r="J486" s="8">
        <f>IF(Tabela1511[[#This Row],[Retail Sales]]="",#N/A,((Tabela1511[[#This Row],[Retail Sales]]*1)/H474)-1)</f>
        <v>4.3018171996725085E-2</v>
      </c>
      <c r="K486" s="32">
        <v>394322</v>
      </c>
      <c r="L486" s="8">
        <f>IF(Tabela1511[[#This Row],[Core-Retail Sales]]="",#N/A,((Tabela1511[[#This Row],[Core-Retail Sales]]*1)/K485)-1)</f>
        <v>2.8790152343649567E-3</v>
      </c>
      <c r="M486" s="8">
        <f>IF(Tabela1511[[#This Row],[Core-Retail Sales]]="",#N/A,((Tabela1511[[#This Row],[Core-Retail Sales]]*1)/K474)-1)</f>
        <v>4.6996723505265292E-2</v>
      </c>
      <c r="N486" s="84">
        <v>197542</v>
      </c>
      <c r="O486" s="8">
        <f>IF(Tabela1511[[#This Row],[Real Retail Sales]]="",#N/A,((Tabela1511[[#This Row],[Real Retail Sales]]*1)/N485)-1)</f>
        <v>-2.1256781925660384E-4</v>
      </c>
      <c r="P486" s="8">
        <f>IF(Tabela1511[[#This Row],[Real Retail Sales]]="",#N/A,((Tabela1511[[#This Row],[Real Retail Sales]]*1)/N474)-1)</f>
        <v>1.7869472469264291E-2</v>
      </c>
      <c r="Q486" s="32">
        <v>351376</v>
      </c>
      <c r="R486" s="8">
        <f>IF(Tabela1511[[#This Row],[Core²-Retail Sales]]="",#N/A,((Tabela1511[[#This Row],[Core²-Retail Sales]]*1)/Q485)-1)</f>
        <v>3.0000713623064001E-3</v>
      </c>
      <c r="S486" s="8">
        <f>IF(Tabela1511[[#This Row],[Core²-Retail Sales]]="",#N/A,((Tabela1511[[#This Row],[Core²-Retail Sales]]*1)/Q474)-1)</f>
        <v>4.3166407391133976E-2</v>
      </c>
      <c r="T486" s="5">
        <v>98.8</v>
      </c>
      <c r="U486" s="7">
        <v>58.6</v>
      </c>
      <c r="V486" s="25">
        <v>63.2</v>
      </c>
      <c r="W486" s="25">
        <v>56.1</v>
      </c>
      <c r="X486" s="25">
        <v>57.6</v>
      </c>
      <c r="Y486" s="25">
        <v>60.6</v>
      </c>
      <c r="Z486" s="25">
        <v>54.1</v>
      </c>
      <c r="AA486" s="25">
        <f>IF([1]!Tabela1511[[#This Row],[Services New Orders]]="","",([1]!Tabela1511[[#This Row],[Manufacturing New Orders]]+[1]!Tabela1511[[#This Row],[Services New Orders]])/2)</f>
        <v>61.900000000000006</v>
      </c>
      <c r="AB486" s="25">
        <f>IF([1]!Tabela1511[[#This Row],[Services Employment]]="",#N/A,([1]!Tabela1511[[#This Row],[Manufacturing Employment]]+[1]!Tabela1511[[#This Row],[Services Employment]])/2)</f>
        <v>55.1</v>
      </c>
    </row>
    <row r="487" spans="1:28">
      <c r="A487" s="6">
        <v>43221</v>
      </c>
      <c r="B487" s="36">
        <v>13640.5</v>
      </c>
      <c r="C487" s="8">
        <f>IF(Tabela1511[[#This Row],[Real PCE]]="",#N/A,((Tabela1511[[#This Row],[Real PCE]]*1)/B486)-1)</f>
        <v>3.0738232331031234E-3</v>
      </c>
      <c r="D487" s="8">
        <f>IF(Tabela1511[[#This Row],[Real PCE]]="",#N/A,((Tabela1511[[#This Row],[Real PCE]]*1)/B475)-1)</f>
        <v>3.2237315070566375E-2</v>
      </c>
      <c r="E487" s="7">
        <v>102.39109999999999</v>
      </c>
      <c r="F487" s="8">
        <f>IF(Tabela1511[[#This Row],[Industrial Production]]="",#N/A,((Tabela1511[[#This Row],[Industrial Production]]*1)/E486)-1)</f>
        <v>-9.2475045187659921E-3</v>
      </c>
      <c r="G487" s="8">
        <f>IF(Tabela1511[[#This Row],[Industrial Production]]="",#N/A,((Tabela1511[[#This Row],[Industrial Production]]*1)/E475)-1)</f>
        <v>2.2595941619077742E-2</v>
      </c>
      <c r="H487" s="32">
        <v>500585</v>
      </c>
      <c r="I487" s="8">
        <f>IF(Tabela1511[[#This Row],[Retail Sales]]="",#N/A,((Tabela1511[[#This Row],[Retail Sales]]*1)/H486)-1)</f>
        <v>1.2708804114075711E-2</v>
      </c>
      <c r="J487" s="8">
        <f>IF(Tabela1511[[#This Row],[Retail Sales]]="",#N/A,((Tabela1511[[#This Row],[Retail Sales]]*1)/H475)-1)</f>
        <v>6.1717633185290666E-2</v>
      </c>
      <c r="K487" s="32">
        <v>399775</v>
      </c>
      <c r="L487" s="8">
        <f>IF(Tabela1511[[#This Row],[Core-Retail Sales]]="",#N/A,((Tabela1511[[#This Row],[Core-Retail Sales]]*1)/K486)-1)</f>
        <v>1.3828799813350612E-2</v>
      </c>
      <c r="M487" s="8">
        <f>IF(Tabela1511[[#This Row],[Core-Retail Sales]]="",#N/A,((Tabela1511[[#This Row],[Core-Retail Sales]]*1)/K475)-1)</f>
        <v>6.9589180367343184E-2</v>
      </c>
      <c r="N487" s="84">
        <v>199602</v>
      </c>
      <c r="O487" s="8">
        <f>IF(Tabela1511[[#This Row],[Real Retail Sales]]="",#N/A,((Tabela1511[[#This Row],[Real Retail Sales]]*1)/N486)-1)</f>
        <v>1.0428162112360972E-2</v>
      </c>
      <c r="P487" s="8">
        <f>IF(Tabela1511[[#This Row],[Real Retail Sales]]="",#N/A,((Tabela1511[[#This Row],[Real Retail Sales]]*1)/N475)-1)</f>
        <v>3.2981591790052223E-2</v>
      </c>
      <c r="Q487" s="32">
        <v>355988</v>
      </c>
      <c r="R487" s="8">
        <f>IF(Tabela1511[[#This Row],[Core²-Retail Sales]]="",#N/A,((Tabela1511[[#This Row],[Core²-Retail Sales]]*1)/Q486)-1)</f>
        <v>1.3125540731296459E-2</v>
      </c>
      <c r="S487" s="8">
        <f>IF(Tabela1511[[#This Row],[Core²-Retail Sales]]="",#N/A,((Tabela1511[[#This Row],[Core²-Retail Sales]]*1)/Q475)-1)</f>
        <v>6.0662400038137498E-2</v>
      </c>
      <c r="T487" s="5">
        <v>98</v>
      </c>
      <c r="U487" s="7">
        <v>58.9</v>
      </c>
      <c r="V487" s="25">
        <v>63.2</v>
      </c>
      <c r="W487" s="25">
        <v>57.2</v>
      </c>
      <c r="X487" s="25">
        <v>58</v>
      </c>
      <c r="Y487" s="25">
        <v>60.2</v>
      </c>
      <c r="Z487" s="25">
        <v>54.5</v>
      </c>
      <c r="AA487" s="25">
        <f>IF([1]!Tabela1511[[#This Row],[Services New Orders]]="","",([1]!Tabela1511[[#This Row],[Manufacturing New Orders]]+[1]!Tabela1511[[#This Row],[Services New Orders]])/2)</f>
        <v>61.7</v>
      </c>
      <c r="AB487" s="25">
        <f>IF([1]!Tabela1511[[#This Row],[Services Employment]]="",#N/A,([1]!Tabela1511[[#This Row],[Manufacturing Employment]]+[1]!Tabela1511[[#This Row],[Services Employment]])/2)</f>
        <v>55.85</v>
      </c>
    </row>
    <row r="488" spans="1:28">
      <c r="A488" s="6">
        <v>43252</v>
      </c>
      <c r="B488" s="36">
        <v>13653.7</v>
      </c>
      <c r="C488" s="8">
        <f>IF(Tabela1511[[#This Row],[Real PCE]]="",#N/A,((Tabela1511[[#This Row],[Real PCE]]*1)/B487)-1)</f>
        <v>9.677064623732079E-4</v>
      </c>
      <c r="D488" s="8">
        <f>IF(Tabela1511[[#This Row],[Real PCE]]="",#N/A,((Tabela1511[[#This Row],[Real PCE]]*1)/B476)-1)</f>
        <v>2.9947121078398142E-2</v>
      </c>
      <c r="E488" s="7">
        <v>103.19240000000001</v>
      </c>
      <c r="F488" s="8">
        <f>IF(Tabela1511[[#This Row],[Industrial Production]]="",#N/A,((Tabela1511[[#This Row],[Industrial Production]]*1)/E487)-1)</f>
        <v>7.825875491131562E-3</v>
      </c>
      <c r="G488" s="8">
        <f>IF(Tabela1511[[#This Row],[Industrial Production]]="",#N/A,((Tabela1511[[#This Row],[Industrial Production]]*1)/E476)-1)</f>
        <v>2.8598540917214699E-2</v>
      </c>
      <c r="H488" s="32">
        <v>498989</v>
      </c>
      <c r="I488" s="8">
        <f>IF(Tabela1511[[#This Row],[Retail Sales]]="",#N/A,((Tabela1511[[#This Row],[Retail Sales]]*1)/H487)-1)</f>
        <v>-3.1882697244224323E-3</v>
      </c>
      <c r="J488" s="8">
        <f>IF(Tabela1511[[#This Row],[Retail Sales]]="",#N/A,((Tabela1511[[#This Row],[Retail Sales]]*1)/H476)-1)</f>
        <v>5.3746478635294359E-2</v>
      </c>
      <c r="K488" s="32">
        <v>398602</v>
      </c>
      <c r="L488" s="8">
        <f>IF(Tabela1511[[#This Row],[Core-Retail Sales]]="",#N/A,((Tabela1511[[#This Row],[Core-Retail Sales]]*1)/K487)-1)</f>
        <v>-2.9341504596335222E-3</v>
      </c>
      <c r="M488" s="8">
        <f>IF(Tabela1511[[#This Row],[Core-Retail Sales]]="",#N/A,((Tabela1511[[#This Row],[Core-Retail Sales]]*1)/K476)-1)</f>
        <v>6.3670471951369212E-2</v>
      </c>
      <c r="N488" s="84">
        <v>198786</v>
      </c>
      <c r="O488" s="8">
        <f>IF(Tabela1511[[#This Row],[Real Retail Sales]]="",#N/A,((Tabela1511[[#This Row],[Real Retail Sales]]*1)/N487)-1)</f>
        <v>-4.088135389424985E-3</v>
      </c>
      <c r="P488" s="8">
        <f>IF(Tabela1511[[#This Row],[Real Retail Sales]]="",#N/A,((Tabela1511[[#This Row],[Real Retail Sales]]*1)/N476)-1)</f>
        <v>2.4971254440737667E-2</v>
      </c>
      <c r="Q488" s="32">
        <v>355137</v>
      </c>
      <c r="R488" s="8">
        <f>IF(Tabela1511[[#This Row],[Core²-Retail Sales]]="",#N/A,((Tabela1511[[#This Row],[Core²-Retail Sales]]*1)/Q487)-1)</f>
        <v>-2.3905300178658218E-3</v>
      </c>
      <c r="S488" s="8">
        <f>IF(Tabela1511[[#This Row],[Core²-Retail Sales]]="",#N/A,((Tabela1511[[#This Row],[Core²-Retail Sales]]*1)/Q476)-1)</f>
        <v>5.306903095718174E-2</v>
      </c>
      <c r="T488" s="5">
        <v>98.2</v>
      </c>
      <c r="U488" s="7">
        <v>59.7</v>
      </c>
      <c r="V488" s="25">
        <v>63.5</v>
      </c>
      <c r="W488" s="25">
        <v>55.4</v>
      </c>
      <c r="X488" s="25">
        <v>58.5</v>
      </c>
      <c r="Y488" s="25">
        <v>61.6</v>
      </c>
      <c r="Z488" s="25">
        <v>56.7</v>
      </c>
      <c r="AA488" s="25">
        <f>IF([1]!Tabela1511[[#This Row],[Services New Orders]]="","",([1]!Tabela1511[[#This Row],[Manufacturing New Orders]]+[1]!Tabela1511[[#This Row],[Services New Orders]])/2)</f>
        <v>62.55</v>
      </c>
      <c r="AB488" s="25">
        <f>IF([1]!Tabela1511[[#This Row],[Services Employment]]="",#N/A,([1]!Tabela1511[[#This Row],[Manufacturing Employment]]+[1]!Tabela1511[[#This Row],[Services Employment]])/2)</f>
        <v>56.05</v>
      </c>
    </row>
    <row r="489" spans="1:28">
      <c r="A489" s="6">
        <v>43282</v>
      </c>
      <c r="B489" s="36">
        <v>13682.7</v>
      </c>
      <c r="C489" s="8">
        <f>IF(Tabela1511[[#This Row],[Real PCE]]="",#N/A,((Tabela1511[[#This Row],[Real PCE]]*1)/B488)-1)</f>
        <v>2.1239663973868783E-3</v>
      </c>
      <c r="D489" s="8">
        <f>IF(Tabela1511[[#This Row],[Real PCE]]="",#N/A,((Tabela1511[[#This Row],[Real PCE]]*1)/B477)-1)</f>
        <v>2.9540785998600549E-2</v>
      </c>
      <c r="E489" s="7">
        <v>103.3334</v>
      </c>
      <c r="F489" s="8">
        <f>IF(Tabela1511[[#This Row],[Industrial Production]]="",#N/A,((Tabela1511[[#This Row],[Industrial Production]]*1)/E488)-1)</f>
        <v>1.3663796946286055E-3</v>
      </c>
      <c r="G489" s="8">
        <f>IF(Tabela1511[[#This Row],[Industrial Production]]="",#N/A,((Tabela1511[[#This Row],[Industrial Production]]*1)/E477)-1)</f>
        <v>3.2356358528473406E-2</v>
      </c>
      <c r="H489" s="32">
        <v>502441</v>
      </c>
      <c r="I489" s="8">
        <f>IF(Tabela1511[[#This Row],[Retail Sales]]="",#N/A,((Tabela1511[[#This Row],[Retail Sales]]*1)/H488)-1)</f>
        <v>6.9179881720839997E-3</v>
      </c>
      <c r="J489" s="8">
        <f>IF(Tabela1511[[#This Row],[Retail Sales]]="",#N/A,((Tabela1511[[#This Row],[Retail Sales]]*1)/H477)-1)</f>
        <v>6.0935464321987931E-2</v>
      </c>
      <c r="K489" s="32">
        <v>401462</v>
      </c>
      <c r="L489" s="8">
        <f>IF(Tabela1511[[#This Row],[Core-Retail Sales]]="",#N/A,((Tabela1511[[#This Row],[Core-Retail Sales]]*1)/K488)-1)</f>
        <v>7.1750768937435261E-3</v>
      </c>
      <c r="M489" s="8">
        <f>IF(Tabela1511[[#This Row],[Core-Retail Sales]]="",#N/A,((Tabela1511[[#This Row],[Core-Retail Sales]]*1)/K477)-1)</f>
        <v>7.1342413697401907E-2</v>
      </c>
      <c r="N489" s="84">
        <v>200005</v>
      </c>
      <c r="O489" s="8">
        <f>IF(Tabela1511[[#This Row],[Real Retail Sales]]="",#N/A,((Tabela1511[[#This Row],[Real Retail Sales]]*1)/N488)-1)</f>
        <v>6.1322225911282224E-3</v>
      </c>
      <c r="P489" s="8">
        <f>IF(Tabela1511[[#This Row],[Real Retail Sales]]="",#N/A,((Tabela1511[[#This Row],[Real Retail Sales]]*1)/N477)-1)</f>
        <v>3.1495941164942476E-2</v>
      </c>
      <c r="Q489" s="32">
        <v>357733</v>
      </c>
      <c r="R489" s="8">
        <f>IF(Tabela1511[[#This Row],[Core²-Retail Sales]]="",#N/A,((Tabela1511[[#This Row],[Core²-Retail Sales]]*1)/Q488)-1)</f>
        <v>7.3098550700152476E-3</v>
      </c>
      <c r="S489" s="8">
        <f>IF(Tabela1511[[#This Row],[Core²-Retail Sales]]="",#N/A,((Tabela1511[[#This Row],[Core²-Retail Sales]]*1)/Q477)-1)</f>
        <v>6.0637865755853504E-2</v>
      </c>
      <c r="T489" s="5">
        <v>97.9</v>
      </c>
      <c r="U489" s="7">
        <v>58</v>
      </c>
      <c r="V489" s="25">
        <v>59.8</v>
      </c>
      <c r="W489" s="25">
        <v>56</v>
      </c>
      <c r="X489" s="25">
        <v>57.5</v>
      </c>
      <c r="Y489" s="25">
        <v>60.7</v>
      </c>
      <c r="Z489" s="25">
        <v>57.2</v>
      </c>
      <c r="AA489" s="25">
        <f>IF([1]!Tabela1511[[#This Row],[Services New Orders]]="","",([1]!Tabela1511[[#This Row],[Manufacturing New Orders]]+[1]!Tabela1511[[#This Row],[Services New Orders]])/2)</f>
        <v>60.25</v>
      </c>
      <c r="AB489" s="25">
        <f>IF([1]!Tabela1511[[#This Row],[Services Employment]]="",#N/A,([1]!Tabela1511[[#This Row],[Manufacturing Employment]]+[1]!Tabela1511[[#This Row],[Services Employment]])/2)</f>
        <v>56.6</v>
      </c>
    </row>
    <row r="490" spans="1:28">
      <c r="A490" s="6">
        <v>43313</v>
      </c>
      <c r="B490" s="36">
        <v>13711.5</v>
      </c>
      <c r="C490" s="8">
        <f>IF(Tabela1511[[#This Row],[Real PCE]]="",#N/A,((Tabela1511[[#This Row],[Real PCE]]*1)/B489)-1)</f>
        <v>2.1048477274221433E-3</v>
      </c>
      <c r="D490" s="8">
        <f>IF(Tabela1511[[#This Row],[Real PCE]]="",#N/A,((Tabela1511[[#This Row],[Real PCE]]*1)/B478)-1)</f>
        <v>3.1583619852990852E-2</v>
      </c>
      <c r="E490" s="7">
        <v>104.08069999999999</v>
      </c>
      <c r="F490" s="8">
        <f>IF(Tabela1511[[#This Row],[Industrial Production]]="",#N/A,((Tabela1511[[#This Row],[Industrial Production]]*1)/E489)-1)</f>
        <v>7.2319308181090225E-3</v>
      </c>
      <c r="G490" s="8">
        <f>IF(Tabela1511[[#This Row],[Industrial Production]]="",#N/A,((Tabela1511[[#This Row],[Industrial Production]]*1)/E478)-1)</f>
        <v>4.4313805759741198E-2</v>
      </c>
      <c r="H490" s="32">
        <v>502076</v>
      </c>
      <c r="I490" s="8">
        <f>IF(Tabela1511[[#This Row],[Retail Sales]]="",#N/A,((Tabela1511[[#This Row],[Retail Sales]]*1)/H489)-1)</f>
        <v>-7.2645345423638652E-4</v>
      </c>
      <c r="J490" s="8">
        <f>IF(Tabela1511[[#This Row],[Retail Sales]]="",#N/A,((Tabela1511[[#This Row],[Retail Sales]]*1)/H478)-1)</f>
        <v>5.8292107642789803E-2</v>
      </c>
      <c r="K490" s="32">
        <v>401894</v>
      </c>
      <c r="L490" s="8">
        <f>IF(Tabela1511[[#This Row],[Core-Retail Sales]]="",#N/A,((Tabela1511[[#This Row],[Core-Retail Sales]]*1)/K489)-1)</f>
        <v>1.0760669752056806E-3</v>
      </c>
      <c r="M490" s="8">
        <f>IF(Tabela1511[[#This Row],[Core-Retail Sales]]="",#N/A,((Tabela1511[[#This Row],[Core-Retail Sales]]*1)/K478)-1)</f>
        <v>6.4346379870602766E-2</v>
      </c>
      <c r="N490" s="84">
        <v>199503</v>
      </c>
      <c r="O490" s="8">
        <f>IF(Tabela1511[[#This Row],[Real Retail Sales]]="",#N/A,((Tabela1511[[#This Row],[Real Retail Sales]]*1)/N489)-1)</f>
        <v>-2.5099372515686724E-3</v>
      </c>
      <c r="P490" s="8">
        <f>IF(Tabela1511[[#This Row],[Real Retail Sales]]="",#N/A,((Tabela1511[[#This Row],[Real Retail Sales]]*1)/N478)-1)</f>
        <v>3.1039240918463884E-2</v>
      </c>
      <c r="Q490" s="32">
        <v>357528</v>
      </c>
      <c r="R490" s="8">
        <f>IF(Tabela1511[[#This Row],[Core²-Retail Sales]]="",#N/A,((Tabela1511[[#This Row],[Core²-Retail Sales]]*1)/Q489)-1)</f>
        <v>-5.7305308707888969E-4</v>
      </c>
      <c r="S490" s="8">
        <f>IF(Tabela1511[[#This Row],[Core²-Retail Sales]]="",#N/A,((Tabela1511[[#This Row],[Core²-Retail Sales]]*1)/Q478)-1)</f>
        <v>5.4741984588697612E-2</v>
      </c>
      <c r="T490" s="5">
        <v>96.2</v>
      </c>
      <c r="U490" s="7">
        <v>60.4</v>
      </c>
      <c r="V490" s="25">
        <v>63.6</v>
      </c>
      <c r="W490" s="25">
        <v>57.9</v>
      </c>
      <c r="X490" s="25">
        <v>59.5</v>
      </c>
      <c r="Y490" s="25">
        <v>62.8</v>
      </c>
      <c r="Z490" s="25">
        <v>60.1</v>
      </c>
      <c r="AA490" s="25">
        <f>IF([1]!Tabela1511[[#This Row],[Services New Orders]]="","",([1]!Tabela1511[[#This Row],[Manufacturing New Orders]]+[1]!Tabela1511[[#This Row],[Services New Orders]])/2)</f>
        <v>63.2</v>
      </c>
      <c r="AB490" s="25">
        <f>IF([1]!Tabela1511[[#This Row],[Services Employment]]="",#N/A,([1]!Tabela1511[[#This Row],[Manufacturing Employment]]+[1]!Tabela1511[[#This Row],[Services Employment]])/2)</f>
        <v>59</v>
      </c>
    </row>
    <row r="491" spans="1:28">
      <c r="A491" s="6">
        <v>43344</v>
      </c>
      <c r="B491" s="36">
        <v>13687.1</v>
      </c>
      <c r="C491" s="8">
        <f>IF(Tabela1511[[#This Row],[Real PCE]]="",#N/A,((Tabela1511[[#This Row],[Real PCE]]*1)/B490)-1)</f>
        <v>-1.7795281333187196E-3</v>
      </c>
      <c r="D491" s="8">
        <f>IF(Tabela1511[[#This Row],[Real PCE]]="",#N/A,((Tabela1511[[#This Row],[Real PCE]]*1)/B479)-1)</f>
        <v>2.4146239262518465E-2</v>
      </c>
      <c r="E491" s="7">
        <v>104.1181</v>
      </c>
      <c r="F491" s="8">
        <f>IF(Tabela1511[[#This Row],[Industrial Production]]="",#N/A,((Tabela1511[[#This Row],[Industrial Production]]*1)/E490)-1)</f>
        <v>3.5933655327080594E-4</v>
      </c>
      <c r="G491" s="8">
        <f>IF(Tabela1511[[#This Row],[Industrial Production]]="",#N/A,((Tabela1511[[#This Row],[Industrial Production]]*1)/E479)-1)</f>
        <v>4.3595880868329218E-2</v>
      </c>
      <c r="H491" s="32">
        <v>499995</v>
      </c>
      <c r="I491" s="8">
        <f>IF(Tabela1511[[#This Row],[Retail Sales]]="",#N/A,((Tabela1511[[#This Row],[Retail Sales]]*1)/H490)-1)</f>
        <v>-4.1447908284801827E-3</v>
      </c>
      <c r="J491" s="8">
        <f>IF(Tabela1511[[#This Row],[Retail Sales]]="",#N/A,((Tabela1511[[#This Row],[Retail Sales]]*1)/H479)-1)</f>
        <v>3.2819190798728304E-2</v>
      </c>
      <c r="K491" s="32">
        <v>400487</v>
      </c>
      <c r="L491" s="8">
        <f>IF(Tabela1511[[#This Row],[Core-Retail Sales]]="",#N/A,((Tabela1511[[#This Row],[Core-Retail Sales]]*1)/K490)-1)</f>
        <v>-3.5009231289843123E-3</v>
      </c>
      <c r="M491" s="8">
        <f>IF(Tabela1511[[#This Row],[Core-Retail Sales]]="",#N/A,((Tabela1511[[#This Row],[Core-Retail Sales]]*1)/K479)-1)</f>
        <v>4.4943145941940488E-2</v>
      </c>
      <c r="N491" s="84">
        <v>198268</v>
      </c>
      <c r="O491" s="8">
        <f>IF(Tabela1511[[#This Row],[Real Retail Sales]]="",#N/A,((Tabela1511[[#This Row],[Real Retail Sales]]*1)/N490)-1)</f>
        <v>-6.1903831020084787E-3</v>
      </c>
      <c r="P491" s="8">
        <f>IF(Tabela1511[[#This Row],[Real Retail Sales]]="",#N/A,((Tabela1511[[#This Row],[Real Retail Sales]]*1)/N479)-1)</f>
        <v>9.2850888802915588E-3</v>
      </c>
      <c r="Q491" s="32">
        <v>356662</v>
      </c>
      <c r="R491" s="8">
        <f>IF(Tabela1511[[#This Row],[Core²-Retail Sales]]="",#N/A,((Tabela1511[[#This Row],[Core²-Retail Sales]]*1)/Q490)-1)</f>
        <v>-2.4221879125551071E-3</v>
      </c>
      <c r="S491" s="8">
        <f>IF(Tabela1511[[#This Row],[Core²-Retail Sales]]="",#N/A,((Tabela1511[[#This Row],[Core²-Retail Sales]]*1)/Q479)-1)</f>
        <v>4.1397554338304943E-2</v>
      </c>
      <c r="T491" s="5">
        <v>100.1</v>
      </c>
      <c r="U491" s="7">
        <v>59.5</v>
      </c>
      <c r="V491" s="25">
        <v>61.9</v>
      </c>
      <c r="W491" s="25">
        <v>58.2</v>
      </c>
      <c r="X491" s="25">
        <v>60.4</v>
      </c>
      <c r="Y491" s="25">
        <v>60.9</v>
      </c>
      <c r="Z491" s="25">
        <v>58.9</v>
      </c>
      <c r="AA491" s="25">
        <f>IF([1]!Tabela1511[[#This Row],[Services New Orders]]="","",([1]!Tabela1511[[#This Row],[Manufacturing New Orders]]+[1]!Tabela1511[[#This Row],[Services New Orders]])/2)</f>
        <v>61.4</v>
      </c>
      <c r="AB491" s="25">
        <f>IF([1]!Tabela1511[[#This Row],[Services Employment]]="",#N/A,([1]!Tabela1511[[#This Row],[Manufacturing Employment]]+[1]!Tabela1511[[#This Row],[Services Employment]])/2)</f>
        <v>58.55</v>
      </c>
    </row>
    <row r="492" spans="1:28">
      <c r="A492" s="6">
        <v>43374</v>
      </c>
      <c r="B492" s="36">
        <v>13727.1</v>
      </c>
      <c r="C492" s="8">
        <f>IF(Tabela1511[[#This Row],[Real PCE]]="",#N/A,((Tabela1511[[#This Row],[Real PCE]]*1)/B491)-1)</f>
        <v>2.9224598344426145E-3</v>
      </c>
      <c r="D492" s="8">
        <f>IF(Tabela1511[[#This Row],[Real PCE]]="",#N/A,((Tabela1511[[#This Row],[Real PCE]]*1)/B480)-1)</f>
        <v>2.6171787396277235E-2</v>
      </c>
      <c r="E492" s="7">
        <v>103.9397</v>
      </c>
      <c r="F492" s="8">
        <f>IF(Tabela1511[[#This Row],[Industrial Production]]="",#N/A,((Tabela1511[[#This Row],[Industrial Production]]*1)/E491)-1)</f>
        <v>-1.7134388737404249E-3</v>
      </c>
      <c r="G492" s="8">
        <f>IF(Tabela1511[[#This Row],[Industrial Production]]="",#N/A,((Tabela1511[[#This Row],[Industrial Production]]*1)/E480)-1)</f>
        <v>2.9125300376937835E-2</v>
      </c>
      <c r="H492" s="32">
        <v>505338</v>
      </c>
      <c r="I492" s="8">
        <f>IF(Tabela1511[[#This Row],[Retail Sales]]="",#N/A,((Tabela1511[[#This Row],[Retail Sales]]*1)/H491)-1)</f>
        <v>1.0686106861068634E-2</v>
      </c>
      <c r="J492" s="8">
        <f>IF(Tabela1511[[#This Row],[Retail Sales]]="",#N/A,((Tabela1511[[#This Row],[Retail Sales]]*1)/H480)-1)</f>
        <v>4.1899648671384071E-2</v>
      </c>
      <c r="K492" s="32">
        <v>405173</v>
      </c>
      <c r="L492" s="8">
        <f>IF(Tabela1511[[#This Row],[Core-Retail Sales]]="",#N/A,((Tabela1511[[#This Row],[Core-Retail Sales]]*1)/K491)-1)</f>
        <v>1.1700754331601226E-2</v>
      </c>
      <c r="M492" s="8">
        <f>IF(Tabela1511[[#This Row],[Core-Retail Sales]]="",#N/A,((Tabela1511[[#This Row],[Core-Retail Sales]]*1)/K480)-1)</f>
        <v>5.69270901265162E-2</v>
      </c>
      <c r="N492" s="84">
        <v>199919</v>
      </c>
      <c r="O492" s="8">
        <f>IF(Tabela1511[[#This Row],[Real Retail Sales]]="",#N/A,((Tabela1511[[#This Row],[Real Retail Sales]]*1)/N491)-1)</f>
        <v>8.3271127968205239E-3</v>
      </c>
      <c r="P492" s="8">
        <f>IF(Tabela1511[[#This Row],[Real Retail Sales]]="",#N/A,((Tabela1511[[#This Row],[Real Retail Sales]]*1)/N480)-1)</f>
        <v>1.6566579037023077E-2</v>
      </c>
      <c r="Q492" s="32">
        <v>359662</v>
      </c>
      <c r="R492" s="8">
        <f>IF(Tabela1511[[#This Row],[Core²-Retail Sales]]="",#N/A,((Tabela1511[[#This Row],[Core²-Retail Sales]]*1)/Q491)-1)</f>
        <v>8.4113250079906887E-3</v>
      </c>
      <c r="S492" s="8">
        <f>IF(Tabela1511[[#This Row],[Core²-Retail Sales]]="",#N/A,((Tabela1511[[#This Row],[Core²-Retail Sales]]*1)/Q480)-1)</f>
        <v>4.9875064219326415E-2</v>
      </c>
      <c r="T492" s="5">
        <v>98.6</v>
      </c>
      <c r="U492" s="7">
        <v>58.3</v>
      </c>
      <c r="V492" s="25">
        <v>59.3</v>
      </c>
      <c r="W492" s="25">
        <v>55.9</v>
      </c>
      <c r="X492" s="25">
        <v>60.8</v>
      </c>
      <c r="Y492" s="25">
        <v>63.2</v>
      </c>
      <c r="Z492" s="25">
        <v>57.8</v>
      </c>
      <c r="AA492" s="25">
        <f>IF([1]!Tabela1511[[#This Row],[Services New Orders]]="","",([1]!Tabela1511[[#This Row],[Manufacturing New Orders]]+[1]!Tabela1511[[#This Row],[Services New Orders]])/2)</f>
        <v>61.25</v>
      </c>
      <c r="AB492" s="25">
        <f>IF([1]!Tabela1511[[#This Row],[Services Employment]]="",#N/A,([1]!Tabela1511[[#This Row],[Manufacturing Employment]]+[1]!Tabela1511[[#This Row],[Services Employment]])/2)</f>
        <v>56.849999999999994</v>
      </c>
    </row>
    <row r="493" spans="1:28">
      <c r="A493" s="6">
        <v>43405</v>
      </c>
      <c r="B493" s="36">
        <v>13800.3</v>
      </c>
      <c r="C493" s="8">
        <f>IF(Tabela1511[[#This Row],[Real PCE]]="",#N/A,((Tabela1511[[#This Row],[Real PCE]]*1)/B492)-1)</f>
        <v>5.3325174290270727E-3</v>
      </c>
      <c r="D493" s="8">
        <f>IF(Tabela1511[[#This Row],[Real PCE]]="",#N/A,((Tabela1511[[#This Row],[Real PCE]]*1)/B481)-1)</f>
        <v>2.6021724422503612E-2</v>
      </c>
      <c r="E493" s="7">
        <v>104.00069999999999</v>
      </c>
      <c r="F493" s="8">
        <f>IF(Tabela1511[[#This Row],[Industrial Production]]="",#N/A,((Tabela1511[[#This Row],[Industrial Production]]*1)/E492)-1)</f>
        <v>5.8687873834539772E-4</v>
      </c>
      <c r="G493" s="8">
        <f>IF(Tabela1511[[#This Row],[Industrial Production]]="",#N/A,((Tabela1511[[#This Row],[Industrial Production]]*1)/E481)-1)</f>
        <v>2.7069011660117548E-2</v>
      </c>
      <c r="H493" s="32">
        <v>507073</v>
      </c>
      <c r="I493" s="8">
        <f>IF(Tabela1511[[#This Row],[Retail Sales]]="",#N/A,((Tabela1511[[#This Row],[Retail Sales]]*1)/H492)-1)</f>
        <v>3.4333456023494247E-3</v>
      </c>
      <c r="J493" s="8">
        <f>IF(Tabela1511[[#This Row],[Retail Sales]]="",#N/A,((Tabela1511[[#This Row],[Retail Sales]]*1)/H481)-1)</f>
        <v>3.5018176548272439E-2</v>
      </c>
      <c r="K493" s="32">
        <v>405803</v>
      </c>
      <c r="L493" s="8">
        <f>IF(Tabela1511[[#This Row],[Core-Retail Sales]]="",#N/A,((Tabela1511[[#This Row],[Core-Retail Sales]]*1)/K492)-1)</f>
        <v>1.5548913673912867E-3</v>
      </c>
      <c r="M493" s="8">
        <f>IF(Tabela1511[[#This Row],[Core-Retail Sales]]="",#N/A,((Tabela1511[[#This Row],[Core-Retail Sales]]*1)/K481)-1)</f>
        <v>4.2546796080587423E-2</v>
      </c>
      <c r="N493" s="84">
        <v>200746</v>
      </c>
      <c r="O493" s="8">
        <f>IF(Tabela1511[[#This Row],[Real Retail Sales]]="",#N/A,((Tabela1511[[#This Row],[Real Retail Sales]]*1)/N492)-1)</f>
        <v>4.1366753535181378E-3</v>
      </c>
      <c r="P493" s="8">
        <f>IF(Tabela1511[[#This Row],[Real Retail Sales]]="",#N/A,((Tabela1511[[#This Row],[Real Retail Sales]]*1)/N481)-1)</f>
        <v>1.3259707549503119E-2</v>
      </c>
      <c r="Q493" s="32">
        <v>362579</v>
      </c>
      <c r="R493" s="8">
        <f>IF(Tabela1511[[#This Row],[Core²-Retail Sales]]="",#N/A,((Tabela1511[[#This Row],[Core²-Retail Sales]]*1)/Q492)-1)</f>
        <v>8.1103925352135064E-3</v>
      </c>
      <c r="S493" s="8">
        <f>IF(Tabela1511[[#This Row],[Core²-Retail Sales]]="",#N/A,((Tabela1511[[#This Row],[Core²-Retail Sales]]*1)/Q481)-1)</f>
        <v>4.3618047060516751E-2</v>
      </c>
      <c r="T493" s="5">
        <v>97.5</v>
      </c>
      <c r="U493" s="7">
        <v>58.7</v>
      </c>
      <c r="V493" s="25">
        <v>60.7</v>
      </c>
      <c r="W493" s="25">
        <v>57.5</v>
      </c>
      <c r="X493" s="25">
        <v>60.1</v>
      </c>
      <c r="Y493" s="25">
        <v>62.1</v>
      </c>
      <c r="Z493" s="25">
        <v>56.5</v>
      </c>
      <c r="AA493" s="25">
        <f>IF([1]!Tabela1511[[#This Row],[Services New Orders]]="","",([1]!Tabela1511[[#This Row],[Manufacturing New Orders]]+[1]!Tabela1511[[#This Row],[Services New Orders]])/2)</f>
        <v>61.400000000000006</v>
      </c>
      <c r="AB493" s="25">
        <f>IF([1]!Tabela1511[[#This Row],[Services Employment]]="",#N/A,([1]!Tabela1511[[#This Row],[Manufacturing Employment]]+[1]!Tabela1511[[#This Row],[Services Employment]])/2)</f>
        <v>57</v>
      </c>
    </row>
    <row r="494" spans="1:28">
      <c r="A494" s="6">
        <v>43435</v>
      </c>
      <c r="B494" s="36">
        <v>13682.3</v>
      </c>
      <c r="C494" s="8">
        <f>IF(Tabela1511[[#This Row],[Real PCE]]="",#N/A,((Tabela1511[[#This Row],[Real PCE]]*1)/B493)-1)</f>
        <v>-8.5505387564038804E-3</v>
      </c>
      <c r="D494" s="8">
        <f>IF(Tabela1511[[#This Row],[Real PCE]]="",#N/A,((Tabela1511[[#This Row],[Real PCE]]*1)/B482)-1)</f>
        <v>9.3615828378357246E-3</v>
      </c>
      <c r="E494" s="7">
        <v>103.99460000000001</v>
      </c>
      <c r="F494" s="8">
        <f>IF(Tabela1511[[#This Row],[Industrial Production]]="",#N/A,((Tabela1511[[#This Row],[Industrial Production]]*1)/E493)-1)</f>
        <v>-5.8653451370904719E-5</v>
      </c>
      <c r="G494" s="8">
        <f>IF(Tabela1511[[#This Row],[Industrial Production]]="",#N/A,((Tabela1511[[#This Row],[Industrial Production]]*1)/E482)-1)</f>
        <v>2.500855039509231E-2</v>
      </c>
      <c r="H494" s="32">
        <v>496683</v>
      </c>
      <c r="I494" s="8">
        <f>IF(Tabela1511[[#This Row],[Retail Sales]]="",#N/A,((Tabela1511[[#This Row],[Retail Sales]]*1)/H493)-1)</f>
        <v>-2.0490146389178676E-2</v>
      </c>
      <c r="J494" s="8">
        <f>IF(Tabela1511[[#This Row],[Retail Sales]]="",#N/A,((Tabela1511[[#This Row],[Retail Sales]]*1)/H482)-1)</f>
        <v>7.7588113436093398E-3</v>
      </c>
      <c r="K494" s="32">
        <v>394313</v>
      </c>
      <c r="L494" s="8">
        <f>IF(Tabela1511[[#This Row],[Core-Retail Sales]]="",#N/A,((Tabela1511[[#This Row],[Core-Retail Sales]]*1)/K493)-1)</f>
        <v>-2.831423128956656E-2</v>
      </c>
      <c r="M494" s="8">
        <f>IF(Tabela1511[[#This Row],[Core-Retail Sales]]="",#N/A,((Tabela1511[[#This Row],[Core-Retail Sales]]*1)/K482)-1)</f>
        <v>5.1902099791729661E-3</v>
      </c>
      <c r="N494" s="84">
        <v>196498</v>
      </c>
      <c r="O494" s="8">
        <f>IF(Tabela1511[[#This Row],[Real Retail Sales]]="",#N/A,((Tabela1511[[#This Row],[Real Retail Sales]]*1)/N493)-1)</f>
        <v>-2.11610692118398E-2</v>
      </c>
      <c r="P494" s="8">
        <f>IF(Tabela1511[[#This Row],[Real Retail Sales]]="",#N/A,((Tabela1511[[#This Row],[Real Retail Sales]]*1)/N482)-1)</f>
        <v>-1.2026748453919267E-2</v>
      </c>
      <c r="Q494" s="32">
        <v>353617</v>
      </c>
      <c r="R494" s="8">
        <f>IF(Tabela1511[[#This Row],[Core²-Retail Sales]]="",#N/A,((Tabela1511[[#This Row],[Core²-Retail Sales]]*1)/Q493)-1)</f>
        <v>-2.4717371938253407E-2</v>
      </c>
      <c r="S494" s="8">
        <f>IF(Tabela1511[[#This Row],[Core²-Retail Sales]]="",#N/A,((Tabela1511[[#This Row],[Core²-Retail Sales]]*1)/Q482)-1)</f>
        <v>1.1415054944426295E-2</v>
      </c>
      <c r="T494" s="5">
        <v>98.3</v>
      </c>
      <c r="U494" s="7">
        <v>54.8</v>
      </c>
      <c r="V494" s="25">
        <v>52.4</v>
      </c>
      <c r="W494" s="25">
        <v>56.3</v>
      </c>
      <c r="X494" s="25">
        <v>58.1</v>
      </c>
      <c r="Y494" s="25">
        <v>62.6</v>
      </c>
      <c r="Z494" s="25">
        <v>57.4</v>
      </c>
      <c r="AA494" s="25">
        <f>IF([1]!Tabela1511[[#This Row],[Services New Orders]]="","",([1]!Tabela1511[[#This Row],[Manufacturing New Orders]]+[1]!Tabela1511[[#This Row],[Services New Orders]])/2)</f>
        <v>57.5</v>
      </c>
      <c r="AB494" s="25">
        <f>IF([1]!Tabela1511[[#This Row],[Services Employment]]="",#N/A,([1]!Tabela1511[[#This Row],[Manufacturing Employment]]+[1]!Tabela1511[[#This Row],[Services Employment]])/2)</f>
        <v>56.849999999999994</v>
      </c>
    </row>
    <row r="495" spans="1:28">
      <c r="A495" s="6">
        <v>43466</v>
      </c>
      <c r="B495" s="36">
        <v>13716.5</v>
      </c>
      <c r="C495" s="8">
        <f>IF(Tabela1511[[#This Row],[Real PCE]]="",#N/A,((Tabela1511[[#This Row],[Real PCE]]*1)/B494)-1)</f>
        <v>2.499579749018821E-3</v>
      </c>
      <c r="D495" s="8">
        <f>IF(Tabela1511[[#This Row],[Real PCE]]="",#N/A,((Tabela1511[[#This Row],[Real PCE]]*1)/B483)-1)</f>
        <v>1.2938196480396957E-2</v>
      </c>
      <c r="E495" s="7">
        <v>103.373</v>
      </c>
      <c r="F495" s="8">
        <f>IF(Tabela1511[[#This Row],[Industrial Production]]="",#N/A,((Tabela1511[[#This Row],[Industrial Production]]*1)/E494)-1)</f>
        <v>-5.9772334332743871E-3</v>
      </c>
      <c r="G495" s="8">
        <f>IF(Tabela1511[[#This Row],[Industrial Production]]="",#N/A,((Tabela1511[[#This Row],[Industrial Production]]*1)/E483)-1)</f>
        <v>1.9518925694741007E-2</v>
      </c>
      <c r="H495" s="32">
        <v>499639</v>
      </c>
      <c r="I495" s="8">
        <f>IF(Tabela1511[[#This Row],[Retail Sales]]="",#N/A,((Tabela1511[[#This Row],[Retail Sales]]*1)/H494)-1)</f>
        <v>5.9514821324668787E-3</v>
      </c>
      <c r="J495" s="8">
        <f>IF(Tabela1511[[#This Row],[Retail Sales]]="",#N/A,((Tabela1511[[#This Row],[Retail Sales]]*1)/H483)-1)</f>
        <v>1.8742086300864269E-2</v>
      </c>
      <c r="K495" s="32">
        <v>400358</v>
      </c>
      <c r="L495" s="8">
        <f>IF(Tabela1511[[#This Row],[Core-Retail Sales]]="",#N/A,((Tabela1511[[#This Row],[Core-Retail Sales]]*1)/K494)-1)</f>
        <v>1.5330460826805004E-2</v>
      </c>
      <c r="M495" s="8">
        <f>IF(Tabela1511[[#This Row],[Core-Retail Sales]]="",#N/A,((Tabela1511[[#This Row],[Core-Retail Sales]]*1)/K483)-1)</f>
        <v>2.5268187999211156E-2</v>
      </c>
      <c r="N495" s="84">
        <v>197706</v>
      </c>
      <c r="O495" s="8">
        <f>IF(Tabela1511[[#This Row],[Real Retail Sales]]="",#N/A,((Tabela1511[[#This Row],[Real Retail Sales]]*1)/N494)-1)</f>
        <v>6.1476452686541894E-3</v>
      </c>
      <c r="P495" s="8">
        <f>IF(Tabela1511[[#This Row],[Real Retail Sales]]="",#N/A,((Tabela1511[[#This Row],[Real Retail Sales]]*1)/N483)-1)</f>
        <v>3.1865555769796661E-3</v>
      </c>
      <c r="Q495" s="32">
        <v>360677</v>
      </c>
      <c r="R495" s="8">
        <f>IF(Tabela1511[[#This Row],[Core²-Retail Sales]]="",#N/A,((Tabela1511[[#This Row],[Core²-Retail Sales]]*1)/Q494)-1)</f>
        <v>1.9965103487671776E-2</v>
      </c>
      <c r="S495" s="8">
        <f>IF(Tabela1511[[#This Row],[Core²-Retail Sales]]="",#N/A,((Tabela1511[[#This Row],[Core²-Retail Sales]]*1)/Q483)-1)</f>
        <v>3.7408929706532978E-2</v>
      </c>
      <c r="T495" s="5">
        <v>91.2</v>
      </c>
      <c r="U495" s="7">
        <v>55.7</v>
      </c>
      <c r="V495" s="25">
        <v>56.7</v>
      </c>
      <c r="W495" s="25">
        <v>55.5</v>
      </c>
      <c r="X495" s="25">
        <v>56.5</v>
      </c>
      <c r="Y495" s="25">
        <v>58.7</v>
      </c>
      <c r="Z495" s="25">
        <v>55.8</v>
      </c>
      <c r="AA495" s="25">
        <f>IF([1]!Tabela1511[[#This Row],[Services New Orders]]="","",([1]!Tabela1511[[#This Row],[Manufacturing New Orders]]+[1]!Tabela1511[[#This Row],[Services New Orders]])/2)</f>
        <v>57.7</v>
      </c>
      <c r="AB495" s="25">
        <f>IF([1]!Tabela1511[[#This Row],[Services Employment]]="",#N/A,([1]!Tabela1511[[#This Row],[Manufacturing Employment]]+[1]!Tabela1511[[#This Row],[Services Employment]])/2)</f>
        <v>55.65</v>
      </c>
    </row>
    <row r="496" spans="1:28">
      <c r="A496" s="6">
        <v>43497</v>
      </c>
      <c r="B496" s="36">
        <v>13723.1</v>
      </c>
      <c r="C496" s="8">
        <f>IF(Tabela1511[[#This Row],[Real PCE]]="",#N/A,((Tabela1511[[#This Row],[Real PCE]]*1)/B495)-1)</f>
        <v>4.8117231072075661E-4</v>
      </c>
      <c r="D496" s="8">
        <f>IF(Tabela1511[[#This Row],[Real PCE]]="",#N/A,((Tabela1511[[#This Row],[Real PCE]]*1)/B484)-1)</f>
        <v>1.2976755515859306E-2</v>
      </c>
      <c r="E496" s="7">
        <v>102.8292</v>
      </c>
      <c r="F496" s="8">
        <f>IF(Tabela1511[[#This Row],[Industrial Production]]="",#N/A,((Tabela1511[[#This Row],[Industrial Production]]*1)/E495)-1)</f>
        <v>-5.2605612684163416E-3</v>
      </c>
      <c r="G496" s="8">
        <f>IF(Tabela1511[[#This Row],[Industrial Production]]="",#N/A,((Tabela1511[[#This Row],[Industrial Production]]*1)/E484)-1)</f>
        <v>1.0451468865706914E-2</v>
      </c>
      <c r="H496" s="32">
        <v>500570</v>
      </c>
      <c r="I496" s="8">
        <f>IF(Tabela1511[[#This Row],[Retail Sales]]="",#N/A,((Tabela1511[[#This Row],[Retail Sales]]*1)/H495)-1)</f>
        <v>1.8633453353320562E-3</v>
      </c>
      <c r="J496" s="8">
        <f>IF(Tabela1511[[#This Row],[Retail Sales]]="",#N/A,((Tabela1511[[#This Row],[Retail Sales]]*1)/H484)-1)</f>
        <v>1.4486585519089212E-2</v>
      </c>
      <c r="K496" s="32">
        <v>399884</v>
      </c>
      <c r="L496" s="8">
        <f>IF(Tabela1511[[#This Row],[Core-Retail Sales]]="",#N/A,((Tabela1511[[#This Row],[Core-Retail Sales]]*1)/K495)-1)</f>
        <v>-1.1839403733658882E-3</v>
      </c>
      <c r="M496" s="8">
        <f>IF(Tabela1511[[#This Row],[Core-Retail Sales]]="",#N/A,((Tabela1511[[#This Row],[Core-Retail Sales]]*1)/K484)-1)</f>
        <v>1.5730611062991118E-2</v>
      </c>
      <c r="N496" s="84">
        <v>197602</v>
      </c>
      <c r="O496" s="8">
        <f>IF(Tabela1511[[#This Row],[Real Retail Sales]]="",#N/A,((Tabela1511[[#This Row],[Real Retail Sales]]*1)/N495)-1)</f>
        <v>-5.2603360545455669E-4</v>
      </c>
      <c r="P496" s="8">
        <f>IF(Tabela1511[[#This Row],[Real Retail Sales]]="",#N/A,((Tabela1511[[#This Row],[Real Retail Sales]]*1)/N484)-1)</f>
        <v>-7.0293970395618466E-4</v>
      </c>
      <c r="Q496" s="32">
        <v>358583</v>
      </c>
      <c r="R496" s="8">
        <f>IF(Tabela1511[[#This Row],[Core²-Retail Sales]]="",#N/A,((Tabela1511[[#This Row],[Core²-Retail Sales]]*1)/Q495)-1)</f>
        <v>-5.8057486338192188E-3</v>
      </c>
      <c r="S496" s="8">
        <f>IF(Tabela1511[[#This Row],[Core²-Retail Sales]]="",#N/A,((Tabela1511[[#This Row],[Core²-Retail Sales]]*1)/Q484)-1)</f>
        <v>2.305258442866398E-2</v>
      </c>
      <c r="T496" s="5">
        <v>93.8</v>
      </c>
      <c r="U496" s="7">
        <v>54.2</v>
      </c>
      <c r="V496" s="25">
        <v>54.9</v>
      </c>
      <c r="W496" s="25">
        <v>53.1</v>
      </c>
      <c r="X496" s="25">
        <v>59.1</v>
      </c>
      <c r="Y496" s="25">
        <v>62.1</v>
      </c>
      <c r="Z496" s="25">
        <v>55.8</v>
      </c>
      <c r="AA496" s="25">
        <f>IF([1]!Tabela1511[[#This Row],[Services New Orders]]="","",([1]!Tabela1511[[#This Row],[Manufacturing New Orders]]+[1]!Tabela1511[[#This Row],[Services New Orders]])/2)</f>
        <v>58.5</v>
      </c>
      <c r="AB496" s="25">
        <f>IF([1]!Tabela1511[[#This Row],[Services Employment]]="",#N/A,([1]!Tabela1511[[#This Row],[Manufacturing Employment]]+[1]!Tabela1511[[#This Row],[Services Employment]])/2)</f>
        <v>54.45</v>
      </c>
    </row>
    <row r="497" spans="1:28">
      <c r="A497" s="6">
        <v>43525</v>
      </c>
      <c r="B497" s="36">
        <v>13818.2</v>
      </c>
      <c r="C497" s="8">
        <f>IF(Tabela1511[[#This Row],[Real PCE]]="",#N/A,((Tabela1511[[#This Row],[Real PCE]]*1)/B496)-1)</f>
        <v>6.9299210819713242E-3</v>
      </c>
      <c r="D497" s="8">
        <f>IF(Tabela1511[[#This Row],[Real PCE]]="",#N/A,((Tabela1511[[#This Row],[Real PCE]]*1)/B485)-1)</f>
        <v>1.7053693004084991E-2</v>
      </c>
      <c r="E497" s="7">
        <v>102.82859999999999</v>
      </c>
      <c r="F497" s="8">
        <f>IF(Tabela1511[[#This Row],[Industrial Production]]="",#N/A,((Tabela1511[[#This Row],[Industrial Production]]*1)/E496)-1)</f>
        <v>-5.8349184862693804E-6</v>
      </c>
      <c r="G497" s="8">
        <f>IF(Tabela1511[[#This Row],[Industrial Production]]="",#N/A,((Tabela1511[[#This Row],[Industrial Production]]*1)/E485)-1)</f>
        <v>5.7167112821179256E-3</v>
      </c>
      <c r="H497" s="32">
        <v>508402</v>
      </c>
      <c r="I497" s="8">
        <f>IF(Tabela1511[[#This Row],[Retail Sales]]="",#N/A,((Tabela1511[[#This Row],[Retail Sales]]*1)/H496)-1)</f>
        <v>1.5646163373753907E-2</v>
      </c>
      <c r="J497" s="8">
        <f>IF(Tabela1511[[#This Row],[Retail Sales]]="",#N/A,((Tabela1511[[#This Row],[Retail Sales]]*1)/H485)-1)</f>
        <v>3.0984156082762393E-2</v>
      </c>
      <c r="K497" s="32">
        <v>404993</v>
      </c>
      <c r="L497" s="8">
        <f>IF(Tabela1511[[#This Row],[Core-Retail Sales]]="",#N/A,((Tabela1511[[#This Row],[Core-Retail Sales]]*1)/K496)-1)</f>
        <v>1.2776205099478855E-2</v>
      </c>
      <c r="M497" s="8">
        <f>IF(Tabela1511[[#This Row],[Core-Retail Sales]]="",#N/A,((Tabela1511[[#This Row],[Core-Retail Sales]]*1)/K485)-1)</f>
        <v>3.0018566087642196E-2</v>
      </c>
      <c r="N497" s="84">
        <v>199999</v>
      </c>
      <c r="O497" s="8">
        <f>IF(Tabela1511[[#This Row],[Real Retail Sales]]="",#N/A,((Tabela1511[[#This Row],[Real Retail Sales]]*1)/N496)-1)</f>
        <v>1.2130444023845888E-2</v>
      </c>
      <c r="P497" s="8">
        <f>IF(Tabela1511[[#This Row],[Real Retail Sales]]="",#N/A,((Tabela1511[[#This Row],[Real Retail Sales]]*1)/N485)-1)</f>
        <v>1.222264960725572E-2</v>
      </c>
      <c r="Q497" s="32">
        <v>362086</v>
      </c>
      <c r="R497" s="8">
        <f>IF(Tabela1511[[#This Row],[Core²-Retail Sales]]="",#N/A,((Tabela1511[[#This Row],[Core²-Retail Sales]]*1)/Q496)-1)</f>
        <v>9.769007454341061E-3</v>
      </c>
      <c r="S497" s="8">
        <f>IF(Tabela1511[[#This Row],[Core²-Retail Sales]]="",#N/A,((Tabela1511[[#This Row],[Core²-Retail Sales]]*1)/Q485)-1)</f>
        <v>3.3571683436808719E-2</v>
      </c>
      <c r="T497" s="5">
        <v>98.4</v>
      </c>
      <c r="U497" s="7">
        <v>55.3</v>
      </c>
      <c r="V497" s="25">
        <v>56.5</v>
      </c>
      <c r="W497" s="25">
        <v>57.9</v>
      </c>
      <c r="X497" s="25">
        <v>56.5</v>
      </c>
      <c r="Y497" s="25">
        <v>59.6</v>
      </c>
      <c r="Z497" s="25">
        <v>53.6</v>
      </c>
      <c r="AA497" s="25">
        <f>IF([1]!Tabela1511[[#This Row],[Services New Orders]]="","",([1]!Tabela1511[[#This Row],[Manufacturing New Orders]]+[1]!Tabela1511[[#This Row],[Services New Orders]])/2)</f>
        <v>58.05</v>
      </c>
      <c r="AB497" s="25">
        <f>IF([1]!Tabela1511[[#This Row],[Services Employment]]="",#N/A,([1]!Tabela1511[[#This Row],[Manufacturing Employment]]+[1]!Tabela1511[[#This Row],[Services Employment]])/2)</f>
        <v>55.75</v>
      </c>
    </row>
    <row r="498" spans="1:28">
      <c r="A498" s="6">
        <v>43556</v>
      </c>
      <c r="B498" s="36">
        <v>13813.1</v>
      </c>
      <c r="C498" s="8">
        <f>IF(Tabela1511[[#This Row],[Real PCE]]="",#N/A,((Tabela1511[[#This Row],[Real PCE]]*1)/B497)-1)</f>
        <v>-3.6907846173894754E-4</v>
      </c>
      <c r="D498" s="8">
        <f>IF(Tabela1511[[#This Row],[Real PCE]]="",#N/A,((Tabela1511[[#This Row],[Real PCE]]*1)/B486)-1)</f>
        <v>1.5766212946825675E-2</v>
      </c>
      <c r="E498" s="7">
        <v>102.24809999999999</v>
      </c>
      <c r="F498" s="8">
        <f>IF(Tabela1511[[#This Row],[Industrial Production]]="",#N/A,((Tabela1511[[#This Row],[Industrial Production]]*1)/E497)-1)</f>
        <v>-5.6453165753496126E-3</v>
      </c>
      <c r="G498" s="8">
        <f>IF(Tabela1511[[#This Row],[Industrial Production]]="",#N/A,((Tabela1511[[#This Row],[Industrial Production]]*1)/E486)-1)</f>
        <v>-1.0631195160372697E-2</v>
      </c>
      <c r="H498" s="32">
        <v>508687</v>
      </c>
      <c r="I498" s="8">
        <f>IF(Tabela1511[[#This Row],[Retail Sales]]="",#N/A,((Tabela1511[[#This Row],[Retail Sales]]*1)/H497)-1)</f>
        <v>5.6058001345382635E-4</v>
      </c>
      <c r="J498" s="8">
        <f>IF(Tabela1511[[#This Row],[Retail Sales]]="",#N/A,((Tabela1511[[#This Row],[Retail Sales]]*1)/H486)-1)</f>
        <v>2.909956039109618E-2</v>
      </c>
      <c r="K498" s="32">
        <v>407456</v>
      </c>
      <c r="L498" s="8">
        <f>IF(Tabela1511[[#This Row],[Core-Retail Sales]]="",#N/A,((Tabela1511[[#This Row],[Core-Retail Sales]]*1)/K497)-1)</f>
        <v>6.0815865953238735E-3</v>
      </c>
      <c r="M498" s="8">
        <f>IF(Tabela1511[[#This Row],[Core-Retail Sales]]="",#N/A,((Tabela1511[[#This Row],[Core-Retail Sales]]*1)/K486)-1)</f>
        <v>3.3307804281779818E-2</v>
      </c>
      <c r="N498" s="84">
        <v>199320</v>
      </c>
      <c r="O498" s="8">
        <f>IF(Tabela1511[[#This Row],[Real Retail Sales]]="",#N/A,((Tabela1511[[#This Row],[Real Retail Sales]]*1)/N497)-1)</f>
        <v>-3.3950169750849302E-3</v>
      </c>
      <c r="P498" s="8">
        <f>IF(Tabela1511[[#This Row],[Real Retail Sales]]="",#N/A,((Tabela1511[[#This Row],[Real Retail Sales]]*1)/N486)-1)</f>
        <v>9.0006175901833352E-3</v>
      </c>
      <c r="Q498" s="32">
        <v>363028</v>
      </c>
      <c r="R498" s="8">
        <f>IF(Tabela1511[[#This Row],[Core²-Retail Sales]]="",#N/A,((Tabela1511[[#This Row],[Core²-Retail Sales]]*1)/Q497)-1)</f>
        <v>2.6015918870103683E-3</v>
      </c>
      <c r="S498" s="8">
        <f>IF(Tabela1511[[#This Row],[Core²-Retail Sales]]="",#N/A,((Tabela1511[[#This Row],[Core²-Retail Sales]]*1)/Q486)-1)</f>
        <v>3.3161058239606467E-2</v>
      </c>
      <c r="T498" s="5">
        <v>97.2</v>
      </c>
      <c r="U498" s="7">
        <v>53.6</v>
      </c>
      <c r="V498" s="25">
        <v>53.5</v>
      </c>
      <c r="W498" s="25">
        <v>53.4</v>
      </c>
      <c r="X498" s="25">
        <v>55.3</v>
      </c>
      <c r="Y498" s="25">
        <v>58.2</v>
      </c>
      <c r="Z498" s="25">
        <v>57</v>
      </c>
      <c r="AA498" s="25">
        <f>IF([1]!Tabela1511[[#This Row],[Services New Orders]]="","",([1]!Tabela1511[[#This Row],[Manufacturing New Orders]]+[1]!Tabela1511[[#This Row],[Services New Orders]])/2)</f>
        <v>55.85</v>
      </c>
      <c r="AB498" s="25">
        <f>IF([1]!Tabela1511[[#This Row],[Services Employment]]="",#N/A,([1]!Tabela1511[[#This Row],[Manufacturing Employment]]+[1]!Tabela1511[[#This Row],[Services Employment]])/2)</f>
        <v>55.2</v>
      </c>
    </row>
    <row r="499" spans="1:28">
      <c r="A499" s="6">
        <v>43586</v>
      </c>
      <c r="B499" s="36">
        <v>13866.1</v>
      </c>
      <c r="C499" s="8">
        <f>IF(Tabela1511[[#This Row],[Real PCE]]="",#N/A,((Tabela1511[[#This Row],[Real PCE]]*1)/B498)-1)</f>
        <v>3.8369374000042367E-3</v>
      </c>
      <c r="D499" s="8">
        <f>IF(Tabela1511[[#This Row],[Real PCE]]="",#N/A,((Tabela1511[[#This Row],[Real PCE]]*1)/B487)-1)</f>
        <v>1.6538983175103494E-2</v>
      </c>
      <c r="E499" s="7">
        <v>102.4192</v>
      </c>
      <c r="F499" s="8">
        <f>IF(Tabela1511[[#This Row],[Industrial Production]]="",#N/A,((Tabela1511[[#This Row],[Industrial Production]]*1)/E498)-1)</f>
        <v>1.6733807278570545E-3</v>
      </c>
      <c r="G499" s="8">
        <f>IF(Tabela1511[[#This Row],[Industrial Production]]="",#N/A,((Tabela1511[[#This Row],[Industrial Production]]*1)/E487)-1)</f>
        <v>2.7443791501413628E-4</v>
      </c>
      <c r="H499" s="32">
        <v>512334</v>
      </c>
      <c r="I499" s="8">
        <f>IF(Tabela1511[[#This Row],[Retail Sales]]="",#N/A,((Tabela1511[[#This Row],[Retail Sales]]*1)/H498)-1)</f>
        <v>7.1694381810425423E-3</v>
      </c>
      <c r="J499" s="8">
        <f>IF(Tabela1511[[#This Row],[Retail Sales]]="",#N/A,((Tabela1511[[#This Row],[Retail Sales]]*1)/H487)-1)</f>
        <v>2.3470539468821494E-2</v>
      </c>
      <c r="K499" s="32">
        <v>409239</v>
      </c>
      <c r="L499" s="8">
        <f>IF(Tabela1511[[#This Row],[Core-Retail Sales]]="",#N/A,((Tabela1511[[#This Row],[Core-Retail Sales]]*1)/K498)-1)</f>
        <v>4.3759326160370815E-3</v>
      </c>
      <c r="M499" s="8">
        <f>IF(Tabela1511[[#This Row],[Core-Retail Sales]]="",#N/A,((Tabela1511[[#This Row],[Core-Retail Sales]]*1)/K487)-1)</f>
        <v>2.3673316240385267E-2</v>
      </c>
      <c r="N499" s="84">
        <v>200687</v>
      </c>
      <c r="O499" s="8">
        <f>IF(Tabela1511[[#This Row],[Real Retail Sales]]="",#N/A,((Tabela1511[[#This Row],[Real Retail Sales]]*1)/N498)-1)</f>
        <v>6.8583182821593258E-3</v>
      </c>
      <c r="P499" s="8">
        <f>IF(Tabela1511[[#This Row],[Real Retail Sales]]="",#N/A,((Tabela1511[[#This Row],[Real Retail Sales]]*1)/N487)-1)</f>
        <v>5.4358172763799839E-3</v>
      </c>
      <c r="Q499" s="32">
        <v>365555</v>
      </c>
      <c r="R499" s="8">
        <f>IF(Tabela1511[[#This Row],[Core²-Retail Sales]]="",#N/A,((Tabela1511[[#This Row],[Core²-Retail Sales]]*1)/Q498)-1)</f>
        <v>6.960895578302484E-3</v>
      </c>
      <c r="S499" s="8">
        <f>IF(Tabela1511[[#This Row],[Core²-Retail Sales]]="",#N/A,((Tabela1511[[#This Row],[Core²-Retail Sales]]*1)/Q487)-1)</f>
        <v>2.6874501387687211E-2</v>
      </c>
      <c r="T499" s="5">
        <v>100</v>
      </c>
      <c r="U499" s="7">
        <v>52.2</v>
      </c>
      <c r="V499" s="25">
        <v>52.5</v>
      </c>
      <c r="W499" s="25">
        <v>54.2</v>
      </c>
      <c r="X499" s="25">
        <v>56.1</v>
      </c>
      <c r="Y499" s="25">
        <v>58.1</v>
      </c>
      <c r="Z499" s="25">
        <v>55.2</v>
      </c>
      <c r="AA499" s="25">
        <f>IF([1]!Tabela1511[[#This Row],[Services New Orders]]="","",([1]!Tabela1511[[#This Row],[Manufacturing New Orders]]+[1]!Tabela1511[[#This Row],[Services New Orders]])/2)</f>
        <v>55.3</v>
      </c>
      <c r="AB499" s="25">
        <f>IF([1]!Tabela1511[[#This Row],[Services Employment]]="",#N/A,([1]!Tabela1511[[#This Row],[Manufacturing Employment]]+[1]!Tabela1511[[#This Row],[Services Employment]])/2)</f>
        <v>54.7</v>
      </c>
    </row>
    <row r="500" spans="1:28">
      <c r="A500" s="6">
        <v>43617</v>
      </c>
      <c r="B500" s="36">
        <v>13909.1</v>
      </c>
      <c r="C500" s="8">
        <f>IF(Tabela1511[[#This Row],[Real PCE]]="",#N/A,((Tabela1511[[#This Row],[Real PCE]]*1)/B499)-1)</f>
        <v>3.1010882656261618E-3</v>
      </c>
      <c r="D500" s="8">
        <f>IF(Tabela1511[[#This Row],[Real PCE]]="",#N/A,((Tabela1511[[#This Row],[Real PCE]]*1)/B488)-1)</f>
        <v>1.8705552341123699E-2</v>
      </c>
      <c r="E500" s="7">
        <v>102.4893</v>
      </c>
      <c r="F500" s="8">
        <f>IF(Tabela1511[[#This Row],[Industrial Production]]="",#N/A,((Tabela1511[[#This Row],[Industrial Production]]*1)/E499)-1)</f>
        <v>6.844419796288026E-4</v>
      </c>
      <c r="G500" s="8">
        <f>IF(Tabela1511[[#This Row],[Industrial Production]]="",#N/A,((Tabela1511[[#This Row],[Industrial Production]]*1)/E488)-1)</f>
        <v>-6.8134862644924077E-3</v>
      </c>
      <c r="H500" s="32">
        <v>513162</v>
      </c>
      <c r="I500" s="8">
        <f>IF(Tabela1511[[#This Row],[Retail Sales]]="",#N/A,((Tabela1511[[#This Row],[Retail Sales]]*1)/H499)-1)</f>
        <v>1.6161332255910654E-3</v>
      </c>
      <c r="J500" s="8">
        <f>IF(Tabela1511[[#This Row],[Retail Sales]]="",#N/A,((Tabela1511[[#This Row],[Retail Sales]]*1)/H488)-1)</f>
        <v>2.8403431738976304E-2</v>
      </c>
      <c r="K500" s="32">
        <v>410311</v>
      </c>
      <c r="L500" s="8">
        <f>IF(Tabela1511[[#This Row],[Core-Retail Sales]]="",#N/A,((Tabela1511[[#This Row],[Core-Retail Sales]]*1)/K499)-1)</f>
        <v>2.6194961868248878E-3</v>
      </c>
      <c r="M500" s="8">
        <f>IF(Tabela1511[[#This Row],[Core-Retail Sales]]="",#N/A,((Tabela1511[[#This Row],[Core-Retail Sales]]*1)/K488)-1)</f>
        <v>2.9375166205889647E-2</v>
      </c>
      <c r="N500" s="84">
        <v>201115</v>
      </c>
      <c r="O500" s="8">
        <f>IF(Tabela1511[[#This Row],[Real Retail Sales]]="",#N/A,((Tabela1511[[#This Row],[Real Retail Sales]]*1)/N499)-1)</f>
        <v>2.1326742639034002E-3</v>
      </c>
      <c r="P500" s="8">
        <f>IF(Tabela1511[[#This Row],[Real Retail Sales]]="",#N/A,((Tabela1511[[#This Row],[Real Retail Sales]]*1)/N488)-1)</f>
        <v>1.1716116829152856E-2</v>
      </c>
      <c r="Q500" s="32">
        <v>368395</v>
      </c>
      <c r="R500" s="8">
        <f>IF(Tabela1511[[#This Row],[Core²-Retail Sales]]="",#N/A,((Tabela1511[[#This Row],[Core²-Retail Sales]]*1)/Q499)-1)</f>
        <v>7.7690087674904262E-3</v>
      </c>
      <c r="S500" s="8">
        <f>IF(Tabela1511[[#This Row],[Core²-Retail Sales]]="",#N/A,((Tabela1511[[#This Row],[Core²-Retail Sales]]*1)/Q488)-1)</f>
        <v>3.7332071848328985E-2</v>
      </c>
      <c r="T500" s="5">
        <v>98.2</v>
      </c>
      <c r="U500" s="7">
        <v>51.3</v>
      </c>
      <c r="V500" s="25">
        <v>50.7</v>
      </c>
      <c r="W500" s="25">
        <v>53.3</v>
      </c>
      <c r="X500" s="25">
        <v>55.2</v>
      </c>
      <c r="Y500" s="25">
        <v>56.1</v>
      </c>
      <c r="Z500" s="25">
        <v>56.5</v>
      </c>
      <c r="AA500" s="25">
        <f>IF([1]!Tabela1511[[#This Row],[Services New Orders]]="","",([1]!Tabela1511[[#This Row],[Manufacturing New Orders]]+[1]!Tabela1511[[#This Row],[Services New Orders]])/2)</f>
        <v>53.400000000000006</v>
      </c>
      <c r="AB500" s="25">
        <f>IF([1]!Tabela1511[[#This Row],[Services Employment]]="",#N/A,([1]!Tabela1511[[#This Row],[Manufacturing Employment]]+[1]!Tabela1511[[#This Row],[Services Employment]])/2)</f>
        <v>54.9</v>
      </c>
    </row>
    <row r="501" spans="1:28">
      <c r="A501" s="6">
        <v>43647</v>
      </c>
      <c r="B501" s="36">
        <v>13968.4</v>
      </c>
      <c r="C501" s="8">
        <f>IF(Tabela1511[[#This Row],[Real PCE]]="",#N/A,((Tabela1511[[#This Row],[Real PCE]]*1)/B500)-1)</f>
        <v>4.2633959062772231E-3</v>
      </c>
      <c r="D501" s="8">
        <f>IF(Tabela1511[[#This Row],[Real PCE]]="",#N/A,((Tabela1511[[#This Row],[Real PCE]]*1)/B489)-1)</f>
        <v>2.0880381795990388E-2</v>
      </c>
      <c r="E501" s="7">
        <v>102.0236</v>
      </c>
      <c r="F501" s="8">
        <f>IF(Tabela1511[[#This Row],[Industrial Production]]="",#N/A,((Tabela1511[[#This Row],[Industrial Production]]*1)/E500)-1)</f>
        <v>-4.5438889718243392E-3</v>
      </c>
      <c r="G501" s="8">
        <f>IF(Tabela1511[[#This Row],[Industrial Production]]="",#N/A,((Tabela1511[[#This Row],[Industrial Production]]*1)/E489)-1)</f>
        <v>-1.2675475693241456E-2</v>
      </c>
      <c r="H501" s="32">
        <v>517547</v>
      </c>
      <c r="I501" s="8">
        <f>IF(Tabela1511[[#This Row],[Retail Sales]]="",#N/A,((Tabela1511[[#This Row],[Retail Sales]]*1)/H500)-1)</f>
        <v>8.545059844649483E-3</v>
      </c>
      <c r="J501" s="8">
        <f>IF(Tabela1511[[#This Row],[Retail Sales]]="",#N/A,((Tabela1511[[#This Row],[Retail Sales]]*1)/H489)-1)</f>
        <v>3.0065221588206459E-2</v>
      </c>
      <c r="K501" s="32">
        <v>414239</v>
      </c>
      <c r="L501" s="8">
        <f>IF(Tabela1511[[#This Row],[Core-Retail Sales]]="",#N/A,((Tabela1511[[#This Row],[Core-Retail Sales]]*1)/K500)-1)</f>
        <v>9.5732261625938175E-3</v>
      </c>
      <c r="M501" s="8">
        <f>IF(Tabela1511[[#This Row],[Core-Retail Sales]]="",#N/A,((Tabela1511[[#This Row],[Core-Retail Sales]]*1)/K489)-1)</f>
        <v>3.182617532917198E-2</v>
      </c>
      <c r="N501" s="84">
        <v>202416</v>
      </c>
      <c r="O501" s="8">
        <f>IF(Tabela1511[[#This Row],[Real Retail Sales]]="",#N/A,((Tabela1511[[#This Row],[Real Retail Sales]]*1)/N500)-1)</f>
        <v>6.4689356835641032E-3</v>
      </c>
      <c r="P501" s="8">
        <f>IF(Tabela1511[[#This Row],[Real Retail Sales]]="",#N/A,((Tabela1511[[#This Row],[Real Retail Sales]]*1)/N489)-1)</f>
        <v>1.2054698632534278E-2</v>
      </c>
      <c r="Q501" s="32">
        <v>371662</v>
      </c>
      <c r="R501" s="8">
        <f>IF(Tabela1511[[#This Row],[Core²-Retail Sales]]="",#N/A,((Tabela1511[[#This Row],[Core²-Retail Sales]]*1)/Q500)-1)</f>
        <v>8.8681985368965766E-3</v>
      </c>
      <c r="S501" s="8">
        <f>IF(Tabela1511[[#This Row],[Core²-Retail Sales]]="",#N/A,((Tabela1511[[#This Row],[Core²-Retail Sales]]*1)/Q489)-1)</f>
        <v>3.8936860731327627E-2</v>
      </c>
      <c r="T501" s="5">
        <v>98.4</v>
      </c>
      <c r="U501" s="7">
        <v>51</v>
      </c>
      <c r="V501" s="25">
        <v>51.2</v>
      </c>
      <c r="W501" s="25">
        <v>50.7</v>
      </c>
      <c r="X501" s="25">
        <v>54.4</v>
      </c>
      <c r="Y501" s="25">
        <v>55</v>
      </c>
      <c r="Z501" s="25">
        <v>53.6</v>
      </c>
      <c r="AA501" s="25">
        <f>IF([1]!Tabela1511[[#This Row],[Services New Orders]]="","",([1]!Tabela1511[[#This Row],[Manufacturing New Orders]]+[1]!Tabela1511[[#This Row],[Services New Orders]])/2)</f>
        <v>53.1</v>
      </c>
      <c r="AB501" s="25">
        <f>IF([1]!Tabela1511[[#This Row],[Services Employment]]="",#N/A,([1]!Tabela1511[[#This Row],[Manufacturing Employment]]+[1]!Tabela1511[[#This Row],[Services Employment]])/2)</f>
        <v>52.150000000000006</v>
      </c>
    </row>
    <row r="502" spans="1:28">
      <c r="A502" s="6">
        <v>43678</v>
      </c>
      <c r="B502" s="36">
        <v>14013.2</v>
      </c>
      <c r="C502" s="8">
        <f>IF(Tabela1511[[#This Row],[Real PCE]]="",#N/A,((Tabela1511[[#This Row],[Real PCE]]*1)/B501)-1)</f>
        <v>3.2072391970447978E-3</v>
      </c>
      <c r="D502" s="8">
        <f>IF(Tabela1511[[#This Row],[Real PCE]]="",#N/A,((Tabela1511[[#This Row],[Real PCE]]*1)/B490)-1)</f>
        <v>2.200342777960107E-2</v>
      </c>
      <c r="E502" s="7">
        <v>102.7754</v>
      </c>
      <c r="F502" s="8">
        <f>IF(Tabela1511[[#This Row],[Industrial Production]]="",#N/A,((Tabela1511[[#This Row],[Industrial Production]]*1)/E501)-1)</f>
        <v>7.368883277986793E-3</v>
      </c>
      <c r="G502" s="8">
        <f>IF(Tabela1511[[#This Row],[Industrial Production]]="",#N/A,((Tabela1511[[#This Row],[Industrial Production]]*1)/E490)-1)</f>
        <v>-1.2541230026316019E-2</v>
      </c>
      <c r="H502" s="32">
        <v>521011</v>
      </c>
      <c r="I502" s="8">
        <f>IF(Tabela1511[[#This Row],[Retail Sales]]="",#N/A,((Tabela1511[[#This Row],[Retail Sales]]*1)/H501)-1)</f>
        <v>6.6931119299309394E-3</v>
      </c>
      <c r="J502" s="8">
        <f>IF(Tabela1511[[#This Row],[Retail Sales]]="",#N/A,((Tabela1511[[#This Row],[Retail Sales]]*1)/H490)-1)</f>
        <v>3.7713413905464455E-2</v>
      </c>
      <c r="K502" s="32">
        <v>415138</v>
      </c>
      <c r="L502" s="8">
        <f>IF(Tabela1511[[#This Row],[Core-Retail Sales]]="",#N/A,((Tabela1511[[#This Row],[Core-Retail Sales]]*1)/K501)-1)</f>
        <v>2.1702447138005621E-3</v>
      </c>
      <c r="M502" s="8">
        <f>IF(Tabela1511[[#This Row],[Core-Retail Sales]]="",#N/A,((Tabela1511[[#This Row],[Core-Retail Sales]]*1)/K490)-1)</f>
        <v>3.2953962985264873E-2</v>
      </c>
      <c r="N502" s="84">
        <v>203473</v>
      </c>
      <c r="O502" s="8">
        <f>IF(Tabela1511[[#This Row],[Real Retail Sales]]="",#N/A,((Tabela1511[[#This Row],[Real Retail Sales]]*1)/N501)-1)</f>
        <v>5.2219192158722283E-3</v>
      </c>
      <c r="P502" s="8">
        <f>IF(Tabela1511[[#This Row],[Real Retail Sales]]="",#N/A,((Tabela1511[[#This Row],[Real Retail Sales]]*1)/N490)-1)</f>
        <v>1.9899450133581853E-2</v>
      </c>
      <c r="Q502" s="32">
        <v>372527</v>
      </c>
      <c r="R502" s="8">
        <f>IF(Tabela1511[[#This Row],[Core²-Retail Sales]]="",#N/A,((Tabela1511[[#This Row],[Core²-Retail Sales]]*1)/Q501)-1)</f>
        <v>2.3273834828418938E-3</v>
      </c>
      <c r="S502" s="8">
        <f>IF(Tabela1511[[#This Row],[Core²-Retail Sales]]="",#N/A,((Tabela1511[[#This Row],[Core²-Retail Sales]]*1)/Q490)-1)</f>
        <v>4.1951959007406447E-2</v>
      </c>
      <c r="T502" s="5">
        <v>89.8</v>
      </c>
      <c r="U502" s="7">
        <v>48.4</v>
      </c>
      <c r="V502" s="25">
        <v>46.3</v>
      </c>
      <c r="W502" s="25">
        <v>47.5</v>
      </c>
      <c r="X502" s="25">
        <v>56</v>
      </c>
      <c r="Y502" s="25">
        <v>59.7</v>
      </c>
      <c r="Z502" s="25">
        <v>50.1</v>
      </c>
      <c r="AA502" s="25">
        <f>IF([1]!Tabela1511[[#This Row],[Services New Orders]]="","",([1]!Tabela1511[[#This Row],[Manufacturing New Orders]]+[1]!Tabela1511[[#This Row],[Services New Orders]])/2)</f>
        <v>53</v>
      </c>
      <c r="AB502" s="25">
        <f>IF([1]!Tabela1511[[#This Row],[Services Employment]]="",#N/A,([1]!Tabela1511[[#This Row],[Manufacturing Employment]]+[1]!Tabela1511[[#This Row],[Services Employment]])/2)</f>
        <v>48.8</v>
      </c>
    </row>
    <row r="503" spans="1:28">
      <c r="A503" s="6">
        <v>43709</v>
      </c>
      <c r="B503" s="36">
        <v>14029.7</v>
      </c>
      <c r="C503" s="8">
        <f>IF(Tabela1511[[#This Row],[Real PCE]]="",#N/A,((Tabela1511[[#This Row],[Real PCE]]*1)/B502)-1)</f>
        <v>1.1774612508206328E-3</v>
      </c>
      <c r="D503" s="8">
        <f>IF(Tabela1511[[#This Row],[Real PCE]]="",#N/A,((Tabela1511[[#This Row],[Real PCE]]*1)/B491)-1)</f>
        <v>2.5030868482001312E-2</v>
      </c>
      <c r="E503" s="7">
        <v>102.53149999999999</v>
      </c>
      <c r="F503" s="8">
        <f>IF(Tabela1511[[#This Row],[Industrial Production]]="",#N/A,((Tabela1511[[#This Row],[Industrial Production]]*1)/E502)-1)</f>
        <v>-2.3731359839028743E-3</v>
      </c>
      <c r="G503" s="8">
        <f>IF(Tabela1511[[#This Row],[Industrial Production]]="",#N/A,((Tabela1511[[#This Row],[Industrial Production]]*1)/E491)-1)</f>
        <v>-1.5238464781819894E-2</v>
      </c>
      <c r="H503" s="32">
        <v>518121</v>
      </c>
      <c r="I503" s="8">
        <f>IF(Tabela1511[[#This Row],[Retail Sales]]="",#N/A,((Tabela1511[[#This Row],[Retail Sales]]*1)/H502)-1)</f>
        <v>-5.5469078387980764E-3</v>
      </c>
      <c r="J503" s="8">
        <f>IF(Tabela1511[[#This Row],[Retail Sales]]="",#N/A,((Tabela1511[[#This Row],[Retail Sales]]*1)/H491)-1)</f>
        <v>3.6252362523625292E-2</v>
      </c>
      <c r="K503" s="32">
        <v>414775</v>
      </c>
      <c r="L503" s="8">
        <f>IF(Tabela1511[[#This Row],[Core-Retail Sales]]="",#N/A,((Tabela1511[[#This Row],[Core-Retail Sales]]*1)/K502)-1)</f>
        <v>-8.7440802817373431E-4</v>
      </c>
      <c r="M503" s="8">
        <f>IF(Tabela1511[[#This Row],[Core-Retail Sales]]="",#N/A,((Tabela1511[[#This Row],[Core-Retail Sales]]*1)/K491)-1)</f>
        <v>3.5676563783593407E-2</v>
      </c>
      <c r="N503" s="84">
        <v>201988</v>
      </c>
      <c r="O503" s="8">
        <f>IF(Tabela1511[[#This Row],[Real Retail Sales]]="",#N/A,((Tabela1511[[#This Row],[Real Retail Sales]]*1)/N502)-1)</f>
        <v>-7.2982656175512028E-3</v>
      </c>
      <c r="P503" s="8">
        <f>IF(Tabela1511[[#This Row],[Real Retail Sales]]="",#N/A,((Tabela1511[[#This Row],[Real Retail Sales]]*1)/N491)-1)</f>
        <v>1.8762483103677896E-2</v>
      </c>
      <c r="Q503" s="32">
        <v>372479</v>
      </c>
      <c r="R503" s="8">
        <f>IF(Tabela1511[[#This Row],[Core²-Retail Sales]]="",#N/A,((Tabela1511[[#This Row],[Core²-Retail Sales]]*1)/Q502)-1)</f>
        <v>-1.2884972095983382E-4</v>
      </c>
      <c r="S503" s="8">
        <f>IF(Tabela1511[[#This Row],[Core²-Retail Sales]]="",#N/A,((Tabela1511[[#This Row],[Core²-Retail Sales]]*1)/Q491)-1)</f>
        <v>4.4347309217130038E-2</v>
      </c>
      <c r="T503" s="5">
        <v>93.2</v>
      </c>
      <c r="U503" s="7">
        <v>48.3</v>
      </c>
      <c r="V503" s="25">
        <v>48.7</v>
      </c>
      <c r="W503" s="25">
        <v>46.2</v>
      </c>
      <c r="X503" s="25">
        <v>53.2</v>
      </c>
      <c r="Y503" s="25">
        <v>54.9</v>
      </c>
      <c r="Z503" s="25">
        <v>54.7</v>
      </c>
      <c r="AA503" s="25">
        <f>IF([1]!Tabela1511[[#This Row],[Services New Orders]]="","",([1]!Tabela1511[[#This Row],[Manufacturing New Orders]]+[1]!Tabela1511[[#This Row],[Services New Orders]])/2)</f>
        <v>51.8</v>
      </c>
      <c r="AB503" s="25">
        <f>IF([1]!Tabela1511[[#This Row],[Services Employment]]="",#N/A,([1]!Tabela1511[[#This Row],[Manufacturing Employment]]+[1]!Tabela1511[[#This Row],[Services Employment]])/2)</f>
        <v>50.45</v>
      </c>
    </row>
    <row r="504" spans="1:28">
      <c r="A504" s="6">
        <v>43739</v>
      </c>
      <c r="B504" s="36">
        <v>14029.1</v>
      </c>
      <c r="C504" s="8">
        <f>IF(Tabela1511[[#This Row],[Real PCE]]="",#N/A,((Tabela1511[[#This Row],[Real PCE]]*1)/B503)-1)</f>
        <v>-4.2766416958328612E-5</v>
      </c>
      <c r="D504" s="8">
        <f>IF(Tabela1511[[#This Row],[Real PCE]]="",#N/A,((Tabela1511[[#This Row],[Real PCE]]*1)/B492)-1)</f>
        <v>2.2000276824675202E-2</v>
      </c>
      <c r="E504" s="7">
        <v>101.6022</v>
      </c>
      <c r="F504" s="8">
        <f>IF(Tabela1511[[#This Row],[Industrial Production]]="",#N/A,((Tabela1511[[#This Row],[Industrial Production]]*1)/E503)-1)</f>
        <v>-9.063556077888224E-3</v>
      </c>
      <c r="G504" s="8">
        <f>IF(Tabela1511[[#This Row],[Industrial Production]]="",#N/A,((Tabela1511[[#This Row],[Industrial Production]]*1)/E492)-1)</f>
        <v>-2.2489000834137518E-2</v>
      </c>
      <c r="H504" s="32">
        <v>519530</v>
      </c>
      <c r="I504" s="8">
        <f>IF(Tabela1511[[#This Row],[Retail Sales]]="",#N/A,((Tabela1511[[#This Row],[Retail Sales]]*1)/H503)-1)</f>
        <v>2.7194419836293893E-3</v>
      </c>
      <c r="J504" s="8">
        <f>IF(Tabela1511[[#This Row],[Retail Sales]]="",#N/A,((Tabela1511[[#This Row],[Retail Sales]]*1)/H492)-1)</f>
        <v>2.8084173365153564E-2</v>
      </c>
      <c r="K504" s="32">
        <v>416230</v>
      </c>
      <c r="L504" s="8">
        <f>IF(Tabela1511[[#This Row],[Core-Retail Sales]]="",#N/A,((Tabela1511[[#This Row],[Core-Retail Sales]]*1)/K503)-1)</f>
        <v>3.5079259839672083E-3</v>
      </c>
      <c r="M504" s="8">
        <f>IF(Tabela1511[[#This Row],[Core-Retail Sales]]="",#N/A,((Tabela1511[[#This Row],[Core-Retail Sales]]*1)/K492)-1)</f>
        <v>2.72895775384836E-2</v>
      </c>
      <c r="N504" s="84">
        <v>201960</v>
      </c>
      <c r="O504" s="8">
        <f>IF(Tabela1511[[#This Row],[Real Retail Sales]]="",#N/A,((Tabela1511[[#This Row],[Real Retail Sales]]*1)/N503)-1)</f>
        <v>-1.3862209636217315E-4</v>
      </c>
      <c r="P504" s="8">
        <f>IF(Tabela1511[[#This Row],[Real Retail Sales]]="",#N/A,((Tabela1511[[#This Row],[Real Retail Sales]]*1)/N492)-1)</f>
        <v>1.0209134699553424E-2</v>
      </c>
      <c r="Q504" s="32">
        <v>373444</v>
      </c>
      <c r="R504" s="8">
        <f>IF(Tabela1511[[#This Row],[Core²-Retail Sales]]="",#N/A,((Tabela1511[[#This Row],[Core²-Retail Sales]]*1)/Q503)-1)</f>
        <v>2.5907500825550489E-3</v>
      </c>
      <c r="S504" s="8">
        <f>IF(Tabela1511[[#This Row],[Core²-Retail Sales]]="",#N/A,((Tabela1511[[#This Row],[Core²-Retail Sales]]*1)/Q492)-1)</f>
        <v>3.8319310908575321E-2</v>
      </c>
      <c r="T504" s="5">
        <v>95.5</v>
      </c>
      <c r="U504" s="7">
        <v>48.3</v>
      </c>
      <c r="V504" s="25">
        <v>48.5</v>
      </c>
      <c r="W504" s="25">
        <v>47</v>
      </c>
      <c r="X504" s="25">
        <v>54.8</v>
      </c>
      <c r="Y504" s="25">
        <v>56</v>
      </c>
      <c r="Z504" s="25">
        <v>55.1</v>
      </c>
      <c r="AA504" s="25">
        <f>IF([1]!Tabela1511[[#This Row],[Services New Orders]]="","",([1]!Tabela1511[[#This Row],[Manufacturing New Orders]]+[1]!Tabela1511[[#This Row],[Services New Orders]])/2)</f>
        <v>52.25</v>
      </c>
      <c r="AB504" s="25">
        <f>IF([1]!Tabela1511[[#This Row],[Services Employment]]="",#N/A,([1]!Tabela1511[[#This Row],[Manufacturing Employment]]+[1]!Tabela1511[[#This Row],[Services Employment]])/2)</f>
        <v>51.05</v>
      </c>
    </row>
    <row r="505" spans="1:28">
      <c r="A505" s="6">
        <v>43770</v>
      </c>
      <c r="B505" s="36">
        <v>14115.4</v>
      </c>
      <c r="C505" s="8">
        <f>IF(Tabela1511[[#This Row],[Real PCE]]="",#N/A,((Tabela1511[[#This Row],[Real PCE]]*1)/B504)-1)</f>
        <v>6.1514993834244081E-3</v>
      </c>
      <c r="D505" s="8">
        <f>IF(Tabela1511[[#This Row],[Real PCE]]="",#N/A,((Tabela1511[[#This Row],[Real PCE]]*1)/B493)-1)</f>
        <v>2.2832836967312309E-2</v>
      </c>
      <c r="E505" s="7">
        <v>102.148</v>
      </c>
      <c r="F505" s="8">
        <f>IF(Tabela1511[[#This Row],[Industrial Production]]="",#N/A,((Tabela1511[[#This Row],[Industrial Production]]*1)/E504)-1)</f>
        <v>5.3719309227555634E-3</v>
      </c>
      <c r="G505" s="8">
        <f>IF(Tabela1511[[#This Row],[Industrial Production]]="",#N/A,((Tabela1511[[#This Row],[Industrial Production]]*1)/E493)-1)</f>
        <v>-1.78143031729594E-2</v>
      </c>
      <c r="H505" s="32">
        <v>523313</v>
      </c>
      <c r="I505" s="8">
        <f>IF(Tabela1511[[#This Row],[Retail Sales]]="",#N/A,((Tabela1511[[#This Row],[Retail Sales]]*1)/H504)-1)</f>
        <v>7.2815814293687442E-3</v>
      </c>
      <c r="J505" s="8">
        <f>IF(Tabela1511[[#This Row],[Retail Sales]]="",#N/A,((Tabela1511[[#This Row],[Retail Sales]]*1)/H493)-1)</f>
        <v>3.2026946810419732E-2</v>
      </c>
      <c r="K505" s="32">
        <v>417186</v>
      </c>
      <c r="L505" s="8">
        <f>IF(Tabela1511[[#This Row],[Core-Retail Sales]]="",#N/A,((Tabela1511[[#This Row],[Core-Retail Sales]]*1)/K504)-1)</f>
        <v>2.2968070537923158E-3</v>
      </c>
      <c r="M505" s="8">
        <f>IF(Tabela1511[[#This Row],[Core-Retail Sales]]="",#N/A,((Tabela1511[[#This Row],[Core-Retail Sales]]*1)/K493)-1)</f>
        <v>2.8050556550838657E-2</v>
      </c>
      <c r="N505" s="84">
        <v>202989</v>
      </c>
      <c r="O505" s="8">
        <f>IF(Tabela1511[[#This Row],[Real Retail Sales]]="",#N/A,((Tabela1511[[#This Row],[Real Retail Sales]]*1)/N504)-1)</f>
        <v>5.095068330362551E-3</v>
      </c>
      <c r="P505" s="8">
        <f>IF(Tabela1511[[#This Row],[Real Retail Sales]]="",#N/A,((Tabela1511[[#This Row],[Real Retail Sales]]*1)/N493)-1)</f>
        <v>1.1173323503332666E-2</v>
      </c>
      <c r="Q505" s="32">
        <v>374519</v>
      </c>
      <c r="R505" s="8">
        <f>IF(Tabela1511[[#This Row],[Core²-Retail Sales]]="",#N/A,((Tabela1511[[#This Row],[Core²-Retail Sales]]*1)/Q504)-1)</f>
        <v>2.8786109831728801E-3</v>
      </c>
      <c r="S505" s="8">
        <f>IF(Tabela1511[[#This Row],[Core²-Retail Sales]]="",#N/A,((Tabela1511[[#This Row],[Core²-Retail Sales]]*1)/Q493)-1)</f>
        <v>3.293075440110993E-2</v>
      </c>
      <c r="T505" s="5">
        <v>96.8</v>
      </c>
      <c r="U505" s="7">
        <v>48.2</v>
      </c>
      <c r="V505" s="25">
        <v>47</v>
      </c>
      <c r="W505" s="25">
        <v>46.5</v>
      </c>
      <c r="X505" s="25">
        <v>53.6</v>
      </c>
      <c r="Y505" s="25">
        <v>55.6</v>
      </c>
      <c r="Z505" s="25">
        <v>55.2</v>
      </c>
      <c r="AA505" s="25">
        <f>IF([1]!Tabela1511[[#This Row],[Services New Orders]]="","",([1]!Tabela1511[[#This Row],[Manufacturing New Orders]]+[1]!Tabela1511[[#This Row],[Services New Orders]])/2)</f>
        <v>51.3</v>
      </c>
      <c r="AB505" s="25">
        <f>IF([1]!Tabela1511[[#This Row],[Services Employment]]="",#N/A,([1]!Tabela1511[[#This Row],[Manufacturing Employment]]+[1]!Tabela1511[[#This Row],[Services Employment]])/2)</f>
        <v>50.85</v>
      </c>
    </row>
    <row r="506" spans="1:28">
      <c r="A506" s="6">
        <v>43800</v>
      </c>
      <c r="B506" s="36">
        <v>14137.1</v>
      </c>
      <c r="C506" s="8">
        <f>IF(Tabela1511[[#This Row],[Real PCE]]="",#N/A,((Tabela1511[[#This Row],[Real PCE]]*1)/B505)-1)</f>
        <v>1.5373280247106269E-3</v>
      </c>
      <c r="D506" s="8">
        <f>IF(Tabela1511[[#This Row],[Real PCE]]="",#N/A,((Tabela1511[[#This Row],[Real PCE]]*1)/B494)-1)</f>
        <v>3.3240025434320364E-2</v>
      </c>
      <c r="E506" s="7">
        <v>101.884</v>
      </c>
      <c r="F506" s="8">
        <f>IF(Tabela1511[[#This Row],[Industrial Production]]="",#N/A,((Tabela1511[[#This Row],[Industrial Production]]*1)/E505)-1)</f>
        <v>-2.5844852566863086E-3</v>
      </c>
      <c r="G506" s="8">
        <f>IF(Tabela1511[[#This Row],[Industrial Production]]="",#N/A,((Tabela1511[[#This Row],[Industrial Production]]*1)/E494)-1)</f>
        <v>-2.0295284562852345E-2</v>
      </c>
      <c r="H506" s="32">
        <v>525405</v>
      </c>
      <c r="I506" s="8">
        <f>IF(Tabela1511[[#This Row],[Retail Sales]]="",#N/A,((Tabela1511[[#This Row],[Retail Sales]]*1)/H505)-1)</f>
        <v>3.9976075503571629E-3</v>
      </c>
      <c r="J506" s="8">
        <f>IF(Tabela1511[[#This Row],[Retail Sales]]="",#N/A,((Tabela1511[[#This Row],[Retail Sales]]*1)/H494)-1)</f>
        <v>5.7827628487385319E-2</v>
      </c>
      <c r="K506" s="32">
        <v>420992</v>
      </c>
      <c r="L506" s="8">
        <f>IF(Tabela1511[[#This Row],[Core-Retail Sales]]="",#N/A,((Tabela1511[[#This Row],[Core-Retail Sales]]*1)/K505)-1)</f>
        <v>9.1230290565837979E-3</v>
      </c>
      <c r="M506" s="8">
        <f>IF(Tabela1511[[#This Row],[Core-Retail Sales]]="",#N/A,((Tabela1511[[#This Row],[Core-Retail Sales]]*1)/K494)-1)</f>
        <v>6.7659448204852479E-2</v>
      </c>
      <c r="N506" s="84">
        <v>203160</v>
      </c>
      <c r="O506" s="8">
        <f>IF(Tabela1511[[#This Row],[Real Retail Sales]]="",#N/A,((Tabela1511[[#This Row],[Real Retail Sales]]*1)/N505)-1)</f>
        <v>8.4241017986186328E-4</v>
      </c>
      <c r="P506" s="8">
        <f>IF(Tabela1511[[#This Row],[Real Retail Sales]]="",#N/A,((Tabela1511[[#This Row],[Real Retail Sales]]*1)/N494)-1)</f>
        <v>3.3903652963388931E-2</v>
      </c>
      <c r="Q506" s="32">
        <v>377012</v>
      </c>
      <c r="R506" s="8">
        <f>IF(Tabela1511[[#This Row],[Core²-Retail Sales]]="",#N/A,((Tabela1511[[#This Row],[Core²-Retail Sales]]*1)/Q505)-1)</f>
        <v>6.6565381195613504E-3</v>
      </c>
      <c r="S506" s="8">
        <f>IF(Tabela1511[[#This Row],[Core²-Retail Sales]]="",#N/A,((Tabela1511[[#This Row],[Core²-Retail Sales]]*1)/Q494)-1)</f>
        <v>6.6159149588396415E-2</v>
      </c>
      <c r="T506" s="5">
        <v>99.3</v>
      </c>
      <c r="U506" s="7">
        <v>47.7</v>
      </c>
      <c r="V506" s="25">
        <v>47.5</v>
      </c>
      <c r="W506" s="25">
        <v>45.4</v>
      </c>
      <c r="X506" s="25">
        <v>55.7</v>
      </c>
      <c r="Y506" s="25">
        <v>56.7</v>
      </c>
      <c r="Z506" s="25">
        <v>54</v>
      </c>
      <c r="AA506" s="25">
        <f>IF([1]!Tabela1511[[#This Row],[Services New Orders]]="","",([1]!Tabela1511[[#This Row],[Manufacturing New Orders]]+[1]!Tabela1511[[#This Row],[Services New Orders]])/2)</f>
        <v>52.1</v>
      </c>
      <c r="AB506" s="25">
        <f>IF([1]!Tabela1511[[#This Row],[Services Employment]]="",#N/A,([1]!Tabela1511[[#This Row],[Manufacturing Employment]]+[1]!Tabela1511[[#This Row],[Services Employment]])/2)</f>
        <v>49.7</v>
      </c>
    </row>
    <row r="507" spans="1:28">
      <c r="A507" s="6">
        <v>43831</v>
      </c>
      <c r="B507" s="36">
        <v>14184.8</v>
      </c>
      <c r="C507" s="8">
        <f>IF(Tabela1511[[#This Row],[Real PCE]]="",#N/A,((Tabela1511[[#This Row],[Real PCE]]*1)/B506)-1)</f>
        <v>3.3741007703134152E-3</v>
      </c>
      <c r="D507" s="8">
        <f>IF(Tabela1511[[#This Row],[Real PCE]]="",#N/A,((Tabela1511[[#This Row],[Real PCE]]*1)/B495)-1)</f>
        <v>3.4141362592498004E-2</v>
      </c>
      <c r="E507" s="7">
        <v>101.3768</v>
      </c>
      <c r="F507" s="8">
        <f>IF(Tabela1511[[#This Row],[Industrial Production]]="",#N/A,((Tabela1511[[#This Row],[Industrial Production]]*1)/E506)-1)</f>
        <v>-4.9782105139177801E-3</v>
      </c>
      <c r="G507" s="8">
        <f>IF(Tabela1511[[#This Row],[Industrial Production]]="",#N/A,((Tabela1511[[#This Row],[Industrial Production]]*1)/E495)-1)</f>
        <v>-1.9310651717566518E-2</v>
      </c>
      <c r="H507" s="32">
        <v>524991</v>
      </c>
      <c r="I507" s="8">
        <f>IF(Tabela1511[[#This Row],[Retail Sales]]="",#N/A,((Tabela1511[[#This Row],[Retail Sales]]*1)/H506)-1)</f>
        <v>-7.8796357095956004E-4</v>
      </c>
      <c r="J507" s="8">
        <f>IF(Tabela1511[[#This Row],[Retail Sales]]="",#N/A,((Tabela1511[[#This Row],[Retail Sales]]*1)/H495)-1)</f>
        <v>5.0740634738281054E-2</v>
      </c>
      <c r="K507" s="32">
        <v>422721</v>
      </c>
      <c r="L507" s="8">
        <f>IF(Tabela1511[[#This Row],[Core-Retail Sales]]="",#N/A,((Tabela1511[[#This Row],[Core-Retail Sales]]*1)/K506)-1)</f>
        <v>4.1069664031621045E-3</v>
      </c>
      <c r="M507" s="8">
        <f>IF(Tabela1511[[#This Row],[Core-Retail Sales]]="",#N/A,((Tabela1511[[#This Row],[Core-Retail Sales]]*1)/K495)-1)</f>
        <v>5.5857507530759909E-2</v>
      </c>
      <c r="N507" s="84">
        <v>202670</v>
      </c>
      <c r="O507" s="8">
        <f>IF(Tabela1511[[#This Row],[Real Retail Sales]]="",#N/A,((Tabela1511[[#This Row],[Real Retail Sales]]*1)/N506)-1)</f>
        <v>-2.411892104745017E-3</v>
      </c>
      <c r="P507" s="8">
        <f>IF(Tabela1511[[#This Row],[Real Retail Sales]]="",#N/A,((Tabela1511[[#This Row],[Real Retail Sales]]*1)/N495)-1)</f>
        <v>2.5107988629581302E-2</v>
      </c>
      <c r="Q507" s="32">
        <v>379530</v>
      </c>
      <c r="R507" s="8">
        <f>IF(Tabela1511[[#This Row],[Core²-Retail Sales]]="",#N/A,((Tabela1511[[#This Row],[Core²-Retail Sales]]*1)/Q506)-1)</f>
        <v>6.6788325040052499E-3</v>
      </c>
      <c r="S507" s="8">
        <f>IF(Tabela1511[[#This Row],[Core²-Retail Sales]]="",#N/A,((Tabela1511[[#This Row],[Core²-Retail Sales]]*1)/Q495)-1)</f>
        <v>5.2271145651094919E-2</v>
      </c>
      <c r="T507" s="5">
        <v>99.8</v>
      </c>
      <c r="U507" s="7">
        <v>51.1</v>
      </c>
      <c r="V507" s="25">
        <v>51.8</v>
      </c>
      <c r="W507" s="25">
        <v>46.8</v>
      </c>
      <c r="X507" s="25">
        <v>56</v>
      </c>
      <c r="Y507" s="25">
        <v>56.7</v>
      </c>
      <c r="Z507" s="25">
        <v>56.2</v>
      </c>
      <c r="AA507" s="25">
        <f>IF([1]!Tabela1511[[#This Row],[Services New Orders]]="","",([1]!Tabela1511[[#This Row],[Manufacturing New Orders]]+[1]!Tabela1511[[#This Row],[Services New Orders]])/2)</f>
        <v>54.25</v>
      </c>
      <c r="AB507" s="25">
        <f>IF([1]!Tabela1511[[#This Row],[Services Employment]]="",#N/A,([1]!Tabela1511[[#This Row],[Manufacturing Employment]]+[1]!Tabela1511[[#This Row],[Services Employment]])/2)</f>
        <v>51.5</v>
      </c>
    </row>
    <row r="508" spans="1:28">
      <c r="A508" s="6">
        <v>43862</v>
      </c>
      <c r="B508" s="36">
        <v>14167.8</v>
      </c>
      <c r="C508" s="8">
        <f>IF(Tabela1511[[#This Row],[Real PCE]]="",#N/A,((Tabela1511[[#This Row],[Real PCE]]*1)/B507)-1)</f>
        <v>-1.1984659635666528E-3</v>
      </c>
      <c r="D508" s="8">
        <f>IF(Tabela1511[[#This Row],[Real PCE]]="",#N/A,((Tabela1511[[#This Row],[Real PCE]]*1)/B496)-1)</f>
        <v>3.2405214565222051E-2</v>
      </c>
      <c r="E508" s="7">
        <v>101.633</v>
      </c>
      <c r="F508" s="8">
        <f>IF(Tabela1511[[#This Row],[Industrial Production]]="",#N/A,((Tabela1511[[#This Row],[Industrial Production]]*1)/E507)-1)</f>
        <v>2.5272054355631735E-3</v>
      </c>
      <c r="G508" s="8">
        <f>IF(Tabela1511[[#This Row],[Industrial Production]]="",#N/A,((Tabela1511[[#This Row],[Industrial Production]]*1)/E496)-1)</f>
        <v>-1.1632882488631702E-2</v>
      </c>
      <c r="H508" s="32">
        <v>525359</v>
      </c>
      <c r="I508" s="8">
        <f>IF(Tabela1511[[#This Row],[Retail Sales]]="",#N/A,((Tabela1511[[#This Row],[Retail Sales]]*1)/H507)-1)</f>
        <v>7.0096439748490447E-4</v>
      </c>
      <c r="J508" s="8">
        <f>IF(Tabela1511[[#This Row],[Retail Sales]]="",#N/A,((Tabela1511[[#This Row],[Retail Sales]]*1)/H496)-1)</f>
        <v>4.9521545438200532E-2</v>
      </c>
      <c r="K508" s="32">
        <v>422341</v>
      </c>
      <c r="L508" s="8">
        <f>IF(Tabela1511[[#This Row],[Core-Retail Sales]]="",#N/A,((Tabela1511[[#This Row],[Core-Retail Sales]]*1)/K507)-1)</f>
        <v>-8.9893807026386607E-4</v>
      </c>
      <c r="M508" s="8">
        <f>IF(Tabela1511[[#This Row],[Core-Retail Sales]]="",#N/A,((Tabela1511[[#This Row],[Core-Retail Sales]]*1)/K496)-1)</f>
        <v>5.615878604795399E-2</v>
      </c>
      <c r="N508" s="84">
        <v>202647</v>
      </c>
      <c r="O508" s="8">
        <f>IF(Tabela1511[[#This Row],[Real Retail Sales]]="",#N/A,((Tabela1511[[#This Row],[Real Retail Sales]]*1)/N507)-1)</f>
        <v>-1.1348497557606141E-4</v>
      </c>
      <c r="P508" s="8">
        <f>IF(Tabela1511[[#This Row],[Real Retail Sales]]="",#N/A,((Tabela1511[[#This Row],[Real Retail Sales]]*1)/N496)-1)</f>
        <v>2.5531118106091988E-2</v>
      </c>
      <c r="Q508" s="32">
        <v>380933</v>
      </c>
      <c r="R508" s="8">
        <f>IF(Tabela1511[[#This Row],[Core²-Retail Sales]]="",#N/A,((Tabela1511[[#This Row],[Core²-Retail Sales]]*1)/Q507)-1)</f>
        <v>3.6966774695017524E-3</v>
      </c>
      <c r="S508" s="8">
        <f>IF(Tabela1511[[#This Row],[Core²-Retail Sales]]="",#N/A,((Tabela1511[[#This Row],[Core²-Retail Sales]]*1)/Q496)-1)</f>
        <v>6.2328665887674495E-2</v>
      </c>
      <c r="T508" s="5">
        <v>101</v>
      </c>
      <c r="U508" s="7">
        <v>50.3</v>
      </c>
      <c r="V508" s="25">
        <v>49.5</v>
      </c>
      <c r="W508" s="25">
        <v>46.9</v>
      </c>
      <c r="X508" s="25">
        <v>57.5</v>
      </c>
      <c r="Y508" s="25">
        <v>60.9</v>
      </c>
      <c r="Z508" s="25">
        <v>46.5</v>
      </c>
      <c r="AA508" s="25">
        <f>IF([1]!Tabela1511[[#This Row],[Services New Orders]]="","",([1]!Tabela1511[[#This Row],[Manufacturing New Orders]]+[1]!Tabela1511[[#This Row],[Services New Orders]])/2)</f>
        <v>55.2</v>
      </c>
      <c r="AB508" s="25">
        <f>IF([1]!Tabela1511[[#This Row],[Services Employment]]="",#N/A,([1]!Tabela1511[[#This Row],[Manufacturing Employment]]+[1]!Tabela1511[[#This Row],[Services Employment]])/2)</f>
        <v>46.7</v>
      </c>
    </row>
    <row r="509" spans="1:28">
      <c r="A509" s="6">
        <v>43891</v>
      </c>
      <c r="B509" s="36">
        <v>13234.3</v>
      </c>
      <c r="C509" s="8">
        <f>IF(Tabela1511[[#This Row],[Real PCE]]="",#N/A,((Tabela1511[[#This Row],[Real PCE]]*1)/B508)-1)</f>
        <v>-6.5888846539335688E-2</v>
      </c>
      <c r="D509" s="8">
        <f>IF(Tabela1511[[#This Row],[Real PCE]]="",#N/A,((Tabela1511[[#This Row],[Real PCE]]*1)/B497)-1)</f>
        <v>-4.2255865452808683E-2</v>
      </c>
      <c r="E509" s="7">
        <v>97.667199999999994</v>
      </c>
      <c r="F509" s="8">
        <f>IF(Tabela1511[[#This Row],[Industrial Production]]="",#N/A,((Tabela1511[[#This Row],[Industrial Production]]*1)/E508)-1)</f>
        <v>-3.9020790491277491E-2</v>
      </c>
      <c r="G509" s="8">
        <f>IF(Tabela1511[[#This Row],[Industrial Production]]="",#N/A,((Tabela1511[[#This Row],[Industrial Production]]*1)/E497)-1)</f>
        <v>-5.0194206670128749E-2</v>
      </c>
      <c r="H509" s="32">
        <v>478099</v>
      </c>
      <c r="I509" s="8">
        <f>IF(Tabela1511[[#This Row],[Retail Sales]]="",#N/A,((Tabela1511[[#This Row],[Retail Sales]]*1)/H508)-1)</f>
        <v>-8.9957533800696265E-2</v>
      </c>
      <c r="J509" s="8">
        <f>IF(Tabela1511[[#This Row],[Retail Sales]]="",#N/A,((Tabela1511[[#This Row],[Retail Sales]]*1)/H497)-1)</f>
        <v>-5.96044075357689E-2</v>
      </c>
      <c r="K509" s="32">
        <v>402080</v>
      </c>
      <c r="L509" s="8">
        <f>IF(Tabela1511[[#This Row],[Core-Retail Sales]]="",#N/A,((Tabela1511[[#This Row],[Core-Retail Sales]]*1)/K508)-1)</f>
        <v>-4.797308336154904E-2</v>
      </c>
      <c r="M509" s="8">
        <f>IF(Tabela1511[[#This Row],[Core-Retail Sales]]="",#N/A,((Tabela1511[[#This Row],[Core-Retail Sales]]*1)/K497)-1)</f>
        <v>-7.192716911156527E-3</v>
      </c>
      <c r="N509" s="84">
        <v>185221</v>
      </c>
      <c r="O509" s="8">
        <f>IF(Tabela1511[[#This Row],[Real Retail Sales]]="",#N/A,((Tabela1511[[#This Row],[Real Retail Sales]]*1)/N508)-1)</f>
        <v>-8.5991897240028203E-2</v>
      </c>
      <c r="P509" s="8">
        <f>IF(Tabela1511[[#This Row],[Real Retail Sales]]="",#N/A,((Tabela1511[[#This Row],[Real Retail Sales]]*1)/N497)-1)</f>
        <v>-7.3890369451847238E-2</v>
      </c>
      <c r="Q509" s="32">
        <v>367133</v>
      </c>
      <c r="R509" s="8">
        <f>IF(Tabela1511[[#This Row],[Core²-Retail Sales]]="",#N/A,((Tabela1511[[#This Row],[Core²-Retail Sales]]*1)/Q508)-1)</f>
        <v>-3.6226843040639722E-2</v>
      </c>
      <c r="S509" s="8">
        <f>IF(Tabela1511[[#This Row],[Core²-Retail Sales]]="",#N/A,((Tabela1511[[#This Row],[Core²-Retail Sales]]*1)/Q497)-1)</f>
        <v>1.3938677551741829E-2</v>
      </c>
      <c r="T509" s="5">
        <v>89.1</v>
      </c>
      <c r="U509" s="7">
        <v>49.7</v>
      </c>
      <c r="V509" s="25">
        <v>43.2</v>
      </c>
      <c r="W509" s="25">
        <v>44.6</v>
      </c>
      <c r="X509" s="25">
        <v>52.9</v>
      </c>
      <c r="Y509" s="25">
        <v>54.1</v>
      </c>
      <c r="Z509" s="25">
        <v>29.3</v>
      </c>
      <c r="AA509" s="25">
        <f>IF([1]!Tabela1511[[#This Row],[Services New Orders]]="","",([1]!Tabela1511[[#This Row],[Manufacturing New Orders]]+[1]!Tabela1511[[#This Row],[Services New Orders]])/2)</f>
        <v>48.650000000000006</v>
      </c>
      <c r="AB509" s="25">
        <f>IF([1]!Tabela1511[[#This Row],[Services Employment]]="",#N/A,([1]!Tabela1511[[#This Row],[Manufacturing Employment]]+[1]!Tabela1511[[#This Row],[Services Employment]])/2)</f>
        <v>36.950000000000003</v>
      </c>
    </row>
    <row r="510" spans="1:28">
      <c r="A510" s="6">
        <v>43922</v>
      </c>
      <c r="B510" s="36">
        <v>11783.3</v>
      </c>
      <c r="C510" s="8">
        <f>IF(Tabela1511[[#This Row],[Real PCE]]="",#N/A,((Tabela1511[[#This Row],[Real PCE]]*1)/B509)-1)</f>
        <v>-0.109639346244229</v>
      </c>
      <c r="D510" s="8">
        <f>IF(Tabela1511[[#This Row],[Real PCE]]="",#N/A,((Tabela1511[[#This Row],[Real PCE]]*1)/B498)-1)</f>
        <v>-0.14694746291563809</v>
      </c>
      <c r="E510" s="7">
        <v>84.597899999999996</v>
      </c>
      <c r="F510" s="8">
        <f>IF(Tabela1511[[#This Row],[Industrial Production]]="",#N/A,((Tabela1511[[#This Row],[Industrial Production]]*1)/E509)-1)</f>
        <v>-0.13381462763343266</v>
      </c>
      <c r="G510" s="8">
        <f>IF(Tabela1511[[#This Row],[Industrial Production]]="",#N/A,((Tabela1511[[#This Row],[Industrial Production]]*1)/E498)-1)</f>
        <v>-0.17262130054250391</v>
      </c>
      <c r="H510" s="32">
        <v>408187</v>
      </c>
      <c r="I510" s="8">
        <f>IF(Tabela1511[[#This Row],[Retail Sales]]="",#N/A,((Tabela1511[[#This Row],[Retail Sales]]*1)/H509)-1)</f>
        <v>-0.14622912827677947</v>
      </c>
      <c r="J510" s="8">
        <f>IF(Tabela1511[[#This Row],[Retail Sales]]="",#N/A,((Tabela1511[[#This Row],[Retail Sales]]*1)/H498)-1)</f>
        <v>-0.1975674628995826</v>
      </c>
      <c r="K510" s="32">
        <v>343010</v>
      </c>
      <c r="L510" s="8">
        <f>IF(Tabela1511[[#This Row],[Core-Retail Sales]]="",#N/A,((Tabela1511[[#This Row],[Core-Retail Sales]]*1)/K509)-1)</f>
        <v>-0.14691106247512931</v>
      </c>
      <c r="M510" s="8">
        <f>IF(Tabela1511[[#This Row],[Core-Retail Sales]]="",#N/A,((Tabela1511[[#This Row],[Core-Retail Sales]]*1)/K498)-1)</f>
        <v>-0.15816677138144974</v>
      </c>
      <c r="N510" s="84">
        <v>159391</v>
      </c>
      <c r="O510" s="8">
        <f>IF(Tabela1511[[#This Row],[Real Retail Sales]]="",#N/A,((Tabela1511[[#This Row],[Real Retail Sales]]*1)/N509)-1)</f>
        <v>-0.13945502939731458</v>
      </c>
      <c r="P510" s="8">
        <f>IF(Tabela1511[[#This Row],[Real Retail Sales]]="",#N/A,((Tabela1511[[#This Row],[Real Retail Sales]]*1)/N498)-1)</f>
        <v>-0.20032610876981738</v>
      </c>
      <c r="Q510" s="32">
        <v>316062</v>
      </c>
      <c r="R510" s="8">
        <f>IF(Tabela1511[[#This Row],[Core²-Retail Sales]]="",#N/A,((Tabela1511[[#This Row],[Core²-Retail Sales]]*1)/Q509)-1)</f>
        <v>-0.13910762584676395</v>
      </c>
      <c r="S510" s="8">
        <f>IF(Tabela1511[[#This Row],[Core²-Retail Sales]]="",#N/A,((Tabela1511[[#This Row],[Core²-Retail Sales]]*1)/Q498)-1)</f>
        <v>-0.12937294093017615</v>
      </c>
      <c r="T510" s="5">
        <v>71.8</v>
      </c>
      <c r="U510" s="7">
        <v>41.7</v>
      </c>
      <c r="V510" s="25">
        <v>27.3</v>
      </c>
      <c r="W510" s="25">
        <v>28.2</v>
      </c>
      <c r="X510" s="25">
        <v>41.7</v>
      </c>
      <c r="Y510" s="25">
        <v>33</v>
      </c>
      <c r="Z510" s="25">
        <v>31.9</v>
      </c>
      <c r="AA510" s="25">
        <f>IF([1]!Tabela1511[[#This Row],[Services New Orders]]="","",([1]!Tabela1511[[#This Row],[Manufacturing New Orders]]+[1]!Tabela1511[[#This Row],[Services New Orders]])/2)</f>
        <v>30.15</v>
      </c>
      <c r="AB510" s="25">
        <f>IF([1]!Tabela1511[[#This Row],[Services Employment]]="",#N/A,([1]!Tabela1511[[#This Row],[Manufacturing Employment]]+[1]!Tabela1511[[#This Row],[Services Employment]])/2)</f>
        <v>30.049999999999997</v>
      </c>
    </row>
    <row r="511" spans="1:28">
      <c r="A511" s="6">
        <v>43952</v>
      </c>
      <c r="B511" s="36">
        <v>12758</v>
      </c>
      <c r="C511" s="8">
        <f>IF(Tabela1511[[#This Row],[Real PCE]]="",#N/A,((Tabela1511[[#This Row],[Real PCE]]*1)/B510)-1)</f>
        <v>8.2718762995086292E-2</v>
      </c>
      <c r="D511" s="8">
        <f>IF(Tabela1511[[#This Row],[Real PCE]]="",#N/A,((Tabela1511[[#This Row],[Real PCE]]*1)/B499)-1)</f>
        <v>-7.9914323421870659E-2</v>
      </c>
      <c r="E511" s="7">
        <v>85.973200000000006</v>
      </c>
      <c r="F511" s="8">
        <f>IF(Tabela1511[[#This Row],[Industrial Production]]="",#N/A,((Tabela1511[[#This Row],[Industrial Production]]*1)/E510)-1)</f>
        <v>1.625690472222141E-2</v>
      </c>
      <c r="G511" s="8">
        <f>IF(Tabela1511[[#This Row],[Industrial Production]]="",#N/A,((Tabela1511[[#This Row],[Industrial Production]]*1)/E499)-1)</f>
        <v>-0.16057536086983693</v>
      </c>
      <c r="H511" s="32">
        <v>485791</v>
      </c>
      <c r="I511" s="8">
        <f>IF(Tabela1511[[#This Row],[Retail Sales]]="",#N/A,((Tabela1511[[#This Row],[Retail Sales]]*1)/H510)-1)</f>
        <v>0.19011874459500189</v>
      </c>
      <c r="J511" s="8">
        <f>IF(Tabela1511[[#This Row],[Retail Sales]]="",#N/A,((Tabela1511[[#This Row],[Retail Sales]]*1)/H499)-1)</f>
        <v>-5.1808000249837005E-2</v>
      </c>
      <c r="K511" s="32">
        <v>387090</v>
      </c>
      <c r="L511" s="8">
        <f>IF(Tabela1511[[#This Row],[Core-Retail Sales]]="",#N/A,((Tabela1511[[#This Row],[Core-Retail Sales]]*1)/K510)-1)</f>
        <v>0.12850937290458009</v>
      </c>
      <c r="M511" s="8">
        <f>IF(Tabela1511[[#This Row],[Core-Retail Sales]]="",#N/A,((Tabela1511[[#This Row],[Core-Retail Sales]]*1)/K499)-1)</f>
        <v>-5.4122407688416807E-2</v>
      </c>
      <c r="N511" s="84">
        <v>189860</v>
      </c>
      <c r="O511" s="8">
        <f>IF(Tabela1511[[#This Row],[Real Retail Sales]]="",#N/A,((Tabela1511[[#This Row],[Real Retail Sales]]*1)/N510)-1)</f>
        <v>0.19115884836659536</v>
      </c>
      <c r="P511" s="8">
        <f>IF(Tabela1511[[#This Row],[Real Retail Sales]]="",#N/A,((Tabela1511[[#This Row],[Real Retail Sales]]*1)/N499)-1)</f>
        <v>-5.3949682839446456E-2</v>
      </c>
      <c r="Q511" s="32">
        <v>357243</v>
      </c>
      <c r="R511" s="8">
        <f>IF(Tabela1511[[#This Row],[Core²-Retail Sales]]="",#N/A,((Tabela1511[[#This Row],[Core²-Retail Sales]]*1)/Q510)-1)</f>
        <v>0.13029405622947388</v>
      </c>
      <c r="S511" s="8">
        <f>IF(Tabela1511[[#This Row],[Core²-Retail Sales]]="",#N/A,((Tabela1511[[#This Row],[Core²-Retail Sales]]*1)/Q499)-1)</f>
        <v>-2.273802847724693E-2</v>
      </c>
      <c r="T511" s="5">
        <v>72.3</v>
      </c>
      <c r="U511" s="7">
        <v>43.1</v>
      </c>
      <c r="V511" s="25">
        <v>31.9</v>
      </c>
      <c r="W511" s="25">
        <v>32.799999999999997</v>
      </c>
      <c r="X511" s="25">
        <v>45.4</v>
      </c>
      <c r="Y511" s="25">
        <v>41.3</v>
      </c>
      <c r="Z511" s="25">
        <v>43.8</v>
      </c>
      <c r="AA511" s="25">
        <f>IF([1]!Tabela1511[[#This Row],[Services New Orders]]="","",([1]!Tabela1511[[#This Row],[Manufacturing New Orders]]+[1]!Tabela1511[[#This Row],[Services New Orders]])/2)</f>
        <v>36.599999999999994</v>
      </c>
      <c r="AB511" s="25">
        <f>IF([1]!Tabela1511[[#This Row],[Services Employment]]="",#N/A,([1]!Tabela1511[[#This Row],[Manufacturing Employment]]+[1]!Tabela1511[[#This Row],[Services Employment]])/2)</f>
        <v>38.299999999999997</v>
      </c>
    </row>
    <row r="512" spans="1:28">
      <c r="A512" s="6">
        <v>43983</v>
      </c>
      <c r="B512" s="36">
        <v>13464.8</v>
      </c>
      <c r="C512" s="8">
        <f>IF(Tabela1511[[#This Row],[Real PCE]]="",#N/A,((Tabela1511[[#This Row],[Real PCE]]*1)/B511)-1)</f>
        <v>5.5400532998902685E-2</v>
      </c>
      <c r="D512" s="8">
        <f>IF(Tabela1511[[#This Row],[Real PCE]]="",#N/A,((Tabela1511[[#This Row],[Real PCE]]*1)/B500)-1)</f>
        <v>-3.1943116377048164E-2</v>
      </c>
      <c r="E512" s="7">
        <v>91.5625</v>
      </c>
      <c r="F512" s="8">
        <f>IF(Tabela1511[[#This Row],[Industrial Production]]="",#N/A,((Tabela1511[[#This Row],[Industrial Production]]*1)/E511)-1)</f>
        <v>6.501212005601742E-2</v>
      </c>
      <c r="G512" s="8">
        <f>IF(Tabela1511[[#This Row],[Industrial Production]]="",#N/A,((Tabela1511[[#This Row],[Industrial Production]]*1)/E500)-1)</f>
        <v>-0.10661405629660847</v>
      </c>
      <c r="H512" s="32">
        <v>527459</v>
      </c>
      <c r="I512" s="8">
        <f>IF(Tabela1511[[#This Row],[Retail Sales]]="",#N/A,((Tabela1511[[#This Row],[Retail Sales]]*1)/H511)-1)</f>
        <v>8.5773511654188672E-2</v>
      </c>
      <c r="J512" s="8">
        <f>IF(Tabela1511[[#This Row],[Retail Sales]]="",#N/A,((Tabela1511[[#This Row],[Retail Sales]]*1)/H500)-1)</f>
        <v>2.7860597628039496E-2</v>
      </c>
      <c r="K512" s="32">
        <v>420373</v>
      </c>
      <c r="L512" s="8">
        <f>IF(Tabela1511[[#This Row],[Core-Retail Sales]]="",#N/A,((Tabela1511[[#This Row],[Core-Retail Sales]]*1)/K511)-1)</f>
        <v>8.5982588028623796E-2</v>
      </c>
      <c r="M512" s="8">
        <f>IF(Tabela1511[[#This Row],[Core-Retail Sales]]="",#N/A,((Tabela1511[[#This Row],[Core-Retail Sales]]*1)/K500)-1)</f>
        <v>2.4522861926684847E-2</v>
      </c>
      <c r="N512" s="84">
        <v>205248</v>
      </c>
      <c r="O512" s="8">
        <f>IF(Tabela1511[[#This Row],[Real Retail Sales]]="",#N/A,((Tabela1511[[#This Row],[Real Retail Sales]]*1)/N511)-1)</f>
        <v>8.1049194143052672E-2</v>
      </c>
      <c r="P512" s="8">
        <f>IF(Tabela1511[[#This Row],[Real Retail Sales]]="",#N/A,((Tabela1511[[#This Row],[Real Retail Sales]]*1)/N500)-1)</f>
        <v>2.0550431345250253E-2</v>
      </c>
      <c r="Q512" s="32">
        <v>386795</v>
      </c>
      <c r="R512" s="8">
        <f>IF(Tabela1511[[#This Row],[Core²-Retail Sales]]="",#N/A,((Tabela1511[[#This Row],[Core²-Retail Sales]]*1)/Q511)-1)</f>
        <v>8.2722404637739499E-2</v>
      </c>
      <c r="S512" s="8">
        <f>IF(Tabela1511[[#This Row],[Core²-Retail Sales]]="",#N/A,((Tabela1511[[#This Row],[Core²-Retail Sales]]*1)/Q500)-1)</f>
        <v>4.9946389066084063E-2</v>
      </c>
      <c r="T512" s="5">
        <v>78.099999999999994</v>
      </c>
      <c r="U512" s="7">
        <v>52.2</v>
      </c>
      <c r="V512" s="25">
        <v>56.7</v>
      </c>
      <c r="W512" s="25">
        <v>41.1</v>
      </c>
      <c r="X512" s="25">
        <v>57.3</v>
      </c>
      <c r="Y512" s="25">
        <v>62.6</v>
      </c>
      <c r="Z512" s="25">
        <v>43</v>
      </c>
      <c r="AA512" s="25">
        <f>IF([1]!Tabela1511[[#This Row],[Services New Orders]]="","",([1]!Tabela1511[[#This Row],[Manufacturing New Orders]]+[1]!Tabela1511[[#This Row],[Services New Orders]])/2)</f>
        <v>59.650000000000006</v>
      </c>
      <c r="AB512" s="25">
        <f>IF([1]!Tabela1511[[#This Row],[Services Employment]]="",#N/A,([1]!Tabela1511[[#This Row],[Manufacturing Employment]]+[1]!Tabela1511[[#This Row],[Services Employment]])/2)</f>
        <v>42.05</v>
      </c>
    </row>
    <row r="513" spans="1:28">
      <c r="A513" s="6">
        <v>44013</v>
      </c>
      <c r="B513" s="36">
        <v>13667.3</v>
      </c>
      <c r="C513" s="8">
        <f>IF(Tabela1511[[#This Row],[Real PCE]]="",#N/A,((Tabela1511[[#This Row],[Real PCE]]*1)/B512)-1)</f>
        <v>1.5039213356306869E-2</v>
      </c>
      <c r="D513" s="8">
        <f>IF(Tabela1511[[#This Row],[Real PCE]]="",#N/A,((Tabela1511[[#This Row],[Real PCE]]*1)/B501)-1)</f>
        <v>-2.1555797371209273E-2</v>
      </c>
      <c r="E513" s="7">
        <v>95.014399999999995</v>
      </c>
      <c r="F513" s="8">
        <f>IF(Tabela1511[[#This Row],[Industrial Production]]="",#N/A,((Tabela1511[[#This Row],[Industrial Production]]*1)/E512)-1)</f>
        <v>3.7699931740614367E-2</v>
      </c>
      <c r="G513" s="8">
        <f>IF(Tabela1511[[#This Row],[Industrial Production]]="",#N/A,((Tabela1511[[#This Row],[Industrial Production]]*1)/E501)-1)</f>
        <v>-6.8701751359489416E-2</v>
      </c>
      <c r="H513" s="32">
        <v>535844</v>
      </c>
      <c r="I513" s="8">
        <f>IF(Tabela1511[[#This Row],[Retail Sales]]="",#N/A,((Tabela1511[[#This Row],[Retail Sales]]*1)/H512)-1)</f>
        <v>1.5896970191048077E-2</v>
      </c>
      <c r="J513" s="8">
        <f>IF(Tabela1511[[#This Row],[Retail Sales]]="",#N/A,((Tabela1511[[#This Row],[Retail Sales]]*1)/H501)-1)</f>
        <v>3.5353310907028757E-2</v>
      </c>
      <c r="K513" s="32">
        <v>429604</v>
      </c>
      <c r="L513" s="8">
        <f>IF(Tabela1511[[#This Row],[Core-Retail Sales]]="",#N/A,((Tabela1511[[#This Row],[Core-Retail Sales]]*1)/K512)-1)</f>
        <v>2.1959069683352705E-2</v>
      </c>
      <c r="M513" s="8">
        <f>IF(Tabela1511[[#This Row],[Core-Retail Sales]]="",#N/A,((Tabela1511[[#This Row],[Core-Retail Sales]]*1)/K501)-1)</f>
        <v>3.7092113490038381E-2</v>
      </c>
      <c r="N513" s="84">
        <v>207468</v>
      </c>
      <c r="O513" s="8">
        <f>IF(Tabela1511[[#This Row],[Real Retail Sales]]="",#N/A,((Tabela1511[[#This Row],[Real Retail Sales]]*1)/N512)-1)</f>
        <v>1.0816183348924202E-2</v>
      </c>
      <c r="P513" s="8">
        <f>IF(Tabela1511[[#This Row],[Real Retail Sales]]="",#N/A,((Tabela1511[[#This Row],[Real Retail Sales]]*1)/N501)-1)</f>
        <v>2.4958501304244818E-2</v>
      </c>
      <c r="Q513" s="32">
        <v>394351</v>
      </c>
      <c r="R513" s="8">
        <f>IF(Tabela1511[[#This Row],[Core²-Retail Sales]]="",#N/A,((Tabela1511[[#This Row],[Core²-Retail Sales]]*1)/Q512)-1)</f>
        <v>1.9534895745808578E-2</v>
      </c>
      <c r="S513" s="8">
        <f>IF(Tabela1511[[#This Row],[Core²-Retail Sales]]="",#N/A,((Tabela1511[[#This Row],[Core²-Retail Sales]]*1)/Q501)-1)</f>
        <v>6.1047403285781066E-2</v>
      </c>
      <c r="T513" s="5">
        <v>72.5</v>
      </c>
      <c r="U513" s="7">
        <v>53.7</v>
      </c>
      <c r="V513" s="25">
        <v>60.9</v>
      </c>
      <c r="W513" s="25">
        <v>43.6</v>
      </c>
      <c r="X513" s="25">
        <v>56.7</v>
      </c>
      <c r="Y513" s="25">
        <v>64.7</v>
      </c>
      <c r="Z513" s="25">
        <v>47.6</v>
      </c>
      <c r="AA513" s="25">
        <f>IF([1]!Tabela1511[[#This Row],[Services New Orders]]="","",([1]!Tabela1511[[#This Row],[Manufacturing New Orders]]+[1]!Tabela1511[[#This Row],[Services New Orders]])/2)</f>
        <v>62.8</v>
      </c>
      <c r="AB513" s="25">
        <f>IF([1]!Tabela1511[[#This Row],[Services Employment]]="",#N/A,([1]!Tabela1511[[#This Row],[Manufacturing Employment]]+[1]!Tabela1511[[#This Row],[Services Employment]])/2)</f>
        <v>45.6</v>
      </c>
    </row>
    <row r="514" spans="1:28">
      <c r="A514" s="6">
        <v>44044</v>
      </c>
      <c r="B514" s="36">
        <v>13761.1</v>
      </c>
      <c r="C514" s="8">
        <f>IF(Tabela1511[[#This Row],[Real PCE]]="",#N/A,((Tabela1511[[#This Row],[Real PCE]]*1)/B513)-1)</f>
        <v>6.8630965882070516E-3</v>
      </c>
      <c r="D514" s="8">
        <f>IF(Tabela1511[[#This Row],[Real PCE]]="",#N/A,((Tabela1511[[#This Row],[Real PCE]]*1)/B502)-1)</f>
        <v>-1.7990180686781043E-2</v>
      </c>
      <c r="E514" s="7">
        <v>95.888099999999994</v>
      </c>
      <c r="F514" s="8">
        <f>IF(Tabela1511[[#This Row],[Industrial Production]]="",#N/A,((Tabela1511[[#This Row],[Industrial Production]]*1)/E513)-1)</f>
        <v>9.1954482688940686E-3</v>
      </c>
      <c r="G514" s="8">
        <f>IF(Tabela1511[[#This Row],[Industrial Production]]="",#N/A,((Tabela1511[[#This Row],[Industrial Production]]*1)/E502)-1)</f>
        <v>-6.7013117925106669E-2</v>
      </c>
      <c r="H514" s="32">
        <v>541193</v>
      </c>
      <c r="I514" s="8">
        <f>IF(Tabela1511[[#This Row],[Retail Sales]]="",#N/A,((Tabela1511[[#This Row],[Retail Sales]]*1)/H513)-1)</f>
        <v>9.9823829323459901E-3</v>
      </c>
      <c r="J514" s="8">
        <f>IF(Tabela1511[[#This Row],[Retail Sales]]="",#N/A,((Tabela1511[[#This Row],[Retail Sales]]*1)/H502)-1)</f>
        <v>3.8736226298485166E-2</v>
      </c>
      <c r="K514" s="32">
        <v>433724</v>
      </c>
      <c r="L514" s="8">
        <f>IF(Tabela1511[[#This Row],[Core-Retail Sales]]="",#N/A,((Tabela1511[[#This Row],[Core-Retail Sales]]*1)/K513)-1)</f>
        <v>9.5902272790755472E-3</v>
      </c>
      <c r="M514" s="8">
        <f>IF(Tabela1511[[#This Row],[Core-Retail Sales]]="",#N/A,((Tabela1511[[#This Row],[Core-Retail Sales]]*1)/K502)-1)</f>
        <v>4.4770654577513946E-2</v>
      </c>
      <c r="N514" s="84">
        <v>208624</v>
      </c>
      <c r="O514" s="8">
        <f>IF(Tabela1511[[#This Row],[Real Retail Sales]]="",#N/A,((Tabela1511[[#This Row],[Real Retail Sales]]*1)/N513)-1)</f>
        <v>5.5719436250409871E-3</v>
      </c>
      <c r="P514" s="8">
        <f>IF(Tabela1511[[#This Row],[Real Retail Sales]]="",#N/A,((Tabela1511[[#This Row],[Real Retail Sales]]*1)/N502)-1)</f>
        <v>2.5315398111788845E-2</v>
      </c>
      <c r="Q514" s="32">
        <v>397545</v>
      </c>
      <c r="R514" s="8">
        <f>IF(Tabela1511[[#This Row],[Core²-Retail Sales]]="",#N/A,((Tabela1511[[#This Row],[Core²-Retail Sales]]*1)/Q513)-1)</f>
        <v>8.0993835441016682E-3</v>
      </c>
      <c r="S514" s="8">
        <f>IF(Tabela1511[[#This Row],[Core²-Retail Sales]]="",#N/A,((Tabela1511[[#This Row],[Core²-Retail Sales]]*1)/Q502)-1)</f>
        <v>6.7157548311934434E-2</v>
      </c>
      <c r="T514" s="5">
        <v>74.099999999999994</v>
      </c>
      <c r="U514" s="7">
        <v>55.6</v>
      </c>
      <c r="V514" s="25">
        <v>66.2</v>
      </c>
      <c r="W514" s="25">
        <v>46.3</v>
      </c>
      <c r="X514" s="25">
        <v>57.1</v>
      </c>
      <c r="Y514" s="25">
        <v>58.3</v>
      </c>
      <c r="Z514" s="25">
        <v>50</v>
      </c>
      <c r="AA514" s="25">
        <f>IF([1]!Tabela1511[[#This Row],[Services New Orders]]="","",([1]!Tabela1511[[#This Row],[Manufacturing New Orders]]+[1]!Tabela1511[[#This Row],[Services New Orders]])/2)</f>
        <v>62.25</v>
      </c>
      <c r="AB514" s="25">
        <f>IF([1]!Tabela1511[[#This Row],[Services Employment]]="",#N/A,([1]!Tabela1511[[#This Row],[Manufacturing Employment]]+[1]!Tabela1511[[#This Row],[Services Employment]])/2)</f>
        <v>48.15</v>
      </c>
    </row>
    <row r="515" spans="1:28">
      <c r="A515" s="6">
        <v>44075</v>
      </c>
      <c r="B515" s="36">
        <v>13953.4</v>
      </c>
      <c r="C515" s="8">
        <f>IF(Tabela1511[[#This Row],[Real PCE]]="",#N/A,((Tabela1511[[#This Row],[Real PCE]]*1)/B514)-1)</f>
        <v>1.3974173576240201E-2</v>
      </c>
      <c r="D515" s="8">
        <f>IF(Tabela1511[[#This Row],[Real PCE]]="",#N/A,((Tabela1511[[#This Row],[Real PCE]]*1)/B503)-1)</f>
        <v>-5.4384626898651423E-3</v>
      </c>
      <c r="E515" s="7">
        <v>95.844399999999993</v>
      </c>
      <c r="F515" s="8">
        <f>IF(Tabela1511[[#This Row],[Industrial Production]]="",#N/A,((Tabela1511[[#This Row],[Industrial Production]]*1)/E514)-1)</f>
        <v>-4.5573955475186612E-4</v>
      </c>
      <c r="G515" s="8">
        <f>IF(Tabela1511[[#This Row],[Industrial Production]]="",#N/A,((Tabela1511[[#This Row],[Industrial Production]]*1)/E503)-1)</f>
        <v>-6.5219956793765799E-2</v>
      </c>
      <c r="H515" s="32">
        <v>551970</v>
      </c>
      <c r="I515" s="8">
        <f>IF(Tabela1511[[#This Row],[Retail Sales]]="",#N/A,((Tabela1511[[#This Row],[Retail Sales]]*1)/H514)-1)</f>
        <v>1.9913413514217604E-2</v>
      </c>
      <c r="J515" s="8">
        <f>IF(Tabela1511[[#This Row],[Retail Sales]]="",#N/A,((Tabela1511[[#This Row],[Retail Sales]]*1)/H503)-1)</f>
        <v>6.5330299293022254E-2</v>
      </c>
      <c r="K515" s="32">
        <v>440825</v>
      </c>
      <c r="L515" s="8">
        <f>IF(Tabela1511[[#This Row],[Core-Retail Sales]]="",#N/A,((Tabela1511[[#This Row],[Core-Retail Sales]]*1)/K514)-1)</f>
        <v>1.6372162942331903E-2</v>
      </c>
      <c r="M515" s="8">
        <f>IF(Tabela1511[[#This Row],[Core-Retail Sales]]="",#N/A,((Tabela1511[[#This Row],[Core-Retail Sales]]*1)/K503)-1)</f>
        <v>6.2805135314327076E-2</v>
      </c>
      <c r="N515" s="84">
        <v>212272</v>
      </c>
      <c r="O515" s="8">
        <f>IF(Tabela1511[[#This Row],[Real Retail Sales]]="",#N/A,((Tabela1511[[#This Row],[Real Retail Sales]]*1)/N514)-1)</f>
        <v>1.748600352787788E-2</v>
      </c>
      <c r="P515" s="8">
        <f>IF(Tabela1511[[#This Row],[Real Retail Sales]]="",#N/A,((Tabela1511[[#This Row],[Real Retail Sales]]*1)/N503)-1)</f>
        <v>5.0913915678159061E-2</v>
      </c>
      <c r="Q515" s="32">
        <v>404409</v>
      </c>
      <c r="R515" s="8">
        <f>IF(Tabela1511[[#This Row],[Core²-Retail Sales]]="",#N/A,((Tabela1511[[#This Row],[Core²-Retail Sales]]*1)/Q514)-1)</f>
        <v>1.7265969890201127E-2</v>
      </c>
      <c r="S515" s="8">
        <f>IF(Tabela1511[[#This Row],[Core²-Retail Sales]]="",#N/A,((Tabela1511[[#This Row],[Core²-Retail Sales]]*1)/Q503)-1)</f>
        <v>8.5722953508788446E-2</v>
      </c>
      <c r="T515" s="5">
        <v>80.400000000000006</v>
      </c>
      <c r="U515" s="7">
        <v>55.7</v>
      </c>
      <c r="V515" s="25">
        <v>60.9</v>
      </c>
      <c r="W515" s="25">
        <v>49.3</v>
      </c>
      <c r="X515" s="25">
        <v>57.1</v>
      </c>
      <c r="Y515" s="25">
        <v>60.8</v>
      </c>
      <c r="Z515" s="25">
        <v>51.2</v>
      </c>
      <c r="AA515" s="25">
        <f>IF([1]!Tabela1511[[#This Row],[Services New Orders]]="","",([1]!Tabela1511[[#This Row],[Manufacturing New Orders]]+[1]!Tabela1511[[#This Row],[Services New Orders]])/2)</f>
        <v>60.849999999999994</v>
      </c>
      <c r="AB515" s="25">
        <f>IF([1]!Tabela1511[[#This Row],[Services Employment]]="",#N/A,([1]!Tabela1511[[#This Row],[Manufacturing Employment]]+[1]!Tabela1511[[#This Row],[Services Employment]])/2)</f>
        <v>50.25</v>
      </c>
    </row>
    <row r="516" spans="1:28">
      <c r="A516" s="6">
        <v>44105</v>
      </c>
      <c r="B516" s="36">
        <v>13988.6</v>
      </c>
      <c r="C516" s="8">
        <f>IF(Tabela1511[[#This Row],[Real PCE]]="",#N/A,((Tabela1511[[#This Row],[Real PCE]]*1)/B515)-1)</f>
        <v>2.5226826436568484E-3</v>
      </c>
      <c r="D516" s="8">
        <f>IF(Tabela1511[[#This Row],[Real PCE]]="",#N/A,((Tabela1511[[#This Row],[Real PCE]]*1)/B504)-1)</f>
        <v>-2.8868566051991618E-3</v>
      </c>
      <c r="E516" s="7">
        <v>96.429199999999994</v>
      </c>
      <c r="F516" s="8">
        <f>IF(Tabela1511[[#This Row],[Industrial Production]]="",#N/A,((Tabela1511[[#This Row],[Industrial Production]]*1)/E515)-1)</f>
        <v>6.1015562724582306E-3</v>
      </c>
      <c r="G516" s="8">
        <f>IF(Tabela1511[[#This Row],[Industrial Production]]="",#N/A,((Tabela1511[[#This Row],[Industrial Production]]*1)/E504)-1)</f>
        <v>-5.0914251856751136E-2</v>
      </c>
      <c r="H516" s="32">
        <v>549765</v>
      </c>
      <c r="I516" s="8">
        <f>IF(Tabela1511[[#This Row],[Retail Sales]]="",#N/A,((Tabela1511[[#This Row],[Retail Sales]]*1)/H515)-1)</f>
        <v>-3.9947823251264003E-3</v>
      </c>
      <c r="J516" s="8">
        <f>IF(Tabela1511[[#This Row],[Retail Sales]]="",#N/A,((Tabela1511[[#This Row],[Retail Sales]]*1)/H504)-1)</f>
        <v>5.8196831751775591E-2</v>
      </c>
      <c r="K516" s="32">
        <v>439261</v>
      </c>
      <c r="L516" s="8">
        <f>IF(Tabela1511[[#This Row],[Core-Retail Sales]]="",#N/A,((Tabela1511[[#This Row],[Core-Retail Sales]]*1)/K515)-1)</f>
        <v>-3.5478931548800219E-3</v>
      </c>
      <c r="M516" s="8">
        <f>IF(Tabela1511[[#This Row],[Core-Retail Sales]]="",#N/A,((Tabela1511[[#This Row],[Core-Retail Sales]]*1)/K504)-1)</f>
        <v>5.5332388342983485E-2</v>
      </c>
      <c r="N516" s="84">
        <v>211216</v>
      </c>
      <c r="O516" s="8">
        <f>IF(Tabela1511[[#This Row],[Real Retail Sales]]="",#N/A,((Tabela1511[[#This Row],[Real Retail Sales]]*1)/N515)-1)</f>
        <v>-4.9747493781563401E-3</v>
      </c>
      <c r="P516" s="8">
        <f>IF(Tabela1511[[#This Row],[Real Retail Sales]]="",#N/A,((Tabela1511[[#This Row],[Real Retail Sales]]*1)/N504)-1)</f>
        <v>4.583085759556349E-2</v>
      </c>
      <c r="Q516" s="32">
        <v>402914</v>
      </c>
      <c r="R516" s="8">
        <f>IF(Tabela1511[[#This Row],[Core²-Retail Sales]]="",#N/A,((Tabela1511[[#This Row],[Core²-Retail Sales]]*1)/Q515)-1)</f>
        <v>-3.6967525450719574E-3</v>
      </c>
      <c r="S516" s="8">
        <f>IF(Tabela1511[[#This Row],[Core²-Retail Sales]]="",#N/A,((Tabela1511[[#This Row],[Core²-Retail Sales]]*1)/Q504)-1)</f>
        <v>7.8914107603817341E-2</v>
      </c>
      <c r="T516" s="5">
        <v>81.8</v>
      </c>
      <c r="U516" s="7">
        <v>58.8</v>
      </c>
      <c r="V516" s="25">
        <v>66.900000000000006</v>
      </c>
      <c r="W516" s="25">
        <v>52.1</v>
      </c>
      <c r="X516" s="25">
        <v>56.1</v>
      </c>
      <c r="Y516" s="25">
        <v>56.9</v>
      </c>
      <c r="Z516" s="25">
        <v>51.2</v>
      </c>
      <c r="AA516" s="25">
        <f>IF([1]!Tabela1511[[#This Row],[Services New Orders]]="","",([1]!Tabela1511[[#This Row],[Manufacturing New Orders]]+[1]!Tabela1511[[#This Row],[Services New Orders]])/2)</f>
        <v>61.900000000000006</v>
      </c>
      <c r="AB516" s="25">
        <f>IF([1]!Tabela1511[[#This Row],[Services Employment]]="",#N/A,([1]!Tabela1511[[#This Row],[Manufacturing Employment]]+[1]!Tabela1511[[#This Row],[Services Employment]])/2)</f>
        <v>51.650000000000006</v>
      </c>
    </row>
    <row r="517" spans="1:28">
      <c r="A517" s="6">
        <v>44136</v>
      </c>
      <c r="B517" s="36">
        <v>13953.9</v>
      </c>
      <c r="C517" s="8">
        <f>IF(Tabela1511[[#This Row],[Real PCE]]="",#N/A,((Tabela1511[[#This Row],[Real PCE]]*1)/B516)-1)</f>
        <v>-2.4805913386615197E-3</v>
      </c>
      <c r="D517" s="8">
        <f>IF(Tabela1511[[#This Row],[Real PCE]]="",#N/A,((Tabela1511[[#This Row],[Real PCE]]*1)/B505)-1)</f>
        <v>-1.144140442353736E-2</v>
      </c>
      <c r="E517" s="7">
        <v>96.856399999999994</v>
      </c>
      <c r="F517" s="8">
        <f>IF(Tabela1511[[#This Row],[Industrial Production]]="",#N/A,((Tabela1511[[#This Row],[Industrial Production]]*1)/E516)-1)</f>
        <v>4.4301933439248042E-3</v>
      </c>
      <c r="G517" s="8">
        <f>IF(Tabela1511[[#This Row],[Industrial Production]]="",#N/A,((Tabela1511[[#This Row],[Industrial Production]]*1)/E505)-1)</f>
        <v>-5.1803265849551638E-2</v>
      </c>
      <c r="H517" s="32">
        <v>544839</v>
      </c>
      <c r="I517" s="8">
        <f>IF(Tabela1511[[#This Row],[Retail Sales]]="",#N/A,((Tabela1511[[#This Row],[Retail Sales]]*1)/H516)-1)</f>
        <v>-8.9601920820714387E-3</v>
      </c>
      <c r="J517" s="8">
        <f>IF(Tabela1511[[#This Row],[Retail Sales]]="",#N/A,((Tabela1511[[#This Row],[Retail Sales]]*1)/H505)-1)</f>
        <v>4.1134082279630002E-2</v>
      </c>
      <c r="K517" s="32">
        <v>435306</v>
      </c>
      <c r="L517" s="8">
        <f>IF(Tabela1511[[#This Row],[Core-Retail Sales]]="",#N/A,((Tabela1511[[#This Row],[Core-Retail Sales]]*1)/K516)-1)</f>
        <v>-9.0037585854423341E-3</v>
      </c>
      <c r="M517" s="8">
        <f>IF(Tabela1511[[#This Row],[Core-Retail Sales]]="",#N/A,((Tabela1511[[#This Row],[Core-Retail Sales]]*1)/K505)-1)</f>
        <v>4.3433864031870772E-2</v>
      </c>
      <c r="N517" s="84">
        <v>208900</v>
      </c>
      <c r="O517" s="8">
        <f>IF(Tabela1511[[#This Row],[Real Retail Sales]]="",#N/A,((Tabela1511[[#This Row],[Real Retail Sales]]*1)/N516)-1)</f>
        <v>-1.0965078403151307E-2</v>
      </c>
      <c r="P517" s="8">
        <f>IF(Tabela1511[[#This Row],[Real Retail Sales]]="",#N/A,((Tabela1511[[#This Row],[Real Retail Sales]]*1)/N505)-1)</f>
        <v>2.9119804521427373E-2</v>
      </c>
      <c r="Q517" s="32">
        <v>400042</v>
      </c>
      <c r="R517" s="8">
        <f>IF(Tabela1511[[#This Row],[Core²-Retail Sales]]="",#N/A,((Tabela1511[[#This Row],[Core²-Retail Sales]]*1)/Q516)-1)</f>
        <v>-7.1280719955126859E-3</v>
      </c>
      <c r="S517" s="8">
        <f>IF(Tabela1511[[#This Row],[Core²-Retail Sales]]="",#N/A,((Tabela1511[[#This Row],[Core²-Retail Sales]]*1)/Q505)-1)</f>
        <v>6.8148745457506932E-2</v>
      </c>
      <c r="T517" s="5">
        <v>76.900000000000006</v>
      </c>
      <c r="U517" s="7">
        <v>57.7</v>
      </c>
      <c r="V517" s="25">
        <v>65.7</v>
      </c>
      <c r="W517" s="25">
        <v>48.3</v>
      </c>
      <c r="X517" s="25">
        <v>56.1</v>
      </c>
      <c r="Y517" s="25">
        <v>58.5</v>
      </c>
      <c r="Z517" s="25">
        <v>48.3</v>
      </c>
      <c r="AA517" s="25">
        <f>IF([1]!Tabela1511[[#This Row],[Services New Orders]]="","",([1]!Tabela1511[[#This Row],[Manufacturing New Orders]]+[1]!Tabela1511[[#This Row],[Services New Orders]])/2)</f>
        <v>62.1</v>
      </c>
      <c r="AB517" s="25">
        <f>IF([1]!Tabela1511[[#This Row],[Services Employment]]="",#N/A,([1]!Tabela1511[[#This Row],[Manufacturing Employment]]+[1]!Tabela1511[[#This Row],[Services Employment]])/2)</f>
        <v>48.3</v>
      </c>
    </row>
    <row r="518" spans="1:28">
      <c r="A518" s="6">
        <v>44166</v>
      </c>
      <c r="B518" s="36">
        <v>14006.3</v>
      </c>
      <c r="C518" s="8">
        <f>IF(Tabela1511[[#This Row],[Real PCE]]="",#N/A,((Tabela1511[[#This Row],[Real PCE]]*1)/B517)-1)</f>
        <v>3.7552225542678563E-3</v>
      </c>
      <c r="D518" s="8">
        <f>IF(Tabela1511[[#This Row],[Real PCE]]="",#N/A,((Tabela1511[[#This Row],[Real PCE]]*1)/B506)-1)</f>
        <v>-9.2522511689102638E-3</v>
      </c>
      <c r="E518" s="7">
        <v>97.975399999999993</v>
      </c>
      <c r="F518" s="8">
        <f>IF(Tabela1511[[#This Row],[Industrial Production]]="",#N/A,((Tabela1511[[#This Row],[Industrial Production]]*1)/E517)-1)</f>
        <v>1.1553185953638634E-2</v>
      </c>
      <c r="G518" s="8">
        <f>IF(Tabela1511[[#This Row],[Industrial Production]]="",#N/A,((Tabela1511[[#This Row],[Industrial Production]]*1)/E506)-1)</f>
        <v>-3.8363236622040775E-2</v>
      </c>
      <c r="H518" s="32">
        <v>550198</v>
      </c>
      <c r="I518" s="8">
        <f>IF(Tabela1511[[#This Row],[Retail Sales]]="",#N/A,((Tabela1511[[#This Row],[Retail Sales]]*1)/H517)-1)</f>
        <v>9.8359331839315001E-3</v>
      </c>
      <c r="J518" s="8">
        <f>IF(Tabela1511[[#This Row],[Retail Sales]]="",#N/A,((Tabela1511[[#This Row],[Retail Sales]]*1)/H506)-1)</f>
        <v>4.718835945603872E-2</v>
      </c>
      <c r="K518" s="32">
        <v>437837</v>
      </c>
      <c r="L518" s="8">
        <f>IF(Tabela1511[[#This Row],[Core-Retail Sales]]="",#N/A,((Tabela1511[[#This Row],[Core-Retail Sales]]*1)/K517)-1)</f>
        <v>5.8143007447635231E-3</v>
      </c>
      <c r="M518" s="8">
        <f>IF(Tabela1511[[#This Row],[Core-Retail Sales]]="",#N/A,((Tabela1511[[#This Row],[Core-Retail Sales]]*1)/K506)-1)</f>
        <v>4.0012636819702019E-2</v>
      </c>
      <c r="N518" s="84">
        <v>209971</v>
      </c>
      <c r="O518" s="8">
        <f>IF(Tabela1511[[#This Row],[Real Retail Sales]]="",#N/A,((Tabela1511[[#This Row],[Real Retail Sales]]*1)/N517)-1)</f>
        <v>5.1268549545235853E-3</v>
      </c>
      <c r="P518" s="8">
        <f>IF(Tabela1511[[#This Row],[Real Retail Sales]]="",#N/A,((Tabela1511[[#This Row],[Real Retail Sales]]*1)/N506)-1)</f>
        <v>3.3525300255955903E-2</v>
      </c>
      <c r="Q518" s="32">
        <v>399412</v>
      </c>
      <c r="R518" s="8">
        <f>IF(Tabela1511[[#This Row],[Core²-Retail Sales]]="",#N/A,((Tabela1511[[#This Row],[Core²-Retail Sales]]*1)/Q517)-1)</f>
        <v>-1.5748346423625215E-3</v>
      </c>
      <c r="S518" s="8">
        <f>IF(Tabela1511[[#This Row],[Core²-Retail Sales]]="",#N/A,((Tabela1511[[#This Row],[Core²-Retail Sales]]*1)/Q506)-1)</f>
        <v>5.9414554443890433E-2</v>
      </c>
      <c r="T518" s="5">
        <v>80.7</v>
      </c>
      <c r="U518" s="7">
        <v>60.5</v>
      </c>
      <c r="V518" s="25">
        <v>67.5</v>
      </c>
      <c r="W518" s="25">
        <v>51.7</v>
      </c>
      <c r="X518" s="25">
        <v>57.5</v>
      </c>
      <c r="Y518" s="25">
        <v>59</v>
      </c>
      <c r="Z518" s="25">
        <v>55.1</v>
      </c>
      <c r="AA518" s="25">
        <f>IF([1]!Tabela1511[[#This Row],[Services New Orders]]="","",([1]!Tabela1511[[#This Row],[Manufacturing New Orders]]+[1]!Tabela1511[[#This Row],[Services New Orders]])/2)</f>
        <v>63.25</v>
      </c>
      <c r="AB518" s="25">
        <f>IF([1]!Tabela1511[[#This Row],[Services Employment]]="",#N/A,([1]!Tabela1511[[#This Row],[Manufacturing Employment]]+[1]!Tabela1511[[#This Row],[Services Employment]])/2)</f>
        <v>53.400000000000006</v>
      </c>
    </row>
    <row r="519" spans="1:28">
      <c r="A519" s="6">
        <v>44197</v>
      </c>
      <c r="B519" s="36">
        <v>14180.7</v>
      </c>
      <c r="C519" s="8">
        <f>IF(Tabela1511[[#This Row],[Real PCE]]="",#N/A,((Tabela1511[[#This Row],[Real PCE]]*1)/B518)-1)</f>
        <v>1.2451539664294131E-2</v>
      </c>
      <c r="D519" s="8">
        <f>IF(Tabela1511[[#This Row],[Real PCE]]="",#N/A,((Tabela1511[[#This Row],[Real PCE]]*1)/B507)-1)</f>
        <v>-2.8904179121302942E-4</v>
      </c>
      <c r="E519" s="7">
        <v>98.783600000000007</v>
      </c>
      <c r="F519" s="8">
        <f>IF(Tabela1511[[#This Row],[Industrial Production]]="",#N/A,((Tabela1511[[#This Row],[Industrial Production]]*1)/E518)-1)</f>
        <v>8.249009445228328E-3</v>
      </c>
      <c r="G519" s="8">
        <f>IF(Tabela1511[[#This Row],[Industrial Production]]="",#N/A,((Tabela1511[[#This Row],[Industrial Production]]*1)/E507)-1)</f>
        <v>-2.5579817078463685E-2</v>
      </c>
      <c r="H519" s="32">
        <v>569309</v>
      </c>
      <c r="I519" s="8">
        <f>IF(Tabela1511[[#This Row],[Retail Sales]]="",#N/A,((Tabela1511[[#This Row],[Retail Sales]]*1)/H518)-1)</f>
        <v>3.473476821071686E-2</v>
      </c>
      <c r="J519" s="8">
        <f>IF(Tabela1511[[#This Row],[Retail Sales]]="",#N/A,((Tabela1511[[#This Row],[Retail Sales]]*1)/H507)-1)</f>
        <v>8.4416685238413613E-2</v>
      </c>
      <c r="K519" s="32">
        <v>455128</v>
      </c>
      <c r="L519" s="8">
        <f>IF(Tabela1511[[#This Row],[Core-Retail Sales]]="",#N/A,((Tabela1511[[#This Row],[Core-Retail Sales]]*1)/K518)-1)</f>
        <v>3.9491865694310846E-2</v>
      </c>
      <c r="M519" s="8">
        <f>IF(Tabela1511[[#This Row],[Core-Retail Sales]]="",#N/A,((Tabela1511[[#This Row],[Core-Retail Sales]]*1)/K507)-1)</f>
        <v>7.6662858008000656E-2</v>
      </c>
      <c r="N519" s="84">
        <v>216756</v>
      </c>
      <c r="O519" s="8">
        <f>IF(Tabela1511[[#This Row],[Real Retail Sales]]="",#N/A,((Tabela1511[[#This Row],[Real Retail Sales]]*1)/N518)-1)</f>
        <v>3.2313986217144208E-2</v>
      </c>
      <c r="P519" s="8">
        <f>IF(Tabela1511[[#This Row],[Real Retail Sales]]="",#N/A,((Tabela1511[[#This Row],[Real Retail Sales]]*1)/N507)-1)</f>
        <v>6.9502146346277272E-2</v>
      </c>
      <c r="Q519" s="32">
        <v>414760</v>
      </c>
      <c r="R519" s="8">
        <f>IF(Tabela1511[[#This Row],[Core²-Retail Sales]]="",#N/A,((Tabela1511[[#This Row],[Core²-Retail Sales]]*1)/Q518)-1)</f>
        <v>3.8426486935795534E-2</v>
      </c>
      <c r="S519" s="8">
        <f>IF(Tabela1511[[#This Row],[Core²-Retail Sales]]="",#N/A,((Tabela1511[[#This Row],[Core²-Retail Sales]]*1)/Q507)-1)</f>
        <v>9.2825336600532271E-2</v>
      </c>
      <c r="T519" s="5">
        <v>79</v>
      </c>
      <c r="U519" s="7">
        <v>58.7</v>
      </c>
      <c r="V519" s="25">
        <v>61.1</v>
      </c>
      <c r="W519" s="25">
        <v>52.6</v>
      </c>
      <c r="X519" s="25">
        <v>58.7</v>
      </c>
      <c r="Y519" s="25">
        <v>61.1</v>
      </c>
      <c r="Z519" s="25">
        <v>53.2</v>
      </c>
      <c r="AA519" s="25">
        <f>IF([1]!Tabela1511[[#This Row],[Services New Orders]]="","",([1]!Tabela1511[[#This Row],[Manufacturing New Orders]]+[1]!Tabela1511[[#This Row],[Services New Orders]])/2)</f>
        <v>61.1</v>
      </c>
      <c r="AB519" s="25">
        <f>IF([1]!Tabela1511[[#This Row],[Services Employment]]="",#N/A,([1]!Tabela1511[[#This Row],[Manufacturing Employment]]+[1]!Tabela1511[[#This Row],[Services Employment]])/2)</f>
        <v>52.900000000000006</v>
      </c>
    </row>
    <row r="520" spans="1:28">
      <c r="A520" s="6">
        <v>44228</v>
      </c>
      <c r="B520" s="36">
        <v>14037.8</v>
      </c>
      <c r="C520" s="8">
        <f>IF(Tabela1511[[#This Row],[Real PCE]]="",#N/A,((Tabela1511[[#This Row],[Real PCE]]*1)/B519)-1)</f>
        <v>-1.0077076590013334E-2</v>
      </c>
      <c r="D520" s="8">
        <f>IF(Tabela1511[[#This Row],[Real PCE]]="",#N/A,((Tabela1511[[#This Row],[Real PCE]]*1)/B508)-1)</f>
        <v>-9.1757365293129167E-3</v>
      </c>
      <c r="E520" s="7">
        <v>95.374399999999994</v>
      </c>
      <c r="F520" s="8">
        <f>IF(Tabela1511[[#This Row],[Industrial Production]]="",#N/A,((Tabela1511[[#This Row],[Industrial Production]]*1)/E519)-1)</f>
        <v>-3.4511801554104271E-2</v>
      </c>
      <c r="G520" s="8">
        <f>IF(Tabela1511[[#This Row],[Industrial Production]]="",#N/A,((Tabela1511[[#This Row],[Industrial Production]]*1)/E508)-1)</f>
        <v>-6.1580392195448308E-2</v>
      </c>
      <c r="H520" s="32">
        <v>554929</v>
      </c>
      <c r="I520" s="8">
        <f>IF(Tabela1511[[#This Row],[Retail Sales]]="",#N/A,((Tabela1511[[#This Row],[Retail Sales]]*1)/H519)-1)</f>
        <v>-2.5258690798845573E-2</v>
      </c>
      <c r="J520" s="8">
        <f>IF(Tabela1511[[#This Row],[Retail Sales]]="",#N/A,((Tabela1511[[#This Row],[Retail Sales]]*1)/H508)-1)</f>
        <v>5.628532108520079E-2</v>
      </c>
      <c r="K520" s="32">
        <v>444019</v>
      </c>
      <c r="L520" s="8">
        <f>IF(Tabela1511[[#This Row],[Core-Retail Sales]]="",#N/A,((Tabela1511[[#This Row],[Core-Retail Sales]]*1)/K519)-1)</f>
        <v>-2.4408518043275707E-2</v>
      </c>
      <c r="M520" s="8">
        <f>IF(Tabela1511[[#This Row],[Core-Retail Sales]]="",#N/A,((Tabela1511[[#This Row],[Core-Retail Sales]]*1)/K508)-1)</f>
        <v>5.1328192148051066E-2</v>
      </c>
      <c r="N520" s="84">
        <v>210489</v>
      </c>
      <c r="O520" s="8">
        <f>IF(Tabela1511[[#This Row],[Real Retail Sales]]="",#N/A,((Tabela1511[[#This Row],[Real Retail Sales]]*1)/N519)-1)</f>
        <v>-2.8912694458284927E-2</v>
      </c>
      <c r="P520" s="8">
        <f>IF(Tabela1511[[#This Row],[Real Retail Sales]]="",#N/A,((Tabela1511[[#This Row],[Real Retail Sales]]*1)/N508)-1)</f>
        <v>3.8697834164828526E-2</v>
      </c>
      <c r="Q520" s="32">
        <v>402716</v>
      </c>
      <c r="R520" s="8">
        <f>IF(Tabela1511[[#This Row],[Core²-Retail Sales]]="",#N/A,((Tabela1511[[#This Row],[Core²-Retail Sales]]*1)/Q519)-1)</f>
        <v>-2.9038480084868312E-2</v>
      </c>
      <c r="S520" s="8">
        <f>IF(Tabela1511[[#This Row],[Core²-Retail Sales]]="",#N/A,((Tabela1511[[#This Row],[Core²-Retail Sales]]*1)/Q508)-1)</f>
        <v>5.7183284199583628E-2</v>
      </c>
      <c r="T520" s="5">
        <v>76.8</v>
      </c>
      <c r="U520" s="7">
        <v>60.8</v>
      </c>
      <c r="V520" s="25">
        <v>64.8</v>
      </c>
      <c r="W520" s="25">
        <v>54.4</v>
      </c>
      <c r="X520" s="25">
        <v>56.4</v>
      </c>
      <c r="Y520" s="25">
        <v>54</v>
      </c>
      <c r="Z520" s="25">
        <v>54.8</v>
      </c>
      <c r="AA520" s="25">
        <f>IF([1]!Tabela1511[[#This Row],[Services New Orders]]="","",([1]!Tabela1511[[#This Row],[Manufacturing New Orders]]+[1]!Tabela1511[[#This Row],[Services New Orders]])/2)</f>
        <v>59.4</v>
      </c>
      <c r="AB520" s="25">
        <f>IF([1]!Tabela1511[[#This Row],[Services Employment]]="",#N/A,([1]!Tabela1511[[#This Row],[Manufacturing Employment]]+[1]!Tabela1511[[#This Row],[Services Employment]])/2)</f>
        <v>54.599999999999994</v>
      </c>
    </row>
    <row r="521" spans="1:28">
      <c r="A521" s="6">
        <v>44256</v>
      </c>
      <c r="B521" s="36">
        <v>14629.3</v>
      </c>
      <c r="C521" s="8">
        <f>IF(Tabela1511[[#This Row],[Real PCE]]="",#N/A,((Tabela1511[[#This Row],[Real PCE]]*1)/B520)-1)</f>
        <v>4.2136232173132449E-2</v>
      </c>
      <c r="D521" s="8">
        <f>IF(Tabela1511[[#This Row],[Real PCE]]="",#N/A,((Tabela1511[[#This Row],[Real PCE]]*1)/B509)-1)</f>
        <v>0.10540791730578869</v>
      </c>
      <c r="E521" s="7">
        <v>98.135099999999994</v>
      </c>
      <c r="F521" s="8">
        <f>IF(Tabela1511[[#This Row],[Industrial Production]]="",#N/A,((Tabela1511[[#This Row],[Industrial Production]]*1)/E520)-1)</f>
        <v>2.8945922595581264E-2</v>
      </c>
      <c r="G521" s="8">
        <f>IF(Tabela1511[[#This Row],[Industrial Production]]="",#N/A,((Tabela1511[[#This Row],[Industrial Production]]*1)/E509)-1)</f>
        <v>4.7907588217948049E-3</v>
      </c>
      <c r="H521" s="32">
        <v>615573</v>
      </c>
      <c r="I521" s="8">
        <f>IF(Tabela1511[[#This Row],[Retail Sales]]="",#N/A,((Tabela1511[[#This Row],[Retail Sales]]*1)/H520)-1)</f>
        <v>0.10928244874569537</v>
      </c>
      <c r="J521" s="8">
        <f>IF(Tabela1511[[#This Row],[Retail Sales]]="",#N/A,((Tabela1511[[#This Row],[Retail Sales]]*1)/H509)-1)</f>
        <v>0.28754295658430573</v>
      </c>
      <c r="K521" s="32">
        <v>484879</v>
      </c>
      <c r="L521" s="8">
        <f>IF(Tabela1511[[#This Row],[Core-Retail Sales]]="",#N/A,((Tabela1511[[#This Row],[Core-Retail Sales]]*1)/K520)-1)</f>
        <v>9.2023089102042821E-2</v>
      </c>
      <c r="M521" s="8">
        <f>IF(Tabela1511[[#This Row],[Core-Retail Sales]]="",#N/A,((Tabela1511[[#This Row],[Core-Retail Sales]]*1)/K509)-1)</f>
        <v>0.20592668125746116</v>
      </c>
      <c r="N521" s="84">
        <v>232367</v>
      </c>
      <c r="O521" s="8">
        <f>IF(Tabela1511[[#This Row],[Real Retail Sales]]="",#N/A,((Tabela1511[[#This Row],[Real Retail Sales]]*1)/N520)-1)</f>
        <v>0.10393892317413256</v>
      </c>
      <c r="P521" s="8">
        <f>IF(Tabela1511[[#This Row],[Real Retail Sales]]="",#N/A,((Tabela1511[[#This Row],[Real Retail Sales]]*1)/N509)-1)</f>
        <v>0.25453917212411126</v>
      </c>
      <c r="Q521" s="32">
        <v>438874</v>
      </c>
      <c r="R521" s="8">
        <f>IF(Tabela1511[[#This Row],[Core²-Retail Sales]]="",#N/A,((Tabela1511[[#This Row],[Core²-Retail Sales]]*1)/Q520)-1)</f>
        <v>8.9785357423097123E-2</v>
      </c>
      <c r="S521" s="8">
        <f>IF(Tabela1511[[#This Row],[Core²-Retail Sales]]="",#N/A,((Tabela1511[[#This Row],[Core²-Retail Sales]]*1)/Q509)-1)</f>
        <v>0.19540874832826249</v>
      </c>
      <c r="T521" s="5">
        <v>84.9</v>
      </c>
      <c r="U521" s="7">
        <v>64.7</v>
      </c>
      <c r="V521" s="25">
        <v>68</v>
      </c>
      <c r="W521" s="25">
        <v>59.6</v>
      </c>
      <c r="X521" s="25">
        <v>62.3</v>
      </c>
      <c r="Y521" s="25">
        <v>65</v>
      </c>
      <c r="Z521" s="25">
        <v>57.9</v>
      </c>
      <c r="AA521" s="25">
        <f>IF([1]!Tabela1511[[#This Row],[Services New Orders]]="","",([1]!Tabela1511[[#This Row],[Manufacturing New Orders]]+[1]!Tabela1511[[#This Row],[Services New Orders]])/2)</f>
        <v>66.5</v>
      </c>
      <c r="AB521" s="25">
        <f>IF([1]!Tabela1511[[#This Row],[Services Employment]]="",#N/A,([1]!Tabela1511[[#This Row],[Manufacturing Employment]]+[1]!Tabela1511[[#This Row],[Services Employment]])/2)</f>
        <v>58.75</v>
      </c>
    </row>
    <row r="522" spans="1:28">
      <c r="A522" s="6">
        <v>44287</v>
      </c>
      <c r="B522" s="36">
        <v>14730.7</v>
      </c>
      <c r="C522" s="8">
        <f>IF(Tabela1511[[#This Row],[Real PCE]]="",#N/A,((Tabela1511[[#This Row],[Real PCE]]*1)/B521)-1)</f>
        <v>6.931295413997951E-3</v>
      </c>
      <c r="D522" s="8">
        <f>IF(Tabela1511[[#This Row],[Real PCE]]="",#N/A,((Tabela1511[[#This Row],[Real PCE]]*1)/B510)-1)</f>
        <v>0.25013366374445201</v>
      </c>
      <c r="E522" s="7">
        <v>98.288600000000002</v>
      </c>
      <c r="F522" s="8">
        <f>IF(Tabela1511[[#This Row],[Industrial Production]]="",#N/A,((Tabela1511[[#This Row],[Industrial Production]]*1)/E521)-1)</f>
        <v>1.5641702102511257E-3</v>
      </c>
      <c r="G522" s="8">
        <f>IF(Tabela1511[[#This Row],[Industrial Production]]="",#N/A,((Tabela1511[[#This Row],[Industrial Production]]*1)/E510)-1)</f>
        <v>0.1618326223227764</v>
      </c>
      <c r="H522" s="32">
        <v>620556</v>
      </c>
      <c r="I522" s="8">
        <f>IF(Tabela1511[[#This Row],[Retail Sales]]="",#N/A,((Tabela1511[[#This Row],[Retail Sales]]*1)/H521)-1)</f>
        <v>8.0948969496712486E-3</v>
      </c>
      <c r="J522" s="8">
        <f>IF(Tabela1511[[#This Row],[Retail Sales]]="",#N/A,((Tabela1511[[#This Row],[Retail Sales]]*1)/H510)-1)</f>
        <v>0.52027379607875801</v>
      </c>
      <c r="K522" s="32">
        <v>487084</v>
      </c>
      <c r="L522" s="8">
        <f>IF(Tabela1511[[#This Row],[Core-Retail Sales]]="",#N/A,((Tabela1511[[#This Row],[Core-Retail Sales]]*1)/K521)-1)</f>
        <v>4.5475262900640523E-3</v>
      </c>
      <c r="M522" s="8">
        <f>IF(Tabela1511[[#This Row],[Core-Retail Sales]]="",#N/A,((Tabela1511[[#This Row],[Core-Retail Sales]]*1)/K510)-1)</f>
        <v>0.4200285705956095</v>
      </c>
      <c r="N522" s="84">
        <v>232706</v>
      </c>
      <c r="O522" s="8">
        <f>IF(Tabela1511[[#This Row],[Real Retail Sales]]="",#N/A,((Tabela1511[[#This Row],[Real Retail Sales]]*1)/N521)-1)</f>
        <v>1.45889906914487E-3</v>
      </c>
      <c r="P522" s="8">
        <f>IF(Tabela1511[[#This Row],[Real Retail Sales]]="",#N/A,((Tabela1511[[#This Row],[Real Retail Sales]]*1)/N510)-1)</f>
        <v>0.45996950894341593</v>
      </c>
      <c r="Q522" s="32">
        <v>442362</v>
      </c>
      <c r="R522" s="8">
        <f>IF(Tabela1511[[#This Row],[Core²-Retail Sales]]="",#N/A,((Tabela1511[[#This Row],[Core²-Retail Sales]]*1)/Q521)-1)</f>
        <v>7.9476113873229171E-3</v>
      </c>
      <c r="S522" s="8">
        <f>IF(Tabela1511[[#This Row],[Core²-Retail Sales]]="",#N/A,((Tabela1511[[#This Row],[Core²-Retail Sales]]*1)/Q510)-1)</f>
        <v>0.39960514076352105</v>
      </c>
      <c r="T522" s="5">
        <v>88.3</v>
      </c>
      <c r="U522" s="7">
        <v>60.7</v>
      </c>
      <c r="V522" s="25">
        <v>64.3</v>
      </c>
      <c r="W522" s="25">
        <v>55.1</v>
      </c>
      <c r="X522" s="25">
        <v>63</v>
      </c>
      <c r="Y522" s="25">
        <v>64.400000000000006</v>
      </c>
      <c r="Z522" s="25">
        <v>54.8</v>
      </c>
      <c r="AA522" s="25">
        <f>IF([1]!Tabela1511[[#This Row],[Services New Orders]]="","",([1]!Tabela1511[[#This Row],[Manufacturing New Orders]]+[1]!Tabela1511[[#This Row],[Services New Orders]])/2)</f>
        <v>64.349999999999994</v>
      </c>
      <c r="AB522" s="25">
        <f>IF([1]!Tabela1511[[#This Row],[Services Employment]]="",#N/A,([1]!Tabela1511[[#This Row],[Manufacturing Employment]]+[1]!Tabela1511[[#This Row],[Services Employment]])/2)</f>
        <v>54.95</v>
      </c>
    </row>
    <row r="523" spans="1:28">
      <c r="A523" s="6">
        <v>44317</v>
      </c>
      <c r="B523" s="36">
        <v>14689.6</v>
      </c>
      <c r="C523" s="8">
        <f>IF(Tabela1511[[#This Row],[Real PCE]]="",#N/A,((Tabela1511[[#This Row],[Real PCE]]*1)/B522)-1)</f>
        <v>-2.7900914416830735E-3</v>
      </c>
      <c r="D523" s="8">
        <f>IF(Tabela1511[[#This Row],[Real PCE]]="",#N/A,((Tabela1511[[#This Row],[Real PCE]]*1)/B511)-1)</f>
        <v>0.15140304122903281</v>
      </c>
      <c r="E523" s="7">
        <v>99.150800000000004</v>
      </c>
      <c r="F523" s="8">
        <f>IF(Tabela1511[[#This Row],[Industrial Production]]="",#N/A,((Tabela1511[[#This Row],[Industrial Production]]*1)/E522)-1)</f>
        <v>8.772126167226002E-3</v>
      </c>
      <c r="G523" s="8">
        <f>IF(Tabela1511[[#This Row],[Industrial Production]]="",#N/A,((Tabela1511[[#This Row],[Industrial Production]]*1)/E511)-1)</f>
        <v>0.15327567195358549</v>
      </c>
      <c r="H523" s="32">
        <v>615378</v>
      </c>
      <c r="I523" s="8">
        <f>IF(Tabela1511[[#This Row],[Retail Sales]]="",#N/A,((Tabela1511[[#This Row],[Retail Sales]]*1)/H522)-1)</f>
        <v>-8.3441301026820902E-3</v>
      </c>
      <c r="J523" s="8">
        <f>IF(Tabela1511[[#This Row],[Retail Sales]]="",#N/A,((Tabela1511[[#This Row],[Retail Sales]]*1)/H511)-1)</f>
        <v>0.26675463316529124</v>
      </c>
      <c r="K523" s="32">
        <v>484237</v>
      </c>
      <c r="L523" s="8">
        <f>IF(Tabela1511[[#This Row],[Core-Retail Sales]]="",#N/A,((Tabela1511[[#This Row],[Core-Retail Sales]]*1)/K522)-1)</f>
        <v>-5.8449877228567981E-3</v>
      </c>
      <c r="M523" s="8">
        <f>IF(Tabela1511[[#This Row],[Core-Retail Sales]]="",#N/A,((Tabela1511[[#This Row],[Core-Retail Sales]]*1)/K511)-1)</f>
        <v>0.25096747526415042</v>
      </c>
      <c r="N523" s="84">
        <v>229239</v>
      </c>
      <c r="O523" s="8">
        <f>IF(Tabela1511[[#This Row],[Real Retail Sales]]="",#N/A,((Tabela1511[[#This Row],[Real Retail Sales]]*1)/N522)-1)</f>
        <v>-1.4898627452665569E-2</v>
      </c>
      <c r="P523" s="8">
        <f>IF(Tabela1511[[#This Row],[Real Retail Sales]]="",#N/A,((Tabela1511[[#This Row],[Real Retail Sales]]*1)/N511)-1)</f>
        <v>0.20741072369114089</v>
      </c>
      <c r="Q523" s="32">
        <v>439424</v>
      </c>
      <c r="R523" s="8">
        <f>IF(Tabela1511[[#This Row],[Core²-Retail Sales]]="",#N/A,((Tabela1511[[#This Row],[Core²-Retail Sales]]*1)/Q522)-1)</f>
        <v>-6.6416193072641461E-3</v>
      </c>
      <c r="S523" s="8">
        <f>IF(Tabela1511[[#This Row],[Core²-Retail Sales]]="",#N/A,((Tabela1511[[#This Row],[Core²-Retail Sales]]*1)/Q511)-1)</f>
        <v>0.23004229614016225</v>
      </c>
      <c r="T523" s="5">
        <v>82.9</v>
      </c>
      <c r="U523" s="7">
        <v>61.2</v>
      </c>
      <c r="V523" s="25">
        <v>67</v>
      </c>
      <c r="W523" s="25">
        <v>50.9</v>
      </c>
      <c r="X523" s="25">
        <v>63.9</v>
      </c>
      <c r="Y523" s="25">
        <v>64</v>
      </c>
      <c r="Z523" s="25">
        <v>50.9</v>
      </c>
      <c r="AA523" s="25">
        <f>IF([1]!Tabela1511[[#This Row],[Services New Orders]]="","",([1]!Tabela1511[[#This Row],[Manufacturing New Orders]]+[1]!Tabela1511[[#This Row],[Services New Orders]])/2)</f>
        <v>65.5</v>
      </c>
      <c r="AB523" s="25">
        <f>IF([1]!Tabela1511[[#This Row],[Services Employment]]="",#N/A,([1]!Tabela1511[[#This Row],[Manufacturing Employment]]+[1]!Tabela1511[[#This Row],[Services Employment]])/2)</f>
        <v>50.9</v>
      </c>
    </row>
    <row r="524" spans="1:28">
      <c r="A524" s="6">
        <v>44348</v>
      </c>
      <c r="B524" s="36">
        <v>14816.4</v>
      </c>
      <c r="C524" s="8">
        <f>IF(Tabela1511[[#This Row],[Real PCE]]="",#N/A,((Tabela1511[[#This Row],[Real PCE]]*1)/B523)-1)</f>
        <v>8.6319573031259367E-3</v>
      </c>
      <c r="D524" s="8">
        <f>IF(Tabela1511[[#This Row],[Real PCE]]="",#N/A,((Tabela1511[[#This Row],[Real PCE]]*1)/B512)-1)</f>
        <v>0.10038025072782375</v>
      </c>
      <c r="E524" s="7">
        <v>99.509600000000006</v>
      </c>
      <c r="F524" s="8">
        <f>IF(Tabela1511[[#This Row],[Industrial Production]]="",#N/A,((Tabela1511[[#This Row],[Industrial Production]]*1)/E523)-1)</f>
        <v>3.6187302573453817E-3</v>
      </c>
      <c r="G524" s="8">
        <f>IF(Tabela1511[[#This Row],[Industrial Production]]="",#N/A,((Tabela1511[[#This Row],[Industrial Production]]*1)/E512)-1)</f>
        <v>8.6794266211604132E-2</v>
      </c>
      <c r="H524" s="32">
        <v>621612</v>
      </c>
      <c r="I524" s="8">
        <f>IF(Tabela1511[[#This Row],[Retail Sales]]="",#N/A,((Tabela1511[[#This Row],[Retail Sales]]*1)/H523)-1)</f>
        <v>1.0130358901358161E-2</v>
      </c>
      <c r="J524" s="8">
        <f>IF(Tabela1511[[#This Row],[Retail Sales]]="",#N/A,((Tabela1511[[#This Row],[Retail Sales]]*1)/H512)-1)</f>
        <v>0.17850297369084611</v>
      </c>
      <c r="K524" s="32">
        <v>494265</v>
      </c>
      <c r="L524" s="8">
        <f>IF(Tabela1511[[#This Row],[Core-Retail Sales]]="",#N/A,((Tabela1511[[#This Row],[Core-Retail Sales]]*1)/K523)-1)</f>
        <v>2.0708867765164563E-2</v>
      </c>
      <c r="M524" s="8">
        <f>IF(Tabela1511[[#This Row],[Core-Retail Sales]]="",#N/A,((Tabela1511[[#This Row],[Core-Retail Sales]]*1)/K512)-1)</f>
        <v>0.17577722641558813</v>
      </c>
      <c r="N524" s="84">
        <v>229751</v>
      </c>
      <c r="O524" s="8">
        <f>IF(Tabela1511[[#This Row],[Real Retail Sales]]="",#N/A,((Tabela1511[[#This Row],[Real Retail Sales]]*1)/N523)-1)</f>
        <v>2.2334768516700798E-3</v>
      </c>
      <c r="P524" s="8">
        <f>IF(Tabela1511[[#This Row],[Real Retail Sales]]="",#N/A,((Tabela1511[[#This Row],[Real Retail Sales]]*1)/N512)-1)</f>
        <v>0.11938240567508585</v>
      </c>
      <c r="Q524" s="32">
        <v>448577</v>
      </c>
      <c r="R524" s="8">
        <f>IF(Tabela1511[[#This Row],[Core²-Retail Sales]]="",#N/A,((Tabela1511[[#This Row],[Core²-Retail Sales]]*1)/Q523)-1)</f>
        <v>2.0829540489367915E-2</v>
      </c>
      <c r="S524" s="8">
        <f>IF(Tabela1511[[#This Row],[Core²-Retail Sales]]="",#N/A,((Tabela1511[[#This Row],[Core²-Retail Sales]]*1)/Q512)-1)</f>
        <v>0.15972802130327435</v>
      </c>
      <c r="T524" s="5">
        <v>85.5</v>
      </c>
      <c r="U524" s="7">
        <v>60.6</v>
      </c>
      <c r="V524" s="25">
        <v>66</v>
      </c>
      <c r="W524" s="25">
        <v>49.9</v>
      </c>
      <c r="X524" s="25">
        <v>61.2</v>
      </c>
      <c r="Y524" s="25">
        <v>63.3</v>
      </c>
      <c r="Z524" s="25">
        <v>54.4</v>
      </c>
      <c r="AA524" s="25">
        <f>IF([1]!Tabela1511[[#This Row],[Services New Orders]]="","",([1]!Tabela1511[[#This Row],[Manufacturing New Orders]]+[1]!Tabela1511[[#This Row],[Services New Orders]])/2)</f>
        <v>64.650000000000006</v>
      </c>
      <c r="AB524" s="25">
        <f>IF([1]!Tabela1511[[#This Row],[Services Employment]]="",#N/A,([1]!Tabela1511[[#This Row],[Manufacturing Employment]]+[1]!Tabela1511[[#This Row],[Services Employment]])/2)</f>
        <v>52.15</v>
      </c>
    </row>
    <row r="525" spans="1:28">
      <c r="A525" s="6">
        <v>44378</v>
      </c>
      <c r="B525" s="36">
        <v>14784</v>
      </c>
      <c r="C525" s="8">
        <f>IF(Tabela1511[[#This Row],[Real PCE]]="",#N/A,((Tabela1511[[#This Row],[Real PCE]]*1)/B524)-1)</f>
        <v>-2.1867660160362901E-3</v>
      </c>
      <c r="D525" s="8">
        <f>IF(Tabela1511[[#This Row],[Real PCE]]="",#N/A,((Tabela1511[[#This Row],[Real PCE]]*1)/B513)-1)</f>
        <v>8.1705969723354421E-2</v>
      </c>
      <c r="E525" s="7">
        <v>100.12309999999999</v>
      </c>
      <c r="F525" s="8">
        <f>IF(Tabela1511[[#This Row],[Industrial Production]]="",#N/A,((Tabela1511[[#This Row],[Industrial Production]]*1)/E524)-1)</f>
        <v>6.1652343090514705E-3</v>
      </c>
      <c r="G525" s="8">
        <f>IF(Tabela1511[[#This Row],[Industrial Production]]="",#N/A,((Tabela1511[[#This Row],[Industrial Production]]*1)/E513)-1)</f>
        <v>5.3767639431496761E-2</v>
      </c>
      <c r="H525" s="32">
        <v>612394</v>
      </c>
      <c r="I525" s="8">
        <f>IF(Tabela1511[[#This Row],[Retail Sales]]="",#N/A,((Tabela1511[[#This Row],[Retail Sales]]*1)/H524)-1)</f>
        <v>-1.4829186051749321E-2</v>
      </c>
      <c r="J525" s="8">
        <f>IF(Tabela1511[[#This Row],[Retail Sales]]="",#N/A,((Tabela1511[[#This Row],[Retail Sales]]*1)/H513)-1)</f>
        <v>0.14285874246982333</v>
      </c>
      <c r="K525" s="32">
        <v>490251</v>
      </c>
      <c r="L525" s="8">
        <f>IF(Tabela1511[[#This Row],[Core-Retail Sales]]="",#N/A,((Tabela1511[[#This Row],[Core-Retail Sales]]*1)/K524)-1)</f>
        <v>-8.1211495857484994E-3</v>
      </c>
      <c r="M525" s="8">
        <f>IF(Tabela1511[[#This Row],[Core-Retail Sales]]="",#N/A,((Tabela1511[[#This Row],[Core-Retail Sales]]*1)/K513)-1)</f>
        <v>0.14116954218303368</v>
      </c>
      <c r="N525" s="84">
        <v>225340</v>
      </c>
      <c r="O525" s="8">
        <f>IF(Tabela1511[[#This Row],[Real Retail Sales]]="",#N/A,((Tabela1511[[#This Row],[Real Retail Sales]]*1)/N524)-1)</f>
        <v>-1.919904592363042E-2</v>
      </c>
      <c r="P525" s="8">
        <f>IF(Tabela1511[[#This Row],[Real Retail Sales]]="",#N/A,((Tabela1511[[#This Row],[Real Retail Sales]]*1)/N513)-1)</f>
        <v>8.6143405248038318E-2</v>
      </c>
      <c r="Q525" s="32">
        <v>443592</v>
      </c>
      <c r="R525" s="8">
        <f>IF(Tabela1511[[#This Row],[Core²-Retail Sales]]="",#N/A,((Tabela1511[[#This Row],[Core²-Retail Sales]]*1)/Q524)-1)</f>
        <v>-1.111291929813607E-2</v>
      </c>
      <c r="S525" s="8">
        <f>IF(Tabela1511[[#This Row],[Core²-Retail Sales]]="",#N/A,((Tabela1511[[#This Row],[Core²-Retail Sales]]*1)/Q513)-1)</f>
        <v>0.12486591894023347</v>
      </c>
      <c r="T525" s="5">
        <v>81.2</v>
      </c>
      <c r="U525" s="7">
        <v>59.5</v>
      </c>
      <c r="V525" s="25">
        <v>64.900000000000006</v>
      </c>
      <c r="W525" s="25">
        <v>52.9</v>
      </c>
      <c r="X525" s="25">
        <v>64</v>
      </c>
      <c r="Y525" s="25">
        <v>63.3</v>
      </c>
      <c r="Z525" s="25">
        <v>54.1</v>
      </c>
      <c r="AA525" s="25">
        <f>IF([1]!Tabela1511[[#This Row],[Services New Orders]]="","",([1]!Tabela1511[[#This Row],[Manufacturing New Orders]]+[1]!Tabela1511[[#This Row],[Services New Orders]])/2)</f>
        <v>64.099999999999994</v>
      </c>
      <c r="AB525" s="25">
        <f>IF([1]!Tabela1511[[#This Row],[Services Employment]]="",#N/A,([1]!Tabela1511[[#This Row],[Manufacturing Employment]]+[1]!Tabela1511[[#This Row],[Services Employment]])/2)</f>
        <v>53.5</v>
      </c>
    </row>
    <row r="526" spans="1:28">
      <c r="A526" s="6">
        <v>44409</v>
      </c>
      <c r="B526" s="36">
        <v>14863</v>
      </c>
      <c r="C526" s="8">
        <f>IF(Tabela1511[[#This Row],[Real PCE]]="",#N/A,((Tabela1511[[#This Row],[Real PCE]]*1)/B525)-1)</f>
        <v>5.3436147186147753E-3</v>
      </c>
      <c r="D526" s="8">
        <f>IF(Tabela1511[[#This Row],[Real PCE]]="",#N/A,((Tabela1511[[#This Row],[Real PCE]]*1)/B514)-1)</f>
        <v>8.0073540632652929E-2</v>
      </c>
      <c r="E526" s="7">
        <v>100.1255</v>
      </c>
      <c r="F526" s="8">
        <f>IF(Tabela1511[[#This Row],[Industrial Production]]="",#N/A,((Tabela1511[[#This Row],[Industrial Production]]*1)/E525)-1)</f>
        <v>2.397049232394366E-5</v>
      </c>
      <c r="G526" s="8">
        <f>IF(Tabela1511[[#This Row],[Industrial Production]]="",#N/A,((Tabela1511[[#This Row],[Industrial Production]]*1)/E514)-1)</f>
        <v>4.4191093576783969E-2</v>
      </c>
      <c r="H526" s="32">
        <v>617658</v>
      </c>
      <c r="I526" s="8">
        <f>IF(Tabela1511[[#This Row],[Retail Sales]]="",#N/A,((Tabela1511[[#This Row],[Retail Sales]]*1)/H525)-1)</f>
        <v>8.5957733093400268E-3</v>
      </c>
      <c r="J526" s="8">
        <f>IF(Tabela1511[[#This Row],[Retail Sales]]="",#N/A,((Tabela1511[[#This Row],[Retail Sales]]*1)/H514)-1)</f>
        <v>0.14128970626005888</v>
      </c>
      <c r="K526" s="32">
        <v>497907</v>
      </c>
      <c r="L526" s="8">
        <f>IF(Tabela1511[[#This Row],[Core-Retail Sales]]="",#N/A,((Tabela1511[[#This Row],[Core-Retail Sales]]*1)/K525)-1)</f>
        <v>1.5616490328423493E-2</v>
      </c>
      <c r="M526" s="8">
        <f>IF(Tabela1511[[#This Row],[Core-Retail Sales]]="",#N/A,((Tabela1511[[#This Row],[Core-Retail Sales]]*1)/K514)-1)</f>
        <v>0.14798120463705033</v>
      </c>
      <c r="N526" s="84">
        <v>226356</v>
      </c>
      <c r="O526" s="8">
        <f>IF(Tabela1511[[#This Row],[Real Retail Sales]]="",#N/A,((Tabela1511[[#This Row],[Real Retail Sales]]*1)/N525)-1)</f>
        <v>4.5087423449010622E-3</v>
      </c>
      <c r="P526" s="8">
        <f>IF(Tabela1511[[#This Row],[Real Retail Sales]]="",#N/A,((Tabela1511[[#This Row],[Real Retail Sales]]*1)/N514)-1)</f>
        <v>8.4995014955134618E-2</v>
      </c>
      <c r="Q526" s="32">
        <v>449723</v>
      </c>
      <c r="R526" s="8">
        <f>IF(Tabela1511[[#This Row],[Core²-Retail Sales]]="",#N/A,((Tabela1511[[#This Row],[Core²-Retail Sales]]*1)/Q525)-1)</f>
        <v>1.3821259175097911E-2</v>
      </c>
      <c r="S526" s="8">
        <f>IF(Tabela1511[[#This Row],[Core²-Retail Sales]]="",#N/A,((Tabela1511[[#This Row],[Core²-Retail Sales]]*1)/Q514)-1)</f>
        <v>0.1312505502521728</v>
      </c>
      <c r="T526" s="5">
        <v>70.3</v>
      </c>
      <c r="U526" s="7">
        <v>59.9</v>
      </c>
      <c r="V526" s="25">
        <v>66.7</v>
      </c>
      <c r="W526" s="25">
        <v>49</v>
      </c>
      <c r="X526" s="25">
        <v>61.7</v>
      </c>
      <c r="Y526" s="25">
        <v>62.7</v>
      </c>
      <c r="Z526" s="25">
        <v>53.4</v>
      </c>
      <c r="AA526" s="25">
        <f>IF([1]!Tabela1511[[#This Row],[Services New Orders]]="","",([1]!Tabela1511[[#This Row],[Manufacturing New Orders]]+[1]!Tabela1511[[#This Row],[Services New Orders]])/2)</f>
        <v>64.7</v>
      </c>
      <c r="AB526" s="25">
        <f>IF([1]!Tabela1511[[#This Row],[Services Employment]]="",#N/A,([1]!Tabela1511[[#This Row],[Manufacturing Employment]]+[1]!Tabela1511[[#This Row],[Services Employment]])/2)</f>
        <v>51.2</v>
      </c>
    </row>
    <row r="527" spans="1:28">
      <c r="A527" s="6">
        <v>44440</v>
      </c>
      <c r="B527" s="36">
        <v>14899.4</v>
      </c>
      <c r="C527" s="8">
        <f>IF(Tabela1511[[#This Row],[Real PCE]]="",#N/A,((Tabela1511[[#This Row],[Real PCE]]*1)/B526)-1)</f>
        <v>2.4490345152392567E-3</v>
      </c>
      <c r="D527" s="8">
        <f>IF(Tabela1511[[#This Row],[Real PCE]]="",#N/A,((Tabela1511[[#This Row],[Real PCE]]*1)/B515)-1)</f>
        <v>6.7797096048274996E-2</v>
      </c>
      <c r="E527" s="7">
        <v>99.061400000000006</v>
      </c>
      <c r="F527" s="8">
        <f>IF(Tabela1511[[#This Row],[Industrial Production]]="",#N/A,((Tabela1511[[#This Row],[Industrial Production]]*1)/E526)-1)</f>
        <v>-1.0627662283833716E-2</v>
      </c>
      <c r="G527" s="8">
        <f>IF(Tabela1511[[#This Row],[Industrial Production]]="",#N/A,((Tabela1511[[#This Row],[Industrial Production]]*1)/E515)-1)</f>
        <v>3.3564819645174993E-2</v>
      </c>
      <c r="H527" s="32">
        <v>622104</v>
      </c>
      <c r="I527" s="8">
        <f>IF(Tabela1511[[#This Row],[Retail Sales]]="",#N/A,((Tabela1511[[#This Row],[Retail Sales]]*1)/H526)-1)</f>
        <v>7.1981582040545611E-3</v>
      </c>
      <c r="J527" s="8">
        <f>IF(Tabela1511[[#This Row],[Retail Sales]]="",#N/A,((Tabela1511[[#This Row],[Retail Sales]]*1)/H515)-1)</f>
        <v>0.12706125332898521</v>
      </c>
      <c r="K527" s="32">
        <v>500991</v>
      </c>
      <c r="L527" s="8">
        <f>IF(Tabela1511[[#This Row],[Core-Retail Sales]]="",#N/A,((Tabela1511[[#This Row],[Core-Retail Sales]]*1)/K526)-1)</f>
        <v>6.1939277816942528E-3</v>
      </c>
      <c r="M527" s="8">
        <f>IF(Tabela1511[[#This Row],[Core-Retail Sales]]="",#N/A,((Tabela1511[[#This Row],[Core-Retail Sales]]*1)/K515)-1)</f>
        <v>0.13648499971644079</v>
      </c>
      <c r="N527" s="84">
        <v>227022</v>
      </c>
      <c r="O527" s="8">
        <f>IF(Tabela1511[[#This Row],[Real Retail Sales]]="",#N/A,((Tabela1511[[#This Row],[Real Retail Sales]]*1)/N526)-1)</f>
        <v>2.9422679319301981E-3</v>
      </c>
      <c r="P527" s="8">
        <f>IF(Tabela1511[[#This Row],[Real Retail Sales]]="",#N/A,((Tabela1511[[#This Row],[Real Retail Sales]]*1)/N515)-1)</f>
        <v>6.9486319439210131E-2</v>
      </c>
      <c r="Q527" s="32">
        <v>451216</v>
      </c>
      <c r="R527" s="8">
        <f>IF(Tabela1511[[#This Row],[Core²-Retail Sales]]="",#N/A,((Tabela1511[[#This Row],[Core²-Retail Sales]]*1)/Q526)-1)</f>
        <v>3.3198213122300757E-3</v>
      </c>
      <c r="S527" s="8">
        <f>IF(Tabela1511[[#This Row],[Core²-Retail Sales]]="",#N/A,((Tabela1511[[#This Row],[Core²-Retail Sales]]*1)/Q515)-1)</f>
        <v>0.11574173670714538</v>
      </c>
      <c r="T527" s="5">
        <v>72.8</v>
      </c>
      <c r="U527" s="7">
        <v>61.1</v>
      </c>
      <c r="V527" s="25">
        <v>66.7</v>
      </c>
      <c r="W527" s="25">
        <v>50.2</v>
      </c>
      <c r="X527" s="25">
        <v>62.1</v>
      </c>
      <c r="Y527" s="25">
        <v>63</v>
      </c>
      <c r="Z527" s="25">
        <v>52.9</v>
      </c>
      <c r="AA527" s="25">
        <f>IF([1]!Tabela1511[[#This Row],[Services New Orders]]="","",([1]!Tabela1511[[#This Row],[Manufacturing New Orders]]+[1]!Tabela1511[[#This Row],[Services New Orders]])/2)</f>
        <v>64.849999999999994</v>
      </c>
      <c r="AB527" s="25">
        <f>IF([1]!Tabela1511[[#This Row],[Services Employment]]="",#N/A,([1]!Tabela1511[[#This Row],[Manufacturing Employment]]+[1]!Tabela1511[[#This Row],[Services Employment]])/2)</f>
        <v>51.55</v>
      </c>
    </row>
    <row r="528" spans="1:28">
      <c r="A528" s="6">
        <v>44470</v>
      </c>
      <c r="B528" s="36">
        <v>14997.3</v>
      </c>
      <c r="C528" s="8">
        <f>IF(Tabela1511[[#This Row],[Real PCE]]="",#N/A,((Tabela1511[[#This Row],[Real PCE]]*1)/B527)-1)</f>
        <v>6.5707343919889638E-3</v>
      </c>
      <c r="D528" s="8">
        <f>IF(Tabela1511[[#This Row],[Real PCE]]="",#N/A,((Tabela1511[[#This Row],[Real PCE]]*1)/B516)-1)</f>
        <v>7.210871709820843E-2</v>
      </c>
      <c r="E528" s="7">
        <v>100.3045</v>
      </c>
      <c r="F528" s="8">
        <f>IF(Tabela1511[[#This Row],[Industrial Production]]="",#N/A,((Tabela1511[[#This Row],[Industrial Production]]*1)/E527)-1)</f>
        <v>1.254878287607486E-2</v>
      </c>
      <c r="G528" s="8">
        <f>IF(Tabela1511[[#This Row],[Industrial Production]]="",#N/A,((Tabela1511[[#This Row],[Industrial Production]]*1)/E516)-1)</f>
        <v>4.0188034329850408E-2</v>
      </c>
      <c r="H528" s="32">
        <v>632065</v>
      </c>
      <c r="I528" s="8">
        <f>IF(Tabela1511[[#This Row],[Retail Sales]]="",#N/A,((Tabela1511[[#This Row],[Retail Sales]]*1)/H527)-1)</f>
        <v>1.6011792240525624E-2</v>
      </c>
      <c r="J528" s="8">
        <f>IF(Tabela1511[[#This Row],[Retail Sales]]="",#N/A,((Tabela1511[[#This Row],[Retail Sales]]*1)/H516)-1)</f>
        <v>0.14970032650314224</v>
      </c>
      <c r="K528" s="32">
        <v>509180</v>
      </c>
      <c r="L528" s="8">
        <f>IF(Tabela1511[[#This Row],[Core-Retail Sales]]="",#N/A,((Tabela1511[[#This Row],[Core-Retail Sales]]*1)/K527)-1)</f>
        <v>1.6345603014824572E-2</v>
      </c>
      <c r="M528" s="8">
        <f>IF(Tabela1511[[#This Row],[Core-Retail Sales]]="",#N/A,((Tabela1511[[#This Row],[Core-Retail Sales]]*1)/K516)-1)</f>
        <v>0.15917415841606708</v>
      </c>
      <c r="N528" s="84">
        <v>228577</v>
      </c>
      <c r="O528" s="8">
        <f>IF(Tabela1511[[#This Row],[Real Retail Sales]]="",#N/A,((Tabela1511[[#This Row],[Real Retail Sales]]*1)/N527)-1)</f>
        <v>6.8495564306543244E-3</v>
      </c>
      <c r="P528" s="8">
        <f>IF(Tabela1511[[#This Row],[Real Retail Sales]]="",#N/A,((Tabela1511[[#This Row],[Real Retail Sales]]*1)/N516)-1)</f>
        <v>8.2195477615332191E-2</v>
      </c>
      <c r="Q528" s="32">
        <v>457520</v>
      </c>
      <c r="R528" s="8">
        <f>IF(Tabela1511[[#This Row],[Core²-Retail Sales]]="",#N/A,((Tabela1511[[#This Row],[Core²-Retail Sales]]*1)/Q527)-1)</f>
        <v>1.3971135775327159E-2</v>
      </c>
      <c r="S528" s="8">
        <f>IF(Tabela1511[[#This Row],[Core²-Retail Sales]]="",#N/A,((Tabela1511[[#This Row],[Core²-Retail Sales]]*1)/Q516)-1)</f>
        <v>0.13552768084504385</v>
      </c>
      <c r="T528" s="5">
        <v>71.7</v>
      </c>
      <c r="U528" s="7">
        <v>60.8</v>
      </c>
      <c r="V528" s="25">
        <v>59.8</v>
      </c>
      <c r="W528" s="25">
        <v>52</v>
      </c>
      <c r="X528" s="25">
        <v>66.599999999999994</v>
      </c>
      <c r="Y528" s="25">
        <v>69.2</v>
      </c>
      <c r="Z528" s="25">
        <v>56.1</v>
      </c>
      <c r="AA528" s="25">
        <f>IF([1]!Tabela1511[[#This Row],[Services New Orders]]="","",([1]!Tabela1511[[#This Row],[Manufacturing New Orders]]+[1]!Tabela1511[[#This Row],[Services New Orders]])/2)</f>
        <v>64.5</v>
      </c>
      <c r="AB528" s="25">
        <f>IF([1]!Tabela1511[[#This Row],[Services Employment]]="",#N/A,([1]!Tabela1511[[#This Row],[Manufacturing Employment]]+[1]!Tabela1511[[#This Row],[Services Employment]])/2)</f>
        <v>54.05</v>
      </c>
    </row>
    <row r="529" spans="1:28">
      <c r="A529" s="6">
        <v>44501</v>
      </c>
      <c r="B529" s="36">
        <v>15019.2</v>
      </c>
      <c r="C529" s="8">
        <f>IF(Tabela1511[[#This Row],[Real PCE]]="",#N/A,((Tabela1511[[#This Row],[Real PCE]]*1)/B528)-1)</f>
        <v>1.4602628473125989E-3</v>
      </c>
      <c r="D529" s="8">
        <f>IF(Tabela1511[[#This Row],[Real PCE]]="",#N/A,((Tabela1511[[#This Row],[Real PCE]]*1)/B517)-1)</f>
        <v>7.634424784468874E-2</v>
      </c>
      <c r="E529" s="7">
        <v>101.19710000000001</v>
      </c>
      <c r="F529" s="8">
        <f>IF(Tabela1511[[#This Row],[Industrial Production]]="",#N/A,((Tabela1511[[#This Row],[Industrial Production]]*1)/E528)-1)</f>
        <v>8.8989028408497095E-3</v>
      </c>
      <c r="G529" s="8">
        <f>IF(Tabela1511[[#This Row],[Industrial Production]]="",#N/A,((Tabela1511[[#This Row],[Industrial Production]]*1)/E517)-1)</f>
        <v>4.4815830445897431E-2</v>
      </c>
      <c r="H529" s="32">
        <v>639228</v>
      </c>
      <c r="I529" s="8">
        <f>IF(Tabela1511[[#This Row],[Retail Sales]]="",#N/A,((Tabela1511[[#This Row],[Retail Sales]]*1)/H528)-1)</f>
        <v>1.1332695213308819E-2</v>
      </c>
      <c r="J529" s="8">
        <f>IF(Tabela1511[[#This Row],[Retail Sales]]="",#N/A,((Tabela1511[[#This Row],[Retail Sales]]*1)/H517)-1)</f>
        <v>0.17324200360106379</v>
      </c>
      <c r="K529" s="32">
        <v>513999</v>
      </c>
      <c r="L529" s="8">
        <f>IF(Tabela1511[[#This Row],[Core-Retail Sales]]="",#N/A,((Tabela1511[[#This Row],[Core-Retail Sales]]*1)/K528)-1)</f>
        <v>9.4642366157351443E-3</v>
      </c>
      <c r="M529" s="8">
        <f>IF(Tabela1511[[#This Row],[Core-Retail Sales]]="",#N/A,((Tabela1511[[#This Row],[Core-Retail Sales]]*1)/K517)-1)</f>
        <v>0.18077628151231551</v>
      </c>
      <c r="N529" s="84">
        <v>229352</v>
      </c>
      <c r="O529" s="8">
        <f>IF(Tabela1511[[#This Row],[Real Retail Sales]]="",#N/A,((Tabela1511[[#This Row],[Real Retail Sales]]*1)/N528)-1)</f>
        <v>3.3905423555300462E-3</v>
      </c>
      <c r="P529" s="8">
        <f>IF(Tabela1511[[#This Row],[Real Retail Sales]]="",#N/A,((Tabela1511[[#This Row],[Real Retail Sales]]*1)/N517)-1)</f>
        <v>9.7903303015796972E-2</v>
      </c>
      <c r="Q529" s="32">
        <v>461463</v>
      </c>
      <c r="R529" s="8">
        <f>IF(Tabela1511[[#This Row],[Core²-Retail Sales]]="",#N/A,((Tabela1511[[#This Row],[Core²-Retail Sales]]*1)/Q528)-1)</f>
        <v>8.6182024829515314E-3</v>
      </c>
      <c r="S529" s="8">
        <f>IF(Tabela1511[[#This Row],[Core²-Retail Sales]]="",#N/A,((Tabela1511[[#This Row],[Core²-Retail Sales]]*1)/Q517)-1)</f>
        <v>0.15353637868023862</v>
      </c>
      <c r="T529" s="5">
        <v>67.400000000000006</v>
      </c>
      <c r="U529" s="7">
        <v>61.1</v>
      </c>
      <c r="V529" s="25">
        <v>61.5</v>
      </c>
      <c r="W529" s="25">
        <v>53.3</v>
      </c>
      <c r="X529" s="25">
        <v>67.599999999999994</v>
      </c>
      <c r="Y529" s="25">
        <v>68.3</v>
      </c>
      <c r="Z529" s="25">
        <v>54.4</v>
      </c>
      <c r="AA529" s="25">
        <f>IF([1]!Tabela1511[[#This Row],[Services New Orders]]="","",([1]!Tabela1511[[#This Row],[Manufacturing New Orders]]+[1]!Tabela1511[[#This Row],[Services New Orders]])/2)</f>
        <v>64.900000000000006</v>
      </c>
      <c r="AB529" s="25">
        <f>IF([1]!Tabela1511[[#This Row],[Services Employment]]="",#N/A,([1]!Tabela1511[[#This Row],[Manufacturing Employment]]+[1]!Tabela1511[[#This Row],[Services Employment]])/2)</f>
        <v>53.849999999999994</v>
      </c>
    </row>
    <row r="530" spans="1:28">
      <c r="A530" s="6">
        <v>44531</v>
      </c>
      <c r="B530" s="36">
        <v>14970.4</v>
      </c>
      <c r="C530" s="8">
        <f>IF(Tabela1511[[#This Row],[Real PCE]]="",#N/A,((Tabela1511[[#This Row],[Real PCE]]*1)/B529)-1)</f>
        <v>-3.2491743901140735E-3</v>
      </c>
      <c r="D530" s="8">
        <f>IF(Tabela1511[[#This Row],[Real PCE]]="",#N/A,((Tabela1511[[#This Row],[Real PCE]]*1)/B518)-1)</f>
        <v>6.883331072445964E-2</v>
      </c>
      <c r="E530" s="7">
        <v>100.886</v>
      </c>
      <c r="F530" s="8">
        <f>IF(Tabela1511[[#This Row],[Industrial Production]]="",#N/A,((Tabela1511[[#This Row],[Industrial Production]]*1)/E529)-1)</f>
        <v>-3.0741987665655612E-3</v>
      </c>
      <c r="G530" s="8">
        <f>IF(Tabela1511[[#This Row],[Industrial Production]]="",#N/A,((Tabela1511[[#This Row],[Industrial Production]]*1)/E518)-1)</f>
        <v>2.9707457178026253E-2</v>
      </c>
      <c r="H530" s="32">
        <v>635598</v>
      </c>
      <c r="I530" s="8">
        <f>IF(Tabela1511[[#This Row],[Retail Sales]]="",#N/A,((Tabela1511[[#This Row],[Retail Sales]]*1)/H529)-1)</f>
        <v>-5.6787249619854041E-3</v>
      </c>
      <c r="J530" s="8">
        <f>IF(Tabela1511[[#This Row],[Retail Sales]]="",#N/A,((Tabela1511[[#This Row],[Retail Sales]]*1)/H518)-1)</f>
        <v>0.15521684920701273</v>
      </c>
      <c r="K530" s="32">
        <v>512427</v>
      </c>
      <c r="L530" s="8">
        <f>IF(Tabela1511[[#This Row],[Core-Retail Sales]]="",#N/A,((Tabela1511[[#This Row],[Core-Retail Sales]]*1)/K529)-1)</f>
        <v>-3.0583717088943363E-3</v>
      </c>
      <c r="M530" s="8">
        <f>IF(Tabela1511[[#This Row],[Core-Retail Sales]]="",#N/A,((Tabela1511[[#This Row],[Core-Retail Sales]]*1)/K518)-1)</f>
        <v>0.17036020254112838</v>
      </c>
      <c r="N530" s="84">
        <v>226282</v>
      </c>
      <c r="O530" s="8">
        <f>IF(Tabela1511[[#This Row],[Real Retail Sales]]="",#N/A,((Tabela1511[[#This Row],[Real Retail Sales]]*1)/N529)-1)</f>
        <v>-1.3385538386410434E-2</v>
      </c>
      <c r="P530" s="8">
        <f>IF(Tabela1511[[#This Row],[Real Retail Sales]]="",#N/A,((Tabela1511[[#This Row],[Real Retail Sales]]*1)/N518)-1)</f>
        <v>7.7682156107272027E-2</v>
      </c>
      <c r="Q530" s="32">
        <v>458623</v>
      </c>
      <c r="R530" s="8">
        <f>IF(Tabela1511[[#This Row],[Core²-Retail Sales]]="",#N/A,((Tabela1511[[#This Row],[Core²-Retail Sales]]*1)/Q529)-1)</f>
        <v>-6.154339567852718E-3</v>
      </c>
      <c r="S530" s="8">
        <f>IF(Tabela1511[[#This Row],[Core²-Retail Sales]]="",#N/A,((Tabela1511[[#This Row],[Core²-Retail Sales]]*1)/Q518)-1)</f>
        <v>0.14824542076852976</v>
      </c>
      <c r="T530" s="5">
        <v>70.599999999999994</v>
      </c>
      <c r="U530" s="7">
        <v>58.8</v>
      </c>
      <c r="V530" s="25">
        <v>61</v>
      </c>
      <c r="W530" s="25">
        <v>53.9</v>
      </c>
      <c r="X530" s="25">
        <v>61.7</v>
      </c>
      <c r="Y530" s="25">
        <v>61.9</v>
      </c>
      <c r="Z530" s="25">
        <v>52.2</v>
      </c>
      <c r="AA530" s="25">
        <f>IF([1]!Tabela1511[[#This Row],[Services New Orders]]="","",([1]!Tabela1511[[#This Row],[Manufacturing New Orders]]+[1]!Tabela1511[[#This Row],[Services New Orders]])/2)</f>
        <v>61.45</v>
      </c>
      <c r="AB530" s="25">
        <f>IF([1]!Tabela1511[[#This Row],[Services Employment]]="",#N/A,([1]!Tabela1511[[#This Row],[Manufacturing Employment]]+[1]!Tabela1511[[#This Row],[Services Employment]])/2)</f>
        <v>53.05</v>
      </c>
    </row>
    <row r="531" spans="1:28">
      <c r="A531" s="6">
        <v>44562</v>
      </c>
      <c r="B531" s="36">
        <v>14971.1</v>
      </c>
      <c r="C531" s="8">
        <f>IF(Tabela1511[[#This Row],[Real PCE]]="",#N/A,((Tabela1511[[#This Row],[Real PCE]]*1)/B530)-1)</f>
        <v>4.6758937636948161E-5</v>
      </c>
      <c r="D531" s="8">
        <f>IF(Tabela1511[[#This Row],[Real PCE]]="",#N/A,((Tabela1511[[#This Row],[Real PCE]]*1)/B519)-1)</f>
        <v>5.5737728038813383E-2</v>
      </c>
      <c r="E531" s="7">
        <v>101.0227</v>
      </c>
      <c r="F531" s="8">
        <f>IF(Tabela1511[[#This Row],[Industrial Production]]="",#N/A,((Tabela1511[[#This Row],[Industrial Production]]*1)/E530)-1)</f>
        <v>1.3549947465456569E-3</v>
      </c>
      <c r="G531" s="8">
        <f>IF(Tabela1511[[#This Row],[Industrial Production]]="",#N/A,((Tabela1511[[#This Row],[Industrial Production]]*1)/E519)-1)</f>
        <v>2.2666717957231741E-2</v>
      </c>
      <c r="H531" s="32">
        <v>644750</v>
      </c>
      <c r="I531" s="8">
        <f>IF(Tabela1511[[#This Row],[Retail Sales]]="",#N/A,((Tabela1511[[#This Row],[Retail Sales]]*1)/H530)-1)</f>
        <v>1.4399038385898066E-2</v>
      </c>
      <c r="J531" s="8">
        <f>IF(Tabela1511[[#This Row],[Retail Sales]]="",#N/A,((Tabela1511[[#This Row],[Retail Sales]]*1)/H519)-1)</f>
        <v>0.13251327486479214</v>
      </c>
      <c r="K531" s="32">
        <v>516163</v>
      </c>
      <c r="L531" s="8">
        <f>IF(Tabela1511[[#This Row],[Core-Retail Sales]]="",#N/A,((Tabela1511[[#This Row],[Core-Retail Sales]]*1)/K530)-1)</f>
        <v>7.2907945912294991E-3</v>
      </c>
      <c r="M531" s="8">
        <f>IF(Tabela1511[[#This Row],[Core-Retail Sales]]="",#N/A,((Tabela1511[[#This Row],[Core-Retail Sales]]*1)/K519)-1)</f>
        <v>0.13410513086428444</v>
      </c>
      <c r="N531" s="84">
        <v>228150</v>
      </c>
      <c r="O531" s="8">
        <f>IF(Tabela1511[[#This Row],[Real Retail Sales]]="",#N/A,((Tabela1511[[#This Row],[Real Retail Sales]]*1)/N530)-1)</f>
        <v>8.2551860068409422E-3</v>
      </c>
      <c r="P531" s="8">
        <f>IF(Tabela1511[[#This Row],[Real Retail Sales]]="",#N/A,((Tabela1511[[#This Row],[Real Retail Sales]]*1)/N519)-1)</f>
        <v>5.2566018933732028E-2</v>
      </c>
      <c r="Q531" s="32">
        <v>463017</v>
      </c>
      <c r="R531" s="8">
        <f>IF(Tabela1511[[#This Row],[Core²-Retail Sales]]="",#N/A,((Tabela1511[[#This Row],[Core²-Retail Sales]]*1)/Q530)-1)</f>
        <v>9.5808539911865775E-3</v>
      </c>
      <c r="S531" s="8">
        <f>IF(Tabela1511[[#This Row],[Core²-Retail Sales]]="",#N/A,((Tabela1511[[#This Row],[Core²-Retail Sales]]*1)/Q519)-1)</f>
        <v>0.11634921400327891</v>
      </c>
      <c r="T531" s="5">
        <v>67.2</v>
      </c>
      <c r="U531" s="7">
        <v>57.6</v>
      </c>
      <c r="V531" s="25">
        <v>57.9</v>
      </c>
      <c r="W531" s="25">
        <v>54.5</v>
      </c>
      <c r="X531" s="25">
        <v>60.4</v>
      </c>
      <c r="Y531" s="25">
        <v>62.2</v>
      </c>
      <c r="Z531" s="25">
        <v>49</v>
      </c>
      <c r="AA531" s="25">
        <f>IF([1]!Tabela1511[[#This Row],[Services New Orders]]="","",([1]!Tabela1511[[#This Row],[Manufacturing New Orders]]+[1]!Tabela1511[[#This Row],[Services New Orders]])/2)</f>
        <v>60.05</v>
      </c>
      <c r="AB531" s="25">
        <f>IF([1]!Tabela1511[[#This Row],[Services Employment]]="",#N/A,([1]!Tabela1511[[#This Row],[Manufacturing Employment]]+[1]!Tabela1511[[#This Row],[Services Employment]])/2)</f>
        <v>51.75</v>
      </c>
    </row>
    <row r="532" spans="1:28">
      <c r="A532" s="6">
        <v>44593</v>
      </c>
      <c r="B532" s="36">
        <v>14980.6</v>
      </c>
      <c r="C532" s="8">
        <f>IF(Tabela1511[[#This Row],[Real PCE]]="",#N/A,((Tabela1511[[#This Row],[Real PCE]]*1)/B531)-1)</f>
        <v>6.3455591105521236E-4</v>
      </c>
      <c r="D532" s="8">
        <f>IF(Tabela1511[[#This Row],[Real PCE]]="",#N/A,((Tabela1511[[#This Row],[Real PCE]]*1)/B520)-1)</f>
        <v>6.7161521036059879E-2</v>
      </c>
      <c r="E532" s="7">
        <v>101.67659999999999</v>
      </c>
      <c r="F532" s="8">
        <f>IF(Tabela1511[[#This Row],[Industrial Production]]="",#N/A,((Tabela1511[[#This Row],[Industrial Production]]*1)/E531)-1)</f>
        <v>6.4728026473257483E-3</v>
      </c>
      <c r="G532" s="8">
        <f>IF(Tabela1511[[#This Row],[Industrial Production]]="",#N/A,((Tabela1511[[#This Row],[Industrial Production]]*1)/E520)-1)</f>
        <v>6.6078528410139503E-2</v>
      </c>
      <c r="H532" s="32">
        <v>653552</v>
      </c>
      <c r="I532" s="8">
        <f>IF(Tabela1511[[#This Row],[Retail Sales]]="",#N/A,((Tabela1511[[#This Row],[Retail Sales]]*1)/H531)-1)</f>
        <v>1.3651803024428144E-2</v>
      </c>
      <c r="J532" s="8">
        <f>IF(Tabela1511[[#This Row],[Retail Sales]]="",#N/A,((Tabela1511[[#This Row],[Retail Sales]]*1)/H520)-1)</f>
        <v>0.1777218346851579</v>
      </c>
      <c r="K532" s="32">
        <v>523084</v>
      </c>
      <c r="L532" s="8">
        <f>IF(Tabela1511[[#This Row],[Core-Retail Sales]]="",#N/A,((Tabela1511[[#This Row],[Core-Retail Sales]]*1)/K531)-1)</f>
        <v>1.3408555049470916E-2</v>
      </c>
      <c r="M532" s="8">
        <f>IF(Tabela1511[[#This Row],[Core-Retail Sales]]="",#N/A,((Tabela1511[[#This Row],[Core-Retail Sales]]*1)/K520)-1)</f>
        <v>0.17806670435274174</v>
      </c>
      <c r="N532" s="84">
        <v>229631</v>
      </c>
      <c r="O532" s="8">
        <f>IF(Tabela1511[[#This Row],[Real Retail Sales]]="",#N/A,((Tabela1511[[#This Row],[Real Retail Sales]]*1)/N531)-1)</f>
        <v>6.4913434144202586E-3</v>
      </c>
      <c r="P532" s="8">
        <f>IF(Tabela1511[[#This Row],[Real Retail Sales]]="",#N/A,((Tabela1511[[#This Row],[Real Retail Sales]]*1)/N520)-1)</f>
        <v>9.0940619224757491E-2</v>
      </c>
      <c r="Q532" s="32">
        <v>467018</v>
      </c>
      <c r="R532" s="8">
        <f>IF(Tabela1511[[#This Row],[Core²-Retail Sales]]="",#N/A,((Tabela1511[[#This Row],[Core²-Retail Sales]]*1)/Q531)-1)</f>
        <v>8.641151404807923E-3</v>
      </c>
      <c r="S532" s="8">
        <f>IF(Tabela1511[[#This Row],[Core²-Retail Sales]]="",#N/A,((Tabela1511[[#This Row],[Core²-Retail Sales]]*1)/Q520)-1)</f>
        <v>0.15967083503014523</v>
      </c>
      <c r="T532" s="5">
        <v>62.8</v>
      </c>
      <c r="U532" s="7">
        <v>58.6</v>
      </c>
      <c r="V532" s="25">
        <v>61.7</v>
      </c>
      <c r="W532" s="25">
        <v>52.9</v>
      </c>
      <c r="X532" s="25">
        <v>57.2</v>
      </c>
      <c r="Y532" s="25">
        <v>57.3</v>
      </c>
      <c r="Z532" s="25">
        <v>53.5</v>
      </c>
      <c r="AA532" s="25">
        <f>IF([1]!Tabela1511[[#This Row],[Services New Orders]]="","",([1]!Tabela1511[[#This Row],[Manufacturing New Orders]]+[1]!Tabela1511[[#This Row],[Services New Orders]])/2)</f>
        <v>59.5</v>
      </c>
      <c r="AB532" s="25">
        <f>IF([1]!Tabela1511[[#This Row],[Services Employment]]="",#N/A,([1]!Tabela1511[[#This Row],[Manufacturing Employment]]+[1]!Tabela1511[[#This Row],[Services Employment]])/2)</f>
        <v>53.2</v>
      </c>
    </row>
    <row r="533" spans="1:28">
      <c r="A533" s="6">
        <v>44621</v>
      </c>
      <c r="B533" s="36">
        <v>15034</v>
      </c>
      <c r="C533" s="8">
        <f>IF(Tabela1511[[#This Row],[Real PCE]]="",#N/A,((Tabela1511[[#This Row],[Real PCE]]*1)/B532)-1)</f>
        <v>3.5646102292297144E-3</v>
      </c>
      <c r="D533" s="8">
        <f>IF(Tabela1511[[#This Row],[Real PCE]]="",#N/A,((Tabela1511[[#This Row],[Real PCE]]*1)/B521)-1)</f>
        <v>2.7663661282494756E-2</v>
      </c>
      <c r="E533" s="7">
        <v>102.47799999999999</v>
      </c>
      <c r="F533" s="8">
        <f>IF(Tabela1511[[#This Row],[Industrial Production]]="",#N/A,((Tabela1511[[#This Row],[Industrial Production]]*1)/E532)-1)</f>
        <v>7.8818528550326228E-3</v>
      </c>
      <c r="G533" s="8">
        <f>IF(Tabela1511[[#This Row],[Industrial Production]]="",#N/A,((Tabela1511[[#This Row],[Industrial Production]]*1)/E521)-1)</f>
        <v>4.4254298411068094E-2</v>
      </c>
      <c r="H533" s="32">
        <v>667050</v>
      </c>
      <c r="I533" s="8">
        <f>IF(Tabela1511[[#This Row],[Retail Sales]]="",#N/A,((Tabela1511[[#This Row],[Retail Sales]]*1)/H532)-1)</f>
        <v>2.0653291551399056E-2</v>
      </c>
      <c r="J533" s="8">
        <f>IF(Tabela1511[[#This Row],[Retail Sales]]="",#N/A,((Tabela1511[[#This Row],[Retail Sales]]*1)/H521)-1)</f>
        <v>8.3624525442149045E-2</v>
      </c>
      <c r="K533" s="32">
        <v>538285</v>
      </c>
      <c r="L533" s="8">
        <f>IF(Tabela1511[[#This Row],[Core-Retail Sales]]="",#N/A,((Tabela1511[[#This Row],[Core-Retail Sales]]*1)/K532)-1)</f>
        <v>2.9060342124783034E-2</v>
      </c>
      <c r="M533" s="8">
        <f>IF(Tabela1511[[#This Row],[Core-Retail Sales]]="",#N/A,((Tabela1511[[#This Row],[Core-Retail Sales]]*1)/K521)-1)</f>
        <v>0.11014294287853255</v>
      </c>
      <c r="N533" s="84">
        <v>232040</v>
      </c>
      <c r="O533" s="8">
        <f>IF(Tabela1511[[#This Row],[Real Retail Sales]]="",#N/A,((Tabela1511[[#This Row],[Real Retail Sales]]*1)/N532)-1)</f>
        <v>1.0490743845560813E-2</v>
      </c>
      <c r="P533" s="8">
        <f>IF(Tabela1511[[#This Row],[Real Retail Sales]]="",#N/A,((Tabela1511[[#This Row],[Real Retail Sales]]*1)/N521)-1)</f>
        <v>-1.4072566242194773E-3</v>
      </c>
      <c r="Q533" s="32">
        <v>475001</v>
      </c>
      <c r="R533" s="8">
        <f>IF(Tabela1511[[#This Row],[Core²-Retail Sales]]="",#N/A,((Tabela1511[[#This Row],[Core²-Retail Sales]]*1)/Q532)-1)</f>
        <v>1.7093559563014615E-2</v>
      </c>
      <c r="S533" s="8">
        <f>IF(Tabela1511[[#This Row],[Core²-Retail Sales]]="",#N/A,((Tabela1511[[#This Row],[Core²-Retail Sales]]*1)/Q521)-1)</f>
        <v>8.2317476086530617E-2</v>
      </c>
      <c r="T533" s="5">
        <v>59.4</v>
      </c>
      <c r="U533" s="7">
        <v>57.1</v>
      </c>
      <c r="V533" s="25">
        <v>53.8</v>
      </c>
      <c r="W533" s="25">
        <v>56.3</v>
      </c>
      <c r="X533" s="25">
        <v>58.4</v>
      </c>
      <c r="Y533" s="25">
        <v>59.2</v>
      </c>
      <c r="Z533" s="25">
        <v>49.7</v>
      </c>
      <c r="AA533" s="25">
        <f>IF([1]!Tabela1511[[#This Row],[Services New Orders]]="","",([1]!Tabela1511[[#This Row],[Manufacturing New Orders]]+[1]!Tabela1511[[#This Row],[Services New Orders]])/2)</f>
        <v>56.5</v>
      </c>
      <c r="AB533" s="25">
        <f>IF([1]!Tabela1511[[#This Row],[Services Employment]]="",#N/A,([1]!Tabela1511[[#This Row],[Manufacturing Employment]]+[1]!Tabela1511[[#This Row],[Services Employment]])/2)</f>
        <v>53</v>
      </c>
    </row>
    <row r="534" spans="1:28">
      <c r="A534" s="6">
        <v>44652</v>
      </c>
      <c r="B534" s="36">
        <v>15081.7</v>
      </c>
      <c r="C534" s="8">
        <f>IF(Tabela1511[[#This Row],[Real PCE]]="",#N/A,((Tabela1511[[#This Row],[Real PCE]]*1)/B533)-1)</f>
        <v>3.1728083011839381E-3</v>
      </c>
      <c r="D534" s="8">
        <f>IF(Tabela1511[[#This Row],[Real PCE]]="",#N/A,((Tabela1511[[#This Row],[Real PCE]]*1)/B522)-1)</f>
        <v>2.3827788224592084E-2</v>
      </c>
      <c r="E534" s="7">
        <v>102.7953</v>
      </c>
      <c r="F534" s="8">
        <f>IF(Tabela1511[[#This Row],[Industrial Production]]="",#N/A,((Tabela1511[[#This Row],[Industrial Production]]*1)/E533)-1)</f>
        <v>3.0962743222935352E-3</v>
      </c>
      <c r="G534" s="8">
        <f>IF(Tabela1511[[#This Row],[Industrial Production]]="",#N/A,((Tabela1511[[#This Row],[Industrial Production]]*1)/E522)-1)</f>
        <v>4.5851706098164025E-2</v>
      </c>
      <c r="H534" s="32">
        <v>675899</v>
      </c>
      <c r="I534" s="8">
        <f>IF(Tabela1511[[#This Row],[Retail Sales]]="",#N/A,((Tabela1511[[#This Row],[Retail Sales]]*1)/H533)-1)</f>
        <v>1.3265872123529032E-2</v>
      </c>
      <c r="J534" s="8">
        <f>IF(Tabela1511[[#This Row],[Retail Sales]]="",#N/A,((Tabela1511[[#This Row],[Retail Sales]]*1)/H522)-1)</f>
        <v>8.9182926279014252E-2</v>
      </c>
      <c r="K534" s="32">
        <v>545046</v>
      </c>
      <c r="L534" s="8">
        <f>IF(Tabela1511[[#This Row],[Core-Retail Sales]]="",#N/A,((Tabela1511[[#This Row],[Core-Retail Sales]]*1)/K533)-1)</f>
        <v>1.2560260828371694E-2</v>
      </c>
      <c r="M534" s="8">
        <f>IF(Tabela1511[[#This Row],[Core-Retail Sales]]="",#N/A,((Tabela1511[[#This Row],[Core-Retail Sales]]*1)/K522)-1)</f>
        <v>0.11899795517816236</v>
      </c>
      <c r="N534" s="84">
        <v>234190</v>
      </c>
      <c r="O534" s="8">
        <f>IF(Tabela1511[[#This Row],[Real Retail Sales]]="",#N/A,((Tabela1511[[#This Row],[Real Retail Sales]]*1)/N533)-1)</f>
        <v>9.2656438545077879E-3</v>
      </c>
      <c r="P534" s="8">
        <f>IF(Tabela1511[[#This Row],[Real Retail Sales]]="",#N/A,((Tabela1511[[#This Row],[Real Retail Sales]]*1)/N522)-1)</f>
        <v>6.3771454109478043E-3</v>
      </c>
      <c r="Q534" s="32">
        <v>481221</v>
      </c>
      <c r="R534" s="8">
        <f>IF(Tabela1511[[#This Row],[Core²-Retail Sales]]="",#N/A,((Tabela1511[[#This Row],[Core²-Retail Sales]]*1)/Q533)-1)</f>
        <v>1.3094709274296346E-2</v>
      </c>
      <c r="S534" s="8">
        <f>IF(Tabela1511[[#This Row],[Core²-Retail Sales]]="",#N/A,((Tabela1511[[#This Row],[Core²-Retail Sales]]*1)/Q522)-1)</f>
        <v>8.7844344676984099E-2</v>
      </c>
      <c r="T534" s="5">
        <v>65.2</v>
      </c>
      <c r="U534" s="7">
        <v>55.4</v>
      </c>
      <c r="V534" s="25">
        <v>53.5</v>
      </c>
      <c r="W534" s="25">
        <v>50.9</v>
      </c>
      <c r="X534" s="25">
        <v>57.5</v>
      </c>
      <c r="Y534" s="25">
        <v>55.8</v>
      </c>
      <c r="Z534" s="25">
        <v>50.3</v>
      </c>
      <c r="AA534" s="25">
        <f>IF([1]!Tabela1511[[#This Row],[Services New Orders]]="","",([1]!Tabela1511[[#This Row],[Manufacturing New Orders]]+[1]!Tabela1511[[#This Row],[Services New Orders]])/2)</f>
        <v>54.65</v>
      </c>
      <c r="AB534" s="25">
        <f>IF([1]!Tabela1511[[#This Row],[Services Employment]]="",#N/A,([1]!Tabela1511[[#This Row],[Manufacturing Employment]]+[1]!Tabela1511[[#This Row],[Services Employment]])/2)</f>
        <v>50.599999999999994</v>
      </c>
    </row>
    <row r="535" spans="1:28">
      <c r="A535" s="6">
        <v>44682</v>
      </c>
      <c r="B535" s="36">
        <v>15060</v>
      </c>
      <c r="C535" s="8">
        <f>IF(Tabela1511[[#This Row],[Real PCE]]="",#N/A,((Tabela1511[[#This Row],[Real PCE]]*1)/B534)-1)</f>
        <v>-1.4388298401374344E-3</v>
      </c>
      <c r="D535" s="8">
        <f>IF(Tabela1511[[#This Row],[Real PCE]]="",#N/A,((Tabela1511[[#This Row],[Real PCE]]*1)/B523)-1)</f>
        <v>2.5215118178847584E-2</v>
      </c>
      <c r="E535" s="7">
        <v>102.7769</v>
      </c>
      <c r="F535" s="8">
        <f>IF(Tabela1511[[#This Row],[Industrial Production]]="",#N/A,((Tabela1511[[#This Row],[Industrial Production]]*1)/E534)-1)</f>
        <v>-1.7899651054087418E-4</v>
      </c>
      <c r="G535" s="8">
        <f>IF(Tabela1511[[#This Row],[Industrial Production]]="",#N/A,((Tabela1511[[#This Row],[Industrial Production]]*1)/E523)-1)</f>
        <v>3.6571565736231992E-2</v>
      </c>
      <c r="H535" s="32">
        <v>674915</v>
      </c>
      <c r="I535" s="8">
        <f>IF(Tabela1511[[#This Row],[Retail Sales]]="",#N/A,((Tabela1511[[#This Row],[Retail Sales]]*1)/H534)-1)</f>
        <v>-1.4558388161545199E-3</v>
      </c>
      <c r="J535" s="8">
        <f>IF(Tabela1511[[#This Row],[Retail Sales]]="",#N/A,((Tabela1511[[#This Row],[Retail Sales]]*1)/H523)-1)</f>
        <v>9.6748665048149274E-2</v>
      </c>
      <c r="K535" s="32">
        <v>548642</v>
      </c>
      <c r="L535" s="8">
        <f>IF(Tabela1511[[#This Row],[Core-Retail Sales]]="",#N/A,((Tabela1511[[#This Row],[Core-Retail Sales]]*1)/K534)-1)</f>
        <v>6.597608275264788E-3</v>
      </c>
      <c r="M535" s="8">
        <f>IF(Tabela1511[[#This Row],[Core-Retail Sales]]="",#N/A,((Tabela1511[[#This Row],[Core-Retail Sales]]*1)/K523)-1)</f>
        <v>0.13300305428953174</v>
      </c>
      <c r="N535" s="84">
        <v>231716</v>
      </c>
      <c r="O535" s="8">
        <f>IF(Tabela1511[[#This Row],[Real Retail Sales]]="",#N/A,((Tabela1511[[#This Row],[Real Retail Sales]]*1)/N534)-1)</f>
        <v>-1.0564071907425587E-2</v>
      </c>
      <c r="P535" s="8">
        <f>IF(Tabela1511[[#This Row],[Real Retail Sales]]="",#N/A,((Tabela1511[[#This Row],[Real Retail Sales]]*1)/N523)-1)</f>
        <v>1.0805316721849145E-2</v>
      </c>
      <c r="Q535" s="32">
        <v>482059</v>
      </c>
      <c r="R535" s="8">
        <f>IF(Tabela1511[[#This Row],[Core²-Retail Sales]]="",#N/A,((Tabela1511[[#This Row],[Core²-Retail Sales]]*1)/Q534)-1)</f>
        <v>1.7414036378295972E-3</v>
      </c>
      <c r="S535" s="8">
        <f>IF(Tabela1511[[#This Row],[Core²-Retail Sales]]="",#N/A,((Tabela1511[[#This Row],[Core²-Retail Sales]]*1)/Q523)-1)</f>
        <v>9.7024741479755372E-2</v>
      </c>
      <c r="T535" s="5">
        <v>58.4</v>
      </c>
      <c r="U535" s="7">
        <v>56.1</v>
      </c>
      <c r="V535" s="25">
        <v>55.1</v>
      </c>
      <c r="W535" s="25">
        <v>49.6</v>
      </c>
      <c r="X535" s="25">
        <v>56.4</v>
      </c>
      <c r="Y535" s="25">
        <v>58.1</v>
      </c>
      <c r="Z535" s="25">
        <v>48.7</v>
      </c>
      <c r="AA535" s="25">
        <f>IF([1]!Tabela1511[[#This Row],[Services New Orders]]="","",([1]!Tabela1511[[#This Row],[Manufacturing New Orders]]+[1]!Tabela1511[[#This Row],[Services New Orders]])/2)</f>
        <v>56.6</v>
      </c>
      <c r="AB535" s="25">
        <f>IF([1]!Tabela1511[[#This Row],[Services Employment]]="",#N/A,([1]!Tabela1511[[#This Row],[Manufacturing Employment]]+[1]!Tabela1511[[#This Row],[Services Employment]])/2)</f>
        <v>49.150000000000006</v>
      </c>
    </row>
    <row r="536" spans="1:28">
      <c r="A536" s="6">
        <v>44713</v>
      </c>
      <c r="B536" s="36">
        <v>15065.8</v>
      </c>
      <c r="C536" s="8">
        <f>IF(Tabela1511[[#This Row],[Real PCE]]="",#N/A,((Tabela1511[[#This Row],[Real PCE]]*1)/B535)-1)</f>
        <v>3.8512616201846761E-4</v>
      </c>
      <c r="D536" s="8">
        <f>IF(Tabela1511[[#This Row],[Real PCE]]="",#N/A,((Tabela1511[[#This Row],[Real PCE]]*1)/B524)-1)</f>
        <v>1.6832698901217524E-2</v>
      </c>
      <c r="E536" s="7">
        <v>102.6863</v>
      </c>
      <c r="F536" s="8">
        <f>IF(Tabela1511[[#This Row],[Industrial Production]]="",#N/A,((Tabela1511[[#This Row],[Industrial Production]]*1)/E535)-1)</f>
        <v>-8.8152104217964489E-4</v>
      </c>
      <c r="G536" s="8">
        <f>IF(Tabela1511[[#This Row],[Industrial Production]]="",#N/A,((Tabela1511[[#This Row],[Industrial Production]]*1)/E524)-1)</f>
        <v>3.1923553104423963E-2</v>
      </c>
      <c r="H536" s="32">
        <v>680515</v>
      </c>
      <c r="I536" s="8">
        <f>IF(Tabela1511[[#This Row],[Retail Sales]]="",#N/A,((Tabela1511[[#This Row],[Retail Sales]]*1)/H535)-1)</f>
        <v>8.2973411466629177E-3</v>
      </c>
      <c r="J536" s="8">
        <f>IF(Tabela1511[[#This Row],[Retail Sales]]="",#N/A,((Tabela1511[[#This Row],[Retail Sales]]*1)/H524)-1)</f>
        <v>9.4758466696267085E-2</v>
      </c>
      <c r="K536" s="32">
        <v>554293</v>
      </c>
      <c r="L536" s="8">
        <f>IF(Tabela1511[[#This Row],[Core-Retail Sales]]="",#N/A,((Tabela1511[[#This Row],[Core-Retail Sales]]*1)/K535)-1)</f>
        <v>1.0299977034204488E-2</v>
      </c>
      <c r="M536" s="8">
        <f>IF(Tabela1511[[#This Row],[Core-Retail Sales]]="",#N/A,((Tabela1511[[#This Row],[Core-Retail Sales]]*1)/K524)-1)</f>
        <v>0.12144902026240989</v>
      </c>
      <c r="N536" s="84">
        <v>230896</v>
      </c>
      <c r="O536" s="8">
        <f>IF(Tabela1511[[#This Row],[Real Retail Sales]]="",#N/A,((Tabela1511[[#This Row],[Real Retail Sales]]*1)/N535)-1)</f>
        <v>-3.5388147559943794E-3</v>
      </c>
      <c r="P536" s="8">
        <f>IF(Tabela1511[[#This Row],[Real Retail Sales]]="",#N/A,((Tabela1511[[#This Row],[Real Retail Sales]]*1)/N524)-1)</f>
        <v>4.9836562191241107E-3</v>
      </c>
      <c r="Q536" s="32">
        <v>486036</v>
      </c>
      <c r="R536" s="8">
        <f>IF(Tabela1511[[#This Row],[Core²-Retail Sales]]="",#N/A,((Tabela1511[[#This Row],[Core²-Retail Sales]]*1)/Q535)-1)</f>
        <v>8.2500274862620238E-3</v>
      </c>
      <c r="S536" s="8">
        <f>IF(Tabela1511[[#This Row],[Core²-Retail Sales]]="",#N/A,((Tabela1511[[#This Row],[Core²-Retail Sales]]*1)/Q524)-1)</f>
        <v>8.3506287660758405E-2</v>
      </c>
      <c r="T536" s="5">
        <v>50</v>
      </c>
      <c r="U536" s="7">
        <v>53</v>
      </c>
      <c r="V536" s="25">
        <v>49.2</v>
      </c>
      <c r="W536" s="25">
        <v>47.3</v>
      </c>
      <c r="X536" s="25">
        <v>56</v>
      </c>
      <c r="Y536" s="25">
        <v>56.2</v>
      </c>
      <c r="Z536" s="25">
        <v>49.5</v>
      </c>
      <c r="AA536" s="25">
        <f>IF([1]!Tabela1511[[#This Row],[Services New Orders]]="","",([1]!Tabela1511[[#This Row],[Manufacturing New Orders]]+[1]!Tabela1511[[#This Row],[Services New Orders]])/2)</f>
        <v>52.7</v>
      </c>
      <c r="AB536" s="25">
        <f>IF([1]!Tabela1511[[#This Row],[Services Employment]]="",#N/A,([1]!Tabela1511[[#This Row],[Manufacturing Employment]]+[1]!Tabela1511[[#This Row],[Services Employment]])/2)</f>
        <v>48.4</v>
      </c>
    </row>
    <row r="537" spans="1:28">
      <c r="A537" s="6">
        <v>44743</v>
      </c>
      <c r="B537" s="36">
        <v>15069.1</v>
      </c>
      <c r="C537" s="8">
        <f>IF(Tabela1511[[#This Row],[Real PCE]]="",#N/A,((Tabela1511[[#This Row],[Real PCE]]*1)/B536)-1)</f>
        <v>2.1903914826970627E-4</v>
      </c>
      <c r="D537" s="8">
        <f>IF(Tabela1511[[#This Row],[Real PCE]]="",#N/A,((Tabela1511[[#This Row],[Real PCE]]*1)/B525)-1)</f>
        <v>1.9284361471861411E-2</v>
      </c>
      <c r="E537" s="7">
        <v>103.1328</v>
      </c>
      <c r="F537" s="8">
        <f>IF(Tabela1511[[#This Row],[Industrial Production]]="",#N/A,((Tabela1511[[#This Row],[Industrial Production]]*1)/E536)-1)</f>
        <v>4.3481944524246252E-3</v>
      </c>
      <c r="G537" s="8">
        <f>IF(Tabela1511[[#This Row],[Industrial Production]]="",#N/A,((Tabela1511[[#This Row],[Industrial Production]]*1)/E525)-1)</f>
        <v>3.005999614474586E-2</v>
      </c>
      <c r="H537" s="32">
        <v>675822</v>
      </c>
      <c r="I537" s="8">
        <f>IF(Tabela1511[[#This Row],[Retail Sales]]="",#N/A,((Tabela1511[[#This Row],[Retail Sales]]*1)/H536)-1)</f>
        <v>-6.8962476947606044E-3</v>
      </c>
      <c r="J537" s="8">
        <f>IF(Tabela1511[[#This Row],[Retail Sales]]="",#N/A,((Tabela1511[[#This Row],[Retail Sales]]*1)/H525)-1)</f>
        <v>0.10357384298343875</v>
      </c>
      <c r="K537" s="32">
        <v>551528</v>
      </c>
      <c r="L537" s="8">
        <f>IF(Tabela1511[[#This Row],[Core-Retail Sales]]="",#N/A,((Tabela1511[[#This Row],[Core-Retail Sales]]*1)/K536)-1)</f>
        <v>-4.9883364935151553E-3</v>
      </c>
      <c r="M537" s="8">
        <f>IF(Tabela1511[[#This Row],[Core-Retail Sales]]="",#N/A,((Tabela1511[[#This Row],[Core-Retail Sales]]*1)/K525)-1)</f>
        <v>0.12499107599984494</v>
      </c>
      <c r="N537" s="84">
        <v>229381</v>
      </c>
      <c r="O537" s="8">
        <f>IF(Tabela1511[[#This Row],[Real Retail Sales]]="",#N/A,((Tabela1511[[#This Row],[Real Retail Sales]]*1)/N536)-1)</f>
        <v>-6.5613956066800094E-3</v>
      </c>
      <c r="P537" s="8">
        <f>IF(Tabela1511[[#This Row],[Real Retail Sales]]="",#N/A,((Tabela1511[[#This Row],[Real Retail Sales]]*1)/N525)-1)</f>
        <v>1.793290139344994E-2</v>
      </c>
      <c r="Q537" s="32">
        <v>485137</v>
      </c>
      <c r="R537" s="8">
        <f>IF(Tabela1511[[#This Row],[Core²-Retail Sales]]="",#N/A,((Tabela1511[[#This Row],[Core²-Retail Sales]]*1)/Q536)-1)</f>
        <v>-1.8496572270366718E-3</v>
      </c>
      <c r="S537" s="8">
        <f>IF(Tabela1511[[#This Row],[Core²-Retail Sales]]="",#N/A,((Tabela1511[[#This Row],[Core²-Retail Sales]]*1)/Q525)-1)</f>
        <v>9.3655881981640876E-2</v>
      </c>
      <c r="T537" s="5">
        <v>51.5</v>
      </c>
      <c r="U537" s="7">
        <v>52.8</v>
      </c>
      <c r="V537" s="25">
        <v>48</v>
      </c>
      <c r="W537" s="25">
        <v>49.9</v>
      </c>
      <c r="X537" s="25">
        <v>56.4</v>
      </c>
      <c r="Y537" s="25">
        <v>59.1</v>
      </c>
      <c r="Z537" s="25">
        <v>50.2</v>
      </c>
      <c r="AA537" s="25">
        <f>IF([1]!Tabela1511[[#This Row],[Services New Orders]]="","",([1]!Tabela1511[[#This Row],[Manufacturing New Orders]]+[1]!Tabela1511[[#This Row],[Services New Orders]])/2)</f>
        <v>53.55</v>
      </c>
      <c r="AB537" s="25">
        <f>IF([1]!Tabela1511[[#This Row],[Services Employment]]="",#N/A,([1]!Tabela1511[[#This Row],[Manufacturing Employment]]+[1]!Tabela1511[[#This Row],[Services Employment]])/2)</f>
        <v>50.05</v>
      </c>
    </row>
    <row r="538" spans="1:28">
      <c r="A538" s="6">
        <v>44774</v>
      </c>
      <c r="B538" s="36">
        <v>15136.3</v>
      </c>
      <c r="C538" s="8">
        <f>IF(Tabela1511[[#This Row],[Real PCE]]="",#N/A,((Tabela1511[[#This Row],[Real PCE]]*1)/B537)-1)</f>
        <v>4.4594567691500497E-3</v>
      </c>
      <c r="D538" s="8">
        <f>IF(Tabela1511[[#This Row],[Real PCE]]="",#N/A,((Tabela1511[[#This Row],[Real PCE]]*1)/B526)-1)</f>
        <v>1.8387943214694058E-2</v>
      </c>
      <c r="E538" s="7">
        <v>103.23439999999999</v>
      </c>
      <c r="F538" s="8">
        <f>IF(Tabela1511[[#This Row],[Industrial Production]]="",#N/A,((Tabela1511[[#This Row],[Industrial Production]]*1)/E537)-1)</f>
        <v>9.8513760898555347E-4</v>
      </c>
      <c r="G538" s="8">
        <f>IF(Tabela1511[[#This Row],[Industrial Production]]="",#N/A,((Tabela1511[[#This Row],[Industrial Production]]*1)/E526)-1)</f>
        <v>3.1050032209576806E-2</v>
      </c>
      <c r="H538" s="32">
        <v>680252</v>
      </c>
      <c r="I538" s="8">
        <f>IF(Tabela1511[[#This Row],[Retail Sales]]="",#N/A,((Tabela1511[[#This Row],[Retail Sales]]*1)/H537)-1)</f>
        <v>6.5549804534330569E-3</v>
      </c>
      <c r="J538" s="8">
        <f>IF(Tabela1511[[#This Row],[Retail Sales]]="",#N/A,((Tabela1511[[#This Row],[Retail Sales]]*1)/H526)-1)</f>
        <v>0.10134087148551463</v>
      </c>
      <c r="K538" s="32">
        <v>552327</v>
      </c>
      <c r="L538" s="8">
        <f>IF(Tabela1511[[#This Row],[Core-Retail Sales]]="",#N/A,((Tabela1511[[#This Row],[Core-Retail Sales]]*1)/K537)-1)</f>
        <v>1.4487025137437382E-3</v>
      </c>
      <c r="M538" s="8">
        <f>IF(Tabela1511[[#This Row],[Core-Retail Sales]]="",#N/A,((Tabela1511[[#This Row],[Core-Retail Sales]]*1)/K526)-1)</f>
        <v>0.10929751941627663</v>
      </c>
      <c r="N538" s="84">
        <v>230344</v>
      </c>
      <c r="O538" s="8">
        <f>IF(Tabela1511[[#This Row],[Real Retail Sales]]="",#N/A,((Tabela1511[[#This Row],[Real Retail Sales]]*1)/N537)-1)</f>
        <v>4.1982553044934701E-3</v>
      </c>
      <c r="P538" s="8">
        <f>IF(Tabela1511[[#This Row],[Real Retail Sales]]="",#N/A,((Tabela1511[[#This Row],[Real Retail Sales]]*1)/N526)-1)</f>
        <v>1.7618265033840563E-2</v>
      </c>
      <c r="Q538" s="32">
        <v>490811</v>
      </c>
      <c r="R538" s="8">
        <f>IF(Tabela1511[[#This Row],[Core²-Retail Sales]]="",#N/A,((Tabela1511[[#This Row],[Core²-Retail Sales]]*1)/Q537)-1)</f>
        <v>1.1695665348138817E-2</v>
      </c>
      <c r="S538" s="8">
        <f>IF(Tabela1511[[#This Row],[Core²-Retail Sales]]="",#N/A,((Tabela1511[[#This Row],[Core²-Retail Sales]]*1)/Q526)-1)</f>
        <v>9.1362905610787193E-2</v>
      </c>
      <c r="T538" s="5">
        <v>58.2</v>
      </c>
      <c r="U538" s="7">
        <v>52.8</v>
      </c>
      <c r="V538" s="25">
        <v>51.3</v>
      </c>
      <c r="W538" s="25">
        <v>54.2</v>
      </c>
      <c r="X538" s="25">
        <v>56.1</v>
      </c>
      <c r="Y538" s="25">
        <v>60.4</v>
      </c>
      <c r="Z538" s="25">
        <v>52.3</v>
      </c>
      <c r="AA538" s="25">
        <f>IF([1]!Tabela1511[[#This Row],[Services New Orders]]="","",([1]!Tabela1511[[#This Row],[Manufacturing New Orders]]+[1]!Tabela1511[[#This Row],[Services New Orders]])/2)</f>
        <v>55.849999999999994</v>
      </c>
      <c r="AB538" s="25">
        <f>IF([1]!Tabela1511[[#This Row],[Services Employment]]="",#N/A,([1]!Tabela1511[[#This Row],[Manufacturing Employment]]+[1]!Tabela1511[[#This Row],[Services Employment]])/2)</f>
        <v>53.25</v>
      </c>
    </row>
    <row r="539" spans="1:28">
      <c r="A539" s="6">
        <v>44805</v>
      </c>
      <c r="B539" s="36">
        <v>15176.7</v>
      </c>
      <c r="C539" s="8">
        <f>IF(Tabela1511[[#This Row],[Real PCE]]="",#N/A,((Tabela1511[[#This Row],[Real PCE]]*1)/B538)-1)</f>
        <v>2.6690802904276723E-3</v>
      </c>
      <c r="D539" s="8">
        <f>IF(Tabela1511[[#This Row],[Real PCE]]="",#N/A,((Tabela1511[[#This Row],[Real PCE]]*1)/B527)-1)</f>
        <v>1.8611487710914698E-2</v>
      </c>
      <c r="E539" s="7">
        <v>103.5283</v>
      </c>
      <c r="F539" s="8">
        <f>IF(Tabela1511[[#This Row],[Industrial Production]]="",#N/A,((Tabela1511[[#This Row],[Industrial Production]]*1)/E538)-1)</f>
        <v>2.8469192439730673E-3</v>
      </c>
      <c r="G539" s="8">
        <f>IF(Tabela1511[[#This Row],[Industrial Production]]="",#N/A,((Tabela1511[[#This Row],[Industrial Production]]*1)/E527)-1)</f>
        <v>4.5092235724510266E-2</v>
      </c>
      <c r="H539" s="32">
        <v>678202</v>
      </c>
      <c r="I539" s="8">
        <f>IF(Tabela1511[[#This Row],[Retail Sales]]="",#N/A,((Tabela1511[[#This Row],[Retail Sales]]*1)/H538)-1)</f>
        <v>-3.0135890816932465E-3</v>
      </c>
      <c r="J539" s="8">
        <f>IF(Tabela1511[[#This Row],[Retail Sales]]="",#N/A,((Tabela1511[[#This Row],[Retail Sales]]*1)/H527)-1)</f>
        <v>9.0174633180304165E-2</v>
      </c>
      <c r="K539" s="32">
        <v>551190</v>
      </c>
      <c r="L539" s="8">
        <f>IF(Tabela1511[[#This Row],[Core-Retail Sales]]="",#N/A,((Tabela1511[[#This Row],[Core-Retail Sales]]*1)/K538)-1)</f>
        <v>-2.05856313379571E-3</v>
      </c>
      <c r="M539" s="8">
        <f>IF(Tabela1511[[#This Row],[Core-Retail Sales]]="",#N/A,((Tabela1511[[#This Row],[Core-Retail Sales]]*1)/K527)-1)</f>
        <v>0.10019940477972655</v>
      </c>
      <c r="N539" s="84">
        <v>228706</v>
      </c>
      <c r="O539" s="8">
        <f>IF(Tabela1511[[#This Row],[Real Retail Sales]]="",#N/A,((Tabela1511[[#This Row],[Real Retail Sales]]*1)/N538)-1)</f>
        <v>-7.1111033931858803E-3</v>
      </c>
      <c r="P539" s="8">
        <f>IF(Tabela1511[[#This Row],[Real Retail Sales]]="",#N/A,((Tabela1511[[#This Row],[Real Retail Sales]]*1)/N527)-1)</f>
        <v>7.4177832985349301E-3</v>
      </c>
      <c r="Q539" s="32">
        <v>492462</v>
      </c>
      <c r="R539" s="8">
        <f>IF(Tabela1511[[#This Row],[Core²-Retail Sales]]="",#N/A,((Tabela1511[[#This Row],[Core²-Retail Sales]]*1)/Q538)-1)</f>
        <v>3.363820289276287E-3</v>
      </c>
      <c r="S539" s="8">
        <f>IF(Tabela1511[[#This Row],[Core²-Retail Sales]]="",#N/A,((Tabela1511[[#This Row],[Core²-Retail Sales]]*1)/Q527)-1)</f>
        <v>9.1410765575688835E-2</v>
      </c>
      <c r="T539" s="5">
        <v>58.6</v>
      </c>
      <c r="U539" s="7">
        <v>50.9</v>
      </c>
      <c r="V539" s="25">
        <v>47.1</v>
      </c>
      <c r="W539" s="25">
        <v>48.7</v>
      </c>
      <c r="X539" s="25">
        <v>55.9</v>
      </c>
      <c r="Y539" s="25">
        <v>59.2</v>
      </c>
      <c r="Z539" s="25">
        <v>49.2</v>
      </c>
      <c r="AA539" s="25">
        <f>IF([1]!Tabela1511[[#This Row],[Services New Orders]]="","",([1]!Tabela1511[[#This Row],[Manufacturing New Orders]]+[1]!Tabela1511[[#This Row],[Services New Orders]])/2)</f>
        <v>53.150000000000006</v>
      </c>
      <c r="AB539" s="25">
        <f>IF([1]!Tabela1511[[#This Row],[Services Employment]]="",#N/A,([1]!Tabela1511[[#This Row],[Manufacturing Employment]]+[1]!Tabela1511[[#This Row],[Services Employment]])/2)</f>
        <v>48.95</v>
      </c>
    </row>
    <row r="540" spans="1:28">
      <c r="A540" s="6">
        <v>44835</v>
      </c>
      <c r="B540" s="36">
        <v>15202.7</v>
      </c>
      <c r="C540" s="8">
        <f>IF(Tabela1511[[#This Row],[Real PCE]]="",#N/A,((Tabela1511[[#This Row],[Real PCE]]*1)/B539)-1)</f>
        <v>1.7131523980840058E-3</v>
      </c>
      <c r="D540" s="8">
        <f>IF(Tabela1511[[#This Row],[Real PCE]]="",#N/A,((Tabela1511[[#This Row],[Real PCE]]*1)/B528)-1)</f>
        <v>1.3695798577077367E-2</v>
      </c>
      <c r="E540" s="7">
        <v>103.4114</v>
      </c>
      <c r="F540" s="8">
        <f>IF(Tabela1511[[#This Row],[Industrial Production]]="",#N/A,((Tabela1511[[#This Row],[Industrial Production]]*1)/E539)-1)</f>
        <v>-1.1291598529098446E-3</v>
      </c>
      <c r="G540" s="8">
        <f>IF(Tabela1511[[#This Row],[Industrial Production]]="",#N/A,((Tabela1511[[#This Row],[Industrial Production]]*1)/E528)-1)</f>
        <v>3.0974682093026784E-2</v>
      </c>
      <c r="H540" s="32">
        <v>688352</v>
      </c>
      <c r="I540" s="8">
        <f>IF(Tabela1511[[#This Row],[Retail Sales]]="",#N/A,((Tabela1511[[#This Row],[Retail Sales]]*1)/H539)-1)</f>
        <v>1.496604256548939E-2</v>
      </c>
      <c r="J540" s="8">
        <f>IF(Tabela1511[[#This Row],[Retail Sales]]="",#N/A,((Tabela1511[[#This Row],[Retail Sales]]*1)/H528)-1)</f>
        <v>8.9052549975081607E-2</v>
      </c>
      <c r="K540" s="32">
        <v>558610</v>
      </c>
      <c r="L540" s="8">
        <f>IF(Tabela1511[[#This Row],[Core-Retail Sales]]="",#N/A,((Tabela1511[[#This Row],[Core-Retail Sales]]*1)/K539)-1)</f>
        <v>1.3461782688365176E-2</v>
      </c>
      <c r="M540" s="8">
        <f>IF(Tabela1511[[#This Row],[Core-Retail Sales]]="",#N/A,((Tabela1511[[#This Row],[Core-Retail Sales]]*1)/K528)-1)</f>
        <v>9.7077654267645919E-2</v>
      </c>
      <c r="N540" s="84">
        <v>231001</v>
      </c>
      <c r="O540" s="8">
        <f>IF(Tabela1511[[#This Row],[Real Retail Sales]]="",#N/A,((Tabela1511[[#This Row],[Real Retail Sales]]*1)/N539)-1)</f>
        <v>1.0034717060330767E-2</v>
      </c>
      <c r="P540" s="8">
        <f>IF(Tabela1511[[#This Row],[Real Retail Sales]]="",#N/A,((Tabela1511[[#This Row],[Real Retail Sales]]*1)/N528)-1)</f>
        <v>1.0604741509425697E-2</v>
      </c>
      <c r="Q540" s="32">
        <v>497523</v>
      </c>
      <c r="R540" s="8">
        <f>IF(Tabela1511[[#This Row],[Core²-Retail Sales]]="",#N/A,((Tabela1511[[#This Row],[Core²-Retail Sales]]*1)/Q539)-1)</f>
        <v>1.0276935073163074E-2</v>
      </c>
      <c r="S540" s="8">
        <f>IF(Tabela1511[[#This Row],[Core²-Retail Sales]]="",#N/A,((Tabela1511[[#This Row],[Core²-Retail Sales]]*1)/Q528)-1)</f>
        <v>8.7434429095995858E-2</v>
      </c>
      <c r="T540" s="5">
        <v>59.9</v>
      </c>
      <c r="U540" s="7">
        <v>50.2</v>
      </c>
      <c r="V540" s="25">
        <v>49.2</v>
      </c>
      <c r="W540" s="25">
        <v>50</v>
      </c>
      <c r="X540" s="25">
        <v>54.5</v>
      </c>
      <c r="Y540" s="25">
        <v>56.8</v>
      </c>
      <c r="Z540" s="25">
        <v>50.6</v>
      </c>
      <c r="AA540" s="25">
        <f>IF([1]!Tabela1511[[#This Row],[Services New Orders]]="","",([1]!Tabela1511[[#This Row],[Manufacturing New Orders]]+[1]!Tabela1511[[#This Row],[Services New Orders]])/2)</f>
        <v>53</v>
      </c>
      <c r="AB540" s="25">
        <f>IF([1]!Tabela1511[[#This Row],[Services Employment]]="",#N/A,([1]!Tabela1511[[#This Row],[Manufacturing Employment]]+[1]!Tabela1511[[#This Row],[Services Employment]])/2)</f>
        <v>50.3</v>
      </c>
    </row>
    <row r="541" spans="1:28">
      <c r="A541" s="6">
        <v>44866</v>
      </c>
      <c r="B541" s="36">
        <v>15149.8</v>
      </c>
      <c r="C541" s="8">
        <f>IF(Tabela1511[[#This Row],[Real PCE]]="",#N/A,((Tabela1511[[#This Row],[Real PCE]]*1)/B540)-1)</f>
        <v>-3.479645063048098E-3</v>
      </c>
      <c r="D541" s="8">
        <f>IF(Tabela1511[[#This Row],[Real PCE]]="",#N/A,((Tabela1511[[#This Row],[Real PCE]]*1)/B529)-1)</f>
        <v>8.6955363801000107E-3</v>
      </c>
      <c r="E541" s="7">
        <v>103.0707</v>
      </c>
      <c r="F541" s="8">
        <f>IF(Tabela1511[[#This Row],[Industrial Production]]="",#N/A,((Tabela1511[[#This Row],[Industrial Production]]*1)/E540)-1)</f>
        <v>-3.2946077511764038E-3</v>
      </c>
      <c r="G541" s="8">
        <f>IF(Tabela1511[[#This Row],[Industrial Production]]="",#N/A,((Tabela1511[[#This Row],[Industrial Production]]*1)/E529)-1)</f>
        <v>1.8514364542066897E-2</v>
      </c>
      <c r="H541" s="32">
        <v>677956</v>
      </c>
      <c r="I541" s="8">
        <f>IF(Tabela1511[[#This Row],[Retail Sales]]="",#N/A,((Tabela1511[[#This Row],[Retail Sales]]*1)/H540)-1)</f>
        <v>-1.5102738133978E-2</v>
      </c>
      <c r="J541" s="8">
        <f>IF(Tabela1511[[#This Row],[Retail Sales]]="",#N/A,((Tabela1511[[#This Row],[Retail Sales]]*1)/H529)-1)</f>
        <v>6.0585581357512464E-2</v>
      </c>
      <c r="K541" s="32">
        <v>551127</v>
      </c>
      <c r="L541" s="8">
        <f>IF(Tabela1511[[#This Row],[Core-Retail Sales]]="",#N/A,((Tabela1511[[#This Row],[Core-Retail Sales]]*1)/K540)-1)</f>
        <v>-1.3395750165589582E-2</v>
      </c>
      <c r="M541" s="8">
        <f>IF(Tabela1511[[#This Row],[Core-Retail Sales]]="",#N/A,((Tabela1511[[#This Row],[Core-Retail Sales]]*1)/K529)-1)</f>
        <v>7.2233603567322113E-2</v>
      </c>
      <c r="N541" s="84">
        <v>227046</v>
      </c>
      <c r="O541" s="8">
        <f>IF(Tabela1511[[#This Row],[Real Retail Sales]]="",#N/A,((Tabela1511[[#This Row],[Real Retail Sales]]*1)/N540)-1)</f>
        <v>-1.7121138003731606E-2</v>
      </c>
      <c r="P541" s="8">
        <f>IF(Tabela1511[[#This Row],[Real Retail Sales]]="",#N/A,((Tabela1511[[#This Row],[Real Retail Sales]]*1)/N529)-1)</f>
        <v>-1.0054414175590387E-2</v>
      </c>
      <c r="Q541" s="32">
        <v>491008</v>
      </c>
      <c r="R541" s="8">
        <f>IF(Tabela1511[[#This Row],[Core²-Retail Sales]]="",#N/A,((Tabela1511[[#This Row],[Core²-Retail Sales]]*1)/Q540)-1)</f>
        <v>-1.3094871995867563E-2</v>
      </c>
      <c r="S541" s="8">
        <f>IF(Tabela1511[[#This Row],[Core²-Retail Sales]]="",#N/A,((Tabela1511[[#This Row],[Core²-Retail Sales]]*1)/Q529)-1)</f>
        <v>6.4024634694439309E-2</v>
      </c>
      <c r="T541" s="5">
        <v>56.7</v>
      </c>
      <c r="U541" s="7">
        <v>49</v>
      </c>
      <c r="V541" s="25">
        <v>47.2</v>
      </c>
      <c r="W541" s="25">
        <v>48.4</v>
      </c>
      <c r="X541" s="25">
        <v>55.5</v>
      </c>
      <c r="Y541" s="25">
        <v>55.8</v>
      </c>
      <c r="Z541" s="25">
        <v>49.4</v>
      </c>
      <c r="AA541" s="25">
        <f>IF([1]!Tabela1511[[#This Row],[Services New Orders]]="","",([1]!Tabela1511[[#This Row],[Manufacturing New Orders]]+[1]!Tabela1511[[#This Row],[Services New Orders]])/2)</f>
        <v>51.5</v>
      </c>
      <c r="AB541" s="25">
        <f>IF([1]!Tabela1511[[#This Row],[Services Employment]]="",#N/A,([1]!Tabela1511[[#This Row],[Manufacturing Employment]]+[1]!Tabela1511[[#This Row],[Services Employment]])/2)</f>
        <v>48.9</v>
      </c>
    </row>
    <row r="542" spans="1:28">
      <c r="A542" s="6">
        <v>44896</v>
      </c>
      <c r="B542" s="36">
        <v>15161.7</v>
      </c>
      <c r="C542" s="8">
        <f>IF(Tabela1511[[#This Row],[Real PCE]]="",#N/A,((Tabela1511[[#This Row],[Real PCE]]*1)/B541)-1)</f>
        <v>7.8548891734553372E-4</v>
      </c>
      <c r="D542" s="8">
        <f>IF(Tabela1511[[#This Row],[Real PCE]]="",#N/A,((Tabela1511[[#This Row],[Real PCE]]*1)/B530)-1)</f>
        <v>1.2778549671351502E-2</v>
      </c>
      <c r="E542" s="7">
        <v>101.48480000000001</v>
      </c>
      <c r="F542" s="8">
        <f>IF(Tabela1511[[#This Row],[Industrial Production]]="",#N/A,((Tabela1511[[#This Row],[Industrial Production]]*1)/E541)-1)</f>
        <v>-1.5386525947723162E-2</v>
      </c>
      <c r="G542" s="8">
        <f>IF(Tabela1511[[#This Row],[Industrial Production]]="",#N/A,((Tabela1511[[#This Row],[Industrial Production]]*1)/E530)-1)</f>
        <v>5.9354122474872817E-3</v>
      </c>
      <c r="H542" s="32">
        <v>673619</v>
      </c>
      <c r="I542" s="8">
        <f>IF(Tabela1511[[#This Row],[Retail Sales]]="",#N/A,((Tabela1511[[#This Row],[Retail Sales]]*1)/H541)-1)</f>
        <v>-6.3971703178377082E-3</v>
      </c>
      <c r="J542" s="8">
        <f>IF(Tabela1511[[#This Row],[Retail Sales]]="",#N/A,((Tabela1511[[#This Row],[Retail Sales]]*1)/H530)-1)</f>
        <v>5.9819256825855316E-2</v>
      </c>
      <c r="K542" s="32">
        <v>549226</v>
      </c>
      <c r="L542" s="8">
        <f>IF(Tabela1511[[#This Row],[Core-Retail Sales]]="",#N/A,((Tabela1511[[#This Row],[Core-Retail Sales]]*1)/K541)-1)</f>
        <v>-3.4492957158694937E-3</v>
      </c>
      <c r="M542" s="8">
        <f>IF(Tabela1511[[#This Row],[Core-Retail Sales]]="",#N/A,((Tabela1511[[#This Row],[Core-Retail Sales]]*1)/K530)-1)</f>
        <v>7.1813155825122488E-2</v>
      </c>
      <c r="N542" s="84">
        <v>225298</v>
      </c>
      <c r="O542" s="8">
        <f>IF(Tabela1511[[#This Row],[Real Retail Sales]]="",#N/A,((Tabela1511[[#This Row],[Real Retail Sales]]*1)/N541)-1)</f>
        <v>-7.6988804030900804E-3</v>
      </c>
      <c r="P542" s="8">
        <f>IF(Tabela1511[[#This Row],[Real Retail Sales]]="",#N/A,((Tabela1511[[#This Row],[Real Retail Sales]]*1)/N530)-1)</f>
        <v>-4.348556226301703E-3</v>
      </c>
      <c r="Q542" s="32">
        <v>492528</v>
      </c>
      <c r="R542" s="8">
        <f>IF(Tabela1511[[#This Row],[Core²-Retail Sales]]="",#N/A,((Tabela1511[[#This Row],[Core²-Retail Sales]]*1)/Q541)-1)</f>
        <v>3.0956725755995063E-3</v>
      </c>
      <c r="S542" s="8">
        <f>IF(Tabela1511[[#This Row],[Core²-Retail Sales]]="",#N/A,((Tabela1511[[#This Row],[Core²-Retail Sales]]*1)/Q530)-1)</f>
        <v>7.3927823070365051E-2</v>
      </c>
      <c r="T542" s="5">
        <v>59.8</v>
      </c>
      <c r="U542" s="7">
        <v>48.4</v>
      </c>
      <c r="V542" s="25">
        <v>45.1</v>
      </c>
      <c r="W542" s="25">
        <v>50.8</v>
      </c>
      <c r="X542" s="25">
        <v>49.2</v>
      </c>
      <c r="Y542" s="25">
        <v>45.2</v>
      </c>
      <c r="Z542" s="25">
        <v>50</v>
      </c>
      <c r="AA542" s="25">
        <f>IF([1]!Tabela1511[[#This Row],[Services New Orders]]="","",([1]!Tabela1511[[#This Row],[Manufacturing New Orders]]+[1]!Tabela1511[[#This Row],[Services New Orders]])/2)</f>
        <v>45.150000000000006</v>
      </c>
      <c r="AB542" s="25">
        <f>IF([1]!Tabela1511[[#This Row],[Services Employment]]="",#N/A,([1]!Tabela1511[[#This Row],[Manufacturing Employment]]+[1]!Tabela1511[[#This Row],[Services Employment]])/2)</f>
        <v>50.4</v>
      </c>
    </row>
    <row r="543" spans="1:28">
      <c r="A543" s="6">
        <v>44927</v>
      </c>
      <c r="B543" s="36">
        <v>15317.6</v>
      </c>
      <c r="C543" s="8">
        <f>IF(Tabela1511[[#This Row],[Real PCE]]="",#N/A,((Tabela1511[[#This Row],[Real PCE]]*1)/B542)-1)</f>
        <v>1.028248811149135E-2</v>
      </c>
      <c r="D543" s="8">
        <f>IF(Tabela1511[[#This Row],[Real PCE]]="",#N/A,((Tabela1511[[#This Row],[Real PCE]]*1)/B531)-1)</f>
        <v>2.3144591913753843E-2</v>
      </c>
      <c r="E543" s="7">
        <v>102.5478</v>
      </c>
      <c r="F543" s="8">
        <f>IF(Tabela1511[[#This Row],[Industrial Production]]="",#N/A,((Tabela1511[[#This Row],[Industrial Production]]*1)/E542)-1)</f>
        <v>1.04744749952701E-2</v>
      </c>
      <c r="G543" s="8">
        <f>IF(Tabela1511[[#This Row],[Industrial Production]]="",#N/A,((Tabela1511[[#This Row],[Industrial Production]]*1)/E531)-1)</f>
        <v>1.5096607000208762E-2</v>
      </c>
      <c r="H543" s="32">
        <v>692501</v>
      </c>
      <c r="I543" s="8">
        <f>IF(Tabela1511[[#This Row],[Retail Sales]]="",#N/A,((Tabela1511[[#This Row],[Retail Sales]]*1)/H542)-1)</f>
        <v>2.8030682032424759E-2</v>
      </c>
      <c r="J543" s="8">
        <f>IF(Tabela1511[[#This Row],[Retail Sales]]="",#N/A,((Tabela1511[[#This Row],[Retail Sales]]*1)/H531)-1)</f>
        <v>7.4061264055835574E-2</v>
      </c>
      <c r="K543" s="32">
        <v>559681</v>
      </c>
      <c r="L543" s="8">
        <f>IF(Tabela1511[[#This Row],[Core-Retail Sales]]="",#N/A,((Tabela1511[[#This Row],[Core-Retail Sales]]*1)/K542)-1)</f>
        <v>1.9035879583268134E-2</v>
      </c>
      <c r="M543" s="8">
        <f>IF(Tabela1511[[#This Row],[Core-Retail Sales]]="",#N/A,((Tabela1511[[#This Row],[Core-Retail Sales]]*1)/K531)-1)</f>
        <v>8.4310576310196561E-2</v>
      </c>
      <c r="N543" s="84">
        <v>230422</v>
      </c>
      <c r="O543" s="8">
        <f>IF(Tabela1511[[#This Row],[Real Retail Sales]]="",#N/A,((Tabela1511[[#This Row],[Real Retail Sales]]*1)/N542)-1)</f>
        <v>2.2743211213592573E-2</v>
      </c>
      <c r="P543" s="8">
        <f>IF(Tabela1511[[#This Row],[Real Retail Sales]]="",#N/A,((Tabela1511[[#This Row],[Real Retail Sales]]*1)/N531)-1)</f>
        <v>9.9583607275914865E-3</v>
      </c>
      <c r="Q543" s="32">
        <v>503192</v>
      </c>
      <c r="R543" s="8">
        <f>IF(Tabela1511[[#This Row],[Core²-Retail Sales]]="",#N/A,((Tabela1511[[#This Row],[Core²-Retail Sales]]*1)/Q542)-1)</f>
        <v>2.1651560926485347E-2</v>
      </c>
      <c r="S543" s="8">
        <f>IF(Tabela1511[[#This Row],[Core²-Retail Sales]]="",#N/A,((Tabela1511[[#This Row],[Core²-Retail Sales]]*1)/Q531)-1)</f>
        <v>8.6767872453927142E-2</v>
      </c>
      <c r="T543" s="5">
        <v>64.900000000000006</v>
      </c>
      <c r="U543" s="7">
        <v>47.4</v>
      </c>
      <c r="V543" s="25">
        <v>42.5</v>
      </c>
      <c r="W543" s="25">
        <v>50.6</v>
      </c>
      <c r="X543" s="25">
        <v>55.2</v>
      </c>
      <c r="Y543" s="25">
        <v>60.4</v>
      </c>
      <c r="Z543" s="25">
        <v>54</v>
      </c>
      <c r="AA543" s="25">
        <f>IF([1]!Tabela1511[[#This Row],[Services New Orders]]="","",([1]!Tabela1511[[#This Row],[Manufacturing New Orders]]+[1]!Tabela1511[[#This Row],[Services New Orders]])/2)</f>
        <v>51.45</v>
      </c>
      <c r="AB543" s="25">
        <f>IF([1]!Tabela1511[[#This Row],[Services Employment]]="",#N/A,([1]!Tabela1511[[#This Row],[Manufacturing Employment]]+[1]!Tabela1511[[#This Row],[Services Employment]])/2)</f>
        <v>52.3</v>
      </c>
    </row>
    <row r="544" spans="1:28">
      <c r="A544" s="6">
        <v>44958</v>
      </c>
      <c r="B544" s="36">
        <v>15325.5</v>
      </c>
      <c r="C544" s="8">
        <f>IF(Tabela1511[[#This Row],[Real PCE]]="",#N/A,((Tabela1511[[#This Row],[Real PCE]]*1)/B543)-1)</f>
        <v>5.1574659215547491E-4</v>
      </c>
      <c r="D544" s="8">
        <f>IF(Tabela1511[[#This Row],[Real PCE]]="",#N/A,((Tabela1511[[#This Row],[Real PCE]]*1)/B532)-1)</f>
        <v>2.3023109888789417E-2</v>
      </c>
      <c r="E544" s="7">
        <v>102.5671</v>
      </c>
      <c r="F544" s="8">
        <f>IF(Tabela1511[[#This Row],[Industrial Production]]="",#N/A,((Tabela1511[[#This Row],[Industrial Production]]*1)/E543)-1)</f>
        <v>1.8820491517135274E-4</v>
      </c>
      <c r="G544" s="8">
        <f>IF(Tabela1511[[#This Row],[Industrial Production]]="",#N/A,((Tabela1511[[#This Row],[Industrial Production]]*1)/E532)-1)</f>
        <v>8.7581606780715582E-3</v>
      </c>
      <c r="H544" s="32">
        <v>687942</v>
      </c>
      <c r="I544" s="8">
        <f>IF(Tabela1511[[#This Row],[Retail Sales]]="",#N/A,((Tabela1511[[#This Row],[Retail Sales]]*1)/H543)-1)</f>
        <v>-6.5833839951133788E-3</v>
      </c>
      <c r="J544" s="8">
        <f>IF(Tabela1511[[#This Row],[Retail Sales]]="",#N/A,((Tabela1511[[#This Row],[Retail Sales]]*1)/H532)-1)</f>
        <v>5.262014346218824E-2</v>
      </c>
      <c r="K544" s="32">
        <v>556605</v>
      </c>
      <c r="L544" s="8">
        <f>IF(Tabela1511[[#This Row],[Core-Retail Sales]]="",#N/A,((Tabela1511[[#This Row],[Core-Retail Sales]]*1)/K543)-1)</f>
        <v>-5.495987893103349E-3</v>
      </c>
      <c r="M544" s="8">
        <f>IF(Tabela1511[[#This Row],[Core-Retail Sales]]="",#N/A,((Tabela1511[[#This Row],[Core-Retail Sales]]*1)/K532)-1)</f>
        <v>6.4083397695207545E-2</v>
      </c>
      <c r="N544" s="84">
        <v>228061</v>
      </c>
      <c r="O544" s="8">
        <f>IF(Tabela1511[[#This Row],[Real Retail Sales]]="",#N/A,((Tabela1511[[#This Row],[Real Retail Sales]]*1)/N543)-1)</f>
        <v>-1.0246417442778877E-2</v>
      </c>
      <c r="P544" s="8">
        <f>IF(Tabela1511[[#This Row],[Real Retail Sales]]="",#N/A,((Tabela1511[[#This Row],[Real Retail Sales]]*1)/N532)-1)</f>
        <v>-6.8370559724079127E-3</v>
      </c>
      <c r="Q544" s="32">
        <v>501121</v>
      </c>
      <c r="R544" s="8">
        <f>IF(Tabela1511[[#This Row],[Core²-Retail Sales]]="",#N/A,((Tabela1511[[#This Row],[Core²-Retail Sales]]*1)/Q543)-1)</f>
        <v>-4.1157252102577147E-3</v>
      </c>
      <c r="S544" s="8">
        <f>IF(Tabela1511[[#This Row],[Core²-Retail Sales]]="",#N/A,((Tabela1511[[#This Row],[Core²-Retail Sales]]*1)/Q532)-1)</f>
        <v>7.3022881345044421E-2</v>
      </c>
      <c r="T544" s="5">
        <v>66.900000000000006</v>
      </c>
      <c r="U544" s="7">
        <v>47.7</v>
      </c>
      <c r="V544" s="25">
        <v>47</v>
      </c>
      <c r="W544" s="25">
        <v>49.1</v>
      </c>
      <c r="X544" s="25">
        <v>55.1</v>
      </c>
      <c r="Y544" s="25">
        <v>62.6</v>
      </c>
      <c r="Z544" s="25">
        <v>51.3</v>
      </c>
      <c r="AA544" s="25">
        <f>IF([1]!Tabela1511[[#This Row],[Services New Orders]]="","",([1]!Tabela1511[[#This Row],[Manufacturing New Orders]]+[1]!Tabela1511[[#This Row],[Services New Orders]])/2)</f>
        <v>54.8</v>
      </c>
      <c r="AB544" s="25">
        <f>IF([1]!Tabela1511[[#This Row],[Services Employment]]="",#N/A,([1]!Tabela1511[[#This Row],[Manufacturing Employment]]+[1]!Tabela1511[[#This Row],[Services Employment]])/2)</f>
        <v>50.2</v>
      </c>
    </row>
    <row r="545" spans="1:28">
      <c r="A545" s="6">
        <v>44986</v>
      </c>
      <c r="B545" s="36">
        <v>15295.4</v>
      </c>
      <c r="C545" s="8">
        <f>IF(Tabela1511[[#This Row],[Real PCE]]="",#N/A,((Tabela1511[[#This Row],[Real PCE]]*1)/B544)-1)</f>
        <v>-1.9640468500212727E-3</v>
      </c>
      <c r="D545" s="8">
        <f>IF(Tabela1511[[#This Row],[Real PCE]]="",#N/A,((Tabela1511[[#This Row],[Real PCE]]*1)/B533)-1)</f>
        <v>1.7387255554077496E-2</v>
      </c>
      <c r="E545" s="7">
        <v>102.6592</v>
      </c>
      <c r="F545" s="8">
        <f>IF(Tabela1511[[#This Row],[Industrial Production]]="",#N/A,((Tabela1511[[#This Row],[Industrial Production]]*1)/E544)-1)</f>
        <v>8.9794875744764191E-4</v>
      </c>
      <c r="G545" s="8">
        <f>IF(Tabela1511[[#This Row],[Industrial Production]]="",#N/A,((Tabela1511[[#This Row],[Industrial Production]]*1)/E533)-1)</f>
        <v>1.7681843907961792E-3</v>
      </c>
      <c r="H545" s="32">
        <v>681673</v>
      </c>
      <c r="I545" s="8">
        <f>IF(Tabela1511[[#This Row],[Retail Sales]]="",#N/A,((Tabela1511[[#This Row],[Retail Sales]]*1)/H544)-1)</f>
        <v>-9.1126868253428306E-3</v>
      </c>
      <c r="J545" s="8">
        <f>IF(Tabela1511[[#This Row],[Retail Sales]]="",#N/A,((Tabela1511[[#This Row],[Retail Sales]]*1)/H533)-1)</f>
        <v>2.1921894910426509E-2</v>
      </c>
      <c r="K545" s="32">
        <v>552011</v>
      </c>
      <c r="L545" s="8">
        <f>IF(Tabela1511[[#This Row],[Core-Retail Sales]]="",#N/A,((Tabela1511[[#This Row],[Core-Retail Sales]]*1)/K544)-1)</f>
        <v>-8.2536089327260864E-3</v>
      </c>
      <c r="M545" s="8">
        <f>IF(Tabela1511[[#This Row],[Core-Retail Sales]]="",#N/A,((Tabela1511[[#This Row],[Core-Retail Sales]]*1)/K533)-1)</f>
        <v>2.5499503051357619E-2</v>
      </c>
      <c r="N545" s="84">
        <v>225863</v>
      </c>
      <c r="O545" s="8">
        <f>IF(Tabela1511[[#This Row],[Real Retail Sales]]="",#N/A,((Tabela1511[[#This Row],[Real Retail Sales]]*1)/N544)-1)</f>
        <v>-9.6377723503799917E-3</v>
      </c>
      <c r="P545" s="8">
        <f>IF(Tabela1511[[#This Row],[Real Retail Sales]]="",#N/A,((Tabela1511[[#This Row],[Real Retail Sales]]*1)/N533)-1)</f>
        <v>-2.6620410274090678E-2</v>
      </c>
      <c r="Q545" s="32">
        <v>497018</v>
      </c>
      <c r="R545" s="8">
        <f>IF(Tabela1511[[#This Row],[Core²-Retail Sales]]="",#N/A,((Tabela1511[[#This Row],[Core²-Retail Sales]]*1)/Q544)-1)</f>
        <v>-8.1876433037130214E-3</v>
      </c>
      <c r="S545" s="8">
        <f>IF(Tabela1511[[#This Row],[Core²-Retail Sales]]="",#N/A,((Tabela1511[[#This Row],[Core²-Retail Sales]]*1)/Q533)-1)</f>
        <v>4.6351481365302316E-2</v>
      </c>
      <c r="T545" s="5">
        <v>62</v>
      </c>
      <c r="U545" s="7">
        <v>46.3</v>
      </c>
      <c r="V545" s="25">
        <v>44.3</v>
      </c>
      <c r="W545" s="25">
        <v>46.9</v>
      </c>
      <c r="X545" s="25">
        <v>51.2</v>
      </c>
      <c r="Y545" s="25">
        <v>52.2</v>
      </c>
      <c r="Z545" s="25">
        <v>50.8</v>
      </c>
      <c r="AA545" s="25">
        <f>IF([1]!Tabela1511[[#This Row],[Services New Orders]]="","",([1]!Tabela1511[[#This Row],[Manufacturing New Orders]]+[1]!Tabela1511[[#This Row],[Services New Orders]])/2)</f>
        <v>48.25</v>
      </c>
      <c r="AB545" s="25">
        <f>IF([1]!Tabela1511[[#This Row],[Services Employment]]="",#N/A,([1]!Tabela1511[[#This Row],[Manufacturing Employment]]+[1]!Tabela1511[[#This Row],[Services Employment]])/2)</f>
        <v>48.849999999999994</v>
      </c>
    </row>
    <row r="546" spans="1:28">
      <c r="A546" s="6">
        <v>45017</v>
      </c>
      <c r="B546" s="36">
        <v>15316.9</v>
      </c>
      <c r="C546" s="8">
        <f>IF(Tabela1511[[#This Row],[Real PCE]]="",#N/A,((Tabela1511[[#This Row],[Real PCE]]*1)/B545)-1)</f>
        <v>1.40565137230797E-3</v>
      </c>
      <c r="D546" s="8">
        <f>IF(Tabela1511[[#This Row],[Real PCE]]="",#N/A,((Tabela1511[[#This Row],[Real PCE]]*1)/B534)-1)</f>
        <v>1.5595058912456716E-2</v>
      </c>
      <c r="E546" s="7">
        <v>103.1512</v>
      </c>
      <c r="F546" s="8">
        <f>IF(Tabela1511[[#This Row],[Industrial Production]]="",#N/A,((Tabela1511[[#This Row],[Industrial Production]]*1)/E545)-1)</f>
        <v>4.7925563417599015E-3</v>
      </c>
      <c r="G546" s="8">
        <f>IF(Tabela1511[[#This Row],[Industrial Production]]="",#N/A,((Tabela1511[[#This Row],[Industrial Production]]*1)/E534)-1)</f>
        <v>3.4622205489940328E-3</v>
      </c>
      <c r="H546" s="32">
        <v>684636</v>
      </c>
      <c r="I546" s="8">
        <f>IF(Tabela1511[[#This Row],[Retail Sales]]="",#N/A,((Tabela1511[[#This Row],[Retail Sales]]*1)/H545)-1)</f>
        <v>4.3466588818978913E-3</v>
      </c>
      <c r="J546" s="8">
        <f>IF(Tabela1511[[#This Row],[Retail Sales]]="",#N/A,((Tabela1511[[#This Row],[Retail Sales]]*1)/H534)-1)</f>
        <v>1.292648753733916E-2</v>
      </c>
      <c r="K546" s="32">
        <v>553869</v>
      </c>
      <c r="L546" s="8">
        <f>IF(Tabela1511[[#This Row],[Core-Retail Sales]]="",#N/A,((Tabela1511[[#This Row],[Core-Retail Sales]]*1)/K545)-1)</f>
        <v>3.3658749553904244E-3</v>
      </c>
      <c r="M546" s="8">
        <f>IF(Tabela1511[[#This Row],[Core-Retail Sales]]="",#N/A,((Tabela1511[[#This Row],[Core-Retail Sales]]*1)/K534)-1)</f>
        <v>1.6187624530773492E-2</v>
      </c>
      <c r="N546" s="84">
        <v>226014</v>
      </c>
      <c r="O546" s="8">
        <f>IF(Tabela1511[[#This Row],[Real Retail Sales]]="",#N/A,((Tabela1511[[#This Row],[Real Retail Sales]]*1)/N545)-1)</f>
        <v>6.6854686247852513E-4</v>
      </c>
      <c r="P546" s="8">
        <f>IF(Tabela1511[[#This Row],[Real Retail Sales]]="",#N/A,((Tabela1511[[#This Row],[Real Retail Sales]]*1)/N534)-1)</f>
        <v>-3.4911823732866498E-2</v>
      </c>
      <c r="Q546" s="32">
        <v>499443</v>
      </c>
      <c r="R546" s="8">
        <f>IF(Tabela1511[[#This Row],[Core²-Retail Sales]]="",#N/A,((Tabela1511[[#This Row],[Core²-Retail Sales]]*1)/Q545)-1)</f>
        <v>4.8790989461147127E-3</v>
      </c>
      <c r="S546" s="8">
        <f>IF(Tabela1511[[#This Row],[Core²-Retail Sales]]="",#N/A,((Tabela1511[[#This Row],[Core²-Retail Sales]]*1)/Q534)-1)</f>
        <v>3.7866177909941623E-2</v>
      </c>
      <c r="T546" s="5">
        <v>63.7</v>
      </c>
      <c r="U546" s="7">
        <v>47.1</v>
      </c>
      <c r="V546" s="25">
        <v>45.7</v>
      </c>
      <c r="W546" s="25">
        <v>50.2</v>
      </c>
      <c r="X546" s="25">
        <v>51.9</v>
      </c>
      <c r="Y546" s="25">
        <v>56.1</v>
      </c>
      <c r="Z546" s="25">
        <v>49.2</v>
      </c>
      <c r="AA546" s="25">
        <f>IF([1]!Tabela1511[[#This Row],[Services New Orders]]="","",([1]!Tabela1511[[#This Row],[Manufacturing New Orders]]+[1]!Tabela1511[[#This Row],[Services New Orders]])/2)</f>
        <v>50.900000000000006</v>
      </c>
      <c r="AB546" s="25">
        <f>IF([1]!Tabela1511[[#This Row],[Services Employment]]="",#N/A,([1]!Tabela1511[[#This Row],[Manufacturing Employment]]+[1]!Tabela1511[[#This Row],[Services Employment]])/2)</f>
        <v>49.7</v>
      </c>
    </row>
    <row r="547" spans="1:28">
      <c r="A547" s="6">
        <v>45047</v>
      </c>
      <c r="B547" s="36">
        <v>15337.4</v>
      </c>
      <c r="C547" s="8">
        <f>IF(Tabela1511[[#This Row],[Real PCE]]="",#N/A,((Tabela1511[[#This Row],[Real PCE]]*1)/B546)-1)</f>
        <v>1.3383909276680761E-3</v>
      </c>
      <c r="D547" s="8">
        <f>IF(Tabela1511[[#This Row],[Real PCE]]="",#N/A,((Tabela1511[[#This Row],[Real PCE]]*1)/B535)-1)</f>
        <v>1.8419654714475486E-2</v>
      </c>
      <c r="E547" s="7">
        <v>102.92400000000001</v>
      </c>
      <c r="F547" s="8">
        <f>IF(Tabela1511[[#This Row],[Industrial Production]]="",#N/A,((Tabela1511[[#This Row],[Industrial Production]]*1)/E546)-1)</f>
        <v>-2.2025919233125135E-3</v>
      </c>
      <c r="G547" s="8">
        <f>IF(Tabela1511[[#This Row],[Industrial Production]]="",#N/A,((Tabela1511[[#This Row],[Industrial Production]]*1)/E535)-1)</f>
        <v>1.4312554669386746E-3</v>
      </c>
      <c r="H547" s="32">
        <v>689158</v>
      </c>
      <c r="I547" s="8">
        <f>IF(Tabela1511[[#This Row],[Retail Sales]]="",#N/A,((Tabela1511[[#This Row],[Retail Sales]]*1)/H546)-1)</f>
        <v>6.6049696481049747E-3</v>
      </c>
      <c r="J547" s="8">
        <f>IF(Tabela1511[[#This Row],[Retail Sales]]="",#N/A,((Tabela1511[[#This Row],[Retail Sales]]*1)/H535)-1)</f>
        <v>2.1103398205700064E-2</v>
      </c>
      <c r="K547" s="32">
        <v>556182</v>
      </c>
      <c r="L547" s="8">
        <f>IF(Tabela1511[[#This Row],[Core-Retail Sales]]="",#N/A,((Tabela1511[[#This Row],[Core-Retail Sales]]*1)/K546)-1)</f>
        <v>4.1760777367934043E-3</v>
      </c>
      <c r="M547" s="8">
        <f>IF(Tabela1511[[#This Row],[Core-Retail Sales]]="",#N/A,((Tabela1511[[#This Row],[Core-Retail Sales]]*1)/K535)-1)</f>
        <v>1.3743023683932432E-2</v>
      </c>
      <c r="N547" s="84">
        <v>227224</v>
      </c>
      <c r="O547" s="8">
        <f>IF(Tabela1511[[#This Row],[Real Retail Sales]]="",#N/A,((Tabela1511[[#This Row],[Real Retail Sales]]*1)/N546)-1)</f>
        <v>5.3536506588087729E-3</v>
      </c>
      <c r="P547" s="8">
        <f>IF(Tabela1511[[#This Row],[Real Retail Sales]]="",#N/A,((Tabela1511[[#This Row],[Real Retail Sales]]*1)/N535)-1)</f>
        <v>-1.9385799858447461E-2</v>
      </c>
      <c r="Q547" s="32">
        <v>503358</v>
      </c>
      <c r="R547" s="8">
        <f>IF(Tabela1511[[#This Row],[Core²-Retail Sales]]="",#N/A,((Tabela1511[[#This Row],[Core²-Retail Sales]]*1)/Q546)-1)</f>
        <v>7.8387323478354975E-3</v>
      </c>
      <c r="S547" s="8">
        <f>IF(Tabela1511[[#This Row],[Core²-Retail Sales]]="",#N/A,((Tabela1511[[#This Row],[Core²-Retail Sales]]*1)/Q535)-1)</f>
        <v>4.4183388340431451E-2</v>
      </c>
      <c r="T547" s="5">
        <v>59</v>
      </c>
      <c r="U547" s="7">
        <v>46.9</v>
      </c>
      <c r="V547" s="25">
        <v>42.6</v>
      </c>
      <c r="W547" s="25">
        <v>51.4</v>
      </c>
      <c r="X547" s="25">
        <v>50.3</v>
      </c>
      <c r="Y547" s="25">
        <v>52.9</v>
      </c>
      <c r="Z547" s="25">
        <v>53.1</v>
      </c>
      <c r="AA547" s="25">
        <f>IF([1]!Tabela1511[[#This Row],[Services New Orders]]="","",([1]!Tabela1511[[#This Row],[Manufacturing New Orders]]+[1]!Tabela1511[[#This Row],[Services New Orders]])/2)</f>
        <v>47.75</v>
      </c>
      <c r="AB547" s="25">
        <f>IF([1]!Tabela1511[[#This Row],[Services Employment]]="",#N/A,([1]!Tabela1511[[#This Row],[Manufacturing Employment]]+[1]!Tabela1511[[#This Row],[Services Employment]])/2)</f>
        <v>52.25</v>
      </c>
    </row>
    <row r="548" spans="1:28">
      <c r="A548" s="6">
        <v>45078</v>
      </c>
      <c r="B548" s="36">
        <v>15376.3</v>
      </c>
      <c r="C548" s="8">
        <f>IF(Tabela1511[[#This Row],[Real PCE]]="",#N/A,((Tabela1511[[#This Row],[Real PCE]]*1)/B547)-1)</f>
        <v>2.5362838551514777E-3</v>
      </c>
      <c r="D548" s="8">
        <f>IF(Tabela1511[[#This Row],[Real PCE]]="",#N/A,((Tabela1511[[#This Row],[Real PCE]]*1)/B536)-1)</f>
        <v>2.0609592587184311E-2</v>
      </c>
      <c r="E548" s="7">
        <v>102.3002</v>
      </c>
      <c r="F548" s="8">
        <f>IF(Tabela1511[[#This Row],[Industrial Production]]="",#N/A,((Tabela1511[[#This Row],[Industrial Production]]*1)/E547)-1)</f>
        <v>-6.0607827134584458E-3</v>
      </c>
      <c r="G548" s="8">
        <f>IF(Tabela1511[[#This Row],[Industrial Production]]="",#N/A,((Tabela1511[[#This Row],[Industrial Production]]*1)/E536)-1)</f>
        <v>-3.759995247662018E-3</v>
      </c>
      <c r="H548" s="32">
        <v>690518</v>
      </c>
      <c r="I548" s="8">
        <f>IF(Tabela1511[[#This Row],[Retail Sales]]="",#N/A,((Tabela1511[[#This Row],[Retail Sales]]*1)/H547)-1)</f>
        <v>1.9734226403813615E-3</v>
      </c>
      <c r="J548" s="8">
        <f>IF(Tabela1511[[#This Row],[Retail Sales]]="",#N/A,((Tabela1511[[#This Row],[Retail Sales]]*1)/H536)-1)</f>
        <v>1.469916166432772E-2</v>
      </c>
      <c r="K548" s="32">
        <v>556836</v>
      </c>
      <c r="L548" s="8">
        <f>IF(Tabela1511[[#This Row],[Core-Retail Sales]]="",#N/A,((Tabela1511[[#This Row],[Core-Retail Sales]]*1)/K547)-1)</f>
        <v>1.1758740843823556E-3</v>
      </c>
      <c r="M548" s="8">
        <f>IF(Tabela1511[[#This Row],[Core-Retail Sales]]="",#N/A,((Tabela1511[[#This Row],[Core-Retail Sales]]*1)/K536)-1)</f>
        <v>4.5878262940357573E-3</v>
      </c>
      <c r="N548" s="84">
        <v>227263</v>
      </c>
      <c r="O548" s="8">
        <f>IF(Tabela1511[[#This Row],[Real Retail Sales]]="",#N/A,((Tabela1511[[#This Row],[Real Retail Sales]]*1)/N547)-1)</f>
        <v>1.7163679892973072E-4</v>
      </c>
      <c r="P548" s="8">
        <f>IF(Tabela1511[[#This Row],[Real Retail Sales]]="",#N/A,((Tabela1511[[#This Row],[Real Retail Sales]]*1)/N536)-1)</f>
        <v>-1.5734356593444687E-2</v>
      </c>
      <c r="Q548" s="32">
        <v>504337</v>
      </c>
      <c r="R548" s="8">
        <f>IF(Tabela1511[[#This Row],[Core²-Retail Sales]]="",#N/A,((Tabela1511[[#This Row],[Core²-Retail Sales]]*1)/Q547)-1)</f>
        <v>1.9449377977502902E-3</v>
      </c>
      <c r="S548" s="8">
        <f>IF(Tabela1511[[#This Row],[Core²-Retail Sales]]="",#N/A,((Tabela1511[[#This Row],[Core²-Retail Sales]]*1)/Q536)-1)</f>
        <v>3.765358944604924E-2</v>
      </c>
      <c r="T548" s="5">
        <v>64.2</v>
      </c>
      <c r="U548" s="7">
        <v>46</v>
      </c>
      <c r="V548" s="25">
        <v>45.6</v>
      </c>
      <c r="W548" s="25">
        <v>48.1</v>
      </c>
      <c r="X548" s="25">
        <v>53.9</v>
      </c>
      <c r="Y548" s="25">
        <v>55.5</v>
      </c>
      <c r="Z548" s="25">
        <v>50.7</v>
      </c>
      <c r="AA548" s="25">
        <f>IF([1]!Tabela1511[[#This Row],[Services New Orders]]="","",([1]!Tabela1511[[#This Row],[Manufacturing New Orders]]+[1]!Tabela1511[[#This Row],[Services New Orders]])/2)</f>
        <v>50.55</v>
      </c>
      <c r="AB548" s="25">
        <f>IF([1]!Tabela1511[[#This Row],[Services Employment]]="",#N/A,([1]!Tabela1511[[#This Row],[Manufacturing Employment]]+[1]!Tabela1511[[#This Row],[Services Employment]])/2)</f>
        <v>49.400000000000006</v>
      </c>
    </row>
    <row r="549" spans="1:28">
      <c r="A549" s="6">
        <v>45108</v>
      </c>
      <c r="B549" s="36">
        <v>15448.3</v>
      </c>
      <c r="C549" s="8">
        <f>IF(Tabela1511[[#This Row],[Real PCE]]="",#N/A,((Tabela1511[[#This Row],[Real PCE]]*1)/B548)-1)</f>
        <v>4.6825309079556732E-3</v>
      </c>
      <c r="D549" s="8">
        <f>IF(Tabela1511[[#This Row],[Real PCE]]="",#N/A,((Tabela1511[[#This Row],[Real PCE]]*1)/B537)-1)</f>
        <v>2.5164077483061265E-2</v>
      </c>
      <c r="E549" s="7">
        <v>103.2166</v>
      </c>
      <c r="F549" s="8">
        <f>IF(Tabela1511[[#This Row],[Industrial Production]]="",#N/A,((Tabela1511[[#This Row],[Industrial Production]]*1)/E548)-1)</f>
        <v>8.9579492513209846E-3</v>
      </c>
      <c r="G549" s="8">
        <f>IF(Tabela1511[[#This Row],[Industrial Production]]="",#N/A,((Tabela1511[[#This Row],[Industrial Production]]*1)/E537)-1)</f>
        <v>8.1254460268698203E-4</v>
      </c>
      <c r="H549" s="32">
        <v>694415</v>
      </c>
      <c r="I549" s="8">
        <f>IF(Tabela1511[[#This Row],[Retail Sales]]="",#N/A,((Tabela1511[[#This Row],[Retail Sales]]*1)/H548)-1)</f>
        <v>5.6435893054200825E-3</v>
      </c>
      <c r="J549" s="8">
        <f>IF(Tabela1511[[#This Row],[Retail Sales]]="",#N/A,((Tabela1511[[#This Row],[Retail Sales]]*1)/H537)-1)</f>
        <v>2.7511682070130883E-2</v>
      </c>
      <c r="K549" s="32">
        <v>561082</v>
      </c>
      <c r="L549" s="8">
        <f>IF(Tabela1511[[#This Row],[Core-Retail Sales]]="",#N/A,((Tabela1511[[#This Row],[Core-Retail Sales]]*1)/K548)-1)</f>
        <v>7.6252253805428882E-3</v>
      </c>
      <c r="M549" s="8">
        <f>IF(Tabela1511[[#This Row],[Core-Retail Sales]]="",#N/A,((Tabela1511[[#This Row],[Core-Retail Sales]]*1)/K537)-1)</f>
        <v>1.7322783249445139E-2</v>
      </c>
      <c r="N549" s="84">
        <v>228165</v>
      </c>
      <c r="O549" s="8">
        <f>IF(Tabela1511[[#This Row],[Real Retail Sales]]="",#N/A,((Tabela1511[[#This Row],[Real Retail Sales]]*1)/N548)-1)</f>
        <v>3.9689698719105326E-3</v>
      </c>
      <c r="P549" s="8">
        <f>IF(Tabela1511[[#This Row],[Real Retail Sales]]="",#N/A,((Tabela1511[[#This Row],[Real Retail Sales]]*1)/N537)-1)</f>
        <v>-5.3012237282076269E-3</v>
      </c>
      <c r="Q549" s="32">
        <v>508430</v>
      </c>
      <c r="R549" s="8">
        <f>IF(Tabela1511[[#This Row],[Core²-Retail Sales]]="",#N/A,((Tabela1511[[#This Row],[Core²-Retail Sales]]*1)/Q548)-1)</f>
        <v>8.1156052401469836E-3</v>
      </c>
      <c r="S549" s="8">
        <f>IF(Tabela1511[[#This Row],[Core²-Retail Sales]]="",#N/A,((Tabela1511[[#This Row],[Core²-Retail Sales]]*1)/Q537)-1)</f>
        <v>4.8013241620408209E-2</v>
      </c>
      <c r="T549" s="5">
        <v>71.5</v>
      </c>
      <c r="U549" s="7">
        <v>46.4</v>
      </c>
      <c r="V549" s="25">
        <v>47.3</v>
      </c>
      <c r="W549" s="25">
        <v>44.4</v>
      </c>
      <c r="X549" s="25">
        <v>52.7</v>
      </c>
      <c r="Y549" s="25">
        <v>55</v>
      </c>
      <c r="Z549" s="25">
        <v>54.7</v>
      </c>
      <c r="AA549" s="25">
        <f>IF([1]!Tabela1511[[#This Row],[Services New Orders]]="","",([1]!Tabela1511[[#This Row],[Manufacturing New Orders]]+[1]!Tabela1511[[#This Row],[Services New Orders]])/2)</f>
        <v>51.15</v>
      </c>
      <c r="AB549" s="25">
        <f>IF([1]!Tabela1511[[#This Row],[Services Employment]]="",#N/A,([1]!Tabela1511[[#This Row],[Manufacturing Employment]]+[1]!Tabela1511[[#This Row],[Services Employment]])/2)</f>
        <v>49.55</v>
      </c>
    </row>
    <row r="550" spans="1:28">
      <c r="A550" s="6">
        <v>45139</v>
      </c>
      <c r="B550" s="36">
        <v>15439.8</v>
      </c>
      <c r="C550" s="8">
        <f>IF(Tabela1511[[#This Row],[Real PCE]]="",#N/A,((Tabela1511[[#This Row],[Real PCE]]*1)/B549)-1)</f>
        <v>-5.5022235456325674E-4</v>
      </c>
      <c r="D550" s="8">
        <f>IF(Tabela1511[[#This Row],[Real PCE]]="",#N/A,((Tabela1511[[#This Row],[Real PCE]]*1)/B538)-1)</f>
        <v>2.0051135350118487E-2</v>
      </c>
      <c r="E550" s="7">
        <v>103.2158</v>
      </c>
      <c r="F550" s="8">
        <f>IF(Tabela1511[[#This Row],[Industrial Production]]="",#N/A,((Tabela1511[[#This Row],[Industrial Production]]*1)/E549)-1)</f>
        <v>-7.7506912647962167E-6</v>
      </c>
      <c r="G550" s="8">
        <f>IF(Tabela1511[[#This Row],[Industrial Production]]="",#N/A,((Tabela1511[[#This Row],[Industrial Production]]*1)/E538)-1)</f>
        <v>-1.8017250063928625E-4</v>
      </c>
      <c r="H550" s="32">
        <v>699540</v>
      </c>
      <c r="I550" s="8">
        <f>IF(Tabela1511[[#This Row],[Retail Sales]]="",#N/A,((Tabela1511[[#This Row],[Retail Sales]]*1)/H549)-1)</f>
        <v>7.3803129252680844E-3</v>
      </c>
      <c r="J550" s="8">
        <f>IF(Tabela1511[[#This Row],[Retail Sales]]="",#N/A,((Tabela1511[[#This Row],[Retail Sales]]*1)/H538)-1)</f>
        <v>2.835419815009721E-2</v>
      </c>
      <c r="K550" s="32">
        <v>565754</v>
      </c>
      <c r="L550" s="8">
        <f>IF(Tabela1511[[#This Row],[Core-Retail Sales]]="",#N/A,((Tabela1511[[#This Row],[Core-Retail Sales]]*1)/K549)-1)</f>
        <v>8.3267686363133198E-3</v>
      </c>
      <c r="M550" s="8">
        <f>IF(Tabela1511[[#This Row],[Core-Retail Sales]]="",#N/A,((Tabela1511[[#This Row],[Core-Retail Sales]]*1)/K538)-1)</f>
        <v>2.4309874404112142E-2</v>
      </c>
      <c r="N550" s="84">
        <v>228407</v>
      </c>
      <c r="O550" s="8">
        <f>IF(Tabela1511[[#This Row],[Real Retail Sales]]="",#N/A,((Tabela1511[[#This Row],[Real Retail Sales]]*1)/N549)-1)</f>
        <v>1.0606359432867585E-3</v>
      </c>
      <c r="P550" s="8">
        <f>IF(Tabela1511[[#This Row],[Real Retail Sales]]="",#N/A,((Tabela1511[[#This Row],[Real Retail Sales]]*1)/N538)-1)</f>
        <v>-8.4091619490848091E-3</v>
      </c>
      <c r="Q550" s="32">
        <v>509550</v>
      </c>
      <c r="R550" s="8">
        <f>IF(Tabela1511[[#This Row],[Core²-Retail Sales]]="",#N/A,((Tabela1511[[#This Row],[Core²-Retail Sales]]*1)/Q549)-1)</f>
        <v>2.2028597840411113E-3</v>
      </c>
      <c r="S550" s="8">
        <f>IF(Tabela1511[[#This Row],[Core²-Retail Sales]]="",#N/A,((Tabela1511[[#This Row],[Core²-Retail Sales]]*1)/Q538)-1)</f>
        <v>3.817966589990851E-2</v>
      </c>
      <c r="T550" s="5">
        <v>69.400000000000006</v>
      </c>
      <c r="U550" s="7">
        <v>47.6</v>
      </c>
      <c r="V550" s="25">
        <v>46.8</v>
      </c>
      <c r="W550" s="25">
        <v>48.5</v>
      </c>
      <c r="X550" s="25">
        <v>54.5</v>
      </c>
      <c r="Y550" s="25">
        <v>57.5</v>
      </c>
      <c r="Z550" s="25">
        <v>53.4</v>
      </c>
      <c r="AA550" s="25">
        <f>IF([1]!Tabela1511[[#This Row],[Services New Orders]]="","",([1]!Tabela1511[[#This Row],[Manufacturing New Orders]]+[1]!Tabela1511[[#This Row],[Services New Orders]])/2)</f>
        <v>52.15</v>
      </c>
      <c r="AB550" s="25">
        <f>IF([1]!Tabela1511[[#This Row],[Services Employment]]="",#N/A,([1]!Tabela1511[[#This Row],[Manufacturing Employment]]+[1]!Tabela1511[[#This Row],[Services Employment]])/2)</f>
        <v>50.95</v>
      </c>
    </row>
    <row r="551" spans="1:28">
      <c r="A551" s="6">
        <v>45170</v>
      </c>
      <c r="B551" s="36">
        <v>15496</v>
      </c>
      <c r="C551" s="8">
        <f>IF(Tabela1511[[#This Row],[Real PCE]]="",#N/A,((Tabela1511[[#This Row],[Real PCE]]*1)/B550)-1)</f>
        <v>3.6399435225844545E-3</v>
      </c>
      <c r="D551" s="8">
        <f>IF(Tabela1511[[#This Row],[Real PCE]]="",#N/A,((Tabela1511[[#This Row],[Real PCE]]*1)/B539)-1)</f>
        <v>2.1038829258007263E-2</v>
      </c>
      <c r="E551" s="7">
        <v>103.3374</v>
      </c>
      <c r="F551" s="8">
        <f>IF(Tabela1511[[#This Row],[Industrial Production]]="",#N/A,((Tabela1511[[#This Row],[Industrial Production]]*1)/E550)-1)</f>
        <v>1.1781142034457126E-3</v>
      </c>
      <c r="G551" s="8">
        <f>IF(Tabela1511[[#This Row],[Industrial Production]]="",#N/A,((Tabela1511[[#This Row],[Industrial Production]]*1)/E539)-1)</f>
        <v>-1.8439402559493612E-3</v>
      </c>
      <c r="H551" s="32">
        <v>705304</v>
      </c>
      <c r="I551" s="8">
        <f>IF(Tabela1511[[#This Row],[Retail Sales]]="",#N/A,((Tabela1511[[#This Row],[Retail Sales]]*1)/H550)-1)</f>
        <v>8.2397003745318109E-3</v>
      </c>
      <c r="J551" s="8">
        <f>IF(Tabela1511[[#This Row],[Retail Sales]]="",#N/A,((Tabela1511[[#This Row],[Retail Sales]]*1)/H539)-1)</f>
        <v>3.9961545380284846E-2</v>
      </c>
      <c r="K551" s="32">
        <v>570044</v>
      </c>
      <c r="L551" s="8">
        <f>IF(Tabela1511[[#This Row],[Core-Retail Sales]]="",#N/A,((Tabela1511[[#This Row],[Core-Retail Sales]]*1)/K550)-1)</f>
        <v>7.5828010053839989E-3</v>
      </c>
      <c r="M551" s="8">
        <f>IF(Tabela1511[[#This Row],[Core-Retail Sales]]="",#N/A,((Tabela1511[[#This Row],[Core-Retail Sales]]*1)/K539)-1)</f>
        <v>3.4205990674722075E-2</v>
      </c>
      <c r="N551" s="84">
        <v>229381</v>
      </c>
      <c r="O551" s="8">
        <f>IF(Tabela1511[[#This Row],[Real Retail Sales]]="",#N/A,((Tabela1511[[#This Row],[Real Retail Sales]]*1)/N550)-1)</f>
        <v>4.264317643504878E-3</v>
      </c>
      <c r="P551" s="8">
        <f>IF(Tabela1511[[#This Row],[Real Retail Sales]]="",#N/A,((Tabela1511[[#This Row],[Real Retail Sales]]*1)/N539)-1)</f>
        <v>2.9513873706854543E-3</v>
      </c>
      <c r="Q551" s="32">
        <v>513297</v>
      </c>
      <c r="R551" s="8">
        <f>IF(Tabela1511[[#This Row],[Core²-Retail Sales]]="",#N/A,((Tabela1511[[#This Row],[Core²-Retail Sales]]*1)/Q550)-1)</f>
        <v>7.3535472475714236E-3</v>
      </c>
      <c r="S551" s="8">
        <f>IF(Tabela1511[[#This Row],[Core²-Retail Sales]]="",#N/A,((Tabela1511[[#This Row],[Core²-Retail Sales]]*1)/Q539)-1)</f>
        <v>4.2307832888629049E-2</v>
      </c>
      <c r="T551" s="5">
        <v>67.900000000000006</v>
      </c>
      <c r="U551" s="7">
        <v>49</v>
      </c>
      <c r="V551" s="25">
        <v>49.2</v>
      </c>
      <c r="W551" s="25">
        <v>51.2</v>
      </c>
      <c r="X551" s="25">
        <v>53.6</v>
      </c>
      <c r="Y551" s="25">
        <v>51.8</v>
      </c>
      <c r="Z551" s="25">
        <v>50.2</v>
      </c>
      <c r="AA551" s="25">
        <f>IF([1]!Tabela1511[[#This Row],[Services New Orders]]="","",([1]!Tabela1511[[#This Row],[Manufacturing New Orders]]+[1]!Tabela1511[[#This Row],[Services New Orders]])/2)</f>
        <v>50.5</v>
      </c>
      <c r="AB551" s="25">
        <f>IF([1]!Tabela1511[[#This Row],[Services Employment]]="",#N/A,([1]!Tabela1511[[#This Row],[Manufacturing Employment]]+[1]!Tabela1511[[#This Row],[Services Employment]])/2)</f>
        <v>50.7</v>
      </c>
    </row>
    <row r="552" spans="1:28">
      <c r="A552" s="6">
        <v>45200</v>
      </c>
      <c r="B552" s="36">
        <v>15507.8</v>
      </c>
      <c r="C552" s="8">
        <f>IF(Tabela1511[[#This Row],[Real PCE]]="",#N/A,((Tabela1511[[#This Row],[Real PCE]]*1)/B551)-1)</f>
        <v>7.6148683531229722E-4</v>
      </c>
      <c r="D552" s="8">
        <f>IF(Tabela1511[[#This Row],[Real PCE]]="",#N/A,((Tabela1511[[#This Row],[Real PCE]]*1)/B540)-1)</f>
        <v>2.0068803567787175E-2</v>
      </c>
      <c r="E552" s="7">
        <v>102.41889999999999</v>
      </c>
      <c r="F552" s="8">
        <f>IF(Tabela1511[[#This Row],[Industrial Production]]="",#N/A,((Tabela1511[[#This Row],[Industrial Production]]*1)/E551)-1)</f>
        <v>-8.8883598774500694E-3</v>
      </c>
      <c r="G552" s="8">
        <f>IF(Tabela1511[[#This Row],[Industrial Production]]="",#N/A,((Tabela1511[[#This Row],[Industrial Production]]*1)/E540)-1)</f>
        <v>-9.5975878868287401E-3</v>
      </c>
      <c r="H552" s="32">
        <v>703528</v>
      </c>
      <c r="I552" s="8">
        <f>IF(Tabela1511[[#This Row],[Retail Sales]]="",#N/A,((Tabela1511[[#This Row],[Retail Sales]]*1)/H551)-1)</f>
        <v>-2.5180631330603553E-3</v>
      </c>
      <c r="J552" s="8">
        <f>IF(Tabela1511[[#This Row],[Retail Sales]]="",#N/A,((Tabela1511[[#This Row],[Retail Sales]]*1)/H540)-1)</f>
        <v>2.2046859746176484E-2</v>
      </c>
      <c r="K552" s="32">
        <v>569588</v>
      </c>
      <c r="L552" s="8">
        <f>IF(Tabela1511[[#This Row],[Core-Retail Sales]]="",#N/A,((Tabela1511[[#This Row],[Core-Retail Sales]]*1)/K551)-1)</f>
        <v>-7.999382503807162E-4</v>
      </c>
      <c r="M552" s="8">
        <f>IF(Tabela1511[[#This Row],[Core-Retail Sales]]="",#N/A,((Tabela1511[[#This Row],[Core-Retail Sales]]*1)/K540)-1)</f>
        <v>1.9652351372155819E-2</v>
      </c>
      <c r="N552" s="84">
        <v>228701</v>
      </c>
      <c r="O552" s="8">
        <f>IF(Tabela1511[[#This Row],[Real Retail Sales]]="",#N/A,((Tabela1511[[#This Row],[Real Retail Sales]]*1)/N551)-1)</f>
        <v>-2.9645001111687774E-3</v>
      </c>
      <c r="P552" s="8">
        <f>IF(Tabela1511[[#This Row],[Real Retail Sales]]="",#N/A,((Tabela1511[[#This Row],[Real Retail Sales]]*1)/N540)-1)</f>
        <v>-9.9566668542560022E-3</v>
      </c>
      <c r="Q552" s="32">
        <v>513805</v>
      </c>
      <c r="R552" s="8">
        <f>IF(Tabela1511[[#This Row],[Core²-Retail Sales]]="",#N/A,((Tabela1511[[#This Row],[Core²-Retail Sales]]*1)/Q551)-1)</f>
        <v>9.8968043842062592E-4</v>
      </c>
      <c r="S552" s="8">
        <f>IF(Tabela1511[[#This Row],[Core²-Retail Sales]]="",#N/A,((Tabela1511[[#This Row],[Core²-Retail Sales]]*1)/Q540)-1)</f>
        <v>3.272612522436158E-2</v>
      </c>
      <c r="T552" s="5">
        <v>63.8</v>
      </c>
      <c r="U552" s="7">
        <v>46.7</v>
      </c>
      <c r="V552" s="25">
        <v>45.5</v>
      </c>
      <c r="W552" s="25">
        <v>46.8</v>
      </c>
      <c r="X552" s="25">
        <v>51.8</v>
      </c>
      <c r="Y552" s="25">
        <v>55.5</v>
      </c>
      <c r="Z552" s="25">
        <v>50.7</v>
      </c>
      <c r="AA552" s="25">
        <f>IF([1]!Tabela1511[[#This Row],[Services New Orders]]="",#N/A,([1]!Tabela1511[[#This Row],[Manufacturing New Orders]]+[1]!Tabela1511[[#This Row],[Services New Orders]])/2)</f>
        <v>50.5</v>
      </c>
      <c r="AB552" s="25">
        <f>IF([1]!Tabela1511[[#This Row],[Services Employment]]="",#N/A,([1]!Tabela1511[[#This Row],[Manufacturing Employment]]+[1]!Tabela1511[[#This Row],[Services Employment]])/2)</f>
        <v>48.75</v>
      </c>
    </row>
    <row r="553" spans="1:28">
      <c r="A553" s="6">
        <v>45231</v>
      </c>
      <c r="B553" s="36">
        <v>15557.5</v>
      </c>
      <c r="C553" s="8">
        <f>IF(Tabela1511[[#This Row],[Real PCE]]="",#N/A,((Tabela1511[[#This Row],[Real PCE]]*1)/B552)-1)</f>
        <v>3.2048388552858853E-3</v>
      </c>
      <c r="D553" s="8">
        <f>IF(Tabela1511[[#This Row],[Real PCE]]="",#N/A,((Tabela1511[[#This Row],[Real PCE]]*1)/B541)-1)</f>
        <v>2.691124635308717E-2</v>
      </c>
      <c r="E553" s="7">
        <v>102.6651</v>
      </c>
      <c r="F553" s="8">
        <f>IF(Tabela1511[[#This Row],[Industrial Production]]="",#N/A,((Tabela1511[[#This Row],[Industrial Production]]*1)/E552)-1)</f>
        <v>2.4038531950645314E-3</v>
      </c>
      <c r="G553" s="8">
        <f>IF(Tabela1511[[#This Row],[Industrial Production]]="",#N/A,((Tabela1511[[#This Row],[Industrial Production]]*1)/E541)-1)</f>
        <v>-3.9351629512558439E-3</v>
      </c>
      <c r="H553" s="32">
        <v>705981</v>
      </c>
      <c r="I553" s="8">
        <f>IF(Tabela1511[[#This Row],[Retail Sales]]="",#N/A,((Tabela1511[[#This Row],[Retail Sales]]*1)/H552)-1)</f>
        <v>3.4867126823665551E-3</v>
      </c>
      <c r="J553" s="8">
        <f>IF(Tabela1511[[#This Row],[Retail Sales]]="",#N/A,((Tabela1511[[#This Row],[Retail Sales]]*1)/H541)-1)</f>
        <v>4.1337490928614828E-2</v>
      </c>
      <c r="K553" s="32">
        <v>570975</v>
      </c>
      <c r="L553" s="8">
        <f>IF(Tabela1511[[#This Row],[Core-Retail Sales]]="",#N/A,((Tabela1511[[#This Row],[Core-Retail Sales]]*1)/K552)-1)</f>
        <v>2.4350934359571585E-3</v>
      </c>
      <c r="M553" s="8">
        <f>IF(Tabela1511[[#This Row],[Core-Retail Sales]]="",#N/A,((Tabela1511[[#This Row],[Core-Retail Sales]]*1)/K541)-1)</f>
        <v>3.6013477837231633E-2</v>
      </c>
      <c r="N553" s="84">
        <v>229276</v>
      </c>
      <c r="O553" s="8">
        <f>IF(Tabela1511[[#This Row],[Real Retail Sales]]="",#N/A,((Tabela1511[[#This Row],[Real Retail Sales]]*1)/N552)-1)</f>
        <v>2.5141997630093726E-3</v>
      </c>
      <c r="P553" s="8">
        <f>IF(Tabela1511[[#This Row],[Real Retail Sales]]="",#N/A,((Tabela1511[[#This Row],[Real Retail Sales]]*1)/N541)-1)</f>
        <v>9.8217982259101166E-3</v>
      </c>
      <c r="Q553" s="32">
        <v>517114</v>
      </c>
      <c r="R553" s="8">
        <f>IF(Tabela1511[[#This Row],[Core²-Retail Sales]]="",#N/A,((Tabela1511[[#This Row],[Core²-Retail Sales]]*1)/Q552)-1)</f>
        <v>6.4401864520586827E-3</v>
      </c>
      <c r="S553" s="8">
        <f>IF(Tabela1511[[#This Row],[Core²-Retail Sales]]="",#N/A,((Tabela1511[[#This Row],[Core²-Retail Sales]]*1)/Q541)-1)</f>
        <v>5.3168176485922869E-2</v>
      </c>
      <c r="T553" s="5">
        <v>61.3</v>
      </c>
      <c r="U553" s="7">
        <v>46.7</v>
      </c>
      <c r="V553" s="25">
        <v>48.3</v>
      </c>
      <c r="W553" s="25">
        <v>45.8</v>
      </c>
      <c r="X553" s="25">
        <v>52.7</v>
      </c>
      <c r="Y553" s="25">
        <v>55.5</v>
      </c>
      <c r="Z553" s="25">
        <v>50.7</v>
      </c>
      <c r="AA553" s="25">
        <f>IF([1]!Tabela1511[[#This Row],[Services New Orders]]="",#N/A,([1]!Tabela1511[[#This Row],[Manufacturing New Orders]]+[1]!Tabela1511[[#This Row],[Services New Orders]])/2)</f>
        <v>51.9</v>
      </c>
      <c r="AB553" s="25">
        <f>IF([1]!Tabela1511[[#This Row],[Services Employment]]="",#N/A,([1]!Tabela1511[[#This Row],[Manufacturing Employment]]+[1]!Tabela1511[[#This Row],[Services Employment]])/2)</f>
        <v>48.25</v>
      </c>
    </row>
    <row r="554" spans="1:28">
      <c r="A554" s="6">
        <v>45261</v>
      </c>
      <c r="B554" s="36"/>
      <c r="C554" s="8" t="e">
        <f>IF(Tabela1511[[#This Row],[Real PCE]]="",#N/A,((Tabela1511[[#This Row],[Real PCE]]*1)/B553)-1)</f>
        <v>#N/A</v>
      </c>
      <c r="D554" s="8" t="e">
        <f>IF(Tabela1511[[#This Row],[Real PCE]]="",#N/A,((Tabela1511[[#This Row],[Real PCE]]*1)/B542)-1)</f>
        <v>#N/A</v>
      </c>
      <c r="E554" s="7"/>
      <c r="F554" s="8" t="e">
        <f>IF(Tabela1511[[#This Row],[Industrial Production]]="",#N/A,((Tabela1511[[#This Row],[Industrial Production]]*1)/E553)-1)</f>
        <v>#N/A</v>
      </c>
      <c r="G554" s="8" t="e">
        <f>IF(Tabela1511[[#This Row],[Industrial Production]]="",#N/A,((Tabela1511[[#This Row],[Industrial Production]]*1)/E542)-1)</f>
        <v>#N/A</v>
      </c>
      <c r="H554" s="32">
        <v>709890</v>
      </c>
      <c r="I554" s="8">
        <f>IF(Tabela1511[[#This Row],[Retail Sales]]="",#N/A,((Tabela1511[[#This Row],[Retail Sales]]*1)/H553)-1)</f>
        <v>5.536976207574984E-3</v>
      </c>
      <c r="J554" s="8">
        <f>IF(Tabela1511[[#This Row],[Retail Sales]]="",#N/A,((Tabela1511[[#This Row],[Retail Sales]]*1)/H542)-1)</f>
        <v>5.3844977650570947E-2</v>
      </c>
      <c r="K554" s="32">
        <v>573383</v>
      </c>
      <c r="L554" s="8">
        <f>IF(Tabela1511[[#This Row],[Core-Retail Sales]]="",#N/A,((Tabela1511[[#This Row],[Core-Retail Sales]]*1)/K553)-1)</f>
        <v>4.2173475195936838E-3</v>
      </c>
      <c r="M554" s="8">
        <f>IF(Tabela1511[[#This Row],[Core-Retail Sales]]="",#N/A,((Tabela1511[[#This Row],[Core-Retail Sales]]*1)/K542)-1)</f>
        <v>4.3983715264754419E-2</v>
      </c>
      <c r="N554" s="84">
        <v>229849</v>
      </c>
      <c r="O554" s="8">
        <f>IF(Tabela1511[[#This Row],[Real Retail Sales]]="",#N/A,((Tabela1511[[#This Row],[Real Retail Sales]]*1)/N553)-1)</f>
        <v>2.4991713044539843E-3</v>
      </c>
      <c r="P554" s="8">
        <f>IF(Tabela1511[[#This Row],[Real Retail Sales]]="",#N/A,((Tabela1511[[#This Row],[Real Retail Sales]]*1)/N542)-1)</f>
        <v>2.019991300411017E-2</v>
      </c>
      <c r="Q554" s="32">
        <v>520214</v>
      </c>
      <c r="R554" s="8">
        <f>IF(Tabela1511[[#This Row],[Core²-Retail Sales]]="",#N/A,((Tabela1511[[#This Row],[Core²-Retail Sales]]*1)/Q553)-1)</f>
        <v>5.9948096551243335E-3</v>
      </c>
      <c r="S554" s="8">
        <f>IF(Tabela1511[[#This Row],[Core²-Retail Sales]]="",#N/A,((Tabela1511[[#This Row],[Core²-Retail Sales]]*1)/Q542)-1)</f>
        <v>5.6212032615404528E-2</v>
      </c>
      <c r="T554" s="5"/>
      <c r="U554" s="7">
        <v>47.4</v>
      </c>
      <c r="V554" s="25">
        <v>47.1</v>
      </c>
      <c r="W554" s="25">
        <v>48.1</v>
      </c>
      <c r="X554" s="25">
        <v>50.6</v>
      </c>
      <c r="Y554" s="25">
        <v>52.8</v>
      </c>
      <c r="Z554" s="25">
        <v>43.3</v>
      </c>
      <c r="AA554" s="25">
        <f>IF([1]!Tabela1511[[#This Row],[Services New Orders]]="",#N/A,([1]!Tabela1511[[#This Row],[Manufacturing New Orders]]+[1]!Tabela1511[[#This Row],[Services New Orders]])/2)</f>
        <v>49.95</v>
      </c>
      <c r="AB554" s="25">
        <f>IF([1]!Tabela1511[[#This Row],[Services Employment]]="",#N/A,([1]!Tabela1511[[#This Row],[Manufacturing Employment]]+[1]!Tabela1511[[#This Row],[Services Employment]])/2)</f>
        <v>45.7</v>
      </c>
    </row>
    <row r="555" spans="1:28">
      <c r="A555" s="6">
        <v>45292</v>
      </c>
      <c r="B555" s="36"/>
      <c r="C555" s="8" t="e">
        <f>IF(Tabela1511[[#This Row],[Real PCE]]="",#N/A,((Tabela1511[[#This Row],[Real PCE]]*1)/B554)-1)</f>
        <v>#N/A</v>
      </c>
      <c r="D555" s="8" t="e">
        <f>IF(Tabela1511[[#This Row],[Real PCE]]="",#N/A,((Tabela1511[[#This Row],[Real PCE]]*1)/B543)-1)</f>
        <v>#N/A</v>
      </c>
      <c r="E555" s="7"/>
      <c r="F555" s="8" t="e">
        <f>IF(Tabela1511[[#This Row],[Industrial Production]]="",#N/A,((Tabela1511[[#This Row],[Industrial Production]]*1)/E554)-1)</f>
        <v>#N/A</v>
      </c>
      <c r="G555" s="8" t="e">
        <f>IF(Tabela1511[[#This Row],[Industrial Production]]="",#N/A,((Tabela1511[[#This Row],[Industrial Production]]*1)/E543)-1)</f>
        <v>#N/A</v>
      </c>
      <c r="H555" s="32"/>
      <c r="I555" s="8" t="e">
        <f>IF(Tabela1511[[#This Row],[Retail Sales]]="",#N/A,((Tabela1511[[#This Row],[Retail Sales]]*1)/H554)-1)</f>
        <v>#N/A</v>
      </c>
      <c r="J555" s="8" t="e">
        <f>IF(Tabela1511[[#This Row],[Retail Sales]]="",#N/A,((Tabela1511[[#This Row],[Retail Sales]]*1)/H543)-1)</f>
        <v>#N/A</v>
      </c>
      <c r="K555" s="32"/>
      <c r="L555" s="8" t="e">
        <f>IF(Tabela1511[[#This Row],[Core-Retail Sales]]="",#N/A,((Tabela1511[[#This Row],[Core-Retail Sales]]*1)/K554)-1)</f>
        <v>#N/A</v>
      </c>
      <c r="M555" s="8" t="e">
        <f>IF(Tabela1511[[#This Row],[Core-Retail Sales]]="",#N/A,((Tabela1511[[#This Row],[Core-Retail Sales]]*1)/K543)-1)</f>
        <v>#N/A</v>
      </c>
      <c r="N555" s="84"/>
      <c r="O555" s="8" t="e">
        <f>IF(Tabela1511[[#This Row],[Real Retail Sales]]="",#N/A,((Tabela1511[[#This Row],[Real Retail Sales]]*1)/N554)-1)</f>
        <v>#N/A</v>
      </c>
      <c r="P555" s="8" t="e">
        <f>IF(Tabela1511[[#This Row],[Real Retail Sales]]="",#N/A,((Tabela1511[[#This Row],[Real Retail Sales]]*1)/N543)-1)</f>
        <v>#N/A</v>
      </c>
      <c r="Q555" s="32"/>
      <c r="R555" s="8" t="e">
        <f>IF(Tabela1511[[#This Row],[Core²-Retail Sales]]="",#N/A,((Tabela1511[[#This Row],[Core²-Retail Sales]]*1)/Q554)-1)</f>
        <v>#N/A</v>
      </c>
      <c r="S555" s="8" t="e">
        <f>IF(Tabela1511[[#This Row],[Core²-Retail Sales]]="",#N/A,((Tabela1511[[#This Row],[Core²-Retail Sales]]*1)/Q543)-1)</f>
        <v>#N/A</v>
      </c>
      <c r="T555" s="5"/>
      <c r="U555" s="7"/>
      <c r="V555" s="7"/>
      <c r="W555" s="25"/>
      <c r="X555" s="25"/>
      <c r="Y555" s="25"/>
      <c r="Z555" s="25"/>
      <c r="AA555" s="25" t="e">
        <f>IF(Tabela1511[[#This Row],[Services New Orders]]="",#N/A,(Tabela1511[[#This Row],[Manufacturing Employment]]+Tabela1511[[#This Row],[Services New Orders]])/2)</f>
        <v>#N/A</v>
      </c>
      <c r="AB555" s="25" t="e">
        <f>IF([1]!Tabela1511[[#This Row],[Services Employment]]="",#N/A,([1]!Tabela1511[[#This Row],[Manufacturing Employment]]+[1]!Tabela1511[[#This Row],[Services Employment]])/2)</f>
        <v>#N/A</v>
      </c>
    </row>
    <row r="556" spans="1:28">
      <c r="A556" s="6">
        <v>45323</v>
      </c>
      <c r="B556" s="36"/>
      <c r="C556" s="8" t="e">
        <f>IF(Tabela1511[[#This Row],[Real PCE]]="",#N/A,((Tabela1511[[#This Row],[Real PCE]]*1)/B555)-1)</f>
        <v>#N/A</v>
      </c>
      <c r="D556" s="8" t="e">
        <f>IF(Tabela1511[[#This Row],[Real PCE]]="",#N/A,((Tabela1511[[#This Row],[Real PCE]]*1)/B544)-1)</f>
        <v>#N/A</v>
      </c>
      <c r="E556" s="7"/>
      <c r="F556" s="8" t="e">
        <f>IF(Tabela1511[[#This Row],[Industrial Production]]="",#N/A,((Tabela1511[[#This Row],[Industrial Production]]*1)/E555)-1)</f>
        <v>#N/A</v>
      </c>
      <c r="G556" s="8" t="e">
        <f>IF(Tabela1511[[#This Row],[Industrial Production]]="",#N/A,((Tabela1511[[#This Row],[Industrial Production]]*1)/E544)-1)</f>
        <v>#N/A</v>
      </c>
      <c r="H556" s="32"/>
      <c r="I556" s="8" t="e">
        <f>IF(Tabela1511[[#This Row],[Retail Sales]]="",#N/A,((Tabela1511[[#This Row],[Retail Sales]]*1)/H555)-1)</f>
        <v>#N/A</v>
      </c>
      <c r="J556" s="8" t="e">
        <f>IF(Tabela1511[[#This Row],[Retail Sales]]="",#N/A,((Tabela1511[[#This Row],[Retail Sales]]*1)/H544)-1)</f>
        <v>#N/A</v>
      </c>
      <c r="K556" s="32"/>
      <c r="L556" s="8" t="e">
        <f>IF(Tabela1511[[#This Row],[Core-Retail Sales]]="",#N/A,((Tabela1511[[#This Row],[Core-Retail Sales]]*1)/K555)-1)</f>
        <v>#N/A</v>
      </c>
      <c r="M556" s="8" t="e">
        <f>IF(Tabela1511[[#This Row],[Core-Retail Sales]]="",#N/A,((Tabela1511[[#This Row],[Core-Retail Sales]]*1)/K544)-1)</f>
        <v>#N/A</v>
      </c>
      <c r="N556" s="84"/>
      <c r="O556" s="8" t="e">
        <f>IF(Tabela1511[[#This Row],[Real Retail Sales]]="",#N/A,((Tabela1511[[#This Row],[Real Retail Sales]]*1)/N555)-1)</f>
        <v>#N/A</v>
      </c>
      <c r="P556" s="8" t="e">
        <f>IF(Tabela1511[[#This Row],[Real Retail Sales]]="",#N/A,((Tabela1511[[#This Row],[Real Retail Sales]]*1)/N544)-1)</f>
        <v>#N/A</v>
      </c>
      <c r="Q556" s="32"/>
      <c r="R556" s="8" t="e">
        <f>IF(Tabela1511[[#This Row],[Core²-Retail Sales]]="",#N/A,((Tabela1511[[#This Row],[Core²-Retail Sales]]*1)/Q555)-1)</f>
        <v>#N/A</v>
      </c>
      <c r="S556" s="8" t="e">
        <f>IF(Tabela1511[[#This Row],[Core²-Retail Sales]]="",#N/A,((Tabela1511[[#This Row],[Core²-Retail Sales]]*1)/Q544)-1)</f>
        <v>#N/A</v>
      </c>
      <c r="T556" s="5"/>
      <c r="U556" s="7"/>
      <c r="V556" s="7"/>
      <c r="W556" s="25"/>
      <c r="X556" s="25"/>
      <c r="Y556" s="25"/>
      <c r="Z556" s="25"/>
      <c r="AA556" s="25" t="e">
        <f>IF(Tabela1511[[#This Row],[Services New Orders]]="",#N/A,(Tabela1511[[#This Row],[Manufacturing Employment]]+Tabela1511[[#This Row],[Services New Orders]])/2)</f>
        <v>#N/A</v>
      </c>
      <c r="AB556" s="25" t="e">
        <f>IF([1]!Tabela1511[[#This Row],[Services Employment]]="",#N/A,([1]!Tabela1511[[#This Row],[Manufacturing Employment]]+[1]!Tabela1511[[#This Row],[Services Employment]])/2)</f>
        <v>#N/A</v>
      </c>
    </row>
    <row r="557" spans="1:28">
      <c r="A557" s="6">
        <v>45352</v>
      </c>
      <c r="B557" s="36"/>
      <c r="C557" s="8" t="e">
        <f>IF(Tabela1511[[#This Row],[Real PCE]]="",#N/A,((Tabela1511[[#This Row],[Real PCE]]*1)/B556)-1)</f>
        <v>#N/A</v>
      </c>
      <c r="D557" s="8" t="e">
        <f>IF(Tabela1511[[#This Row],[Real PCE]]="",#N/A,((Tabela1511[[#This Row],[Real PCE]]*1)/B545)-1)</f>
        <v>#N/A</v>
      </c>
      <c r="E557" s="7"/>
      <c r="F557" s="8" t="e">
        <f>IF(Tabela1511[[#This Row],[Industrial Production]]="",#N/A,((Tabela1511[[#This Row],[Industrial Production]]*1)/E556)-1)</f>
        <v>#N/A</v>
      </c>
      <c r="G557" s="8" t="e">
        <f>IF(Tabela1511[[#This Row],[Industrial Production]]="",#N/A,((Tabela1511[[#This Row],[Industrial Production]]*1)/E545)-1)</f>
        <v>#N/A</v>
      </c>
      <c r="H557" s="32"/>
      <c r="I557" s="8" t="e">
        <f>IF(Tabela1511[[#This Row],[Retail Sales]]="",#N/A,((Tabela1511[[#This Row],[Retail Sales]]*1)/H556)-1)</f>
        <v>#N/A</v>
      </c>
      <c r="J557" s="8" t="e">
        <f>IF(Tabela1511[[#This Row],[Retail Sales]]="",#N/A,((Tabela1511[[#This Row],[Retail Sales]]*1)/H545)-1)</f>
        <v>#N/A</v>
      </c>
      <c r="K557" s="32"/>
      <c r="L557" s="8" t="e">
        <f>IF(Tabela1511[[#This Row],[Core-Retail Sales]]="",#N/A,((Tabela1511[[#This Row],[Core-Retail Sales]]*1)/K556)-1)</f>
        <v>#N/A</v>
      </c>
      <c r="M557" s="8" t="e">
        <f>IF(Tabela1511[[#This Row],[Core-Retail Sales]]="",#N/A,((Tabela1511[[#This Row],[Core-Retail Sales]]*1)/K545)-1)</f>
        <v>#N/A</v>
      </c>
      <c r="N557" s="84"/>
      <c r="O557" s="8" t="e">
        <f>IF(Tabela1511[[#This Row],[Real Retail Sales]]="",#N/A,((Tabela1511[[#This Row],[Real Retail Sales]]*1)/N556)-1)</f>
        <v>#N/A</v>
      </c>
      <c r="P557" s="8" t="e">
        <f>IF(Tabela1511[[#This Row],[Real Retail Sales]]="",#N/A,((Tabela1511[[#This Row],[Real Retail Sales]]*1)/N545)-1)</f>
        <v>#N/A</v>
      </c>
      <c r="Q557" s="32"/>
      <c r="R557" s="8" t="e">
        <f>IF(Tabela1511[[#This Row],[Core²-Retail Sales]]="",#N/A,((Tabela1511[[#This Row],[Core²-Retail Sales]]*1)/Q556)-1)</f>
        <v>#N/A</v>
      </c>
      <c r="S557" s="8" t="e">
        <f>IF(Tabela1511[[#This Row],[Core²-Retail Sales]]="",#N/A,((Tabela1511[[#This Row],[Core²-Retail Sales]]*1)/Q545)-1)</f>
        <v>#N/A</v>
      </c>
      <c r="T557" s="5"/>
      <c r="U557" s="7"/>
      <c r="V557" s="7"/>
      <c r="W557" s="25"/>
      <c r="X557" s="25"/>
      <c r="Y557" s="25"/>
      <c r="Z557" s="25"/>
      <c r="AA557" s="25" t="e">
        <f>IF(Tabela1511[[#This Row],[Services New Orders]]="",#N/A,(Tabela1511[[#This Row],[Manufacturing Employment]]+Tabela1511[[#This Row],[Services New Orders]])/2)</f>
        <v>#N/A</v>
      </c>
      <c r="AB557" s="25" t="e">
        <f>IF([1]!Tabela1511[[#This Row],[Services Employment]]="",#N/A,([1]!Tabela1511[[#This Row],[Manufacturing Employment]]+[1]!Tabela1511[[#This Row],[Services Employment]])/2)</f>
        <v>#N/A</v>
      </c>
    </row>
    <row r="558" spans="1:28">
      <c r="A558" s="6">
        <v>45383</v>
      </c>
      <c r="B558" s="36"/>
      <c r="C558" s="8" t="e">
        <f>IF(Tabela1511[[#This Row],[Real PCE]]="",#N/A,((Tabela1511[[#This Row],[Real PCE]]*1)/B557)-1)</f>
        <v>#N/A</v>
      </c>
      <c r="D558" s="8" t="e">
        <f>IF(Tabela1511[[#This Row],[Real PCE]]="",#N/A,((Tabela1511[[#This Row],[Real PCE]]*1)/B546)-1)</f>
        <v>#N/A</v>
      </c>
      <c r="E558" s="7"/>
      <c r="F558" s="8" t="e">
        <f>IF(Tabela1511[[#This Row],[Industrial Production]]="",#N/A,((Tabela1511[[#This Row],[Industrial Production]]*1)/E557)-1)</f>
        <v>#N/A</v>
      </c>
      <c r="G558" s="8" t="e">
        <f>IF(Tabela1511[[#This Row],[Industrial Production]]="",#N/A,((Tabela1511[[#This Row],[Industrial Production]]*1)/E546)-1)</f>
        <v>#N/A</v>
      </c>
      <c r="H558" s="32"/>
      <c r="I558" s="8" t="e">
        <f>IF(Tabela1511[[#This Row],[Retail Sales]]="",#N/A,((Tabela1511[[#This Row],[Retail Sales]]*1)/H557)-1)</f>
        <v>#N/A</v>
      </c>
      <c r="J558" s="8" t="e">
        <f>IF(Tabela1511[[#This Row],[Retail Sales]]="",#N/A,((Tabela1511[[#This Row],[Retail Sales]]*1)/H546)-1)</f>
        <v>#N/A</v>
      </c>
      <c r="K558" s="32"/>
      <c r="L558" s="8" t="e">
        <f>IF(Tabela1511[[#This Row],[Core-Retail Sales]]="",#N/A,((Tabela1511[[#This Row],[Core-Retail Sales]]*1)/K557)-1)</f>
        <v>#N/A</v>
      </c>
      <c r="M558" s="8" t="e">
        <f>IF(Tabela1511[[#This Row],[Core-Retail Sales]]="",#N/A,((Tabela1511[[#This Row],[Core-Retail Sales]]*1)/K546)-1)</f>
        <v>#N/A</v>
      </c>
      <c r="N558" s="84"/>
      <c r="O558" s="8" t="e">
        <f>IF(Tabela1511[[#This Row],[Real Retail Sales]]="",#N/A,((Tabela1511[[#This Row],[Real Retail Sales]]*1)/N557)-1)</f>
        <v>#N/A</v>
      </c>
      <c r="P558" s="8" t="e">
        <f>IF(Tabela1511[[#This Row],[Real Retail Sales]]="",#N/A,((Tabela1511[[#This Row],[Real Retail Sales]]*1)/N546)-1)</f>
        <v>#N/A</v>
      </c>
      <c r="Q558" s="32"/>
      <c r="R558" s="8" t="e">
        <f>IF(Tabela1511[[#This Row],[Core²-Retail Sales]]="",#N/A,((Tabela1511[[#This Row],[Core²-Retail Sales]]*1)/Q557)-1)</f>
        <v>#N/A</v>
      </c>
      <c r="S558" s="8" t="e">
        <f>IF(Tabela1511[[#This Row],[Core²-Retail Sales]]="",#N/A,((Tabela1511[[#This Row],[Core²-Retail Sales]]*1)/Q546)-1)</f>
        <v>#N/A</v>
      </c>
      <c r="T558" s="5"/>
      <c r="U558" s="7"/>
      <c r="V558" s="7"/>
      <c r="W558" s="25"/>
      <c r="X558" s="25"/>
      <c r="Y558" s="25"/>
      <c r="Z558" s="25"/>
      <c r="AA558" s="25" t="e">
        <f>IF(Tabela1511[[#This Row],[Services New Orders]]="",#N/A,(Tabela1511[[#This Row],[Manufacturing Employment]]+Tabela1511[[#This Row],[Services New Orders]])/2)</f>
        <v>#N/A</v>
      </c>
      <c r="AB558" s="25" t="e">
        <f>IF([1]!Tabela1511[[#This Row],[Services Employment]]="",#N/A,([1]!Tabela1511[[#This Row],[Manufacturing Employment]]+[1]!Tabela1511[[#This Row],[Services Employment]])/2)</f>
        <v>#N/A</v>
      </c>
    </row>
    <row r="559" spans="1:28">
      <c r="A559" s="6">
        <v>45413</v>
      </c>
      <c r="B559" s="36"/>
      <c r="C559" s="8" t="e">
        <f>IF(Tabela1511[[#This Row],[Real PCE]]="",#N/A,((Tabela1511[[#This Row],[Real PCE]]*1)/B558)-1)</f>
        <v>#N/A</v>
      </c>
      <c r="D559" s="8" t="e">
        <f>IF(Tabela1511[[#This Row],[Real PCE]]="",#N/A,((Tabela1511[[#This Row],[Real PCE]]*1)/B547)-1)</f>
        <v>#N/A</v>
      </c>
      <c r="E559" s="7"/>
      <c r="F559" s="8" t="e">
        <f>IF(Tabela1511[[#This Row],[Industrial Production]]="",#N/A,((Tabela1511[[#This Row],[Industrial Production]]*1)/E558)-1)</f>
        <v>#N/A</v>
      </c>
      <c r="G559" s="8" t="e">
        <f>IF(Tabela1511[[#This Row],[Industrial Production]]="",#N/A,((Tabela1511[[#This Row],[Industrial Production]]*1)/E547)-1)</f>
        <v>#N/A</v>
      </c>
      <c r="H559" s="32"/>
      <c r="I559" s="8" t="e">
        <f>IF(Tabela1511[[#This Row],[Retail Sales]]="",#N/A,((Tabela1511[[#This Row],[Retail Sales]]*1)/H558)-1)</f>
        <v>#N/A</v>
      </c>
      <c r="J559" s="8" t="e">
        <f>IF(Tabela1511[[#This Row],[Retail Sales]]="",#N/A,((Tabela1511[[#This Row],[Retail Sales]]*1)/H547)-1)</f>
        <v>#N/A</v>
      </c>
      <c r="K559" s="32"/>
      <c r="L559" s="8" t="e">
        <f>IF(Tabela1511[[#This Row],[Core-Retail Sales]]="",#N/A,((Tabela1511[[#This Row],[Core-Retail Sales]]*1)/K558)-1)</f>
        <v>#N/A</v>
      </c>
      <c r="M559" s="8" t="e">
        <f>IF(Tabela1511[[#This Row],[Core-Retail Sales]]="",#N/A,((Tabela1511[[#This Row],[Core-Retail Sales]]*1)/K547)-1)</f>
        <v>#N/A</v>
      </c>
      <c r="N559" s="84"/>
      <c r="O559" s="8" t="e">
        <f>IF(Tabela1511[[#This Row],[Real Retail Sales]]="",#N/A,((Tabela1511[[#This Row],[Real Retail Sales]]*1)/N558)-1)</f>
        <v>#N/A</v>
      </c>
      <c r="P559" s="8" t="e">
        <f>IF(Tabela1511[[#This Row],[Real Retail Sales]]="",#N/A,((Tabela1511[[#This Row],[Real Retail Sales]]*1)/N547)-1)</f>
        <v>#N/A</v>
      </c>
      <c r="Q559" s="32"/>
      <c r="R559" s="8" t="e">
        <f>IF(Tabela1511[[#This Row],[Core²-Retail Sales]]="",#N/A,((Tabela1511[[#This Row],[Core²-Retail Sales]]*1)/Q558)-1)</f>
        <v>#N/A</v>
      </c>
      <c r="S559" s="8" t="e">
        <f>IF(Tabela1511[[#This Row],[Core²-Retail Sales]]="",#N/A,((Tabela1511[[#This Row],[Core²-Retail Sales]]*1)/Q547)-1)</f>
        <v>#N/A</v>
      </c>
      <c r="T559" s="5"/>
      <c r="U559" s="7"/>
      <c r="V559" s="7"/>
      <c r="W559" s="25"/>
      <c r="X559" s="25"/>
      <c r="Y559" s="25"/>
      <c r="Z559" s="25"/>
      <c r="AA559" s="25" t="e">
        <f>IF(Tabela1511[[#This Row],[Services New Orders]]="",#N/A,(Tabela1511[[#This Row],[Manufacturing Employment]]+Tabela1511[[#This Row],[Services New Orders]])/2)</f>
        <v>#N/A</v>
      </c>
      <c r="AB559" s="25" t="e">
        <f>IF([1]!Tabela1511[[#This Row],[Services Employment]]="",#N/A,([1]!Tabela1511[[#This Row],[Manufacturing Employment]]+[1]!Tabela1511[[#This Row],[Services Employment]])/2)</f>
        <v>#N/A</v>
      </c>
    </row>
    <row r="560" spans="1:28">
      <c r="A560" s="6">
        <v>45444</v>
      </c>
      <c r="B560" s="36"/>
      <c r="C560" s="8" t="e">
        <f>IF(Tabela1511[[#This Row],[Real PCE]]="",#N/A,((Tabela1511[[#This Row],[Real PCE]]*1)/B559)-1)</f>
        <v>#N/A</v>
      </c>
      <c r="D560" s="8" t="e">
        <f>IF(Tabela1511[[#This Row],[Real PCE]]="",#N/A,((Tabela1511[[#This Row],[Real PCE]]*1)/B548)-1)</f>
        <v>#N/A</v>
      </c>
      <c r="E560" s="7"/>
      <c r="F560" s="8" t="e">
        <f>IF(Tabela1511[[#This Row],[Industrial Production]]="",#N/A,((Tabela1511[[#This Row],[Industrial Production]]*1)/E559)-1)</f>
        <v>#N/A</v>
      </c>
      <c r="G560" s="8" t="e">
        <f>IF(Tabela1511[[#This Row],[Industrial Production]]="",#N/A,((Tabela1511[[#This Row],[Industrial Production]]*1)/E548)-1)</f>
        <v>#N/A</v>
      </c>
      <c r="H560" s="32"/>
      <c r="I560" s="8" t="e">
        <f>IF(Tabela1511[[#This Row],[Retail Sales]]="",#N/A,((Tabela1511[[#This Row],[Retail Sales]]*1)/H559)-1)</f>
        <v>#N/A</v>
      </c>
      <c r="J560" s="8" t="e">
        <f>IF(Tabela1511[[#This Row],[Retail Sales]]="",#N/A,((Tabela1511[[#This Row],[Retail Sales]]*1)/H548)-1)</f>
        <v>#N/A</v>
      </c>
      <c r="K560" s="32"/>
      <c r="L560" s="8" t="e">
        <f>IF(Tabela1511[[#This Row],[Core-Retail Sales]]="",#N/A,((Tabela1511[[#This Row],[Core-Retail Sales]]*1)/K559)-1)</f>
        <v>#N/A</v>
      </c>
      <c r="M560" s="8" t="e">
        <f>IF(Tabela1511[[#This Row],[Core-Retail Sales]]="",#N/A,((Tabela1511[[#This Row],[Core-Retail Sales]]*1)/K548)-1)</f>
        <v>#N/A</v>
      </c>
      <c r="N560" s="84"/>
      <c r="O560" s="8" t="e">
        <f>IF(Tabela1511[[#This Row],[Real Retail Sales]]="",#N/A,((Tabela1511[[#This Row],[Real Retail Sales]]*1)/N559)-1)</f>
        <v>#N/A</v>
      </c>
      <c r="P560" s="8" t="e">
        <f>IF(Tabela1511[[#This Row],[Real Retail Sales]]="",#N/A,((Tabela1511[[#This Row],[Real Retail Sales]]*1)/N548)-1)</f>
        <v>#N/A</v>
      </c>
      <c r="Q560" s="32"/>
      <c r="R560" s="8" t="e">
        <f>IF(Tabela1511[[#This Row],[Core²-Retail Sales]]="",#N/A,((Tabela1511[[#This Row],[Core²-Retail Sales]]*1)/Q559)-1)</f>
        <v>#N/A</v>
      </c>
      <c r="S560" s="8" t="e">
        <f>IF(Tabela1511[[#This Row],[Core²-Retail Sales]]="",#N/A,((Tabela1511[[#This Row],[Core²-Retail Sales]]*1)/Q548)-1)</f>
        <v>#N/A</v>
      </c>
      <c r="T560" s="5"/>
      <c r="U560" s="7"/>
      <c r="V560" s="7"/>
      <c r="W560" s="25"/>
      <c r="X560" s="25"/>
      <c r="Y560" s="25"/>
      <c r="Z560" s="25"/>
      <c r="AA560" s="25" t="e">
        <f>IF(Tabela1511[[#This Row],[Services New Orders]]="",#N/A,(Tabela1511[[#This Row],[Manufacturing Employment]]+Tabela1511[[#This Row],[Services New Orders]])/2)</f>
        <v>#N/A</v>
      </c>
      <c r="AB560" s="25" t="e">
        <f>IF([1]!Tabela1511[[#This Row],[Services Employment]]="",#N/A,([1]!Tabela1511[[#This Row],[Manufacturing Employment]]+[1]!Tabela1511[[#This Row],[Services Employment]])/2)</f>
        <v>#N/A</v>
      </c>
    </row>
    <row r="561" spans="1:28">
      <c r="A561" s="6">
        <v>45474</v>
      </c>
      <c r="B561" s="36"/>
      <c r="C561" s="8" t="e">
        <f>IF(Tabela1511[[#This Row],[Real PCE]]="",#N/A,((Tabela1511[[#This Row],[Real PCE]]*1)/B560)-1)</f>
        <v>#N/A</v>
      </c>
      <c r="D561" s="8" t="e">
        <f>IF(Tabela1511[[#This Row],[Real PCE]]="",#N/A,((Tabela1511[[#This Row],[Real PCE]]*1)/B549)-1)</f>
        <v>#N/A</v>
      </c>
      <c r="E561" s="7"/>
      <c r="F561" s="8" t="e">
        <f>IF(Tabela1511[[#This Row],[Industrial Production]]="",#N/A,((Tabela1511[[#This Row],[Industrial Production]]*1)/E560)-1)</f>
        <v>#N/A</v>
      </c>
      <c r="G561" s="8" t="e">
        <f>IF(Tabela1511[[#This Row],[Industrial Production]]="",#N/A,((Tabela1511[[#This Row],[Industrial Production]]*1)/E549)-1)</f>
        <v>#N/A</v>
      </c>
      <c r="H561" s="32"/>
      <c r="I561" s="8" t="e">
        <f>IF(Tabela1511[[#This Row],[Retail Sales]]="",#N/A,((Tabela1511[[#This Row],[Retail Sales]]*1)/H560)-1)</f>
        <v>#N/A</v>
      </c>
      <c r="J561" s="8" t="e">
        <f>IF(Tabela1511[[#This Row],[Retail Sales]]="",#N/A,((Tabela1511[[#This Row],[Retail Sales]]*1)/H549)-1)</f>
        <v>#N/A</v>
      </c>
      <c r="K561" s="32"/>
      <c r="L561" s="8" t="e">
        <f>IF(Tabela1511[[#This Row],[Core-Retail Sales]]="",#N/A,((Tabela1511[[#This Row],[Core-Retail Sales]]*1)/K560)-1)</f>
        <v>#N/A</v>
      </c>
      <c r="M561" s="8" t="e">
        <f>IF(Tabela1511[[#This Row],[Core-Retail Sales]]="",#N/A,((Tabela1511[[#This Row],[Core-Retail Sales]]*1)/K549)-1)</f>
        <v>#N/A</v>
      </c>
      <c r="N561" s="84"/>
      <c r="O561" s="8" t="e">
        <f>IF(Tabela1511[[#This Row],[Real Retail Sales]]="",#N/A,((Tabela1511[[#This Row],[Real Retail Sales]]*1)/N560)-1)</f>
        <v>#N/A</v>
      </c>
      <c r="P561" s="8" t="e">
        <f>IF(Tabela1511[[#This Row],[Real Retail Sales]]="",#N/A,((Tabela1511[[#This Row],[Real Retail Sales]]*1)/N549)-1)</f>
        <v>#N/A</v>
      </c>
      <c r="Q561" s="32"/>
      <c r="R561" s="8" t="e">
        <f>IF(Tabela1511[[#This Row],[Core²-Retail Sales]]="",#N/A,((Tabela1511[[#This Row],[Core²-Retail Sales]]*1)/Q560)-1)</f>
        <v>#N/A</v>
      </c>
      <c r="S561" s="8" t="e">
        <f>IF(Tabela1511[[#This Row],[Core²-Retail Sales]]="",#N/A,((Tabela1511[[#This Row],[Core²-Retail Sales]]*1)/Q549)-1)</f>
        <v>#N/A</v>
      </c>
      <c r="T561" s="5"/>
      <c r="U561" s="7"/>
      <c r="V561" s="7"/>
      <c r="W561" s="25"/>
      <c r="X561" s="25"/>
      <c r="Y561" s="25"/>
      <c r="Z561" s="25"/>
      <c r="AA561" s="25" t="e">
        <f>IF(Tabela1511[[#This Row],[Services New Orders]]="",#N/A,(Tabela1511[[#This Row],[Manufacturing Employment]]+Tabela1511[[#This Row],[Services New Orders]])/2)</f>
        <v>#N/A</v>
      </c>
      <c r="AB561" s="25" t="e">
        <f>IF([1]!Tabela1511[[#This Row],[Services Employment]]="",#N/A,([1]!Tabela1511[[#This Row],[Manufacturing Employment]]+[1]!Tabela1511[[#This Row],[Services Employment]])/2)</f>
        <v>#N/A</v>
      </c>
    </row>
    <row r="562" spans="1:28">
      <c r="A562" s="6">
        <v>45505</v>
      </c>
      <c r="B562" s="36"/>
      <c r="C562" s="8" t="e">
        <f>IF(Tabela1511[[#This Row],[Real PCE]]="",#N/A,((Tabela1511[[#This Row],[Real PCE]]*1)/B561)-1)</f>
        <v>#N/A</v>
      </c>
      <c r="D562" s="8" t="e">
        <f>IF(Tabela1511[[#This Row],[Real PCE]]="",#N/A,((Tabela1511[[#This Row],[Real PCE]]*1)/B550)-1)</f>
        <v>#N/A</v>
      </c>
      <c r="E562" s="7"/>
      <c r="F562" s="8" t="e">
        <f>IF(Tabela1511[[#This Row],[Industrial Production]]="",#N/A,((Tabela1511[[#This Row],[Industrial Production]]*1)/E561)-1)</f>
        <v>#N/A</v>
      </c>
      <c r="G562" s="8" t="e">
        <f>IF(Tabela1511[[#This Row],[Industrial Production]]="",#N/A,((Tabela1511[[#This Row],[Industrial Production]]*1)/E550)-1)</f>
        <v>#N/A</v>
      </c>
      <c r="H562" s="32"/>
      <c r="I562" s="8" t="e">
        <f>IF(Tabela1511[[#This Row],[Retail Sales]]="",#N/A,((Tabela1511[[#This Row],[Retail Sales]]*1)/H561)-1)</f>
        <v>#N/A</v>
      </c>
      <c r="J562" s="8" t="e">
        <f>IF(Tabela1511[[#This Row],[Retail Sales]]="",#N/A,((Tabela1511[[#This Row],[Retail Sales]]*1)/H550)-1)</f>
        <v>#N/A</v>
      </c>
      <c r="K562" s="32"/>
      <c r="L562" s="8" t="e">
        <f>IF(Tabela1511[[#This Row],[Core-Retail Sales]]="",#N/A,((Tabela1511[[#This Row],[Core-Retail Sales]]*1)/K561)-1)</f>
        <v>#N/A</v>
      </c>
      <c r="M562" s="8" t="e">
        <f>IF(Tabela1511[[#This Row],[Core-Retail Sales]]="",#N/A,((Tabela1511[[#This Row],[Core-Retail Sales]]*1)/K550)-1)</f>
        <v>#N/A</v>
      </c>
      <c r="N562" s="84"/>
      <c r="O562" s="8" t="e">
        <f>IF(Tabela1511[[#This Row],[Real Retail Sales]]="",#N/A,((Tabela1511[[#This Row],[Real Retail Sales]]*1)/N561)-1)</f>
        <v>#N/A</v>
      </c>
      <c r="P562" s="8" t="e">
        <f>IF(Tabela1511[[#This Row],[Real Retail Sales]]="",#N/A,((Tabela1511[[#This Row],[Real Retail Sales]]*1)/N550)-1)</f>
        <v>#N/A</v>
      </c>
      <c r="Q562" s="32"/>
      <c r="R562" s="8" t="e">
        <f>IF(Tabela1511[[#This Row],[Core²-Retail Sales]]="",#N/A,((Tabela1511[[#This Row],[Core²-Retail Sales]]*1)/Q561)-1)</f>
        <v>#N/A</v>
      </c>
      <c r="S562" s="8" t="e">
        <f>IF(Tabela1511[[#This Row],[Core²-Retail Sales]]="",#N/A,((Tabela1511[[#This Row],[Core²-Retail Sales]]*1)/Q550)-1)</f>
        <v>#N/A</v>
      </c>
      <c r="T562" s="5"/>
      <c r="U562" s="7"/>
      <c r="V562" s="7"/>
      <c r="W562" s="25"/>
      <c r="X562" s="25"/>
      <c r="Y562" s="25"/>
      <c r="Z562" s="25"/>
      <c r="AA562" s="25" t="e">
        <f>IF(Tabela1511[[#This Row],[Services New Orders]]="",#N/A,(Tabela1511[[#This Row],[Manufacturing Employment]]+Tabela1511[[#This Row],[Services New Orders]])/2)</f>
        <v>#N/A</v>
      </c>
      <c r="AB562" s="25" t="e">
        <f>IF([1]!Tabela1511[[#This Row],[Services Employment]]="",#N/A,([1]!Tabela1511[[#This Row],[Manufacturing Employment]]+[1]!Tabela1511[[#This Row],[Services Employment]])/2)</f>
        <v>#N/A</v>
      </c>
    </row>
    <row r="563" spans="1:28">
      <c r="A563" s="6">
        <v>45536</v>
      </c>
      <c r="B563" s="36"/>
      <c r="C563" s="8" t="e">
        <f>IF(Tabela1511[[#This Row],[Real PCE]]="",#N/A,((Tabela1511[[#This Row],[Real PCE]]*1)/B562)-1)</f>
        <v>#N/A</v>
      </c>
      <c r="D563" s="8" t="e">
        <f>IF(Tabela1511[[#This Row],[Real PCE]]="",#N/A,((Tabela1511[[#This Row],[Real PCE]]*1)/B551)-1)</f>
        <v>#N/A</v>
      </c>
      <c r="E563" s="7"/>
      <c r="F563" s="8" t="e">
        <f>IF(Tabela1511[[#This Row],[Industrial Production]]="",#N/A,((Tabela1511[[#This Row],[Industrial Production]]*1)/E562)-1)</f>
        <v>#N/A</v>
      </c>
      <c r="G563" s="8" t="e">
        <f>IF(Tabela1511[[#This Row],[Industrial Production]]="",#N/A,((Tabela1511[[#This Row],[Industrial Production]]*1)/E551)-1)</f>
        <v>#N/A</v>
      </c>
      <c r="H563" s="32"/>
      <c r="I563" s="8" t="e">
        <f>IF(Tabela1511[[#This Row],[Retail Sales]]="",#N/A,((Tabela1511[[#This Row],[Retail Sales]]*1)/H562)-1)</f>
        <v>#N/A</v>
      </c>
      <c r="J563" s="8" t="e">
        <f>IF(Tabela1511[[#This Row],[Retail Sales]]="",#N/A,((Tabela1511[[#This Row],[Retail Sales]]*1)/H551)-1)</f>
        <v>#N/A</v>
      </c>
      <c r="K563" s="32"/>
      <c r="L563" s="8" t="e">
        <f>IF(Tabela1511[[#This Row],[Core-Retail Sales]]="",#N/A,((Tabela1511[[#This Row],[Core-Retail Sales]]*1)/K562)-1)</f>
        <v>#N/A</v>
      </c>
      <c r="M563" s="8" t="e">
        <f>IF(Tabela1511[[#This Row],[Core-Retail Sales]]="",#N/A,((Tabela1511[[#This Row],[Core-Retail Sales]]*1)/K551)-1)</f>
        <v>#N/A</v>
      </c>
      <c r="N563" s="84"/>
      <c r="O563" s="8" t="e">
        <f>IF(Tabela1511[[#This Row],[Real Retail Sales]]="",#N/A,((Tabela1511[[#This Row],[Real Retail Sales]]*1)/N562)-1)</f>
        <v>#N/A</v>
      </c>
      <c r="P563" s="8" t="e">
        <f>IF(Tabela1511[[#This Row],[Real Retail Sales]]="",#N/A,((Tabela1511[[#This Row],[Real Retail Sales]]*1)/N551)-1)</f>
        <v>#N/A</v>
      </c>
      <c r="Q563" s="32"/>
      <c r="R563" s="8" t="e">
        <f>IF(Tabela1511[[#This Row],[Core²-Retail Sales]]="",#N/A,((Tabela1511[[#This Row],[Core²-Retail Sales]]*1)/Q562)-1)</f>
        <v>#N/A</v>
      </c>
      <c r="S563" s="8" t="e">
        <f>IF(Tabela1511[[#This Row],[Core²-Retail Sales]]="",#N/A,((Tabela1511[[#This Row],[Core²-Retail Sales]]*1)/Q551)-1)</f>
        <v>#N/A</v>
      </c>
      <c r="T563" s="5"/>
      <c r="U563" s="7"/>
      <c r="V563" s="7"/>
      <c r="W563" s="25"/>
      <c r="X563" s="25"/>
      <c r="Y563" s="25"/>
      <c r="Z563" s="25"/>
      <c r="AA563" s="25" t="e">
        <f>IF(Tabela1511[[#This Row],[Services New Orders]]="",#N/A,(Tabela1511[[#This Row],[Manufacturing Employment]]+Tabela1511[[#This Row],[Services New Orders]])/2)</f>
        <v>#N/A</v>
      </c>
      <c r="AB563" s="25" t="e">
        <f>IF([1]!Tabela1511[[#This Row],[Services Employment]]="",#N/A,([1]!Tabela1511[[#This Row],[Manufacturing Employment]]+[1]!Tabela1511[[#This Row],[Services Employment]])/2)</f>
        <v>#N/A</v>
      </c>
    </row>
    <row r="564" spans="1:28">
      <c r="A564" s="6">
        <v>45566</v>
      </c>
      <c r="B564" s="36"/>
      <c r="C564" s="8" t="e">
        <f>IF(Tabela1511[[#This Row],[Real PCE]]="",#N/A,((Tabela1511[[#This Row],[Real PCE]]*1)/B563)-1)</f>
        <v>#N/A</v>
      </c>
      <c r="D564" s="8" t="e">
        <f>IF(Tabela1511[[#This Row],[Real PCE]]="",#N/A,((Tabela1511[[#This Row],[Real PCE]]*1)/B552)-1)</f>
        <v>#N/A</v>
      </c>
      <c r="E564" s="7"/>
      <c r="F564" s="8" t="e">
        <f>IF(Tabela1511[[#This Row],[Industrial Production]]="",#N/A,((Tabela1511[[#This Row],[Industrial Production]]*1)/E563)-1)</f>
        <v>#N/A</v>
      </c>
      <c r="G564" s="8" t="e">
        <f>IF(Tabela1511[[#This Row],[Industrial Production]]="",#N/A,((Tabela1511[[#This Row],[Industrial Production]]*1)/E552)-1)</f>
        <v>#N/A</v>
      </c>
      <c r="H564" s="32"/>
      <c r="I564" s="8" t="e">
        <f>IF(Tabela1511[[#This Row],[Retail Sales]]="",#N/A,((Tabela1511[[#This Row],[Retail Sales]]*1)/H563)-1)</f>
        <v>#N/A</v>
      </c>
      <c r="J564" s="8" t="e">
        <f>IF(Tabela1511[[#This Row],[Retail Sales]]="",#N/A,((Tabela1511[[#This Row],[Retail Sales]]*1)/H552)-1)</f>
        <v>#N/A</v>
      </c>
      <c r="K564" s="32"/>
      <c r="L564" s="8" t="e">
        <f>IF(Tabela1511[[#This Row],[Core-Retail Sales]]="",#N/A,((Tabela1511[[#This Row],[Core-Retail Sales]]*1)/K563)-1)</f>
        <v>#N/A</v>
      </c>
      <c r="M564" s="8" t="e">
        <f>IF(Tabela1511[[#This Row],[Core-Retail Sales]]="",#N/A,((Tabela1511[[#This Row],[Core-Retail Sales]]*1)/K552)-1)</f>
        <v>#N/A</v>
      </c>
      <c r="N564" s="84"/>
      <c r="O564" s="8" t="e">
        <f>IF(Tabela1511[[#This Row],[Real Retail Sales]]="",#N/A,((Tabela1511[[#This Row],[Real Retail Sales]]*1)/N563)-1)</f>
        <v>#N/A</v>
      </c>
      <c r="P564" s="8" t="e">
        <f>IF(Tabela1511[[#This Row],[Real Retail Sales]]="",#N/A,((Tabela1511[[#This Row],[Real Retail Sales]]*1)/N552)-1)</f>
        <v>#N/A</v>
      </c>
      <c r="Q564" s="32"/>
      <c r="R564" s="8" t="e">
        <f>IF(Tabela1511[[#This Row],[Core²-Retail Sales]]="",#N/A,((Tabela1511[[#This Row],[Core²-Retail Sales]]*1)/Q563)-1)</f>
        <v>#N/A</v>
      </c>
      <c r="S564" s="8" t="e">
        <f>IF(Tabela1511[[#This Row],[Core²-Retail Sales]]="",#N/A,((Tabela1511[[#This Row],[Core²-Retail Sales]]*1)/Q552)-1)</f>
        <v>#N/A</v>
      </c>
      <c r="T564" s="5"/>
      <c r="U564" s="7"/>
      <c r="V564" s="7"/>
      <c r="W564" s="25"/>
      <c r="X564" s="25"/>
      <c r="Y564" s="25"/>
      <c r="Z564" s="25"/>
      <c r="AA564" s="25" t="e">
        <f>IF(Tabela1511[[#This Row],[Services New Orders]]="",#N/A,(Tabela1511[[#This Row],[Manufacturing Employment]]+Tabela1511[[#This Row],[Services New Orders]])/2)</f>
        <v>#N/A</v>
      </c>
      <c r="AB564" s="25" t="e">
        <f>IF([1]!Tabela1511[[#This Row],[Services Employment]]="",#N/A,([1]!Tabela1511[[#This Row],[Manufacturing Employment]]+[1]!Tabela1511[[#This Row],[Services Employment]])/2)</f>
        <v>#N/A</v>
      </c>
    </row>
    <row r="565" spans="1:28">
      <c r="A565" s="6">
        <v>45597</v>
      </c>
      <c r="B565" s="36"/>
      <c r="C565" s="8" t="e">
        <f>IF(Tabela1511[[#This Row],[Real PCE]]="",#N/A,((Tabela1511[[#This Row],[Real PCE]]*1)/B564)-1)</f>
        <v>#N/A</v>
      </c>
      <c r="D565" s="8" t="e">
        <f>IF(Tabela1511[[#This Row],[Real PCE]]="",#N/A,((Tabela1511[[#This Row],[Real PCE]]*1)/B553)-1)</f>
        <v>#N/A</v>
      </c>
      <c r="E565" s="7"/>
      <c r="F565" s="8" t="e">
        <f>IF(Tabela1511[[#This Row],[Industrial Production]]="",#N/A,((Tabela1511[[#This Row],[Industrial Production]]*1)/E564)-1)</f>
        <v>#N/A</v>
      </c>
      <c r="G565" s="8" t="e">
        <f>IF(Tabela1511[[#This Row],[Industrial Production]]="",#N/A,((Tabela1511[[#This Row],[Industrial Production]]*1)/E553)-1)</f>
        <v>#N/A</v>
      </c>
      <c r="H565" s="32"/>
      <c r="I565" s="8" t="e">
        <f>IF(Tabela1511[[#This Row],[Retail Sales]]="",#N/A,((Tabela1511[[#This Row],[Retail Sales]]*1)/H564)-1)</f>
        <v>#N/A</v>
      </c>
      <c r="J565" s="8" t="e">
        <f>IF(Tabela1511[[#This Row],[Retail Sales]]="",#N/A,((Tabela1511[[#This Row],[Retail Sales]]*1)/H553)-1)</f>
        <v>#N/A</v>
      </c>
      <c r="K565" s="32"/>
      <c r="L565" s="8" t="e">
        <f>IF(Tabela1511[[#This Row],[Core-Retail Sales]]="",#N/A,((Tabela1511[[#This Row],[Core-Retail Sales]]*1)/K564)-1)</f>
        <v>#N/A</v>
      </c>
      <c r="M565" s="8" t="e">
        <f>IF(Tabela1511[[#This Row],[Core-Retail Sales]]="",#N/A,((Tabela1511[[#This Row],[Core-Retail Sales]]*1)/K553)-1)</f>
        <v>#N/A</v>
      </c>
      <c r="N565" s="84"/>
      <c r="O565" s="8" t="e">
        <f>IF(Tabela1511[[#This Row],[Real Retail Sales]]="",#N/A,((Tabela1511[[#This Row],[Real Retail Sales]]*1)/N564)-1)</f>
        <v>#N/A</v>
      </c>
      <c r="P565" s="8" t="e">
        <f>IF(Tabela1511[[#This Row],[Real Retail Sales]]="",#N/A,((Tabela1511[[#This Row],[Real Retail Sales]]*1)/N553)-1)</f>
        <v>#N/A</v>
      </c>
      <c r="Q565" s="32"/>
      <c r="R565" s="8" t="e">
        <f>IF(Tabela1511[[#This Row],[Core²-Retail Sales]]="",#N/A,((Tabela1511[[#This Row],[Core²-Retail Sales]]*1)/Q564)-1)</f>
        <v>#N/A</v>
      </c>
      <c r="S565" s="8" t="e">
        <f>IF(Tabela1511[[#This Row],[Core²-Retail Sales]]="",#N/A,((Tabela1511[[#This Row],[Core²-Retail Sales]]*1)/Q553)-1)</f>
        <v>#N/A</v>
      </c>
      <c r="T565" s="5"/>
      <c r="U565" s="7"/>
      <c r="V565" s="7"/>
      <c r="W565" s="25"/>
      <c r="X565" s="25"/>
      <c r="Y565" s="25"/>
      <c r="Z565" s="25"/>
      <c r="AA565" s="25" t="e">
        <f>IF(Tabela1511[[#This Row],[Services New Orders]]="",#N/A,(Tabela1511[[#This Row],[Manufacturing Employment]]+Tabela1511[[#This Row],[Services New Orders]])/2)</f>
        <v>#N/A</v>
      </c>
      <c r="AB565" s="25" t="e">
        <f>IF([1]!Tabela1511[[#This Row],[Services Employment]]="",#N/A,([1]!Tabela1511[[#This Row],[Manufacturing Employment]]+[1]!Tabela1511[[#This Row],[Services Employment]])/2)</f>
        <v>#N/A</v>
      </c>
    </row>
    <row r="566" spans="1:28">
      <c r="A566" s="6">
        <v>45627</v>
      </c>
      <c r="B566" s="36"/>
      <c r="C566" s="8" t="e">
        <f>IF(Tabela1511[[#This Row],[Real PCE]]="",#N/A,((Tabela1511[[#This Row],[Real PCE]]*1)/B565)-1)</f>
        <v>#N/A</v>
      </c>
      <c r="D566" s="8" t="e">
        <f>IF(Tabela1511[[#This Row],[Real PCE]]="",#N/A,((Tabela1511[[#This Row],[Real PCE]]*1)/B554)-1)</f>
        <v>#N/A</v>
      </c>
      <c r="E566" s="7"/>
      <c r="F566" s="8" t="e">
        <f>IF(Tabela1511[[#This Row],[Industrial Production]]="",#N/A,((Tabela1511[[#This Row],[Industrial Production]]*1)/E565)-1)</f>
        <v>#N/A</v>
      </c>
      <c r="G566" s="8" t="e">
        <f>IF(Tabela1511[[#This Row],[Industrial Production]]="",#N/A,((Tabela1511[[#This Row],[Industrial Production]]*1)/E554)-1)</f>
        <v>#N/A</v>
      </c>
      <c r="H566" s="32"/>
      <c r="I566" s="8" t="e">
        <f>IF(Tabela1511[[#This Row],[Retail Sales]]="",#N/A,((Tabela1511[[#This Row],[Retail Sales]]*1)/H565)-1)</f>
        <v>#N/A</v>
      </c>
      <c r="J566" s="8" t="e">
        <f>IF(Tabela1511[[#This Row],[Retail Sales]]="",#N/A,((Tabela1511[[#This Row],[Retail Sales]]*1)/H554)-1)</f>
        <v>#N/A</v>
      </c>
      <c r="K566" s="32"/>
      <c r="L566" s="8" t="e">
        <f>IF(Tabela1511[[#This Row],[Core-Retail Sales]]="",#N/A,((Tabela1511[[#This Row],[Core-Retail Sales]]*1)/K565)-1)</f>
        <v>#N/A</v>
      </c>
      <c r="M566" s="8" t="e">
        <f>IF(Tabela1511[[#This Row],[Core-Retail Sales]]="",#N/A,((Tabela1511[[#This Row],[Core-Retail Sales]]*1)/K554)-1)</f>
        <v>#N/A</v>
      </c>
      <c r="N566" s="84"/>
      <c r="O566" s="8" t="e">
        <f>IF(Tabela1511[[#This Row],[Real Retail Sales]]="",#N/A,((Tabela1511[[#This Row],[Real Retail Sales]]*1)/N565)-1)</f>
        <v>#N/A</v>
      </c>
      <c r="P566" s="8" t="e">
        <f>IF(Tabela1511[[#This Row],[Real Retail Sales]]="",#N/A,((Tabela1511[[#This Row],[Real Retail Sales]]*1)/N554)-1)</f>
        <v>#N/A</v>
      </c>
      <c r="Q566" s="32"/>
      <c r="R566" s="8" t="e">
        <f>IF(Tabela1511[[#This Row],[Core²-Retail Sales]]="",#N/A,((Tabela1511[[#This Row],[Core²-Retail Sales]]*1)/Q565)-1)</f>
        <v>#N/A</v>
      </c>
      <c r="S566" s="8" t="e">
        <f>IF(Tabela1511[[#This Row],[Core²-Retail Sales]]="",#N/A,((Tabela1511[[#This Row],[Core²-Retail Sales]]*1)/Q554)-1)</f>
        <v>#N/A</v>
      </c>
      <c r="T566" s="5"/>
      <c r="U566" s="7"/>
      <c r="V566" s="7"/>
      <c r="W566" s="25"/>
      <c r="X566" s="25"/>
      <c r="Y566" s="25"/>
      <c r="Z566" s="25"/>
      <c r="AA566" s="25" t="e">
        <f>IF(Tabela1511[[#This Row],[Services New Orders]]="",#N/A,(Tabela1511[[#This Row],[Manufacturing Employment]]+Tabela1511[[#This Row],[Services New Orders]])/2)</f>
        <v>#N/A</v>
      </c>
      <c r="AB566" s="25" t="e">
        <f>IF([1]!Tabela1511[[#This Row],[Services Employment]]="",#N/A,([1]!Tabela1511[[#This Row],[Manufacturing Employment]]+[1]!Tabela1511[[#This Row],[Services Employment]])/2)</f>
        <v>#N/A</v>
      </c>
    </row>
  </sheetData>
  <phoneticPr fontId="2" type="noConversion"/>
  <hyperlinks>
    <hyperlink ref="B1" r:id="rId1" location="0" xr:uid="{9FFC084D-03E6-429C-AD23-E7E15BBC99C2}"/>
    <hyperlink ref="E1" r:id="rId2" location="0" xr:uid="{C2017318-78BF-4AD8-866C-DF356677DD90}"/>
    <hyperlink ref="H1" r:id="rId3" location="0" xr:uid="{33D1A35E-9188-4278-9FCD-B0C7FACF5D08}"/>
    <hyperlink ref="K1" r:id="rId4" xr:uid="{5AC20685-0605-4D46-99DD-3640F29546E3}"/>
    <hyperlink ref="Q1" r:id="rId5" location="0" xr:uid="{3A204506-A096-4B79-A91D-666F0B638D63}"/>
    <hyperlink ref="T1" r:id="rId6" xr:uid="{03450E5E-47B4-4056-A42E-D96D5B6267C4}"/>
    <hyperlink ref="N1" r:id="rId7" xr:uid="{1E8C5E0F-6666-4AEE-8631-B779E502ED23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0" r:id="rId8"/>
  <tableParts count="1">
    <tablePart r:id="rId9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380CF-8F9E-4417-9856-FA349ED63A70}">
  <sheetPr codeName="Planilha14"/>
  <dimension ref="B1:AJ176"/>
  <sheetViews>
    <sheetView showGridLines="0" zoomScale="85" zoomScaleNormal="85" workbookViewId="0">
      <pane xSplit="6" ySplit="3" topLeftCell="G112" activePane="bottomRight" state="frozen"/>
      <selection pane="topRight" activeCell="G1" sqref="G1"/>
      <selection pane="bottomLeft" activeCell="A4" sqref="A4"/>
      <selection pane="bottomRight" activeCell="B120" sqref="B120:F147"/>
    </sheetView>
  </sheetViews>
  <sheetFormatPr defaultRowHeight="15"/>
  <cols>
    <col min="1" max="1" width="1.7109375" customWidth="1"/>
    <col min="7" max="7" width="1.7109375" customWidth="1"/>
  </cols>
  <sheetData>
    <row r="1" spans="2:36" s="79" customFormat="1"/>
    <row r="2" spans="2:36" s="79" customFormat="1" ht="15" customHeight="1">
      <c r="B2" s="109"/>
      <c r="C2" s="80"/>
      <c r="D2" s="109" t="s">
        <v>64</v>
      </c>
      <c r="E2" s="109"/>
      <c r="F2" s="10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2:36" s="79" customFormat="1" ht="15" customHeight="1">
      <c r="B3" s="109"/>
      <c r="C3" s="80"/>
      <c r="D3" s="109"/>
      <c r="E3" s="109"/>
      <c r="F3" s="109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</row>
    <row r="4" spans="2:36">
      <c r="B4" s="91"/>
      <c r="C4" s="92"/>
      <c r="D4" s="92"/>
      <c r="E4" s="92"/>
      <c r="F4" s="93"/>
    </row>
    <row r="5" spans="2:36">
      <c r="B5" s="94"/>
      <c r="C5" s="95"/>
      <c r="D5" s="95"/>
      <c r="E5" s="95"/>
      <c r="F5" s="96"/>
    </row>
    <row r="6" spans="2:36">
      <c r="B6" s="94"/>
      <c r="C6" s="95"/>
      <c r="D6" s="95"/>
      <c r="E6" s="95"/>
      <c r="F6" s="96"/>
    </row>
    <row r="7" spans="2:36">
      <c r="B7" s="94"/>
      <c r="C7" s="95"/>
      <c r="D7" s="95"/>
      <c r="E7" s="95"/>
      <c r="F7" s="96"/>
    </row>
    <row r="8" spans="2:36">
      <c r="B8" s="94"/>
      <c r="C8" s="95"/>
      <c r="D8" s="95"/>
      <c r="E8" s="95"/>
      <c r="F8" s="96"/>
    </row>
    <row r="9" spans="2:36">
      <c r="B9" s="94"/>
      <c r="C9" s="95"/>
      <c r="D9" s="95"/>
      <c r="E9" s="95"/>
      <c r="F9" s="96"/>
    </row>
    <row r="10" spans="2:36">
      <c r="B10" s="94"/>
      <c r="C10" s="95"/>
      <c r="D10" s="95"/>
      <c r="E10" s="95"/>
      <c r="F10" s="96"/>
    </row>
    <row r="11" spans="2:36">
      <c r="B11" s="94"/>
      <c r="C11" s="95"/>
      <c r="D11" s="95"/>
      <c r="E11" s="95"/>
      <c r="F11" s="96"/>
    </row>
    <row r="12" spans="2:36">
      <c r="B12" s="94"/>
      <c r="C12" s="95"/>
      <c r="D12" s="95"/>
      <c r="E12" s="95"/>
      <c r="F12" s="96"/>
    </row>
    <row r="13" spans="2:36">
      <c r="B13" s="94"/>
      <c r="C13" s="95"/>
      <c r="D13" s="95"/>
      <c r="E13" s="95"/>
      <c r="F13" s="96"/>
    </row>
    <row r="14" spans="2:36">
      <c r="B14" s="94"/>
      <c r="C14" s="95"/>
      <c r="D14" s="95"/>
      <c r="E14" s="95"/>
      <c r="F14" s="96"/>
    </row>
    <row r="15" spans="2:36">
      <c r="B15" s="94"/>
      <c r="C15" s="95"/>
      <c r="D15" s="95"/>
      <c r="E15" s="95"/>
      <c r="F15" s="96"/>
    </row>
    <row r="16" spans="2:36">
      <c r="B16" s="94"/>
      <c r="C16" s="95"/>
      <c r="D16" s="95"/>
      <c r="E16" s="95"/>
      <c r="F16" s="96"/>
    </row>
    <row r="17" spans="2:6">
      <c r="B17" s="94"/>
      <c r="C17" s="95"/>
      <c r="D17" s="95"/>
      <c r="E17" s="95"/>
      <c r="F17" s="96"/>
    </row>
    <row r="18" spans="2:6">
      <c r="B18" s="94"/>
      <c r="C18" s="95"/>
      <c r="D18" s="95"/>
      <c r="E18" s="95"/>
      <c r="F18" s="96"/>
    </row>
    <row r="19" spans="2:6">
      <c r="B19" s="94"/>
      <c r="C19" s="95"/>
      <c r="D19" s="95"/>
      <c r="E19" s="95"/>
      <c r="F19" s="96"/>
    </row>
    <row r="20" spans="2:6">
      <c r="B20" s="94"/>
      <c r="C20" s="95"/>
      <c r="D20" s="95"/>
      <c r="E20" s="95"/>
      <c r="F20" s="96"/>
    </row>
    <row r="21" spans="2:6">
      <c r="B21" s="94"/>
      <c r="C21" s="95"/>
      <c r="D21" s="95"/>
      <c r="E21" s="95"/>
      <c r="F21" s="96"/>
    </row>
    <row r="22" spans="2:6">
      <c r="B22" s="94"/>
      <c r="C22" s="95"/>
      <c r="D22" s="95"/>
      <c r="E22" s="95"/>
      <c r="F22" s="96"/>
    </row>
    <row r="23" spans="2:6">
      <c r="B23" s="94"/>
      <c r="C23" s="95"/>
      <c r="D23" s="95"/>
      <c r="E23" s="95"/>
      <c r="F23" s="96"/>
    </row>
    <row r="24" spans="2:6">
      <c r="B24" s="94"/>
      <c r="C24" s="95"/>
      <c r="D24" s="95"/>
      <c r="E24" s="95"/>
      <c r="F24" s="96"/>
    </row>
    <row r="25" spans="2:6">
      <c r="B25" s="94"/>
      <c r="C25" s="95"/>
      <c r="D25" s="95"/>
      <c r="E25" s="95"/>
      <c r="F25" s="96"/>
    </row>
    <row r="26" spans="2:6">
      <c r="B26" s="94"/>
      <c r="C26" s="95"/>
      <c r="D26" s="95"/>
      <c r="E26" s="95"/>
      <c r="F26" s="96"/>
    </row>
    <row r="27" spans="2:6">
      <c r="B27" s="94"/>
      <c r="C27" s="95"/>
      <c r="D27" s="95"/>
      <c r="E27" s="95"/>
      <c r="F27" s="96"/>
    </row>
    <row r="28" spans="2:6">
      <c r="B28" s="94"/>
      <c r="C28" s="95"/>
      <c r="D28" s="95"/>
      <c r="E28" s="95"/>
      <c r="F28" s="96"/>
    </row>
    <row r="29" spans="2:6">
      <c r="B29" s="94"/>
      <c r="C29" s="95"/>
      <c r="D29" s="95"/>
      <c r="E29" s="95"/>
      <c r="F29" s="96"/>
    </row>
    <row r="30" spans="2:6">
      <c r="B30" s="94"/>
      <c r="C30" s="95"/>
      <c r="D30" s="95"/>
      <c r="E30" s="95"/>
      <c r="F30" s="96"/>
    </row>
    <row r="31" spans="2:6">
      <c r="B31" s="97"/>
      <c r="C31" s="98"/>
      <c r="D31" s="98"/>
      <c r="E31" s="98"/>
      <c r="F31" s="99"/>
    </row>
    <row r="33" spans="2:6" ht="15" customHeight="1">
      <c r="B33" s="91"/>
      <c r="C33" s="92"/>
      <c r="D33" s="92"/>
      <c r="E33" s="92"/>
      <c r="F33" s="93"/>
    </row>
    <row r="34" spans="2:6">
      <c r="B34" s="94"/>
      <c r="C34" s="95"/>
      <c r="D34" s="95"/>
      <c r="E34" s="95"/>
      <c r="F34" s="96"/>
    </row>
    <row r="35" spans="2:6">
      <c r="B35" s="94"/>
      <c r="C35" s="95"/>
      <c r="D35" s="95"/>
      <c r="E35" s="95"/>
      <c r="F35" s="96"/>
    </row>
    <row r="36" spans="2:6">
      <c r="B36" s="94"/>
      <c r="C36" s="95"/>
      <c r="D36" s="95"/>
      <c r="E36" s="95"/>
      <c r="F36" s="96"/>
    </row>
    <row r="37" spans="2:6">
      <c r="B37" s="94"/>
      <c r="C37" s="95"/>
      <c r="D37" s="95"/>
      <c r="E37" s="95"/>
      <c r="F37" s="96"/>
    </row>
    <row r="38" spans="2:6">
      <c r="B38" s="94"/>
      <c r="C38" s="95"/>
      <c r="D38" s="95"/>
      <c r="E38" s="95"/>
      <c r="F38" s="96"/>
    </row>
    <row r="39" spans="2:6">
      <c r="B39" s="94"/>
      <c r="C39" s="95"/>
      <c r="D39" s="95"/>
      <c r="E39" s="95"/>
      <c r="F39" s="96"/>
    </row>
    <row r="40" spans="2:6">
      <c r="B40" s="94"/>
      <c r="C40" s="95"/>
      <c r="D40" s="95"/>
      <c r="E40" s="95"/>
      <c r="F40" s="96"/>
    </row>
    <row r="41" spans="2:6">
      <c r="B41" s="94"/>
      <c r="C41" s="95"/>
      <c r="D41" s="95"/>
      <c r="E41" s="95"/>
      <c r="F41" s="96"/>
    </row>
    <row r="42" spans="2:6">
      <c r="B42" s="94"/>
      <c r="C42" s="95"/>
      <c r="D42" s="95"/>
      <c r="E42" s="95"/>
      <c r="F42" s="96"/>
    </row>
    <row r="43" spans="2:6">
      <c r="B43" s="94"/>
      <c r="C43" s="95"/>
      <c r="D43" s="95"/>
      <c r="E43" s="95"/>
      <c r="F43" s="96"/>
    </row>
    <row r="44" spans="2:6">
      <c r="B44" s="94"/>
      <c r="C44" s="95"/>
      <c r="D44" s="95"/>
      <c r="E44" s="95"/>
      <c r="F44" s="96"/>
    </row>
    <row r="45" spans="2:6">
      <c r="B45" s="94"/>
      <c r="C45" s="95"/>
      <c r="D45" s="95"/>
      <c r="E45" s="95"/>
      <c r="F45" s="96"/>
    </row>
    <row r="46" spans="2:6">
      <c r="B46" s="94"/>
      <c r="C46" s="95"/>
      <c r="D46" s="95"/>
      <c r="E46" s="95"/>
      <c r="F46" s="96"/>
    </row>
    <row r="47" spans="2:6">
      <c r="B47" s="94"/>
      <c r="C47" s="95"/>
      <c r="D47" s="95"/>
      <c r="E47" s="95"/>
      <c r="F47" s="96"/>
    </row>
    <row r="48" spans="2:6">
      <c r="B48" s="94"/>
      <c r="C48" s="95"/>
      <c r="D48" s="95"/>
      <c r="E48" s="95"/>
      <c r="F48" s="96"/>
    </row>
    <row r="49" spans="2:6">
      <c r="B49" s="94"/>
      <c r="C49" s="95"/>
      <c r="D49" s="95"/>
      <c r="E49" s="95"/>
      <c r="F49" s="96"/>
    </row>
    <row r="50" spans="2:6">
      <c r="B50" s="94"/>
      <c r="C50" s="95"/>
      <c r="D50" s="95"/>
      <c r="E50" s="95"/>
      <c r="F50" s="96"/>
    </row>
    <row r="51" spans="2:6">
      <c r="B51" s="94"/>
      <c r="C51" s="95"/>
      <c r="D51" s="95"/>
      <c r="E51" s="95"/>
      <c r="F51" s="96"/>
    </row>
    <row r="52" spans="2:6">
      <c r="B52" s="94"/>
      <c r="C52" s="95"/>
      <c r="D52" s="95"/>
      <c r="E52" s="95"/>
      <c r="F52" s="96"/>
    </row>
    <row r="53" spans="2:6">
      <c r="B53" s="94"/>
      <c r="C53" s="95"/>
      <c r="D53" s="95"/>
      <c r="E53" s="95"/>
      <c r="F53" s="96"/>
    </row>
    <row r="54" spans="2:6">
      <c r="B54" s="94"/>
      <c r="C54" s="95"/>
      <c r="D54" s="95"/>
      <c r="E54" s="95"/>
      <c r="F54" s="96"/>
    </row>
    <row r="55" spans="2:6">
      <c r="B55" s="94"/>
      <c r="C55" s="95"/>
      <c r="D55" s="95"/>
      <c r="E55" s="95"/>
      <c r="F55" s="96"/>
    </row>
    <row r="56" spans="2:6">
      <c r="B56" s="94"/>
      <c r="C56" s="95"/>
      <c r="D56" s="95"/>
      <c r="E56" s="95"/>
      <c r="F56" s="96"/>
    </row>
    <row r="57" spans="2:6">
      <c r="B57" s="94"/>
      <c r="C57" s="95"/>
      <c r="D57" s="95"/>
      <c r="E57" s="95"/>
      <c r="F57" s="96"/>
    </row>
    <row r="58" spans="2:6">
      <c r="B58" s="94"/>
      <c r="C58" s="95"/>
      <c r="D58" s="95"/>
      <c r="E58" s="95"/>
      <c r="F58" s="96"/>
    </row>
    <row r="59" spans="2:6">
      <c r="B59" s="94"/>
      <c r="C59" s="95"/>
      <c r="D59" s="95"/>
      <c r="E59" s="95"/>
      <c r="F59" s="96"/>
    </row>
    <row r="60" spans="2:6">
      <c r="B60" s="97"/>
      <c r="C60" s="98"/>
      <c r="D60" s="98"/>
      <c r="E60" s="98"/>
      <c r="F60" s="99"/>
    </row>
    <row r="62" spans="2:6">
      <c r="B62" s="91"/>
      <c r="C62" s="92"/>
      <c r="D62" s="92"/>
      <c r="E62" s="92"/>
      <c r="F62" s="93"/>
    </row>
    <row r="63" spans="2:6">
      <c r="B63" s="94"/>
      <c r="C63" s="95"/>
      <c r="D63" s="95"/>
      <c r="E63" s="95"/>
      <c r="F63" s="96"/>
    </row>
    <row r="64" spans="2:6">
      <c r="B64" s="94"/>
      <c r="C64" s="95"/>
      <c r="D64" s="95"/>
      <c r="E64" s="95"/>
      <c r="F64" s="96"/>
    </row>
    <row r="65" spans="2:6">
      <c r="B65" s="94"/>
      <c r="C65" s="95"/>
      <c r="D65" s="95"/>
      <c r="E65" s="95"/>
      <c r="F65" s="96"/>
    </row>
    <row r="66" spans="2:6">
      <c r="B66" s="94"/>
      <c r="C66" s="95"/>
      <c r="D66" s="95"/>
      <c r="E66" s="95"/>
      <c r="F66" s="96"/>
    </row>
    <row r="67" spans="2:6">
      <c r="B67" s="94"/>
      <c r="C67" s="95"/>
      <c r="D67" s="95"/>
      <c r="E67" s="95"/>
      <c r="F67" s="96"/>
    </row>
    <row r="68" spans="2:6">
      <c r="B68" s="94"/>
      <c r="C68" s="95"/>
      <c r="D68" s="95"/>
      <c r="E68" s="95"/>
      <c r="F68" s="96"/>
    </row>
    <row r="69" spans="2:6">
      <c r="B69" s="94"/>
      <c r="C69" s="95"/>
      <c r="D69" s="95"/>
      <c r="E69" s="95"/>
      <c r="F69" s="96"/>
    </row>
    <row r="70" spans="2:6">
      <c r="B70" s="94"/>
      <c r="C70" s="95"/>
      <c r="D70" s="95"/>
      <c r="E70" s="95"/>
      <c r="F70" s="96"/>
    </row>
    <row r="71" spans="2:6">
      <c r="B71" s="94"/>
      <c r="C71" s="95"/>
      <c r="D71" s="95"/>
      <c r="E71" s="95"/>
      <c r="F71" s="96"/>
    </row>
    <row r="72" spans="2:6">
      <c r="B72" s="94"/>
      <c r="C72" s="95"/>
      <c r="D72" s="95"/>
      <c r="E72" s="95"/>
      <c r="F72" s="96"/>
    </row>
    <row r="73" spans="2:6">
      <c r="B73" s="94"/>
      <c r="C73" s="95"/>
      <c r="D73" s="95"/>
      <c r="E73" s="95"/>
      <c r="F73" s="96"/>
    </row>
    <row r="74" spans="2:6">
      <c r="B74" s="94"/>
      <c r="C74" s="95"/>
      <c r="D74" s="95"/>
      <c r="E74" s="95"/>
      <c r="F74" s="96"/>
    </row>
    <row r="75" spans="2:6">
      <c r="B75" s="94"/>
      <c r="C75" s="95"/>
      <c r="D75" s="95"/>
      <c r="E75" s="95"/>
      <c r="F75" s="96"/>
    </row>
    <row r="76" spans="2:6">
      <c r="B76" s="94"/>
      <c r="C76" s="95"/>
      <c r="D76" s="95"/>
      <c r="E76" s="95"/>
      <c r="F76" s="96"/>
    </row>
    <row r="77" spans="2:6">
      <c r="B77" s="94"/>
      <c r="C77" s="95"/>
      <c r="D77" s="95"/>
      <c r="E77" s="95"/>
      <c r="F77" s="96"/>
    </row>
    <row r="78" spans="2:6">
      <c r="B78" s="94"/>
      <c r="C78" s="95"/>
      <c r="D78" s="95"/>
      <c r="E78" s="95"/>
      <c r="F78" s="96"/>
    </row>
    <row r="79" spans="2:6">
      <c r="B79" s="94"/>
      <c r="C79" s="95"/>
      <c r="D79" s="95"/>
      <c r="E79" s="95"/>
      <c r="F79" s="96"/>
    </row>
    <row r="80" spans="2:6">
      <c r="B80" s="94"/>
      <c r="C80" s="95"/>
      <c r="D80" s="95"/>
      <c r="E80" s="95"/>
      <c r="F80" s="96"/>
    </row>
    <row r="81" spans="2:6">
      <c r="B81" s="94"/>
      <c r="C81" s="95"/>
      <c r="D81" s="95"/>
      <c r="E81" s="95"/>
      <c r="F81" s="96"/>
    </row>
    <row r="82" spans="2:6">
      <c r="B82" s="94"/>
      <c r="C82" s="95"/>
      <c r="D82" s="95"/>
      <c r="E82" s="95"/>
      <c r="F82" s="96"/>
    </row>
    <row r="83" spans="2:6">
      <c r="B83" s="94"/>
      <c r="C83" s="95"/>
      <c r="D83" s="95"/>
      <c r="E83" s="95"/>
      <c r="F83" s="96"/>
    </row>
    <row r="84" spans="2:6">
      <c r="B84" s="94"/>
      <c r="C84" s="95"/>
      <c r="D84" s="95"/>
      <c r="E84" s="95"/>
      <c r="F84" s="96"/>
    </row>
    <row r="85" spans="2:6">
      <c r="B85" s="94"/>
      <c r="C85" s="95"/>
      <c r="D85" s="95"/>
      <c r="E85" s="95"/>
      <c r="F85" s="96"/>
    </row>
    <row r="86" spans="2:6">
      <c r="B86" s="94"/>
      <c r="C86" s="95"/>
      <c r="D86" s="95"/>
      <c r="E86" s="95"/>
      <c r="F86" s="96"/>
    </row>
    <row r="87" spans="2:6">
      <c r="B87" s="94"/>
      <c r="C87" s="95"/>
      <c r="D87" s="95"/>
      <c r="E87" s="95"/>
      <c r="F87" s="96"/>
    </row>
    <row r="88" spans="2:6">
      <c r="B88" s="94"/>
      <c r="C88" s="95"/>
      <c r="D88" s="95"/>
      <c r="E88" s="95"/>
      <c r="F88" s="96"/>
    </row>
    <row r="89" spans="2:6">
      <c r="B89" s="97"/>
      <c r="C89" s="98"/>
      <c r="D89" s="98"/>
      <c r="E89" s="98"/>
      <c r="F89" s="99"/>
    </row>
    <row r="91" spans="2:6" ht="15" customHeight="1">
      <c r="B91" s="91"/>
      <c r="C91" s="92"/>
      <c r="D91" s="92"/>
      <c r="E91" s="92"/>
      <c r="F91" s="93"/>
    </row>
    <row r="92" spans="2:6">
      <c r="B92" s="94"/>
      <c r="C92" s="95"/>
      <c r="D92" s="95"/>
      <c r="E92" s="95"/>
      <c r="F92" s="96"/>
    </row>
    <row r="93" spans="2:6">
      <c r="B93" s="94"/>
      <c r="C93" s="95"/>
      <c r="D93" s="95"/>
      <c r="E93" s="95"/>
      <c r="F93" s="96"/>
    </row>
    <row r="94" spans="2:6">
      <c r="B94" s="94"/>
      <c r="C94" s="95"/>
      <c r="D94" s="95"/>
      <c r="E94" s="95"/>
      <c r="F94" s="96"/>
    </row>
    <row r="95" spans="2:6">
      <c r="B95" s="94"/>
      <c r="C95" s="95"/>
      <c r="D95" s="95"/>
      <c r="E95" s="95"/>
      <c r="F95" s="96"/>
    </row>
    <row r="96" spans="2:6">
      <c r="B96" s="94"/>
      <c r="C96" s="95"/>
      <c r="D96" s="95"/>
      <c r="E96" s="95"/>
      <c r="F96" s="96"/>
    </row>
    <row r="97" spans="2:6">
      <c r="B97" s="94"/>
      <c r="C97" s="95"/>
      <c r="D97" s="95"/>
      <c r="E97" s="95"/>
      <c r="F97" s="96"/>
    </row>
    <row r="98" spans="2:6">
      <c r="B98" s="94"/>
      <c r="C98" s="95"/>
      <c r="D98" s="95"/>
      <c r="E98" s="95"/>
      <c r="F98" s="96"/>
    </row>
    <row r="99" spans="2:6">
      <c r="B99" s="94"/>
      <c r="C99" s="95"/>
      <c r="D99" s="95"/>
      <c r="E99" s="95"/>
      <c r="F99" s="96"/>
    </row>
    <row r="100" spans="2:6">
      <c r="B100" s="94"/>
      <c r="C100" s="95"/>
      <c r="D100" s="95"/>
      <c r="E100" s="95"/>
      <c r="F100" s="96"/>
    </row>
    <row r="101" spans="2:6">
      <c r="B101" s="94"/>
      <c r="C101" s="95"/>
      <c r="D101" s="95"/>
      <c r="E101" s="95"/>
      <c r="F101" s="96"/>
    </row>
    <row r="102" spans="2:6">
      <c r="B102" s="94"/>
      <c r="C102" s="95"/>
      <c r="D102" s="95"/>
      <c r="E102" s="95"/>
      <c r="F102" s="96"/>
    </row>
    <row r="103" spans="2:6">
      <c r="B103" s="94"/>
      <c r="C103" s="95"/>
      <c r="D103" s="95"/>
      <c r="E103" s="95"/>
      <c r="F103" s="96"/>
    </row>
    <row r="104" spans="2:6">
      <c r="B104" s="94"/>
      <c r="C104" s="95"/>
      <c r="D104" s="95"/>
      <c r="E104" s="95"/>
      <c r="F104" s="96"/>
    </row>
    <row r="105" spans="2:6">
      <c r="B105" s="94"/>
      <c r="C105" s="95"/>
      <c r="D105" s="95"/>
      <c r="E105" s="95"/>
      <c r="F105" s="96"/>
    </row>
    <row r="106" spans="2:6">
      <c r="B106" s="94"/>
      <c r="C106" s="95"/>
      <c r="D106" s="95"/>
      <c r="E106" s="95"/>
      <c r="F106" s="96"/>
    </row>
    <row r="107" spans="2:6">
      <c r="B107" s="94"/>
      <c r="C107" s="95"/>
      <c r="D107" s="95"/>
      <c r="E107" s="95"/>
      <c r="F107" s="96"/>
    </row>
    <row r="108" spans="2:6">
      <c r="B108" s="94"/>
      <c r="C108" s="95"/>
      <c r="D108" s="95"/>
      <c r="E108" s="95"/>
      <c r="F108" s="96"/>
    </row>
    <row r="109" spans="2:6">
      <c r="B109" s="94"/>
      <c r="C109" s="95"/>
      <c r="D109" s="95"/>
      <c r="E109" s="95"/>
      <c r="F109" s="96"/>
    </row>
    <row r="110" spans="2:6">
      <c r="B110" s="94"/>
      <c r="C110" s="95"/>
      <c r="D110" s="95"/>
      <c r="E110" s="95"/>
      <c r="F110" s="96"/>
    </row>
    <row r="111" spans="2:6">
      <c r="B111" s="94"/>
      <c r="C111" s="95"/>
      <c r="D111" s="95"/>
      <c r="E111" s="95"/>
      <c r="F111" s="96"/>
    </row>
    <row r="112" spans="2:6">
      <c r="B112" s="94"/>
      <c r="C112" s="95"/>
      <c r="D112" s="95"/>
      <c r="E112" s="95"/>
      <c r="F112" s="96"/>
    </row>
    <row r="113" spans="2:6">
      <c r="B113" s="94"/>
      <c r="C113" s="95"/>
      <c r="D113" s="95"/>
      <c r="E113" s="95"/>
      <c r="F113" s="96"/>
    </row>
    <row r="114" spans="2:6">
      <c r="B114" s="94"/>
      <c r="C114" s="95"/>
      <c r="D114" s="95"/>
      <c r="E114" s="95"/>
      <c r="F114" s="96"/>
    </row>
    <row r="115" spans="2:6">
      <c r="B115" s="94"/>
      <c r="C115" s="95"/>
      <c r="D115" s="95"/>
      <c r="E115" s="95"/>
      <c r="F115" s="96"/>
    </row>
    <row r="116" spans="2:6">
      <c r="B116" s="94"/>
      <c r="C116" s="95"/>
      <c r="D116" s="95"/>
      <c r="E116" s="95"/>
      <c r="F116" s="96"/>
    </row>
    <row r="117" spans="2:6">
      <c r="B117" s="94"/>
      <c r="C117" s="95"/>
      <c r="D117" s="95"/>
      <c r="E117" s="95"/>
      <c r="F117" s="96"/>
    </row>
    <row r="118" spans="2:6">
      <c r="B118" s="97"/>
      <c r="C118" s="98"/>
      <c r="D118" s="98"/>
      <c r="E118" s="98"/>
      <c r="F118" s="99"/>
    </row>
    <row r="120" spans="2:6" ht="15" customHeight="1">
      <c r="B120" s="91"/>
      <c r="C120" s="92"/>
      <c r="D120" s="92"/>
      <c r="E120" s="92"/>
      <c r="F120" s="93"/>
    </row>
    <row r="121" spans="2:6">
      <c r="B121" s="94"/>
      <c r="C121" s="95"/>
      <c r="D121" s="95"/>
      <c r="E121" s="95"/>
      <c r="F121" s="96"/>
    </row>
    <row r="122" spans="2:6">
      <c r="B122" s="94"/>
      <c r="C122" s="95"/>
      <c r="D122" s="95"/>
      <c r="E122" s="95"/>
      <c r="F122" s="96"/>
    </row>
    <row r="123" spans="2:6">
      <c r="B123" s="94"/>
      <c r="C123" s="95"/>
      <c r="D123" s="95"/>
      <c r="E123" s="95"/>
      <c r="F123" s="96"/>
    </row>
    <row r="124" spans="2:6">
      <c r="B124" s="94"/>
      <c r="C124" s="95"/>
      <c r="D124" s="95"/>
      <c r="E124" s="95"/>
      <c r="F124" s="96"/>
    </row>
    <row r="125" spans="2:6">
      <c r="B125" s="94"/>
      <c r="C125" s="95"/>
      <c r="D125" s="95"/>
      <c r="E125" s="95"/>
      <c r="F125" s="96"/>
    </row>
    <row r="126" spans="2:6">
      <c r="B126" s="94"/>
      <c r="C126" s="95"/>
      <c r="D126" s="95"/>
      <c r="E126" s="95"/>
      <c r="F126" s="96"/>
    </row>
    <row r="127" spans="2:6">
      <c r="B127" s="94"/>
      <c r="C127" s="95"/>
      <c r="D127" s="95"/>
      <c r="E127" s="95"/>
      <c r="F127" s="96"/>
    </row>
    <row r="128" spans="2:6">
      <c r="B128" s="94"/>
      <c r="C128" s="95"/>
      <c r="D128" s="95"/>
      <c r="E128" s="95"/>
      <c r="F128" s="96"/>
    </row>
    <row r="129" spans="2:6">
      <c r="B129" s="94"/>
      <c r="C129" s="95"/>
      <c r="D129" s="95"/>
      <c r="E129" s="95"/>
      <c r="F129" s="96"/>
    </row>
    <row r="130" spans="2:6">
      <c r="B130" s="94"/>
      <c r="C130" s="95"/>
      <c r="D130" s="95"/>
      <c r="E130" s="95"/>
      <c r="F130" s="96"/>
    </row>
    <row r="131" spans="2:6">
      <c r="B131" s="94"/>
      <c r="C131" s="95"/>
      <c r="D131" s="95"/>
      <c r="E131" s="95"/>
      <c r="F131" s="96"/>
    </row>
    <row r="132" spans="2:6">
      <c r="B132" s="94"/>
      <c r="C132" s="95"/>
      <c r="D132" s="95"/>
      <c r="E132" s="95"/>
      <c r="F132" s="96"/>
    </row>
    <row r="133" spans="2:6">
      <c r="B133" s="94"/>
      <c r="C133" s="95"/>
      <c r="D133" s="95"/>
      <c r="E133" s="95"/>
      <c r="F133" s="96"/>
    </row>
    <row r="134" spans="2:6">
      <c r="B134" s="94"/>
      <c r="C134" s="95"/>
      <c r="D134" s="95"/>
      <c r="E134" s="95"/>
      <c r="F134" s="96"/>
    </row>
    <row r="135" spans="2:6">
      <c r="B135" s="94"/>
      <c r="C135" s="95"/>
      <c r="D135" s="95"/>
      <c r="E135" s="95"/>
      <c r="F135" s="96"/>
    </row>
    <row r="136" spans="2:6">
      <c r="B136" s="94"/>
      <c r="C136" s="95"/>
      <c r="D136" s="95"/>
      <c r="E136" s="95"/>
      <c r="F136" s="96"/>
    </row>
    <row r="137" spans="2:6">
      <c r="B137" s="94"/>
      <c r="C137" s="95"/>
      <c r="D137" s="95"/>
      <c r="E137" s="95"/>
      <c r="F137" s="96"/>
    </row>
    <row r="138" spans="2:6">
      <c r="B138" s="94"/>
      <c r="C138" s="95"/>
      <c r="D138" s="95"/>
      <c r="E138" s="95"/>
      <c r="F138" s="96"/>
    </row>
    <row r="139" spans="2:6">
      <c r="B139" s="94"/>
      <c r="C139" s="95"/>
      <c r="D139" s="95"/>
      <c r="E139" s="95"/>
      <c r="F139" s="96"/>
    </row>
    <row r="140" spans="2:6">
      <c r="B140" s="94"/>
      <c r="C140" s="95"/>
      <c r="D140" s="95"/>
      <c r="E140" s="95"/>
      <c r="F140" s="96"/>
    </row>
    <row r="141" spans="2:6">
      <c r="B141" s="94"/>
      <c r="C141" s="95"/>
      <c r="D141" s="95"/>
      <c r="E141" s="95"/>
      <c r="F141" s="96"/>
    </row>
    <row r="142" spans="2:6">
      <c r="B142" s="94"/>
      <c r="C142" s="95"/>
      <c r="D142" s="95"/>
      <c r="E142" s="95"/>
      <c r="F142" s="96"/>
    </row>
    <row r="143" spans="2:6">
      <c r="B143" s="94"/>
      <c r="C143" s="95"/>
      <c r="D143" s="95"/>
      <c r="E143" s="95"/>
      <c r="F143" s="96"/>
    </row>
    <row r="144" spans="2:6">
      <c r="B144" s="94"/>
      <c r="C144" s="95"/>
      <c r="D144" s="95"/>
      <c r="E144" s="95"/>
      <c r="F144" s="96"/>
    </row>
    <row r="145" spans="2:6">
      <c r="B145" s="94"/>
      <c r="C145" s="95"/>
      <c r="D145" s="95"/>
      <c r="E145" s="95"/>
      <c r="F145" s="96"/>
    </row>
    <row r="146" spans="2:6">
      <c r="B146" s="94"/>
      <c r="C146" s="95"/>
      <c r="D146" s="95"/>
      <c r="E146" s="95"/>
      <c r="F146" s="96"/>
    </row>
    <row r="147" spans="2:6">
      <c r="B147" s="97"/>
      <c r="C147" s="98"/>
      <c r="D147" s="98"/>
      <c r="E147" s="98"/>
      <c r="F147" s="99"/>
    </row>
    <row r="149" spans="2:6">
      <c r="B149" s="91"/>
      <c r="C149" s="92"/>
      <c r="D149" s="92"/>
      <c r="E149" s="92"/>
      <c r="F149" s="93"/>
    </row>
    <row r="150" spans="2:6">
      <c r="B150" s="94"/>
      <c r="C150" s="95"/>
      <c r="D150" s="95"/>
      <c r="E150" s="95"/>
      <c r="F150" s="96"/>
    </row>
    <row r="151" spans="2:6">
      <c r="B151" s="94"/>
      <c r="C151" s="95"/>
      <c r="D151" s="95"/>
      <c r="E151" s="95"/>
      <c r="F151" s="96"/>
    </row>
    <row r="152" spans="2:6">
      <c r="B152" s="94"/>
      <c r="C152" s="95"/>
      <c r="D152" s="95"/>
      <c r="E152" s="95"/>
      <c r="F152" s="96"/>
    </row>
    <row r="153" spans="2:6">
      <c r="B153" s="94"/>
      <c r="C153" s="95"/>
      <c r="D153" s="95"/>
      <c r="E153" s="95"/>
      <c r="F153" s="96"/>
    </row>
    <row r="154" spans="2:6">
      <c r="B154" s="94"/>
      <c r="C154" s="95"/>
      <c r="D154" s="95"/>
      <c r="E154" s="95"/>
      <c r="F154" s="96"/>
    </row>
    <row r="155" spans="2:6">
      <c r="B155" s="94"/>
      <c r="C155" s="95"/>
      <c r="D155" s="95"/>
      <c r="E155" s="95"/>
      <c r="F155" s="96"/>
    </row>
    <row r="156" spans="2:6">
      <c r="B156" s="94"/>
      <c r="C156" s="95"/>
      <c r="D156" s="95"/>
      <c r="E156" s="95"/>
      <c r="F156" s="96"/>
    </row>
    <row r="157" spans="2:6">
      <c r="B157" s="94"/>
      <c r="C157" s="95"/>
      <c r="D157" s="95"/>
      <c r="E157" s="95"/>
      <c r="F157" s="96"/>
    </row>
    <row r="158" spans="2:6">
      <c r="B158" s="94"/>
      <c r="C158" s="95"/>
      <c r="D158" s="95"/>
      <c r="E158" s="95"/>
      <c r="F158" s="96"/>
    </row>
    <row r="159" spans="2:6">
      <c r="B159" s="94"/>
      <c r="C159" s="95"/>
      <c r="D159" s="95"/>
      <c r="E159" s="95"/>
      <c r="F159" s="96"/>
    </row>
    <row r="160" spans="2:6">
      <c r="B160" s="94"/>
      <c r="C160" s="95"/>
      <c r="D160" s="95"/>
      <c r="E160" s="95"/>
      <c r="F160" s="96"/>
    </row>
    <row r="161" spans="2:6">
      <c r="B161" s="94"/>
      <c r="C161" s="95"/>
      <c r="D161" s="95"/>
      <c r="E161" s="95"/>
      <c r="F161" s="96"/>
    </row>
    <row r="162" spans="2:6">
      <c r="B162" s="94"/>
      <c r="C162" s="95"/>
      <c r="D162" s="95"/>
      <c r="E162" s="95"/>
      <c r="F162" s="96"/>
    </row>
    <row r="163" spans="2:6">
      <c r="B163" s="94"/>
      <c r="C163" s="95"/>
      <c r="D163" s="95"/>
      <c r="E163" s="95"/>
      <c r="F163" s="96"/>
    </row>
    <row r="164" spans="2:6">
      <c r="B164" s="94"/>
      <c r="C164" s="95"/>
      <c r="D164" s="95"/>
      <c r="E164" s="95"/>
      <c r="F164" s="96"/>
    </row>
    <row r="165" spans="2:6">
      <c r="B165" s="94"/>
      <c r="C165" s="95"/>
      <c r="D165" s="95"/>
      <c r="E165" s="95"/>
      <c r="F165" s="96"/>
    </row>
    <row r="166" spans="2:6">
      <c r="B166" s="94"/>
      <c r="C166" s="95"/>
      <c r="D166" s="95"/>
      <c r="E166" s="95"/>
      <c r="F166" s="96"/>
    </row>
    <row r="167" spans="2:6">
      <c r="B167" s="94"/>
      <c r="C167" s="95"/>
      <c r="D167" s="95"/>
      <c r="E167" s="95"/>
      <c r="F167" s="96"/>
    </row>
    <row r="168" spans="2:6">
      <c r="B168" s="94"/>
      <c r="C168" s="95"/>
      <c r="D168" s="95"/>
      <c r="E168" s="95"/>
      <c r="F168" s="96"/>
    </row>
    <row r="169" spans="2:6">
      <c r="B169" s="94"/>
      <c r="C169" s="95"/>
      <c r="D169" s="95"/>
      <c r="E169" s="95"/>
      <c r="F169" s="96"/>
    </row>
    <row r="170" spans="2:6">
      <c r="B170" s="94"/>
      <c r="C170" s="95"/>
      <c r="D170" s="95"/>
      <c r="E170" s="95"/>
      <c r="F170" s="96"/>
    </row>
    <row r="171" spans="2:6">
      <c r="B171" s="94"/>
      <c r="C171" s="95"/>
      <c r="D171" s="95"/>
      <c r="E171" s="95"/>
      <c r="F171" s="96"/>
    </row>
    <row r="172" spans="2:6">
      <c r="B172" s="94"/>
      <c r="C172" s="95"/>
      <c r="D172" s="95"/>
      <c r="E172" s="95"/>
      <c r="F172" s="96"/>
    </row>
    <row r="173" spans="2:6">
      <c r="B173" s="94"/>
      <c r="C173" s="95"/>
      <c r="D173" s="95"/>
      <c r="E173" s="95"/>
      <c r="F173" s="96"/>
    </row>
    <row r="174" spans="2:6">
      <c r="B174" s="94"/>
      <c r="C174" s="95"/>
      <c r="D174" s="95"/>
      <c r="E174" s="95"/>
      <c r="F174" s="96"/>
    </row>
    <row r="175" spans="2:6">
      <c r="B175" s="94"/>
      <c r="C175" s="95"/>
      <c r="D175" s="95"/>
      <c r="E175" s="95"/>
      <c r="F175" s="96"/>
    </row>
    <row r="176" spans="2:6">
      <c r="B176" s="97"/>
      <c r="C176" s="98"/>
      <c r="D176" s="98"/>
      <c r="E176" s="98"/>
      <c r="F176" s="99"/>
    </row>
  </sheetData>
  <mergeCells count="8">
    <mergeCell ref="B149:F176"/>
    <mergeCell ref="B2:B3"/>
    <mergeCell ref="D2:F3"/>
    <mergeCell ref="B33:F60"/>
    <mergeCell ref="B91:F118"/>
    <mergeCell ref="B62:F89"/>
    <mergeCell ref="B4:F31"/>
    <mergeCell ref="B120:F147"/>
  </mergeCells>
  <pageMargins left="0.511811024" right="0.511811024" top="0.78740157499999996" bottom="0.78740157499999996" header="0.31496062000000002" footer="0.31496062000000002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1C15CF-8E06-44D9-AB68-843407B1B21C}">
  <sheetPr codeName="Planilha8">
    <tabColor rgb="FFC00000"/>
  </sheetPr>
  <dimension ref="A1:S926"/>
  <sheetViews>
    <sheetView showGridLines="0" zoomScaleNormal="100" workbookViewId="0">
      <pane xSplit="1" ySplit="2" topLeftCell="B886" activePane="bottomRight" state="frozen"/>
      <selection activeCell="I37" sqref="I37"/>
      <selection pane="topRight" activeCell="I37" sqref="I37"/>
      <selection pane="bottomLeft" activeCell="I37" sqref="I37"/>
      <selection pane="bottomRight"/>
    </sheetView>
  </sheetViews>
  <sheetFormatPr defaultRowHeight="12.75"/>
  <cols>
    <col min="1" max="1" width="9.85546875" style="5" bestFit="1" customWidth="1"/>
    <col min="2" max="2" width="13.42578125" style="5" bestFit="1" customWidth="1"/>
    <col min="3" max="3" width="15" style="5" bestFit="1" customWidth="1"/>
    <col min="4" max="4" width="13.42578125" style="5" bestFit="1" customWidth="1"/>
    <col min="5" max="5" width="15" style="5" bestFit="1" customWidth="1"/>
    <col min="6" max="6" width="13.140625" style="5" bestFit="1" customWidth="1"/>
    <col min="7" max="7" width="11.85546875" style="5" bestFit="1" customWidth="1"/>
    <col min="8" max="10" width="13.7109375" style="5" customWidth="1"/>
    <col min="11" max="11" width="10.7109375" style="5" bestFit="1" customWidth="1"/>
    <col min="12" max="12" width="13.28515625" style="5" bestFit="1" customWidth="1"/>
    <col min="13" max="15" width="8.85546875" style="5" customWidth="1"/>
    <col min="16" max="16" width="18.85546875" style="5" bestFit="1" customWidth="1"/>
    <col min="17" max="17" width="15" style="5" bestFit="1" customWidth="1"/>
    <col min="18" max="19" width="9.140625" style="9"/>
    <col min="20" max="20" width="11.42578125" style="5" bestFit="1" customWidth="1"/>
    <col min="21" max="16384" width="9.140625" style="5"/>
  </cols>
  <sheetData>
    <row r="1" spans="1:16">
      <c r="B1" s="20" t="s">
        <v>2</v>
      </c>
      <c r="D1" s="20" t="s">
        <v>2</v>
      </c>
      <c r="E1" s="20" t="s">
        <v>2</v>
      </c>
      <c r="F1" s="20" t="s">
        <v>2</v>
      </c>
      <c r="G1" s="20" t="s">
        <v>2</v>
      </c>
      <c r="H1" s="20" t="s">
        <v>2</v>
      </c>
      <c r="I1" s="20"/>
      <c r="J1" s="20"/>
      <c r="K1" s="20" t="s">
        <v>2</v>
      </c>
      <c r="L1" s="20" t="s">
        <v>2</v>
      </c>
      <c r="M1" s="20" t="s">
        <v>2</v>
      </c>
      <c r="N1" s="20"/>
      <c r="O1" s="20" t="s">
        <v>2</v>
      </c>
    </row>
    <row r="2" spans="1:16" ht="30" customHeight="1">
      <c r="A2" s="18" t="s">
        <v>23</v>
      </c>
      <c r="B2" s="18" t="s">
        <v>8</v>
      </c>
      <c r="C2" s="18" t="s">
        <v>18</v>
      </c>
      <c r="D2" s="18" t="s">
        <v>17</v>
      </c>
      <c r="E2" s="18" t="s">
        <v>24</v>
      </c>
      <c r="F2" s="18" t="s">
        <v>25</v>
      </c>
      <c r="G2" s="18" t="s">
        <v>31</v>
      </c>
      <c r="H2" s="18" t="s">
        <v>93</v>
      </c>
      <c r="I2" s="18" t="s">
        <v>96</v>
      </c>
      <c r="J2" s="18" t="s">
        <v>97</v>
      </c>
      <c r="K2" s="18" t="s">
        <v>92</v>
      </c>
      <c r="L2" s="18" t="s">
        <v>26</v>
      </c>
      <c r="M2" s="18" t="s">
        <v>7</v>
      </c>
      <c r="N2" s="18" t="s">
        <v>56</v>
      </c>
      <c r="O2" s="18" t="s">
        <v>19</v>
      </c>
      <c r="P2" s="18" t="s">
        <v>20</v>
      </c>
    </row>
    <row r="3" spans="1:16">
      <c r="A3" s="6">
        <v>17533</v>
      </c>
      <c r="B3" s="11">
        <v>3.4</v>
      </c>
      <c r="C3" s="10"/>
      <c r="D3" s="10">
        <v>2034</v>
      </c>
      <c r="E3" s="11">
        <v>58.6</v>
      </c>
      <c r="F3" s="11"/>
      <c r="G3" s="11"/>
      <c r="H3" s="11"/>
      <c r="I3" s="11"/>
      <c r="J3" s="11"/>
      <c r="K3" s="11"/>
      <c r="L3" s="11">
        <v>8.9</v>
      </c>
      <c r="M3" s="10">
        <v>98</v>
      </c>
      <c r="N3" s="10">
        <f>IF(Tabela1610[[#This Row],[Payroll]]="",#N/A,AVERAGE(M1:M3))</f>
        <v>98</v>
      </c>
      <c r="O3" s="10"/>
      <c r="P3" s="7"/>
    </row>
    <row r="4" spans="1:16">
      <c r="A4" s="6">
        <v>17564</v>
      </c>
      <c r="B4" s="11">
        <v>3.8</v>
      </c>
      <c r="C4" s="10"/>
      <c r="D4" s="10">
        <v>2328</v>
      </c>
      <c r="E4" s="11">
        <v>58.9</v>
      </c>
      <c r="F4" s="11"/>
      <c r="G4" s="11"/>
      <c r="H4" s="11"/>
      <c r="I4" s="11"/>
      <c r="J4" s="11"/>
      <c r="K4" s="11"/>
      <c r="L4" s="11">
        <v>8.4</v>
      </c>
      <c r="M4" s="10">
        <v>-146</v>
      </c>
      <c r="N4" s="10">
        <f>IF(Tabela1610[[#This Row],[Payroll]]="",#N/A,AVERAGE(M2:M4))</f>
        <v>-24</v>
      </c>
      <c r="O4" s="10"/>
      <c r="P4" s="7"/>
    </row>
    <row r="5" spans="1:16">
      <c r="A5" s="6">
        <v>17593</v>
      </c>
      <c r="B5" s="11">
        <v>4</v>
      </c>
      <c r="C5" s="10"/>
      <c r="D5" s="10">
        <v>2399</v>
      </c>
      <c r="E5" s="11">
        <v>58.5</v>
      </c>
      <c r="F5" s="11"/>
      <c r="G5" s="11"/>
      <c r="H5" s="11"/>
      <c r="I5" s="11"/>
      <c r="J5" s="11"/>
      <c r="K5" s="11"/>
      <c r="L5" s="11">
        <v>8.6999999999999993</v>
      </c>
      <c r="M5" s="10">
        <v>150</v>
      </c>
      <c r="N5" s="10">
        <f>IF(Tabela1610[[#This Row],[Payroll]]="",#N/A,AVERAGE(M3:M5))</f>
        <v>34</v>
      </c>
      <c r="O5" s="10"/>
      <c r="P5" s="7"/>
    </row>
    <row r="6" spans="1:16">
      <c r="A6" s="6">
        <v>17624</v>
      </c>
      <c r="B6" s="11">
        <v>3.9</v>
      </c>
      <c r="C6" s="10"/>
      <c r="D6" s="10">
        <v>2386</v>
      </c>
      <c r="E6" s="11">
        <v>59</v>
      </c>
      <c r="F6" s="11"/>
      <c r="G6" s="11"/>
      <c r="H6" s="11"/>
      <c r="I6" s="11"/>
      <c r="J6" s="11"/>
      <c r="K6" s="11"/>
      <c r="L6" s="11">
        <v>8.5</v>
      </c>
      <c r="M6" s="10">
        <v>-304</v>
      </c>
      <c r="N6" s="10">
        <f>IF(Tabela1610[[#This Row],[Payroll]]="",#N/A,AVERAGE(M4:M6))</f>
        <v>-100</v>
      </c>
      <c r="O6" s="10"/>
      <c r="P6" s="7"/>
    </row>
    <row r="7" spans="1:16">
      <c r="A7" s="6">
        <v>17654</v>
      </c>
      <c r="B7" s="11">
        <v>3.5</v>
      </c>
      <c r="C7" s="10"/>
      <c r="D7" s="10">
        <v>2118</v>
      </c>
      <c r="E7" s="11">
        <v>58.3</v>
      </c>
      <c r="F7" s="11"/>
      <c r="G7" s="11"/>
      <c r="H7" s="11"/>
      <c r="I7" s="11"/>
      <c r="J7" s="11"/>
      <c r="K7" s="11"/>
      <c r="L7" s="11">
        <v>9.1</v>
      </c>
      <c r="M7" s="10">
        <v>417</v>
      </c>
      <c r="N7" s="10">
        <f>IF(Tabela1610[[#This Row],[Payroll]]="",#N/A,AVERAGE(M5:M7))</f>
        <v>87.666666666666671</v>
      </c>
      <c r="O7" s="10"/>
      <c r="P7" s="7"/>
    </row>
    <row r="8" spans="1:16">
      <c r="A8" s="6">
        <v>17685</v>
      </c>
      <c r="B8" s="11">
        <v>3.6</v>
      </c>
      <c r="C8" s="10"/>
      <c r="D8" s="10">
        <v>2214</v>
      </c>
      <c r="E8" s="11">
        <v>59.2</v>
      </c>
      <c r="F8" s="11"/>
      <c r="G8" s="11"/>
      <c r="H8" s="11"/>
      <c r="I8" s="11"/>
      <c r="J8" s="11"/>
      <c r="K8" s="11"/>
      <c r="L8" s="11">
        <v>8.8000000000000007</v>
      </c>
      <c r="M8" s="10">
        <v>238</v>
      </c>
      <c r="N8" s="10">
        <f>IF(Tabela1610[[#This Row],[Payroll]]="",#N/A,AVERAGE(M6:M8))</f>
        <v>117</v>
      </c>
      <c r="O8" s="10"/>
      <c r="P8" s="7"/>
    </row>
    <row r="9" spans="1:16">
      <c r="A9" s="6">
        <v>17715</v>
      </c>
      <c r="B9" s="11">
        <v>3.6</v>
      </c>
      <c r="C9" s="10"/>
      <c r="D9" s="10">
        <v>2213</v>
      </c>
      <c r="E9" s="11">
        <v>59.3</v>
      </c>
      <c r="F9" s="11"/>
      <c r="G9" s="11"/>
      <c r="H9" s="11"/>
      <c r="I9" s="11"/>
      <c r="J9" s="11"/>
      <c r="K9" s="11"/>
      <c r="L9" s="11">
        <v>8.6</v>
      </c>
      <c r="M9" s="10">
        <v>126</v>
      </c>
      <c r="N9" s="10">
        <f>IF(Tabela1610[[#This Row],[Payroll]]="",#N/A,AVERAGE(M7:M9))</f>
        <v>260.33333333333331</v>
      </c>
      <c r="O9" s="10"/>
      <c r="P9" s="7"/>
    </row>
    <row r="10" spans="1:16">
      <c r="A10" s="6">
        <v>17746</v>
      </c>
      <c r="B10" s="11">
        <v>3.9</v>
      </c>
      <c r="C10" s="10"/>
      <c r="D10" s="10">
        <v>2350</v>
      </c>
      <c r="E10" s="11">
        <v>58.9</v>
      </c>
      <c r="F10" s="11"/>
      <c r="G10" s="11"/>
      <c r="H10" s="11"/>
      <c r="I10" s="11"/>
      <c r="J10" s="11"/>
      <c r="K10" s="11"/>
      <c r="L10" s="11">
        <v>8.8000000000000007</v>
      </c>
      <c r="M10" s="10">
        <v>18</v>
      </c>
      <c r="N10" s="10">
        <f>IF(Tabela1610[[#This Row],[Payroll]]="",#N/A,AVERAGE(M8:M10))</f>
        <v>127.33333333333333</v>
      </c>
      <c r="O10" s="10"/>
      <c r="P10" s="7"/>
    </row>
    <row r="11" spans="1:16">
      <c r="A11" s="6">
        <v>17777</v>
      </c>
      <c r="B11" s="11">
        <v>3.8</v>
      </c>
      <c r="C11" s="10"/>
      <c r="D11" s="10">
        <v>2302</v>
      </c>
      <c r="E11" s="11">
        <v>58.9</v>
      </c>
      <c r="F11" s="11"/>
      <c r="G11" s="11"/>
      <c r="H11" s="11"/>
      <c r="I11" s="11"/>
      <c r="J11" s="11"/>
      <c r="K11" s="11"/>
      <c r="L11" s="11">
        <v>8.5</v>
      </c>
      <c r="M11" s="10">
        <v>116</v>
      </c>
      <c r="N11" s="10">
        <f>IF(Tabela1610[[#This Row],[Payroll]]="",#N/A,AVERAGE(M9:M11))</f>
        <v>86.666666666666671</v>
      </c>
      <c r="O11" s="10"/>
      <c r="P11" s="7"/>
    </row>
    <row r="12" spans="1:16">
      <c r="A12" s="6">
        <v>17807</v>
      </c>
      <c r="B12" s="11">
        <v>3.7</v>
      </c>
      <c r="C12" s="10"/>
      <c r="D12" s="10">
        <v>2259</v>
      </c>
      <c r="E12" s="11">
        <v>58.7</v>
      </c>
      <c r="F12" s="11"/>
      <c r="G12" s="11"/>
      <c r="H12" s="11"/>
      <c r="I12" s="11"/>
      <c r="J12" s="11"/>
      <c r="K12" s="11"/>
      <c r="L12" s="11">
        <v>9.5</v>
      </c>
      <c r="M12" s="10">
        <v>-49</v>
      </c>
      <c r="N12" s="10">
        <f>IF(Tabela1610[[#This Row],[Payroll]]="",#N/A,AVERAGE(M10:M12))</f>
        <v>28.333333333333332</v>
      </c>
      <c r="O12" s="10"/>
      <c r="P12" s="7"/>
    </row>
    <row r="13" spans="1:16">
      <c r="A13" s="6">
        <v>17838</v>
      </c>
      <c r="B13" s="11">
        <v>3.8</v>
      </c>
      <c r="C13" s="10"/>
      <c r="D13" s="10">
        <v>2285</v>
      </c>
      <c r="E13" s="11">
        <v>58.7</v>
      </c>
      <c r="F13" s="11"/>
      <c r="G13" s="11"/>
      <c r="H13" s="11"/>
      <c r="I13" s="11"/>
      <c r="J13" s="11"/>
      <c r="K13" s="11"/>
      <c r="L13" s="11">
        <v>7.8</v>
      </c>
      <c r="M13" s="10">
        <v>-53</v>
      </c>
      <c r="N13" s="10">
        <f>IF(Tabela1610[[#This Row],[Payroll]]="",#N/A,AVERAGE(M11:M13))</f>
        <v>4.666666666666667</v>
      </c>
      <c r="O13" s="10"/>
      <c r="P13" s="7"/>
    </row>
    <row r="14" spans="1:16">
      <c r="A14" s="6">
        <v>17868</v>
      </c>
      <c r="B14" s="11">
        <v>4</v>
      </c>
      <c r="C14" s="10"/>
      <c r="D14" s="10">
        <v>2429</v>
      </c>
      <c r="E14" s="11">
        <v>59.1</v>
      </c>
      <c r="F14" s="11"/>
      <c r="G14" s="11"/>
      <c r="H14" s="11"/>
      <c r="I14" s="11"/>
      <c r="J14" s="11"/>
      <c r="K14" s="11"/>
      <c r="L14" s="11">
        <v>8.1</v>
      </c>
      <c r="M14" s="10">
        <v>-160</v>
      </c>
      <c r="N14" s="10">
        <f>IF(Tabela1610[[#This Row],[Payroll]]="",#N/A,AVERAGE(M12:M14))</f>
        <v>-87.333333333333329</v>
      </c>
      <c r="O14" s="10"/>
      <c r="P14" s="7"/>
    </row>
    <row r="15" spans="1:16">
      <c r="A15" s="6">
        <v>17899</v>
      </c>
      <c r="B15" s="11">
        <v>4.3</v>
      </c>
      <c r="C15" s="11">
        <f>IF(Tabela1610[[#This Row],[Unemployment Rate]]="",#N/A,AVERAGE(B3:B15))</f>
        <v>3.7923076923076922</v>
      </c>
      <c r="D15" s="10">
        <v>2596</v>
      </c>
      <c r="E15" s="11">
        <v>58.7</v>
      </c>
      <c r="F15" s="11"/>
      <c r="G15" s="11"/>
      <c r="H15" s="11"/>
      <c r="I15" s="11"/>
      <c r="J15" s="11"/>
      <c r="K15" s="11"/>
      <c r="L15" s="11">
        <v>8.1999999999999993</v>
      </c>
      <c r="M15" s="10">
        <v>-364</v>
      </c>
      <c r="N15" s="10">
        <f>IF(Tabela1610[[#This Row],[Payroll]]="",#N/A,AVERAGE(M13:M15))</f>
        <v>-192.33333333333334</v>
      </c>
      <c r="O15" s="10"/>
      <c r="P15" s="7"/>
    </row>
    <row r="16" spans="1:16">
      <c r="A16" s="6">
        <v>17930</v>
      </c>
      <c r="B16" s="11">
        <v>4.7</v>
      </c>
      <c r="C16" s="11">
        <f>IF(Tabela1610[[#This Row],[Unemployment Rate]]="",#N/A,AVERAGE(B4:B16))</f>
        <v>3.8923076923076922</v>
      </c>
      <c r="D16" s="10">
        <v>2849</v>
      </c>
      <c r="E16" s="11">
        <v>59</v>
      </c>
      <c r="F16" s="11"/>
      <c r="G16" s="11"/>
      <c r="H16" s="11"/>
      <c r="I16" s="11"/>
      <c r="J16" s="11"/>
      <c r="K16" s="11"/>
      <c r="L16" s="11">
        <v>8.3000000000000007</v>
      </c>
      <c r="M16" s="10">
        <v>-171</v>
      </c>
      <c r="N16" s="10">
        <f>IF(Tabela1610[[#This Row],[Payroll]]="",#N/A,AVERAGE(M14:M16))</f>
        <v>-231.66666666666666</v>
      </c>
      <c r="O16" s="10"/>
      <c r="P16" s="7"/>
    </row>
    <row r="17" spans="1:16">
      <c r="A17" s="6">
        <v>17958</v>
      </c>
      <c r="B17" s="11">
        <v>5</v>
      </c>
      <c r="C17" s="11">
        <f>IF(Tabela1610[[#This Row],[Unemployment Rate]]="",#N/A,AVERAGE(B5:B17))</f>
        <v>3.9846153846153842</v>
      </c>
      <c r="D17" s="10">
        <v>3030</v>
      </c>
      <c r="E17" s="11">
        <v>58.9</v>
      </c>
      <c r="F17" s="11"/>
      <c r="G17" s="11"/>
      <c r="H17" s="11"/>
      <c r="I17" s="11"/>
      <c r="J17" s="11"/>
      <c r="K17" s="11"/>
      <c r="L17" s="11">
        <v>8.3000000000000007</v>
      </c>
      <c r="M17" s="10">
        <v>-257</v>
      </c>
      <c r="N17" s="10">
        <f>IF(Tabela1610[[#This Row],[Payroll]]="",#N/A,AVERAGE(M15:M17))</f>
        <v>-264</v>
      </c>
      <c r="O17" s="10"/>
      <c r="P17" s="7"/>
    </row>
    <row r="18" spans="1:16">
      <c r="A18" s="6">
        <v>17989</v>
      </c>
      <c r="B18" s="11">
        <v>5.3</v>
      </c>
      <c r="C18" s="11">
        <f>IF(Tabela1610[[#This Row],[Unemployment Rate]]="",#N/A,AVERAGE(B6:B18))</f>
        <v>4.0846153846153843</v>
      </c>
      <c r="D18" s="10">
        <v>3260</v>
      </c>
      <c r="E18" s="11">
        <v>58.8</v>
      </c>
      <c r="F18" s="11"/>
      <c r="G18" s="11"/>
      <c r="H18" s="11"/>
      <c r="I18" s="11"/>
      <c r="J18" s="11"/>
      <c r="K18" s="11"/>
      <c r="L18" s="11">
        <v>8.8000000000000007</v>
      </c>
      <c r="M18" s="10">
        <v>-4</v>
      </c>
      <c r="N18" s="10">
        <f>IF(Tabela1610[[#This Row],[Payroll]]="",#N/A,AVERAGE(M16:M18))</f>
        <v>-144</v>
      </c>
      <c r="O18" s="10"/>
      <c r="P18" s="7"/>
    </row>
    <row r="19" spans="1:16">
      <c r="A19" s="6">
        <v>18019</v>
      </c>
      <c r="B19" s="11">
        <v>6.1</v>
      </c>
      <c r="C19" s="11">
        <f>IF(Tabela1610[[#This Row],[Unemployment Rate]]="",#N/A,AVERAGE(B7:B19))</f>
        <v>4.2538461538461538</v>
      </c>
      <c r="D19" s="10">
        <v>3707</v>
      </c>
      <c r="E19" s="11">
        <v>59</v>
      </c>
      <c r="F19" s="11"/>
      <c r="G19" s="11"/>
      <c r="H19" s="11"/>
      <c r="I19" s="11"/>
      <c r="J19" s="11"/>
      <c r="K19" s="11"/>
      <c r="L19" s="11">
        <v>9.1</v>
      </c>
      <c r="M19" s="10">
        <v>-252</v>
      </c>
      <c r="N19" s="10">
        <f>IF(Tabela1610[[#This Row],[Payroll]]="",#N/A,AVERAGE(M17:M19))</f>
        <v>-171</v>
      </c>
      <c r="O19" s="10"/>
      <c r="P19" s="7"/>
    </row>
    <row r="20" spans="1:16">
      <c r="A20" s="6">
        <v>18050</v>
      </c>
      <c r="B20" s="11">
        <v>6.2</v>
      </c>
      <c r="C20" s="11">
        <f>IF(Tabela1610[[#This Row],[Unemployment Rate]]="",#N/A,AVERAGE(B8:B20))</f>
        <v>4.4615384615384617</v>
      </c>
      <c r="D20" s="10">
        <v>3776</v>
      </c>
      <c r="E20" s="11">
        <v>58.6</v>
      </c>
      <c r="F20" s="11"/>
      <c r="G20" s="11"/>
      <c r="H20" s="11"/>
      <c r="I20" s="11"/>
      <c r="J20" s="11"/>
      <c r="K20" s="11"/>
      <c r="L20" s="11">
        <v>10</v>
      </c>
      <c r="M20" s="10">
        <v>-245</v>
      </c>
      <c r="N20" s="10">
        <f>IF(Tabela1610[[#This Row],[Payroll]]="",#N/A,AVERAGE(M18:M20))</f>
        <v>-167</v>
      </c>
      <c r="O20" s="10"/>
      <c r="P20" s="7"/>
    </row>
    <row r="21" spans="1:16">
      <c r="A21" s="6">
        <v>18080</v>
      </c>
      <c r="B21" s="11">
        <v>6.7</v>
      </c>
      <c r="C21" s="11">
        <f>IF(Tabela1610[[#This Row],[Unemployment Rate]]="",#N/A,AVERAGE(B9:B21))</f>
        <v>4.7</v>
      </c>
      <c r="D21" s="10">
        <v>4111</v>
      </c>
      <c r="E21" s="11">
        <v>58.9</v>
      </c>
      <c r="F21" s="11"/>
      <c r="G21" s="11"/>
      <c r="H21" s="11"/>
      <c r="I21" s="11"/>
      <c r="J21" s="11"/>
      <c r="K21" s="11"/>
      <c r="L21" s="11">
        <v>10.8</v>
      </c>
      <c r="M21" s="10">
        <v>-208</v>
      </c>
      <c r="N21" s="10">
        <f>IF(Tabela1610[[#This Row],[Payroll]]="",#N/A,AVERAGE(M19:M21))</f>
        <v>-235</v>
      </c>
      <c r="O21" s="10"/>
      <c r="P21" s="7"/>
    </row>
    <row r="22" spans="1:16">
      <c r="A22" s="6">
        <v>18111</v>
      </c>
      <c r="B22" s="11">
        <v>6.8</v>
      </c>
      <c r="C22" s="11">
        <f>IF(Tabela1610[[#This Row],[Unemployment Rate]]="",#N/A,AVERAGE(B10:B22))</f>
        <v>4.9461538461538472</v>
      </c>
      <c r="D22" s="10">
        <v>4193</v>
      </c>
      <c r="E22" s="11">
        <v>59.2</v>
      </c>
      <c r="F22" s="11"/>
      <c r="G22" s="11"/>
      <c r="H22" s="11"/>
      <c r="I22" s="11"/>
      <c r="J22" s="11"/>
      <c r="K22" s="11"/>
      <c r="L22" s="11">
        <v>11</v>
      </c>
      <c r="M22" s="10">
        <v>93</v>
      </c>
      <c r="N22" s="10">
        <f>IF(Tabela1610[[#This Row],[Payroll]]="",#N/A,AVERAGE(M20:M22))</f>
        <v>-120</v>
      </c>
      <c r="O22" s="10"/>
      <c r="P22" s="7"/>
    </row>
    <row r="23" spans="1:16">
      <c r="A23" s="6">
        <v>18142</v>
      </c>
      <c r="B23" s="11">
        <v>6.6</v>
      </c>
      <c r="C23" s="11">
        <f>IF(Tabela1610[[#This Row],[Unemployment Rate]]="",#N/A,AVERAGE(B11:B23))</f>
        <v>5.1538461538461542</v>
      </c>
      <c r="D23" s="10">
        <v>4049</v>
      </c>
      <c r="E23" s="11">
        <v>59.1</v>
      </c>
      <c r="F23" s="11"/>
      <c r="G23" s="11"/>
      <c r="H23" s="11"/>
      <c r="I23" s="11"/>
      <c r="J23" s="11"/>
      <c r="K23" s="11"/>
      <c r="L23" s="11">
        <v>11.7</v>
      </c>
      <c r="M23" s="10">
        <v>156</v>
      </c>
      <c r="N23" s="10">
        <f>IF(Tabela1610[[#This Row],[Payroll]]="",#N/A,AVERAGE(M21:M23))</f>
        <v>13.666666666666666</v>
      </c>
      <c r="O23" s="10"/>
      <c r="P23" s="7"/>
    </row>
    <row r="24" spans="1:16">
      <c r="A24" s="6">
        <v>18172</v>
      </c>
      <c r="B24" s="11">
        <v>7.9</v>
      </c>
      <c r="C24" s="11">
        <f>IF(Tabela1610[[#This Row],[Unemployment Rate]]="",#N/A,AVERAGE(B12:B24))</f>
        <v>5.4692307692307702</v>
      </c>
      <c r="D24" s="10">
        <v>4916</v>
      </c>
      <c r="E24" s="11">
        <v>59.6</v>
      </c>
      <c r="F24" s="11"/>
      <c r="G24" s="11"/>
      <c r="H24" s="11"/>
      <c r="I24" s="11"/>
      <c r="J24" s="11"/>
      <c r="K24" s="11"/>
      <c r="L24" s="11">
        <v>10.9</v>
      </c>
      <c r="M24" s="10">
        <v>-838</v>
      </c>
      <c r="N24" s="10">
        <f>IF(Tabela1610[[#This Row],[Payroll]]="",#N/A,AVERAGE(M22:M24))</f>
        <v>-196.33333333333334</v>
      </c>
      <c r="O24" s="10"/>
      <c r="P24" s="7"/>
    </row>
    <row r="25" spans="1:16">
      <c r="A25" s="6">
        <v>18203</v>
      </c>
      <c r="B25" s="11">
        <v>6.4</v>
      </c>
      <c r="C25" s="11">
        <f>IF(Tabela1610[[#This Row],[Unemployment Rate]]="",#N/A,AVERAGE(B13:B25))</f>
        <v>5.6769230769230781</v>
      </c>
      <c r="D25" s="10">
        <v>3996</v>
      </c>
      <c r="E25" s="11">
        <v>59.4</v>
      </c>
      <c r="F25" s="11"/>
      <c r="G25" s="11"/>
      <c r="H25" s="11"/>
      <c r="I25" s="11"/>
      <c r="J25" s="11"/>
      <c r="K25" s="11"/>
      <c r="L25" s="11">
        <v>11.6</v>
      </c>
      <c r="M25" s="10">
        <v>300</v>
      </c>
      <c r="N25" s="10">
        <f>IF(Tabela1610[[#This Row],[Payroll]]="",#N/A,AVERAGE(M23:M25))</f>
        <v>-127.33333333333333</v>
      </c>
      <c r="O25" s="10"/>
      <c r="P25" s="7"/>
    </row>
    <row r="26" spans="1:16">
      <c r="A26" s="6">
        <v>18233</v>
      </c>
      <c r="B26" s="11">
        <v>6.6</v>
      </c>
      <c r="C26" s="11">
        <f>IF(Tabela1610[[#This Row],[Unemployment Rate]]="",#N/A,AVERAGE(B14:B26))</f>
        <v>5.8923076923076918</v>
      </c>
      <c r="D26" s="10">
        <v>4063</v>
      </c>
      <c r="E26" s="11">
        <v>59.2</v>
      </c>
      <c r="F26" s="11"/>
      <c r="G26" s="11"/>
      <c r="H26" s="11"/>
      <c r="I26" s="11"/>
      <c r="J26" s="11"/>
      <c r="K26" s="11"/>
      <c r="L26" s="11">
        <v>11.8</v>
      </c>
      <c r="M26" s="10">
        <v>280</v>
      </c>
      <c r="N26" s="10">
        <f>IF(Tabela1610[[#This Row],[Payroll]]="",#N/A,AVERAGE(M24:M26))</f>
        <v>-86</v>
      </c>
      <c r="O26" s="10"/>
      <c r="P26" s="7"/>
    </row>
    <row r="27" spans="1:16">
      <c r="A27" s="6">
        <v>18264</v>
      </c>
      <c r="B27" s="11">
        <v>6.5</v>
      </c>
      <c r="C27" s="11">
        <f>IF(Tabela1610[[#This Row],[Unemployment Rate]]="",#N/A,AVERAGE(B15:B27))</f>
        <v>6.0846153846153843</v>
      </c>
      <c r="D27" s="10">
        <v>4026</v>
      </c>
      <c r="E27" s="11">
        <v>58.9</v>
      </c>
      <c r="F27" s="11"/>
      <c r="G27" s="11"/>
      <c r="H27" s="11"/>
      <c r="I27" s="11"/>
      <c r="J27" s="11"/>
      <c r="K27" s="11"/>
      <c r="L27" s="11">
        <v>11.3</v>
      </c>
      <c r="M27" s="10">
        <v>4</v>
      </c>
      <c r="N27" s="10">
        <f>IF(Tabela1610[[#This Row],[Payroll]]="",#N/A,AVERAGE(M25:M27))</f>
        <v>194.66666666666666</v>
      </c>
      <c r="O27" s="10"/>
      <c r="P27" s="7"/>
    </row>
    <row r="28" spans="1:16">
      <c r="A28" s="6">
        <v>18295</v>
      </c>
      <c r="B28" s="11">
        <v>6.4</v>
      </c>
      <c r="C28" s="11">
        <f>IF(Tabela1610[[#This Row],[Unemployment Rate]]="",#N/A,AVERAGE(B16:B28))</f>
        <v>6.2461538461538462</v>
      </c>
      <c r="D28" s="10">
        <v>3936</v>
      </c>
      <c r="E28" s="11">
        <v>58.9</v>
      </c>
      <c r="F28" s="11"/>
      <c r="G28" s="11"/>
      <c r="H28" s="11"/>
      <c r="I28" s="11"/>
      <c r="J28" s="11"/>
      <c r="K28" s="11"/>
      <c r="L28" s="11">
        <v>11.8</v>
      </c>
      <c r="M28" s="10">
        <v>-229</v>
      </c>
      <c r="N28" s="10">
        <f>IF(Tabela1610[[#This Row],[Payroll]]="",#N/A,AVERAGE(M26:M28))</f>
        <v>18.333333333333332</v>
      </c>
      <c r="O28" s="10"/>
      <c r="P28" s="7"/>
    </row>
    <row r="29" spans="1:16">
      <c r="A29" s="6">
        <v>18323</v>
      </c>
      <c r="B29" s="11">
        <v>6.3</v>
      </c>
      <c r="C29" s="11">
        <f>IF(Tabela1610[[#This Row],[Unemployment Rate]]="",#N/A,AVERAGE(B17:B29))</f>
        <v>6.3692307692307688</v>
      </c>
      <c r="D29" s="10">
        <v>3876</v>
      </c>
      <c r="E29" s="11">
        <v>58.8</v>
      </c>
      <c r="F29" s="11"/>
      <c r="G29" s="11"/>
      <c r="H29" s="11"/>
      <c r="I29" s="11"/>
      <c r="J29" s="11"/>
      <c r="K29" s="11"/>
      <c r="L29" s="11">
        <v>12.4</v>
      </c>
      <c r="M29" s="10">
        <v>657</v>
      </c>
      <c r="N29" s="10">
        <f>IF(Tabela1610[[#This Row],[Payroll]]="",#N/A,AVERAGE(M27:M29))</f>
        <v>144</v>
      </c>
      <c r="O29" s="10"/>
      <c r="P29" s="7"/>
    </row>
    <row r="30" spans="1:16">
      <c r="A30" s="6">
        <v>18354</v>
      </c>
      <c r="B30" s="11">
        <v>5.8</v>
      </c>
      <c r="C30" s="11">
        <f>IF(Tabela1610[[#This Row],[Unemployment Rate]]="",#N/A,AVERAGE(B18:B30))</f>
        <v>6.4307692307692301</v>
      </c>
      <c r="D30" s="10">
        <v>3575</v>
      </c>
      <c r="E30" s="11">
        <v>59.2</v>
      </c>
      <c r="F30" s="11"/>
      <c r="G30" s="11"/>
      <c r="H30" s="11"/>
      <c r="I30" s="11"/>
      <c r="J30" s="11"/>
      <c r="K30" s="11"/>
      <c r="L30" s="11">
        <v>12.6</v>
      </c>
      <c r="M30" s="10">
        <v>428</v>
      </c>
      <c r="N30" s="10">
        <f>IF(Tabela1610[[#This Row],[Payroll]]="",#N/A,AVERAGE(M28:M30))</f>
        <v>285.33333333333331</v>
      </c>
      <c r="O30" s="10"/>
      <c r="P30" s="7"/>
    </row>
    <row r="31" spans="1:16">
      <c r="A31" s="6">
        <v>18384</v>
      </c>
      <c r="B31" s="11">
        <v>5.5</v>
      </c>
      <c r="C31" s="11">
        <f>IF(Tabela1610[[#This Row],[Unemployment Rate]]="",#N/A,AVERAGE(B19:B31))</f>
        <v>6.4461538461538463</v>
      </c>
      <c r="D31" s="10">
        <v>3434</v>
      </c>
      <c r="E31" s="11">
        <v>59.1</v>
      </c>
      <c r="F31" s="11"/>
      <c r="G31" s="11"/>
      <c r="H31" s="11"/>
      <c r="I31" s="11"/>
      <c r="J31" s="11"/>
      <c r="K31" s="11"/>
      <c r="L31" s="11">
        <v>12.7</v>
      </c>
      <c r="M31" s="10">
        <v>336</v>
      </c>
      <c r="N31" s="10">
        <f>IF(Tabela1610[[#This Row],[Payroll]]="",#N/A,AVERAGE(M29:M31))</f>
        <v>473.66666666666669</v>
      </c>
      <c r="O31" s="10"/>
      <c r="P31" s="7"/>
    </row>
    <row r="32" spans="1:16">
      <c r="A32" s="6">
        <v>18415</v>
      </c>
      <c r="B32" s="11">
        <v>5.4</v>
      </c>
      <c r="C32" s="11">
        <f>IF(Tabela1610[[#This Row],[Unemployment Rate]]="",#N/A,AVERAGE(B20:B32))</f>
        <v>6.3923076923076918</v>
      </c>
      <c r="D32" s="10">
        <v>3367</v>
      </c>
      <c r="E32" s="11">
        <v>59.4</v>
      </c>
      <c r="F32" s="11"/>
      <c r="G32" s="11"/>
      <c r="H32" s="11"/>
      <c r="I32" s="11"/>
      <c r="J32" s="11"/>
      <c r="K32" s="11"/>
      <c r="L32" s="11">
        <v>13.1</v>
      </c>
      <c r="M32" s="10">
        <v>365</v>
      </c>
      <c r="N32" s="10">
        <f>IF(Tabela1610[[#This Row],[Payroll]]="",#N/A,AVERAGE(M30:M32))</f>
        <v>376.33333333333331</v>
      </c>
      <c r="O32" s="10"/>
      <c r="P32" s="7"/>
    </row>
    <row r="33" spans="1:16">
      <c r="A33" s="6">
        <v>18445</v>
      </c>
      <c r="B33" s="11">
        <v>5</v>
      </c>
      <c r="C33" s="11">
        <f>IF(Tabela1610[[#This Row],[Unemployment Rate]]="",#N/A,AVERAGE(B21:B33))</f>
        <v>6.3000000000000007</v>
      </c>
      <c r="D33" s="10">
        <v>3120</v>
      </c>
      <c r="E33" s="11">
        <v>59.1</v>
      </c>
      <c r="F33" s="11"/>
      <c r="G33" s="11"/>
      <c r="H33" s="11"/>
      <c r="I33" s="11"/>
      <c r="J33" s="11"/>
      <c r="K33" s="11"/>
      <c r="L33" s="11">
        <v>12.5</v>
      </c>
      <c r="M33" s="10">
        <v>371</v>
      </c>
      <c r="N33" s="10">
        <f>IF(Tabela1610[[#This Row],[Payroll]]="",#N/A,AVERAGE(M31:M33))</f>
        <v>357.33333333333331</v>
      </c>
      <c r="O33" s="10"/>
      <c r="P33" s="7"/>
    </row>
    <row r="34" spans="1:16">
      <c r="A34" s="6">
        <v>18476</v>
      </c>
      <c r="B34" s="11">
        <v>4.5</v>
      </c>
      <c r="C34" s="11">
        <f>IF(Tabela1610[[#This Row],[Unemployment Rate]]="",#N/A,AVERAGE(B22:B34))</f>
        <v>6.1307692307692303</v>
      </c>
      <c r="D34" s="10">
        <v>2799</v>
      </c>
      <c r="E34" s="11">
        <v>59.5</v>
      </c>
      <c r="F34" s="11"/>
      <c r="G34" s="11"/>
      <c r="H34" s="11"/>
      <c r="I34" s="11"/>
      <c r="J34" s="11"/>
      <c r="K34" s="11"/>
      <c r="L34" s="11">
        <v>12.2</v>
      </c>
      <c r="M34" s="10">
        <v>738</v>
      </c>
      <c r="N34" s="10">
        <f>IF(Tabela1610[[#This Row],[Payroll]]="",#N/A,AVERAGE(M32:M34))</f>
        <v>491.33333333333331</v>
      </c>
      <c r="O34" s="10"/>
      <c r="P34" s="7"/>
    </row>
    <row r="35" spans="1:16">
      <c r="A35" s="6">
        <v>18507</v>
      </c>
      <c r="B35" s="11">
        <v>4.4000000000000004</v>
      </c>
      <c r="C35" s="11">
        <f>IF(Tabela1610[[#This Row],[Unemployment Rate]]="",#N/A,AVERAGE(B23:B35))</f>
        <v>5.9461538461538463</v>
      </c>
      <c r="D35" s="10">
        <v>2774</v>
      </c>
      <c r="E35" s="11">
        <v>59.2</v>
      </c>
      <c r="F35" s="11"/>
      <c r="G35" s="11"/>
      <c r="H35" s="11"/>
      <c r="I35" s="11"/>
      <c r="J35" s="11"/>
      <c r="K35" s="11"/>
      <c r="L35" s="11">
        <v>12.2</v>
      </c>
      <c r="M35" s="10">
        <v>246</v>
      </c>
      <c r="N35" s="10">
        <f>IF(Tabela1610[[#This Row],[Payroll]]="",#N/A,AVERAGE(M33:M35))</f>
        <v>451.66666666666669</v>
      </c>
      <c r="O35" s="10"/>
      <c r="P35" s="7"/>
    </row>
    <row r="36" spans="1:16">
      <c r="A36" s="6">
        <v>18537</v>
      </c>
      <c r="B36" s="11">
        <v>4.2</v>
      </c>
      <c r="C36" s="11">
        <f>IF(Tabela1610[[#This Row],[Unemployment Rate]]="",#N/A,AVERAGE(B24:B36))</f>
        <v>5.7615384615384606</v>
      </c>
      <c r="D36" s="10">
        <v>2625</v>
      </c>
      <c r="E36" s="11">
        <v>59.4</v>
      </c>
      <c r="F36" s="11"/>
      <c r="G36" s="11"/>
      <c r="H36" s="11"/>
      <c r="I36" s="11"/>
      <c r="J36" s="11"/>
      <c r="K36" s="11"/>
      <c r="L36" s="11">
        <v>12.3</v>
      </c>
      <c r="M36" s="10">
        <v>268</v>
      </c>
      <c r="N36" s="10">
        <f>IF(Tabela1610[[#This Row],[Payroll]]="",#N/A,AVERAGE(M34:M36))</f>
        <v>417.33333333333331</v>
      </c>
      <c r="O36" s="10"/>
      <c r="P36" s="7"/>
    </row>
    <row r="37" spans="1:16">
      <c r="A37" s="6">
        <v>18568</v>
      </c>
      <c r="B37" s="11">
        <v>4.2</v>
      </c>
      <c r="C37" s="11">
        <f>IF(Tabela1610[[#This Row],[Unemployment Rate]]="",#N/A,AVERAGE(B25:B37))</f>
        <v>5.4769230769230761</v>
      </c>
      <c r="D37" s="10">
        <v>2589</v>
      </c>
      <c r="E37" s="11">
        <v>59.3</v>
      </c>
      <c r="F37" s="11"/>
      <c r="G37" s="11"/>
      <c r="H37" s="11"/>
      <c r="I37" s="11"/>
      <c r="J37" s="11"/>
      <c r="K37" s="11"/>
      <c r="L37" s="11">
        <v>10.7</v>
      </c>
      <c r="M37" s="10">
        <v>70</v>
      </c>
      <c r="N37" s="10">
        <f>IF(Tabela1610[[#This Row],[Payroll]]="",#N/A,AVERAGE(M35:M37))</f>
        <v>194.66666666666666</v>
      </c>
      <c r="O37" s="10"/>
      <c r="P37" s="7"/>
    </row>
    <row r="38" spans="1:16">
      <c r="A38" s="6">
        <v>18598</v>
      </c>
      <c r="B38" s="11">
        <v>4.3</v>
      </c>
      <c r="C38" s="11">
        <f>IF(Tabela1610[[#This Row],[Unemployment Rate]]="",#N/A,AVERAGE(B26:B38))</f>
        <v>5.3153846153846152</v>
      </c>
      <c r="D38" s="10">
        <v>2639</v>
      </c>
      <c r="E38" s="11">
        <v>59.2</v>
      </c>
      <c r="F38" s="11"/>
      <c r="G38" s="11"/>
      <c r="H38" s="11"/>
      <c r="I38" s="11"/>
      <c r="J38" s="11"/>
      <c r="K38" s="11"/>
      <c r="L38" s="11">
        <v>10.7</v>
      </c>
      <c r="M38" s="10">
        <v>85</v>
      </c>
      <c r="N38" s="10">
        <f>IF(Tabela1610[[#This Row],[Payroll]]="",#N/A,AVERAGE(M36:M38))</f>
        <v>141</v>
      </c>
      <c r="O38" s="10"/>
      <c r="P38" s="7"/>
    </row>
    <row r="39" spans="1:16">
      <c r="A39" s="6">
        <v>18629</v>
      </c>
      <c r="B39" s="11">
        <v>3.7</v>
      </c>
      <c r="C39" s="11">
        <f>IF(Tabela1610[[#This Row],[Unemployment Rate]]="",#N/A,AVERAGE(B27:B39))</f>
        <v>5.0923076923076929</v>
      </c>
      <c r="D39" s="10">
        <v>2305</v>
      </c>
      <c r="E39" s="11">
        <v>59.1</v>
      </c>
      <c r="F39" s="11"/>
      <c r="G39" s="11"/>
      <c r="H39" s="11"/>
      <c r="I39" s="11"/>
      <c r="J39" s="11"/>
      <c r="K39" s="11"/>
      <c r="L39" s="11">
        <v>10.6</v>
      </c>
      <c r="M39" s="10">
        <v>427</v>
      </c>
      <c r="N39" s="10">
        <f>IF(Tabela1610[[#This Row],[Payroll]]="",#N/A,AVERAGE(M37:M39))</f>
        <v>194</v>
      </c>
      <c r="O39" s="10"/>
      <c r="P39" s="7"/>
    </row>
    <row r="40" spans="1:16">
      <c r="A40" s="6">
        <v>18660</v>
      </c>
      <c r="B40" s="11">
        <v>3.4</v>
      </c>
      <c r="C40" s="11">
        <f>IF(Tabela1610[[#This Row],[Unemployment Rate]]="",#N/A,AVERAGE(B28:B40))</f>
        <v>4.8538461538461544</v>
      </c>
      <c r="D40" s="10">
        <v>2117</v>
      </c>
      <c r="E40" s="11">
        <v>59.1</v>
      </c>
      <c r="F40" s="11"/>
      <c r="G40" s="11"/>
      <c r="H40" s="11"/>
      <c r="I40" s="11"/>
      <c r="J40" s="11"/>
      <c r="K40" s="11"/>
      <c r="L40" s="11">
        <v>10.8</v>
      </c>
      <c r="M40" s="10">
        <v>289</v>
      </c>
      <c r="N40" s="10">
        <f>IF(Tabela1610[[#This Row],[Payroll]]="",#N/A,AVERAGE(M38:M40))</f>
        <v>267</v>
      </c>
      <c r="O40" s="10"/>
      <c r="P40" s="7"/>
    </row>
    <row r="41" spans="1:16">
      <c r="A41" s="6">
        <v>18688</v>
      </c>
      <c r="B41" s="11">
        <v>3.4</v>
      </c>
      <c r="C41" s="11">
        <f>IF(Tabela1610[[#This Row],[Unemployment Rate]]="",#N/A,AVERAGE(B29:B41))</f>
        <v>4.6230769230769235</v>
      </c>
      <c r="D41" s="10">
        <v>2125</v>
      </c>
      <c r="E41" s="11">
        <v>59.8</v>
      </c>
      <c r="F41" s="11"/>
      <c r="G41" s="11"/>
      <c r="H41" s="11"/>
      <c r="I41" s="11"/>
      <c r="J41" s="11"/>
      <c r="K41" s="11"/>
      <c r="L41" s="11">
        <v>10.1</v>
      </c>
      <c r="M41" s="10">
        <v>296</v>
      </c>
      <c r="N41" s="10">
        <f>IF(Tabela1610[[#This Row],[Payroll]]="",#N/A,AVERAGE(M39:M41))</f>
        <v>337.33333333333331</v>
      </c>
      <c r="O41" s="10"/>
      <c r="P41" s="7"/>
    </row>
    <row r="42" spans="1:16">
      <c r="A42" s="6">
        <v>18719</v>
      </c>
      <c r="B42" s="11">
        <v>3.1</v>
      </c>
      <c r="C42" s="11">
        <f>IF(Tabela1610[[#This Row],[Unemployment Rate]]="",#N/A,AVERAGE(B30:B42))</f>
        <v>4.3769230769230774</v>
      </c>
      <c r="D42" s="10">
        <v>1919</v>
      </c>
      <c r="E42" s="11">
        <v>59.1</v>
      </c>
      <c r="F42" s="11"/>
      <c r="G42" s="11"/>
      <c r="H42" s="11"/>
      <c r="I42" s="11"/>
      <c r="J42" s="11"/>
      <c r="K42" s="11"/>
      <c r="L42" s="11">
        <v>10.6</v>
      </c>
      <c r="M42" s="10">
        <v>-12</v>
      </c>
      <c r="N42" s="10">
        <f>IF(Tabela1610[[#This Row],[Payroll]]="",#N/A,AVERAGE(M40:M42))</f>
        <v>191</v>
      </c>
      <c r="O42" s="10"/>
      <c r="P42" s="7"/>
    </row>
    <row r="43" spans="1:16">
      <c r="A43" s="6">
        <v>18749</v>
      </c>
      <c r="B43" s="11">
        <v>3</v>
      </c>
      <c r="C43" s="11">
        <f>IF(Tabela1610[[#This Row],[Unemployment Rate]]="",#N/A,AVERAGE(B31:B43))</f>
        <v>4.161538461538461</v>
      </c>
      <c r="D43" s="10">
        <v>1856</v>
      </c>
      <c r="E43" s="11">
        <v>59.4</v>
      </c>
      <c r="F43" s="11"/>
      <c r="G43" s="11"/>
      <c r="H43" s="11"/>
      <c r="I43" s="11"/>
      <c r="J43" s="11"/>
      <c r="K43" s="11"/>
      <c r="L43" s="11">
        <v>9.9</v>
      </c>
      <c r="M43" s="10">
        <v>91</v>
      </c>
      <c r="N43" s="10">
        <f>IF(Tabela1610[[#This Row],[Payroll]]="",#N/A,AVERAGE(M41:M43))</f>
        <v>125</v>
      </c>
      <c r="O43" s="10"/>
      <c r="P43" s="7"/>
    </row>
    <row r="44" spans="1:16">
      <c r="A44" s="6">
        <v>18780</v>
      </c>
      <c r="B44" s="11">
        <v>3.2</v>
      </c>
      <c r="C44" s="11">
        <f>IF(Tabela1610[[#This Row],[Unemployment Rate]]="",#N/A,AVERAGE(B32:B44))</f>
        <v>3.9846153846153851</v>
      </c>
      <c r="D44" s="10">
        <v>1995</v>
      </c>
      <c r="E44" s="11">
        <v>59</v>
      </c>
      <c r="F44" s="11"/>
      <c r="G44" s="11"/>
      <c r="H44" s="11"/>
      <c r="I44" s="11"/>
      <c r="J44" s="11"/>
      <c r="K44" s="11"/>
      <c r="L44" s="11">
        <v>8.6999999999999993</v>
      </c>
      <c r="M44" s="10">
        <v>112</v>
      </c>
      <c r="N44" s="10">
        <f>IF(Tabela1610[[#This Row],[Payroll]]="",#N/A,AVERAGE(M42:M44))</f>
        <v>63.666666666666664</v>
      </c>
      <c r="O44" s="10"/>
      <c r="P44" s="7"/>
    </row>
    <row r="45" spans="1:16">
      <c r="A45" s="6">
        <v>18810</v>
      </c>
      <c r="B45" s="11">
        <v>3.1</v>
      </c>
      <c r="C45" s="11">
        <f>IF(Tabela1610[[#This Row],[Unemployment Rate]]="",#N/A,AVERAGE(B33:B45))</f>
        <v>3.8076923076923084</v>
      </c>
      <c r="D45" s="10">
        <v>1950</v>
      </c>
      <c r="E45" s="11">
        <v>59.4</v>
      </c>
      <c r="F45" s="11"/>
      <c r="G45" s="11"/>
      <c r="H45" s="11"/>
      <c r="I45" s="11"/>
      <c r="J45" s="11"/>
      <c r="K45" s="11"/>
      <c r="L45" s="11">
        <v>9.1999999999999993</v>
      </c>
      <c r="M45" s="10">
        <v>-3</v>
      </c>
      <c r="N45" s="10">
        <f>IF(Tabela1610[[#This Row],[Payroll]]="",#N/A,AVERAGE(M43:M45))</f>
        <v>66.666666666666671</v>
      </c>
      <c r="O45" s="10"/>
      <c r="P45" s="7"/>
    </row>
    <row r="46" spans="1:16">
      <c r="A46" s="6">
        <v>18841</v>
      </c>
      <c r="B46" s="11">
        <v>3.1</v>
      </c>
      <c r="C46" s="11">
        <f>IF(Tabela1610[[#This Row],[Unemployment Rate]]="",#N/A,AVERAGE(B34:B46))</f>
        <v>3.6615384615384623</v>
      </c>
      <c r="D46" s="10">
        <v>1933</v>
      </c>
      <c r="E46" s="11">
        <v>59.2</v>
      </c>
      <c r="F46" s="11"/>
      <c r="G46" s="11"/>
      <c r="H46" s="11"/>
      <c r="I46" s="11"/>
      <c r="J46" s="11"/>
      <c r="K46" s="11"/>
      <c r="L46" s="11">
        <v>9.1</v>
      </c>
      <c r="M46" s="10">
        <v>-49</v>
      </c>
      <c r="N46" s="10">
        <f>IF(Tabela1610[[#This Row],[Payroll]]="",#N/A,AVERAGE(M44:M46))</f>
        <v>20</v>
      </c>
      <c r="O46" s="10"/>
      <c r="P46" s="7"/>
    </row>
    <row r="47" spans="1:16">
      <c r="A47" s="6">
        <v>18872</v>
      </c>
      <c r="B47" s="11">
        <v>3.3</v>
      </c>
      <c r="C47" s="11">
        <f>IF(Tabela1610[[#This Row],[Unemployment Rate]]="",#N/A,AVERAGE(B35:B47))</f>
        <v>3.5692307692307699</v>
      </c>
      <c r="D47" s="10">
        <v>2067</v>
      </c>
      <c r="E47" s="11">
        <v>59.1</v>
      </c>
      <c r="F47" s="11"/>
      <c r="G47" s="11"/>
      <c r="H47" s="11"/>
      <c r="I47" s="11"/>
      <c r="J47" s="11"/>
      <c r="K47" s="11"/>
      <c r="L47" s="11">
        <v>9.1</v>
      </c>
      <c r="M47" s="10">
        <v>-58</v>
      </c>
      <c r="N47" s="10">
        <f>IF(Tabela1610[[#This Row],[Payroll]]="",#N/A,AVERAGE(M45:M47))</f>
        <v>-36.666666666666664</v>
      </c>
      <c r="O47" s="10"/>
      <c r="P47" s="7"/>
    </row>
    <row r="48" spans="1:16">
      <c r="A48" s="6">
        <v>18902</v>
      </c>
      <c r="B48" s="11">
        <v>3.5</v>
      </c>
      <c r="C48" s="11">
        <f>IF(Tabela1610[[#This Row],[Unemployment Rate]]="",#N/A,AVERAGE(B36:B48))</f>
        <v>3.5</v>
      </c>
      <c r="D48" s="10">
        <v>2194</v>
      </c>
      <c r="E48" s="11">
        <v>59.4</v>
      </c>
      <c r="F48" s="11"/>
      <c r="G48" s="11"/>
      <c r="H48" s="11"/>
      <c r="I48" s="11"/>
      <c r="J48" s="11"/>
      <c r="K48" s="11"/>
      <c r="L48" s="11">
        <v>8.9</v>
      </c>
      <c r="M48" s="10">
        <v>52</v>
      </c>
      <c r="N48" s="10">
        <f>IF(Tabela1610[[#This Row],[Payroll]]="",#N/A,AVERAGE(M46:M48))</f>
        <v>-18.333333333333332</v>
      </c>
      <c r="O48" s="10"/>
      <c r="P48" s="7"/>
    </row>
    <row r="49" spans="1:16">
      <c r="A49" s="6">
        <v>18933</v>
      </c>
      <c r="B49" s="11">
        <v>3.5</v>
      </c>
      <c r="C49" s="11">
        <f>IF(Tabela1610[[#This Row],[Unemployment Rate]]="",#N/A,AVERAGE(B37:B49))</f>
        <v>3.4461538461538459</v>
      </c>
      <c r="D49" s="10">
        <v>2178</v>
      </c>
      <c r="E49" s="11">
        <v>59.2</v>
      </c>
      <c r="F49" s="11"/>
      <c r="G49" s="11"/>
      <c r="H49" s="11"/>
      <c r="I49" s="11"/>
      <c r="J49" s="11"/>
      <c r="K49" s="11"/>
      <c r="L49" s="11">
        <v>9.6999999999999993</v>
      </c>
      <c r="M49" s="10">
        <v>141</v>
      </c>
      <c r="N49" s="10">
        <f>IF(Tabela1610[[#This Row],[Payroll]]="",#N/A,AVERAGE(M47:M49))</f>
        <v>45</v>
      </c>
      <c r="O49" s="10"/>
      <c r="P49" s="7"/>
    </row>
    <row r="50" spans="1:16">
      <c r="A50" s="6">
        <v>18963</v>
      </c>
      <c r="B50" s="11">
        <v>3.1</v>
      </c>
      <c r="C50" s="11">
        <f>IF(Tabela1610[[#This Row],[Unemployment Rate]]="",#N/A,AVERAGE(B38:B50))</f>
        <v>3.3615384615384616</v>
      </c>
      <c r="D50" s="10">
        <v>1960</v>
      </c>
      <c r="E50" s="11">
        <v>59.6</v>
      </c>
      <c r="F50" s="11"/>
      <c r="G50" s="11"/>
      <c r="H50" s="11"/>
      <c r="I50" s="11"/>
      <c r="J50" s="11"/>
      <c r="K50" s="11"/>
      <c r="L50" s="11">
        <v>9.3000000000000007</v>
      </c>
      <c r="M50" s="10">
        <v>167</v>
      </c>
      <c r="N50" s="10">
        <f>IF(Tabela1610[[#This Row],[Payroll]]="",#N/A,AVERAGE(M48:M50))</f>
        <v>120</v>
      </c>
      <c r="O50" s="10"/>
      <c r="P50" s="7"/>
    </row>
    <row r="51" spans="1:16">
      <c r="A51" s="6">
        <v>18994</v>
      </c>
      <c r="B51" s="11">
        <v>3.2</v>
      </c>
      <c r="C51" s="11">
        <f>IF(Tabela1610[[#This Row],[Unemployment Rate]]="",#N/A,AVERAGE(B39:B51))</f>
        <v>3.2769230769230777</v>
      </c>
      <c r="D51" s="10">
        <v>1972</v>
      </c>
      <c r="E51" s="11">
        <v>59.5</v>
      </c>
      <c r="F51" s="11"/>
      <c r="G51" s="11"/>
      <c r="H51" s="11"/>
      <c r="I51" s="11"/>
      <c r="J51" s="11"/>
      <c r="K51" s="11"/>
      <c r="L51" s="11">
        <v>9.3000000000000007</v>
      </c>
      <c r="M51" s="10">
        <v>-18</v>
      </c>
      <c r="N51" s="10">
        <f>IF(Tabela1610[[#This Row],[Payroll]]="",#N/A,AVERAGE(M49:M51))</f>
        <v>96.666666666666671</v>
      </c>
      <c r="O51" s="10"/>
      <c r="P51" s="7"/>
    </row>
    <row r="52" spans="1:16">
      <c r="A52" s="6">
        <v>19025</v>
      </c>
      <c r="B52" s="11">
        <v>3.1</v>
      </c>
      <c r="C52" s="11">
        <f>IF(Tabela1610[[#This Row],[Unemployment Rate]]="",#N/A,AVERAGE(B40:B52))</f>
        <v>3.2307692307692317</v>
      </c>
      <c r="D52" s="10">
        <v>1957</v>
      </c>
      <c r="E52" s="11">
        <v>59.5</v>
      </c>
      <c r="F52" s="11"/>
      <c r="G52" s="11"/>
      <c r="H52" s="11"/>
      <c r="I52" s="11"/>
      <c r="J52" s="11"/>
      <c r="K52" s="11"/>
      <c r="L52" s="11">
        <v>8.8000000000000007</v>
      </c>
      <c r="M52" s="10">
        <v>226</v>
      </c>
      <c r="N52" s="10">
        <f>IF(Tabela1610[[#This Row],[Payroll]]="",#N/A,AVERAGE(M50:M52))</f>
        <v>125</v>
      </c>
      <c r="O52" s="10"/>
      <c r="P52" s="7"/>
    </row>
    <row r="53" spans="1:16">
      <c r="A53" s="6">
        <v>19054</v>
      </c>
      <c r="B53" s="11">
        <v>2.9</v>
      </c>
      <c r="C53" s="11">
        <f>IF(Tabela1610[[#This Row],[Unemployment Rate]]="",#N/A,AVERAGE(B41:B53))</f>
        <v>3.1923076923076925</v>
      </c>
      <c r="D53" s="10">
        <v>1813</v>
      </c>
      <c r="E53" s="11">
        <v>58.9</v>
      </c>
      <c r="F53" s="11"/>
      <c r="G53" s="11"/>
      <c r="H53" s="11"/>
      <c r="I53" s="11"/>
      <c r="J53" s="11"/>
      <c r="K53" s="11"/>
      <c r="L53" s="11">
        <v>8.4</v>
      </c>
      <c r="M53" s="10">
        <v>-18</v>
      </c>
      <c r="N53" s="10">
        <f>IF(Tabela1610[[#This Row],[Payroll]]="",#N/A,AVERAGE(M51:M53))</f>
        <v>63.333333333333336</v>
      </c>
      <c r="O53" s="10"/>
      <c r="P53" s="7"/>
    </row>
    <row r="54" spans="1:16">
      <c r="A54" s="6">
        <v>19085</v>
      </c>
      <c r="B54" s="11">
        <v>2.9</v>
      </c>
      <c r="C54" s="11">
        <f>IF(Tabela1610[[#This Row],[Unemployment Rate]]="",#N/A,AVERAGE(B42:B54))</f>
        <v>3.1538461538461537</v>
      </c>
      <c r="D54" s="10">
        <v>1811</v>
      </c>
      <c r="E54" s="11">
        <v>58.8</v>
      </c>
      <c r="F54" s="11"/>
      <c r="G54" s="11"/>
      <c r="H54" s="11"/>
      <c r="I54" s="11"/>
      <c r="J54" s="11"/>
      <c r="K54" s="11"/>
      <c r="L54" s="11">
        <v>9</v>
      </c>
      <c r="M54" s="10">
        <v>116</v>
      </c>
      <c r="N54" s="10">
        <f>IF(Tabela1610[[#This Row],[Payroll]]="",#N/A,AVERAGE(M52:M54))</f>
        <v>108</v>
      </c>
      <c r="O54" s="10"/>
      <c r="P54" s="7"/>
    </row>
    <row r="55" spans="1:16">
      <c r="A55" s="6">
        <v>19115</v>
      </c>
      <c r="B55" s="11">
        <v>3</v>
      </c>
      <c r="C55" s="11">
        <f>IF(Tabela1610[[#This Row],[Unemployment Rate]]="",#N/A,AVERAGE(B43:B55))</f>
        <v>3.1461538461538461</v>
      </c>
      <c r="D55" s="10">
        <v>1863</v>
      </c>
      <c r="E55" s="11">
        <v>59.1</v>
      </c>
      <c r="F55" s="11"/>
      <c r="G55" s="11"/>
      <c r="H55" s="11"/>
      <c r="I55" s="11"/>
      <c r="J55" s="11"/>
      <c r="K55" s="11"/>
      <c r="L55" s="11">
        <v>7.8</v>
      </c>
      <c r="M55" s="10">
        <v>22</v>
      </c>
      <c r="N55" s="10">
        <f>IF(Tabela1610[[#This Row],[Payroll]]="",#N/A,AVERAGE(M53:M55))</f>
        <v>40</v>
      </c>
      <c r="O55" s="10"/>
      <c r="P55" s="7"/>
    </row>
    <row r="56" spans="1:16">
      <c r="A56" s="6">
        <v>19146</v>
      </c>
      <c r="B56" s="11">
        <v>3</v>
      </c>
      <c r="C56" s="11">
        <f>IF(Tabela1610[[#This Row],[Unemployment Rate]]="",#N/A,AVERAGE(B44:B56))</f>
        <v>3.1461538461538461</v>
      </c>
      <c r="D56" s="10">
        <v>1884</v>
      </c>
      <c r="E56" s="11">
        <v>59.1</v>
      </c>
      <c r="F56" s="11"/>
      <c r="G56" s="11"/>
      <c r="H56" s="11"/>
      <c r="I56" s="11"/>
      <c r="J56" s="11"/>
      <c r="K56" s="11"/>
      <c r="L56" s="11">
        <v>7.3</v>
      </c>
      <c r="M56" s="10">
        <v>-360</v>
      </c>
      <c r="N56" s="10">
        <f>IF(Tabela1610[[#This Row],[Payroll]]="",#N/A,AVERAGE(M54:M56))</f>
        <v>-74</v>
      </c>
      <c r="O56" s="10"/>
      <c r="P56" s="7"/>
    </row>
    <row r="57" spans="1:16">
      <c r="A57" s="6">
        <v>19176</v>
      </c>
      <c r="B57" s="11">
        <v>3.2</v>
      </c>
      <c r="C57" s="11">
        <f>IF(Tabela1610[[#This Row],[Unemployment Rate]]="",#N/A,AVERAGE(B45:B57))</f>
        <v>3.1461538461538465</v>
      </c>
      <c r="D57" s="10">
        <v>1991</v>
      </c>
      <c r="E57" s="11">
        <v>58.9</v>
      </c>
      <c r="F57" s="11"/>
      <c r="G57" s="11"/>
      <c r="H57" s="11"/>
      <c r="I57" s="11"/>
      <c r="J57" s="11"/>
      <c r="K57" s="11"/>
      <c r="L57" s="11">
        <v>7.5</v>
      </c>
      <c r="M57" s="10">
        <v>-139</v>
      </c>
      <c r="N57" s="10">
        <f>IF(Tabela1610[[#This Row],[Payroll]]="",#N/A,AVERAGE(M55:M57))</f>
        <v>-159</v>
      </c>
      <c r="O57" s="10"/>
      <c r="P57" s="7"/>
    </row>
    <row r="58" spans="1:16">
      <c r="A58" s="6">
        <v>19207</v>
      </c>
      <c r="B58" s="11">
        <v>3.4</v>
      </c>
      <c r="C58" s="11">
        <f>IF(Tabela1610[[#This Row],[Unemployment Rate]]="",#N/A,AVERAGE(B46:B58))</f>
        <v>3.1692307692307691</v>
      </c>
      <c r="D58" s="10">
        <v>2087</v>
      </c>
      <c r="E58" s="11">
        <v>58.7</v>
      </c>
      <c r="F58" s="11"/>
      <c r="G58" s="11"/>
      <c r="H58" s="11"/>
      <c r="I58" s="11"/>
      <c r="J58" s="11"/>
      <c r="K58" s="11"/>
      <c r="L58" s="11">
        <v>7.6</v>
      </c>
      <c r="M58" s="10">
        <v>781</v>
      </c>
      <c r="N58" s="10">
        <f>IF(Tabela1610[[#This Row],[Payroll]]="",#N/A,AVERAGE(M56:M58))</f>
        <v>94</v>
      </c>
      <c r="O58" s="10"/>
      <c r="P58" s="7"/>
    </row>
    <row r="59" spans="1:16">
      <c r="A59" s="6">
        <v>19238</v>
      </c>
      <c r="B59" s="11">
        <v>3.1</v>
      </c>
      <c r="C59" s="11">
        <f>IF(Tabela1610[[#This Row],[Unemployment Rate]]="",#N/A,AVERAGE(B47:B59))</f>
        <v>3.1692307692307695</v>
      </c>
      <c r="D59" s="10">
        <v>1936</v>
      </c>
      <c r="E59" s="11">
        <v>59.2</v>
      </c>
      <c r="F59" s="11"/>
      <c r="G59" s="11"/>
      <c r="H59" s="11"/>
      <c r="I59" s="11"/>
      <c r="J59" s="11"/>
      <c r="K59" s="11"/>
      <c r="L59" s="11">
        <v>8.1</v>
      </c>
      <c r="M59" s="10">
        <v>396</v>
      </c>
      <c r="N59" s="10">
        <f>IF(Tabela1610[[#This Row],[Payroll]]="",#N/A,AVERAGE(M57:M59))</f>
        <v>346</v>
      </c>
      <c r="O59" s="10"/>
      <c r="P59" s="7"/>
    </row>
    <row r="60" spans="1:16">
      <c r="A60" s="6">
        <v>19268</v>
      </c>
      <c r="B60" s="11">
        <v>3</v>
      </c>
      <c r="C60" s="11">
        <f>IF(Tabela1610[[#This Row],[Unemployment Rate]]="",#N/A,AVERAGE(B48:B60))</f>
        <v>3.1461538461538461</v>
      </c>
      <c r="D60" s="10">
        <v>1839</v>
      </c>
      <c r="E60" s="11">
        <v>58.7</v>
      </c>
      <c r="F60" s="11"/>
      <c r="G60" s="11"/>
      <c r="H60" s="11"/>
      <c r="I60" s="11"/>
      <c r="J60" s="11"/>
      <c r="K60" s="11"/>
      <c r="L60" s="11">
        <v>9.1</v>
      </c>
      <c r="M60" s="10">
        <v>277</v>
      </c>
      <c r="N60" s="10">
        <f>IF(Tabela1610[[#This Row],[Payroll]]="",#N/A,AVERAGE(M58:M60))</f>
        <v>484.66666666666669</v>
      </c>
      <c r="O60" s="10"/>
      <c r="P60" s="7"/>
    </row>
    <row r="61" spans="1:16">
      <c r="A61" s="6">
        <v>19299</v>
      </c>
      <c r="B61" s="11">
        <v>2.8</v>
      </c>
      <c r="C61" s="11">
        <f>IF(Tabela1610[[#This Row],[Unemployment Rate]]="",#N/A,AVERAGE(B49:B61))</f>
        <v>3.092307692307692</v>
      </c>
      <c r="D61" s="10">
        <v>1743</v>
      </c>
      <c r="E61" s="11">
        <v>59.1</v>
      </c>
      <c r="F61" s="11"/>
      <c r="G61" s="11"/>
      <c r="H61" s="11"/>
      <c r="I61" s="11"/>
      <c r="J61" s="11"/>
      <c r="K61" s="11"/>
      <c r="L61" s="11">
        <v>9.5</v>
      </c>
      <c r="M61" s="10">
        <v>219</v>
      </c>
      <c r="N61" s="10">
        <f>IF(Tabela1610[[#This Row],[Payroll]]="",#N/A,AVERAGE(M59:M61))</f>
        <v>297.33333333333331</v>
      </c>
      <c r="O61" s="10"/>
      <c r="P61" s="7"/>
    </row>
    <row r="62" spans="1:16">
      <c r="A62" s="6">
        <v>19329</v>
      </c>
      <c r="B62" s="11">
        <v>2.7</v>
      </c>
      <c r="C62" s="11">
        <f>IF(Tabela1610[[#This Row],[Unemployment Rate]]="",#N/A,AVERAGE(B50:B62))</f>
        <v>3.0307692307692311</v>
      </c>
      <c r="D62" s="10">
        <v>1667</v>
      </c>
      <c r="E62" s="11">
        <v>59.2</v>
      </c>
      <c r="F62" s="11"/>
      <c r="G62" s="11"/>
      <c r="H62" s="11"/>
      <c r="I62" s="11"/>
      <c r="J62" s="11"/>
      <c r="K62" s="11"/>
      <c r="L62" s="11">
        <v>8.8000000000000007</v>
      </c>
      <c r="M62" s="10">
        <v>350</v>
      </c>
      <c r="N62" s="10">
        <f>IF(Tabela1610[[#This Row],[Payroll]]="",#N/A,AVERAGE(M60:M62))</f>
        <v>282</v>
      </c>
      <c r="O62" s="10"/>
      <c r="P62" s="7"/>
    </row>
    <row r="63" spans="1:16">
      <c r="A63" s="6">
        <v>19360</v>
      </c>
      <c r="B63" s="11">
        <v>2.9</v>
      </c>
      <c r="C63" s="11">
        <f>IF(Tabela1610[[#This Row],[Unemployment Rate]]="",#N/A,AVERAGE(B51:B63))</f>
        <v>3.0153846153846158</v>
      </c>
      <c r="D63" s="10">
        <v>1839</v>
      </c>
      <c r="E63" s="11">
        <v>59.5</v>
      </c>
      <c r="F63" s="11"/>
      <c r="G63" s="11"/>
      <c r="H63" s="11"/>
      <c r="I63" s="11"/>
      <c r="J63" s="11"/>
      <c r="K63" s="11"/>
      <c r="L63" s="11">
        <v>9.3000000000000007</v>
      </c>
      <c r="M63" s="10">
        <v>-22</v>
      </c>
      <c r="N63" s="10">
        <f>IF(Tabela1610[[#This Row],[Payroll]]="",#N/A,AVERAGE(M61:M63))</f>
        <v>182.33333333333334</v>
      </c>
      <c r="O63" s="10"/>
      <c r="P63" s="7"/>
    </row>
    <row r="64" spans="1:16">
      <c r="A64" s="6">
        <v>19391</v>
      </c>
      <c r="B64" s="11">
        <v>2.6</v>
      </c>
      <c r="C64" s="11">
        <f>IF(Tabela1610[[#This Row],[Unemployment Rate]]="",#N/A,AVERAGE(B52:B64))</f>
        <v>2.9692307692307693</v>
      </c>
      <c r="D64" s="10">
        <v>1636</v>
      </c>
      <c r="E64" s="11">
        <v>59.5</v>
      </c>
      <c r="F64" s="11"/>
      <c r="G64" s="11"/>
      <c r="H64" s="11"/>
      <c r="I64" s="11"/>
      <c r="J64" s="11"/>
      <c r="K64" s="11"/>
      <c r="L64" s="11">
        <v>8.4</v>
      </c>
      <c r="M64" s="10">
        <v>195</v>
      </c>
      <c r="N64" s="10">
        <f>IF(Tabela1610[[#This Row],[Payroll]]="",#N/A,AVERAGE(M62:M64))</f>
        <v>174.33333333333334</v>
      </c>
      <c r="O64" s="10"/>
      <c r="P64" s="7"/>
    </row>
    <row r="65" spans="1:16">
      <c r="A65" s="6">
        <v>19419</v>
      </c>
      <c r="B65" s="11">
        <v>2.6</v>
      </c>
      <c r="C65" s="11">
        <f>IF(Tabela1610[[#This Row],[Unemployment Rate]]="",#N/A,AVERAGE(B53:B65))</f>
        <v>2.930769230769231</v>
      </c>
      <c r="D65" s="10">
        <v>1647</v>
      </c>
      <c r="E65" s="11">
        <v>59.6</v>
      </c>
      <c r="F65" s="11"/>
      <c r="G65" s="11"/>
      <c r="H65" s="11"/>
      <c r="I65" s="11"/>
      <c r="J65" s="11"/>
      <c r="K65" s="11"/>
      <c r="L65" s="11">
        <v>8.5</v>
      </c>
      <c r="M65" s="10">
        <v>134</v>
      </c>
      <c r="N65" s="10">
        <f>IF(Tabela1610[[#This Row],[Payroll]]="",#N/A,AVERAGE(M63:M65))</f>
        <v>102.33333333333333</v>
      </c>
      <c r="O65" s="10"/>
      <c r="P65" s="7"/>
    </row>
    <row r="66" spans="1:16">
      <c r="A66" s="6">
        <v>19450</v>
      </c>
      <c r="B66" s="11">
        <v>2.7</v>
      </c>
      <c r="C66" s="11">
        <f>IF(Tabela1610[[#This Row],[Unemployment Rate]]="",#N/A,AVERAGE(B54:B66))</f>
        <v>2.9153846153846157</v>
      </c>
      <c r="D66" s="10">
        <v>1723</v>
      </c>
      <c r="E66" s="11">
        <v>59.1</v>
      </c>
      <c r="F66" s="11"/>
      <c r="G66" s="11"/>
      <c r="H66" s="11"/>
      <c r="I66" s="11"/>
      <c r="J66" s="11"/>
      <c r="K66" s="11"/>
      <c r="L66" s="11">
        <v>7.8</v>
      </c>
      <c r="M66" s="10">
        <v>-38</v>
      </c>
      <c r="N66" s="10">
        <f>IF(Tabela1610[[#This Row],[Payroll]]="",#N/A,AVERAGE(M64:M66))</f>
        <v>97</v>
      </c>
      <c r="O66" s="10"/>
      <c r="P66" s="7"/>
    </row>
    <row r="67" spans="1:16">
      <c r="A67" s="6">
        <v>19480</v>
      </c>
      <c r="B67" s="11">
        <v>2.5</v>
      </c>
      <c r="C67" s="11">
        <f>IF(Tabela1610[[#This Row],[Unemployment Rate]]="",#N/A,AVERAGE(B55:B67))</f>
        <v>2.8846153846153846</v>
      </c>
      <c r="D67" s="10">
        <v>1596</v>
      </c>
      <c r="E67" s="11">
        <v>58.6</v>
      </c>
      <c r="F67" s="11"/>
      <c r="G67" s="11"/>
      <c r="H67" s="11"/>
      <c r="I67" s="11"/>
      <c r="J67" s="11"/>
      <c r="K67" s="11"/>
      <c r="L67" s="11">
        <v>7.9</v>
      </c>
      <c r="M67" s="10">
        <v>55</v>
      </c>
      <c r="N67" s="10">
        <f>IF(Tabela1610[[#This Row],[Payroll]]="",#N/A,AVERAGE(M65:M67))</f>
        <v>50.333333333333336</v>
      </c>
      <c r="O67" s="10"/>
      <c r="P67" s="7"/>
    </row>
    <row r="68" spans="1:16">
      <c r="A68" s="6">
        <v>19511</v>
      </c>
      <c r="B68" s="11">
        <v>2.5</v>
      </c>
      <c r="C68" s="11">
        <f>IF(Tabela1610[[#This Row],[Unemployment Rate]]="",#N/A,AVERAGE(B56:B68))</f>
        <v>2.8461538461538463</v>
      </c>
      <c r="D68" s="10">
        <v>1607</v>
      </c>
      <c r="E68" s="11">
        <v>58.9</v>
      </c>
      <c r="F68" s="11"/>
      <c r="G68" s="11"/>
      <c r="H68" s="11"/>
      <c r="I68" s="11"/>
      <c r="J68" s="11"/>
      <c r="K68" s="11"/>
      <c r="L68" s="11">
        <v>8.1999999999999993</v>
      </c>
      <c r="M68" s="10">
        <v>29</v>
      </c>
      <c r="N68" s="10">
        <f>IF(Tabela1610[[#This Row],[Payroll]]="",#N/A,AVERAGE(M66:M68))</f>
        <v>15.333333333333334</v>
      </c>
      <c r="O68" s="10"/>
      <c r="P68" s="7"/>
    </row>
    <row r="69" spans="1:16">
      <c r="A69" s="6">
        <v>19541</v>
      </c>
      <c r="B69" s="11">
        <v>2.6</v>
      </c>
      <c r="C69" s="11">
        <f>IF(Tabela1610[[#This Row],[Unemployment Rate]]="",#N/A,AVERAGE(B57:B69))</f>
        <v>2.8153846153846156</v>
      </c>
      <c r="D69" s="10">
        <v>1660</v>
      </c>
      <c r="E69" s="11">
        <v>58.9</v>
      </c>
      <c r="F69" s="11"/>
      <c r="G69" s="11"/>
      <c r="H69" s="11"/>
      <c r="I69" s="11"/>
      <c r="J69" s="11"/>
      <c r="K69" s="11"/>
      <c r="L69" s="11">
        <v>7.9</v>
      </c>
      <c r="M69" s="10">
        <v>17</v>
      </c>
      <c r="N69" s="10">
        <f>IF(Tabela1610[[#This Row],[Payroll]]="",#N/A,AVERAGE(M67:M69))</f>
        <v>33.666666666666664</v>
      </c>
      <c r="O69" s="10"/>
      <c r="P69" s="7"/>
    </row>
    <row r="70" spans="1:16">
      <c r="A70" s="6">
        <v>19572</v>
      </c>
      <c r="B70" s="11">
        <v>2.7</v>
      </c>
      <c r="C70" s="11">
        <f>IF(Tabela1610[[#This Row],[Unemployment Rate]]="",#N/A,AVERAGE(B58:B70))</f>
        <v>2.7769230769230768</v>
      </c>
      <c r="D70" s="10">
        <v>1665</v>
      </c>
      <c r="E70" s="11">
        <v>58.6</v>
      </c>
      <c r="F70" s="11"/>
      <c r="G70" s="11"/>
      <c r="H70" s="11"/>
      <c r="I70" s="11"/>
      <c r="J70" s="11"/>
      <c r="K70" s="11"/>
      <c r="L70" s="11">
        <v>8</v>
      </c>
      <c r="M70" s="10">
        <v>-47</v>
      </c>
      <c r="N70" s="10">
        <f>IF(Tabela1610[[#This Row],[Payroll]]="",#N/A,AVERAGE(M68:M70))</f>
        <v>-0.33333333333333331</v>
      </c>
      <c r="O70" s="10"/>
      <c r="P70" s="7"/>
    </row>
    <row r="71" spans="1:16">
      <c r="A71" s="6">
        <v>19603</v>
      </c>
      <c r="B71" s="11">
        <v>2.9</v>
      </c>
      <c r="C71" s="11">
        <f>IF(Tabela1610[[#This Row],[Unemployment Rate]]="",#N/A,AVERAGE(B59:B71))</f>
        <v>2.7384615384615385</v>
      </c>
      <c r="D71" s="10">
        <v>1821</v>
      </c>
      <c r="E71" s="11">
        <v>58.5</v>
      </c>
      <c r="F71" s="11"/>
      <c r="G71" s="11"/>
      <c r="H71" s="11"/>
      <c r="I71" s="11"/>
      <c r="J71" s="11"/>
      <c r="K71" s="11"/>
      <c r="L71" s="11">
        <v>7.1</v>
      </c>
      <c r="M71" s="10">
        <v>-121</v>
      </c>
      <c r="N71" s="10">
        <f>IF(Tabela1610[[#This Row],[Payroll]]="",#N/A,AVERAGE(M69:M71))</f>
        <v>-50.333333333333336</v>
      </c>
      <c r="O71" s="10"/>
      <c r="P71" s="7"/>
    </row>
    <row r="72" spans="1:16">
      <c r="A72" s="6">
        <v>19633</v>
      </c>
      <c r="B72" s="11">
        <v>3.1</v>
      </c>
      <c r="C72" s="11">
        <f>IF(Tabela1610[[#This Row],[Unemployment Rate]]="",#N/A,AVERAGE(B60:B72))</f>
        <v>2.7384615384615385</v>
      </c>
      <c r="D72" s="10">
        <v>1974</v>
      </c>
      <c r="E72" s="11">
        <v>58.5</v>
      </c>
      <c r="F72" s="11"/>
      <c r="G72" s="11"/>
      <c r="H72" s="11"/>
      <c r="I72" s="11"/>
      <c r="J72" s="11"/>
      <c r="K72" s="11"/>
      <c r="L72" s="11">
        <v>7.2</v>
      </c>
      <c r="M72" s="10">
        <v>-128</v>
      </c>
      <c r="N72" s="10">
        <f>IF(Tabela1610[[#This Row],[Payroll]]="",#N/A,AVERAGE(M70:M72))</f>
        <v>-98.666666666666671</v>
      </c>
      <c r="O72" s="10"/>
      <c r="P72" s="7"/>
    </row>
    <row r="73" spans="1:16">
      <c r="A73" s="6">
        <v>19664</v>
      </c>
      <c r="B73" s="11">
        <v>3.5</v>
      </c>
      <c r="C73" s="11">
        <f>IF(Tabela1610[[#This Row],[Unemployment Rate]]="",#N/A,AVERAGE(B61:B73))</f>
        <v>2.7769230769230768</v>
      </c>
      <c r="D73" s="10">
        <v>2211</v>
      </c>
      <c r="E73" s="11">
        <v>58.6</v>
      </c>
      <c r="F73" s="11"/>
      <c r="G73" s="11"/>
      <c r="H73" s="11"/>
      <c r="I73" s="11"/>
      <c r="J73" s="11"/>
      <c r="K73" s="11"/>
      <c r="L73" s="11">
        <v>7.9</v>
      </c>
      <c r="M73" s="10">
        <v>-332</v>
      </c>
      <c r="N73" s="10">
        <f>IF(Tabela1610[[#This Row],[Payroll]]="",#N/A,AVERAGE(M71:M73))</f>
        <v>-193.66666666666666</v>
      </c>
      <c r="O73" s="10"/>
      <c r="P73" s="7"/>
    </row>
    <row r="74" spans="1:16">
      <c r="A74" s="6">
        <v>19694</v>
      </c>
      <c r="B74" s="11">
        <v>4.5</v>
      </c>
      <c r="C74" s="11">
        <f>IF(Tabela1610[[#This Row],[Unemployment Rate]]="",#N/A,AVERAGE(B62:B74))</f>
        <v>2.9076923076923076</v>
      </c>
      <c r="D74" s="10">
        <v>2818</v>
      </c>
      <c r="E74" s="11">
        <v>58.3</v>
      </c>
      <c r="F74" s="11"/>
      <c r="G74" s="11"/>
      <c r="H74" s="11"/>
      <c r="I74" s="11"/>
      <c r="J74" s="11"/>
      <c r="K74" s="11"/>
      <c r="L74" s="11">
        <v>8</v>
      </c>
      <c r="M74" s="10">
        <v>-205</v>
      </c>
      <c r="N74" s="10">
        <f>IF(Tabela1610[[#This Row],[Payroll]]="",#N/A,AVERAGE(M72:M74))</f>
        <v>-221.66666666666666</v>
      </c>
      <c r="O74" s="10"/>
      <c r="P74" s="7"/>
    </row>
    <row r="75" spans="1:16">
      <c r="A75" s="6">
        <v>19725</v>
      </c>
      <c r="B75" s="11">
        <v>4.9000000000000004</v>
      </c>
      <c r="C75" s="11">
        <f>IF(Tabela1610[[#This Row],[Unemployment Rate]]="",#N/A,AVERAGE(B63:B75))</f>
        <v>3.0769230769230771</v>
      </c>
      <c r="D75" s="10">
        <v>3077</v>
      </c>
      <c r="E75" s="11">
        <v>58.6</v>
      </c>
      <c r="F75" s="11"/>
      <c r="G75" s="11"/>
      <c r="H75" s="11"/>
      <c r="I75" s="11"/>
      <c r="J75" s="11"/>
      <c r="K75" s="11"/>
      <c r="L75" s="11">
        <v>8.6999999999999993</v>
      </c>
      <c r="M75" s="10">
        <v>-234</v>
      </c>
      <c r="N75" s="10">
        <f>IF(Tabela1610[[#This Row],[Payroll]]="",#N/A,AVERAGE(M73:M75))</f>
        <v>-257</v>
      </c>
      <c r="O75" s="10"/>
      <c r="P75" s="7"/>
    </row>
    <row r="76" spans="1:16">
      <c r="A76" s="6">
        <v>19756</v>
      </c>
      <c r="B76" s="11">
        <v>5.2</v>
      </c>
      <c r="C76" s="11">
        <f>IF(Tabela1610[[#This Row],[Unemployment Rate]]="",#N/A,AVERAGE(B64:B76))</f>
        <v>3.2538461538461543</v>
      </c>
      <c r="D76" s="10">
        <v>3331</v>
      </c>
      <c r="E76" s="11">
        <v>59.3</v>
      </c>
      <c r="F76" s="11"/>
      <c r="G76" s="11"/>
      <c r="H76" s="11"/>
      <c r="I76" s="11"/>
      <c r="J76" s="11"/>
      <c r="K76" s="11"/>
      <c r="L76" s="11">
        <v>9.5</v>
      </c>
      <c r="M76" s="10">
        <v>-87</v>
      </c>
      <c r="N76" s="10">
        <f>IF(Tabela1610[[#This Row],[Payroll]]="",#N/A,AVERAGE(M74:M76))</f>
        <v>-175.33333333333334</v>
      </c>
      <c r="O76" s="10"/>
      <c r="P76" s="7"/>
    </row>
    <row r="77" spans="1:16">
      <c r="A77" s="6">
        <v>19784</v>
      </c>
      <c r="B77" s="11">
        <v>5.7</v>
      </c>
      <c r="C77" s="11">
        <f>IF(Tabela1610[[#This Row],[Unemployment Rate]]="",#N/A,AVERAGE(B65:B77))</f>
        <v>3.4923076923076928</v>
      </c>
      <c r="D77" s="10">
        <v>3607</v>
      </c>
      <c r="E77" s="11">
        <v>59.1</v>
      </c>
      <c r="F77" s="11"/>
      <c r="G77" s="11"/>
      <c r="H77" s="11"/>
      <c r="I77" s="11"/>
      <c r="J77" s="11"/>
      <c r="K77" s="11"/>
      <c r="L77" s="11">
        <v>10.6</v>
      </c>
      <c r="M77" s="10">
        <v>-225</v>
      </c>
      <c r="N77" s="10">
        <f>IF(Tabela1610[[#This Row],[Payroll]]="",#N/A,AVERAGE(M75:M77))</f>
        <v>-182</v>
      </c>
      <c r="O77" s="10"/>
      <c r="P77" s="7"/>
    </row>
    <row r="78" spans="1:16">
      <c r="A78" s="6">
        <v>19815</v>
      </c>
      <c r="B78" s="11">
        <v>5.9</v>
      </c>
      <c r="C78" s="11">
        <f>IF(Tabela1610[[#This Row],[Unemployment Rate]]="",#N/A,AVERAGE(B66:B78))</f>
        <v>3.7461538461538462</v>
      </c>
      <c r="D78" s="10">
        <v>3749</v>
      </c>
      <c r="E78" s="11">
        <v>59.2</v>
      </c>
      <c r="F78" s="11"/>
      <c r="G78" s="11"/>
      <c r="H78" s="11"/>
      <c r="I78" s="11"/>
      <c r="J78" s="11"/>
      <c r="K78" s="11"/>
      <c r="L78" s="11">
        <v>10.9</v>
      </c>
      <c r="M78" s="10">
        <v>22</v>
      </c>
      <c r="N78" s="10">
        <f>IF(Tabela1610[[#This Row],[Payroll]]="",#N/A,AVERAGE(M76:M78))</f>
        <v>-96.666666666666671</v>
      </c>
      <c r="O78" s="10"/>
      <c r="P78" s="7"/>
    </row>
    <row r="79" spans="1:16">
      <c r="A79" s="6">
        <v>19845</v>
      </c>
      <c r="B79" s="11">
        <v>5.9</v>
      </c>
      <c r="C79" s="11">
        <f>IF(Tabela1610[[#This Row],[Unemployment Rate]]="",#N/A,AVERAGE(B67:B79))</f>
        <v>3.9923076923076928</v>
      </c>
      <c r="D79" s="10">
        <v>3767</v>
      </c>
      <c r="E79" s="11">
        <v>58.9</v>
      </c>
      <c r="F79" s="11"/>
      <c r="G79" s="11"/>
      <c r="H79" s="11"/>
      <c r="I79" s="11"/>
      <c r="J79" s="11"/>
      <c r="K79" s="11"/>
      <c r="L79" s="11">
        <v>11.6</v>
      </c>
      <c r="M79" s="10">
        <v>-214</v>
      </c>
      <c r="N79" s="10">
        <f>IF(Tabela1610[[#This Row],[Payroll]]="",#N/A,AVERAGE(M77:M79))</f>
        <v>-139</v>
      </c>
      <c r="O79" s="10"/>
      <c r="P79" s="7"/>
    </row>
    <row r="80" spans="1:16">
      <c r="A80" s="6">
        <v>19876</v>
      </c>
      <c r="B80" s="11">
        <v>5.6</v>
      </c>
      <c r="C80" s="11">
        <f>IF(Tabela1610[[#This Row],[Unemployment Rate]]="",#N/A,AVERAGE(B68:B80))</f>
        <v>4.2307692307692299</v>
      </c>
      <c r="D80" s="10">
        <v>3551</v>
      </c>
      <c r="E80" s="11">
        <v>58.5</v>
      </c>
      <c r="F80" s="11"/>
      <c r="G80" s="11"/>
      <c r="H80" s="11"/>
      <c r="I80" s="11"/>
      <c r="J80" s="11"/>
      <c r="K80" s="11"/>
      <c r="L80" s="11">
        <v>12.3</v>
      </c>
      <c r="M80" s="10">
        <v>-70</v>
      </c>
      <c r="N80" s="10">
        <f>IF(Tabela1610[[#This Row],[Payroll]]="",#N/A,AVERAGE(M78:M80))</f>
        <v>-87.333333333333329</v>
      </c>
      <c r="O80" s="10"/>
      <c r="P80" s="7"/>
    </row>
    <row r="81" spans="1:16">
      <c r="A81" s="6">
        <v>19906</v>
      </c>
      <c r="B81" s="11">
        <v>5.8</v>
      </c>
      <c r="C81" s="11">
        <f>IF(Tabela1610[[#This Row],[Unemployment Rate]]="",#N/A,AVERAGE(B69:B81))</f>
        <v>4.4846153846153847</v>
      </c>
      <c r="D81" s="10">
        <v>3659</v>
      </c>
      <c r="E81" s="11">
        <v>58.4</v>
      </c>
      <c r="F81" s="11"/>
      <c r="G81" s="11"/>
      <c r="H81" s="11"/>
      <c r="I81" s="11"/>
      <c r="J81" s="11"/>
      <c r="K81" s="11"/>
      <c r="L81" s="11">
        <v>12.5</v>
      </c>
      <c r="M81" s="10">
        <v>-60</v>
      </c>
      <c r="N81" s="10">
        <f>IF(Tabela1610[[#This Row],[Payroll]]="",#N/A,AVERAGE(M79:M81))</f>
        <v>-114.66666666666667</v>
      </c>
      <c r="O81" s="10"/>
      <c r="P81" s="7"/>
    </row>
    <row r="82" spans="1:16">
      <c r="A82" s="6">
        <v>19937</v>
      </c>
      <c r="B82" s="11">
        <v>6</v>
      </c>
      <c r="C82" s="11">
        <f>IF(Tabela1610[[#This Row],[Unemployment Rate]]="",#N/A,AVERAGE(B70:B82))</f>
        <v>4.7461538461538462</v>
      </c>
      <c r="D82" s="10">
        <v>3854</v>
      </c>
      <c r="E82" s="11">
        <v>58.7</v>
      </c>
      <c r="F82" s="11"/>
      <c r="G82" s="11"/>
      <c r="H82" s="11"/>
      <c r="I82" s="11"/>
      <c r="J82" s="11"/>
      <c r="K82" s="11"/>
      <c r="L82" s="11">
        <v>12.8</v>
      </c>
      <c r="M82" s="10">
        <v>-9</v>
      </c>
      <c r="N82" s="10">
        <f>IF(Tabela1610[[#This Row],[Payroll]]="",#N/A,AVERAGE(M80:M82))</f>
        <v>-46.333333333333336</v>
      </c>
      <c r="O82" s="10"/>
      <c r="P82" s="7"/>
    </row>
    <row r="83" spans="1:16">
      <c r="A83" s="6">
        <v>19968</v>
      </c>
      <c r="B83" s="11">
        <v>6.1</v>
      </c>
      <c r="C83" s="11">
        <f>IF(Tabela1610[[#This Row],[Unemployment Rate]]="",#N/A,AVERAGE(B71:B83))</f>
        <v>5.0076923076923077</v>
      </c>
      <c r="D83" s="10">
        <v>3927</v>
      </c>
      <c r="E83" s="11">
        <v>59.2</v>
      </c>
      <c r="F83" s="11"/>
      <c r="G83" s="11"/>
      <c r="H83" s="11"/>
      <c r="I83" s="11"/>
      <c r="J83" s="11"/>
      <c r="K83" s="11"/>
      <c r="L83" s="11">
        <v>12.9</v>
      </c>
      <c r="M83" s="10">
        <v>60</v>
      </c>
      <c r="N83" s="10">
        <f>IF(Tabela1610[[#This Row],[Payroll]]="",#N/A,AVERAGE(M81:M83))</f>
        <v>-3</v>
      </c>
      <c r="O83" s="10"/>
      <c r="P83" s="7"/>
    </row>
    <row r="84" spans="1:16">
      <c r="A84" s="6">
        <v>19998</v>
      </c>
      <c r="B84" s="11">
        <v>5.7</v>
      </c>
      <c r="C84" s="11">
        <f>IF(Tabela1610[[#This Row],[Unemployment Rate]]="",#N/A,AVERAGE(B72:B84))</f>
        <v>5.2230769230769223</v>
      </c>
      <c r="D84" s="10">
        <v>3666</v>
      </c>
      <c r="E84" s="11">
        <v>58.8</v>
      </c>
      <c r="F84" s="11"/>
      <c r="G84" s="11"/>
      <c r="H84" s="11"/>
      <c r="I84" s="11"/>
      <c r="J84" s="11"/>
      <c r="K84" s="11"/>
      <c r="L84" s="11">
        <v>13.3</v>
      </c>
      <c r="M84" s="10">
        <v>56</v>
      </c>
      <c r="N84" s="10">
        <f>IF(Tabela1610[[#This Row],[Payroll]]="",#N/A,AVERAGE(M82:M84))</f>
        <v>35.666666666666664</v>
      </c>
      <c r="O84" s="10"/>
      <c r="P84" s="7"/>
    </row>
    <row r="85" spans="1:16">
      <c r="A85" s="6">
        <v>20029</v>
      </c>
      <c r="B85" s="11">
        <v>5.3</v>
      </c>
      <c r="C85" s="11">
        <f>IF(Tabela1610[[#This Row],[Unemployment Rate]]="",#N/A,AVERAGE(B73:B85))</f>
        <v>5.3923076923076918</v>
      </c>
      <c r="D85" s="10">
        <v>3402</v>
      </c>
      <c r="E85" s="11">
        <v>58.6</v>
      </c>
      <c r="F85" s="11"/>
      <c r="G85" s="11"/>
      <c r="H85" s="11"/>
      <c r="I85" s="11"/>
      <c r="J85" s="11"/>
      <c r="K85" s="11"/>
      <c r="L85" s="11">
        <v>13.2</v>
      </c>
      <c r="M85" s="10">
        <v>238</v>
      </c>
      <c r="N85" s="10">
        <f>IF(Tabela1610[[#This Row],[Payroll]]="",#N/A,AVERAGE(M83:M85))</f>
        <v>118</v>
      </c>
      <c r="O85" s="10"/>
      <c r="P85" s="7"/>
    </row>
    <row r="86" spans="1:16">
      <c r="A86" s="6">
        <v>20059</v>
      </c>
      <c r="B86" s="11">
        <v>5</v>
      </c>
      <c r="C86" s="11">
        <f>IF(Tabela1610[[#This Row],[Unemployment Rate]]="",#N/A,AVERAGE(B74:B86))</f>
        <v>5.5076923076923086</v>
      </c>
      <c r="D86" s="10">
        <v>3196</v>
      </c>
      <c r="E86" s="11">
        <v>58.1</v>
      </c>
      <c r="F86" s="11"/>
      <c r="G86" s="11"/>
      <c r="H86" s="11"/>
      <c r="I86" s="11"/>
      <c r="J86" s="11"/>
      <c r="K86" s="11"/>
      <c r="L86" s="11">
        <v>13.4</v>
      </c>
      <c r="M86" s="10">
        <v>151</v>
      </c>
      <c r="N86" s="10">
        <f>IF(Tabela1610[[#This Row],[Payroll]]="",#N/A,AVERAGE(M84:M86))</f>
        <v>148.33333333333334</v>
      </c>
      <c r="O86" s="10"/>
      <c r="P86" s="7"/>
    </row>
    <row r="87" spans="1:16">
      <c r="A87" s="6">
        <v>20090</v>
      </c>
      <c r="B87" s="11">
        <v>4.9000000000000004</v>
      </c>
      <c r="C87" s="11">
        <f>IF(Tabela1610[[#This Row],[Unemployment Rate]]="",#N/A,AVERAGE(B75:B87))</f>
        <v>5.5384615384615383</v>
      </c>
      <c r="D87" s="10">
        <v>3157</v>
      </c>
      <c r="E87" s="11">
        <v>58.6</v>
      </c>
      <c r="F87" s="11"/>
      <c r="G87" s="11"/>
      <c r="H87" s="11"/>
      <c r="I87" s="11"/>
      <c r="J87" s="11"/>
      <c r="K87" s="11"/>
      <c r="L87" s="11">
        <v>13.4</v>
      </c>
      <c r="M87" s="10">
        <v>165</v>
      </c>
      <c r="N87" s="10">
        <f>IF(Tabela1610[[#This Row],[Payroll]]="",#N/A,AVERAGE(M85:M87))</f>
        <v>184.66666666666666</v>
      </c>
      <c r="O87" s="10"/>
      <c r="P87" s="7"/>
    </row>
    <row r="88" spans="1:16">
      <c r="A88" s="6">
        <v>20121</v>
      </c>
      <c r="B88" s="11">
        <v>4.7</v>
      </c>
      <c r="C88" s="11">
        <f>IF(Tabela1610[[#This Row],[Unemployment Rate]]="",#N/A,AVERAGE(B76:B88))</f>
        <v>5.5230769230769239</v>
      </c>
      <c r="D88" s="10">
        <v>2969</v>
      </c>
      <c r="E88" s="11">
        <v>58.4</v>
      </c>
      <c r="F88" s="11"/>
      <c r="G88" s="11"/>
      <c r="H88" s="11"/>
      <c r="I88" s="11"/>
      <c r="J88" s="11"/>
      <c r="K88" s="11"/>
      <c r="L88" s="11">
        <v>14.2</v>
      </c>
      <c r="M88" s="10">
        <v>148</v>
      </c>
      <c r="N88" s="10">
        <f>IF(Tabela1610[[#This Row],[Payroll]]="",#N/A,AVERAGE(M86:M88))</f>
        <v>154.66666666666666</v>
      </c>
      <c r="O88" s="10"/>
      <c r="P88" s="7"/>
    </row>
    <row r="89" spans="1:16">
      <c r="A89" s="6">
        <v>20149</v>
      </c>
      <c r="B89" s="11">
        <v>4.5999999999999996</v>
      </c>
      <c r="C89" s="11">
        <f>IF(Tabela1610[[#This Row],[Unemployment Rate]]="",#N/A,AVERAGE(B77:B89))</f>
        <v>5.476923076923077</v>
      </c>
      <c r="D89" s="10">
        <v>2918</v>
      </c>
      <c r="E89" s="11">
        <v>58.5</v>
      </c>
      <c r="F89" s="11"/>
      <c r="G89" s="11"/>
      <c r="H89" s="11"/>
      <c r="I89" s="11"/>
      <c r="J89" s="11"/>
      <c r="K89" s="11"/>
      <c r="L89" s="11">
        <v>13.4</v>
      </c>
      <c r="M89" s="10">
        <v>318</v>
      </c>
      <c r="N89" s="10">
        <f>IF(Tabela1610[[#This Row],[Payroll]]="",#N/A,AVERAGE(M87:M89))</f>
        <v>210.33333333333334</v>
      </c>
      <c r="O89" s="10"/>
      <c r="P89" s="7"/>
    </row>
    <row r="90" spans="1:16">
      <c r="A90" s="6">
        <v>20180</v>
      </c>
      <c r="B90" s="11">
        <v>4.7</v>
      </c>
      <c r="C90" s="11">
        <f>IF(Tabela1610[[#This Row],[Unemployment Rate]]="",#N/A,AVERAGE(B78:B90))</f>
        <v>5.4</v>
      </c>
      <c r="D90" s="10">
        <v>3049</v>
      </c>
      <c r="E90" s="11">
        <v>59</v>
      </c>
      <c r="F90" s="11"/>
      <c r="G90" s="11"/>
      <c r="H90" s="11"/>
      <c r="I90" s="11"/>
      <c r="J90" s="11"/>
      <c r="K90" s="11"/>
      <c r="L90" s="11">
        <v>14.3</v>
      </c>
      <c r="M90" s="10">
        <v>286</v>
      </c>
      <c r="N90" s="10">
        <f>IF(Tabela1610[[#This Row],[Payroll]]="",#N/A,AVERAGE(M88:M90))</f>
        <v>250.66666666666666</v>
      </c>
      <c r="O90" s="10"/>
      <c r="P90" s="7"/>
    </row>
    <row r="91" spans="1:16">
      <c r="A91" s="6">
        <v>20210</v>
      </c>
      <c r="B91" s="11">
        <v>4.3</v>
      </c>
      <c r="C91" s="11">
        <f>IF(Tabela1610[[#This Row],[Unemployment Rate]]="",#N/A,AVERAGE(B79:B91))</f>
        <v>5.2769230769230768</v>
      </c>
      <c r="D91" s="10">
        <v>2747</v>
      </c>
      <c r="E91" s="11">
        <v>58.8</v>
      </c>
      <c r="F91" s="11"/>
      <c r="G91" s="11"/>
      <c r="H91" s="11"/>
      <c r="I91" s="11"/>
      <c r="J91" s="11"/>
      <c r="K91" s="11"/>
      <c r="L91" s="11">
        <v>14.4</v>
      </c>
      <c r="M91" s="10">
        <v>264</v>
      </c>
      <c r="N91" s="10">
        <f>IF(Tabela1610[[#This Row],[Payroll]]="",#N/A,AVERAGE(M89:M91))</f>
        <v>289.33333333333331</v>
      </c>
      <c r="O91" s="10"/>
      <c r="P91" s="7"/>
    </row>
    <row r="92" spans="1:16">
      <c r="A92" s="6">
        <v>20241</v>
      </c>
      <c r="B92" s="11">
        <v>4.2</v>
      </c>
      <c r="C92" s="11">
        <f>IF(Tabela1610[[#This Row],[Unemployment Rate]]="",#N/A,AVERAGE(B80:B92))</f>
        <v>5.1461538461538465</v>
      </c>
      <c r="D92" s="10">
        <v>2701</v>
      </c>
      <c r="E92" s="11">
        <v>58.8</v>
      </c>
      <c r="F92" s="11"/>
      <c r="G92" s="11"/>
      <c r="H92" s="11"/>
      <c r="I92" s="11"/>
      <c r="J92" s="11"/>
      <c r="K92" s="11"/>
      <c r="L92" s="11">
        <v>13.4</v>
      </c>
      <c r="M92" s="10">
        <v>278</v>
      </c>
      <c r="N92" s="10">
        <f>IF(Tabela1610[[#This Row],[Payroll]]="",#N/A,AVERAGE(M90:M92))</f>
        <v>276</v>
      </c>
      <c r="O92" s="10"/>
      <c r="P92" s="7"/>
    </row>
    <row r="93" spans="1:16">
      <c r="A93" s="6">
        <v>20271</v>
      </c>
      <c r="B93" s="11">
        <v>4</v>
      </c>
      <c r="C93" s="11">
        <f>IF(Tabela1610[[#This Row],[Unemployment Rate]]="",#N/A,AVERAGE(B81:B93))</f>
        <v>5.0230769230769239</v>
      </c>
      <c r="D93" s="10">
        <v>2632</v>
      </c>
      <c r="E93" s="11">
        <v>59.3</v>
      </c>
      <c r="F93" s="11"/>
      <c r="G93" s="11"/>
      <c r="H93" s="11"/>
      <c r="I93" s="11"/>
      <c r="J93" s="11"/>
      <c r="K93" s="11"/>
      <c r="L93" s="11">
        <v>13.8</v>
      </c>
      <c r="M93" s="10">
        <v>197</v>
      </c>
      <c r="N93" s="10">
        <f>IF(Tabela1610[[#This Row],[Payroll]]="",#N/A,AVERAGE(M91:M93))</f>
        <v>246.33333333333334</v>
      </c>
      <c r="O93" s="10"/>
      <c r="P93" s="7"/>
    </row>
    <row r="94" spans="1:16">
      <c r="A94" s="6">
        <v>20302</v>
      </c>
      <c r="B94" s="11">
        <v>4.2</v>
      </c>
      <c r="C94" s="11">
        <f>IF(Tabela1610[[#This Row],[Unemployment Rate]]="",#N/A,AVERAGE(B82:B94))</f>
        <v>4.9000000000000004</v>
      </c>
      <c r="D94" s="10">
        <v>2784</v>
      </c>
      <c r="E94" s="11">
        <v>59.7</v>
      </c>
      <c r="F94" s="11"/>
      <c r="G94" s="11"/>
      <c r="H94" s="11"/>
      <c r="I94" s="11"/>
      <c r="J94" s="11"/>
      <c r="K94" s="11"/>
      <c r="L94" s="11">
        <v>12.3</v>
      </c>
      <c r="M94" s="10">
        <v>124</v>
      </c>
      <c r="N94" s="10">
        <f>IF(Tabela1610[[#This Row],[Payroll]]="",#N/A,AVERAGE(M92:M94))</f>
        <v>199.66666666666666</v>
      </c>
      <c r="O94" s="10"/>
      <c r="P94" s="7"/>
    </row>
    <row r="95" spans="1:16">
      <c r="A95" s="6">
        <v>20333</v>
      </c>
      <c r="B95" s="11">
        <v>4.0999999999999996</v>
      </c>
      <c r="C95" s="11">
        <f>IF(Tabela1610[[#This Row],[Unemployment Rate]]="",#N/A,AVERAGE(B83:B95))</f>
        <v>4.7538461538461538</v>
      </c>
      <c r="D95" s="10">
        <v>2678</v>
      </c>
      <c r="E95" s="11">
        <v>59.7</v>
      </c>
      <c r="F95" s="11"/>
      <c r="G95" s="11"/>
      <c r="H95" s="11"/>
      <c r="I95" s="11"/>
      <c r="J95" s="11"/>
      <c r="K95" s="11"/>
      <c r="L95" s="11">
        <v>11.7</v>
      </c>
      <c r="M95" s="10">
        <v>155</v>
      </c>
      <c r="N95" s="10">
        <f>IF(Tabela1610[[#This Row],[Payroll]]="",#N/A,AVERAGE(M93:M95))</f>
        <v>158.66666666666666</v>
      </c>
      <c r="O95" s="10"/>
      <c r="P95" s="7"/>
    </row>
    <row r="96" spans="1:16">
      <c r="A96" s="6">
        <v>20363</v>
      </c>
      <c r="B96" s="11">
        <v>4.3</v>
      </c>
      <c r="C96" s="11">
        <f>IF(Tabela1610[[#This Row],[Unemployment Rate]]="",#N/A,AVERAGE(B84:B96))</f>
        <v>4.615384615384615</v>
      </c>
      <c r="D96" s="10">
        <v>2830</v>
      </c>
      <c r="E96" s="11">
        <v>59.8</v>
      </c>
      <c r="F96" s="11"/>
      <c r="G96" s="11"/>
      <c r="H96" s="11"/>
      <c r="I96" s="11"/>
      <c r="J96" s="11"/>
      <c r="K96" s="11"/>
      <c r="L96" s="11">
        <v>11.5</v>
      </c>
      <c r="M96" s="10">
        <v>163</v>
      </c>
      <c r="N96" s="10">
        <f>IF(Tabela1610[[#This Row],[Payroll]]="",#N/A,AVERAGE(M94:M96))</f>
        <v>147.33333333333334</v>
      </c>
      <c r="O96" s="10"/>
      <c r="P96" s="7"/>
    </row>
    <row r="97" spans="1:16">
      <c r="A97" s="6">
        <v>20394</v>
      </c>
      <c r="B97" s="11">
        <v>4.2</v>
      </c>
      <c r="C97" s="11">
        <f>IF(Tabela1610[[#This Row],[Unemployment Rate]]="",#N/A,AVERAGE(B85:B97))</f>
        <v>4.5000000000000009</v>
      </c>
      <c r="D97" s="10">
        <v>2780</v>
      </c>
      <c r="E97" s="11">
        <v>59.9</v>
      </c>
      <c r="F97" s="11"/>
      <c r="G97" s="11"/>
      <c r="H97" s="11"/>
      <c r="I97" s="11"/>
      <c r="J97" s="11"/>
      <c r="K97" s="11"/>
      <c r="L97" s="11">
        <v>11.3</v>
      </c>
      <c r="M97" s="10">
        <v>163</v>
      </c>
      <c r="N97" s="10">
        <f>IF(Tabela1610[[#This Row],[Payroll]]="",#N/A,AVERAGE(M95:M97))</f>
        <v>160.33333333333334</v>
      </c>
      <c r="O97" s="10"/>
      <c r="P97" s="7"/>
    </row>
    <row r="98" spans="1:16">
      <c r="A98" s="6">
        <v>20424</v>
      </c>
      <c r="B98" s="11">
        <v>4.2</v>
      </c>
      <c r="C98" s="11">
        <f>IF(Tabela1610[[#This Row],[Unemployment Rate]]="",#N/A,AVERAGE(B86:B98))</f>
        <v>4.4153846153846166</v>
      </c>
      <c r="D98" s="10">
        <v>2761</v>
      </c>
      <c r="E98" s="11">
        <v>60.2</v>
      </c>
      <c r="F98" s="11"/>
      <c r="G98" s="11"/>
      <c r="H98" s="11"/>
      <c r="I98" s="11"/>
      <c r="J98" s="11"/>
      <c r="K98" s="11"/>
      <c r="L98" s="11">
        <v>12</v>
      </c>
      <c r="M98" s="10">
        <v>213</v>
      </c>
      <c r="N98" s="10">
        <f>IF(Tabela1610[[#This Row],[Payroll]]="",#N/A,AVERAGE(M96:M98))</f>
        <v>179.66666666666666</v>
      </c>
      <c r="O98" s="10"/>
      <c r="P98" s="7"/>
    </row>
    <row r="99" spans="1:16">
      <c r="A99" s="6">
        <v>20455</v>
      </c>
      <c r="B99" s="11">
        <v>4</v>
      </c>
      <c r="C99" s="11">
        <f>IF(Tabela1610[[#This Row],[Unemployment Rate]]="",#N/A,AVERAGE(B87:B99))</f>
        <v>4.338461538461539</v>
      </c>
      <c r="D99" s="10">
        <v>2666</v>
      </c>
      <c r="E99" s="11">
        <v>60.2</v>
      </c>
      <c r="F99" s="11"/>
      <c r="G99" s="11"/>
      <c r="H99" s="11"/>
      <c r="I99" s="11"/>
      <c r="J99" s="11"/>
      <c r="K99" s="11"/>
      <c r="L99" s="11">
        <v>11.7</v>
      </c>
      <c r="M99" s="10">
        <v>170</v>
      </c>
      <c r="N99" s="10">
        <f>IF(Tabela1610[[#This Row],[Payroll]]="",#N/A,AVERAGE(M97:M99))</f>
        <v>182</v>
      </c>
      <c r="O99" s="10"/>
      <c r="P99" s="7"/>
    </row>
    <row r="100" spans="1:16">
      <c r="A100" s="6">
        <v>20486</v>
      </c>
      <c r="B100" s="11">
        <v>3.9</v>
      </c>
      <c r="C100" s="11">
        <f>IF(Tabela1610[[#This Row],[Unemployment Rate]]="",#N/A,AVERAGE(B88:B100))</f>
        <v>4.2615384615384615</v>
      </c>
      <c r="D100" s="10">
        <v>2606</v>
      </c>
      <c r="E100" s="11">
        <v>59.9</v>
      </c>
      <c r="F100" s="11"/>
      <c r="G100" s="11"/>
      <c r="H100" s="11"/>
      <c r="I100" s="11"/>
      <c r="J100" s="11"/>
      <c r="K100" s="11"/>
      <c r="L100" s="11">
        <v>12.5</v>
      </c>
      <c r="M100" s="10">
        <v>192</v>
      </c>
      <c r="N100" s="10">
        <f>IF(Tabela1610[[#This Row],[Payroll]]="",#N/A,AVERAGE(M98:M100))</f>
        <v>191.66666666666666</v>
      </c>
      <c r="O100" s="10"/>
      <c r="P100" s="7"/>
    </row>
    <row r="101" spans="1:16">
      <c r="A101" s="6">
        <v>20515</v>
      </c>
      <c r="B101" s="11">
        <v>4.2</v>
      </c>
      <c r="C101" s="11">
        <f>IF(Tabela1610[[#This Row],[Unemployment Rate]]="",#N/A,AVERAGE(B89:B101))</f>
        <v>4.2230769230769232</v>
      </c>
      <c r="D101" s="10">
        <v>2764</v>
      </c>
      <c r="E101" s="11">
        <v>59.8</v>
      </c>
      <c r="F101" s="11"/>
      <c r="G101" s="11"/>
      <c r="H101" s="11"/>
      <c r="I101" s="11"/>
      <c r="J101" s="11"/>
      <c r="K101" s="11"/>
      <c r="L101" s="11">
        <v>11.6</v>
      </c>
      <c r="M101" s="10">
        <v>127</v>
      </c>
      <c r="N101" s="10">
        <f>IF(Tabela1610[[#This Row],[Payroll]]="",#N/A,AVERAGE(M99:M101))</f>
        <v>163</v>
      </c>
      <c r="O101" s="10"/>
      <c r="P101" s="7"/>
    </row>
    <row r="102" spans="1:16">
      <c r="A102" s="6">
        <v>20546</v>
      </c>
      <c r="B102" s="11">
        <v>4</v>
      </c>
      <c r="C102" s="11">
        <f>IF(Tabela1610[[#This Row],[Unemployment Rate]]="",#N/A,AVERAGE(B90:B102))</f>
        <v>4.1769230769230772</v>
      </c>
      <c r="D102" s="10">
        <v>2650</v>
      </c>
      <c r="E102" s="11">
        <v>59.9</v>
      </c>
      <c r="F102" s="11"/>
      <c r="G102" s="11"/>
      <c r="H102" s="11"/>
      <c r="I102" s="11"/>
      <c r="J102" s="11"/>
      <c r="K102" s="11"/>
      <c r="L102" s="11">
        <v>11</v>
      </c>
      <c r="M102" s="10">
        <v>81</v>
      </c>
      <c r="N102" s="10">
        <f>IF(Tabela1610[[#This Row],[Payroll]]="",#N/A,AVERAGE(M100:M102))</f>
        <v>133.33333333333334</v>
      </c>
      <c r="O102" s="10"/>
      <c r="P102" s="7"/>
    </row>
    <row r="103" spans="1:16">
      <c r="A103" s="6">
        <v>20576</v>
      </c>
      <c r="B103" s="11">
        <v>4.3</v>
      </c>
      <c r="C103" s="11">
        <f>IF(Tabela1610[[#This Row],[Unemployment Rate]]="",#N/A,AVERAGE(B91:B103))</f>
        <v>4.1461538461538456</v>
      </c>
      <c r="D103" s="10">
        <v>2861</v>
      </c>
      <c r="E103" s="11">
        <v>60.2</v>
      </c>
      <c r="F103" s="11"/>
      <c r="G103" s="11"/>
      <c r="H103" s="11"/>
      <c r="I103" s="11"/>
      <c r="J103" s="11"/>
      <c r="K103" s="11"/>
      <c r="L103" s="11">
        <v>10.4</v>
      </c>
      <c r="M103" s="10">
        <v>131</v>
      </c>
      <c r="N103" s="10">
        <f>IF(Tabela1610[[#This Row],[Payroll]]="",#N/A,AVERAGE(M101:M103))</f>
        <v>113</v>
      </c>
      <c r="O103" s="10"/>
      <c r="P103" s="7"/>
    </row>
    <row r="104" spans="1:16">
      <c r="A104" s="6">
        <v>20607</v>
      </c>
      <c r="B104" s="11">
        <v>4.3</v>
      </c>
      <c r="C104" s="11">
        <f>IF(Tabela1610[[#This Row],[Unemployment Rate]]="",#N/A,AVERAGE(B92:B104))</f>
        <v>4.1461538461538456</v>
      </c>
      <c r="D104" s="10">
        <v>2882</v>
      </c>
      <c r="E104" s="11">
        <v>60.1</v>
      </c>
      <c r="F104" s="11"/>
      <c r="G104" s="11"/>
      <c r="H104" s="11"/>
      <c r="I104" s="11"/>
      <c r="J104" s="11"/>
      <c r="K104" s="11"/>
      <c r="L104" s="11">
        <v>10.1</v>
      </c>
      <c r="M104" s="10">
        <v>80</v>
      </c>
      <c r="N104" s="10">
        <f>IF(Tabela1610[[#This Row],[Payroll]]="",#N/A,AVERAGE(M102:M104))</f>
        <v>97.333333333333329</v>
      </c>
      <c r="O104" s="10"/>
      <c r="P104" s="7"/>
    </row>
    <row r="105" spans="1:16">
      <c r="A105" s="6">
        <v>20637</v>
      </c>
      <c r="B105" s="11">
        <v>4.4000000000000004</v>
      </c>
      <c r="C105" s="11">
        <f>IF(Tabela1610[[#This Row],[Unemployment Rate]]="",#N/A,AVERAGE(B93:B105))</f>
        <v>4.161538461538461</v>
      </c>
      <c r="D105" s="10">
        <v>2952</v>
      </c>
      <c r="E105" s="11">
        <v>60.1</v>
      </c>
      <c r="F105" s="11"/>
      <c r="G105" s="11"/>
      <c r="H105" s="11"/>
      <c r="I105" s="11"/>
      <c r="J105" s="11"/>
      <c r="K105" s="11"/>
      <c r="L105" s="11">
        <v>10.5</v>
      </c>
      <c r="M105" s="10">
        <v>-631</v>
      </c>
      <c r="N105" s="10">
        <f>IF(Tabela1610[[#This Row],[Payroll]]="",#N/A,AVERAGE(M103:M105))</f>
        <v>-140</v>
      </c>
      <c r="O105" s="10"/>
      <c r="P105" s="7"/>
    </row>
    <row r="106" spans="1:16">
      <c r="A106" s="6">
        <v>20668</v>
      </c>
      <c r="B106" s="11">
        <v>4.0999999999999996</v>
      </c>
      <c r="C106" s="11">
        <f>IF(Tabela1610[[#This Row],[Unemployment Rate]]="",#N/A,AVERAGE(B94:B106))</f>
        <v>4.1692307692307686</v>
      </c>
      <c r="D106" s="10">
        <v>2701</v>
      </c>
      <c r="E106" s="11">
        <v>60</v>
      </c>
      <c r="F106" s="11"/>
      <c r="G106" s="11"/>
      <c r="H106" s="11"/>
      <c r="I106" s="11"/>
      <c r="J106" s="11"/>
      <c r="K106" s="11"/>
      <c r="L106" s="11">
        <v>12</v>
      </c>
      <c r="M106" s="10">
        <v>676</v>
      </c>
      <c r="N106" s="10">
        <f>IF(Tabela1610[[#This Row],[Payroll]]="",#N/A,AVERAGE(M104:M106))</f>
        <v>41.666666666666664</v>
      </c>
      <c r="O106" s="10"/>
      <c r="P106" s="7"/>
    </row>
    <row r="107" spans="1:16">
      <c r="A107" s="6">
        <v>20699</v>
      </c>
      <c r="B107" s="11">
        <v>3.9</v>
      </c>
      <c r="C107" s="11">
        <f>IF(Tabela1610[[#This Row],[Unemployment Rate]]="",#N/A,AVERAGE(B95:B107))</f>
        <v>4.1461538461538447</v>
      </c>
      <c r="D107" s="10">
        <v>2635</v>
      </c>
      <c r="E107" s="11">
        <v>60</v>
      </c>
      <c r="F107" s="11"/>
      <c r="G107" s="11"/>
      <c r="H107" s="11"/>
      <c r="I107" s="11"/>
      <c r="J107" s="11"/>
      <c r="K107" s="11"/>
      <c r="L107" s="11">
        <v>11.8</v>
      </c>
      <c r="M107" s="10">
        <v>-27</v>
      </c>
      <c r="N107" s="10">
        <f>IF(Tabela1610[[#This Row],[Payroll]]="",#N/A,AVERAGE(M105:M107))</f>
        <v>6</v>
      </c>
      <c r="O107" s="10"/>
      <c r="P107" s="7"/>
    </row>
    <row r="108" spans="1:16">
      <c r="A108" s="6">
        <v>20729</v>
      </c>
      <c r="B108" s="11">
        <v>3.9</v>
      </c>
      <c r="C108" s="11">
        <f>IF(Tabela1610[[#This Row],[Unemployment Rate]]="",#N/A,AVERAGE(B96:B108))</f>
        <v>4.1307692307692303</v>
      </c>
      <c r="D108" s="10">
        <v>2571</v>
      </c>
      <c r="E108" s="11">
        <v>59.8</v>
      </c>
      <c r="F108" s="11"/>
      <c r="G108" s="11"/>
      <c r="H108" s="11"/>
      <c r="I108" s="11"/>
      <c r="J108" s="11"/>
      <c r="K108" s="11"/>
      <c r="L108" s="11">
        <v>11.6</v>
      </c>
      <c r="M108" s="10">
        <v>173</v>
      </c>
      <c r="N108" s="10">
        <f>IF(Tabela1610[[#This Row],[Payroll]]="",#N/A,AVERAGE(M106:M108))</f>
        <v>274</v>
      </c>
      <c r="O108" s="10"/>
      <c r="P108" s="7"/>
    </row>
    <row r="109" spans="1:16">
      <c r="A109" s="6">
        <v>20760</v>
      </c>
      <c r="B109" s="11">
        <v>4.3</v>
      </c>
      <c r="C109" s="11">
        <f>IF(Tabela1610[[#This Row],[Unemployment Rate]]="",#N/A,AVERAGE(B97:B109))</f>
        <v>4.1307692307692303</v>
      </c>
      <c r="D109" s="10">
        <v>2861</v>
      </c>
      <c r="E109" s="11">
        <v>59.8</v>
      </c>
      <c r="F109" s="11"/>
      <c r="G109" s="11"/>
      <c r="H109" s="11"/>
      <c r="I109" s="11"/>
      <c r="J109" s="11"/>
      <c r="K109" s="11"/>
      <c r="L109" s="11">
        <v>10.9</v>
      </c>
      <c r="M109" s="10">
        <v>44</v>
      </c>
      <c r="N109" s="10">
        <f>IF(Tabela1610[[#This Row],[Payroll]]="",#N/A,AVERAGE(M107:M109))</f>
        <v>63.333333333333336</v>
      </c>
      <c r="O109" s="10"/>
      <c r="P109" s="7"/>
    </row>
    <row r="110" spans="1:16">
      <c r="A110" s="6">
        <v>20790</v>
      </c>
      <c r="B110" s="11">
        <v>4.2</v>
      </c>
      <c r="C110" s="11">
        <f>IF(Tabela1610[[#This Row],[Unemployment Rate]]="",#N/A,AVERAGE(B98:B110))</f>
        <v>4.1307692307692312</v>
      </c>
      <c r="D110" s="10">
        <v>2790</v>
      </c>
      <c r="E110" s="11">
        <v>59.8</v>
      </c>
      <c r="F110" s="11"/>
      <c r="G110" s="11"/>
      <c r="H110" s="11"/>
      <c r="I110" s="11"/>
      <c r="J110" s="11"/>
      <c r="K110" s="11"/>
      <c r="L110" s="11">
        <v>11.4</v>
      </c>
      <c r="M110" s="10">
        <v>108</v>
      </c>
      <c r="N110" s="10">
        <f>IF(Tabela1610[[#This Row],[Payroll]]="",#N/A,AVERAGE(M108:M110))</f>
        <v>108.33333333333333</v>
      </c>
      <c r="O110" s="10"/>
      <c r="P110" s="7"/>
    </row>
    <row r="111" spans="1:16">
      <c r="A111" s="6">
        <v>20821</v>
      </c>
      <c r="B111" s="11">
        <v>4.2</v>
      </c>
      <c r="C111" s="11">
        <f>IF(Tabela1610[[#This Row],[Unemployment Rate]]="",#N/A,AVERAGE(B99:B111))</f>
        <v>4.1307692307692312</v>
      </c>
      <c r="D111" s="10">
        <v>2796</v>
      </c>
      <c r="E111" s="11">
        <v>59.5</v>
      </c>
      <c r="F111" s="11"/>
      <c r="G111" s="11"/>
      <c r="H111" s="11"/>
      <c r="I111" s="11"/>
      <c r="J111" s="11"/>
      <c r="K111" s="11"/>
      <c r="L111" s="11">
        <v>10.4</v>
      </c>
      <c r="M111" s="10">
        <v>-42</v>
      </c>
      <c r="N111" s="10">
        <f>IF(Tabela1610[[#This Row],[Payroll]]="",#N/A,AVERAGE(M109:M111))</f>
        <v>36.666666666666664</v>
      </c>
      <c r="O111" s="10"/>
      <c r="P111" s="7"/>
    </row>
    <row r="112" spans="1:16">
      <c r="A112" s="6">
        <v>20852</v>
      </c>
      <c r="B112" s="11">
        <v>3.9</v>
      </c>
      <c r="C112" s="11">
        <f>IF(Tabela1610[[#This Row],[Unemployment Rate]]="",#N/A,AVERAGE(B100:B112))</f>
        <v>4.1230769230769235</v>
      </c>
      <c r="D112" s="10">
        <v>2622</v>
      </c>
      <c r="E112" s="11">
        <v>59.9</v>
      </c>
      <c r="F112" s="11"/>
      <c r="G112" s="11"/>
      <c r="H112" s="11"/>
      <c r="I112" s="11"/>
      <c r="J112" s="11"/>
      <c r="K112" s="11"/>
      <c r="L112" s="11">
        <v>10.7</v>
      </c>
      <c r="M112" s="10">
        <v>210</v>
      </c>
      <c r="N112" s="10">
        <f>IF(Tabela1610[[#This Row],[Payroll]]="",#N/A,AVERAGE(M110:M112))</f>
        <v>92</v>
      </c>
      <c r="O112" s="10"/>
      <c r="P112" s="7"/>
    </row>
    <row r="113" spans="1:16">
      <c r="A113" s="6">
        <v>20880</v>
      </c>
      <c r="B113" s="11">
        <v>3.7</v>
      </c>
      <c r="C113" s="11">
        <f>IF(Tabela1610[[#This Row],[Unemployment Rate]]="",#N/A,AVERAGE(B101:B113))</f>
        <v>4.1076923076923082</v>
      </c>
      <c r="D113" s="10">
        <v>2509</v>
      </c>
      <c r="E113" s="11">
        <v>59.8</v>
      </c>
      <c r="F113" s="11"/>
      <c r="G113" s="11"/>
      <c r="H113" s="11"/>
      <c r="I113" s="11"/>
      <c r="J113" s="11"/>
      <c r="K113" s="11"/>
      <c r="L113" s="11">
        <v>10.8</v>
      </c>
      <c r="M113" s="10">
        <v>59</v>
      </c>
      <c r="N113" s="10">
        <f>IF(Tabela1610[[#This Row],[Payroll]]="",#N/A,AVERAGE(M111:M113))</f>
        <v>75.666666666666671</v>
      </c>
      <c r="O113" s="10"/>
      <c r="P113" s="7"/>
    </row>
    <row r="114" spans="1:16">
      <c r="A114" s="6">
        <v>20911</v>
      </c>
      <c r="B114" s="11">
        <v>3.9</v>
      </c>
      <c r="C114" s="11">
        <f>IF(Tabela1610[[#This Row],[Unemployment Rate]]="",#N/A,AVERAGE(B102:B114))</f>
        <v>4.0846153846153843</v>
      </c>
      <c r="D114" s="10">
        <v>2600</v>
      </c>
      <c r="E114" s="11">
        <v>59.5</v>
      </c>
      <c r="F114" s="11"/>
      <c r="G114" s="11"/>
      <c r="H114" s="11"/>
      <c r="I114" s="11"/>
      <c r="J114" s="11"/>
      <c r="K114" s="11"/>
      <c r="L114" s="11">
        <v>10.6</v>
      </c>
      <c r="M114" s="10">
        <v>82</v>
      </c>
      <c r="N114" s="10">
        <f>IF(Tabela1610[[#This Row],[Payroll]]="",#N/A,AVERAGE(M112:M114))</f>
        <v>117</v>
      </c>
      <c r="O114" s="10"/>
      <c r="P114" s="7"/>
    </row>
    <row r="115" spans="1:16">
      <c r="A115" s="6">
        <v>20941</v>
      </c>
      <c r="B115" s="11">
        <v>4.0999999999999996</v>
      </c>
      <c r="C115" s="11">
        <f>IF(Tabela1610[[#This Row],[Unemployment Rate]]="",#N/A,AVERAGE(B103:B115))</f>
        <v>4.0923076923076929</v>
      </c>
      <c r="D115" s="10">
        <v>2710</v>
      </c>
      <c r="E115" s="11">
        <v>59.5</v>
      </c>
      <c r="F115" s="11"/>
      <c r="G115" s="11"/>
      <c r="H115" s="11"/>
      <c r="I115" s="11"/>
      <c r="J115" s="11"/>
      <c r="K115" s="11"/>
      <c r="L115" s="11">
        <v>10.4</v>
      </c>
      <c r="M115" s="10">
        <v>-88</v>
      </c>
      <c r="N115" s="10">
        <f>IF(Tabela1610[[#This Row],[Payroll]]="",#N/A,AVERAGE(M113:M115))</f>
        <v>17.666666666666668</v>
      </c>
      <c r="O115" s="10"/>
      <c r="P115" s="7"/>
    </row>
    <row r="116" spans="1:16">
      <c r="A116" s="6">
        <v>20972</v>
      </c>
      <c r="B116" s="11">
        <v>4.3</v>
      </c>
      <c r="C116" s="11">
        <f>IF(Tabela1610[[#This Row],[Unemployment Rate]]="",#N/A,AVERAGE(B104:B116))</f>
        <v>4.092307692307692</v>
      </c>
      <c r="D116" s="10">
        <v>2856</v>
      </c>
      <c r="E116" s="11">
        <v>59.8</v>
      </c>
      <c r="F116" s="11"/>
      <c r="G116" s="11"/>
      <c r="H116" s="11"/>
      <c r="I116" s="11"/>
      <c r="J116" s="11"/>
      <c r="K116" s="11"/>
      <c r="L116" s="11">
        <v>10.199999999999999</v>
      </c>
      <c r="M116" s="10">
        <v>-83</v>
      </c>
      <c r="N116" s="10">
        <f>IF(Tabela1610[[#This Row],[Payroll]]="",#N/A,AVERAGE(M114:M116))</f>
        <v>-29.666666666666668</v>
      </c>
      <c r="O116" s="10"/>
      <c r="P116" s="7"/>
    </row>
    <row r="117" spans="1:16">
      <c r="A117" s="6">
        <v>21002</v>
      </c>
      <c r="B117" s="11">
        <v>4.2</v>
      </c>
      <c r="C117" s="11">
        <f>IF(Tabela1610[[#This Row],[Unemployment Rate]]="",#N/A,AVERAGE(B105:B117))</f>
        <v>4.0846153846153843</v>
      </c>
      <c r="D117" s="10">
        <v>2796</v>
      </c>
      <c r="E117" s="11">
        <v>60</v>
      </c>
      <c r="F117" s="11"/>
      <c r="G117" s="11"/>
      <c r="H117" s="11"/>
      <c r="I117" s="11"/>
      <c r="J117" s="11"/>
      <c r="K117" s="11"/>
      <c r="L117" s="11">
        <v>10.1</v>
      </c>
      <c r="M117" s="10">
        <v>56</v>
      </c>
      <c r="N117" s="10">
        <f>IF(Tabela1610[[#This Row],[Payroll]]="",#N/A,AVERAGE(M115:M117))</f>
        <v>-38.333333333333336</v>
      </c>
      <c r="O117" s="10"/>
      <c r="P117" s="7"/>
    </row>
    <row r="118" spans="1:16">
      <c r="A118" s="6">
        <v>21033</v>
      </c>
      <c r="B118" s="11">
        <v>4.0999999999999996</v>
      </c>
      <c r="C118" s="11">
        <f>IF(Tabela1610[[#This Row],[Unemployment Rate]]="",#N/A,AVERAGE(B106:B118))</f>
        <v>4.0615384615384613</v>
      </c>
      <c r="D118" s="10">
        <v>2747</v>
      </c>
      <c r="E118" s="11">
        <v>59.3</v>
      </c>
      <c r="F118" s="11"/>
      <c r="G118" s="11"/>
      <c r="H118" s="11"/>
      <c r="I118" s="11"/>
      <c r="J118" s="11"/>
      <c r="K118" s="11"/>
      <c r="L118" s="11">
        <v>10.5</v>
      </c>
      <c r="M118" s="10">
        <v>5</v>
      </c>
      <c r="N118" s="10">
        <f>IF(Tabela1610[[#This Row],[Payroll]]="",#N/A,AVERAGE(M116:M118))</f>
        <v>-7.333333333333333</v>
      </c>
      <c r="O118" s="10"/>
      <c r="P118" s="7"/>
    </row>
    <row r="119" spans="1:16">
      <c r="A119" s="6">
        <v>21064</v>
      </c>
      <c r="B119" s="11">
        <v>4.4000000000000004</v>
      </c>
      <c r="C119" s="11">
        <f>IF(Tabela1610[[#This Row],[Unemployment Rate]]="",#N/A,AVERAGE(B107:B119))</f>
        <v>4.0846153846153843</v>
      </c>
      <c r="D119" s="10">
        <v>2943</v>
      </c>
      <c r="E119" s="11">
        <v>59.6</v>
      </c>
      <c r="F119" s="11"/>
      <c r="G119" s="11"/>
      <c r="H119" s="11"/>
      <c r="I119" s="11"/>
      <c r="J119" s="11"/>
      <c r="K119" s="11"/>
      <c r="L119" s="11">
        <v>9.8000000000000007</v>
      </c>
      <c r="M119" s="10">
        <v>-194</v>
      </c>
      <c r="N119" s="10">
        <f>IF(Tabela1610[[#This Row],[Payroll]]="",#N/A,AVERAGE(M117:M119))</f>
        <v>-44.333333333333336</v>
      </c>
      <c r="O119" s="10"/>
      <c r="P119" s="7"/>
    </row>
    <row r="120" spans="1:16">
      <c r="A120" s="6">
        <v>21094</v>
      </c>
      <c r="B120" s="11">
        <v>4.5</v>
      </c>
      <c r="C120" s="11">
        <f>IF(Tabela1610[[#This Row],[Unemployment Rate]]="",#N/A,AVERAGE(B108:B120))</f>
        <v>4.1307692307692303</v>
      </c>
      <c r="D120" s="10">
        <v>3020</v>
      </c>
      <c r="E120" s="11">
        <v>59.5</v>
      </c>
      <c r="F120" s="11"/>
      <c r="G120" s="11"/>
      <c r="H120" s="11"/>
      <c r="I120" s="11"/>
      <c r="J120" s="11"/>
      <c r="K120" s="11"/>
      <c r="L120" s="11">
        <v>11.1</v>
      </c>
      <c r="M120" s="10">
        <v>-171</v>
      </c>
      <c r="N120" s="10">
        <f>IF(Tabela1610[[#This Row],[Payroll]]="",#N/A,AVERAGE(M118:M120))</f>
        <v>-120</v>
      </c>
      <c r="O120" s="10"/>
      <c r="P120" s="7"/>
    </row>
    <row r="121" spans="1:16">
      <c r="A121" s="6">
        <v>21125</v>
      </c>
      <c r="B121" s="11">
        <v>5.0999999999999996</v>
      </c>
      <c r="C121" s="11">
        <f>IF(Tabela1610[[#This Row],[Unemployment Rate]]="",#N/A,AVERAGE(B109:B121))</f>
        <v>4.2230769230769232</v>
      </c>
      <c r="D121" s="10">
        <v>3454</v>
      </c>
      <c r="E121" s="11">
        <v>59.5</v>
      </c>
      <c r="F121" s="11"/>
      <c r="G121" s="11"/>
      <c r="H121" s="11"/>
      <c r="I121" s="11"/>
      <c r="J121" s="11"/>
      <c r="K121" s="11"/>
      <c r="L121" s="11">
        <v>10.4</v>
      </c>
      <c r="M121" s="10">
        <v>-205</v>
      </c>
      <c r="N121" s="10">
        <f>IF(Tabela1610[[#This Row],[Payroll]]="",#N/A,AVERAGE(M119:M121))</f>
        <v>-190</v>
      </c>
      <c r="O121" s="10"/>
      <c r="P121" s="7"/>
    </row>
    <row r="122" spans="1:16">
      <c r="A122" s="6">
        <v>21155</v>
      </c>
      <c r="B122" s="11">
        <v>5.2</v>
      </c>
      <c r="C122" s="11">
        <f>IF(Tabela1610[[#This Row],[Unemployment Rate]]="",#N/A,AVERAGE(B110:B122))</f>
        <v>4.292307692307693</v>
      </c>
      <c r="D122" s="10">
        <v>3476</v>
      </c>
      <c r="E122" s="11">
        <v>59.6</v>
      </c>
      <c r="F122" s="11"/>
      <c r="G122" s="11"/>
      <c r="H122" s="11"/>
      <c r="I122" s="11"/>
      <c r="J122" s="11"/>
      <c r="K122" s="11"/>
      <c r="L122" s="11">
        <v>10.4</v>
      </c>
      <c r="M122" s="10">
        <v>-174</v>
      </c>
      <c r="N122" s="10">
        <f>IF(Tabela1610[[#This Row],[Payroll]]="",#N/A,AVERAGE(M120:M122))</f>
        <v>-183.33333333333334</v>
      </c>
      <c r="O122" s="10"/>
      <c r="P122" s="7"/>
    </row>
    <row r="123" spans="1:16">
      <c r="A123" s="6">
        <v>21186</v>
      </c>
      <c r="B123" s="11">
        <v>5.8</v>
      </c>
      <c r="C123" s="11">
        <f>IF(Tabela1610[[#This Row],[Unemployment Rate]]="",#N/A,AVERAGE(B111:B123))</f>
        <v>4.4153846153846157</v>
      </c>
      <c r="D123" s="10">
        <v>3875</v>
      </c>
      <c r="E123" s="11">
        <v>59.3</v>
      </c>
      <c r="F123" s="11"/>
      <c r="G123" s="11"/>
      <c r="H123" s="11"/>
      <c r="I123" s="11"/>
      <c r="J123" s="11"/>
      <c r="K123" s="11"/>
      <c r="L123" s="11">
        <v>10.5</v>
      </c>
      <c r="M123" s="10">
        <v>-308</v>
      </c>
      <c r="N123" s="10">
        <f>IF(Tabela1610[[#This Row],[Payroll]]="",#N/A,AVERAGE(M121:M123))</f>
        <v>-229</v>
      </c>
      <c r="O123" s="10"/>
      <c r="P123" s="7"/>
    </row>
    <row r="124" spans="1:16">
      <c r="A124" s="6">
        <v>21217</v>
      </c>
      <c r="B124" s="11">
        <v>6.4</v>
      </c>
      <c r="C124" s="11">
        <f>IF(Tabela1610[[#This Row],[Unemployment Rate]]="",#N/A,AVERAGE(B112:B124))</f>
        <v>4.5846153846153843</v>
      </c>
      <c r="D124" s="10">
        <v>4303</v>
      </c>
      <c r="E124" s="11">
        <v>59.3</v>
      </c>
      <c r="F124" s="11"/>
      <c r="G124" s="11"/>
      <c r="H124" s="11"/>
      <c r="I124" s="11"/>
      <c r="J124" s="11"/>
      <c r="K124" s="11"/>
      <c r="L124" s="11">
        <v>11</v>
      </c>
      <c r="M124" s="10">
        <v>-500</v>
      </c>
      <c r="N124" s="10">
        <f>IF(Tabela1610[[#This Row],[Payroll]]="",#N/A,AVERAGE(M122:M124))</f>
        <v>-327.33333333333331</v>
      </c>
      <c r="O124" s="10"/>
      <c r="P124" s="7"/>
    </row>
    <row r="125" spans="1:16">
      <c r="A125" s="6">
        <v>21245</v>
      </c>
      <c r="B125" s="11">
        <v>6.7</v>
      </c>
      <c r="C125" s="11">
        <f>IF(Tabela1610[[#This Row],[Unemployment Rate]]="",#N/A,AVERAGE(B113:B125))</f>
        <v>4.8</v>
      </c>
      <c r="D125" s="10">
        <v>4492</v>
      </c>
      <c r="E125" s="11">
        <v>59.3</v>
      </c>
      <c r="F125" s="11"/>
      <c r="G125" s="11"/>
      <c r="H125" s="11"/>
      <c r="I125" s="11"/>
      <c r="J125" s="11"/>
      <c r="K125" s="11"/>
      <c r="L125" s="11">
        <v>11.2</v>
      </c>
      <c r="M125" s="10">
        <v>-277</v>
      </c>
      <c r="N125" s="10">
        <f>IF(Tabela1610[[#This Row],[Payroll]]="",#N/A,AVERAGE(M123:M125))</f>
        <v>-361.66666666666669</v>
      </c>
      <c r="O125" s="10"/>
      <c r="P125" s="7"/>
    </row>
    <row r="126" spans="1:16">
      <c r="A126" s="6">
        <v>21276</v>
      </c>
      <c r="B126" s="11">
        <v>7.4</v>
      </c>
      <c r="C126" s="11">
        <f>IF(Tabela1610[[#This Row],[Unemployment Rate]]="",#N/A,AVERAGE(B114:B126))</f>
        <v>5.0846153846153852</v>
      </c>
      <c r="D126" s="10">
        <v>5016</v>
      </c>
      <c r="E126" s="11">
        <v>59.6</v>
      </c>
      <c r="F126" s="11"/>
      <c r="G126" s="11"/>
      <c r="H126" s="11"/>
      <c r="I126" s="11"/>
      <c r="J126" s="11"/>
      <c r="K126" s="11"/>
      <c r="L126" s="11">
        <v>12.1</v>
      </c>
      <c r="M126" s="10">
        <v>-272</v>
      </c>
      <c r="N126" s="10">
        <f>IF(Tabela1610[[#This Row],[Payroll]]="",#N/A,AVERAGE(M124:M126))</f>
        <v>-349.66666666666669</v>
      </c>
      <c r="O126" s="10"/>
      <c r="P126" s="7"/>
    </row>
    <row r="127" spans="1:16">
      <c r="A127" s="6">
        <v>21306</v>
      </c>
      <c r="B127" s="11">
        <v>7.4</v>
      </c>
      <c r="C127" s="11">
        <f>IF(Tabela1610[[#This Row],[Unemployment Rate]]="",#N/A,AVERAGE(B115:B127))</f>
        <v>5.3538461538461535</v>
      </c>
      <c r="D127" s="10">
        <v>5021</v>
      </c>
      <c r="E127" s="11">
        <v>59.8</v>
      </c>
      <c r="F127" s="11"/>
      <c r="G127" s="11"/>
      <c r="H127" s="11"/>
      <c r="I127" s="11"/>
      <c r="J127" s="11"/>
      <c r="K127" s="11"/>
      <c r="L127" s="11">
        <v>13.1</v>
      </c>
      <c r="M127" s="10">
        <v>-113</v>
      </c>
      <c r="N127" s="10">
        <f>IF(Tabela1610[[#This Row],[Payroll]]="",#N/A,AVERAGE(M125:M127))</f>
        <v>-220.66666666666666</v>
      </c>
      <c r="O127" s="10"/>
      <c r="P127" s="7"/>
    </row>
    <row r="128" spans="1:16">
      <c r="A128" s="6">
        <v>21337</v>
      </c>
      <c r="B128" s="11">
        <v>7.3</v>
      </c>
      <c r="C128" s="11">
        <f>IF(Tabela1610[[#This Row],[Unemployment Rate]]="",#N/A,AVERAGE(B116:B128))</f>
        <v>5.6</v>
      </c>
      <c r="D128" s="10">
        <v>4944</v>
      </c>
      <c r="E128" s="11">
        <v>59.5</v>
      </c>
      <c r="F128" s="11"/>
      <c r="G128" s="11"/>
      <c r="H128" s="11"/>
      <c r="I128" s="11"/>
      <c r="J128" s="11"/>
      <c r="K128" s="11"/>
      <c r="L128" s="11">
        <v>14.4</v>
      </c>
      <c r="M128" s="10">
        <v>0</v>
      </c>
      <c r="N128" s="10">
        <f>IF(Tabela1610[[#This Row],[Payroll]]="",#N/A,AVERAGE(M126:M128))</f>
        <v>-128.33333333333334</v>
      </c>
      <c r="O128" s="10"/>
      <c r="P128" s="7"/>
    </row>
    <row r="129" spans="1:16">
      <c r="A129" s="6">
        <v>21367</v>
      </c>
      <c r="B129" s="11">
        <v>7.5</v>
      </c>
      <c r="C129" s="11">
        <f>IF(Tabela1610[[#This Row],[Unemployment Rate]]="",#N/A,AVERAGE(B117:B129))</f>
        <v>5.8461538461538458</v>
      </c>
      <c r="D129" s="10">
        <v>5079</v>
      </c>
      <c r="E129" s="11">
        <v>59.6</v>
      </c>
      <c r="F129" s="11"/>
      <c r="G129" s="11"/>
      <c r="H129" s="11"/>
      <c r="I129" s="11"/>
      <c r="J129" s="11"/>
      <c r="K129" s="11"/>
      <c r="L129" s="11">
        <v>14.6</v>
      </c>
      <c r="M129" s="10">
        <v>125</v>
      </c>
      <c r="N129" s="10">
        <f>IF(Tabela1610[[#This Row],[Payroll]]="",#N/A,AVERAGE(M127:M129))</f>
        <v>4</v>
      </c>
      <c r="O129" s="10"/>
      <c r="P129" s="7"/>
    </row>
    <row r="130" spans="1:16">
      <c r="A130" s="6">
        <v>21398</v>
      </c>
      <c r="B130" s="11">
        <v>7.4</v>
      </c>
      <c r="C130" s="11">
        <f>IF(Tabela1610[[#This Row],[Unemployment Rate]]="",#N/A,AVERAGE(B118:B130))</f>
        <v>6.0923076923076929</v>
      </c>
      <c r="D130" s="10">
        <v>5025</v>
      </c>
      <c r="E130" s="11">
        <v>59.8</v>
      </c>
      <c r="F130" s="11"/>
      <c r="G130" s="11"/>
      <c r="H130" s="11"/>
      <c r="I130" s="11"/>
      <c r="J130" s="11"/>
      <c r="K130" s="11"/>
      <c r="L130" s="11">
        <v>15.7</v>
      </c>
      <c r="M130" s="10">
        <v>194</v>
      </c>
      <c r="N130" s="10">
        <f>IF(Tabela1610[[#This Row],[Payroll]]="",#N/A,AVERAGE(M128:M130))</f>
        <v>106.33333333333333</v>
      </c>
      <c r="O130" s="10"/>
      <c r="P130" s="7"/>
    </row>
    <row r="131" spans="1:16">
      <c r="A131" s="6">
        <v>21429</v>
      </c>
      <c r="B131" s="11">
        <v>7.1</v>
      </c>
      <c r="C131" s="11">
        <f>IF(Tabela1610[[#This Row],[Unemployment Rate]]="",#N/A,AVERAGE(B119:B131))</f>
        <v>6.3230769230769219</v>
      </c>
      <c r="D131" s="10">
        <v>4821</v>
      </c>
      <c r="E131" s="11">
        <v>59.7</v>
      </c>
      <c r="F131" s="11"/>
      <c r="G131" s="11"/>
      <c r="H131" s="11"/>
      <c r="I131" s="11"/>
      <c r="J131" s="11"/>
      <c r="K131" s="11"/>
      <c r="L131" s="11">
        <v>16.5</v>
      </c>
      <c r="M131" s="10">
        <v>273</v>
      </c>
      <c r="N131" s="10">
        <f>IF(Tabela1610[[#This Row],[Payroll]]="",#N/A,AVERAGE(M129:M131))</f>
        <v>197.33333333333334</v>
      </c>
      <c r="O131" s="10"/>
      <c r="P131" s="7"/>
    </row>
    <row r="132" spans="1:16">
      <c r="A132" s="6">
        <v>21459</v>
      </c>
      <c r="B132" s="11">
        <v>6.7</v>
      </c>
      <c r="C132" s="11">
        <f>IF(Tabela1610[[#This Row],[Unemployment Rate]]="",#N/A,AVERAGE(B120:B132))</f>
        <v>6.5</v>
      </c>
      <c r="D132" s="10">
        <v>4570</v>
      </c>
      <c r="E132" s="11">
        <v>59.6</v>
      </c>
      <c r="F132" s="11"/>
      <c r="G132" s="11"/>
      <c r="H132" s="11"/>
      <c r="I132" s="11"/>
      <c r="J132" s="11"/>
      <c r="K132" s="11"/>
      <c r="L132" s="11">
        <v>16.5</v>
      </c>
      <c r="M132" s="10">
        <v>-21</v>
      </c>
      <c r="N132" s="10">
        <f>IF(Tabela1610[[#This Row],[Payroll]]="",#N/A,AVERAGE(M130:M132))</f>
        <v>148.66666666666666</v>
      </c>
      <c r="O132" s="10"/>
      <c r="P132" s="7"/>
    </row>
    <row r="133" spans="1:16">
      <c r="A133" s="6">
        <v>21490</v>
      </c>
      <c r="B133" s="11">
        <v>6.2</v>
      </c>
      <c r="C133" s="11">
        <f>IF(Tabela1610[[#This Row],[Unemployment Rate]]="",#N/A,AVERAGE(B121:B133))</f>
        <v>6.6307692307692312</v>
      </c>
      <c r="D133" s="10">
        <v>4188</v>
      </c>
      <c r="E133" s="11">
        <v>59.2</v>
      </c>
      <c r="F133" s="11"/>
      <c r="G133" s="11"/>
      <c r="H133" s="11"/>
      <c r="I133" s="11"/>
      <c r="J133" s="11"/>
      <c r="K133" s="11"/>
      <c r="L133" s="11">
        <v>16.399999999999999</v>
      </c>
      <c r="M133" s="10">
        <v>459</v>
      </c>
      <c r="N133" s="10">
        <f>IF(Tabela1610[[#This Row],[Payroll]]="",#N/A,AVERAGE(M131:M133))</f>
        <v>237</v>
      </c>
      <c r="O133" s="10"/>
      <c r="P133" s="7"/>
    </row>
    <row r="134" spans="1:16">
      <c r="A134" s="6">
        <v>21520</v>
      </c>
      <c r="B134" s="11">
        <v>6.2</v>
      </c>
      <c r="C134" s="11">
        <f>IF(Tabela1610[[#This Row],[Unemployment Rate]]="",#N/A,AVERAGE(B122:B134))</f>
        <v>6.7153846153846155</v>
      </c>
      <c r="D134" s="10">
        <v>4191</v>
      </c>
      <c r="E134" s="11">
        <v>59.2</v>
      </c>
      <c r="F134" s="11"/>
      <c r="G134" s="11"/>
      <c r="H134" s="11"/>
      <c r="I134" s="11"/>
      <c r="J134" s="11"/>
      <c r="K134" s="11"/>
      <c r="L134" s="11">
        <v>15.7</v>
      </c>
      <c r="M134" s="10">
        <v>141</v>
      </c>
      <c r="N134" s="10">
        <f>IF(Tabela1610[[#This Row],[Payroll]]="",#N/A,AVERAGE(M132:M134))</f>
        <v>193</v>
      </c>
      <c r="O134" s="10"/>
      <c r="P134" s="7"/>
    </row>
    <row r="135" spans="1:16">
      <c r="A135" s="6">
        <v>21551</v>
      </c>
      <c r="B135" s="11">
        <v>6</v>
      </c>
      <c r="C135" s="11">
        <f>IF(Tabela1610[[#This Row],[Unemployment Rate]]="",#N/A,AVERAGE(B123:B135))</f>
        <v>6.7769230769230768</v>
      </c>
      <c r="D135" s="10">
        <v>4068</v>
      </c>
      <c r="E135" s="11">
        <v>59.3</v>
      </c>
      <c r="F135" s="11"/>
      <c r="G135" s="11"/>
      <c r="H135" s="55">
        <v>2318.4</v>
      </c>
      <c r="I135" s="11"/>
      <c r="J135" s="11"/>
      <c r="K135" s="11"/>
      <c r="L135" s="11">
        <v>16.3</v>
      </c>
      <c r="M135" s="10">
        <v>393</v>
      </c>
      <c r="N135" s="10">
        <f>IF(Tabela1610[[#This Row],[Payroll]]="",#N/A,AVERAGE(M133:M135))</f>
        <v>331</v>
      </c>
      <c r="O135" s="10"/>
      <c r="P135" s="7"/>
    </row>
    <row r="136" spans="1:16">
      <c r="A136" s="6">
        <v>21582</v>
      </c>
      <c r="B136" s="11">
        <v>5.9</v>
      </c>
      <c r="C136" s="11">
        <f>IF(Tabela1610[[#This Row],[Unemployment Rate]]="",#N/A,AVERAGE(B124:B136))</f>
        <v>6.7846153846153845</v>
      </c>
      <c r="D136" s="10">
        <v>3965</v>
      </c>
      <c r="E136" s="11">
        <v>59</v>
      </c>
      <c r="F136" s="11"/>
      <c r="G136" s="11"/>
      <c r="H136" s="55">
        <v>2325.4</v>
      </c>
      <c r="I136" s="56">
        <f>IF(Tabela1610[[#This Row],[Real Disposable Income (RDI)]]="",#N/A,((Tabela1610[[#This Row],[Real Disposable Income (RDI)]]*1)/H135)-1)</f>
        <v>3.0193236714974869E-3</v>
      </c>
      <c r="J136" s="11"/>
      <c r="K136" s="11"/>
      <c r="L136" s="11">
        <v>15.5</v>
      </c>
      <c r="M136" s="10">
        <v>210</v>
      </c>
      <c r="N136" s="10">
        <f>IF(Tabela1610[[#This Row],[Payroll]]="",#N/A,AVERAGE(M134:M136))</f>
        <v>248</v>
      </c>
      <c r="O136" s="10"/>
      <c r="P136" s="7"/>
    </row>
    <row r="137" spans="1:16">
      <c r="A137" s="6">
        <v>21610</v>
      </c>
      <c r="B137" s="11">
        <v>5.6</v>
      </c>
      <c r="C137" s="11">
        <f>IF(Tabela1610[[#This Row],[Unemployment Rate]]="",#N/A,AVERAGE(B125:B137))</f>
        <v>6.7230769230769232</v>
      </c>
      <c r="D137" s="10">
        <v>3801</v>
      </c>
      <c r="E137" s="11">
        <v>59.3</v>
      </c>
      <c r="F137" s="11"/>
      <c r="G137" s="11"/>
      <c r="H137" s="55">
        <v>2338.6999999999998</v>
      </c>
      <c r="I137" s="56">
        <f>IF(Tabela1610[[#This Row],[Real Disposable Income (RDI)]]="",#N/A,((Tabela1610[[#This Row],[Real Disposable Income (RDI)]]*1)/H136)-1)</f>
        <v>5.7194461167970889E-3</v>
      </c>
      <c r="J137" s="11"/>
      <c r="K137" s="11"/>
      <c r="L137" s="11">
        <v>15.3</v>
      </c>
      <c r="M137" s="10">
        <v>326</v>
      </c>
      <c r="N137" s="10">
        <f>IF(Tabela1610[[#This Row],[Payroll]]="",#N/A,AVERAGE(M135:M137))</f>
        <v>309.66666666666669</v>
      </c>
      <c r="O137" s="10"/>
      <c r="P137" s="7"/>
    </row>
    <row r="138" spans="1:16">
      <c r="A138" s="6">
        <v>21641</v>
      </c>
      <c r="B138" s="11">
        <v>5.2</v>
      </c>
      <c r="C138" s="11">
        <f>IF(Tabela1610[[#This Row],[Unemployment Rate]]="",#N/A,AVERAGE(B126:B138))</f>
        <v>6.6076923076923091</v>
      </c>
      <c r="D138" s="10">
        <v>3571</v>
      </c>
      <c r="E138" s="11">
        <v>59.4</v>
      </c>
      <c r="F138" s="11"/>
      <c r="G138" s="11"/>
      <c r="H138" s="55">
        <v>2353.8000000000002</v>
      </c>
      <c r="I138" s="56">
        <f>IF(Tabela1610[[#This Row],[Real Disposable Income (RDI)]]="",#N/A,((Tabela1610[[#This Row],[Real Disposable Income (RDI)]]*1)/H137)-1)</f>
        <v>6.4565784410144378E-3</v>
      </c>
      <c r="J138" s="11"/>
      <c r="K138" s="11"/>
      <c r="L138" s="11">
        <v>14.9</v>
      </c>
      <c r="M138" s="10">
        <v>307</v>
      </c>
      <c r="N138" s="10">
        <f>IF(Tabela1610[[#This Row],[Payroll]]="",#N/A,AVERAGE(M136:M138))</f>
        <v>281</v>
      </c>
      <c r="O138" s="10"/>
      <c r="P138" s="7"/>
    </row>
    <row r="139" spans="1:16">
      <c r="A139" s="6">
        <v>21671</v>
      </c>
      <c r="B139" s="11">
        <v>5.0999999999999996</v>
      </c>
      <c r="C139" s="11">
        <f>IF(Tabela1610[[#This Row],[Unemployment Rate]]="",#N/A,AVERAGE(B127:B139))</f>
        <v>6.430769230769231</v>
      </c>
      <c r="D139" s="10">
        <v>3479</v>
      </c>
      <c r="E139" s="11">
        <v>59.2</v>
      </c>
      <c r="F139" s="11"/>
      <c r="G139" s="11"/>
      <c r="H139" s="55">
        <v>2366.6</v>
      </c>
      <c r="I139" s="56">
        <f>IF(Tabela1610[[#This Row],[Real Disposable Income (RDI)]]="",#N/A,((Tabela1610[[#This Row],[Real Disposable Income (RDI)]]*1)/H138)-1)</f>
        <v>5.4380151244795005E-3</v>
      </c>
      <c r="J139" s="11"/>
      <c r="K139" s="11"/>
      <c r="L139" s="11">
        <v>14.7</v>
      </c>
      <c r="M139" s="10">
        <v>229</v>
      </c>
      <c r="N139" s="10">
        <f>IF(Tabela1610[[#This Row],[Payroll]]="",#N/A,AVERAGE(M137:M139))</f>
        <v>287.33333333333331</v>
      </c>
      <c r="O139" s="10"/>
      <c r="P139" s="7"/>
    </row>
    <row r="140" spans="1:16">
      <c r="A140" s="6">
        <v>21702</v>
      </c>
      <c r="B140" s="11">
        <v>5</v>
      </c>
      <c r="C140" s="11">
        <f>IF(Tabela1610[[#This Row],[Unemployment Rate]]="",#N/A,AVERAGE(B128:B140))</f>
        <v>6.2461538461538462</v>
      </c>
      <c r="D140" s="10">
        <v>3429</v>
      </c>
      <c r="E140" s="11">
        <v>59.2</v>
      </c>
      <c r="F140" s="11"/>
      <c r="G140" s="11"/>
      <c r="H140" s="55">
        <v>2374.5</v>
      </c>
      <c r="I140" s="56">
        <f>IF(Tabela1610[[#This Row],[Real Disposable Income (RDI)]]="",#N/A,((Tabela1610[[#This Row],[Real Disposable Income (RDI)]]*1)/H139)-1)</f>
        <v>3.3381222006254596E-3</v>
      </c>
      <c r="J140" s="11"/>
      <c r="K140" s="11"/>
      <c r="L140" s="11">
        <v>14.9</v>
      </c>
      <c r="M140" s="10">
        <v>131</v>
      </c>
      <c r="N140" s="10">
        <f>IF(Tabela1610[[#This Row],[Payroll]]="",#N/A,AVERAGE(M138:M140))</f>
        <v>222.33333333333334</v>
      </c>
      <c r="O140" s="10"/>
      <c r="P140" s="7"/>
    </row>
    <row r="141" spans="1:16">
      <c r="A141" s="6">
        <v>21732</v>
      </c>
      <c r="B141" s="11">
        <v>5.0999999999999996</v>
      </c>
      <c r="C141" s="11">
        <f>IF(Tabela1610[[#This Row],[Unemployment Rate]]="",#N/A,AVERAGE(B129:B141))</f>
        <v>6.0769230769230766</v>
      </c>
      <c r="D141" s="10">
        <v>3528</v>
      </c>
      <c r="E141" s="11">
        <v>59.4</v>
      </c>
      <c r="F141" s="11"/>
      <c r="G141" s="11"/>
      <c r="H141" s="55">
        <v>2370.8000000000002</v>
      </c>
      <c r="I141" s="56">
        <f>IF(Tabela1610[[#This Row],[Real Disposable Income (RDI)]]="",#N/A,((Tabela1610[[#This Row],[Real Disposable Income (RDI)]]*1)/H140)-1)</f>
        <v>-1.5582227837438456E-3</v>
      </c>
      <c r="J141" s="11"/>
      <c r="K141" s="11"/>
      <c r="L141" s="11">
        <v>14.3</v>
      </c>
      <c r="M141" s="10">
        <v>123</v>
      </c>
      <c r="N141" s="10">
        <f>IF(Tabela1610[[#This Row],[Payroll]]="",#N/A,AVERAGE(M139:M141))</f>
        <v>161</v>
      </c>
      <c r="O141" s="10"/>
      <c r="P141" s="7"/>
    </row>
    <row r="142" spans="1:16">
      <c r="A142" s="6">
        <v>21763</v>
      </c>
      <c r="B142" s="11">
        <v>5.2</v>
      </c>
      <c r="C142" s="11">
        <f>IF(Tabela1610[[#This Row],[Unemployment Rate]]="",#N/A,AVERAGE(B130:B142))</f>
        <v>5.9</v>
      </c>
      <c r="D142" s="10">
        <v>3588</v>
      </c>
      <c r="E142" s="11">
        <v>59.2</v>
      </c>
      <c r="F142" s="11"/>
      <c r="G142" s="11"/>
      <c r="H142" s="55">
        <v>2356.8000000000002</v>
      </c>
      <c r="I142" s="56">
        <f>IF(Tabela1610[[#This Row],[Real Disposable Income (RDI)]]="",#N/A,((Tabela1610[[#This Row],[Real Disposable Income (RDI)]]*1)/H141)-1)</f>
        <v>-5.9051796861818717E-3</v>
      </c>
      <c r="J142" s="11"/>
      <c r="K142" s="11"/>
      <c r="L142" s="11">
        <v>13.7</v>
      </c>
      <c r="M142" s="10">
        <v>-468</v>
      </c>
      <c r="N142" s="10">
        <f>IF(Tabela1610[[#This Row],[Payroll]]="",#N/A,AVERAGE(M140:M142))</f>
        <v>-71.333333333333329</v>
      </c>
      <c r="O142" s="10"/>
      <c r="P142" s="7"/>
    </row>
    <row r="143" spans="1:16">
      <c r="A143" s="6">
        <v>21794</v>
      </c>
      <c r="B143" s="11">
        <v>5.5</v>
      </c>
      <c r="C143" s="11">
        <f>IF(Tabela1610[[#This Row],[Unemployment Rate]]="",#N/A,AVERAGE(B131:B143))</f>
        <v>5.7538461538461547</v>
      </c>
      <c r="D143" s="10">
        <v>3775</v>
      </c>
      <c r="E143" s="11">
        <v>59.3</v>
      </c>
      <c r="F143" s="11"/>
      <c r="G143" s="11"/>
      <c r="H143" s="55">
        <v>2357.8000000000002</v>
      </c>
      <c r="I143" s="56">
        <f>IF(Tabela1610[[#This Row],[Real Disposable Income (RDI)]]="",#N/A,((Tabela1610[[#This Row],[Real Disposable Income (RDI)]]*1)/H142)-1)</f>
        <v>4.243041412084203E-4</v>
      </c>
      <c r="J143" s="11"/>
      <c r="K143" s="11"/>
      <c r="L143" s="11">
        <v>13.7</v>
      </c>
      <c r="M143" s="10">
        <v>92</v>
      </c>
      <c r="N143" s="10">
        <f>IF(Tabela1610[[#This Row],[Payroll]]="",#N/A,AVERAGE(M141:M143))</f>
        <v>-84.333333333333329</v>
      </c>
      <c r="O143" s="10"/>
      <c r="P143" s="7"/>
    </row>
    <row r="144" spans="1:16">
      <c r="A144" s="6">
        <v>21824</v>
      </c>
      <c r="B144" s="11">
        <v>5.7</v>
      </c>
      <c r="C144" s="11">
        <f>IF(Tabela1610[[#This Row],[Unemployment Rate]]="",#N/A,AVERAGE(B132:B144))</f>
        <v>5.6461538461538474</v>
      </c>
      <c r="D144" s="10">
        <v>3910</v>
      </c>
      <c r="E144" s="11">
        <v>59.4</v>
      </c>
      <c r="F144" s="11"/>
      <c r="G144" s="11"/>
      <c r="H144" s="55">
        <v>2359.5</v>
      </c>
      <c r="I144" s="56">
        <f>IF(Tabela1610[[#This Row],[Real Disposable Income (RDI)]]="",#N/A,((Tabela1610[[#This Row],[Real Disposable Income (RDI)]]*1)/H143)-1)</f>
        <v>7.2101111205347124E-4</v>
      </c>
      <c r="J144" s="11"/>
      <c r="K144" s="11"/>
      <c r="L144" s="11">
        <v>12.9</v>
      </c>
      <c r="M144" s="10">
        <v>-70</v>
      </c>
      <c r="N144" s="10">
        <f>IF(Tabela1610[[#This Row],[Payroll]]="",#N/A,AVERAGE(M142:M144))</f>
        <v>-148.66666666666666</v>
      </c>
      <c r="O144" s="10"/>
      <c r="P144" s="7"/>
    </row>
    <row r="145" spans="1:16">
      <c r="A145" s="6">
        <v>21855</v>
      </c>
      <c r="B145" s="11">
        <v>5.8</v>
      </c>
      <c r="C145" s="11">
        <f>IF(Tabela1610[[#This Row],[Unemployment Rate]]="",#N/A,AVERAGE(B133:B145))</f>
        <v>5.5769230769230766</v>
      </c>
      <c r="D145" s="10">
        <v>4003</v>
      </c>
      <c r="E145" s="11">
        <v>59.1</v>
      </c>
      <c r="F145" s="11"/>
      <c r="G145" s="11"/>
      <c r="H145" s="55">
        <v>2376.6</v>
      </c>
      <c r="I145" s="56">
        <f>IF(Tabela1610[[#This Row],[Real Disposable Income (RDI)]]="",#N/A,((Tabela1610[[#This Row],[Real Disposable Income (RDI)]]*1)/H144)-1)</f>
        <v>7.247298156389137E-3</v>
      </c>
      <c r="J145" s="11"/>
      <c r="K145" s="11"/>
      <c r="L145" s="11">
        <v>13.1</v>
      </c>
      <c r="M145" s="10">
        <v>276</v>
      </c>
      <c r="N145" s="10">
        <f>IF(Tabela1610[[#This Row],[Payroll]]="",#N/A,AVERAGE(M143:M145))</f>
        <v>99.333333333333329</v>
      </c>
      <c r="O145" s="10"/>
      <c r="P145" s="7"/>
    </row>
    <row r="146" spans="1:16">
      <c r="A146" s="6">
        <v>21885</v>
      </c>
      <c r="B146" s="11">
        <v>5.3</v>
      </c>
      <c r="C146" s="11">
        <f>IF(Tabela1610[[#This Row],[Unemployment Rate]]="",#N/A,AVERAGE(B134:B146))</f>
        <v>5.5076923076923086</v>
      </c>
      <c r="D146" s="10">
        <v>3653</v>
      </c>
      <c r="E146" s="11">
        <v>59.5</v>
      </c>
      <c r="F146" s="11"/>
      <c r="G146" s="11"/>
      <c r="H146" s="55">
        <v>2399.6999999999998</v>
      </c>
      <c r="I146" s="56">
        <f>IF(Tabela1610[[#This Row],[Real Disposable Income (RDI)]]="",#N/A,((Tabela1610[[#This Row],[Real Disposable Income (RDI)]]*1)/H145)-1)</f>
        <v>9.7197677354203815E-3</v>
      </c>
      <c r="J146" s="11"/>
      <c r="K146" s="11"/>
      <c r="L146" s="11">
        <v>13.1</v>
      </c>
      <c r="M146" s="10">
        <v>540</v>
      </c>
      <c r="N146" s="10">
        <f>IF(Tabela1610[[#This Row],[Payroll]]="",#N/A,AVERAGE(M144:M146))</f>
        <v>248.66666666666666</v>
      </c>
      <c r="O146" s="10"/>
      <c r="P146" s="7"/>
    </row>
    <row r="147" spans="1:16">
      <c r="A147" s="6">
        <v>21916</v>
      </c>
      <c r="B147" s="11">
        <v>5.2</v>
      </c>
      <c r="C147" s="11">
        <f>IF(Tabela1610[[#This Row],[Unemployment Rate]]="",#N/A,AVERAGE(B135:B147))</f>
        <v>5.430769230769231</v>
      </c>
      <c r="D147" s="10">
        <v>3615</v>
      </c>
      <c r="E147" s="11">
        <v>59.1</v>
      </c>
      <c r="F147" s="11"/>
      <c r="G147" s="11"/>
      <c r="H147" s="55">
        <v>2404.9</v>
      </c>
      <c r="I147" s="56">
        <f>IF(Tabela1610[[#This Row],[Real Disposable Income (RDI)]]="",#N/A,((Tabela1610[[#This Row],[Real Disposable Income (RDI)]]*1)/H146)-1)</f>
        <v>2.1669375338584373E-3</v>
      </c>
      <c r="J147" s="56">
        <f>IF(Tabela1610[[#This Row],[Real Disposable Income (RDI)]]="",#N/A,((Tabela1610[[#This Row],[Real Disposable Income (RDI)]]*1)/H135)-1)</f>
        <v>3.7310213940648707E-2</v>
      </c>
      <c r="K147" s="11"/>
      <c r="L147" s="11">
        <v>13.5</v>
      </c>
      <c r="M147" s="10">
        <v>100</v>
      </c>
      <c r="N147" s="10">
        <f>IF(Tabela1610[[#This Row],[Payroll]]="",#N/A,AVERAGE(M145:M147))</f>
        <v>305.33333333333331</v>
      </c>
      <c r="O147" s="10"/>
      <c r="P147" s="7"/>
    </row>
    <row r="148" spans="1:16">
      <c r="A148" s="6">
        <v>21947</v>
      </c>
      <c r="B148" s="11">
        <v>4.8</v>
      </c>
      <c r="C148" s="11">
        <f>IF(Tabela1610[[#This Row],[Unemployment Rate]]="",#N/A,AVERAGE(B136:B148))</f>
        <v>5.3384615384615381</v>
      </c>
      <c r="D148" s="10">
        <v>3329</v>
      </c>
      <c r="E148" s="11">
        <v>59.1</v>
      </c>
      <c r="F148" s="11"/>
      <c r="G148" s="11"/>
      <c r="H148" s="55">
        <v>2405.3000000000002</v>
      </c>
      <c r="I148" s="56">
        <f>IF(Tabela1610[[#This Row],[Real Disposable Income (RDI)]]="",#N/A,((Tabela1610[[#This Row],[Real Disposable Income (RDI)]]*1)/H147)-1)</f>
        <v>1.6632708220720716E-4</v>
      </c>
      <c r="J148" s="56">
        <f>IF(Tabela1610[[#This Row],[Real Disposable Income (RDI)]]="",#N/A,((Tabela1610[[#This Row],[Real Disposable Income (RDI)]]*1)/H136)-1)</f>
        <v>3.4359680055044306E-2</v>
      </c>
      <c r="K148" s="11"/>
      <c r="L148" s="11">
        <v>13.1</v>
      </c>
      <c r="M148" s="10">
        <v>239</v>
      </c>
      <c r="N148" s="10">
        <f>IF(Tabela1610[[#This Row],[Payroll]]="",#N/A,AVERAGE(M146:M148))</f>
        <v>293</v>
      </c>
      <c r="O148" s="10"/>
      <c r="P148" s="7"/>
    </row>
    <row r="149" spans="1:16">
      <c r="A149" s="6">
        <v>21976</v>
      </c>
      <c r="B149" s="11">
        <v>5.4</v>
      </c>
      <c r="C149" s="11">
        <f>IF(Tabela1610[[#This Row],[Unemployment Rate]]="",#N/A,AVERAGE(B137:B149))</f>
        <v>5.3000000000000007</v>
      </c>
      <c r="D149" s="10">
        <v>3726</v>
      </c>
      <c r="E149" s="11">
        <v>58.5</v>
      </c>
      <c r="F149" s="11"/>
      <c r="G149" s="11"/>
      <c r="H149" s="55">
        <v>2408.1</v>
      </c>
      <c r="I149" s="56">
        <f>IF(Tabela1610[[#This Row],[Real Disposable Income (RDI)]]="",#N/A,((Tabela1610[[#This Row],[Real Disposable Income (RDI)]]*1)/H148)-1)</f>
        <v>1.1640959547665197E-3</v>
      </c>
      <c r="J149" s="56">
        <f>IF(Tabela1610[[#This Row],[Real Disposable Income (RDI)]]="",#N/A,((Tabela1610[[#This Row],[Real Disposable Income (RDI)]]*1)/H137)-1)</f>
        <v>2.9674605550092048E-2</v>
      </c>
      <c r="K149" s="11"/>
      <c r="L149" s="11">
        <v>13</v>
      </c>
      <c r="M149" s="10">
        <v>-59</v>
      </c>
      <c r="N149" s="10">
        <f>IF(Tabela1610[[#This Row],[Payroll]]="",#N/A,AVERAGE(M147:M149))</f>
        <v>93.333333333333329</v>
      </c>
      <c r="O149" s="10"/>
      <c r="P149" s="7"/>
    </row>
    <row r="150" spans="1:16">
      <c r="A150" s="6">
        <v>22007</v>
      </c>
      <c r="B150" s="11">
        <v>5.2</v>
      </c>
      <c r="C150" s="11">
        <f>IF(Tabela1610[[#This Row],[Unemployment Rate]]="",#N/A,AVERAGE(B138:B150))</f>
        <v>5.2692307692307683</v>
      </c>
      <c r="D150" s="10">
        <v>3620</v>
      </c>
      <c r="E150" s="11">
        <v>59.5</v>
      </c>
      <c r="F150" s="11"/>
      <c r="G150" s="11"/>
      <c r="H150" s="55">
        <v>2417.3000000000002</v>
      </c>
      <c r="I150" s="56">
        <f>IF(Tabela1610[[#This Row],[Real Disposable Income (RDI)]]="",#N/A,((Tabela1610[[#This Row],[Real Disposable Income (RDI)]]*1)/H149)-1)</f>
        <v>3.8204393505254508E-3</v>
      </c>
      <c r="J150" s="56">
        <f>IF(Tabela1610[[#This Row],[Real Disposable Income (RDI)]]="",#N/A,((Tabela1610[[#This Row],[Real Disposable Income (RDI)]]*1)/H138)-1)</f>
        <v>2.6977653156597947E-2</v>
      </c>
      <c r="K150" s="11"/>
      <c r="L150" s="11">
        <v>12.6</v>
      </c>
      <c r="M150" s="10">
        <v>359</v>
      </c>
      <c r="N150" s="10">
        <f>IF(Tabela1610[[#This Row],[Payroll]]="",#N/A,AVERAGE(M148:M150))</f>
        <v>179.66666666666666</v>
      </c>
      <c r="O150" s="10"/>
      <c r="P150" s="7"/>
    </row>
    <row r="151" spans="1:16">
      <c r="A151" s="6">
        <v>22037</v>
      </c>
      <c r="B151" s="11">
        <v>5.0999999999999996</v>
      </c>
      <c r="C151" s="11">
        <f>IF(Tabela1610[[#This Row],[Unemployment Rate]]="",#N/A,AVERAGE(B139:B151))</f>
        <v>5.2615384615384606</v>
      </c>
      <c r="D151" s="10">
        <v>3569</v>
      </c>
      <c r="E151" s="11">
        <v>59.5</v>
      </c>
      <c r="F151" s="11"/>
      <c r="G151" s="11"/>
      <c r="H151" s="55">
        <v>2422.6</v>
      </c>
      <c r="I151" s="56">
        <f>IF(Tabela1610[[#This Row],[Real Disposable Income (RDI)]]="",#N/A,((Tabela1610[[#This Row],[Real Disposable Income (RDI)]]*1)/H150)-1)</f>
        <v>2.1925288545070476E-3</v>
      </c>
      <c r="J151" s="56">
        <f>IF(Tabela1610[[#This Row],[Real Disposable Income (RDI)]]="",#N/A,((Tabela1610[[#This Row],[Real Disposable Income (RDI)]]*1)/H139)-1)</f>
        <v>2.3662638384179813E-2</v>
      </c>
      <c r="K151" s="11"/>
      <c r="L151" s="11">
        <v>11.9</v>
      </c>
      <c r="M151" s="10">
        <v>-338</v>
      </c>
      <c r="N151" s="10">
        <f>IF(Tabela1610[[#This Row],[Payroll]]="",#N/A,AVERAGE(M149:M151))</f>
        <v>-12.666666666666666</v>
      </c>
      <c r="O151" s="10"/>
      <c r="P151" s="7"/>
    </row>
    <row r="152" spans="1:16">
      <c r="A152" s="6">
        <v>22068</v>
      </c>
      <c r="B152" s="11">
        <v>5.4</v>
      </c>
      <c r="C152" s="11">
        <f>IF(Tabela1610[[#This Row],[Unemployment Rate]]="",#N/A,AVERAGE(B140:B152))</f>
        <v>5.2846153846153845</v>
      </c>
      <c r="D152" s="10">
        <v>3766</v>
      </c>
      <c r="E152" s="11">
        <v>59.7</v>
      </c>
      <c r="F152" s="11"/>
      <c r="G152" s="11"/>
      <c r="H152" s="55">
        <v>2424.9</v>
      </c>
      <c r="I152" s="56">
        <f>IF(Tabela1610[[#This Row],[Real Disposable Income (RDI)]]="",#N/A,((Tabela1610[[#This Row],[Real Disposable Income (RDI)]]*1)/H151)-1)</f>
        <v>9.4939321390241638E-4</v>
      </c>
      <c r="J152" s="56">
        <f>IF(Tabela1610[[#This Row],[Real Disposable Income (RDI)]]="",#N/A,((Tabela1610[[#This Row],[Real Disposable Income (RDI)]]*1)/H140)-1)</f>
        <v>2.1225521162349992E-2</v>
      </c>
      <c r="K152" s="11"/>
      <c r="L152" s="11">
        <v>11.9</v>
      </c>
      <c r="M152" s="10">
        <v>-127</v>
      </c>
      <c r="N152" s="10">
        <f>IF(Tabela1610[[#This Row],[Payroll]]="",#N/A,AVERAGE(M150:M152))</f>
        <v>-35.333333333333336</v>
      </c>
      <c r="O152" s="10"/>
      <c r="P152" s="7"/>
    </row>
    <row r="153" spans="1:16">
      <c r="A153" s="6">
        <v>22098</v>
      </c>
      <c r="B153" s="11">
        <v>5.5</v>
      </c>
      <c r="C153" s="11">
        <f>IF(Tabela1610[[#This Row],[Unemployment Rate]]="",#N/A,AVERAGE(B141:B153))</f>
        <v>5.3230769230769237</v>
      </c>
      <c r="D153" s="10">
        <v>3836</v>
      </c>
      <c r="E153" s="11">
        <v>59.5</v>
      </c>
      <c r="F153" s="11"/>
      <c r="G153" s="11"/>
      <c r="H153" s="55">
        <v>2428.8000000000002</v>
      </c>
      <c r="I153" s="56">
        <f>IF(Tabela1610[[#This Row],[Real Disposable Income (RDI)]]="",#N/A,((Tabela1610[[#This Row],[Real Disposable Income (RDI)]]*1)/H152)-1)</f>
        <v>1.6083137448967832E-3</v>
      </c>
      <c r="J153" s="56">
        <f>IF(Tabela1610[[#This Row],[Real Disposable Income (RDI)]]="",#N/A,((Tabela1610[[#This Row],[Real Disposable Income (RDI)]]*1)/H141)-1)</f>
        <v>2.4464315842753548E-2</v>
      </c>
      <c r="K153" s="11"/>
      <c r="L153" s="11">
        <v>12.6</v>
      </c>
      <c r="M153" s="10">
        <v>-42</v>
      </c>
      <c r="N153" s="10">
        <f>IF(Tabela1610[[#This Row],[Payroll]]="",#N/A,AVERAGE(M151:M153))</f>
        <v>-169</v>
      </c>
      <c r="O153" s="10"/>
      <c r="P153" s="7"/>
    </row>
    <row r="154" spans="1:16">
      <c r="A154" s="6">
        <v>22129</v>
      </c>
      <c r="B154" s="11">
        <v>5.6</v>
      </c>
      <c r="C154" s="11">
        <f>IF(Tabela1610[[#This Row],[Unemployment Rate]]="",#N/A,AVERAGE(B142:B154))</f>
        <v>5.3615384615384603</v>
      </c>
      <c r="D154" s="10">
        <v>3946</v>
      </c>
      <c r="E154" s="11">
        <v>59.5</v>
      </c>
      <c r="F154" s="11"/>
      <c r="G154" s="11"/>
      <c r="H154" s="55">
        <v>2423.3000000000002</v>
      </c>
      <c r="I154" s="56">
        <f>IF(Tabela1610[[#This Row],[Real Disposable Income (RDI)]]="",#N/A,((Tabela1610[[#This Row],[Real Disposable Income (RDI)]]*1)/H153)-1)</f>
        <v>-2.2644927536231707E-3</v>
      </c>
      <c r="J154" s="56">
        <f>IF(Tabela1610[[#This Row],[Real Disposable Income (RDI)]]="",#N/A,((Tabela1610[[#This Row],[Real Disposable Income (RDI)]]*1)/H142)-1)</f>
        <v>2.8216225390359728E-2</v>
      </c>
      <c r="K154" s="11"/>
      <c r="L154" s="11">
        <v>12.2</v>
      </c>
      <c r="M154" s="10">
        <v>-34</v>
      </c>
      <c r="N154" s="10">
        <f>IF(Tabela1610[[#This Row],[Payroll]]="",#N/A,AVERAGE(M152:M154))</f>
        <v>-67.666666666666671</v>
      </c>
      <c r="O154" s="10"/>
      <c r="P154" s="7"/>
    </row>
    <row r="155" spans="1:16">
      <c r="A155" s="6">
        <v>22160</v>
      </c>
      <c r="B155" s="11">
        <v>5.5</v>
      </c>
      <c r="C155" s="11">
        <f>IF(Tabela1610[[#This Row],[Unemployment Rate]]="",#N/A,AVERAGE(B143:B155))</f>
        <v>5.384615384615385</v>
      </c>
      <c r="D155" s="10">
        <v>3884</v>
      </c>
      <c r="E155" s="11">
        <v>59.7</v>
      </c>
      <c r="F155" s="11"/>
      <c r="G155" s="11"/>
      <c r="H155" s="55">
        <v>2426.6999999999998</v>
      </c>
      <c r="I155" s="56">
        <f>IF(Tabela1610[[#This Row],[Real Disposable Income (RDI)]]="",#N/A,((Tabela1610[[#This Row],[Real Disposable Income (RDI)]]*1)/H154)-1)</f>
        <v>1.4030454339122311E-3</v>
      </c>
      <c r="J155" s="56">
        <f>IF(Tabela1610[[#This Row],[Real Disposable Income (RDI)]]="",#N/A,((Tabela1610[[#This Row],[Real Disposable Income (RDI)]]*1)/H143)-1)</f>
        <v>2.922215624734914E-2</v>
      </c>
      <c r="K155" s="11"/>
      <c r="L155" s="11">
        <v>12.9</v>
      </c>
      <c r="M155" s="10">
        <v>-45</v>
      </c>
      <c r="N155" s="10">
        <f>IF(Tabela1610[[#This Row],[Payroll]]="",#N/A,AVERAGE(M153:M155))</f>
        <v>-40.333333333333336</v>
      </c>
      <c r="O155" s="10"/>
      <c r="P155" s="7"/>
    </row>
    <row r="156" spans="1:16">
      <c r="A156" s="6">
        <v>22190</v>
      </c>
      <c r="B156" s="11">
        <v>6.1</v>
      </c>
      <c r="C156" s="11">
        <f>IF(Tabela1610[[#This Row],[Unemployment Rate]]="",#N/A,AVERAGE(B144:B156))</f>
        <v>5.4307692307692301</v>
      </c>
      <c r="D156" s="10">
        <v>4252</v>
      </c>
      <c r="E156" s="11">
        <v>59.4</v>
      </c>
      <c r="F156" s="11"/>
      <c r="G156" s="11"/>
      <c r="H156" s="55">
        <v>2435.6</v>
      </c>
      <c r="I156" s="56">
        <f>IF(Tabela1610[[#This Row],[Real Disposable Income (RDI)]]="",#N/A,((Tabela1610[[#This Row],[Real Disposable Income (RDI)]]*1)/H155)-1)</f>
        <v>3.6675320393950717E-3</v>
      </c>
      <c r="J156" s="56">
        <f>IF(Tabela1610[[#This Row],[Real Disposable Income (RDI)]]="",#N/A,((Tabela1610[[#This Row],[Real Disposable Income (RDI)]]*1)/H144)-1)</f>
        <v>3.2252595888959457E-2</v>
      </c>
      <c r="K156" s="11"/>
      <c r="L156" s="11">
        <v>13.5</v>
      </c>
      <c r="M156" s="10">
        <v>-85</v>
      </c>
      <c r="N156" s="10">
        <f>IF(Tabela1610[[#This Row],[Payroll]]="",#N/A,AVERAGE(M154:M156))</f>
        <v>-54.666666666666664</v>
      </c>
      <c r="O156" s="10"/>
      <c r="P156" s="7"/>
    </row>
    <row r="157" spans="1:16">
      <c r="A157" s="6">
        <v>22221</v>
      </c>
      <c r="B157" s="11">
        <v>6.1</v>
      </c>
      <c r="C157" s="11">
        <f>IF(Tabela1610[[#This Row],[Unemployment Rate]]="",#N/A,AVERAGE(B145:B157))</f>
        <v>5.4615384615384608</v>
      </c>
      <c r="D157" s="10">
        <v>4330</v>
      </c>
      <c r="E157" s="11">
        <v>59.8</v>
      </c>
      <c r="F157" s="11"/>
      <c r="G157" s="11"/>
      <c r="H157" s="55">
        <v>2425.5</v>
      </c>
      <c r="I157" s="56">
        <f>IF(Tabela1610[[#This Row],[Real Disposable Income (RDI)]]="",#N/A,((Tabela1610[[#This Row],[Real Disposable Income (RDI)]]*1)/H156)-1)</f>
        <v>-4.1468221382821024E-3</v>
      </c>
      <c r="J157" s="56">
        <f>IF(Tabela1610[[#This Row],[Real Disposable Income (RDI)]]="",#N/A,((Tabela1610[[#This Row],[Real Disposable Income (RDI)]]*1)/H145)-1)</f>
        <v>2.057561221913673E-2</v>
      </c>
      <c r="K157" s="11"/>
      <c r="L157" s="11">
        <v>13.9</v>
      </c>
      <c r="M157" s="10">
        <v>-181</v>
      </c>
      <c r="N157" s="10">
        <f>IF(Tabela1610[[#This Row],[Payroll]]="",#N/A,AVERAGE(M155:M157))</f>
        <v>-103.66666666666667</v>
      </c>
      <c r="O157" s="10"/>
      <c r="P157" s="7"/>
    </row>
    <row r="158" spans="1:16">
      <c r="A158" s="6">
        <v>22251</v>
      </c>
      <c r="B158" s="11">
        <v>6.6</v>
      </c>
      <c r="C158" s="11">
        <f>IF(Tabela1610[[#This Row],[Unemployment Rate]]="",#N/A,AVERAGE(B146:B158))</f>
        <v>5.523076923076923</v>
      </c>
      <c r="D158" s="10">
        <v>4617</v>
      </c>
      <c r="E158" s="11">
        <v>59.7</v>
      </c>
      <c r="F158" s="11"/>
      <c r="G158" s="11"/>
      <c r="H158" s="55">
        <v>2414.6</v>
      </c>
      <c r="I158" s="56">
        <f>IF(Tabela1610[[#This Row],[Real Disposable Income (RDI)]]="",#N/A,((Tabela1610[[#This Row],[Real Disposable Income (RDI)]]*1)/H157)-1)</f>
        <v>-4.4939187796331215E-3</v>
      </c>
      <c r="J158" s="56">
        <f>IF(Tabela1610[[#This Row],[Real Disposable Income (RDI)]]="",#N/A,((Tabela1610[[#This Row],[Real Disposable Income (RDI)]]*1)/H146)-1)</f>
        <v>6.2091094720173601E-3</v>
      </c>
      <c r="K158" s="11"/>
      <c r="L158" s="11">
        <v>12.4</v>
      </c>
      <c r="M158" s="10">
        <v>-219</v>
      </c>
      <c r="N158" s="10">
        <f>IF(Tabela1610[[#This Row],[Payroll]]="",#N/A,AVERAGE(M156:M158))</f>
        <v>-161.66666666666666</v>
      </c>
      <c r="O158" s="10"/>
      <c r="P158" s="7"/>
    </row>
    <row r="159" spans="1:16">
      <c r="A159" s="6">
        <v>22282</v>
      </c>
      <c r="B159" s="11">
        <v>6.6</v>
      </c>
      <c r="C159" s="11">
        <f>IF(Tabela1610[[#This Row],[Unemployment Rate]]="",#N/A,AVERAGE(B147:B159))</f>
        <v>5.6230769230769226</v>
      </c>
      <c r="D159" s="10">
        <v>4671</v>
      </c>
      <c r="E159" s="11">
        <v>59.6</v>
      </c>
      <c r="F159" s="11"/>
      <c r="G159" s="11"/>
      <c r="H159" s="55">
        <v>2437.9</v>
      </c>
      <c r="I159" s="56">
        <f>IF(Tabela1610[[#This Row],[Real Disposable Income (RDI)]]="",#N/A,((Tabela1610[[#This Row],[Real Disposable Income (RDI)]]*1)/H158)-1)</f>
        <v>9.6496314089291602E-3</v>
      </c>
      <c r="J159" s="56">
        <f>IF(Tabela1610[[#This Row],[Real Disposable Income (RDI)]]="",#N/A,((Tabela1610[[#This Row],[Real Disposable Income (RDI)]]*1)/H147)-1)</f>
        <v>1.3721984282090816E-2</v>
      </c>
      <c r="K159" s="11"/>
      <c r="L159" s="11">
        <v>13.7</v>
      </c>
      <c r="M159" s="10">
        <v>-59</v>
      </c>
      <c r="N159" s="10">
        <f>IF(Tabela1610[[#This Row],[Payroll]]="",#N/A,AVERAGE(M157:M159))</f>
        <v>-153</v>
      </c>
      <c r="O159" s="10"/>
      <c r="P159" s="7"/>
    </row>
    <row r="160" spans="1:16">
      <c r="A160" s="6">
        <v>22313</v>
      </c>
      <c r="B160" s="11">
        <v>6.9</v>
      </c>
      <c r="C160" s="11">
        <f>IF(Tabela1610[[#This Row],[Unemployment Rate]]="",#N/A,AVERAGE(B148:B160))</f>
        <v>5.7538461538461547</v>
      </c>
      <c r="D160" s="10">
        <v>4832</v>
      </c>
      <c r="E160" s="11">
        <v>59.6</v>
      </c>
      <c r="F160" s="11"/>
      <c r="G160" s="11"/>
      <c r="H160" s="55">
        <v>2448.1</v>
      </c>
      <c r="I160" s="56">
        <f>IF(Tabela1610[[#This Row],[Real Disposable Income (RDI)]]="",#N/A,((Tabela1610[[#This Row],[Real Disposable Income (RDI)]]*1)/H159)-1)</f>
        <v>4.1839287911726863E-3</v>
      </c>
      <c r="J160" s="56">
        <f>IF(Tabela1610[[#This Row],[Real Disposable Income (RDI)]]="",#N/A,((Tabela1610[[#This Row],[Real Disposable Income (RDI)]]*1)/H148)-1)</f>
        <v>1.7794038165717341E-2</v>
      </c>
      <c r="K160" s="11"/>
      <c r="L160" s="11">
        <v>13.6</v>
      </c>
      <c r="M160" s="10">
        <v>-126</v>
      </c>
      <c r="N160" s="10">
        <f>IF(Tabela1610[[#This Row],[Payroll]]="",#N/A,AVERAGE(M158:M160))</f>
        <v>-134.66666666666666</v>
      </c>
      <c r="O160" s="10"/>
      <c r="P160" s="7"/>
    </row>
    <row r="161" spans="1:16">
      <c r="A161" s="6">
        <v>22341</v>
      </c>
      <c r="B161" s="11">
        <v>6.9</v>
      </c>
      <c r="C161" s="11">
        <f>IF(Tabela1610[[#This Row],[Unemployment Rate]]="",#N/A,AVERAGE(B149:B161))</f>
        <v>5.9153846153846166</v>
      </c>
      <c r="D161" s="10">
        <v>4853</v>
      </c>
      <c r="E161" s="11">
        <v>59.7</v>
      </c>
      <c r="F161" s="11"/>
      <c r="G161" s="11"/>
      <c r="H161" s="55">
        <v>2458.4</v>
      </c>
      <c r="I161" s="56">
        <f>IF(Tabela1610[[#This Row],[Real Disposable Income (RDI)]]="",#N/A,((Tabela1610[[#This Row],[Real Disposable Income (RDI)]]*1)/H160)-1)</f>
        <v>4.2073444712227293E-3</v>
      </c>
      <c r="J161" s="56">
        <f>IF(Tabela1610[[#This Row],[Real Disposable Income (RDI)]]="",#N/A,((Tabela1610[[#This Row],[Real Disposable Income (RDI)]]*1)/H149)-1)</f>
        <v>2.0887836883850319E-2</v>
      </c>
      <c r="K161" s="11"/>
      <c r="L161" s="11">
        <v>14.1</v>
      </c>
      <c r="M161" s="10">
        <v>102</v>
      </c>
      <c r="N161" s="10">
        <f>IF(Tabela1610[[#This Row],[Payroll]]="",#N/A,AVERAGE(M159:M161))</f>
        <v>-27.666666666666668</v>
      </c>
      <c r="O161" s="10"/>
      <c r="P161" s="7"/>
    </row>
    <row r="162" spans="1:16">
      <c r="A162" s="6">
        <v>22372</v>
      </c>
      <c r="B162" s="11">
        <v>7</v>
      </c>
      <c r="C162" s="11">
        <f>IF(Tabela1610[[#This Row],[Unemployment Rate]]="",#N/A,AVERAGE(B150:B162))</f>
        <v>6.0384615384615392</v>
      </c>
      <c r="D162" s="10">
        <v>4893</v>
      </c>
      <c r="E162" s="11">
        <v>59.3</v>
      </c>
      <c r="F162" s="11"/>
      <c r="G162" s="11"/>
      <c r="H162" s="55">
        <v>2463.4</v>
      </c>
      <c r="I162" s="56">
        <f>IF(Tabela1610[[#This Row],[Real Disposable Income (RDI)]]="",#N/A,((Tabela1610[[#This Row],[Real Disposable Income (RDI)]]*1)/H161)-1)</f>
        <v>2.0338431500162013E-3</v>
      </c>
      <c r="J162" s="56">
        <f>IF(Tabela1610[[#This Row],[Real Disposable Income (RDI)]]="",#N/A,((Tabela1610[[#This Row],[Real Disposable Income (RDI)]]*1)/H150)-1)</f>
        <v>1.9070864187316294E-2</v>
      </c>
      <c r="K162" s="11"/>
      <c r="L162" s="11">
        <v>15.5</v>
      </c>
      <c r="M162" s="10">
        <v>-32</v>
      </c>
      <c r="N162" s="10">
        <f>IF(Tabela1610[[#This Row],[Payroll]]="",#N/A,AVERAGE(M160:M162))</f>
        <v>-18.666666666666668</v>
      </c>
      <c r="O162" s="10"/>
      <c r="P162" s="7"/>
    </row>
    <row r="163" spans="1:16">
      <c r="A163" s="6">
        <v>22402</v>
      </c>
      <c r="B163" s="11">
        <v>7.1</v>
      </c>
      <c r="C163" s="11">
        <f>IF(Tabela1610[[#This Row],[Unemployment Rate]]="",#N/A,AVERAGE(B151:B163))</f>
        <v>6.1846153846153848</v>
      </c>
      <c r="D163" s="10">
        <v>5003</v>
      </c>
      <c r="E163" s="11">
        <v>59.4</v>
      </c>
      <c r="F163" s="11"/>
      <c r="G163" s="11"/>
      <c r="H163" s="55">
        <v>2483.5</v>
      </c>
      <c r="I163" s="56">
        <f>IF(Tabela1610[[#This Row],[Real Disposable Income (RDI)]]="",#N/A,((Tabela1610[[#This Row],[Real Disposable Income (RDI)]]*1)/H162)-1)</f>
        <v>8.1594544126004642E-3</v>
      </c>
      <c r="J163" s="56">
        <f>IF(Tabela1610[[#This Row],[Real Disposable Income (RDI)]]="",#N/A,((Tabela1610[[#This Row],[Real Disposable Income (RDI)]]*1)/H151)-1)</f>
        <v>2.5138281185503208E-2</v>
      </c>
      <c r="K163" s="11"/>
      <c r="L163" s="11">
        <v>15.6</v>
      </c>
      <c r="M163" s="10">
        <v>159</v>
      </c>
      <c r="N163" s="10">
        <f>IF(Tabela1610[[#This Row],[Payroll]]="",#N/A,AVERAGE(M161:M163))</f>
        <v>76.333333333333329</v>
      </c>
      <c r="O163" s="10"/>
      <c r="P163" s="7"/>
    </row>
    <row r="164" spans="1:16">
      <c r="A164" s="6">
        <v>22433</v>
      </c>
      <c r="B164" s="11">
        <v>6.9</v>
      </c>
      <c r="C164" s="11">
        <f>IF(Tabela1610[[#This Row],[Unemployment Rate]]="",#N/A,AVERAGE(B152:B164))</f>
        <v>6.3230769230769237</v>
      </c>
      <c r="D164" s="10">
        <v>4885</v>
      </c>
      <c r="E164" s="11">
        <v>59.7</v>
      </c>
      <c r="F164" s="11"/>
      <c r="G164" s="11"/>
      <c r="H164" s="55">
        <v>2509.1</v>
      </c>
      <c r="I164" s="56">
        <f>IF(Tabela1610[[#This Row],[Real Disposable Income (RDI)]]="",#N/A,((Tabela1610[[#This Row],[Real Disposable Income (RDI)]]*1)/H163)-1)</f>
        <v>1.0308033017918161E-2</v>
      </c>
      <c r="J164" s="56">
        <f>IF(Tabela1610[[#This Row],[Real Disposable Income (RDI)]]="",#N/A,((Tabela1610[[#This Row],[Real Disposable Income (RDI)]]*1)/H152)-1)</f>
        <v>3.4723081364179897E-2</v>
      </c>
      <c r="K164" s="11"/>
      <c r="L164" s="11">
        <v>16.2</v>
      </c>
      <c r="M164" s="10">
        <v>191</v>
      </c>
      <c r="N164" s="10">
        <f>IF(Tabela1610[[#This Row],[Payroll]]="",#N/A,AVERAGE(M162:M164))</f>
        <v>106</v>
      </c>
      <c r="O164" s="10"/>
      <c r="P164" s="7"/>
    </row>
    <row r="165" spans="1:16">
      <c r="A165" s="6">
        <v>22463</v>
      </c>
      <c r="B165" s="11">
        <v>7</v>
      </c>
      <c r="C165" s="11">
        <f>IF(Tabela1610[[#This Row],[Unemployment Rate]]="",#N/A,AVERAGE(B153:B165))</f>
        <v>6.4461538461538472</v>
      </c>
      <c r="D165" s="10">
        <v>4928</v>
      </c>
      <c r="E165" s="11">
        <v>59.3</v>
      </c>
      <c r="F165" s="11"/>
      <c r="G165" s="11"/>
      <c r="H165" s="55">
        <v>2517.6</v>
      </c>
      <c r="I165" s="56">
        <f>IF(Tabela1610[[#This Row],[Real Disposable Income (RDI)]]="",#N/A,((Tabela1610[[#This Row],[Real Disposable Income (RDI)]]*1)/H164)-1)</f>
        <v>3.3876688852576553E-3</v>
      </c>
      <c r="J165" s="56">
        <f>IF(Tabela1610[[#This Row],[Real Disposable Income (RDI)]]="",#N/A,((Tabela1610[[#This Row],[Real Disposable Income (RDI)]]*1)/H153)-1)</f>
        <v>3.6561264822134287E-2</v>
      </c>
      <c r="K165" s="11"/>
      <c r="L165" s="11">
        <v>17.3</v>
      </c>
      <c r="M165" s="10">
        <v>146</v>
      </c>
      <c r="N165" s="10">
        <f>IF(Tabela1610[[#This Row],[Payroll]]="",#N/A,AVERAGE(M163:M165))</f>
        <v>165.33333333333334</v>
      </c>
      <c r="O165" s="10"/>
      <c r="P165" s="7"/>
    </row>
    <row r="166" spans="1:16">
      <c r="A166" s="6">
        <v>22494</v>
      </c>
      <c r="B166" s="11">
        <v>6.6</v>
      </c>
      <c r="C166" s="11">
        <f>IF(Tabela1610[[#This Row],[Unemployment Rate]]="",#N/A,AVERAGE(B154:B166))</f>
        <v>6.5307692307692298</v>
      </c>
      <c r="D166" s="10">
        <v>4682</v>
      </c>
      <c r="E166" s="11">
        <v>59.3</v>
      </c>
      <c r="F166" s="11"/>
      <c r="G166" s="11"/>
      <c r="H166" s="55">
        <v>2517.6999999999998</v>
      </c>
      <c r="I166" s="56">
        <f>IF(Tabela1610[[#This Row],[Real Disposable Income (RDI)]]="",#N/A,((Tabela1610[[#This Row],[Real Disposable Income (RDI)]]*1)/H165)-1)</f>
        <v>3.97203686048897E-5</v>
      </c>
      <c r="J166" s="56">
        <f>IF(Tabela1610[[#This Row],[Real Disposable Income (RDI)]]="",#N/A,((Tabela1610[[#This Row],[Real Disposable Income (RDI)]]*1)/H154)-1)</f>
        <v>3.8955143812156923E-2</v>
      </c>
      <c r="K166" s="11"/>
      <c r="L166" s="11">
        <v>17</v>
      </c>
      <c r="M166" s="10">
        <v>175</v>
      </c>
      <c r="N166" s="10">
        <f>IF(Tabela1610[[#This Row],[Payroll]]="",#N/A,AVERAGE(M164:M166))</f>
        <v>170.66666666666666</v>
      </c>
      <c r="O166" s="10"/>
      <c r="P166" s="7"/>
    </row>
    <row r="167" spans="1:16">
      <c r="A167" s="6">
        <v>22525</v>
      </c>
      <c r="B167" s="11">
        <v>6.7</v>
      </c>
      <c r="C167" s="11">
        <f>IF(Tabela1610[[#This Row],[Unemployment Rate]]="",#N/A,AVERAGE(B155:B167))</f>
        <v>6.615384615384615</v>
      </c>
      <c r="D167" s="10">
        <v>4676</v>
      </c>
      <c r="E167" s="11">
        <v>59</v>
      </c>
      <c r="F167" s="11"/>
      <c r="G167" s="11"/>
      <c r="H167" s="55">
        <v>2519.9</v>
      </c>
      <c r="I167" s="56">
        <f>IF(Tabela1610[[#This Row],[Real Disposable Income (RDI)]]="",#N/A,((Tabela1610[[#This Row],[Real Disposable Income (RDI)]]*1)/H166)-1)</f>
        <v>8.7381340112013817E-4</v>
      </c>
      <c r="J167" s="56">
        <f>IF(Tabela1610[[#This Row],[Real Disposable Income (RDI)]]="",#N/A,((Tabela1610[[#This Row],[Real Disposable Income (RDI)]]*1)/H155)-1)</f>
        <v>3.8406065850743909E-2</v>
      </c>
      <c r="K167" s="11"/>
      <c r="L167" s="11">
        <v>16.100000000000001</v>
      </c>
      <c r="M167" s="10">
        <v>90</v>
      </c>
      <c r="N167" s="10">
        <f>IF(Tabela1610[[#This Row],[Payroll]]="",#N/A,AVERAGE(M165:M167))</f>
        <v>137</v>
      </c>
      <c r="O167" s="10"/>
      <c r="P167" s="7"/>
    </row>
    <row r="168" spans="1:16">
      <c r="A168" s="6">
        <v>22555</v>
      </c>
      <c r="B168" s="11">
        <v>6.5</v>
      </c>
      <c r="C168" s="11">
        <f>IF(Tabela1610[[#This Row],[Unemployment Rate]]="",#N/A,AVERAGE(B156:B168))</f>
        <v>6.6923076923076916</v>
      </c>
      <c r="D168" s="10">
        <v>4573</v>
      </c>
      <c r="E168" s="11">
        <v>59.1</v>
      </c>
      <c r="F168" s="11"/>
      <c r="G168" s="11"/>
      <c r="H168" s="55">
        <v>2546.6</v>
      </c>
      <c r="I168" s="56">
        <f>IF(Tabela1610[[#This Row],[Real Disposable Income (RDI)]]="",#N/A,((Tabela1610[[#This Row],[Real Disposable Income (RDI)]]*1)/H167)-1)</f>
        <v>1.0595658557879251E-2</v>
      </c>
      <c r="J168" s="56">
        <f>IF(Tabela1610[[#This Row],[Real Disposable Income (RDI)]]="",#N/A,((Tabela1610[[#This Row],[Real Disposable Income (RDI)]]*1)/H156)-1)</f>
        <v>4.557398587617012E-2</v>
      </c>
      <c r="K168" s="11"/>
      <c r="L168" s="11">
        <v>15.9</v>
      </c>
      <c r="M168" s="10">
        <v>134</v>
      </c>
      <c r="N168" s="10">
        <f>IF(Tabela1610[[#This Row],[Payroll]]="",#N/A,AVERAGE(M166:M168))</f>
        <v>133</v>
      </c>
      <c r="O168" s="10"/>
      <c r="P168" s="7"/>
    </row>
    <row r="169" spans="1:16">
      <c r="A169" s="6">
        <v>22586</v>
      </c>
      <c r="B169" s="11">
        <v>6.1</v>
      </c>
      <c r="C169" s="11">
        <f>IF(Tabela1610[[#This Row],[Unemployment Rate]]="",#N/A,AVERAGE(B157:B169))</f>
        <v>6.6923076923076916</v>
      </c>
      <c r="D169" s="10">
        <v>4295</v>
      </c>
      <c r="E169" s="11">
        <v>59.1</v>
      </c>
      <c r="F169" s="11"/>
      <c r="G169" s="11"/>
      <c r="H169" s="55">
        <v>2570.1</v>
      </c>
      <c r="I169" s="56">
        <f>IF(Tabela1610[[#This Row],[Real Disposable Income (RDI)]]="",#N/A,((Tabela1610[[#This Row],[Real Disposable Income (RDI)]]*1)/H168)-1)</f>
        <v>9.2279902615250986E-3</v>
      </c>
      <c r="J169" s="56">
        <f>IF(Tabela1610[[#This Row],[Real Disposable Income (RDI)]]="",#N/A,((Tabela1610[[#This Row],[Real Disposable Income (RDI)]]*1)/H157)-1)</f>
        <v>5.961657390228825E-2</v>
      </c>
      <c r="K169" s="11"/>
      <c r="L169" s="11">
        <v>17</v>
      </c>
      <c r="M169" s="10">
        <v>220</v>
      </c>
      <c r="N169" s="10">
        <f>IF(Tabela1610[[#This Row],[Payroll]]="",#N/A,AVERAGE(M167:M169))</f>
        <v>148</v>
      </c>
      <c r="O169" s="10"/>
      <c r="P169" s="7"/>
    </row>
    <row r="170" spans="1:16">
      <c r="A170" s="6">
        <v>22616</v>
      </c>
      <c r="B170" s="11">
        <v>6</v>
      </c>
      <c r="C170" s="11">
        <f>IF(Tabela1610[[#This Row],[Unemployment Rate]]="",#N/A,AVERAGE(B158:B170))</f>
        <v>6.684615384615384</v>
      </c>
      <c r="D170" s="10">
        <v>4177</v>
      </c>
      <c r="E170" s="11">
        <v>58.8</v>
      </c>
      <c r="F170" s="11"/>
      <c r="G170" s="11"/>
      <c r="H170" s="55">
        <v>2585.8000000000002</v>
      </c>
      <c r="I170" s="56">
        <f>IF(Tabela1610[[#This Row],[Real Disposable Income (RDI)]]="",#N/A,((Tabela1610[[#This Row],[Real Disposable Income (RDI)]]*1)/H169)-1)</f>
        <v>6.1087117232794252E-3</v>
      </c>
      <c r="J170" s="56">
        <f>IF(Tabela1610[[#This Row],[Real Disposable Income (RDI)]]="",#N/A,((Tabela1610[[#This Row],[Real Disposable Income (RDI)]]*1)/H158)-1)</f>
        <v>7.0902012755736044E-2</v>
      </c>
      <c r="K170" s="11"/>
      <c r="L170" s="11">
        <v>15.8</v>
      </c>
      <c r="M170" s="10">
        <v>130</v>
      </c>
      <c r="N170" s="10">
        <f>IF(Tabela1610[[#This Row],[Payroll]]="",#N/A,AVERAGE(M168:M170))</f>
        <v>161.33333333333334</v>
      </c>
      <c r="O170" s="10"/>
      <c r="P170" s="7"/>
    </row>
    <row r="171" spans="1:16">
      <c r="A171" s="6">
        <v>22647</v>
      </c>
      <c r="B171" s="11">
        <v>5.8</v>
      </c>
      <c r="C171" s="11">
        <f>IF(Tabela1610[[#This Row],[Unemployment Rate]]="",#N/A,AVERAGE(B159:B171))</f>
        <v>6.6230769230769226</v>
      </c>
      <c r="D171" s="10">
        <v>4081</v>
      </c>
      <c r="E171" s="11">
        <v>58.8</v>
      </c>
      <c r="F171" s="11"/>
      <c r="G171" s="11"/>
      <c r="H171" s="55">
        <v>2579.4</v>
      </c>
      <c r="I171" s="56">
        <f>IF(Tabela1610[[#This Row],[Real Disposable Income (RDI)]]="",#N/A,((Tabela1610[[#This Row],[Real Disposable Income (RDI)]]*1)/H170)-1)</f>
        <v>-2.475056075489257E-3</v>
      </c>
      <c r="J171" s="56">
        <f>IF(Tabela1610[[#This Row],[Real Disposable Income (RDI)]]="",#N/A,((Tabela1610[[#This Row],[Real Disposable Income (RDI)]]*1)/H159)-1)</f>
        <v>5.8041757250092196E-2</v>
      </c>
      <c r="K171" s="11"/>
      <c r="L171" s="11">
        <v>15.3</v>
      </c>
      <c r="M171" s="10">
        <v>19</v>
      </c>
      <c r="N171" s="10">
        <f>IF(Tabela1610[[#This Row],[Payroll]]="",#N/A,AVERAGE(M169:M171))</f>
        <v>123</v>
      </c>
      <c r="O171" s="10"/>
      <c r="P171" s="7"/>
    </row>
    <row r="172" spans="1:16">
      <c r="A172" s="6">
        <v>22678</v>
      </c>
      <c r="B172" s="11">
        <v>5.5</v>
      </c>
      <c r="C172" s="11">
        <f>IF(Tabela1610[[#This Row],[Unemployment Rate]]="",#N/A,AVERAGE(B160:B172))</f>
        <v>6.5384615384615383</v>
      </c>
      <c r="D172" s="10">
        <v>3871</v>
      </c>
      <c r="E172" s="11">
        <v>59</v>
      </c>
      <c r="F172" s="11"/>
      <c r="G172" s="11"/>
      <c r="H172" s="55">
        <v>2590.9</v>
      </c>
      <c r="I172" s="56">
        <f>IF(Tabela1610[[#This Row],[Real Disposable Income (RDI)]]="",#N/A,((Tabela1610[[#This Row],[Real Disposable Income (RDI)]]*1)/H171)-1)</f>
        <v>4.4584011785686606E-3</v>
      </c>
      <c r="J172" s="56">
        <f>IF(Tabela1610[[#This Row],[Real Disposable Income (RDI)]]="",#N/A,((Tabela1610[[#This Row],[Real Disposable Income (RDI)]]*1)/H160)-1)</f>
        <v>5.8330950533066472E-2</v>
      </c>
      <c r="K172" s="11"/>
      <c r="L172" s="11">
        <v>16</v>
      </c>
      <c r="M172" s="10">
        <v>297</v>
      </c>
      <c r="N172" s="10">
        <f>IF(Tabela1610[[#This Row],[Payroll]]="",#N/A,AVERAGE(M170:M172))</f>
        <v>148.66666666666666</v>
      </c>
      <c r="O172" s="10"/>
      <c r="P172" s="7"/>
    </row>
    <row r="173" spans="1:16">
      <c r="A173" s="6">
        <v>22706</v>
      </c>
      <c r="B173" s="11">
        <v>5.6</v>
      </c>
      <c r="C173" s="11">
        <f>IF(Tabela1610[[#This Row],[Unemployment Rate]]="",#N/A,AVERAGE(B161:B173))</f>
        <v>6.4384615384615387</v>
      </c>
      <c r="D173" s="10">
        <v>3921</v>
      </c>
      <c r="E173" s="11">
        <v>58.9</v>
      </c>
      <c r="F173" s="11"/>
      <c r="G173" s="11"/>
      <c r="H173" s="55">
        <v>2608.1</v>
      </c>
      <c r="I173" s="56">
        <f>IF(Tabela1610[[#This Row],[Real Disposable Income (RDI)]]="",#N/A,((Tabela1610[[#This Row],[Real Disposable Income (RDI)]]*1)/H172)-1)</f>
        <v>6.6386197846306505E-3</v>
      </c>
      <c r="J173" s="56">
        <f>IF(Tabela1610[[#This Row],[Real Disposable Income (RDI)]]="",#N/A,((Tabela1610[[#This Row],[Real Disposable Income (RDI)]]*1)/H161)-1)</f>
        <v>6.0893263911486972E-2</v>
      </c>
      <c r="K173" s="11"/>
      <c r="L173" s="11">
        <v>15</v>
      </c>
      <c r="M173" s="10">
        <v>87</v>
      </c>
      <c r="N173" s="10">
        <f>IF(Tabela1610[[#This Row],[Payroll]]="",#N/A,AVERAGE(M171:M173))</f>
        <v>134.33333333333334</v>
      </c>
      <c r="O173" s="10"/>
      <c r="P173" s="7"/>
    </row>
    <row r="174" spans="1:16">
      <c r="A174" s="6">
        <v>22737</v>
      </c>
      <c r="B174" s="11">
        <v>5.6</v>
      </c>
      <c r="C174" s="11">
        <f>IF(Tabela1610[[#This Row],[Unemployment Rate]]="",#N/A,AVERAGE(B162:B174))</f>
        <v>6.3384615384615381</v>
      </c>
      <c r="D174" s="10">
        <v>3906</v>
      </c>
      <c r="E174" s="11">
        <v>58.7</v>
      </c>
      <c r="F174" s="11"/>
      <c r="G174" s="11"/>
      <c r="H174" s="55">
        <v>2619.6</v>
      </c>
      <c r="I174" s="56">
        <f>IF(Tabela1610[[#This Row],[Real Disposable Income (RDI)]]="",#N/A,((Tabela1610[[#This Row],[Real Disposable Income (RDI)]]*1)/H173)-1)</f>
        <v>4.4093401326636972E-3</v>
      </c>
      <c r="J174" s="56">
        <f>IF(Tabela1610[[#This Row],[Real Disposable Income (RDI)]]="",#N/A,((Tabela1610[[#This Row],[Real Disposable Income (RDI)]]*1)/H162)-1)</f>
        <v>6.3408297475034514E-2</v>
      </c>
      <c r="K174" s="11"/>
      <c r="L174" s="11">
        <v>14.9</v>
      </c>
      <c r="M174" s="10">
        <v>327</v>
      </c>
      <c r="N174" s="10">
        <f>IF(Tabela1610[[#This Row],[Payroll]]="",#N/A,AVERAGE(M172:M174))</f>
        <v>237</v>
      </c>
      <c r="O174" s="10"/>
      <c r="P174" s="7"/>
    </row>
    <row r="175" spans="1:16">
      <c r="A175" s="6">
        <v>22767</v>
      </c>
      <c r="B175" s="11">
        <v>5.5</v>
      </c>
      <c r="C175" s="11">
        <f>IF(Tabela1610[[#This Row],[Unemployment Rate]]="",#N/A,AVERAGE(B163:B175))</f>
        <v>6.2230769230769223</v>
      </c>
      <c r="D175" s="10">
        <v>3863</v>
      </c>
      <c r="E175" s="11">
        <v>58.9</v>
      </c>
      <c r="F175" s="11"/>
      <c r="G175" s="11"/>
      <c r="H175" s="55">
        <v>2621.1</v>
      </c>
      <c r="I175" s="56">
        <f>IF(Tabela1610[[#This Row],[Real Disposable Income (RDI)]]="",#N/A,((Tabela1610[[#This Row],[Real Disposable Income (RDI)]]*1)/H174)-1)</f>
        <v>5.7260650480994713E-4</v>
      </c>
      <c r="J175" s="56">
        <f>IF(Tabela1610[[#This Row],[Real Disposable Income (RDI)]]="",#N/A,((Tabela1610[[#This Row],[Real Disposable Income (RDI)]]*1)/H163)-1)</f>
        <v>5.5405677471310533E-2</v>
      </c>
      <c r="K175" s="11"/>
      <c r="L175" s="11">
        <v>15.5</v>
      </c>
      <c r="M175" s="10">
        <v>26</v>
      </c>
      <c r="N175" s="10">
        <f>IF(Tabela1610[[#This Row],[Payroll]]="",#N/A,AVERAGE(M173:M175))</f>
        <v>146.66666666666666</v>
      </c>
      <c r="O175" s="10"/>
      <c r="P175" s="7"/>
    </row>
    <row r="176" spans="1:16">
      <c r="A176" s="6">
        <v>22798</v>
      </c>
      <c r="B176" s="11">
        <v>5.5</v>
      </c>
      <c r="C176" s="11">
        <f>IF(Tabela1610[[#This Row],[Unemployment Rate]]="",#N/A,AVERAGE(B164:B176))</f>
        <v>6.1</v>
      </c>
      <c r="D176" s="10">
        <v>3844</v>
      </c>
      <c r="E176" s="11">
        <v>58.8</v>
      </c>
      <c r="F176" s="11"/>
      <c r="G176" s="11"/>
      <c r="H176" s="55">
        <v>2621.6</v>
      </c>
      <c r="I176" s="56">
        <f>IF(Tabela1610[[#This Row],[Real Disposable Income (RDI)]]="",#N/A,((Tabela1610[[#This Row],[Real Disposable Income (RDI)]]*1)/H175)-1)</f>
        <v>1.9075960474612685E-4</v>
      </c>
      <c r="J176" s="56">
        <f>IF(Tabela1610[[#This Row],[Real Disposable Income (RDI)]]="",#N/A,((Tabela1610[[#This Row],[Real Disposable Income (RDI)]]*1)/H164)-1)</f>
        <v>4.4836794069586627E-2</v>
      </c>
      <c r="K176" s="11"/>
      <c r="L176" s="11">
        <v>15.1</v>
      </c>
      <c r="M176" s="10">
        <v>16</v>
      </c>
      <c r="N176" s="10">
        <f>IF(Tabela1610[[#This Row],[Payroll]]="",#N/A,AVERAGE(M174:M176))</f>
        <v>123</v>
      </c>
      <c r="O176" s="10"/>
      <c r="P176" s="7"/>
    </row>
    <row r="177" spans="1:16">
      <c r="A177" s="6">
        <v>22828</v>
      </c>
      <c r="B177" s="11">
        <v>5.4</v>
      </c>
      <c r="C177" s="11">
        <f>IF(Tabela1610[[#This Row],[Unemployment Rate]]="",#N/A,AVERAGE(B165:B177))</f>
        <v>5.9846153846153856</v>
      </c>
      <c r="D177" s="10">
        <v>3819</v>
      </c>
      <c r="E177" s="11">
        <v>58.5</v>
      </c>
      <c r="F177" s="11"/>
      <c r="G177" s="11"/>
      <c r="H177" s="55">
        <v>2633</v>
      </c>
      <c r="I177" s="56">
        <f>IF(Tabela1610[[#This Row],[Real Disposable Income (RDI)]]="",#N/A,((Tabela1610[[#This Row],[Real Disposable Income (RDI)]]*1)/H176)-1)</f>
        <v>4.3484894720782208E-3</v>
      </c>
      <c r="J177" s="56">
        <f>IF(Tabela1610[[#This Row],[Real Disposable Income (RDI)]]="",#N/A,((Tabela1610[[#This Row],[Real Disposable Income (RDI)]]*1)/H165)-1)</f>
        <v>4.5837305370193926E-2</v>
      </c>
      <c r="K177" s="11"/>
      <c r="L177" s="11">
        <v>14.6</v>
      </c>
      <c r="M177" s="10">
        <v>102</v>
      </c>
      <c r="N177" s="10">
        <f>IF(Tabela1610[[#This Row],[Payroll]]="",#N/A,AVERAGE(M175:M177))</f>
        <v>48</v>
      </c>
      <c r="O177" s="10"/>
      <c r="P177" s="7"/>
    </row>
    <row r="178" spans="1:16">
      <c r="A178" s="6">
        <v>22859</v>
      </c>
      <c r="B178" s="11">
        <v>5.7</v>
      </c>
      <c r="C178" s="11">
        <f>IF(Tabela1610[[#This Row],[Unemployment Rate]]="",#N/A,AVERAGE(B166:B178))</f>
        <v>5.8846153846153859</v>
      </c>
      <c r="D178" s="10">
        <v>4013</v>
      </c>
      <c r="E178" s="11">
        <v>59</v>
      </c>
      <c r="F178" s="11"/>
      <c r="G178" s="11"/>
      <c r="H178" s="55">
        <v>2635.5</v>
      </c>
      <c r="I178" s="56">
        <f>IF(Tabela1610[[#This Row],[Real Disposable Income (RDI)]]="",#N/A,((Tabela1610[[#This Row],[Real Disposable Income (RDI)]]*1)/H177)-1)</f>
        <v>9.4948727687049761E-4</v>
      </c>
      <c r="J178" s="56">
        <f>IF(Tabela1610[[#This Row],[Real Disposable Income (RDI)]]="",#N/A,((Tabela1610[[#This Row],[Real Disposable Income (RDI)]]*1)/H166)-1)</f>
        <v>4.6788735750883825E-2</v>
      </c>
      <c r="K178" s="11"/>
      <c r="L178" s="11">
        <v>14.5</v>
      </c>
      <c r="M178" s="10">
        <v>92</v>
      </c>
      <c r="N178" s="10">
        <f>IF(Tabela1610[[#This Row],[Payroll]]="",#N/A,AVERAGE(M176:M178))</f>
        <v>70</v>
      </c>
      <c r="O178" s="10"/>
      <c r="P178" s="7"/>
    </row>
    <row r="179" spans="1:16">
      <c r="A179" s="6">
        <v>22890</v>
      </c>
      <c r="B179" s="11">
        <v>5.6</v>
      </c>
      <c r="C179" s="11">
        <f>IF(Tabela1610[[#This Row],[Unemployment Rate]]="",#N/A,AVERAGE(B167:B179))</f>
        <v>5.8076923076923075</v>
      </c>
      <c r="D179" s="10">
        <v>3961</v>
      </c>
      <c r="E179" s="11">
        <v>59</v>
      </c>
      <c r="F179" s="11"/>
      <c r="G179" s="11"/>
      <c r="H179" s="55">
        <v>2636.3</v>
      </c>
      <c r="I179" s="56">
        <f>IF(Tabela1610[[#This Row],[Real Disposable Income (RDI)]]="",#N/A,((Tabela1610[[#This Row],[Real Disposable Income (RDI)]]*1)/H178)-1)</f>
        <v>3.0354771390639357E-4</v>
      </c>
      <c r="J179" s="56">
        <f>IF(Tabela1610[[#This Row],[Real Disposable Income (RDI)]]="",#N/A,((Tabela1610[[#This Row],[Real Disposable Income (RDI)]]*1)/H167)-1)</f>
        <v>4.6192309218619831E-2</v>
      </c>
      <c r="K179" s="11"/>
      <c r="L179" s="11">
        <v>14.1</v>
      </c>
      <c r="M179" s="10">
        <v>140</v>
      </c>
      <c r="N179" s="10">
        <f>IF(Tabela1610[[#This Row],[Payroll]]="",#N/A,AVERAGE(M177:M179))</f>
        <v>111.33333333333333</v>
      </c>
      <c r="O179" s="10"/>
      <c r="P179" s="7"/>
    </row>
    <row r="180" spans="1:16">
      <c r="A180" s="6">
        <v>22920</v>
      </c>
      <c r="B180" s="11">
        <v>5.4</v>
      </c>
      <c r="C180" s="11">
        <f>IF(Tabela1610[[#This Row],[Unemployment Rate]]="",#N/A,AVERAGE(B168:B180))</f>
        <v>5.7076923076923078</v>
      </c>
      <c r="D180" s="10">
        <v>3803</v>
      </c>
      <c r="E180" s="11">
        <v>58.7</v>
      </c>
      <c r="F180" s="11"/>
      <c r="G180" s="11"/>
      <c r="H180" s="55">
        <v>2649.3</v>
      </c>
      <c r="I180" s="56">
        <f>IF(Tabela1610[[#This Row],[Real Disposable Income (RDI)]]="",#N/A,((Tabela1610[[#This Row],[Real Disposable Income (RDI)]]*1)/H179)-1)</f>
        <v>4.9311535106020266E-3</v>
      </c>
      <c r="J180" s="56">
        <f>IF(Tabela1610[[#This Row],[Real Disposable Income (RDI)]]="",#N/A,((Tabela1610[[#This Row],[Real Disposable Income (RDI)]]*1)/H168)-1)</f>
        <v>4.032828084504847E-2</v>
      </c>
      <c r="K180" s="11"/>
      <c r="L180" s="11">
        <v>14.1</v>
      </c>
      <c r="M180" s="10">
        <v>63</v>
      </c>
      <c r="N180" s="10">
        <f>IF(Tabela1610[[#This Row],[Payroll]]="",#N/A,AVERAGE(M178:M180))</f>
        <v>98.333333333333329</v>
      </c>
      <c r="O180" s="10"/>
      <c r="P180" s="7"/>
    </row>
    <row r="181" spans="1:16">
      <c r="A181" s="6">
        <v>22951</v>
      </c>
      <c r="B181" s="11">
        <v>5.7</v>
      </c>
      <c r="C181" s="11">
        <f>IF(Tabela1610[[#This Row],[Unemployment Rate]]="",#N/A,AVERAGE(B169:B181))</f>
        <v>5.6461538461538465</v>
      </c>
      <c r="D181" s="10">
        <v>4024</v>
      </c>
      <c r="E181" s="11">
        <v>58.5</v>
      </c>
      <c r="F181" s="11"/>
      <c r="G181" s="11"/>
      <c r="H181" s="55">
        <v>2656.5</v>
      </c>
      <c r="I181" s="56">
        <f>IF(Tabela1610[[#This Row],[Real Disposable Income (RDI)]]="",#N/A,((Tabela1610[[#This Row],[Real Disposable Income (RDI)]]*1)/H180)-1)</f>
        <v>2.7176990148340963E-3</v>
      </c>
      <c r="J181" s="56">
        <f>IF(Tabela1610[[#This Row],[Real Disposable Income (RDI)]]="",#N/A,((Tabela1610[[#This Row],[Real Disposable Income (RDI)]]*1)/H169)-1)</f>
        <v>3.361736897396983E-2</v>
      </c>
      <c r="K181" s="11"/>
      <c r="L181" s="11">
        <v>13.3</v>
      </c>
      <c r="M181" s="10">
        <v>15</v>
      </c>
      <c r="N181" s="10">
        <f>IF(Tabela1610[[#This Row],[Payroll]]="",#N/A,AVERAGE(M179:M181))</f>
        <v>72.666666666666671</v>
      </c>
      <c r="O181" s="10"/>
      <c r="P181" s="7"/>
    </row>
    <row r="182" spans="1:16">
      <c r="A182" s="6">
        <v>22981</v>
      </c>
      <c r="B182" s="11">
        <v>5.5</v>
      </c>
      <c r="C182" s="11">
        <f>IF(Tabela1610[[#This Row],[Unemployment Rate]]="",#N/A,AVERAGE(B170:B182))</f>
        <v>5.6</v>
      </c>
      <c r="D182" s="10">
        <v>3907</v>
      </c>
      <c r="E182" s="11">
        <v>58.4</v>
      </c>
      <c r="F182" s="11"/>
      <c r="G182" s="11"/>
      <c r="H182" s="55">
        <v>2669</v>
      </c>
      <c r="I182" s="56">
        <f>IF(Tabela1610[[#This Row],[Real Disposable Income (RDI)]]="",#N/A,((Tabela1610[[#This Row],[Real Disposable Income (RDI)]]*1)/H181)-1)</f>
        <v>4.7054394880481354E-3</v>
      </c>
      <c r="J182" s="56">
        <f>IF(Tabela1610[[#This Row],[Real Disposable Income (RDI)]]="",#N/A,((Tabela1610[[#This Row],[Real Disposable Income (RDI)]]*1)/H170)-1)</f>
        <v>3.2175728981359564E-2</v>
      </c>
      <c r="K182" s="11"/>
      <c r="L182" s="11">
        <v>13.6</v>
      </c>
      <c r="M182" s="10">
        <v>-28</v>
      </c>
      <c r="N182" s="10">
        <f>IF(Tabela1610[[#This Row],[Payroll]]="",#N/A,AVERAGE(M180:M182))</f>
        <v>16.666666666666668</v>
      </c>
      <c r="O182" s="10"/>
      <c r="P182" s="7"/>
    </row>
    <row r="183" spans="1:16">
      <c r="A183" s="6">
        <v>23012</v>
      </c>
      <c r="B183" s="11">
        <v>5.7</v>
      </c>
      <c r="C183" s="11">
        <f>IF(Tabela1610[[#This Row],[Unemployment Rate]]="",#N/A,AVERAGE(B171:B183))</f>
        <v>5.5769230769230784</v>
      </c>
      <c r="D183" s="10">
        <v>4074</v>
      </c>
      <c r="E183" s="11">
        <v>58.6</v>
      </c>
      <c r="F183" s="11"/>
      <c r="G183" s="11"/>
      <c r="H183" s="55">
        <v>2688.2</v>
      </c>
      <c r="I183" s="56">
        <f>IF(Tabela1610[[#This Row],[Real Disposable Income (RDI)]]="",#N/A,((Tabela1610[[#This Row],[Real Disposable Income (RDI)]]*1)/H182)-1)</f>
        <v>7.1937055076807255E-3</v>
      </c>
      <c r="J183" s="56">
        <f>IF(Tabela1610[[#This Row],[Real Disposable Income (RDI)]]="",#N/A,((Tabela1610[[#This Row],[Real Disposable Income (RDI)]]*1)/H171)-1)</f>
        <v>4.2180352019849376E-2</v>
      </c>
      <c r="K183" s="11"/>
      <c r="L183" s="11">
        <v>13.8</v>
      </c>
      <c r="M183" s="10">
        <v>87</v>
      </c>
      <c r="N183" s="10">
        <f>IF(Tabela1610[[#This Row],[Payroll]]="",#N/A,AVERAGE(M181:M183))</f>
        <v>24.666666666666668</v>
      </c>
      <c r="O183" s="10"/>
      <c r="P183" s="7"/>
    </row>
    <row r="184" spans="1:16">
      <c r="A184" s="6">
        <v>23043</v>
      </c>
      <c r="B184" s="11">
        <v>5.9</v>
      </c>
      <c r="C184" s="11">
        <f>IF(Tabela1610[[#This Row],[Unemployment Rate]]="",#N/A,AVERAGE(B172:B184))</f>
        <v>5.5846153846153852</v>
      </c>
      <c r="D184" s="10">
        <v>4238</v>
      </c>
      <c r="E184" s="11">
        <v>58.6</v>
      </c>
      <c r="F184" s="11"/>
      <c r="G184" s="11"/>
      <c r="H184" s="55">
        <v>2672.3</v>
      </c>
      <c r="I184" s="56">
        <f>IF(Tabela1610[[#This Row],[Real Disposable Income (RDI)]]="",#N/A,((Tabela1610[[#This Row],[Real Disposable Income (RDI)]]*1)/H183)-1)</f>
        <v>-5.9147384867196395E-3</v>
      </c>
      <c r="J184" s="56">
        <f>IF(Tabela1610[[#This Row],[Real Disposable Income (RDI)]]="",#N/A,((Tabela1610[[#This Row],[Real Disposable Income (RDI)]]*1)/H172)-1)</f>
        <v>3.14176540970319E-2</v>
      </c>
      <c r="K184" s="11"/>
      <c r="L184" s="11">
        <v>14.1</v>
      </c>
      <c r="M184" s="10">
        <v>115</v>
      </c>
      <c r="N184" s="10">
        <f>IF(Tabela1610[[#This Row],[Payroll]]="",#N/A,AVERAGE(M182:M184))</f>
        <v>58</v>
      </c>
      <c r="O184" s="10"/>
      <c r="P184" s="7"/>
    </row>
    <row r="185" spans="1:16">
      <c r="A185" s="6">
        <v>23071</v>
      </c>
      <c r="B185" s="11">
        <v>5.7</v>
      </c>
      <c r="C185" s="11">
        <f>IF(Tabela1610[[#This Row],[Unemployment Rate]]="",#N/A,AVERAGE(B173:B185))</f>
        <v>5.6000000000000005</v>
      </c>
      <c r="D185" s="10">
        <v>4072</v>
      </c>
      <c r="E185" s="11">
        <v>58.6</v>
      </c>
      <c r="F185" s="11"/>
      <c r="G185" s="11"/>
      <c r="H185" s="55">
        <v>2683.6</v>
      </c>
      <c r="I185" s="56">
        <f>IF(Tabela1610[[#This Row],[Real Disposable Income (RDI)]]="",#N/A,((Tabela1610[[#This Row],[Real Disposable Income (RDI)]]*1)/H184)-1)</f>
        <v>4.2285671518915713E-3</v>
      </c>
      <c r="J185" s="56">
        <f>IF(Tabela1610[[#This Row],[Real Disposable Income (RDI)]]="",#N/A,((Tabela1610[[#This Row],[Real Disposable Income (RDI)]]*1)/H173)-1)</f>
        <v>2.8948276523139471E-2</v>
      </c>
      <c r="K185" s="11"/>
      <c r="L185" s="11">
        <v>14.5</v>
      </c>
      <c r="M185" s="10">
        <v>90</v>
      </c>
      <c r="N185" s="10">
        <f>IF(Tabela1610[[#This Row],[Payroll]]="",#N/A,AVERAGE(M183:M185))</f>
        <v>97.333333333333329</v>
      </c>
      <c r="O185" s="10"/>
      <c r="P185" s="7"/>
    </row>
    <row r="186" spans="1:16">
      <c r="A186" s="6">
        <v>23102</v>
      </c>
      <c r="B186" s="11">
        <v>5.7</v>
      </c>
      <c r="C186" s="11">
        <f>IF(Tabela1610[[#This Row],[Unemployment Rate]]="",#N/A,AVERAGE(B174:B186))</f>
        <v>5.6076923076923082</v>
      </c>
      <c r="D186" s="10">
        <v>4055</v>
      </c>
      <c r="E186" s="11">
        <v>58.8</v>
      </c>
      <c r="F186" s="11"/>
      <c r="G186" s="11"/>
      <c r="H186" s="55">
        <v>2694.6</v>
      </c>
      <c r="I186" s="56">
        <f>IF(Tabela1610[[#This Row],[Real Disposable Income (RDI)]]="",#N/A,((Tabela1610[[#This Row],[Real Disposable Income (RDI)]]*1)/H185)-1)</f>
        <v>4.0989715307795382E-3</v>
      </c>
      <c r="J186" s="56">
        <f>IF(Tabela1610[[#This Row],[Real Disposable Income (RDI)]]="",#N/A,((Tabela1610[[#This Row],[Real Disposable Income (RDI)]]*1)/H174)-1)</f>
        <v>2.8630325240494692E-2</v>
      </c>
      <c r="K186" s="11"/>
      <c r="L186" s="11">
        <v>14.5</v>
      </c>
      <c r="M186" s="10">
        <v>260</v>
      </c>
      <c r="N186" s="10">
        <f>IF(Tabela1610[[#This Row],[Payroll]]="",#N/A,AVERAGE(M184:M186))</f>
        <v>155</v>
      </c>
      <c r="O186" s="10"/>
      <c r="P186" s="7"/>
    </row>
    <row r="187" spans="1:16">
      <c r="A187" s="6">
        <v>23132</v>
      </c>
      <c r="B187" s="11">
        <v>5.9</v>
      </c>
      <c r="C187" s="11">
        <f>IF(Tabela1610[[#This Row],[Unemployment Rate]]="",#N/A,AVERAGE(B175:B187))</f>
        <v>5.6307692307692312</v>
      </c>
      <c r="D187" s="10">
        <v>4217</v>
      </c>
      <c r="E187" s="11">
        <v>58.8</v>
      </c>
      <c r="F187" s="11"/>
      <c r="G187" s="11"/>
      <c r="H187" s="55">
        <v>2705</v>
      </c>
      <c r="I187" s="56">
        <f>IF(Tabela1610[[#This Row],[Real Disposable Income (RDI)]]="",#N/A,((Tabela1610[[#This Row],[Real Disposable Income (RDI)]]*1)/H186)-1)</f>
        <v>3.8595709938396006E-3</v>
      </c>
      <c r="J187" s="56">
        <f>IF(Tabela1610[[#This Row],[Real Disposable Income (RDI)]]="",#N/A,((Tabela1610[[#This Row],[Real Disposable Income (RDI)]]*1)/H175)-1)</f>
        <v>3.2009461676395512E-2</v>
      </c>
      <c r="K187" s="11"/>
      <c r="L187" s="11">
        <v>14.5</v>
      </c>
      <c r="M187" s="10">
        <v>36</v>
      </c>
      <c r="N187" s="10">
        <f>IF(Tabela1610[[#This Row],[Payroll]]="",#N/A,AVERAGE(M185:M187))</f>
        <v>128.66666666666666</v>
      </c>
      <c r="O187" s="10"/>
      <c r="P187" s="7"/>
    </row>
    <row r="188" spans="1:16">
      <c r="A188" s="6">
        <v>23163</v>
      </c>
      <c r="B188" s="11">
        <v>5.6</v>
      </c>
      <c r="C188" s="11">
        <f>IF(Tabela1610[[#This Row],[Unemployment Rate]]="",#N/A,AVERAGE(B176:B188))</f>
        <v>5.6384615384615397</v>
      </c>
      <c r="D188" s="10">
        <v>3977</v>
      </c>
      <c r="E188" s="11">
        <v>58.5</v>
      </c>
      <c r="F188" s="11"/>
      <c r="G188" s="11"/>
      <c r="H188" s="55">
        <v>2718.6</v>
      </c>
      <c r="I188" s="56">
        <f>IF(Tabela1610[[#This Row],[Real Disposable Income (RDI)]]="",#N/A,((Tabela1610[[#This Row],[Real Disposable Income (RDI)]]*1)/H187)-1)</f>
        <v>5.0277264325322424E-3</v>
      </c>
      <c r="J188" s="56">
        <f>IF(Tabela1610[[#This Row],[Real Disposable Income (RDI)]]="",#N/A,((Tabela1610[[#This Row],[Real Disposable Income (RDI)]]*1)/H176)-1)</f>
        <v>3.7000305157155911E-2</v>
      </c>
      <c r="K188" s="11"/>
      <c r="L188" s="11">
        <v>14</v>
      </c>
      <c r="M188" s="10">
        <v>43</v>
      </c>
      <c r="N188" s="10">
        <f>IF(Tabela1610[[#This Row],[Payroll]]="",#N/A,AVERAGE(M186:M188))</f>
        <v>113</v>
      </c>
      <c r="O188" s="10"/>
      <c r="P188" s="7"/>
    </row>
    <row r="189" spans="1:16">
      <c r="A189" s="6">
        <v>23193</v>
      </c>
      <c r="B189" s="11">
        <v>5.6</v>
      </c>
      <c r="C189" s="11">
        <f>IF(Tabela1610[[#This Row],[Unemployment Rate]]="",#N/A,AVERAGE(B177:B189))</f>
        <v>5.6461538461538456</v>
      </c>
      <c r="D189" s="10">
        <v>4051</v>
      </c>
      <c r="E189" s="11">
        <v>58.7</v>
      </c>
      <c r="F189" s="11"/>
      <c r="G189" s="11"/>
      <c r="H189" s="55">
        <v>2721.6</v>
      </c>
      <c r="I189" s="56">
        <f>IF(Tabela1610[[#This Row],[Real Disposable Income (RDI)]]="",#N/A,((Tabela1610[[#This Row],[Real Disposable Income (RDI)]]*1)/H188)-1)</f>
        <v>1.1035091591260482E-3</v>
      </c>
      <c r="J189" s="56">
        <f>IF(Tabela1610[[#This Row],[Real Disposable Income (RDI)]]="",#N/A,((Tabela1610[[#This Row],[Real Disposable Income (RDI)]]*1)/H177)-1)</f>
        <v>3.3649829092290195E-2</v>
      </c>
      <c r="K189" s="11"/>
      <c r="L189" s="11">
        <v>14</v>
      </c>
      <c r="M189" s="10">
        <v>135</v>
      </c>
      <c r="N189" s="10">
        <f>IF(Tabela1610[[#This Row],[Payroll]]="",#N/A,AVERAGE(M187:M189))</f>
        <v>71.333333333333329</v>
      </c>
      <c r="O189" s="10"/>
      <c r="P189" s="7"/>
    </row>
    <row r="190" spans="1:16">
      <c r="A190" s="6">
        <v>23224</v>
      </c>
      <c r="B190" s="11">
        <v>5.4</v>
      </c>
      <c r="C190" s="11">
        <f>IF(Tabela1610[[#This Row],[Unemployment Rate]]="",#N/A,AVERAGE(B178:B190))</f>
        <v>5.6461538461538465</v>
      </c>
      <c r="D190" s="10">
        <v>3878</v>
      </c>
      <c r="E190" s="11">
        <v>58.5</v>
      </c>
      <c r="F190" s="11"/>
      <c r="G190" s="11"/>
      <c r="H190" s="55">
        <v>2732.5</v>
      </c>
      <c r="I190" s="56">
        <f>IF(Tabela1610[[#This Row],[Real Disposable Income (RDI)]]="",#N/A,((Tabela1610[[#This Row],[Real Disposable Income (RDI)]]*1)/H189)-1)</f>
        <v>4.0049970605526841E-3</v>
      </c>
      <c r="J190" s="56">
        <f>IF(Tabela1610[[#This Row],[Real Disposable Income (RDI)]]="",#N/A,((Tabela1610[[#This Row],[Real Disposable Income (RDI)]]*1)/H178)-1)</f>
        <v>3.6805160311136342E-2</v>
      </c>
      <c r="K190" s="11"/>
      <c r="L190" s="11">
        <v>13.9</v>
      </c>
      <c r="M190" s="10">
        <v>116</v>
      </c>
      <c r="N190" s="10">
        <f>IF(Tabela1610[[#This Row],[Payroll]]="",#N/A,AVERAGE(M188:M190))</f>
        <v>98</v>
      </c>
      <c r="O190" s="10"/>
      <c r="P190" s="7"/>
    </row>
    <row r="191" spans="1:16">
      <c r="A191" s="6">
        <v>23255</v>
      </c>
      <c r="B191" s="11">
        <v>5.5</v>
      </c>
      <c r="C191" s="11">
        <f>IF(Tabela1610[[#This Row],[Unemployment Rate]]="",#N/A,AVERAGE(B179:B191))</f>
        <v>5.6307692307692312</v>
      </c>
      <c r="D191" s="10">
        <v>3957</v>
      </c>
      <c r="E191" s="11">
        <v>58.7</v>
      </c>
      <c r="F191" s="11"/>
      <c r="G191" s="11"/>
      <c r="H191" s="55">
        <v>2752.9</v>
      </c>
      <c r="I191" s="56">
        <f>IF(Tabela1610[[#This Row],[Real Disposable Income (RDI)]]="",#N/A,((Tabela1610[[#This Row],[Real Disposable Income (RDI)]]*1)/H190)-1)</f>
        <v>7.4656907593779742E-3</v>
      </c>
      <c r="J191" s="56">
        <f>IF(Tabela1610[[#This Row],[Real Disposable Income (RDI)]]="",#N/A,((Tabela1610[[#This Row],[Real Disposable Income (RDI)]]*1)/H179)-1)</f>
        <v>4.4228653795091555E-2</v>
      </c>
      <c r="K191" s="11"/>
      <c r="L191" s="11">
        <v>14.2</v>
      </c>
      <c r="M191" s="10">
        <v>168</v>
      </c>
      <c r="N191" s="10">
        <f>IF(Tabela1610[[#This Row],[Payroll]]="",#N/A,AVERAGE(M189:M191))</f>
        <v>139.66666666666666</v>
      </c>
      <c r="O191" s="10"/>
      <c r="P191" s="7"/>
    </row>
    <row r="192" spans="1:16">
      <c r="A192" s="6">
        <v>23285</v>
      </c>
      <c r="B192" s="11">
        <v>5.5</v>
      </c>
      <c r="C192" s="11">
        <f>IF(Tabela1610[[#This Row],[Unemployment Rate]]="",#N/A,AVERAGE(B180:B192))</f>
        <v>5.6230769230769235</v>
      </c>
      <c r="D192" s="10">
        <v>3987</v>
      </c>
      <c r="E192" s="11">
        <v>58.8</v>
      </c>
      <c r="F192" s="11"/>
      <c r="G192" s="11"/>
      <c r="H192" s="55">
        <v>2768.9</v>
      </c>
      <c r="I192" s="56">
        <f>IF(Tabela1610[[#This Row],[Real Disposable Income (RDI)]]="",#N/A,((Tabela1610[[#This Row],[Real Disposable Income (RDI)]]*1)/H191)-1)</f>
        <v>5.8120527443785708E-3</v>
      </c>
      <c r="J192" s="56">
        <f>IF(Tabela1610[[#This Row],[Real Disposable Income (RDI)]]="",#N/A,((Tabela1610[[#This Row],[Real Disposable Income (RDI)]]*1)/H180)-1)</f>
        <v>4.5144000301966525E-2</v>
      </c>
      <c r="K192" s="11"/>
      <c r="L192" s="11">
        <v>13.9</v>
      </c>
      <c r="M192" s="10">
        <v>205</v>
      </c>
      <c r="N192" s="10">
        <f>IF(Tabela1610[[#This Row],[Payroll]]="",#N/A,AVERAGE(M190:M192))</f>
        <v>163</v>
      </c>
      <c r="O192" s="10"/>
      <c r="P192" s="7"/>
    </row>
    <row r="193" spans="1:16">
      <c r="A193" s="6">
        <v>23316</v>
      </c>
      <c r="B193" s="11">
        <v>5.7</v>
      </c>
      <c r="C193" s="11">
        <f>IF(Tabela1610[[#This Row],[Unemployment Rate]]="",#N/A,AVERAGE(B181:B193))</f>
        <v>5.6461538461538456</v>
      </c>
      <c r="D193" s="10">
        <v>4151</v>
      </c>
      <c r="E193" s="11">
        <v>58.8</v>
      </c>
      <c r="F193" s="11"/>
      <c r="G193" s="11"/>
      <c r="H193" s="55">
        <v>2774.7</v>
      </c>
      <c r="I193" s="56">
        <f>IF(Tabela1610[[#This Row],[Real Disposable Income (RDI)]]="",#N/A,((Tabela1610[[#This Row],[Real Disposable Income (RDI)]]*1)/H192)-1)</f>
        <v>2.0946946440822956E-3</v>
      </c>
      <c r="J193" s="56">
        <f>IF(Tabela1610[[#This Row],[Real Disposable Income (RDI)]]="",#N/A,((Tabela1610[[#This Row],[Real Disposable Income (RDI)]]*1)/H181)-1)</f>
        <v>4.4494635798983495E-2</v>
      </c>
      <c r="K193" s="11"/>
      <c r="L193" s="11">
        <v>13.3</v>
      </c>
      <c r="M193" s="10">
        <v>-28</v>
      </c>
      <c r="N193" s="10">
        <f>IF(Tabela1610[[#This Row],[Payroll]]="",#N/A,AVERAGE(M191:M193))</f>
        <v>115</v>
      </c>
      <c r="O193" s="10"/>
      <c r="P193" s="7"/>
    </row>
    <row r="194" spans="1:16">
      <c r="A194" s="6">
        <v>23346</v>
      </c>
      <c r="B194" s="11">
        <v>5.5</v>
      </c>
      <c r="C194" s="11">
        <f>IF(Tabela1610[[#This Row],[Unemployment Rate]]="",#N/A,AVERAGE(B182:B194))</f>
        <v>5.6307692307692312</v>
      </c>
      <c r="D194" s="10">
        <v>3975</v>
      </c>
      <c r="E194" s="11">
        <v>58.5</v>
      </c>
      <c r="F194" s="11"/>
      <c r="G194" s="11"/>
      <c r="H194" s="55">
        <v>2797.1</v>
      </c>
      <c r="I194" s="56">
        <f>IF(Tabela1610[[#This Row],[Real Disposable Income (RDI)]]="",#N/A,((Tabela1610[[#This Row],[Real Disposable Income (RDI)]]*1)/H193)-1)</f>
        <v>8.0729448228638034E-3</v>
      </c>
      <c r="J194" s="56">
        <f>IF(Tabela1610[[#This Row],[Real Disposable Income (RDI)]]="",#N/A,((Tabela1610[[#This Row],[Real Disposable Income (RDI)]]*1)/H182)-1)</f>
        <v>4.7995503934057604E-2</v>
      </c>
      <c r="K194" s="11"/>
      <c r="L194" s="11">
        <v>13.3</v>
      </c>
      <c r="M194" s="10">
        <v>106</v>
      </c>
      <c r="N194" s="10">
        <f>IF(Tabela1610[[#This Row],[Payroll]]="",#N/A,AVERAGE(M192:M194))</f>
        <v>94.333333333333329</v>
      </c>
      <c r="O194" s="10"/>
      <c r="P194" s="7"/>
    </row>
    <row r="195" spans="1:16">
      <c r="A195" s="6">
        <v>23377</v>
      </c>
      <c r="B195" s="11">
        <v>5.6</v>
      </c>
      <c r="C195" s="11">
        <f>IF(Tabela1610[[#This Row],[Unemployment Rate]]="",#N/A,AVERAGE(B183:B195))</f>
        <v>5.638461538461538</v>
      </c>
      <c r="D195" s="10">
        <v>4029</v>
      </c>
      <c r="E195" s="11">
        <v>58.6</v>
      </c>
      <c r="F195" s="11"/>
      <c r="G195" s="11"/>
      <c r="H195" s="55">
        <v>2806.4</v>
      </c>
      <c r="I195" s="56">
        <f>IF(Tabela1610[[#This Row],[Real Disposable Income (RDI)]]="",#N/A,((Tabela1610[[#This Row],[Real Disposable Income (RDI)]]*1)/H194)-1)</f>
        <v>3.3248721890530852E-3</v>
      </c>
      <c r="J195" s="56">
        <f>IF(Tabela1610[[#This Row],[Real Disposable Income (RDI)]]="",#N/A,((Tabela1610[[#This Row],[Real Disposable Income (RDI)]]*1)/H183)-1)</f>
        <v>4.3969942712595911E-2</v>
      </c>
      <c r="K195" s="11"/>
      <c r="L195" s="11">
        <v>13.5</v>
      </c>
      <c r="M195" s="10">
        <v>126</v>
      </c>
      <c r="N195" s="10">
        <f>IF(Tabela1610[[#This Row],[Payroll]]="",#N/A,AVERAGE(M193:M195))</f>
        <v>68</v>
      </c>
      <c r="O195" s="10"/>
      <c r="P195" s="7"/>
    </row>
    <row r="196" spans="1:16">
      <c r="A196" s="6">
        <v>23408</v>
      </c>
      <c r="B196" s="11">
        <v>5.4</v>
      </c>
      <c r="C196" s="11">
        <f>IF(Tabela1610[[#This Row],[Unemployment Rate]]="",#N/A,AVERAGE(B184:B196))</f>
        <v>5.6153846153846168</v>
      </c>
      <c r="D196" s="10">
        <v>3932</v>
      </c>
      <c r="E196" s="11">
        <v>58.8</v>
      </c>
      <c r="F196" s="11"/>
      <c r="G196" s="11"/>
      <c r="H196" s="55">
        <v>2815.3</v>
      </c>
      <c r="I196" s="56">
        <f>IF(Tabela1610[[#This Row],[Real Disposable Income (RDI)]]="",#N/A,((Tabela1610[[#This Row],[Real Disposable Income (RDI)]]*1)/H195)-1)</f>
        <v>3.1713226909919623E-3</v>
      </c>
      <c r="J196" s="56">
        <f>IF(Tabela1610[[#This Row],[Real Disposable Income (RDI)]]="",#N/A,((Tabela1610[[#This Row],[Real Disposable Income (RDI)]]*1)/H184)-1)</f>
        <v>5.3511955992964877E-2</v>
      </c>
      <c r="K196" s="11"/>
      <c r="L196" s="11">
        <v>13.2</v>
      </c>
      <c r="M196" s="10">
        <v>266</v>
      </c>
      <c r="N196" s="10">
        <f>IF(Tabela1610[[#This Row],[Payroll]]="",#N/A,AVERAGE(M194:M196))</f>
        <v>166</v>
      </c>
      <c r="O196" s="10"/>
      <c r="P196" s="7"/>
    </row>
    <row r="197" spans="1:16">
      <c r="A197" s="6">
        <v>23437</v>
      </c>
      <c r="B197" s="11">
        <v>5.4</v>
      </c>
      <c r="C197" s="11">
        <f>IF(Tabela1610[[#This Row],[Unemployment Rate]]="",#N/A,AVERAGE(B185:B197))</f>
        <v>5.5769230769230784</v>
      </c>
      <c r="D197" s="10">
        <v>3950</v>
      </c>
      <c r="E197" s="11">
        <v>58.7</v>
      </c>
      <c r="F197" s="11"/>
      <c r="G197" s="11"/>
      <c r="H197" s="55">
        <v>2882.1</v>
      </c>
      <c r="I197" s="56">
        <f>IF(Tabela1610[[#This Row],[Real Disposable Income (RDI)]]="",#N/A,((Tabela1610[[#This Row],[Real Disposable Income (RDI)]]*1)/H196)-1)</f>
        <v>2.372748907754052E-2</v>
      </c>
      <c r="J197" s="56">
        <f>IF(Tabela1610[[#This Row],[Real Disposable Income (RDI)]]="",#N/A,((Tabela1610[[#This Row],[Real Disposable Income (RDI)]]*1)/H185)-1)</f>
        <v>7.3967804441794627E-2</v>
      </c>
      <c r="K197" s="11"/>
      <c r="L197" s="11">
        <v>13.5</v>
      </c>
      <c r="M197" s="10">
        <v>144</v>
      </c>
      <c r="N197" s="10">
        <f>IF(Tabela1610[[#This Row],[Payroll]]="",#N/A,AVERAGE(M195:M197))</f>
        <v>178.66666666666666</v>
      </c>
      <c r="O197" s="10"/>
      <c r="P197" s="7"/>
    </row>
    <row r="198" spans="1:16">
      <c r="A198" s="6">
        <v>23468</v>
      </c>
      <c r="B198" s="11">
        <v>5.3</v>
      </c>
      <c r="C198" s="11">
        <f>IF(Tabela1610[[#This Row],[Unemployment Rate]]="",#N/A,AVERAGE(B186:B198))</f>
        <v>5.5461538461538469</v>
      </c>
      <c r="D198" s="10">
        <v>3918</v>
      </c>
      <c r="E198" s="11">
        <v>59.1</v>
      </c>
      <c r="F198" s="11"/>
      <c r="G198" s="11"/>
      <c r="H198" s="55">
        <v>2897.7</v>
      </c>
      <c r="I198" s="56">
        <f>IF(Tabela1610[[#This Row],[Real Disposable Income (RDI)]]="",#N/A,((Tabela1610[[#This Row],[Real Disposable Income (RDI)]]*1)/H197)-1)</f>
        <v>5.412719891745521E-3</v>
      </c>
      <c r="J198" s="56">
        <f>IF(Tabela1610[[#This Row],[Real Disposable Income (RDI)]]="",#N/A,((Tabela1610[[#This Row],[Real Disposable Income (RDI)]]*1)/H186)-1)</f>
        <v>7.5372968158539333E-2</v>
      </c>
      <c r="K198" s="11"/>
      <c r="L198" s="11">
        <v>12.4</v>
      </c>
      <c r="M198" s="10">
        <v>25</v>
      </c>
      <c r="N198" s="10">
        <f>IF(Tabela1610[[#This Row],[Payroll]]="",#N/A,AVERAGE(M196:M198))</f>
        <v>145</v>
      </c>
      <c r="O198" s="10"/>
      <c r="P198" s="7"/>
    </row>
    <row r="199" spans="1:16">
      <c r="A199" s="6">
        <v>23498</v>
      </c>
      <c r="B199" s="11">
        <v>5.0999999999999996</v>
      </c>
      <c r="C199" s="11">
        <f>IF(Tabela1610[[#This Row],[Unemployment Rate]]="",#N/A,AVERAGE(B187:B199))</f>
        <v>5.5</v>
      </c>
      <c r="D199" s="10">
        <v>3764</v>
      </c>
      <c r="E199" s="11">
        <v>59.1</v>
      </c>
      <c r="F199" s="11"/>
      <c r="G199" s="11"/>
      <c r="H199" s="55">
        <v>2912.9</v>
      </c>
      <c r="I199" s="56">
        <f>IF(Tabela1610[[#This Row],[Real Disposable Income (RDI)]]="",#N/A,((Tabela1610[[#This Row],[Real Disposable Income (RDI)]]*1)/H198)-1)</f>
        <v>5.2455395658626003E-3</v>
      </c>
      <c r="J199" s="56">
        <f>IF(Tabela1610[[#This Row],[Real Disposable Income (RDI)]]="",#N/A,((Tabela1610[[#This Row],[Real Disposable Income (RDI)]]*1)/H187)-1)</f>
        <v>7.6857670979667336E-2</v>
      </c>
      <c r="K199" s="11"/>
      <c r="L199" s="11">
        <v>13.6</v>
      </c>
      <c r="M199" s="10">
        <v>167</v>
      </c>
      <c r="N199" s="10">
        <f>IF(Tabela1610[[#This Row],[Payroll]]="",#N/A,AVERAGE(M197:M199))</f>
        <v>112</v>
      </c>
      <c r="O199" s="10"/>
      <c r="P199" s="7"/>
    </row>
    <row r="200" spans="1:16">
      <c r="A200" s="6">
        <v>23529</v>
      </c>
      <c r="B200" s="11">
        <v>5.2</v>
      </c>
      <c r="C200" s="11">
        <f>IF(Tabela1610[[#This Row],[Unemployment Rate]]="",#N/A,AVERAGE(B188:B200))</f>
        <v>5.4461538461538463</v>
      </c>
      <c r="D200" s="10">
        <v>3814</v>
      </c>
      <c r="E200" s="11">
        <v>58.7</v>
      </c>
      <c r="F200" s="11"/>
      <c r="G200" s="11"/>
      <c r="H200" s="55">
        <v>2922.5</v>
      </c>
      <c r="I200" s="56">
        <f>IF(Tabela1610[[#This Row],[Real Disposable Income (RDI)]]="",#N/A,((Tabela1610[[#This Row],[Real Disposable Income (RDI)]]*1)/H199)-1)</f>
        <v>3.29568471282915E-3</v>
      </c>
      <c r="J200" s="56">
        <f>IF(Tabela1610[[#This Row],[Real Disposable Income (RDI)]]="",#N/A,((Tabela1610[[#This Row],[Real Disposable Income (RDI)]]*1)/H188)-1)</f>
        <v>7.5001839181931818E-2</v>
      </c>
      <c r="K200" s="11"/>
      <c r="L200" s="11">
        <v>13.6</v>
      </c>
      <c r="M200" s="10">
        <v>130</v>
      </c>
      <c r="N200" s="10">
        <f>IF(Tabela1610[[#This Row],[Payroll]]="",#N/A,AVERAGE(M198:M200))</f>
        <v>107.33333333333333</v>
      </c>
      <c r="O200" s="10"/>
      <c r="P200" s="7"/>
    </row>
    <row r="201" spans="1:16">
      <c r="A201" s="6">
        <v>23559</v>
      </c>
      <c r="B201" s="11">
        <v>4.9000000000000004</v>
      </c>
      <c r="C201" s="11">
        <f>IF(Tabela1610[[#This Row],[Unemployment Rate]]="",#N/A,AVERAGE(B189:B201))</f>
        <v>5.3923076923076927</v>
      </c>
      <c r="D201" s="10">
        <v>3608</v>
      </c>
      <c r="E201" s="11">
        <v>58.6</v>
      </c>
      <c r="F201" s="11"/>
      <c r="G201" s="11"/>
      <c r="H201" s="55">
        <v>2936.4</v>
      </c>
      <c r="I201" s="56">
        <f>IF(Tabela1610[[#This Row],[Real Disposable Income (RDI)]]="",#N/A,((Tabela1610[[#This Row],[Real Disposable Income (RDI)]]*1)/H200)-1)</f>
        <v>4.7562018819504726E-3</v>
      </c>
      <c r="J201" s="56">
        <f>IF(Tabela1610[[#This Row],[Real Disposable Income (RDI)]]="",#N/A,((Tabela1610[[#This Row],[Real Disposable Income (RDI)]]*1)/H189)-1)</f>
        <v>7.8924162257495656E-2</v>
      </c>
      <c r="K201" s="11"/>
      <c r="L201" s="11">
        <v>14.7</v>
      </c>
      <c r="M201" s="10">
        <v>193</v>
      </c>
      <c r="N201" s="10">
        <f>IF(Tabela1610[[#This Row],[Payroll]]="",#N/A,AVERAGE(M199:M201))</f>
        <v>163.33333333333334</v>
      </c>
      <c r="O201" s="10"/>
      <c r="P201" s="7"/>
    </row>
    <row r="202" spans="1:16">
      <c r="A202" s="6">
        <v>23590</v>
      </c>
      <c r="B202" s="11">
        <v>5</v>
      </c>
      <c r="C202" s="11">
        <f>IF(Tabela1610[[#This Row],[Unemployment Rate]]="",#N/A,AVERAGE(B190:B202))</f>
        <v>5.3461538461538458</v>
      </c>
      <c r="D202" s="10">
        <v>3655</v>
      </c>
      <c r="E202" s="11">
        <v>58.6</v>
      </c>
      <c r="F202" s="11"/>
      <c r="G202" s="11"/>
      <c r="H202" s="55">
        <v>2949.4</v>
      </c>
      <c r="I202" s="56">
        <f>IF(Tabela1610[[#This Row],[Real Disposable Income (RDI)]]="",#N/A,((Tabela1610[[#This Row],[Real Disposable Income (RDI)]]*1)/H201)-1)</f>
        <v>4.4271897561640738E-3</v>
      </c>
      <c r="J202" s="56">
        <f>IF(Tabela1610[[#This Row],[Real Disposable Income (RDI)]]="",#N/A,((Tabela1610[[#This Row],[Real Disposable Income (RDI)]]*1)/H190)-1)</f>
        <v>7.9377859103385129E-2</v>
      </c>
      <c r="K202" s="11"/>
      <c r="L202" s="11">
        <v>13</v>
      </c>
      <c r="M202" s="10">
        <v>207</v>
      </c>
      <c r="N202" s="10">
        <f>IF(Tabela1610[[#This Row],[Payroll]]="",#N/A,AVERAGE(M200:M202))</f>
        <v>176.66666666666666</v>
      </c>
      <c r="O202" s="10"/>
      <c r="P202" s="7"/>
    </row>
    <row r="203" spans="1:16">
      <c r="A203" s="6">
        <v>23621</v>
      </c>
      <c r="B203" s="11">
        <v>5.0999999999999996</v>
      </c>
      <c r="C203" s="11">
        <f>IF(Tabela1610[[#This Row],[Unemployment Rate]]="",#N/A,AVERAGE(B191:B203))</f>
        <v>5.3230769230769219</v>
      </c>
      <c r="D203" s="10">
        <v>3712</v>
      </c>
      <c r="E203" s="11">
        <v>58.7</v>
      </c>
      <c r="F203" s="11"/>
      <c r="G203" s="11"/>
      <c r="H203" s="55">
        <v>2961.1</v>
      </c>
      <c r="I203" s="56">
        <f>IF(Tabela1610[[#This Row],[Real Disposable Income (RDI)]]="",#N/A,((Tabela1610[[#This Row],[Real Disposable Income (RDI)]]*1)/H202)-1)</f>
        <v>3.9669085237674651E-3</v>
      </c>
      <c r="J203" s="56">
        <f>IF(Tabela1610[[#This Row],[Real Disposable Income (RDI)]]="",#N/A,((Tabela1610[[#This Row],[Real Disposable Income (RDI)]]*1)/H191)-1)</f>
        <v>7.562933633622726E-2</v>
      </c>
      <c r="K203" s="11"/>
      <c r="L203" s="11">
        <v>12.7</v>
      </c>
      <c r="M203" s="10">
        <v>284</v>
      </c>
      <c r="N203" s="10">
        <f>IF(Tabela1610[[#This Row],[Payroll]]="",#N/A,AVERAGE(M201:M203))</f>
        <v>228</v>
      </c>
      <c r="O203" s="10"/>
      <c r="P203" s="7"/>
    </row>
    <row r="204" spans="1:16">
      <c r="A204" s="6">
        <v>23651</v>
      </c>
      <c r="B204" s="11">
        <v>5.0999999999999996</v>
      </c>
      <c r="C204" s="11">
        <f>IF(Tabela1610[[#This Row],[Unemployment Rate]]="",#N/A,AVERAGE(B192:B204))</f>
        <v>5.2923076923076922</v>
      </c>
      <c r="D204" s="10">
        <v>3726</v>
      </c>
      <c r="E204" s="11">
        <v>58.6</v>
      </c>
      <c r="F204" s="11"/>
      <c r="G204" s="11"/>
      <c r="H204" s="55">
        <v>2960.2</v>
      </c>
      <c r="I204" s="56">
        <f>IF(Tabela1610[[#This Row],[Real Disposable Income (RDI)]]="",#N/A,((Tabela1610[[#This Row],[Real Disposable Income (RDI)]]*1)/H203)-1)</f>
        <v>-3.0394110296849686E-4</v>
      </c>
      <c r="J204" s="56">
        <f>IF(Tabela1610[[#This Row],[Real Disposable Income (RDI)]]="",#N/A,((Tabela1610[[#This Row],[Real Disposable Income (RDI)]]*1)/H192)-1)</f>
        <v>6.9088807829823962E-2</v>
      </c>
      <c r="K204" s="11"/>
      <c r="L204" s="11">
        <v>12.6</v>
      </c>
      <c r="M204" s="10">
        <v>-110</v>
      </c>
      <c r="N204" s="10">
        <f>IF(Tabela1610[[#This Row],[Payroll]]="",#N/A,AVERAGE(M202:M204))</f>
        <v>127</v>
      </c>
      <c r="O204" s="10"/>
      <c r="P204" s="7"/>
    </row>
    <row r="205" spans="1:16">
      <c r="A205" s="6">
        <v>23682</v>
      </c>
      <c r="B205" s="11">
        <v>4.8</v>
      </c>
      <c r="C205" s="11">
        <f>IF(Tabela1610[[#This Row],[Unemployment Rate]]="",#N/A,AVERAGE(B193:B205))</f>
        <v>5.2384615384615376</v>
      </c>
      <c r="D205" s="10">
        <v>3551</v>
      </c>
      <c r="E205" s="11">
        <v>58.5</v>
      </c>
      <c r="F205" s="11"/>
      <c r="G205" s="11"/>
      <c r="H205" s="55">
        <v>2979.4</v>
      </c>
      <c r="I205" s="56">
        <f>IF(Tabela1610[[#This Row],[Real Disposable Income (RDI)]]="",#N/A,((Tabela1610[[#This Row],[Real Disposable Income (RDI)]]*1)/H204)-1)</f>
        <v>6.4860482399837771E-3</v>
      </c>
      <c r="J205" s="56">
        <f>IF(Tabela1610[[#This Row],[Real Disposable Income (RDI)]]="",#N/A,((Tabela1610[[#This Row],[Real Disposable Income (RDI)]]*1)/H193)-1)</f>
        <v>7.3773741305366514E-2</v>
      </c>
      <c r="K205" s="11"/>
      <c r="L205" s="11">
        <v>14</v>
      </c>
      <c r="M205" s="10">
        <v>425</v>
      </c>
      <c r="N205" s="10">
        <f>IF(Tabela1610[[#This Row],[Payroll]]="",#N/A,AVERAGE(M203:M205))</f>
        <v>199.66666666666666</v>
      </c>
      <c r="O205" s="10"/>
      <c r="P205" s="7"/>
    </row>
    <row r="206" spans="1:16">
      <c r="A206" s="6">
        <v>23712</v>
      </c>
      <c r="B206" s="11">
        <v>5</v>
      </c>
      <c r="C206" s="11">
        <f>IF(Tabela1610[[#This Row],[Unemployment Rate]]="",#N/A,AVERAGE(B194:B206))</f>
        <v>5.1846153846153848</v>
      </c>
      <c r="D206" s="10">
        <v>3651</v>
      </c>
      <c r="E206" s="11">
        <v>58.6</v>
      </c>
      <c r="F206" s="11"/>
      <c r="G206" s="11"/>
      <c r="H206" s="55">
        <v>3008</v>
      </c>
      <c r="I206" s="56">
        <f>IF(Tabela1610[[#This Row],[Real Disposable Income (RDI)]]="",#N/A,((Tabela1610[[#This Row],[Real Disposable Income (RDI)]]*1)/H205)-1)</f>
        <v>9.5992481707725119E-3</v>
      </c>
      <c r="J206" s="56">
        <f>IF(Tabela1610[[#This Row],[Real Disposable Income (RDI)]]="",#N/A,((Tabela1610[[#This Row],[Real Disposable Income (RDI)]]*1)/H194)-1)</f>
        <v>7.5399520932394326E-2</v>
      </c>
      <c r="K206" s="11"/>
      <c r="L206" s="11">
        <v>12.7</v>
      </c>
      <c r="M206" s="10">
        <v>203</v>
      </c>
      <c r="N206" s="10">
        <f>IF(Tabela1610[[#This Row],[Payroll]]="",#N/A,AVERAGE(M204:M206))</f>
        <v>172.66666666666666</v>
      </c>
      <c r="O206" s="10"/>
      <c r="P206" s="7"/>
    </row>
    <row r="207" spans="1:16">
      <c r="A207" s="6">
        <v>23743</v>
      </c>
      <c r="B207" s="11">
        <v>4.9000000000000004</v>
      </c>
      <c r="C207" s="11">
        <f>IF(Tabela1610[[#This Row],[Unemployment Rate]]="",#N/A,AVERAGE(B195:B207))</f>
        <v>5.138461538461538</v>
      </c>
      <c r="D207" s="10">
        <v>3572</v>
      </c>
      <c r="E207" s="11">
        <v>58.6</v>
      </c>
      <c r="F207" s="11"/>
      <c r="G207" s="11"/>
      <c r="H207" s="55">
        <v>3013.8</v>
      </c>
      <c r="I207" s="56">
        <f>IF(Tabela1610[[#This Row],[Real Disposable Income (RDI)]]="",#N/A,((Tabela1610[[#This Row],[Real Disposable Income (RDI)]]*1)/H206)-1)</f>
        <v>1.9281914893618524E-3</v>
      </c>
      <c r="J207" s="56">
        <f>IF(Tabela1610[[#This Row],[Real Disposable Income (RDI)]]="",#N/A,((Tabela1610[[#This Row],[Real Disposable Income (RDI)]]*1)/H195)-1)</f>
        <v>7.3902508551881407E-2</v>
      </c>
      <c r="K207" s="11"/>
      <c r="L207" s="11">
        <v>12.2</v>
      </c>
      <c r="M207" s="10">
        <v>161</v>
      </c>
      <c r="N207" s="10">
        <f>IF(Tabela1610[[#This Row],[Payroll]]="",#N/A,AVERAGE(M205:M207))</f>
        <v>263</v>
      </c>
      <c r="O207" s="10"/>
      <c r="P207" s="7"/>
    </row>
    <row r="208" spans="1:16">
      <c r="A208" s="6">
        <v>23774</v>
      </c>
      <c r="B208" s="11">
        <v>5.0999999999999996</v>
      </c>
      <c r="C208" s="11">
        <f>IF(Tabela1610[[#This Row],[Unemployment Rate]]="",#N/A,AVERAGE(B196:B208))</f>
        <v>5.0999999999999996</v>
      </c>
      <c r="D208" s="10">
        <v>3730</v>
      </c>
      <c r="E208" s="11">
        <v>58.7</v>
      </c>
      <c r="F208" s="11"/>
      <c r="G208" s="11"/>
      <c r="H208" s="55">
        <v>3014.5</v>
      </c>
      <c r="I208" s="56">
        <f>IF(Tabela1610[[#This Row],[Real Disposable Income (RDI)]]="",#N/A,((Tabela1610[[#This Row],[Real Disposable Income (RDI)]]*1)/H207)-1)</f>
        <v>2.3226491472549959E-4</v>
      </c>
      <c r="J208" s="56">
        <f>IF(Tabela1610[[#This Row],[Real Disposable Income (RDI)]]="",#N/A,((Tabela1610[[#This Row],[Real Disposable Income (RDI)]]*1)/H196)-1)</f>
        <v>7.0756224913863353E-2</v>
      </c>
      <c r="K208" s="11"/>
      <c r="L208" s="11">
        <v>12.6</v>
      </c>
      <c r="M208" s="10">
        <v>218</v>
      </c>
      <c r="N208" s="10">
        <f>IF(Tabela1610[[#This Row],[Payroll]]="",#N/A,AVERAGE(M206:M208))</f>
        <v>194</v>
      </c>
      <c r="O208" s="10"/>
      <c r="P208" s="7"/>
    </row>
    <row r="209" spans="1:16">
      <c r="A209" s="6">
        <v>23802</v>
      </c>
      <c r="B209" s="11">
        <v>4.7</v>
      </c>
      <c r="C209" s="11">
        <f>IF(Tabela1610[[#This Row],[Unemployment Rate]]="",#N/A,AVERAGE(B197:B209))</f>
        <v>5.046153846153846</v>
      </c>
      <c r="D209" s="10">
        <v>3510</v>
      </c>
      <c r="E209" s="11">
        <v>58.7</v>
      </c>
      <c r="F209" s="11"/>
      <c r="G209" s="11"/>
      <c r="H209" s="55">
        <v>3024.6</v>
      </c>
      <c r="I209" s="56">
        <f>IF(Tabela1610[[#This Row],[Real Disposable Income (RDI)]]="",#N/A,((Tabela1610[[#This Row],[Real Disposable Income (RDI)]]*1)/H208)-1)</f>
        <v>3.350472715209829E-3</v>
      </c>
      <c r="J209" s="56">
        <f>IF(Tabela1610[[#This Row],[Real Disposable Income (RDI)]]="",#N/A,((Tabela1610[[#This Row],[Real Disposable Income (RDI)]]*1)/H197)-1)</f>
        <v>4.9443114395752996E-2</v>
      </c>
      <c r="K209" s="11"/>
      <c r="L209" s="11">
        <v>12</v>
      </c>
      <c r="M209" s="10">
        <v>203</v>
      </c>
      <c r="N209" s="10">
        <f>IF(Tabela1610[[#This Row],[Payroll]]="",#N/A,AVERAGE(M207:M209))</f>
        <v>194</v>
      </c>
      <c r="O209" s="10"/>
      <c r="P209" s="7"/>
    </row>
    <row r="210" spans="1:16">
      <c r="A210" s="6">
        <v>23833</v>
      </c>
      <c r="B210" s="11">
        <v>4.8</v>
      </c>
      <c r="C210" s="11">
        <f>IF(Tabela1610[[#This Row],[Unemployment Rate]]="",#N/A,AVERAGE(B198:B210))</f>
        <v>5</v>
      </c>
      <c r="D210" s="10">
        <v>3595</v>
      </c>
      <c r="E210" s="11">
        <v>58.8</v>
      </c>
      <c r="F210" s="11"/>
      <c r="G210" s="11"/>
      <c r="H210" s="55">
        <v>3027.8</v>
      </c>
      <c r="I210" s="56">
        <f>IF(Tabela1610[[#This Row],[Real Disposable Income (RDI)]]="",#N/A,((Tabela1610[[#This Row],[Real Disposable Income (RDI)]]*1)/H209)-1)</f>
        <v>1.0579911393242547E-3</v>
      </c>
      <c r="J210" s="56">
        <f>IF(Tabela1610[[#This Row],[Real Disposable Income (RDI)]]="",#N/A,((Tabela1610[[#This Row],[Real Disposable Income (RDI)]]*1)/H198)-1)</f>
        <v>4.4897677468337172E-2</v>
      </c>
      <c r="K210" s="11"/>
      <c r="L210" s="11">
        <v>11.4</v>
      </c>
      <c r="M210" s="10">
        <v>256</v>
      </c>
      <c r="N210" s="10">
        <f>IF(Tabela1610[[#This Row],[Payroll]]="",#N/A,AVERAGE(M208:M210))</f>
        <v>225.66666666666666</v>
      </c>
      <c r="O210" s="10"/>
      <c r="P210" s="7"/>
    </row>
    <row r="211" spans="1:16">
      <c r="A211" s="6">
        <v>23863</v>
      </c>
      <c r="B211" s="11">
        <v>4.5999999999999996</v>
      </c>
      <c r="C211" s="11">
        <f>IF(Tabela1610[[#This Row],[Unemployment Rate]]="",#N/A,AVERAGE(B199:B211))</f>
        <v>4.9461538461538463</v>
      </c>
      <c r="D211" s="10">
        <v>3432</v>
      </c>
      <c r="E211" s="11">
        <v>59</v>
      </c>
      <c r="F211" s="11"/>
      <c r="G211" s="11"/>
      <c r="H211" s="55">
        <v>3061.4</v>
      </c>
      <c r="I211" s="56">
        <f>IF(Tabela1610[[#This Row],[Real Disposable Income (RDI)]]="",#N/A,((Tabela1610[[#This Row],[Real Disposable Income (RDI)]]*1)/H210)-1)</f>
        <v>1.1097166259330216E-2</v>
      </c>
      <c r="J211" s="56">
        <f>IF(Tabela1610[[#This Row],[Real Disposable Income (RDI)]]="",#N/A,((Tabela1610[[#This Row],[Real Disposable Income (RDI)]]*1)/H199)-1)</f>
        <v>5.0980122901575831E-2</v>
      </c>
      <c r="K211" s="11"/>
      <c r="L211" s="11">
        <v>11.1</v>
      </c>
      <c r="M211" s="10">
        <v>232</v>
      </c>
      <c r="N211" s="10">
        <f>IF(Tabela1610[[#This Row],[Payroll]]="",#N/A,AVERAGE(M209:M211))</f>
        <v>230.33333333333334</v>
      </c>
      <c r="O211" s="10"/>
      <c r="P211" s="7"/>
    </row>
    <row r="212" spans="1:16">
      <c r="A212" s="6">
        <v>23894</v>
      </c>
      <c r="B212" s="11">
        <v>4.5999999999999996</v>
      </c>
      <c r="C212" s="11">
        <f>IF(Tabela1610[[#This Row],[Unemployment Rate]]="",#N/A,AVERAGE(B200:B212))</f>
        <v>4.9076923076923089</v>
      </c>
      <c r="D212" s="10">
        <v>3387</v>
      </c>
      <c r="E212" s="11">
        <v>58.8</v>
      </c>
      <c r="F212" s="11"/>
      <c r="G212" s="11"/>
      <c r="H212" s="55">
        <v>3065.8</v>
      </c>
      <c r="I212" s="56">
        <f>IF(Tabela1610[[#This Row],[Real Disposable Income (RDI)]]="",#N/A,((Tabela1610[[#This Row],[Real Disposable Income (RDI)]]*1)/H211)-1)</f>
        <v>1.4372509309465986E-3</v>
      </c>
      <c r="J212" s="56">
        <f>IF(Tabela1610[[#This Row],[Real Disposable Income (RDI)]]="",#N/A,((Tabela1610[[#This Row],[Real Disposable Income (RDI)]]*1)/H200)-1)</f>
        <v>4.9033361847733214E-2</v>
      </c>
      <c r="K212" s="11"/>
      <c r="L212" s="11">
        <v>11.6</v>
      </c>
      <c r="M212" s="10">
        <v>199</v>
      </c>
      <c r="N212" s="10">
        <f>IF(Tabela1610[[#This Row],[Payroll]]="",#N/A,AVERAGE(M210:M212))</f>
        <v>229</v>
      </c>
      <c r="O212" s="10"/>
      <c r="P212" s="7"/>
    </row>
    <row r="213" spans="1:16">
      <c r="A213" s="6">
        <v>23924</v>
      </c>
      <c r="B213" s="11">
        <v>4.4000000000000004</v>
      </c>
      <c r="C213" s="11">
        <f>IF(Tabela1610[[#This Row],[Unemployment Rate]]="",#N/A,AVERAGE(B201:B213))</f>
        <v>4.8461538461538467</v>
      </c>
      <c r="D213" s="10">
        <v>3301</v>
      </c>
      <c r="E213" s="11">
        <v>59.1</v>
      </c>
      <c r="F213" s="11"/>
      <c r="G213" s="11"/>
      <c r="H213" s="55">
        <v>3097.8</v>
      </c>
      <c r="I213" s="56">
        <f>IF(Tabela1610[[#This Row],[Real Disposable Income (RDI)]]="",#N/A,((Tabela1610[[#This Row],[Real Disposable Income (RDI)]]*1)/H212)-1)</f>
        <v>1.0437732402635458E-2</v>
      </c>
      <c r="J213" s="56">
        <f>IF(Tabela1610[[#This Row],[Real Disposable Income (RDI)]]="",#N/A,((Tabela1610[[#This Row],[Real Disposable Income (RDI)]]*1)/H201)-1)</f>
        <v>5.4965263588067081E-2</v>
      </c>
      <c r="K213" s="11"/>
      <c r="L213" s="11">
        <v>11.6</v>
      </c>
      <c r="M213" s="10">
        <v>275</v>
      </c>
      <c r="N213" s="10">
        <f>IF(Tabela1610[[#This Row],[Payroll]]="",#N/A,AVERAGE(M211:M213))</f>
        <v>235.33333333333334</v>
      </c>
      <c r="O213" s="10"/>
      <c r="P213" s="7"/>
    </row>
    <row r="214" spans="1:16">
      <c r="A214" s="6">
        <v>23955</v>
      </c>
      <c r="B214" s="11">
        <v>4.4000000000000004</v>
      </c>
      <c r="C214" s="11">
        <f>IF(Tabela1610[[#This Row],[Unemployment Rate]]="",#N/A,AVERAGE(B202:B214))</f>
        <v>4.8076923076923075</v>
      </c>
      <c r="D214" s="10">
        <v>3254</v>
      </c>
      <c r="E214" s="11">
        <v>58.9</v>
      </c>
      <c r="F214" s="11"/>
      <c r="G214" s="11"/>
      <c r="H214" s="55">
        <v>3113.1</v>
      </c>
      <c r="I214" s="56">
        <f>IF(Tabela1610[[#This Row],[Real Disposable Income (RDI)]]="",#N/A,((Tabela1610[[#This Row],[Real Disposable Income (RDI)]]*1)/H213)-1)</f>
        <v>4.9389889599069647E-3</v>
      </c>
      <c r="J214" s="56">
        <f>IF(Tabela1610[[#This Row],[Real Disposable Income (RDI)]]="",#N/A,((Tabela1610[[#This Row],[Real Disposable Income (RDI)]]*1)/H202)-1)</f>
        <v>5.5502814131687783E-2</v>
      </c>
      <c r="K214" s="11"/>
      <c r="L214" s="11">
        <v>11.9</v>
      </c>
      <c r="M214" s="10">
        <v>263</v>
      </c>
      <c r="N214" s="10">
        <f>IF(Tabela1610[[#This Row],[Payroll]]="",#N/A,AVERAGE(M212:M214))</f>
        <v>245.66666666666666</v>
      </c>
      <c r="O214" s="10"/>
      <c r="P214" s="7"/>
    </row>
    <row r="215" spans="1:16">
      <c r="A215" s="6">
        <v>23986</v>
      </c>
      <c r="B215" s="11">
        <v>4.3</v>
      </c>
      <c r="C215" s="11">
        <f>IF(Tabela1610[[#This Row],[Unemployment Rate]]="",#N/A,AVERAGE(B203:B215))</f>
        <v>4.7538461538461538</v>
      </c>
      <c r="D215" s="10">
        <v>3216</v>
      </c>
      <c r="E215" s="11">
        <v>58.7</v>
      </c>
      <c r="F215" s="11"/>
      <c r="G215" s="11"/>
      <c r="H215" s="55">
        <v>3194.5</v>
      </c>
      <c r="I215" s="56">
        <f>IF(Tabela1610[[#This Row],[Real Disposable Income (RDI)]]="",#N/A,((Tabela1610[[#This Row],[Real Disposable Income (RDI)]]*1)/H214)-1)</f>
        <v>2.6147569946355809E-2</v>
      </c>
      <c r="J215" s="56">
        <f>IF(Tabela1610[[#This Row],[Real Disposable Income (RDI)]]="",#N/A,((Tabela1610[[#This Row],[Real Disposable Income (RDI)]]*1)/H203)-1)</f>
        <v>7.8822059369828779E-2</v>
      </c>
      <c r="K215" s="11"/>
      <c r="L215" s="11">
        <v>11.9</v>
      </c>
      <c r="M215" s="10">
        <v>262</v>
      </c>
      <c r="N215" s="10">
        <f>IF(Tabela1610[[#This Row],[Payroll]]="",#N/A,AVERAGE(M213:M215))</f>
        <v>266.66666666666669</v>
      </c>
      <c r="O215" s="10"/>
      <c r="P215" s="7"/>
    </row>
    <row r="216" spans="1:16">
      <c r="A216" s="6">
        <v>24016</v>
      </c>
      <c r="B216" s="11">
        <v>4.2</v>
      </c>
      <c r="C216" s="11">
        <f>IF(Tabela1610[[#This Row],[Unemployment Rate]]="",#N/A,AVERAGE(B204:B216))</f>
        <v>4.6846153846153848</v>
      </c>
      <c r="D216" s="10">
        <v>3143</v>
      </c>
      <c r="E216" s="11">
        <v>58.9</v>
      </c>
      <c r="F216" s="11"/>
      <c r="G216" s="11"/>
      <c r="H216" s="55">
        <v>3178.9</v>
      </c>
      <c r="I216" s="56">
        <f>IF(Tabela1610[[#This Row],[Real Disposable Income (RDI)]]="",#N/A,((Tabela1610[[#This Row],[Real Disposable Income (RDI)]]*1)/H215)-1)</f>
        <v>-4.8833933322898204E-3</v>
      </c>
      <c r="J216" s="56">
        <f>IF(Tabela1610[[#This Row],[Real Disposable Income (RDI)]]="",#N/A,((Tabela1610[[#This Row],[Real Disposable Income (RDI)]]*1)/H204)-1)</f>
        <v>7.3880143233565398E-2</v>
      </c>
      <c r="K216" s="11"/>
      <c r="L216" s="11">
        <v>12.1</v>
      </c>
      <c r="M216" s="10">
        <v>229</v>
      </c>
      <c r="N216" s="10">
        <f>IF(Tabela1610[[#This Row],[Payroll]]="",#N/A,AVERAGE(M214:M216))</f>
        <v>251.33333333333334</v>
      </c>
      <c r="O216" s="10"/>
      <c r="P216" s="7"/>
    </row>
    <row r="217" spans="1:16">
      <c r="A217" s="6">
        <v>24047</v>
      </c>
      <c r="B217" s="11">
        <v>4.0999999999999996</v>
      </c>
      <c r="C217" s="11">
        <f>IF(Tabela1610[[#This Row],[Unemployment Rate]]="",#N/A,AVERAGE(B205:B217))</f>
        <v>4.6076923076923073</v>
      </c>
      <c r="D217" s="10">
        <v>3073</v>
      </c>
      <c r="E217" s="11">
        <v>58.8</v>
      </c>
      <c r="F217" s="11"/>
      <c r="G217" s="11"/>
      <c r="H217" s="55">
        <v>3201.4</v>
      </c>
      <c r="I217" s="56">
        <f>IF(Tabela1610[[#This Row],[Real Disposable Income (RDI)]]="",#N/A,((Tabela1610[[#This Row],[Real Disposable Income (RDI)]]*1)/H216)-1)</f>
        <v>7.0779200352322214E-3</v>
      </c>
      <c r="J217" s="56">
        <f>IF(Tabela1610[[#This Row],[Real Disposable Income (RDI)]]="",#N/A,((Tabela1610[[#This Row],[Real Disposable Income (RDI)]]*1)/H205)-1)</f>
        <v>7.4511646640263107E-2</v>
      </c>
      <c r="K217" s="11"/>
      <c r="L217" s="11">
        <v>11.7</v>
      </c>
      <c r="M217" s="10">
        <v>277</v>
      </c>
      <c r="N217" s="10">
        <f>IF(Tabela1610[[#This Row],[Payroll]]="",#N/A,AVERAGE(M215:M217))</f>
        <v>256</v>
      </c>
      <c r="O217" s="10"/>
      <c r="P217" s="7"/>
    </row>
    <row r="218" spans="1:16">
      <c r="A218" s="6">
        <v>24077</v>
      </c>
      <c r="B218" s="11">
        <v>4</v>
      </c>
      <c r="C218" s="11">
        <f>IF(Tabela1610[[#This Row],[Unemployment Rate]]="",#N/A,AVERAGE(B206:B218))</f>
        <v>4.546153846153846</v>
      </c>
      <c r="D218" s="10">
        <v>3031</v>
      </c>
      <c r="E218" s="11">
        <v>59</v>
      </c>
      <c r="F218" s="11"/>
      <c r="G218" s="11"/>
      <c r="H218" s="55">
        <v>3214.6</v>
      </c>
      <c r="I218" s="56">
        <f>IF(Tabela1610[[#This Row],[Real Disposable Income (RDI)]]="",#N/A,((Tabela1610[[#This Row],[Real Disposable Income (RDI)]]*1)/H217)-1)</f>
        <v>4.1231961017054175E-3</v>
      </c>
      <c r="J218" s="56">
        <f>IF(Tabela1610[[#This Row],[Real Disposable Income (RDI)]]="",#N/A,((Tabela1610[[#This Row],[Real Disposable Income (RDI)]]*1)/H206)-1)</f>
        <v>6.8683510638297918E-2</v>
      </c>
      <c r="K218" s="11"/>
      <c r="L218" s="11">
        <v>11.4</v>
      </c>
      <c r="M218" s="10">
        <v>326</v>
      </c>
      <c r="N218" s="10">
        <f>IF(Tabela1610[[#This Row],[Payroll]]="",#N/A,AVERAGE(M216:M218))</f>
        <v>277.33333333333331</v>
      </c>
      <c r="O218" s="10"/>
      <c r="P218" s="7"/>
    </row>
    <row r="219" spans="1:16">
      <c r="A219" s="6">
        <v>24108</v>
      </c>
      <c r="B219" s="11">
        <v>4</v>
      </c>
      <c r="C219" s="11">
        <f>IF(Tabela1610[[#This Row],[Unemployment Rate]]="",#N/A,AVERAGE(B207:B219))</f>
        <v>4.4692307692307693</v>
      </c>
      <c r="D219" s="10">
        <v>2988</v>
      </c>
      <c r="E219" s="11">
        <v>59</v>
      </c>
      <c r="F219" s="11"/>
      <c r="G219" s="11"/>
      <c r="H219" s="55">
        <v>3216.8</v>
      </c>
      <c r="I219" s="56">
        <f>IF(Tabela1610[[#This Row],[Real Disposable Income (RDI)]]="",#N/A,((Tabela1610[[#This Row],[Real Disposable Income (RDI)]]*1)/H218)-1)</f>
        <v>6.8437752753069958E-4</v>
      </c>
      <c r="J219" s="56">
        <f>IF(Tabela1610[[#This Row],[Real Disposable Income (RDI)]]="",#N/A,((Tabela1610[[#This Row],[Real Disposable Income (RDI)]]*1)/H207)-1)</f>
        <v>6.7356825270422638E-2</v>
      </c>
      <c r="K219" s="11"/>
      <c r="L219" s="11">
        <v>11.9</v>
      </c>
      <c r="M219" s="10">
        <v>207</v>
      </c>
      <c r="N219" s="10">
        <f>IF(Tabela1610[[#This Row],[Payroll]]="",#N/A,AVERAGE(M217:M219))</f>
        <v>270</v>
      </c>
      <c r="O219" s="10"/>
      <c r="P219" s="7"/>
    </row>
    <row r="220" spans="1:16">
      <c r="A220" s="6">
        <v>24139</v>
      </c>
      <c r="B220" s="11">
        <v>3.8</v>
      </c>
      <c r="C220" s="11">
        <f>IF(Tabela1610[[#This Row],[Unemployment Rate]]="",#N/A,AVERAGE(B208:B220))</f>
        <v>4.384615384615385</v>
      </c>
      <c r="D220" s="10">
        <v>2820</v>
      </c>
      <c r="E220" s="11">
        <v>58.8</v>
      </c>
      <c r="F220" s="11"/>
      <c r="G220" s="11"/>
      <c r="H220" s="55">
        <v>3230.2</v>
      </c>
      <c r="I220" s="56">
        <f>IF(Tabela1610[[#This Row],[Real Disposable Income (RDI)]]="",#N/A,((Tabela1610[[#This Row],[Real Disposable Income (RDI)]]*1)/H219)-1)</f>
        <v>4.1656304401889166E-3</v>
      </c>
      <c r="J220" s="56">
        <f>IF(Tabela1610[[#This Row],[Real Disposable Income (RDI)]]="",#N/A,((Tabela1610[[#This Row],[Real Disposable Income (RDI)]]*1)/H208)-1)</f>
        <v>7.1554154917896851E-2</v>
      </c>
      <c r="K220" s="11"/>
      <c r="L220" s="11">
        <v>11.2</v>
      </c>
      <c r="M220" s="10">
        <v>267</v>
      </c>
      <c r="N220" s="10">
        <f>IF(Tabela1610[[#This Row],[Payroll]]="",#N/A,AVERAGE(M218:M220))</f>
        <v>266.66666666666669</v>
      </c>
      <c r="O220" s="10"/>
      <c r="P220" s="7"/>
    </row>
    <row r="221" spans="1:16">
      <c r="A221" s="6">
        <v>24167</v>
      </c>
      <c r="B221" s="11">
        <v>3.8</v>
      </c>
      <c r="C221" s="11">
        <f>IF(Tabela1610[[#This Row],[Unemployment Rate]]="",#N/A,AVERAGE(B209:B221))</f>
        <v>4.2846153846153845</v>
      </c>
      <c r="D221" s="10">
        <v>2887</v>
      </c>
      <c r="E221" s="11">
        <v>58.8</v>
      </c>
      <c r="F221" s="11"/>
      <c r="G221" s="11"/>
      <c r="H221" s="55">
        <v>3242.8</v>
      </c>
      <c r="I221" s="56">
        <f>IF(Tabela1610[[#This Row],[Real Disposable Income (RDI)]]="",#N/A,((Tabela1610[[#This Row],[Real Disposable Income (RDI)]]*1)/H220)-1)</f>
        <v>3.9006872639466561E-3</v>
      </c>
      <c r="J221" s="56">
        <f>IF(Tabela1610[[#This Row],[Real Disposable Income (RDI)]]="",#N/A,((Tabela1610[[#This Row],[Real Disposable Income (RDI)]]*1)/H209)-1)</f>
        <v>7.2141770812669481E-2</v>
      </c>
      <c r="K221" s="11"/>
      <c r="L221" s="11">
        <v>11.1</v>
      </c>
      <c r="M221" s="10">
        <v>396</v>
      </c>
      <c r="N221" s="10">
        <f>IF(Tabela1610[[#This Row],[Payroll]]="",#N/A,AVERAGE(M219:M221))</f>
        <v>290</v>
      </c>
      <c r="O221" s="10"/>
      <c r="P221" s="7"/>
    </row>
    <row r="222" spans="1:16">
      <c r="A222" s="6">
        <v>24198</v>
      </c>
      <c r="B222" s="11">
        <v>3.8</v>
      </c>
      <c r="C222" s="11">
        <f>IF(Tabela1610[[#This Row],[Unemployment Rate]]="",#N/A,AVERAGE(B210:B222))</f>
        <v>4.2153846153846146</v>
      </c>
      <c r="D222" s="10">
        <v>2828</v>
      </c>
      <c r="E222" s="11">
        <v>59</v>
      </c>
      <c r="F222" s="11"/>
      <c r="G222" s="11"/>
      <c r="H222" s="55">
        <v>3230.5</v>
      </c>
      <c r="I222" s="56">
        <f>IF(Tabela1610[[#This Row],[Real Disposable Income (RDI)]]="",#N/A,((Tabela1610[[#This Row],[Real Disposable Income (RDI)]]*1)/H221)-1)</f>
        <v>-3.7930183791785588E-3</v>
      </c>
      <c r="J222" s="56">
        <f>IF(Tabela1610[[#This Row],[Real Disposable Income (RDI)]]="",#N/A,((Tabela1610[[#This Row],[Real Disposable Income (RDI)]]*1)/H210)-1)</f>
        <v>6.6946297641852004E-2</v>
      </c>
      <c r="K222" s="11"/>
      <c r="L222" s="11">
        <v>10.8</v>
      </c>
      <c r="M222" s="10">
        <v>245</v>
      </c>
      <c r="N222" s="10">
        <f>IF(Tabela1610[[#This Row],[Payroll]]="",#N/A,AVERAGE(M220:M222))</f>
        <v>302.66666666666669</v>
      </c>
      <c r="O222" s="10"/>
      <c r="P222" s="7"/>
    </row>
    <row r="223" spans="1:16">
      <c r="A223" s="6">
        <v>24228</v>
      </c>
      <c r="B223" s="11">
        <v>3.9</v>
      </c>
      <c r="C223" s="11">
        <f>IF(Tabela1610[[#This Row],[Unemployment Rate]]="",#N/A,AVERAGE(B211:B223))</f>
        <v>4.1461538461538456</v>
      </c>
      <c r="D223" s="10">
        <v>2950</v>
      </c>
      <c r="E223" s="11">
        <v>59</v>
      </c>
      <c r="F223" s="11"/>
      <c r="G223" s="11"/>
      <c r="H223" s="55">
        <v>3235.7</v>
      </c>
      <c r="I223" s="56">
        <f>IF(Tabela1610[[#This Row],[Real Disposable Income (RDI)]]="",#N/A,((Tabela1610[[#This Row],[Real Disposable Income (RDI)]]*1)/H222)-1)</f>
        <v>1.6096579476860828E-3</v>
      </c>
      <c r="J223" s="56">
        <f>IF(Tabela1610[[#This Row],[Real Disposable Income (RDI)]]="",#N/A,((Tabela1610[[#This Row],[Real Disposable Income (RDI)]]*1)/H211)-1)</f>
        <v>5.6934735741817288E-2</v>
      </c>
      <c r="K223" s="11"/>
      <c r="L223" s="11">
        <v>10.199999999999999</v>
      </c>
      <c r="M223" s="10">
        <v>275</v>
      </c>
      <c r="N223" s="10">
        <f>IF(Tabela1610[[#This Row],[Payroll]]="",#N/A,AVERAGE(M221:M223))</f>
        <v>305.33333333333331</v>
      </c>
      <c r="O223" s="10"/>
      <c r="P223" s="7"/>
    </row>
    <row r="224" spans="1:16">
      <c r="A224" s="6">
        <v>24259</v>
      </c>
      <c r="B224" s="11">
        <v>3.8</v>
      </c>
      <c r="C224" s="11">
        <f>IF(Tabela1610[[#This Row],[Unemployment Rate]]="",#N/A,AVERAGE(B212:B224))</f>
        <v>4.0846153846153834</v>
      </c>
      <c r="D224" s="10">
        <v>2872</v>
      </c>
      <c r="E224" s="11">
        <v>59.1</v>
      </c>
      <c r="F224" s="11"/>
      <c r="G224" s="11"/>
      <c r="H224" s="55">
        <v>3249.2</v>
      </c>
      <c r="I224" s="56">
        <f>IF(Tabela1610[[#This Row],[Real Disposable Income (RDI)]]="",#N/A,((Tabela1610[[#This Row],[Real Disposable Income (RDI)]]*1)/H223)-1)</f>
        <v>4.1722038507896464E-3</v>
      </c>
      <c r="J224" s="56">
        <f>IF(Tabela1610[[#This Row],[Real Disposable Income (RDI)]]="",#N/A,((Tabela1610[[#This Row],[Real Disposable Income (RDI)]]*1)/H212)-1)</f>
        <v>5.9821253832604837E-2</v>
      </c>
      <c r="K224" s="11"/>
      <c r="L224" s="11">
        <v>9.6999999999999993</v>
      </c>
      <c r="M224" s="10">
        <v>399</v>
      </c>
      <c r="N224" s="10">
        <f>IF(Tabela1610[[#This Row],[Payroll]]="",#N/A,AVERAGE(M222:M224))</f>
        <v>306.33333333333331</v>
      </c>
      <c r="O224" s="10"/>
      <c r="P224" s="7"/>
    </row>
    <row r="225" spans="1:16">
      <c r="A225" s="6">
        <v>24289</v>
      </c>
      <c r="B225" s="11">
        <v>3.8</v>
      </c>
      <c r="C225" s="11">
        <f>IF(Tabela1610[[#This Row],[Unemployment Rate]]="",#N/A,AVERAGE(B213:B225))</f>
        <v>4.0230769230769221</v>
      </c>
      <c r="D225" s="10">
        <v>2876</v>
      </c>
      <c r="E225" s="11">
        <v>59.1</v>
      </c>
      <c r="F225" s="11"/>
      <c r="G225" s="11"/>
      <c r="H225" s="55">
        <v>3260.4</v>
      </c>
      <c r="I225" s="56">
        <f>IF(Tabela1610[[#This Row],[Real Disposable Income (RDI)]]="",#N/A,((Tabela1610[[#This Row],[Real Disposable Income (RDI)]]*1)/H224)-1)</f>
        <v>3.4470023390373861E-3</v>
      </c>
      <c r="J225" s="56">
        <f>IF(Tabela1610[[#This Row],[Real Disposable Income (RDI)]]="",#N/A,((Tabela1610[[#This Row],[Real Disposable Income (RDI)]]*1)/H213)-1)</f>
        <v>5.2488863064110047E-2</v>
      </c>
      <c r="K225" s="11"/>
      <c r="L225" s="11">
        <v>9.6999999999999993</v>
      </c>
      <c r="M225" s="10">
        <v>190</v>
      </c>
      <c r="N225" s="10">
        <f>IF(Tabela1610[[#This Row],[Payroll]]="",#N/A,AVERAGE(M223:M225))</f>
        <v>288</v>
      </c>
      <c r="O225" s="10"/>
      <c r="P225" s="7"/>
    </row>
    <row r="226" spans="1:16">
      <c r="A226" s="6">
        <v>24320</v>
      </c>
      <c r="B226" s="11">
        <v>3.8</v>
      </c>
      <c r="C226" s="11">
        <f>IF(Tabela1610[[#This Row],[Unemployment Rate]]="",#N/A,AVERAGE(B214:B226))</f>
        <v>3.9769230769230761</v>
      </c>
      <c r="D226" s="10">
        <v>2900</v>
      </c>
      <c r="E226" s="11">
        <v>59.3</v>
      </c>
      <c r="F226" s="11"/>
      <c r="G226" s="11"/>
      <c r="H226" s="55">
        <v>3277.2</v>
      </c>
      <c r="I226" s="56">
        <f>IF(Tabela1610[[#This Row],[Real Disposable Income (RDI)]]="",#N/A,((Tabela1610[[#This Row],[Real Disposable Income (RDI)]]*1)/H225)-1)</f>
        <v>5.1527419948471653E-3</v>
      </c>
      <c r="J226" s="56">
        <f>IF(Tabela1610[[#This Row],[Real Disposable Income (RDI)]]="",#N/A,((Tabela1610[[#This Row],[Real Disposable Income (RDI)]]*1)/H214)-1)</f>
        <v>5.2712730076129866E-2</v>
      </c>
      <c r="K226" s="11"/>
      <c r="L226" s="11">
        <v>9.8000000000000007</v>
      </c>
      <c r="M226" s="10">
        <v>206</v>
      </c>
      <c r="N226" s="10">
        <f>IF(Tabela1610[[#This Row],[Payroll]]="",#N/A,AVERAGE(M224:M226))</f>
        <v>265</v>
      </c>
      <c r="O226" s="10"/>
      <c r="P226" s="7"/>
    </row>
    <row r="227" spans="1:16">
      <c r="A227" s="6">
        <v>24351</v>
      </c>
      <c r="B227" s="11">
        <v>3.7</v>
      </c>
      <c r="C227" s="11">
        <f>IF(Tabela1610[[#This Row],[Unemployment Rate]]="",#N/A,AVERAGE(B215:B227))</f>
        <v>3.9230769230769225</v>
      </c>
      <c r="D227" s="10">
        <v>2798</v>
      </c>
      <c r="E227" s="11">
        <v>59.3</v>
      </c>
      <c r="F227" s="11"/>
      <c r="G227" s="11"/>
      <c r="H227" s="55">
        <v>3296.6</v>
      </c>
      <c r="I227" s="56">
        <f>IF(Tabela1610[[#This Row],[Real Disposable Income (RDI)]]="",#N/A,((Tabela1610[[#This Row],[Real Disposable Income (RDI)]]*1)/H226)-1)</f>
        <v>5.9196875381424263E-3</v>
      </c>
      <c r="J227" s="56">
        <f>IF(Tabela1610[[#This Row],[Real Disposable Income (RDI)]]="",#N/A,((Tabela1610[[#This Row],[Real Disposable Income (RDI)]]*1)/H215)-1)</f>
        <v>3.1961183283768957E-2</v>
      </c>
      <c r="K227" s="11"/>
      <c r="L227" s="11">
        <v>10.1</v>
      </c>
      <c r="M227" s="10">
        <v>136</v>
      </c>
      <c r="N227" s="10">
        <f>IF(Tabela1610[[#This Row],[Payroll]]="",#N/A,AVERAGE(M225:M227))</f>
        <v>177.33333333333334</v>
      </c>
      <c r="O227" s="10"/>
      <c r="P227" s="7"/>
    </row>
    <row r="228" spans="1:16">
      <c r="A228" s="6">
        <v>24381</v>
      </c>
      <c r="B228" s="11">
        <v>3.7</v>
      </c>
      <c r="C228" s="11">
        <f>IF(Tabela1610[[#This Row],[Unemployment Rate]]="",#N/A,AVERAGE(B216:B228))</f>
        <v>3.8769230769230769</v>
      </c>
      <c r="D228" s="10">
        <v>2798</v>
      </c>
      <c r="E228" s="11">
        <v>59.3</v>
      </c>
      <c r="F228" s="11"/>
      <c r="G228" s="11"/>
      <c r="H228" s="55">
        <v>3307.3</v>
      </c>
      <c r="I228" s="56">
        <f>IF(Tabela1610[[#This Row],[Real Disposable Income (RDI)]]="",#N/A,((Tabela1610[[#This Row],[Real Disposable Income (RDI)]]*1)/H227)-1)</f>
        <v>3.2457683674089743E-3</v>
      </c>
      <c r="J228" s="56">
        <f>IF(Tabela1610[[#This Row],[Real Disposable Income (RDI)]]="",#N/A,((Tabela1610[[#This Row],[Real Disposable Income (RDI)]]*1)/H216)-1)</f>
        <v>4.039133033439235E-2</v>
      </c>
      <c r="K228" s="11"/>
      <c r="L228" s="11">
        <v>10.3</v>
      </c>
      <c r="M228" s="10">
        <v>211</v>
      </c>
      <c r="N228" s="10">
        <f>IF(Tabela1610[[#This Row],[Payroll]]="",#N/A,AVERAGE(M226:M228))</f>
        <v>184.33333333333334</v>
      </c>
      <c r="O228" s="10"/>
      <c r="P228" s="7"/>
    </row>
    <row r="229" spans="1:16">
      <c r="A229" s="6">
        <v>24412</v>
      </c>
      <c r="B229" s="11">
        <v>3.6</v>
      </c>
      <c r="C229" s="11">
        <f>IF(Tabela1610[[#This Row],[Unemployment Rate]]="",#N/A,AVERAGE(B217:B229))</f>
        <v>3.8307692307692309</v>
      </c>
      <c r="D229" s="10">
        <v>2770</v>
      </c>
      <c r="E229" s="11">
        <v>59.6</v>
      </c>
      <c r="F229" s="11"/>
      <c r="G229" s="11"/>
      <c r="H229" s="55">
        <v>3322.5</v>
      </c>
      <c r="I229" s="56">
        <f>IF(Tabela1610[[#This Row],[Real Disposable Income (RDI)]]="",#N/A,((Tabela1610[[#This Row],[Real Disposable Income (RDI)]]*1)/H228)-1)</f>
        <v>4.5958939316057545E-3</v>
      </c>
      <c r="J229" s="56">
        <f>IF(Tabela1610[[#This Row],[Real Disposable Income (RDI)]]="",#N/A,((Tabela1610[[#This Row],[Real Disposable Income (RDI)]]*1)/H217)-1)</f>
        <v>3.7827200599737543E-2</v>
      </c>
      <c r="K229" s="11"/>
      <c r="L229" s="11">
        <v>9.6999999999999993</v>
      </c>
      <c r="M229" s="10">
        <v>165</v>
      </c>
      <c r="N229" s="10">
        <f>IF(Tabela1610[[#This Row],[Payroll]]="",#N/A,AVERAGE(M227:M229))</f>
        <v>170.66666666666666</v>
      </c>
      <c r="O229" s="10"/>
      <c r="P229" s="7"/>
    </row>
    <row r="230" spans="1:16">
      <c r="A230" s="6">
        <v>24442</v>
      </c>
      <c r="B230" s="11">
        <v>3.8</v>
      </c>
      <c r="C230" s="11">
        <f>IF(Tabela1610[[#This Row],[Unemployment Rate]]="",#N/A,AVERAGE(B218:B230))</f>
        <v>3.8076923076923084</v>
      </c>
      <c r="D230" s="10">
        <v>2912</v>
      </c>
      <c r="E230" s="11">
        <v>59.5</v>
      </c>
      <c r="F230" s="11"/>
      <c r="G230" s="11"/>
      <c r="H230" s="55">
        <v>3319.6</v>
      </c>
      <c r="I230" s="56">
        <f>IF(Tabela1610[[#This Row],[Real Disposable Income (RDI)]]="",#N/A,((Tabela1610[[#This Row],[Real Disposable Income (RDI)]]*1)/H229)-1)</f>
        <v>-8.7283671933791052E-4</v>
      </c>
      <c r="J230" s="56">
        <f>IF(Tabela1610[[#This Row],[Real Disposable Income (RDI)]]="",#N/A,((Tabela1610[[#This Row],[Real Disposable Income (RDI)]]*1)/H218)-1)</f>
        <v>3.2663472904871593E-2</v>
      </c>
      <c r="K230" s="11"/>
      <c r="L230" s="11">
        <v>9.5</v>
      </c>
      <c r="M230" s="10">
        <v>180</v>
      </c>
      <c r="N230" s="10">
        <f>IF(Tabela1610[[#This Row],[Payroll]]="",#N/A,AVERAGE(M228:M230))</f>
        <v>185.33333333333334</v>
      </c>
      <c r="O230" s="10"/>
      <c r="P230" s="7"/>
    </row>
    <row r="231" spans="1:16">
      <c r="A231" s="6">
        <v>24473</v>
      </c>
      <c r="B231" s="11">
        <v>3.9</v>
      </c>
      <c r="C231" s="11">
        <f>IF(Tabela1610[[#This Row],[Unemployment Rate]]="",#N/A,AVERAGE(B219:B231))</f>
        <v>3.8</v>
      </c>
      <c r="D231" s="10">
        <v>2968</v>
      </c>
      <c r="E231" s="11">
        <v>59.5</v>
      </c>
      <c r="F231" s="11"/>
      <c r="G231" s="11"/>
      <c r="H231" s="55">
        <v>3353.7</v>
      </c>
      <c r="I231" s="56">
        <f>IF(Tabela1610[[#This Row],[Real Disposable Income (RDI)]]="",#N/A,((Tabela1610[[#This Row],[Real Disposable Income (RDI)]]*1)/H230)-1)</f>
        <v>1.0272321966501963E-2</v>
      </c>
      <c r="J231" s="56">
        <f>IF(Tabela1610[[#This Row],[Real Disposable Income (RDI)]]="",#N/A,((Tabela1610[[#This Row],[Real Disposable Income (RDI)]]*1)/H219)-1)</f>
        <v>4.2557821437453347E-2</v>
      </c>
      <c r="K231" s="10">
        <v>204000</v>
      </c>
      <c r="L231" s="11">
        <v>9.3000000000000007</v>
      </c>
      <c r="M231" s="10">
        <v>208</v>
      </c>
      <c r="N231" s="10">
        <f>IF(Tabela1610[[#This Row],[Payroll]]="",#N/A,AVERAGE(M229:M231))</f>
        <v>184.33333333333334</v>
      </c>
      <c r="O231" s="10"/>
      <c r="P231" s="7"/>
    </row>
    <row r="232" spans="1:16">
      <c r="A232" s="6">
        <v>24504</v>
      </c>
      <c r="B232" s="11">
        <v>3.8</v>
      </c>
      <c r="C232" s="11">
        <f>IF(Tabela1610[[#This Row],[Unemployment Rate]]="",#N/A,AVERAGE(B220:B232))</f>
        <v>3.7846153846153845</v>
      </c>
      <c r="D232" s="10">
        <v>2915</v>
      </c>
      <c r="E232" s="11">
        <v>59.3</v>
      </c>
      <c r="F232" s="11"/>
      <c r="G232" s="11"/>
      <c r="H232" s="55">
        <v>3360.2</v>
      </c>
      <c r="I232" s="56">
        <f>IF(Tabela1610[[#This Row],[Real Disposable Income (RDI)]]="",#N/A,((Tabela1610[[#This Row],[Real Disposable Income (RDI)]]*1)/H231)-1)</f>
        <v>1.9381578555028867E-3</v>
      </c>
      <c r="J232" s="56">
        <f>IF(Tabela1610[[#This Row],[Real Disposable Income (RDI)]]="",#N/A,((Tabela1610[[#This Row],[Real Disposable Income (RDI)]]*1)/H220)-1)</f>
        <v>4.0245186056590887E-2</v>
      </c>
      <c r="K232" s="10">
        <v>242000</v>
      </c>
      <c r="L232" s="11">
        <v>9.1999999999999993</v>
      </c>
      <c r="M232" s="10">
        <v>22</v>
      </c>
      <c r="N232" s="10">
        <f>IF(Tabela1610[[#This Row],[Payroll]]="",#N/A,AVERAGE(M230:M232))</f>
        <v>136.66666666666666</v>
      </c>
      <c r="O232" s="10"/>
      <c r="P232" s="7"/>
    </row>
    <row r="233" spans="1:16">
      <c r="A233" s="6">
        <v>24532</v>
      </c>
      <c r="B233" s="11">
        <v>3.8</v>
      </c>
      <c r="C233" s="11">
        <f>IF(Tabela1610[[#This Row],[Unemployment Rate]]="",#N/A,AVERAGE(B221:B233))</f>
        <v>3.7846153846153836</v>
      </c>
      <c r="D233" s="10">
        <v>2889</v>
      </c>
      <c r="E233" s="11">
        <v>59.1</v>
      </c>
      <c r="F233" s="11"/>
      <c r="G233" s="11"/>
      <c r="H233" s="55">
        <v>3385.5</v>
      </c>
      <c r="I233" s="56">
        <f>IF(Tabela1610[[#This Row],[Real Disposable Income (RDI)]]="",#N/A,((Tabela1610[[#This Row],[Real Disposable Income (RDI)]]*1)/H232)-1)</f>
        <v>7.5293137313254821E-3</v>
      </c>
      <c r="J233" s="56">
        <f>IF(Tabela1610[[#This Row],[Real Disposable Income (RDI)]]="",#N/A,((Tabela1610[[#This Row],[Real Disposable Income (RDI)]]*1)/H221)-1)</f>
        <v>4.4005180708029945E-2</v>
      </c>
      <c r="K233" s="10">
        <v>247000</v>
      </c>
      <c r="L233" s="11">
        <v>8.9</v>
      </c>
      <c r="M233" s="10">
        <v>101</v>
      </c>
      <c r="N233" s="10">
        <f>IF(Tabela1610[[#This Row],[Payroll]]="",#N/A,AVERAGE(M231:M233))</f>
        <v>110.33333333333333</v>
      </c>
      <c r="O233" s="10"/>
      <c r="P233" s="7"/>
    </row>
    <row r="234" spans="1:16">
      <c r="A234" s="6">
        <v>24563</v>
      </c>
      <c r="B234" s="11">
        <v>3.8</v>
      </c>
      <c r="C234" s="11">
        <f>IF(Tabela1610[[#This Row],[Unemployment Rate]]="",#N/A,AVERAGE(B222:B234))</f>
        <v>3.7846153846153836</v>
      </c>
      <c r="D234" s="10">
        <v>2895</v>
      </c>
      <c r="E234" s="11">
        <v>59.4</v>
      </c>
      <c r="F234" s="11"/>
      <c r="G234" s="11"/>
      <c r="H234" s="55">
        <v>3384.5</v>
      </c>
      <c r="I234" s="56">
        <f>IF(Tabela1610[[#This Row],[Real Disposable Income (RDI)]]="",#N/A,((Tabela1610[[#This Row],[Real Disposable Income (RDI)]]*1)/H233)-1)</f>
        <v>-2.9537734455764575E-4</v>
      </c>
      <c r="J234" s="56">
        <f>IF(Tabela1610[[#This Row],[Real Disposable Income (RDI)]]="",#N/A,((Tabela1610[[#This Row],[Real Disposable Income (RDI)]]*1)/H222)-1)</f>
        <v>4.7670639219935085E-2</v>
      </c>
      <c r="K234" s="10">
        <v>255000</v>
      </c>
      <c r="L234" s="11">
        <v>8.8000000000000007</v>
      </c>
      <c r="M234" s="10">
        <v>-64</v>
      </c>
      <c r="N234" s="10">
        <f>IF(Tabela1610[[#This Row],[Payroll]]="",#N/A,AVERAGE(M232:M234))</f>
        <v>19.666666666666668</v>
      </c>
      <c r="O234" s="10"/>
      <c r="P234" s="7"/>
    </row>
    <row r="235" spans="1:16">
      <c r="A235" s="6">
        <v>24593</v>
      </c>
      <c r="B235" s="11">
        <v>3.8</v>
      </c>
      <c r="C235" s="11">
        <f>IF(Tabela1610[[#This Row],[Unemployment Rate]]="",#N/A,AVERAGE(B223:B235))</f>
        <v>3.7846153846153836</v>
      </c>
      <c r="D235" s="10">
        <v>2929</v>
      </c>
      <c r="E235" s="11">
        <v>59.3</v>
      </c>
      <c r="F235" s="11"/>
      <c r="G235" s="11"/>
      <c r="H235" s="55">
        <v>3391.3</v>
      </c>
      <c r="I235" s="56">
        <f>IF(Tabela1610[[#This Row],[Real Disposable Income (RDI)]]="",#N/A,((Tabela1610[[#This Row],[Real Disposable Income (RDI)]]*1)/H234)-1)</f>
        <v>2.0091594031614868E-3</v>
      </c>
      <c r="J235" s="56">
        <f>IF(Tabela1610[[#This Row],[Real Disposable Income (RDI)]]="",#N/A,((Tabela1610[[#This Row],[Real Disposable Income (RDI)]]*1)/H223)-1)</f>
        <v>4.8088512532064254E-2</v>
      </c>
      <c r="K235" s="10">
        <v>228000</v>
      </c>
      <c r="L235" s="11">
        <v>8.6999999999999993</v>
      </c>
      <c r="M235" s="10">
        <v>154</v>
      </c>
      <c r="N235" s="10">
        <f>IF(Tabela1610[[#This Row],[Payroll]]="",#N/A,AVERAGE(M233:M235))</f>
        <v>63.666666666666664</v>
      </c>
      <c r="O235" s="10"/>
      <c r="P235" s="7"/>
    </row>
    <row r="236" spans="1:16">
      <c r="A236" s="6">
        <v>24624</v>
      </c>
      <c r="B236" s="11">
        <v>3.9</v>
      </c>
      <c r="C236" s="11">
        <f>IF(Tabela1610[[#This Row],[Unemployment Rate]]="",#N/A,AVERAGE(B224:B236))</f>
        <v>3.7846153846153836</v>
      </c>
      <c r="D236" s="10">
        <v>2992</v>
      </c>
      <c r="E236" s="11">
        <v>59.6</v>
      </c>
      <c r="F236" s="11"/>
      <c r="G236" s="11"/>
      <c r="H236" s="55">
        <v>3403.8</v>
      </c>
      <c r="I236" s="56">
        <f>IF(Tabela1610[[#This Row],[Real Disposable Income (RDI)]]="",#N/A,((Tabela1610[[#This Row],[Real Disposable Income (RDI)]]*1)/H235)-1)</f>
        <v>3.6859021614130683E-3</v>
      </c>
      <c r="J236" s="56">
        <f>IF(Tabela1610[[#This Row],[Real Disposable Income (RDI)]]="",#N/A,((Tabela1610[[#This Row],[Real Disposable Income (RDI)]]*1)/H224)-1)</f>
        <v>4.7580943001354292E-2</v>
      </c>
      <c r="K236" s="10">
        <v>218000</v>
      </c>
      <c r="L236" s="11">
        <v>8.3000000000000007</v>
      </c>
      <c r="M236" s="10">
        <v>130</v>
      </c>
      <c r="N236" s="10">
        <f>IF(Tabela1610[[#This Row],[Payroll]]="",#N/A,AVERAGE(M234:M236))</f>
        <v>73.333333333333329</v>
      </c>
      <c r="O236" s="10"/>
      <c r="P236" s="7"/>
    </row>
    <row r="237" spans="1:16">
      <c r="A237" s="6">
        <v>24654</v>
      </c>
      <c r="B237" s="11">
        <v>3.8</v>
      </c>
      <c r="C237" s="11">
        <f>IF(Tabela1610[[#This Row],[Unemployment Rate]]="",#N/A,AVERAGE(B225:B237))</f>
        <v>3.7846153846153836</v>
      </c>
      <c r="D237" s="10">
        <v>2944</v>
      </c>
      <c r="E237" s="11">
        <v>59.6</v>
      </c>
      <c r="F237" s="11"/>
      <c r="G237" s="11"/>
      <c r="H237" s="55">
        <v>3417.4</v>
      </c>
      <c r="I237" s="56">
        <f>IF(Tabela1610[[#This Row],[Real Disposable Income (RDI)]]="",#N/A,((Tabela1610[[#This Row],[Real Disposable Income (RDI)]]*1)/H236)-1)</f>
        <v>3.995534402726264E-3</v>
      </c>
      <c r="J237" s="56">
        <f>IF(Tabela1610[[#This Row],[Real Disposable Income (RDI)]]="",#N/A,((Tabela1610[[#This Row],[Real Disposable Income (RDI)]]*1)/H225)-1)</f>
        <v>4.8153600785179718E-2</v>
      </c>
      <c r="K237" s="10">
        <v>209000</v>
      </c>
      <c r="L237" s="11">
        <v>8.3000000000000007</v>
      </c>
      <c r="M237" s="10">
        <v>138</v>
      </c>
      <c r="N237" s="10">
        <f>IF(Tabela1610[[#This Row],[Payroll]]="",#N/A,AVERAGE(M235:M237))</f>
        <v>140.66666666666666</v>
      </c>
      <c r="O237" s="10"/>
      <c r="P237" s="7"/>
    </row>
    <row r="238" spans="1:16">
      <c r="A238" s="6">
        <v>24685</v>
      </c>
      <c r="B238" s="11">
        <v>3.8</v>
      </c>
      <c r="C238" s="11">
        <f>IF(Tabela1610[[#This Row],[Unemployment Rate]]="",#N/A,AVERAGE(B226:B238))</f>
        <v>3.7846153846153836</v>
      </c>
      <c r="D238" s="10">
        <v>2945</v>
      </c>
      <c r="E238" s="11">
        <v>59.7</v>
      </c>
      <c r="F238" s="11"/>
      <c r="G238" s="11"/>
      <c r="H238" s="55">
        <v>3429.7</v>
      </c>
      <c r="I238" s="56">
        <f>IF(Tabela1610[[#This Row],[Real Disposable Income (RDI)]]="",#N/A,((Tabela1610[[#This Row],[Real Disposable Income (RDI)]]*1)/H237)-1)</f>
        <v>3.5992274828815507E-3</v>
      </c>
      <c r="J238" s="56">
        <f>IF(Tabela1610[[#This Row],[Real Disposable Income (RDI)]]="",#N/A,((Tabela1610[[#This Row],[Real Disposable Income (RDI)]]*1)/H226)-1)</f>
        <v>4.6533626266324957E-2</v>
      </c>
      <c r="K238" s="10">
        <v>213000</v>
      </c>
      <c r="L238" s="11">
        <v>8.9</v>
      </c>
      <c r="M238" s="10">
        <v>255</v>
      </c>
      <c r="N238" s="10">
        <f>IF(Tabela1610[[#This Row],[Payroll]]="",#N/A,AVERAGE(M236:M238))</f>
        <v>174.33333333333334</v>
      </c>
      <c r="O238" s="10"/>
      <c r="P238" s="7"/>
    </row>
    <row r="239" spans="1:16">
      <c r="A239" s="6">
        <v>24716</v>
      </c>
      <c r="B239" s="11">
        <v>3.8</v>
      </c>
      <c r="C239" s="11">
        <f>IF(Tabela1610[[#This Row],[Unemployment Rate]]="",#N/A,AVERAGE(B227:B239))</f>
        <v>3.7846153846153836</v>
      </c>
      <c r="D239" s="10">
        <v>2958</v>
      </c>
      <c r="E239" s="11">
        <v>59.7</v>
      </c>
      <c r="F239" s="11"/>
      <c r="G239" s="11"/>
      <c r="H239" s="55">
        <v>3429.3</v>
      </c>
      <c r="I239" s="56">
        <f>IF(Tabela1610[[#This Row],[Real Disposable Income (RDI)]]="",#N/A,((Tabela1610[[#This Row],[Real Disposable Income (RDI)]]*1)/H238)-1)</f>
        <v>-1.1662827652558772E-4</v>
      </c>
      <c r="J239" s="56">
        <f>IF(Tabela1610[[#This Row],[Real Disposable Income (RDI)]]="",#N/A,((Tabela1610[[#This Row],[Real Disposable Income (RDI)]]*1)/H227)-1)</f>
        <v>4.0253594612631227E-2</v>
      </c>
      <c r="K239" s="10">
        <v>204000</v>
      </c>
      <c r="L239" s="11">
        <v>8.4</v>
      </c>
      <c r="M239" s="10">
        <v>21</v>
      </c>
      <c r="N239" s="10">
        <f>IF(Tabela1610[[#This Row],[Payroll]]="",#N/A,AVERAGE(M237:M239))</f>
        <v>138</v>
      </c>
      <c r="O239" s="10"/>
      <c r="P239" s="7"/>
    </row>
    <row r="240" spans="1:16">
      <c r="A240" s="6">
        <v>24746</v>
      </c>
      <c r="B240" s="11">
        <v>4</v>
      </c>
      <c r="C240" s="11">
        <f>IF(Tabela1610[[#This Row],[Unemployment Rate]]="",#N/A,AVERAGE(B228:B240))</f>
        <v>3.807692307692307</v>
      </c>
      <c r="D240" s="10">
        <v>3143</v>
      </c>
      <c r="E240" s="11">
        <v>59.9</v>
      </c>
      <c r="F240" s="11"/>
      <c r="G240" s="11"/>
      <c r="H240" s="55">
        <v>3434.5</v>
      </c>
      <c r="I240" s="56">
        <f>IF(Tabela1610[[#This Row],[Real Disposable Income (RDI)]]="",#N/A,((Tabela1610[[#This Row],[Real Disposable Income (RDI)]]*1)/H239)-1)</f>
        <v>1.5163444434724838E-3</v>
      </c>
      <c r="J240" s="56">
        <f>IF(Tabela1610[[#This Row],[Real Disposable Income (RDI)]]="",#N/A,((Tabela1610[[#This Row],[Real Disposable Income (RDI)]]*1)/H228)-1)</f>
        <v>3.8460375532912039E-2</v>
      </c>
      <c r="K240" s="10">
        <v>207000</v>
      </c>
      <c r="L240" s="11">
        <v>8.6999999999999993</v>
      </c>
      <c r="M240" s="10">
        <v>61</v>
      </c>
      <c r="N240" s="10">
        <f>IF(Tabela1610[[#This Row],[Payroll]]="",#N/A,AVERAGE(M238:M240))</f>
        <v>112.33333333333333</v>
      </c>
      <c r="O240" s="10"/>
      <c r="P240" s="7"/>
    </row>
    <row r="241" spans="1:16">
      <c r="A241" s="6">
        <v>24777</v>
      </c>
      <c r="B241" s="11">
        <v>3.9</v>
      </c>
      <c r="C241" s="11">
        <f>IF(Tabela1610[[#This Row],[Unemployment Rate]]="",#N/A,AVERAGE(B229:B241))</f>
        <v>3.8230769230769228</v>
      </c>
      <c r="D241" s="10">
        <v>3066</v>
      </c>
      <c r="E241" s="11">
        <v>59.8</v>
      </c>
      <c r="F241" s="11"/>
      <c r="G241" s="11"/>
      <c r="H241" s="55">
        <v>3455.3</v>
      </c>
      <c r="I241" s="56">
        <f>IF(Tabela1610[[#This Row],[Real Disposable Income (RDI)]]="",#N/A,((Tabela1610[[#This Row],[Real Disposable Income (RDI)]]*1)/H240)-1)</f>
        <v>6.0561944970156656E-3</v>
      </c>
      <c r="J241" s="56">
        <f>IF(Tabela1610[[#This Row],[Real Disposable Income (RDI)]]="",#N/A,((Tabela1610[[#This Row],[Real Disposable Income (RDI)]]*1)/H229)-1)</f>
        <v>3.9969902182091843E-2</v>
      </c>
      <c r="K241" s="10">
        <v>191000</v>
      </c>
      <c r="L241" s="11">
        <v>8.9</v>
      </c>
      <c r="M241" s="10">
        <v>478</v>
      </c>
      <c r="N241" s="10">
        <f>IF(Tabela1610[[#This Row],[Payroll]]="",#N/A,AVERAGE(M239:M241))</f>
        <v>186.66666666666666</v>
      </c>
      <c r="O241" s="10"/>
      <c r="P241" s="7"/>
    </row>
    <row r="242" spans="1:16">
      <c r="A242" s="6">
        <v>24807</v>
      </c>
      <c r="B242" s="11">
        <v>3.8</v>
      </c>
      <c r="C242" s="11">
        <f>IF(Tabela1610[[#This Row],[Unemployment Rate]]="",#N/A,AVERAGE(B230:B242))</f>
        <v>3.8384615384615377</v>
      </c>
      <c r="D242" s="10">
        <v>3018</v>
      </c>
      <c r="E242" s="11">
        <v>59.9</v>
      </c>
      <c r="F242" s="11"/>
      <c r="G242" s="11"/>
      <c r="H242" s="55">
        <v>3461.6</v>
      </c>
      <c r="I242" s="56">
        <f>IF(Tabela1610[[#This Row],[Real Disposable Income (RDI)]]="",#N/A,((Tabela1610[[#This Row],[Real Disposable Income (RDI)]]*1)/H241)-1)</f>
        <v>1.8232859664861767E-3</v>
      </c>
      <c r="J242" s="56">
        <f>IF(Tabela1610[[#This Row],[Real Disposable Income (RDI)]]="",#N/A,((Tabela1610[[#This Row],[Real Disposable Income (RDI)]]*1)/H230)-1)</f>
        <v>4.2776238100975972E-2</v>
      </c>
      <c r="K242" s="10">
        <v>216000</v>
      </c>
      <c r="L242" s="11">
        <v>8.6</v>
      </c>
      <c r="M242" s="10">
        <v>197</v>
      </c>
      <c r="N242" s="10">
        <f>IF(Tabela1610[[#This Row],[Payroll]]="",#N/A,AVERAGE(M240:M242))</f>
        <v>245.33333333333334</v>
      </c>
      <c r="O242" s="10"/>
      <c r="P242" s="7"/>
    </row>
    <row r="243" spans="1:16">
      <c r="A243" s="6">
        <v>24838</v>
      </c>
      <c r="B243" s="11">
        <v>3.7</v>
      </c>
      <c r="C243" s="11">
        <f>IF(Tabela1610[[#This Row],[Unemployment Rate]]="",#N/A,AVERAGE(B231:B243))</f>
        <v>3.8307692307692305</v>
      </c>
      <c r="D243" s="10">
        <v>2878</v>
      </c>
      <c r="E243" s="11">
        <v>59.2</v>
      </c>
      <c r="F243" s="11"/>
      <c r="G243" s="11"/>
      <c r="H243" s="55">
        <v>3480.2</v>
      </c>
      <c r="I243" s="56">
        <f>IF(Tabela1610[[#This Row],[Real Disposable Income (RDI)]]="",#N/A,((Tabela1610[[#This Row],[Real Disposable Income (RDI)]]*1)/H242)-1)</f>
        <v>5.373237809105591E-3</v>
      </c>
      <c r="J243" s="56">
        <f>IF(Tabela1610[[#This Row],[Real Disposable Income (RDI)]]="",#N/A,((Tabela1610[[#This Row],[Real Disposable Income (RDI)]]*1)/H231)-1)</f>
        <v>3.7719533649402059E-2</v>
      </c>
      <c r="K243" s="10">
        <v>198000</v>
      </c>
      <c r="L243" s="11">
        <v>9.4</v>
      </c>
      <c r="M243" s="10">
        <v>-96</v>
      </c>
      <c r="N243" s="10">
        <f>IF(Tabela1610[[#This Row],[Payroll]]="",#N/A,AVERAGE(M241:M243))</f>
        <v>193</v>
      </c>
      <c r="O243" s="10"/>
      <c r="P243" s="7"/>
    </row>
    <row r="244" spans="1:16">
      <c r="A244" s="6">
        <v>24869</v>
      </c>
      <c r="B244" s="11">
        <v>3.8</v>
      </c>
      <c r="C244" s="11">
        <f>IF(Tabela1610[[#This Row],[Unemployment Rate]]="",#N/A,AVERAGE(B232:B244))</f>
        <v>3.8230769230769228</v>
      </c>
      <c r="D244" s="10">
        <v>3001</v>
      </c>
      <c r="E244" s="11">
        <v>59.6</v>
      </c>
      <c r="F244" s="11"/>
      <c r="G244" s="11"/>
      <c r="H244" s="55">
        <v>3505.4</v>
      </c>
      <c r="I244" s="56">
        <f>IF(Tabela1610[[#This Row],[Real Disposable Income (RDI)]]="",#N/A,((Tabela1610[[#This Row],[Real Disposable Income (RDI)]]*1)/H243)-1)</f>
        <v>7.2409631630367954E-3</v>
      </c>
      <c r="J244" s="56">
        <f>IF(Tabela1610[[#This Row],[Real Disposable Income (RDI)]]="",#N/A,((Tabela1610[[#This Row],[Real Disposable Income (RDI)]]*1)/H232)-1)</f>
        <v>4.3211713588476863E-2</v>
      </c>
      <c r="K244" s="10">
        <v>193000</v>
      </c>
      <c r="L244" s="11">
        <v>8.6999999999999993</v>
      </c>
      <c r="M244" s="10">
        <v>411</v>
      </c>
      <c r="N244" s="10">
        <f>IF(Tabela1610[[#This Row],[Payroll]]="",#N/A,AVERAGE(M242:M244))</f>
        <v>170.66666666666666</v>
      </c>
      <c r="O244" s="10"/>
      <c r="P244" s="7"/>
    </row>
    <row r="245" spans="1:16">
      <c r="A245" s="6">
        <v>24898</v>
      </c>
      <c r="B245" s="11">
        <v>3.7</v>
      </c>
      <c r="C245" s="11">
        <f>IF(Tabela1610[[#This Row],[Unemployment Rate]]="",#N/A,AVERAGE(B233:B245))</f>
        <v>3.8153846153846156</v>
      </c>
      <c r="D245" s="10">
        <v>2877</v>
      </c>
      <c r="E245" s="11">
        <v>59.6</v>
      </c>
      <c r="F245" s="11"/>
      <c r="G245" s="11"/>
      <c r="H245" s="55">
        <v>3538.4</v>
      </c>
      <c r="I245" s="56">
        <f>IF(Tabela1610[[#This Row],[Real Disposable Income (RDI)]]="",#N/A,((Tabela1610[[#This Row],[Real Disposable Income (RDI)]]*1)/H244)-1)</f>
        <v>9.4140468990699944E-3</v>
      </c>
      <c r="J245" s="56">
        <f>IF(Tabela1610[[#This Row],[Real Disposable Income (RDI)]]="",#N/A,((Tabela1610[[#This Row],[Real Disposable Income (RDI)]]*1)/H233)-1)</f>
        <v>4.5163195982868221E-2</v>
      </c>
      <c r="K245" s="10">
        <v>192000</v>
      </c>
      <c r="L245" s="11">
        <v>8.5</v>
      </c>
      <c r="M245" s="10">
        <v>80</v>
      </c>
      <c r="N245" s="10">
        <f>IF(Tabela1610[[#This Row],[Payroll]]="",#N/A,AVERAGE(M243:M245))</f>
        <v>131.66666666666666</v>
      </c>
      <c r="O245" s="10"/>
      <c r="P245" s="7"/>
    </row>
    <row r="246" spans="1:16">
      <c r="A246" s="6">
        <v>24929</v>
      </c>
      <c r="B246" s="11">
        <v>3.5</v>
      </c>
      <c r="C246" s="11">
        <f>IF(Tabela1610[[#This Row],[Unemployment Rate]]="",#N/A,AVERAGE(B234:B246))</f>
        <v>3.7923076923076926</v>
      </c>
      <c r="D246" s="10">
        <v>2709</v>
      </c>
      <c r="E246" s="11">
        <v>59.5</v>
      </c>
      <c r="F246" s="11"/>
      <c r="G246" s="11"/>
      <c r="H246" s="55">
        <v>3550.7</v>
      </c>
      <c r="I246" s="56">
        <f>IF(Tabela1610[[#This Row],[Real Disposable Income (RDI)]]="",#N/A,((Tabela1610[[#This Row],[Real Disposable Income (RDI)]]*1)/H245)-1)</f>
        <v>3.4761474112592339E-3</v>
      </c>
      <c r="J246" s="56">
        <f>IF(Tabela1610[[#This Row],[Real Disposable Income (RDI)]]="",#N/A,((Tabela1610[[#This Row],[Real Disposable Income (RDI)]]*1)/H234)-1)</f>
        <v>4.9106219530211215E-2</v>
      </c>
      <c r="K246" s="10">
        <v>251000</v>
      </c>
      <c r="L246" s="11">
        <v>8.6999999999999993</v>
      </c>
      <c r="M246" s="10">
        <v>261</v>
      </c>
      <c r="N246" s="10">
        <f>IF(Tabela1610[[#This Row],[Payroll]]="",#N/A,AVERAGE(M244:M246))</f>
        <v>250.66666666666666</v>
      </c>
      <c r="O246" s="10"/>
      <c r="P246" s="7"/>
    </row>
    <row r="247" spans="1:16">
      <c r="A247" s="6">
        <v>24959</v>
      </c>
      <c r="B247" s="11">
        <v>3.5</v>
      </c>
      <c r="C247" s="11">
        <f>IF(Tabela1610[[#This Row],[Unemployment Rate]]="",#N/A,AVERAGE(B235:B247))</f>
        <v>3.7692307692307692</v>
      </c>
      <c r="D247" s="10">
        <v>2740</v>
      </c>
      <c r="E247" s="11">
        <v>59.9</v>
      </c>
      <c r="F247" s="11"/>
      <c r="G247" s="11"/>
      <c r="H247" s="55">
        <v>3565.2</v>
      </c>
      <c r="I247" s="56">
        <f>IF(Tabela1610[[#This Row],[Real Disposable Income (RDI)]]="",#N/A,((Tabela1610[[#This Row],[Real Disposable Income (RDI)]]*1)/H246)-1)</f>
        <v>4.0837018052777285E-3</v>
      </c>
      <c r="J247" s="56">
        <f>IF(Tabela1610[[#This Row],[Real Disposable Income (RDI)]]="",#N/A,((Tabela1610[[#This Row],[Real Disposable Income (RDI)]]*1)/H235)-1)</f>
        <v>5.1278270869578035E-2</v>
      </c>
      <c r="K247" s="10">
        <v>194000</v>
      </c>
      <c r="L247" s="11">
        <v>8.1999999999999993</v>
      </c>
      <c r="M247" s="10">
        <v>96</v>
      </c>
      <c r="N247" s="10">
        <f>IF(Tabela1610[[#This Row],[Payroll]]="",#N/A,AVERAGE(M245:M247))</f>
        <v>145.66666666666666</v>
      </c>
      <c r="O247" s="10"/>
      <c r="P247" s="7"/>
    </row>
    <row r="248" spans="1:16">
      <c r="A248" s="6">
        <v>24990</v>
      </c>
      <c r="B248" s="11">
        <v>3.7</v>
      </c>
      <c r="C248" s="11">
        <f>IF(Tabela1610[[#This Row],[Unemployment Rate]]="",#N/A,AVERAGE(B236:B248))</f>
        <v>3.7615384615384619</v>
      </c>
      <c r="D248" s="10">
        <v>2938</v>
      </c>
      <c r="E248" s="11">
        <v>60</v>
      </c>
      <c r="F248" s="11"/>
      <c r="G248" s="11"/>
      <c r="H248" s="55">
        <v>3581.3</v>
      </c>
      <c r="I248" s="56">
        <f>IF(Tabela1610[[#This Row],[Real Disposable Income (RDI)]]="",#N/A,((Tabela1610[[#This Row],[Real Disposable Income (RDI)]]*1)/H247)-1)</f>
        <v>4.5158756871985783E-3</v>
      </c>
      <c r="J248" s="56">
        <f>IF(Tabela1610[[#This Row],[Real Disposable Income (RDI)]]="",#N/A,((Tabela1610[[#This Row],[Real Disposable Income (RDI)]]*1)/H236)-1)</f>
        <v>5.2147599741465323E-2</v>
      </c>
      <c r="K248" s="10">
        <v>194000</v>
      </c>
      <c r="L248" s="11">
        <v>7.9</v>
      </c>
      <c r="M248" s="10">
        <v>253</v>
      </c>
      <c r="N248" s="10">
        <f>IF(Tabela1610[[#This Row],[Payroll]]="",#N/A,AVERAGE(M246:M248))</f>
        <v>203.33333333333334</v>
      </c>
      <c r="O248" s="10"/>
      <c r="P248" s="7"/>
    </row>
    <row r="249" spans="1:16">
      <c r="A249" s="6">
        <v>25020</v>
      </c>
      <c r="B249" s="11">
        <v>3.7</v>
      </c>
      <c r="C249" s="11">
        <f>IF(Tabela1610[[#This Row],[Unemployment Rate]]="",#N/A,AVERAGE(B237:B249))</f>
        <v>3.7461538461538462</v>
      </c>
      <c r="D249" s="10">
        <v>2883</v>
      </c>
      <c r="E249" s="11">
        <v>59.8</v>
      </c>
      <c r="F249" s="11"/>
      <c r="G249" s="11"/>
      <c r="H249" s="55">
        <v>3573.9</v>
      </c>
      <c r="I249" s="56">
        <f>IF(Tabela1610[[#This Row],[Real Disposable Income (RDI)]]="",#N/A,((Tabela1610[[#This Row],[Real Disposable Income (RDI)]]*1)/H248)-1)</f>
        <v>-2.0662887778181149E-3</v>
      </c>
      <c r="J249" s="56">
        <f>IF(Tabela1610[[#This Row],[Real Disposable Income (RDI)]]="",#N/A,((Tabela1610[[#This Row],[Real Disposable Income (RDI)]]*1)/H237)-1)</f>
        <v>4.5795048867560029E-2</v>
      </c>
      <c r="K249" s="10">
        <v>205000</v>
      </c>
      <c r="L249" s="11">
        <v>8.4</v>
      </c>
      <c r="M249" s="10">
        <v>221</v>
      </c>
      <c r="N249" s="10">
        <f>IF(Tabela1610[[#This Row],[Payroll]]="",#N/A,AVERAGE(M247:M249))</f>
        <v>190</v>
      </c>
      <c r="O249" s="10"/>
      <c r="P249" s="7"/>
    </row>
    <row r="250" spans="1:16">
      <c r="A250" s="6">
        <v>25051</v>
      </c>
      <c r="B250" s="11">
        <v>3.5</v>
      </c>
      <c r="C250" s="11">
        <f>IF(Tabela1610[[#This Row],[Unemployment Rate]]="",#N/A,AVERAGE(B238:B250))</f>
        <v>3.7230769230769236</v>
      </c>
      <c r="D250" s="10">
        <v>2768</v>
      </c>
      <c r="E250" s="11">
        <v>59.6</v>
      </c>
      <c r="F250" s="11"/>
      <c r="G250" s="11"/>
      <c r="H250" s="55">
        <v>3578.5</v>
      </c>
      <c r="I250" s="56">
        <f>IF(Tabela1610[[#This Row],[Real Disposable Income (RDI)]]="",#N/A,((Tabela1610[[#This Row],[Real Disposable Income (RDI)]]*1)/H249)-1)</f>
        <v>1.2871093203503658E-3</v>
      </c>
      <c r="J250" s="56">
        <f>IF(Tabela1610[[#This Row],[Real Disposable Income (RDI)]]="",#N/A,((Tabela1610[[#This Row],[Real Disposable Income (RDI)]]*1)/H238)-1)</f>
        <v>4.3385718867539502E-2</v>
      </c>
      <c r="K250" s="10">
        <v>188000</v>
      </c>
      <c r="L250" s="11">
        <v>8.3000000000000007</v>
      </c>
      <c r="M250" s="10">
        <v>204</v>
      </c>
      <c r="N250" s="10">
        <f>IF(Tabela1610[[#This Row],[Payroll]]="",#N/A,AVERAGE(M248:M250))</f>
        <v>226</v>
      </c>
      <c r="O250" s="10"/>
      <c r="P250" s="7"/>
    </row>
    <row r="251" spans="1:16">
      <c r="A251" s="6">
        <v>25082</v>
      </c>
      <c r="B251" s="11">
        <v>3.4</v>
      </c>
      <c r="C251" s="11">
        <f>IF(Tabela1610[[#This Row],[Unemployment Rate]]="",#N/A,AVERAGE(B239:B251))</f>
        <v>3.692307692307693</v>
      </c>
      <c r="D251" s="10">
        <v>2686</v>
      </c>
      <c r="E251" s="11">
        <v>59.5</v>
      </c>
      <c r="F251" s="11"/>
      <c r="G251" s="11"/>
      <c r="H251" s="55">
        <v>3578.9</v>
      </c>
      <c r="I251" s="56">
        <f>IF(Tabela1610[[#This Row],[Real Disposable Income (RDI)]]="",#N/A,((Tabela1610[[#This Row],[Real Disposable Income (RDI)]]*1)/H250)-1)</f>
        <v>1.1177867821721144E-4</v>
      </c>
      <c r="J251" s="56">
        <f>IF(Tabela1610[[#This Row],[Real Disposable Income (RDI)]]="",#N/A,((Tabela1610[[#This Row],[Real Disposable Income (RDI)]]*1)/H239)-1)</f>
        <v>4.3624063219898979E-2</v>
      </c>
      <c r="K251" s="10">
        <v>189000</v>
      </c>
      <c r="L251" s="11">
        <v>8.1999999999999993</v>
      </c>
      <c r="M251" s="10">
        <v>154</v>
      </c>
      <c r="N251" s="10">
        <f>IF(Tabela1610[[#This Row],[Payroll]]="",#N/A,AVERAGE(M249:M251))</f>
        <v>193</v>
      </c>
      <c r="O251" s="10"/>
      <c r="P251" s="7"/>
    </row>
    <row r="252" spans="1:16">
      <c r="A252" s="6">
        <v>25112</v>
      </c>
      <c r="B252" s="11">
        <v>3.4</v>
      </c>
      <c r="C252" s="11">
        <f>IF(Tabela1610[[#This Row],[Unemployment Rate]]="",#N/A,AVERAGE(B240:B252))</f>
        <v>3.6615384615384619</v>
      </c>
      <c r="D252" s="10">
        <v>2689</v>
      </c>
      <c r="E252" s="11">
        <v>59.5</v>
      </c>
      <c r="F252" s="11"/>
      <c r="G252" s="11"/>
      <c r="H252" s="55">
        <v>3591.7</v>
      </c>
      <c r="I252" s="56">
        <f>IF(Tabela1610[[#This Row],[Real Disposable Income (RDI)]]="",#N/A,((Tabela1610[[#This Row],[Real Disposable Income (RDI)]]*1)/H251)-1)</f>
        <v>3.5765179245019763E-3</v>
      </c>
      <c r="J252" s="56">
        <f>IF(Tabela1610[[#This Row],[Real Disposable Income (RDI)]]="",#N/A,((Tabela1610[[#This Row],[Real Disposable Income (RDI)]]*1)/H240)-1)</f>
        <v>4.5770854563982999E-2</v>
      </c>
      <c r="K252" s="10">
        <v>182000</v>
      </c>
      <c r="L252" s="11">
        <v>8.4</v>
      </c>
      <c r="M252" s="10">
        <v>237</v>
      </c>
      <c r="N252" s="10">
        <f>IF(Tabela1610[[#This Row],[Payroll]]="",#N/A,AVERAGE(M250:M252))</f>
        <v>198.33333333333334</v>
      </c>
      <c r="O252" s="10"/>
      <c r="P252" s="7"/>
    </row>
    <row r="253" spans="1:16">
      <c r="A253" s="6">
        <v>25143</v>
      </c>
      <c r="B253" s="11">
        <v>3.4</v>
      </c>
      <c r="C253" s="11">
        <f>IF(Tabela1610[[#This Row],[Unemployment Rate]]="",#N/A,AVERAGE(B241:B253))</f>
        <v>3.615384615384615</v>
      </c>
      <c r="D253" s="10">
        <v>2715</v>
      </c>
      <c r="E253" s="11">
        <v>59.6</v>
      </c>
      <c r="F253" s="11"/>
      <c r="G253" s="11"/>
      <c r="H253" s="55">
        <v>3605.1</v>
      </c>
      <c r="I253" s="56">
        <f>IF(Tabela1610[[#This Row],[Real Disposable Income (RDI)]]="",#N/A,((Tabela1610[[#This Row],[Real Disposable Income (RDI)]]*1)/H252)-1)</f>
        <v>3.7308238438622521E-3</v>
      </c>
      <c r="J253" s="56">
        <f>IF(Tabela1610[[#This Row],[Real Disposable Income (RDI)]]="",#N/A,((Tabela1610[[#This Row],[Real Disposable Income (RDI)]]*1)/H241)-1)</f>
        <v>4.3353688536451163E-2</v>
      </c>
      <c r="K253" s="10">
        <v>162000</v>
      </c>
      <c r="L253" s="11">
        <v>8.1</v>
      </c>
      <c r="M253" s="10">
        <v>263</v>
      </c>
      <c r="N253" s="10">
        <f>IF(Tabela1610[[#This Row],[Payroll]]="",#N/A,AVERAGE(M251:M253))</f>
        <v>218</v>
      </c>
      <c r="O253" s="10"/>
      <c r="P253" s="7"/>
    </row>
    <row r="254" spans="1:16">
      <c r="A254" s="6">
        <v>25173</v>
      </c>
      <c r="B254" s="11">
        <v>3.4</v>
      </c>
      <c r="C254" s="11">
        <f>IF(Tabela1610[[#This Row],[Unemployment Rate]]="",#N/A,AVERAGE(B242:B254))</f>
        <v>3.5769230769230762</v>
      </c>
      <c r="D254" s="10">
        <v>2685</v>
      </c>
      <c r="E254" s="11">
        <v>59.7</v>
      </c>
      <c r="F254" s="11"/>
      <c r="G254" s="11"/>
      <c r="H254" s="55">
        <v>3617.6</v>
      </c>
      <c r="I254" s="56">
        <f>IF(Tabela1610[[#This Row],[Real Disposable Income (RDI)]]="",#N/A,((Tabela1610[[#This Row],[Real Disposable Income (RDI)]]*1)/H253)-1)</f>
        <v>3.4673101994395772E-3</v>
      </c>
      <c r="J254" s="56">
        <f>IF(Tabela1610[[#This Row],[Real Disposable Income (RDI)]]="",#N/A,((Tabela1610[[#This Row],[Real Disposable Income (RDI)]]*1)/H242)-1)</f>
        <v>4.5065865495724555E-2</v>
      </c>
      <c r="K254" s="10">
        <v>223000</v>
      </c>
      <c r="L254" s="11">
        <v>8.1999999999999993</v>
      </c>
      <c r="M254" s="10">
        <v>264</v>
      </c>
      <c r="N254" s="10">
        <f>IF(Tabela1610[[#This Row],[Payroll]]="",#N/A,AVERAGE(M252:M254))</f>
        <v>254.66666666666666</v>
      </c>
      <c r="O254" s="10"/>
      <c r="P254" s="7"/>
    </row>
    <row r="255" spans="1:16">
      <c r="A255" s="6">
        <v>25204</v>
      </c>
      <c r="B255" s="11">
        <v>3.4</v>
      </c>
      <c r="C255" s="11">
        <f>IF(Tabela1610[[#This Row],[Unemployment Rate]]="",#N/A,AVERAGE(B243:B255))</f>
        <v>3.5461538461538455</v>
      </c>
      <c r="D255" s="10">
        <v>2718</v>
      </c>
      <c r="E255" s="11">
        <v>59.6</v>
      </c>
      <c r="F255" s="11"/>
      <c r="G255" s="11"/>
      <c r="H255" s="55">
        <v>3611</v>
      </c>
      <c r="I255" s="56">
        <f>IF(Tabela1610[[#This Row],[Real Disposable Income (RDI)]]="",#N/A,((Tabela1610[[#This Row],[Real Disposable Income (RDI)]]*1)/H254)-1)</f>
        <v>-1.8244139761167677E-3</v>
      </c>
      <c r="J255" s="56">
        <f>IF(Tabela1610[[#This Row],[Real Disposable Income (RDI)]]="",#N/A,((Tabela1610[[#This Row],[Real Disposable Income (RDI)]]*1)/H243)-1)</f>
        <v>3.7584046893856637E-2</v>
      </c>
      <c r="K255" s="10">
        <v>193000</v>
      </c>
      <c r="L255" s="11">
        <v>8.1</v>
      </c>
      <c r="M255" s="10">
        <v>191</v>
      </c>
      <c r="N255" s="10">
        <f>IF(Tabela1610[[#This Row],[Payroll]]="",#N/A,AVERAGE(M253:M255))</f>
        <v>239.33333333333334</v>
      </c>
      <c r="O255" s="10"/>
      <c r="P255" s="7"/>
    </row>
    <row r="256" spans="1:16">
      <c r="A256" s="6">
        <v>25235</v>
      </c>
      <c r="B256" s="11">
        <v>3.4</v>
      </c>
      <c r="C256" s="11">
        <f>IF(Tabela1610[[#This Row],[Unemployment Rate]]="",#N/A,AVERAGE(B244:B256))</f>
        <v>3.5230769230769221</v>
      </c>
      <c r="D256" s="10">
        <v>2692</v>
      </c>
      <c r="E256" s="11">
        <v>60</v>
      </c>
      <c r="F256" s="11"/>
      <c r="G256" s="11"/>
      <c r="H256" s="55">
        <v>3611.8</v>
      </c>
      <c r="I256" s="56">
        <f>IF(Tabela1610[[#This Row],[Real Disposable Income (RDI)]]="",#N/A,((Tabela1610[[#This Row],[Real Disposable Income (RDI)]]*1)/H255)-1)</f>
        <v>2.2154527831630411E-4</v>
      </c>
      <c r="J256" s="56">
        <f>IF(Tabela1610[[#This Row],[Real Disposable Income (RDI)]]="",#N/A,((Tabela1610[[#This Row],[Real Disposable Income (RDI)]]*1)/H244)-1)</f>
        <v>3.035316939578947E-2</v>
      </c>
      <c r="K256" s="10">
        <v>192000</v>
      </c>
      <c r="L256" s="11">
        <v>7.9</v>
      </c>
      <c r="M256" s="10">
        <v>260</v>
      </c>
      <c r="N256" s="10">
        <f>IF(Tabela1610[[#This Row],[Payroll]]="",#N/A,AVERAGE(M254:M256))</f>
        <v>238.33333333333334</v>
      </c>
      <c r="O256" s="10"/>
      <c r="P256" s="7"/>
    </row>
    <row r="257" spans="1:16">
      <c r="A257" s="6">
        <v>25263</v>
      </c>
      <c r="B257" s="11">
        <v>3.4</v>
      </c>
      <c r="C257" s="11">
        <f>IF(Tabela1610[[#This Row],[Unemployment Rate]]="",#N/A,AVERAGE(B245:B257))</f>
        <v>3.4923076923076914</v>
      </c>
      <c r="D257" s="10">
        <v>2712</v>
      </c>
      <c r="E257" s="11">
        <v>59.9</v>
      </c>
      <c r="F257" s="11"/>
      <c r="G257" s="11"/>
      <c r="H257" s="55">
        <v>3618.3</v>
      </c>
      <c r="I257" s="56">
        <f>IF(Tabela1610[[#This Row],[Real Disposable Income (RDI)]]="",#N/A,((Tabela1610[[#This Row],[Real Disposable Income (RDI)]]*1)/H256)-1)</f>
        <v>1.7996566808793357E-3</v>
      </c>
      <c r="J257" s="56">
        <f>IF(Tabela1610[[#This Row],[Real Disposable Income (RDI)]]="",#N/A,((Tabela1610[[#This Row],[Real Disposable Income (RDI)]]*1)/H245)-1)</f>
        <v>2.2580827492652E-2</v>
      </c>
      <c r="K257" s="10">
        <v>183000</v>
      </c>
      <c r="L257" s="11">
        <v>7.9</v>
      </c>
      <c r="M257" s="10">
        <v>206</v>
      </c>
      <c r="N257" s="10">
        <f>IF(Tabela1610[[#This Row],[Payroll]]="",#N/A,AVERAGE(M255:M257))</f>
        <v>219</v>
      </c>
      <c r="O257" s="10"/>
      <c r="P257" s="7"/>
    </row>
    <row r="258" spans="1:16">
      <c r="A258" s="6">
        <v>25294</v>
      </c>
      <c r="B258" s="11">
        <v>3.4</v>
      </c>
      <c r="C258" s="11">
        <f>IF(Tabela1610[[#This Row],[Unemployment Rate]]="",#N/A,AVERAGE(B246:B258))</f>
        <v>3.4692307692307685</v>
      </c>
      <c r="D258" s="10">
        <v>2758</v>
      </c>
      <c r="E258" s="11">
        <v>60</v>
      </c>
      <c r="F258" s="11"/>
      <c r="G258" s="11"/>
      <c r="H258" s="55">
        <v>3613</v>
      </c>
      <c r="I258" s="56">
        <f>IF(Tabela1610[[#This Row],[Real Disposable Income (RDI)]]="",#N/A,((Tabela1610[[#This Row],[Real Disposable Income (RDI)]]*1)/H257)-1)</f>
        <v>-1.4647762761518246E-3</v>
      </c>
      <c r="J258" s="56">
        <f>IF(Tabela1610[[#This Row],[Real Disposable Income (RDI)]]="",#N/A,((Tabela1610[[#This Row],[Real Disposable Income (RDI)]]*1)/H246)-1)</f>
        <v>1.754583603233173E-2</v>
      </c>
      <c r="K258" s="10">
        <v>177000</v>
      </c>
      <c r="L258" s="11">
        <v>7.9</v>
      </c>
      <c r="M258" s="10">
        <v>167</v>
      </c>
      <c r="N258" s="10">
        <f>IF(Tabela1610[[#This Row],[Payroll]]="",#N/A,AVERAGE(M256:M258))</f>
        <v>211</v>
      </c>
      <c r="O258" s="10"/>
      <c r="P258" s="7"/>
    </row>
    <row r="259" spans="1:16">
      <c r="A259" s="6">
        <v>25324</v>
      </c>
      <c r="B259" s="11">
        <v>3.4</v>
      </c>
      <c r="C259" s="11">
        <f>IF(Tabela1610[[#This Row],[Unemployment Rate]]="",#N/A,AVERAGE(B247:B259))</f>
        <v>3.4615384615384608</v>
      </c>
      <c r="D259" s="10">
        <v>2713</v>
      </c>
      <c r="E259" s="11">
        <v>59.8</v>
      </c>
      <c r="F259" s="11"/>
      <c r="G259" s="11"/>
      <c r="H259" s="55">
        <v>3654.1</v>
      </c>
      <c r="I259" s="56">
        <f>IF(Tabela1610[[#This Row],[Real Disposable Income (RDI)]]="",#N/A,((Tabela1610[[#This Row],[Real Disposable Income (RDI)]]*1)/H258)-1)</f>
        <v>1.1375588153888616E-2</v>
      </c>
      <c r="J259" s="56">
        <f>IF(Tabela1610[[#This Row],[Real Disposable Income (RDI)]]="",#N/A,((Tabela1610[[#This Row],[Real Disposable Income (RDI)]]*1)/H247)-1)</f>
        <v>2.4935487490182817E-2</v>
      </c>
      <c r="K259" s="10">
        <v>187000</v>
      </c>
      <c r="L259" s="11">
        <v>7.9</v>
      </c>
      <c r="M259" s="10">
        <v>256</v>
      </c>
      <c r="N259" s="10">
        <f>IF(Tabela1610[[#This Row],[Payroll]]="",#N/A,AVERAGE(M257:M259))</f>
        <v>209.66666666666666</v>
      </c>
      <c r="O259" s="10"/>
      <c r="P259" s="7"/>
    </row>
    <row r="260" spans="1:16">
      <c r="A260" s="6">
        <v>25355</v>
      </c>
      <c r="B260" s="11">
        <v>3.5</v>
      </c>
      <c r="C260" s="11">
        <f>IF(Tabela1610[[#This Row],[Unemployment Rate]]="",#N/A,AVERAGE(B248:B260))</f>
        <v>3.4615384615384608</v>
      </c>
      <c r="D260" s="10">
        <v>2816</v>
      </c>
      <c r="E260" s="11">
        <v>60.1</v>
      </c>
      <c r="F260" s="11"/>
      <c r="G260" s="11"/>
      <c r="H260" s="55">
        <v>3679.9</v>
      </c>
      <c r="I260" s="56">
        <f>IF(Tabela1610[[#This Row],[Real Disposable Income (RDI)]]="",#N/A,((Tabela1610[[#This Row],[Real Disposable Income (RDI)]]*1)/H259)-1)</f>
        <v>7.0605621083166259E-3</v>
      </c>
      <c r="J260" s="56">
        <f>IF(Tabela1610[[#This Row],[Real Disposable Income (RDI)]]="",#N/A,((Tabela1610[[#This Row],[Real Disposable Income (RDI)]]*1)/H248)-1)</f>
        <v>2.7531901823360183E-2</v>
      </c>
      <c r="K260" s="10">
        <v>203000</v>
      </c>
      <c r="L260" s="11">
        <v>7.7</v>
      </c>
      <c r="M260" s="10">
        <v>308</v>
      </c>
      <c r="N260" s="10">
        <f>IF(Tabela1610[[#This Row],[Payroll]]="",#N/A,AVERAGE(M258:M260))</f>
        <v>243.66666666666666</v>
      </c>
      <c r="O260" s="10"/>
      <c r="P260" s="7"/>
    </row>
    <row r="261" spans="1:16">
      <c r="A261" s="6">
        <v>25385</v>
      </c>
      <c r="B261" s="11">
        <v>3.5</v>
      </c>
      <c r="C261" s="11">
        <f>IF(Tabela1610[[#This Row],[Unemployment Rate]]="",#N/A,AVERAGE(B249:B261))</f>
        <v>3.4461538461538455</v>
      </c>
      <c r="D261" s="10">
        <v>2868</v>
      </c>
      <c r="E261" s="11">
        <v>60.1</v>
      </c>
      <c r="F261" s="11"/>
      <c r="G261" s="11"/>
      <c r="H261" s="55">
        <v>3705.6</v>
      </c>
      <c r="I261" s="56">
        <f>IF(Tabela1610[[#This Row],[Real Disposable Income (RDI)]]="",#N/A,((Tabela1610[[#This Row],[Real Disposable Income (RDI)]]*1)/H260)-1)</f>
        <v>6.9838854316692789E-3</v>
      </c>
      <c r="J261" s="56">
        <f>IF(Tabela1610[[#This Row],[Real Disposable Income (RDI)]]="",#N/A,((Tabela1610[[#This Row],[Real Disposable Income (RDI)]]*1)/H249)-1)</f>
        <v>3.6850499454377461E-2</v>
      </c>
      <c r="K261" s="10">
        <v>192000</v>
      </c>
      <c r="L261" s="11">
        <v>7.8</v>
      </c>
      <c r="M261" s="10">
        <v>93</v>
      </c>
      <c r="N261" s="10">
        <f>IF(Tabela1610[[#This Row],[Payroll]]="",#N/A,AVERAGE(M259:M261))</f>
        <v>219</v>
      </c>
      <c r="O261" s="10"/>
      <c r="P261" s="7"/>
    </row>
    <row r="262" spans="1:16">
      <c r="A262" s="6">
        <v>25416</v>
      </c>
      <c r="B262" s="11">
        <v>3.5</v>
      </c>
      <c r="C262" s="11">
        <f>IF(Tabela1610[[#This Row],[Unemployment Rate]]="",#N/A,AVERAGE(B250:B262))</f>
        <v>3.4307692307692301</v>
      </c>
      <c r="D262" s="10">
        <v>2856</v>
      </c>
      <c r="E262" s="11">
        <v>60.3</v>
      </c>
      <c r="F262" s="11"/>
      <c r="G262" s="11"/>
      <c r="H262" s="55">
        <v>3728.3</v>
      </c>
      <c r="I262" s="56">
        <f>IF(Tabela1610[[#This Row],[Real Disposable Income (RDI)]]="",#N/A,((Tabela1610[[#This Row],[Real Disposable Income (RDI)]]*1)/H261)-1)</f>
        <v>6.1258635578584908E-3</v>
      </c>
      <c r="J262" s="56">
        <f>IF(Tabela1610[[#This Row],[Real Disposable Income (RDI)]]="",#N/A,((Tabela1610[[#This Row],[Real Disposable Income (RDI)]]*1)/H250)-1)</f>
        <v>4.1861114992315374E-2</v>
      </c>
      <c r="K262" s="10">
        <v>195000</v>
      </c>
      <c r="L262" s="11">
        <v>7.9</v>
      </c>
      <c r="M262" s="10">
        <v>279</v>
      </c>
      <c r="N262" s="10">
        <f>IF(Tabela1610[[#This Row],[Payroll]]="",#N/A,AVERAGE(M260:M262))</f>
        <v>226.66666666666666</v>
      </c>
      <c r="O262" s="10"/>
      <c r="P262" s="7"/>
    </row>
    <row r="263" spans="1:16">
      <c r="A263" s="6">
        <v>25447</v>
      </c>
      <c r="B263" s="11">
        <v>3.7</v>
      </c>
      <c r="C263" s="11">
        <f>IF(Tabela1610[[#This Row],[Unemployment Rate]]="",#N/A,AVERAGE(B251:B263))</f>
        <v>3.4461538461538459</v>
      </c>
      <c r="D263" s="10">
        <v>3040</v>
      </c>
      <c r="E263" s="11">
        <v>60.3</v>
      </c>
      <c r="F263" s="11"/>
      <c r="G263" s="11"/>
      <c r="H263" s="55">
        <v>3736.6</v>
      </c>
      <c r="I263" s="56">
        <f>IF(Tabela1610[[#This Row],[Real Disposable Income (RDI)]]="",#N/A,((Tabela1610[[#This Row],[Real Disposable Income (RDI)]]*1)/H262)-1)</f>
        <v>2.2262157015260353E-3</v>
      </c>
      <c r="J263" s="56">
        <f>IF(Tabela1610[[#This Row],[Real Disposable Income (RDI)]]="",#N/A,((Tabela1610[[#This Row],[Real Disposable Income (RDI)]]*1)/H251)-1)</f>
        <v>4.4063818491715256E-2</v>
      </c>
      <c r="K263" s="10">
        <v>193000</v>
      </c>
      <c r="L263" s="11">
        <v>8</v>
      </c>
      <c r="M263" s="10">
        <v>-94</v>
      </c>
      <c r="N263" s="10">
        <f>IF(Tabela1610[[#This Row],[Payroll]]="",#N/A,AVERAGE(M261:M263))</f>
        <v>92.666666666666671</v>
      </c>
      <c r="O263" s="10"/>
      <c r="P263" s="7"/>
    </row>
    <row r="264" spans="1:16">
      <c r="A264" s="6">
        <v>25477</v>
      </c>
      <c r="B264" s="11">
        <v>3.7</v>
      </c>
      <c r="C264" s="11">
        <f>IF(Tabela1610[[#This Row],[Unemployment Rate]]="",#N/A,AVERAGE(B252:B264))</f>
        <v>3.4692307692307693</v>
      </c>
      <c r="D264" s="10">
        <v>3049</v>
      </c>
      <c r="E264" s="11">
        <v>60.4</v>
      </c>
      <c r="F264" s="11"/>
      <c r="G264" s="11"/>
      <c r="H264" s="55">
        <v>3745.4</v>
      </c>
      <c r="I264" s="56">
        <f>IF(Tabela1610[[#This Row],[Real Disposable Income (RDI)]]="",#N/A,((Tabela1610[[#This Row],[Real Disposable Income (RDI)]]*1)/H263)-1)</f>
        <v>2.3550821602527083E-3</v>
      </c>
      <c r="J264" s="56">
        <f>IF(Tabela1610[[#This Row],[Real Disposable Income (RDI)]]="",#N/A,((Tabela1610[[#This Row],[Real Disposable Income (RDI)]]*1)/H252)-1)</f>
        <v>4.2793106328479658E-2</v>
      </c>
      <c r="K264" s="10">
        <v>205000</v>
      </c>
      <c r="L264" s="11">
        <v>7.6</v>
      </c>
      <c r="M264" s="10">
        <v>207</v>
      </c>
      <c r="N264" s="10">
        <f>IF(Tabela1610[[#This Row],[Payroll]]="",#N/A,AVERAGE(M262:M264))</f>
        <v>130.66666666666666</v>
      </c>
      <c r="O264" s="10"/>
      <c r="P264" s="7"/>
    </row>
    <row r="265" spans="1:16">
      <c r="A265" s="6">
        <v>25508</v>
      </c>
      <c r="B265" s="11">
        <v>3.5</v>
      </c>
      <c r="C265" s="11">
        <f>IF(Tabela1610[[#This Row],[Unemployment Rate]]="",#N/A,AVERAGE(B253:B265))</f>
        <v>3.476923076923077</v>
      </c>
      <c r="D265" s="10">
        <v>2856</v>
      </c>
      <c r="E265" s="11">
        <v>60.2</v>
      </c>
      <c r="F265" s="11"/>
      <c r="G265" s="11"/>
      <c r="H265" s="55">
        <v>3751.9</v>
      </c>
      <c r="I265" s="56">
        <f>IF(Tabela1610[[#This Row],[Real Disposable Income (RDI)]]="",#N/A,((Tabela1610[[#This Row],[Real Disposable Income (RDI)]]*1)/H264)-1)</f>
        <v>1.7354621669247727E-3</v>
      </c>
      <c r="J265" s="56">
        <f>IF(Tabela1610[[#This Row],[Real Disposable Income (RDI)]]="",#N/A,((Tabela1610[[#This Row],[Real Disposable Income (RDI)]]*1)/H253)-1)</f>
        <v>4.0720090982219626E-2</v>
      </c>
      <c r="K265" s="10">
        <v>202000</v>
      </c>
      <c r="L265" s="11">
        <v>8</v>
      </c>
      <c r="M265" s="10">
        <v>-35</v>
      </c>
      <c r="N265" s="10">
        <f>IF(Tabela1610[[#This Row],[Payroll]]="",#N/A,AVERAGE(M263:M265))</f>
        <v>26</v>
      </c>
      <c r="O265" s="10"/>
      <c r="P265" s="7"/>
    </row>
    <row r="266" spans="1:16">
      <c r="A266" s="6">
        <v>25538</v>
      </c>
      <c r="B266" s="11">
        <v>3.5</v>
      </c>
      <c r="C266" s="11">
        <f>IF(Tabela1610[[#This Row],[Unemployment Rate]]="",#N/A,AVERAGE(B254:B266))</f>
        <v>3.4846153846153851</v>
      </c>
      <c r="D266" s="10">
        <v>2884</v>
      </c>
      <c r="E266" s="11">
        <v>60.2</v>
      </c>
      <c r="F266" s="11"/>
      <c r="G266" s="11"/>
      <c r="H266" s="55">
        <v>3758.6</v>
      </c>
      <c r="I266" s="56">
        <f>IF(Tabela1610[[#This Row],[Real Disposable Income (RDI)]]="",#N/A,((Tabela1610[[#This Row],[Real Disposable Income (RDI)]]*1)/H265)-1)</f>
        <v>1.7857618806471631E-3</v>
      </c>
      <c r="J266" s="56">
        <f>IF(Tabela1610[[#This Row],[Real Disposable Income (RDI)]]="",#N/A,((Tabela1610[[#This Row],[Real Disposable Income (RDI)]]*1)/H254)-1)</f>
        <v>3.8976116762494462E-2</v>
      </c>
      <c r="K266" s="10">
        <v>223000</v>
      </c>
      <c r="L266" s="11">
        <v>8</v>
      </c>
      <c r="M266" s="10">
        <v>155</v>
      </c>
      <c r="N266" s="10">
        <f>IF(Tabela1610[[#This Row],[Payroll]]="",#N/A,AVERAGE(M264:M266))</f>
        <v>109</v>
      </c>
      <c r="O266" s="10"/>
      <c r="P266" s="7"/>
    </row>
    <row r="267" spans="1:16">
      <c r="A267" s="6">
        <v>25569</v>
      </c>
      <c r="B267" s="11">
        <v>3.9</v>
      </c>
      <c r="C267" s="11">
        <f>IF(Tabela1610[[#This Row],[Unemployment Rate]]="",#N/A,AVERAGE(B255:B267))</f>
        <v>3.523076923076923</v>
      </c>
      <c r="D267" s="10">
        <v>3201</v>
      </c>
      <c r="E267" s="11">
        <v>60.4</v>
      </c>
      <c r="F267" s="11"/>
      <c r="G267" s="11"/>
      <c r="H267" s="55">
        <v>3778.6</v>
      </c>
      <c r="I267" s="56">
        <f>IF(Tabela1610[[#This Row],[Real Disposable Income (RDI)]]="",#N/A,((Tabela1610[[#This Row],[Real Disposable Income (RDI)]]*1)/H266)-1)</f>
        <v>5.3211302080562461E-3</v>
      </c>
      <c r="J267" s="56">
        <f>IF(Tabela1610[[#This Row],[Real Disposable Income (RDI)]]="",#N/A,((Tabela1610[[#This Row],[Real Disposable Income (RDI)]]*1)/H255)-1)</f>
        <v>4.6413735807255607E-2</v>
      </c>
      <c r="K267" s="10">
        <v>239000</v>
      </c>
      <c r="L267" s="11">
        <v>7.9</v>
      </c>
      <c r="M267" s="10">
        <v>-65</v>
      </c>
      <c r="N267" s="10">
        <f>IF(Tabela1610[[#This Row],[Payroll]]="",#N/A,AVERAGE(M265:M267))</f>
        <v>18.333333333333332</v>
      </c>
      <c r="O267" s="10"/>
      <c r="P267" s="7"/>
    </row>
    <row r="268" spans="1:16">
      <c r="A268" s="6">
        <v>25600</v>
      </c>
      <c r="B268" s="11">
        <v>4.2</v>
      </c>
      <c r="C268" s="11">
        <f>IF(Tabela1610[[#This Row],[Unemployment Rate]]="",#N/A,AVERAGE(B256:B268))</f>
        <v>3.5846153846153848</v>
      </c>
      <c r="D268" s="10">
        <v>3453</v>
      </c>
      <c r="E268" s="11">
        <v>60.4</v>
      </c>
      <c r="F268" s="11"/>
      <c r="G268" s="11"/>
      <c r="H268" s="55">
        <v>3790.5</v>
      </c>
      <c r="I268" s="56">
        <f>IF(Tabela1610[[#This Row],[Real Disposable Income (RDI)]]="",#N/A,((Tabela1610[[#This Row],[Real Disposable Income (RDI)]]*1)/H267)-1)</f>
        <v>3.1493145609484685E-3</v>
      </c>
      <c r="J268" s="56">
        <f>IF(Tabela1610[[#This Row],[Real Disposable Income (RDI)]]="",#N/A,((Tabela1610[[#This Row],[Real Disposable Income (RDI)]]*1)/H256)-1)</f>
        <v>4.9476715211251854E-2</v>
      </c>
      <c r="K268" s="10">
        <v>242000</v>
      </c>
      <c r="L268" s="11">
        <v>8</v>
      </c>
      <c r="M268" s="10">
        <v>129</v>
      </c>
      <c r="N268" s="10">
        <f>IF(Tabela1610[[#This Row],[Payroll]]="",#N/A,AVERAGE(M266:M268))</f>
        <v>73</v>
      </c>
      <c r="O268" s="10"/>
      <c r="P268" s="7"/>
    </row>
    <row r="269" spans="1:16">
      <c r="A269" s="6">
        <v>25628</v>
      </c>
      <c r="B269" s="11">
        <v>4.4000000000000004</v>
      </c>
      <c r="C269" s="11">
        <f>IF(Tabela1610[[#This Row],[Unemployment Rate]]="",#N/A,AVERAGE(B257:B269))</f>
        <v>3.661538461538461</v>
      </c>
      <c r="D269" s="10">
        <v>3635</v>
      </c>
      <c r="E269" s="11">
        <v>60.6</v>
      </c>
      <c r="F269" s="11"/>
      <c r="G269" s="11"/>
      <c r="H269" s="55">
        <v>3805</v>
      </c>
      <c r="I269" s="56">
        <f>IF(Tabela1610[[#This Row],[Real Disposable Income (RDI)]]="",#N/A,((Tabela1610[[#This Row],[Real Disposable Income (RDI)]]*1)/H268)-1)</f>
        <v>3.8253528558238603E-3</v>
      </c>
      <c r="J269" s="56">
        <f>IF(Tabela1610[[#This Row],[Real Disposable Income (RDI)]]="",#N/A,((Tabela1610[[#This Row],[Real Disposable Income (RDI)]]*1)/H257)-1)</f>
        <v>5.1598817124063778E-2</v>
      </c>
      <c r="K269" s="10">
        <v>276000</v>
      </c>
      <c r="L269" s="11">
        <v>8.3000000000000007</v>
      </c>
      <c r="M269" s="10">
        <v>146</v>
      </c>
      <c r="N269" s="10">
        <f>IF(Tabela1610[[#This Row],[Payroll]]="",#N/A,AVERAGE(M267:M269))</f>
        <v>70</v>
      </c>
      <c r="O269" s="10"/>
      <c r="P269" s="7"/>
    </row>
    <row r="270" spans="1:16">
      <c r="A270" s="6">
        <v>25659</v>
      </c>
      <c r="B270" s="11">
        <v>4.5999999999999996</v>
      </c>
      <c r="C270" s="11">
        <f>IF(Tabela1610[[#This Row],[Unemployment Rate]]="",#N/A,AVERAGE(B258:B270))</f>
        <v>3.7538461538461543</v>
      </c>
      <c r="D270" s="10">
        <v>3797</v>
      </c>
      <c r="E270" s="11">
        <v>60.6</v>
      </c>
      <c r="F270" s="11"/>
      <c r="G270" s="11"/>
      <c r="H270" s="55">
        <v>3846</v>
      </c>
      <c r="I270" s="56">
        <f>IF(Tabela1610[[#This Row],[Real Disposable Income (RDI)]]="",#N/A,((Tabela1610[[#This Row],[Real Disposable Income (RDI)]]*1)/H269)-1)</f>
        <v>1.077529566360047E-2</v>
      </c>
      <c r="J270" s="56">
        <f>IF(Tabela1610[[#This Row],[Real Disposable Income (RDI)]]="",#N/A,((Tabela1610[[#This Row],[Real Disposable Income (RDI)]]*1)/H258)-1)</f>
        <v>6.448934403542772E-2</v>
      </c>
      <c r="K270" s="10">
        <v>349000</v>
      </c>
      <c r="L270" s="11">
        <v>8.1999999999999993</v>
      </c>
      <c r="M270" s="10">
        <v>-103</v>
      </c>
      <c r="N270" s="10">
        <f>IF(Tabela1610[[#This Row],[Payroll]]="",#N/A,AVERAGE(M268:M270))</f>
        <v>57.333333333333336</v>
      </c>
      <c r="O270" s="10"/>
      <c r="P270" s="7"/>
    </row>
    <row r="271" spans="1:16">
      <c r="A271" s="6">
        <v>25689</v>
      </c>
      <c r="B271" s="11">
        <v>4.8</v>
      </c>
      <c r="C271" s="11">
        <f>IF(Tabela1610[[#This Row],[Unemployment Rate]]="",#N/A,AVERAGE(B259:B271))</f>
        <v>3.8615384615384616</v>
      </c>
      <c r="D271" s="10">
        <v>3919</v>
      </c>
      <c r="E271" s="11">
        <v>60.3</v>
      </c>
      <c r="F271" s="11"/>
      <c r="G271" s="11"/>
      <c r="H271" s="55">
        <v>3830.3</v>
      </c>
      <c r="I271" s="56">
        <f>IF(Tabela1610[[#This Row],[Real Disposable Income (RDI)]]="",#N/A,((Tabela1610[[#This Row],[Real Disposable Income (RDI)]]*1)/H270)-1)</f>
        <v>-4.0821632865314372E-3</v>
      </c>
      <c r="J271" s="56">
        <f>IF(Tabela1610[[#This Row],[Real Disposable Income (RDI)]]="",#N/A,((Tabela1610[[#This Row],[Real Disposable Income (RDI)]]*1)/H259)-1)</f>
        <v>4.8219807887031063E-2</v>
      </c>
      <c r="K271" s="10">
        <v>301000</v>
      </c>
      <c r="L271" s="11">
        <v>8.6</v>
      </c>
      <c r="M271" s="10">
        <v>-224</v>
      </c>
      <c r="N271" s="10">
        <f>IF(Tabela1610[[#This Row],[Payroll]]="",#N/A,AVERAGE(M269:M271))</f>
        <v>-60.333333333333336</v>
      </c>
      <c r="O271" s="10"/>
      <c r="P271" s="7"/>
    </row>
    <row r="272" spans="1:16">
      <c r="A272" s="6">
        <v>25720</v>
      </c>
      <c r="B272" s="11">
        <v>4.9000000000000004</v>
      </c>
      <c r="C272" s="11">
        <f>IF(Tabela1610[[#This Row],[Unemployment Rate]]="",#N/A,AVERAGE(B260:B272))</f>
        <v>3.9769230769230766</v>
      </c>
      <c r="D272" s="10">
        <v>4071</v>
      </c>
      <c r="E272" s="11">
        <v>60.2</v>
      </c>
      <c r="F272" s="11"/>
      <c r="G272" s="11"/>
      <c r="H272" s="55">
        <v>3838.2</v>
      </c>
      <c r="I272" s="56">
        <f>IF(Tabela1610[[#This Row],[Real Disposable Income (RDI)]]="",#N/A,((Tabela1610[[#This Row],[Real Disposable Income (RDI)]]*1)/H271)-1)</f>
        <v>2.0625016317259437E-3</v>
      </c>
      <c r="J272" s="56">
        <f>IF(Tabela1610[[#This Row],[Real Disposable Income (RDI)]]="",#N/A,((Tabela1610[[#This Row],[Real Disposable Income (RDI)]]*1)/H260)-1)</f>
        <v>4.3017473300904774E-2</v>
      </c>
      <c r="K272" s="10">
        <v>291000</v>
      </c>
      <c r="L272" s="11">
        <v>8.6</v>
      </c>
      <c r="M272" s="10">
        <v>-95</v>
      </c>
      <c r="N272" s="10">
        <f>IF(Tabela1610[[#This Row],[Payroll]]="",#N/A,AVERAGE(M270:M272))</f>
        <v>-140.66666666666666</v>
      </c>
      <c r="O272" s="10"/>
      <c r="P272" s="7"/>
    </row>
    <row r="273" spans="1:16">
      <c r="A273" s="6">
        <v>25750</v>
      </c>
      <c r="B273" s="11">
        <v>5</v>
      </c>
      <c r="C273" s="11">
        <f>IF(Tabela1610[[#This Row],[Unemployment Rate]]="",#N/A,AVERAGE(B261:B273))</f>
        <v>4.092307692307692</v>
      </c>
      <c r="D273" s="10">
        <v>4175</v>
      </c>
      <c r="E273" s="11">
        <v>60.4</v>
      </c>
      <c r="F273" s="11"/>
      <c r="G273" s="11"/>
      <c r="H273" s="55">
        <v>3892.6</v>
      </c>
      <c r="I273" s="56">
        <f>IF(Tabela1610[[#This Row],[Real Disposable Income (RDI)]]="",#N/A,((Tabela1610[[#This Row],[Real Disposable Income (RDI)]]*1)/H272)-1)</f>
        <v>1.4173310405919404E-2</v>
      </c>
      <c r="J273" s="56">
        <f>IF(Tabela1610[[#This Row],[Real Disposable Income (RDI)]]="",#N/A,((Tabela1610[[#This Row],[Real Disposable Income (RDI)]]*1)/H261)-1)</f>
        <v>5.0464162348877295E-2</v>
      </c>
      <c r="K273" s="10">
        <v>287000</v>
      </c>
      <c r="L273" s="11">
        <v>8.9</v>
      </c>
      <c r="M273" s="10">
        <v>24</v>
      </c>
      <c r="N273" s="10">
        <f>IF(Tabela1610[[#This Row],[Payroll]]="",#N/A,AVERAGE(M271:M273))</f>
        <v>-98.333333333333329</v>
      </c>
      <c r="O273" s="10"/>
      <c r="P273" s="7"/>
    </row>
    <row r="274" spans="1:16">
      <c r="A274" s="6">
        <v>25781</v>
      </c>
      <c r="B274" s="11">
        <v>5.0999999999999996</v>
      </c>
      <c r="C274" s="11">
        <f>IF(Tabela1610[[#This Row],[Unemployment Rate]]="",#N/A,AVERAGE(B262:B274))</f>
        <v>4.2153846153846155</v>
      </c>
      <c r="D274" s="10">
        <v>4256</v>
      </c>
      <c r="E274" s="11">
        <v>60.3</v>
      </c>
      <c r="F274" s="11"/>
      <c r="G274" s="11"/>
      <c r="H274" s="55">
        <v>3905.1</v>
      </c>
      <c r="I274" s="56">
        <f>IF(Tabela1610[[#This Row],[Real Disposable Income (RDI)]]="",#N/A,((Tabela1610[[#This Row],[Real Disposable Income (RDI)]]*1)/H273)-1)</f>
        <v>3.2112212916817207E-3</v>
      </c>
      <c r="J274" s="56">
        <f>IF(Tabela1610[[#This Row],[Real Disposable Income (RDI)]]="",#N/A,((Tabela1610[[#This Row],[Real Disposable Income (RDI)]]*1)/H262)-1)</f>
        <v>4.7421076630099535E-2</v>
      </c>
      <c r="K274" s="10">
        <v>297000</v>
      </c>
      <c r="L274" s="11">
        <v>8.8000000000000007</v>
      </c>
      <c r="M274" s="10">
        <v>-116</v>
      </c>
      <c r="N274" s="10">
        <f>IF(Tabela1610[[#This Row],[Payroll]]="",#N/A,AVERAGE(M272:M274))</f>
        <v>-62.333333333333336</v>
      </c>
      <c r="O274" s="10"/>
      <c r="P274" s="7"/>
    </row>
    <row r="275" spans="1:16">
      <c r="A275" s="6">
        <v>25812</v>
      </c>
      <c r="B275" s="11">
        <v>5.4</v>
      </c>
      <c r="C275" s="11">
        <f>IF(Tabela1610[[#This Row],[Unemployment Rate]]="",#N/A,AVERAGE(B263:B275))</f>
        <v>4.3615384615384611</v>
      </c>
      <c r="D275" s="10">
        <v>4456</v>
      </c>
      <c r="E275" s="11">
        <v>60.2</v>
      </c>
      <c r="F275" s="11"/>
      <c r="G275" s="11"/>
      <c r="H275" s="55">
        <v>3900.8</v>
      </c>
      <c r="I275" s="56">
        <f>IF(Tabela1610[[#This Row],[Real Disposable Income (RDI)]]="",#N/A,((Tabela1610[[#This Row],[Real Disposable Income (RDI)]]*1)/H274)-1)</f>
        <v>-1.1011241709558695E-3</v>
      </c>
      <c r="J275" s="56">
        <f>IF(Tabela1610[[#This Row],[Real Disposable Income (RDI)]]="",#N/A,((Tabela1610[[#This Row],[Real Disposable Income (RDI)]]*1)/H263)-1)</f>
        <v>4.3943692126532152E-2</v>
      </c>
      <c r="K275" s="10">
        <v>333000</v>
      </c>
      <c r="L275" s="11">
        <v>8.9</v>
      </c>
      <c r="M275" s="10">
        <v>7</v>
      </c>
      <c r="N275" s="10">
        <f>IF(Tabela1610[[#This Row],[Payroll]]="",#N/A,AVERAGE(M273:M275))</f>
        <v>-28.333333333333332</v>
      </c>
      <c r="O275" s="10"/>
      <c r="P275" s="7"/>
    </row>
    <row r="276" spans="1:16">
      <c r="A276" s="6">
        <v>25842</v>
      </c>
      <c r="B276" s="11">
        <v>5.5</v>
      </c>
      <c r="C276" s="11">
        <f>IF(Tabela1610[[#This Row],[Unemployment Rate]]="",#N/A,AVERAGE(B264:B276))</f>
        <v>4.5</v>
      </c>
      <c r="D276" s="10">
        <v>4591</v>
      </c>
      <c r="E276" s="11">
        <v>60.4</v>
      </c>
      <c r="F276" s="11"/>
      <c r="G276" s="11"/>
      <c r="H276" s="55">
        <v>3888.1</v>
      </c>
      <c r="I276" s="56">
        <f>IF(Tabela1610[[#This Row],[Real Disposable Income (RDI)]]="",#N/A,((Tabela1610[[#This Row],[Real Disposable Income (RDI)]]*1)/H275)-1)</f>
        <v>-3.255742411813034E-3</v>
      </c>
      <c r="J276" s="56">
        <f>IF(Tabela1610[[#This Row],[Real Disposable Income (RDI)]]="",#N/A,((Tabela1610[[#This Row],[Real Disposable Income (RDI)]]*1)/H264)-1)</f>
        <v>3.8100069418486537E-2</v>
      </c>
      <c r="K276" s="10">
        <v>327000</v>
      </c>
      <c r="L276" s="11">
        <v>8.6999999999999993</v>
      </c>
      <c r="M276" s="10">
        <v>-423</v>
      </c>
      <c r="N276" s="10">
        <f>IF(Tabela1610[[#This Row],[Payroll]]="",#N/A,AVERAGE(M274:M276))</f>
        <v>-177.33333333333334</v>
      </c>
      <c r="O276" s="10"/>
      <c r="P276" s="7"/>
    </row>
    <row r="277" spans="1:16">
      <c r="A277" s="6">
        <v>25873</v>
      </c>
      <c r="B277" s="11">
        <v>5.9</v>
      </c>
      <c r="C277" s="11">
        <f>IF(Tabela1610[[#This Row],[Unemployment Rate]]="",#N/A,AVERAGE(B265:B277))</f>
        <v>4.6692307692307695</v>
      </c>
      <c r="D277" s="10">
        <v>4898</v>
      </c>
      <c r="E277" s="11">
        <v>60.4</v>
      </c>
      <c r="F277" s="11"/>
      <c r="G277" s="11"/>
      <c r="H277" s="55">
        <v>3882.3</v>
      </c>
      <c r="I277" s="56">
        <f>IF(Tabela1610[[#This Row],[Real Disposable Income (RDI)]]="",#N/A,((Tabela1610[[#This Row],[Real Disposable Income (RDI)]]*1)/H276)-1)</f>
        <v>-1.4917311797535415E-3</v>
      </c>
      <c r="J277" s="56">
        <f>IF(Tabela1610[[#This Row],[Real Disposable Income (RDI)]]="",#N/A,((Tabela1610[[#This Row],[Real Disposable Income (RDI)]]*1)/H265)-1)</f>
        <v>3.4755723766624946E-2</v>
      </c>
      <c r="K277" s="10">
        <v>337000</v>
      </c>
      <c r="L277" s="11">
        <v>9.3000000000000007</v>
      </c>
      <c r="M277" s="10">
        <v>-112</v>
      </c>
      <c r="N277" s="10">
        <f>IF(Tabela1610[[#This Row],[Payroll]]="",#N/A,AVERAGE(M275:M277))</f>
        <v>-176</v>
      </c>
      <c r="O277" s="10"/>
      <c r="P277" s="7"/>
    </row>
    <row r="278" spans="1:16">
      <c r="A278" s="6">
        <v>25903</v>
      </c>
      <c r="B278" s="11">
        <v>6.1</v>
      </c>
      <c r="C278" s="11">
        <f>IF(Tabela1610[[#This Row],[Unemployment Rate]]="",#N/A,AVERAGE(B266:B278))</f>
        <v>4.8692307692307697</v>
      </c>
      <c r="D278" s="10">
        <v>5076</v>
      </c>
      <c r="E278" s="11">
        <v>60.4</v>
      </c>
      <c r="F278" s="11"/>
      <c r="G278" s="11"/>
      <c r="H278" s="55">
        <v>3900</v>
      </c>
      <c r="I278" s="56">
        <f>IF(Tabela1610[[#This Row],[Real Disposable Income (RDI)]]="",#N/A,((Tabela1610[[#This Row],[Real Disposable Income (RDI)]]*1)/H277)-1)</f>
        <v>4.5591530793600565E-3</v>
      </c>
      <c r="J278" s="56">
        <f>IF(Tabela1610[[#This Row],[Real Disposable Income (RDI)]]="",#N/A,((Tabela1610[[#This Row],[Real Disposable Income (RDI)]]*1)/H266)-1)</f>
        <v>3.7620390570957341E-2</v>
      </c>
      <c r="K278" s="10">
        <v>321000</v>
      </c>
      <c r="L278" s="11">
        <v>9.8000000000000007</v>
      </c>
      <c r="M278" s="10">
        <v>383</v>
      </c>
      <c r="N278" s="10">
        <f>IF(Tabela1610[[#This Row],[Payroll]]="",#N/A,AVERAGE(M276:M278))</f>
        <v>-50.666666666666664</v>
      </c>
      <c r="O278" s="10"/>
      <c r="P278" s="7"/>
    </row>
    <row r="279" spans="1:16">
      <c r="A279" s="6">
        <v>25934</v>
      </c>
      <c r="B279" s="11">
        <v>5.9</v>
      </c>
      <c r="C279" s="11">
        <f>IF(Tabela1610[[#This Row],[Unemployment Rate]]="",#N/A,AVERAGE(B267:B279))</f>
        <v>5.0538461538461537</v>
      </c>
      <c r="D279" s="10">
        <v>4986</v>
      </c>
      <c r="E279" s="11">
        <v>60.4</v>
      </c>
      <c r="F279" s="11"/>
      <c r="G279" s="11"/>
      <c r="H279" s="55">
        <v>3959.8</v>
      </c>
      <c r="I279" s="56">
        <f>IF(Tabela1610[[#This Row],[Real Disposable Income (RDI)]]="",#N/A,((Tabela1610[[#This Row],[Real Disposable Income (RDI)]]*1)/H278)-1)</f>
        <v>1.5333333333333421E-2</v>
      </c>
      <c r="J279" s="56">
        <f>IF(Tabela1610[[#This Row],[Real Disposable Income (RDI)]]="",#N/A,((Tabela1610[[#This Row],[Real Disposable Income (RDI)]]*1)/H267)-1)</f>
        <v>4.7954268776795761E-2</v>
      </c>
      <c r="K279" s="10">
        <v>292000</v>
      </c>
      <c r="L279" s="11">
        <v>10.5</v>
      </c>
      <c r="M279" s="10">
        <v>73</v>
      </c>
      <c r="N279" s="10">
        <f>IF(Tabela1610[[#This Row],[Payroll]]="",#N/A,AVERAGE(M277:M279))</f>
        <v>114.66666666666667</v>
      </c>
      <c r="O279" s="10"/>
      <c r="P279" s="7"/>
    </row>
    <row r="280" spans="1:16">
      <c r="A280" s="6">
        <v>25965</v>
      </c>
      <c r="B280" s="11">
        <v>5.9</v>
      </c>
      <c r="C280" s="11">
        <f>IF(Tabela1610[[#This Row],[Unemployment Rate]]="",#N/A,AVERAGE(B268:B280))</f>
        <v>5.2076923076923078</v>
      </c>
      <c r="D280" s="10">
        <v>4903</v>
      </c>
      <c r="E280" s="11">
        <v>60.1</v>
      </c>
      <c r="F280" s="11"/>
      <c r="G280" s="11"/>
      <c r="H280" s="55">
        <v>3965.2</v>
      </c>
      <c r="I280" s="56">
        <f>IF(Tabela1610[[#This Row],[Real Disposable Income (RDI)]]="",#N/A,((Tabela1610[[#This Row],[Real Disposable Income (RDI)]]*1)/H279)-1)</f>
        <v>1.3637052376380687E-3</v>
      </c>
      <c r="J280" s="56">
        <f>IF(Tabela1610[[#This Row],[Real Disposable Income (RDI)]]="",#N/A,((Tabela1610[[#This Row],[Real Disposable Income (RDI)]]*1)/H268)-1)</f>
        <v>4.6088906476718039E-2</v>
      </c>
      <c r="K280" s="10">
        <v>290000</v>
      </c>
      <c r="L280" s="11">
        <v>10.4</v>
      </c>
      <c r="M280" s="10">
        <v>-58</v>
      </c>
      <c r="N280" s="10">
        <f>IF(Tabela1610[[#This Row],[Payroll]]="",#N/A,AVERAGE(M278:M280))</f>
        <v>132.66666666666666</v>
      </c>
      <c r="O280" s="10"/>
      <c r="P280" s="7"/>
    </row>
    <row r="281" spans="1:16">
      <c r="A281" s="6">
        <v>25993</v>
      </c>
      <c r="B281" s="11">
        <v>6</v>
      </c>
      <c r="C281" s="11">
        <f>IF(Tabela1610[[#This Row],[Unemployment Rate]]="",#N/A,AVERAGE(B269:B281))</f>
        <v>5.3461538461538458</v>
      </c>
      <c r="D281" s="10">
        <v>4987</v>
      </c>
      <c r="E281" s="11">
        <v>60</v>
      </c>
      <c r="F281" s="11"/>
      <c r="G281" s="11"/>
      <c r="H281" s="55">
        <v>3978.2</v>
      </c>
      <c r="I281" s="56">
        <f>IF(Tabela1610[[#This Row],[Real Disposable Income (RDI)]]="",#N/A,((Tabela1610[[#This Row],[Real Disposable Income (RDI)]]*1)/H280)-1)</f>
        <v>3.2785231514174118E-3</v>
      </c>
      <c r="J281" s="56">
        <f>IF(Tabela1610[[#This Row],[Real Disposable Income (RDI)]]="",#N/A,((Tabela1610[[#This Row],[Real Disposable Income (RDI)]]*1)/H269)-1)</f>
        <v>4.5519053876478255E-2</v>
      </c>
      <c r="K281" s="10">
        <v>300000</v>
      </c>
      <c r="L281" s="11">
        <v>10.6</v>
      </c>
      <c r="M281" s="10">
        <v>53</v>
      </c>
      <c r="N281" s="10">
        <f>IF(Tabela1610[[#This Row],[Payroll]]="",#N/A,AVERAGE(M279:M281))</f>
        <v>22.666666666666668</v>
      </c>
      <c r="O281" s="10"/>
      <c r="P281" s="7"/>
    </row>
    <row r="282" spans="1:16">
      <c r="A282" s="6">
        <v>26024</v>
      </c>
      <c r="B282" s="11">
        <v>5.9</v>
      </c>
      <c r="C282" s="11">
        <f>IF(Tabela1610[[#This Row],[Unemployment Rate]]="",#N/A,AVERAGE(B270:B282))</f>
        <v>5.4615384615384617</v>
      </c>
      <c r="D282" s="10">
        <v>4959</v>
      </c>
      <c r="E282" s="11">
        <v>60.1</v>
      </c>
      <c r="F282" s="11"/>
      <c r="G282" s="11"/>
      <c r="H282" s="55">
        <v>3986.5</v>
      </c>
      <c r="I282" s="56">
        <f>IF(Tabela1610[[#This Row],[Real Disposable Income (RDI)]]="",#N/A,((Tabela1610[[#This Row],[Real Disposable Income (RDI)]]*1)/H281)-1)</f>
        <v>2.0863707204263893E-3</v>
      </c>
      <c r="J282" s="56">
        <f>IF(Tabela1610[[#This Row],[Real Disposable Income (RDI)]]="",#N/A,((Tabela1610[[#This Row],[Real Disposable Income (RDI)]]*1)/H270)-1)</f>
        <v>3.6531461258450415E-2</v>
      </c>
      <c r="K282" s="10">
        <v>288000</v>
      </c>
      <c r="L282" s="11">
        <v>10.9</v>
      </c>
      <c r="M282" s="10">
        <v>176</v>
      </c>
      <c r="N282" s="10">
        <f>IF(Tabela1610[[#This Row],[Payroll]]="",#N/A,AVERAGE(M280:M282))</f>
        <v>57</v>
      </c>
      <c r="O282" s="10"/>
      <c r="P282" s="7"/>
    </row>
    <row r="283" spans="1:16">
      <c r="A283" s="6">
        <v>26054</v>
      </c>
      <c r="B283" s="11">
        <v>5.9</v>
      </c>
      <c r="C283" s="11">
        <f>IF(Tabela1610[[#This Row],[Unemployment Rate]]="",#N/A,AVERAGE(B271:B283))</f>
        <v>5.5615384615384613</v>
      </c>
      <c r="D283" s="10">
        <v>4996</v>
      </c>
      <c r="E283" s="11">
        <v>60.2</v>
      </c>
      <c r="F283" s="11"/>
      <c r="G283" s="11"/>
      <c r="H283" s="55">
        <v>4002.6</v>
      </c>
      <c r="I283" s="56">
        <f>IF(Tabela1610[[#This Row],[Real Disposable Income (RDI)]]="",#N/A,((Tabela1610[[#This Row],[Real Disposable Income (RDI)]]*1)/H282)-1)</f>
        <v>4.0386303775241661E-3</v>
      </c>
      <c r="J283" s="56">
        <f>IF(Tabela1610[[#This Row],[Real Disposable Income (RDI)]]="",#N/A,((Tabela1610[[#This Row],[Real Disposable Income (RDI)]]*1)/H271)-1)</f>
        <v>4.498342166409941E-2</v>
      </c>
      <c r="K283" s="10">
        <v>299000</v>
      </c>
      <c r="L283" s="11">
        <v>11.2</v>
      </c>
      <c r="M283" s="10">
        <v>211</v>
      </c>
      <c r="N283" s="10">
        <f>IF(Tabela1610[[#This Row],[Payroll]]="",#N/A,AVERAGE(M281:M283))</f>
        <v>146.66666666666666</v>
      </c>
      <c r="O283" s="10"/>
      <c r="P283" s="7"/>
    </row>
    <row r="284" spans="1:16">
      <c r="A284" s="6">
        <v>26085</v>
      </c>
      <c r="B284" s="11">
        <v>5.9</v>
      </c>
      <c r="C284" s="11">
        <f>IF(Tabela1610[[#This Row],[Unemployment Rate]]="",#N/A,AVERAGE(B272:B284))</f>
        <v>5.6461538461538465</v>
      </c>
      <c r="D284" s="10">
        <v>4949</v>
      </c>
      <c r="E284" s="11">
        <v>59.8</v>
      </c>
      <c r="F284" s="11"/>
      <c r="G284" s="11"/>
      <c r="H284" s="55">
        <v>4087.3</v>
      </c>
      <c r="I284" s="56">
        <f>IF(Tabela1610[[#This Row],[Real Disposable Income (RDI)]]="",#N/A,((Tabela1610[[#This Row],[Real Disposable Income (RDI)]]*1)/H283)-1)</f>
        <v>2.1161245190626232E-2</v>
      </c>
      <c r="J284" s="56">
        <f>IF(Tabela1610[[#This Row],[Real Disposable Income (RDI)]]="",#N/A,((Tabela1610[[#This Row],[Real Disposable Income (RDI)]]*1)/H272)-1)</f>
        <v>6.4900213641811311E-2</v>
      </c>
      <c r="K284" s="10">
        <v>291000</v>
      </c>
      <c r="L284" s="11">
        <v>11.6</v>
      </c>
      <c r="M284" s="10">
        <v>7</v>
      </c>
      <c r="N284" s="10">
        <f>IF(Tabela1610[[#This Row],[Payroll]]="",#N/A,AVERAGE(M282:M284))</f>
        <v>131.33333333333334</v>
      </c>
      <c r="O284" s="10"/>
      <c r="P284" s="7"/>
    </row>
    <row r="285" spans="1:16">
      <c r="A285" s="6">
        <v>26115</v>
      </c>
      <c r="B285" s="11">
        <v>6</v>
      </c>
      <c r="C285" s="11">
        <f>IF(Tabela1610[[#This Row],[Unemployment Rate]]="",#N/A,AVERAGE(B273:B285))</f>
        <v>5.7307692307692308</v>
      </c>
      <c r="D285" s="10">
        <v>5035</v>
      </c>
      <c r="E285" s="11">
        <v>60.1</v>
      </c>
      <c r="F285" s="11"/>
      <c r="G285" s="11"/>
      <c r="H285" s="55">
        <v>4029.1</v>
      </c>
      <c r="I285" s="56">
        <f>IF(Tabela1610[[#This Row],[Real Disposable Income (RDI)]]="",#N/A,((Tabela1610[[#This Row],[Real Disposable Income (RDI)]]*1)/H284)-1)</f>
        <v>-1.4239228830768558E-2</v>
      </c>
      <c r="J285" s="56">
        <f>IF(Tabela1610[[#This Row],[Real Disposable Income (RDI)]]="",#N/A,((Tabela1610[[#This Row],[Real Disposable Income (RDI)]]*1)/H273)-1)</f>
        <v>3.506653650516367E-2</v>
      </c>
      <c r="K285" s="10">
        <v>308000</v>
      </c>
      <c r="L285" s="11">
        <v>11.5</v>
      </c>
      <c r="M285" s="10">
        <v>61</v>
      </c>
      <c r="N285" s="10">
        <f>IF(Tabela1610[[#This Row],[Payroll]]="",#N/A,AVERAGE(M283:M285))</f>
        <v>93</v>
      </c>
      <c r="O285" s="10"/>
      <c r="P285" s="7"/>
    </row>
    <row r="286" spans="1:16">
      <c r="A286" s="6">
        <v>26146</v>
      </c>
      <c r="B286" s="11">
        <v>6.1</v>
      </c>
      <c r="C286" s="11">
        <f>IF(Tabela1610[[#This Row],[Unemployment Rate]]="",#N/A,AVERAGE(B274:B286))</f>
        <v>5.8153846153846152</v>
      </c>
      <c r="D286" s="10">
        <v>5134</v>
      </c>
      <c r="E286" s="11">
        <v>60.2</v>
      </c>
      <c r="F286" s="11"/>
      <c r="G286" s="11"/>
      <c r="H286" s="55">
        <v>4043.3</v>
      </c>
      <c r="I286" s="56">
        <f>IF(Tabela1610[[#This Row],[Real Disposable Income (RDI)]]="",#N/A,((Tabela1610[[#This Row],[Real Disposable Income (RDI)]]*1)/H285)-1)</f>
        <v>3.5243602789705175E-3</v>
      </c>
      <c r="J286" s="56">
        <f>IF(Tabela1610[[#This Row],[Real Disposable Income (RDI)]]="",#N/A,((Tabela1610[[#This Row],[Real Disposable Income (RDI)]]*1)/H274)-1)</f>
        <v>3.5389618703746351E-2</v>
      </c>
      <c r="K286" s="10">
        <v>307000</v>
      </c>
      <c r="L286" s="11">
        <v>11.5</v>
      </c>
      <c r="M286" s="10">
        <v>58</v>
      </c>
      <c r="N286" s="10">
        <f>IF(Tabela1610[[#This Row],[Payroll]]="",#N/A,AVERAGE(M284:M286))</f>
        <v>42</v>
      </c>
      <c r="O286" s="10"/>
      <c r="P286" s="7"/>
    </row>
    <row r="287" spans="1:16">
      <c r="A287" s="6">
        <v>26177</v>
      </c>
      <c r="B287" s="11">
        <v>6</v>
      </c>
      <c r="C287" s="11">
        <f>IF(Tabela1610[[#This Row],[Unemployment Rate]]="",#N/A,AVERAGE(B275:B287))</f>
        <v>5.8846153846153832</v>
      </c>
      <c r="D287" s="10">
        <v>5042</v>
      </c>
      <c r="E287" s="11">
        <v>60.1</v>
      </c>
      <c r="F287" s="11"/>
      <c r="G287" s="11"/>
      <c r="H287" s="55">
        <v>4067.3</v>
      </c>
      <c r="I287" s="56">
        <f>IF(Tabela1610[[#This Row],[Real Disposable Income (RDI)]]="",#N/A,((Tabela1610[[#This Row],[Real Disposable Income (RDI)]]*1)/H286)-1)</f>
        <v>5.9357455543738169E-3</v>
      </c>
      <c r="J287" s="56">
        <f>IF(Tabela1610[[#This Row],[Real Disposable Income (RDI)]]="",#N/A,((Tabela1610[[#This Row],[Real Disposable Income (RDI)]]*1)/H275)-1)</f>
        <v>4.2683552091878685E-2</v>
      </c>
      <c r="K287" s="10">
        <v>308000</v>
      </c>
      <c r="L287" s="11">
        <v>11.9</v>
      </c>
      <c r="M287" s="10">
        <v>241</v>
      </c>
      <c r="N287" s="10">
        <f>IF(Tabela1610[[#This Row],[Payroll]]="",#N/A,AVERAGE(M285:M287))</f>
        <v>120</v>
      </c>
      <c r="O287" s="10"/>
      <c r="P287" s="7"/>
    </row>
    <row r="288" spans="1:16">
      <c r="A288" s="6">
        <v>26207</v>
      </c>
      <c r="B288" s="11">
        <v>5.8</v>
      </c>
      <c r="C288" s="11">
        <f>IF(Tabela1610[[#This Row],[Unemployment Rate]]="",#N/A,AVERAGE(B276:B288))</f>
        <v>5.9153846153846148</v>
      </c>
      <c r="D288" s="10">
        <v>4954</v>
      </c>
      <c r="E288" s="11">
        <v>60.1</v>
      </c>
      <c r="F288" s="11"/>
      <c r="G288" s="11"/>
      <c r="H288" s="55">
        <v>4080.4</v>
      </c>
      <c r="I288" s="56">
        <f>IF(Tabela1610[[#This Row],[Real Disposable Income (RDI)]]="",#N/A,((Tabela1610[[#This Row],[Real Disposable Income (RDI)]]*1)/H287)-1)</f>
        <v>3.220809873872188E-3</v>
      </c>
      <c r="J288" s="56">
        <f>IF(Tabela1610[[#This Row],[Real Disposable Income (RDI)]]="",#N/A,((Tabela1610[[#This Row],[Real Disposable Income (RDI)]]*1)/H276)-1)</f>
        <v>4.9458604459761801E-2</v>
      </c>
      <c r="K288" s="10">
        <v>283000</v>
      </c>
      <c r="L288" s="11">
        <v>12.6</v>
      </c>
      <c r="M288" s="10">
        <v>28</v>
      </c>
      <c r="N288" s="10">
        <f>IF(Tabela1610[[#This Row],[Payroll]]="",#N/A,AVERAGE(M286:M288))</f>
        <v>109</v>
      </c>
      <c r="O288" s="10"/>
      <c r="P288" s="7"/>
    </row>
    <row r="289" spans="1:16">
      <c r="A289" s="6">
        <v>26238</v>
      </c>
      <c r="B289" s="11">
        <v>6</v>
      </c>
      <c r="C289" s="11">
        <f>IF(Tabela1610[[#This Row],[Unemployment Rate]]="",#N/A,AVERAGE(B277:B289))</f>
        <v>5.9538461538461531</v>
      </c>
      <c r="D289" s="10">
        <v>5161</v>
      </c>
      <c r="E289" s="11">
        <v>60.4</v>
      </c>
      <c r="F289" s="11"/>
      <c r="G289" s="11"/>
      <c r="H289" s="55">
        <v>4090</v>
      </c>
      <c r="I289" s="56">
        <f>IF(Tabela1610[[#This Row],[Real Disposable Income (RDI)]]="",#N/A,((Tabela1610[[#This Row],[Real Disposable Income (RDI)]]*1)/H288)-1)</f>
        <v>2.3527105185765507E-3</v>
      </c>
      <c r="J289" s="56">
        <f>IF(Tabela1610[[#This Row],[Real Disposable Income (RDI)]]="",#N/A,((Tabela1610[[#This Row],[Real Disposable Income (RDI)]]*1)/H277)-1)</f>
        <v>5.3499214383226468E-2</v>
      </c>
      <c r="K289" s="10">
        <v>278000</v>
      </c>
      <c r="L289" s="11">
        <v>12</v>
      </c>
      <c r="M289" s="10">
        <v>205</v>
      </c>
      <c r="N289" s="10">
        <f>IF(Tabela1610[[#This Row],[Payroll]]="",#N/A,AVERAGE(M287:M289))</f>
        <v>158</v>
      </c>
      <c r="O289" s="10"/>
      <c r="P289" s="7"/>
    </row>
    <row r="290" spans="1:16">
      <c r="A290" s="6">
        <v>26268</v>
      </c>
      <c r="B290" s="11">
        <v>6</v>
      </c>
      <c r="C290" s="11">
        <f>IF(Tabela1610[[#This Row],[Unemployment Rate]]="",#N/A,AVERAGE(B278:B290))</f>
        <v>5.9615384615384617</v>
      </c>
      <c r="D290" s="10">
        <v>5154</v>
      </c>
      <c r="E290" s="11">
        <v>60.4</v>
      </c>
      <c r="F290" s="11"/>
      <c r="G290" s="11"/>
      <c r="H290" s="55">
        <v>4110.8999999999996</v>
      </c>
      <c r="I290" s="56">
        <f>IF(Tabela1610[[#This Row],[Real Disposable Income (RDI)]]="",#N/A,((Tabela1610[[#This Row],[Real Disposable Income (RDI)]]*1)/H289)-1)</f>
        <v>5.1100244498776259E-3</v>
      </c>
      <c r="J290" s="56">
        <f>IF(Tabela1610[[#This Row],[Real Disposable Income (RDI)]]="",#N/A,((Tabela1610[[#This Row],[Real Disposable Income (RDI)]]*1)/H278)-1)</f>
        <v>5.4076923076922911E-2</v>
      </c>
      <c r="K290" s="10">
        <v>244000</v>
      </c>
      <c r="L290" s="11">
        <v>11.5</v>
      </c>
      <c r="M290" s="10">
        <v>262</v>
      </c>
      <c r="N290" s="10">
        <f>IF(Tabela1610[[#This Row],[Payroll]]="",#N/A,AVERAGE(M288:M290))</f>
        <v>165</v>
      </c>
      <c r="O290" s="10"/>
      <c r="P290" s="7"/>
    </row>
    <row r="291" spans="1:16">
      <c r="A291" s="6">
        <v>26299</v>
      </c>
      <c r="B291" s="11">
        <v>5.8</v>
      </c>
      <c r="C291" s="11">
        <f>IF(Tabela1610[[#This Row],[Unemployment Rate]]="",#N/A,AVERAGE(B279:B291))</f>
        <v>5.9384615384615387</v>
      </c>
      <c r="D291" s="10">
        <v>5019</v>
      </c>
      <c r="E291" s="11">
        <v>60.2</v>
      </c>
      <c r="F291" s="11"/>
      <c r="G291" s="11"/>
      <c r="H291" s="55">
        <v>4090.1</v>
      </c>
      <c r="I291" s="56">
        <f>IF(Tabela1610[[#This Row],[Real Disposable Income (RDI)]]="",#N/A,((Tabela1610[[#This Row],[Real Disposable Income (RDI)]]*1)/H290)-1)</f>
        <v>-5.0597192828820692E-3</v>
      </c>
      <c r="J291" s="56">
        <f>IF(Tabela1610[[#This Row],[Real Disposable Income (RDI)]]="",#N/A,((Tabela1610[[#This Row],[Real Disposable Income (RDI)]]*1)/H279)-1)</f>
        <v>3.2905702308197338E-2</v>
      </c>
      <c r="K291" s="10">
        <v>269000</v>
      </c>
      <c r="L291" s="11">
        <v>12.1</v>
      </c>
      <c r="M291" s="10">
        <v>332</v>
      </c>
      <c r="N291" s="10">
        <f>IF(Tabela1610[[#This Row],[Payroll]]="",#N/A,AVERAGE(M289:M291))</f>
        <v>266.33333333333331</v>
      </c>
      <c r="O291" s="10"/>
      <c r="P291" s="7"/>
    </row>
    <row r="292" spans="1:16">
      <c r="A292" s="6">
        <v>26330</v>
      </c>
      <c r="B292" s="11">
        <v>5.7</v>
      </c>
      <c r="C292" s="11">
        <f>IF(Tabela1610[[#This Row],[Unemployment Rate]]="",#N/A,AVERAGE(B280:B292))</f>
        <v>5.9230769230769234</v>
      </c>
      <c r="D292" s="10">
        <v>4928</v>
      </c>
      <c r="E292" s="11">
        <v>60.2</v>
      </c>
      <c r="F292" s="11"/>
      <c r="G292" s="11"/>
      <c r="H292" s="55">
        <v>4115.2</v>
      </c>
      <c r="I292" s="56">
        <f>IF(Tabela1610[[#This Row],[Real Disposable Income (RDI)]]="",#N/A,((Tabela1610[[#This Row],[Real Disposable Income (RDI)]]*1)/H291)-1)</f>
        <v>6.1367692721450151E-3</v>
      </c>
      <c r="J292" s="56">
        <f>IF(Tabela1610[[#This Row],[Real Disposable Income (RDI)]]="",#N/A,((Tabela1610[[#This Row],[Real Disposable Income (RDI)]]*1)/H280)-1)</f>
        <v>3.7829113285584581E-2</v>
      </c>
      <c r="K292" s="10">
        <v>254000</v>
      </c>
      <c r="L292" s="11">
        <v>12.4</v>
      </c>
      <c r="M292" s="10">
        <v>207</v>
      </c>
      <c r="N292" s="10">
        <f>IF(Tabela1610[[#This Row],[Payroll]]="",#N/A,AVERAGE(M290:M292))</f>
        <v>267</v>
      </c>
      <c r="O292" s="10"/>
      <c r="P292" s="7"/>
    </row>
    <row r="293" spans="1:16">
      <c r="A293" s="6">
        <v>26359</v>
      </c>
      <c r="B293" s="11">
        <v>5.8</v>
      </c>
      <c r="C293" s="11">
        <f>IF(Tabela1610[[#This Row],[Unemployment Rate]]="",#N/A,AVERAGE(B281:B293))</f>
        <v>5.9153846153846157</v>
      </c>
      <c r="D293" s="10">
        <v>5038</v>
      </c>
      <c r="E293" s="11">
        <v>60.5</v>
      </c>
      <c r="F293" s="11"/>
      <c r="G293" s="11"/>
      <c r="H293" s="55">
        <v>4132.3</v>
      </c>
      <c r="I293" s="56">
        <f>IF(Tabela1610[[#This Row],[Real Disposable Income (RDI)]]="",#N/A,((Tabela1610[[#This Row],[Real Disposable Income (RDI)]]*1)/H292)-1)</f>
        <v>4.1553265940903472E-3</v>
      </c>
      <c r="J293" s="56">
        <f>IF(Tabela1610[[#This Row],[Real Disposable Income (RDI)]]="",#N/A,((Tabela1610[[#This Row],[Real Disposable Income (RDI)]]*1)/H281)-1)</f>
        <v>3.8736111809361207E-2</v>
      </c>
      <c r="K293" s="10">
        <v>264000</v>
      </c>
      <c r="L293" s="11">
        <v>12.3</v>
      </c>
      <c r="M293" s="10">
        <v>296</v>
      </c>
      <c r="N293" s="10">
        <f>IF(Tabela1610[[#This Row],[Payroll]]="",#N/A,AVERAGE(M291:M293))</f>
        <v>278.33333333333331</v>
      </c>
      <c r="O293" s="10"/>
      <c r="P293" s="7"/>
    </row>
    <row r="294" spans="1:16">
      <c r="A294" s="6">
        <v>26390</v>
      </c>
      <c r="B294" s="11">
        <v>5.7</v>
      </c>
      <c r="C294" s="11">
        <f>IF(Tabela1610[[#This Row],[Unemployment Rate]]="",#N/A,AVERAGE(B282:B294))</f>
        <v>5.8923076923076918</v>
      </c>
      <c r="D294" s="10">
        <v>4959</v>
      </c>
      <c r="E294" s="11">
        <v>60.4</v>
      </c>
      <c r="F294" s="11"/>
      <c r="G294" s="11"/>
      <c r="H294" s="55">
        <v>4130.6000000000004</v>
      </c>
      <c r="I294" s="56">
        <f>IF(Tabela1610[[#This Row],[Real Disposable Income (RDI)]]="",#N/A,((Tabela1610[[#This Row],[Real Disposable Income (RDI)]]*1)/H293)-1)</f>
        <v>-4.1139317087335314E-4</v>
      </c>
      <c r="J294" s="56">
        <f>IF(Tabela1610[[#This Row],[Real Disposable Income (RDI)]]="",#N/A,((Tabela1610[[#This Row],[Real Disposable Income (RDI)]]*1)/H282)-1)</f>
        <v>3.6146996111877661E-2</v>
      </c>
      <c r="K294" s="10">
        <v>265000</v>
      </c>
      <c r="L294" s="11">
        <v>12.4</v>
      </c>
      <c r="M294" s="10">
        <v>218</v>
      </c>
      <c r="N294" s="10">
        <f>IF(Tabela1610[[#This Row],[Payroll]]="",#N/A,AVERAGE(M292:M294))</f>
        <v>240.33333333333334</v>
      </c>
      <c r="O294" s="10"/>
      <c r="P294" s="7"/>
    </row>
    <row r="295" spans="1:16">
      <c r="A295" s="6">
        <v>26420</v>
      </c>
      <c r="B295" s="11">
        <v>5.7</v>
      </c>
      <c r="C295" s="11">
        <f>IF(Tabela1610[[#This Row],[Unemployment Rate]]="",#N/A,AVERAGE(B283:B295))</f>
        <v>5.8769230769230774</v>
      </c>
      <c r="D295" s="10">
        <v>4922</v>
      </c>
      <c r="E295" s="11">
        <v>60.4</v>
      </c>
      <c r="F295" s="11"/>
      <c r="G295" s="11"/>
      <c r="H295" s="55">
        <v>4160.8999999999996</v>
      </c>
      <c r="I295" s="56">
        <f>IF(Tabela1610[[#This Row],[Real Disposable Income (RDI)]]="",#N/A,((Tabela1610[[#This Row],[Real Disposable Income (RDI)]]*1)/H294)-1)</f>
        <v>7.3354960538418723E-3</v>
      </c>
      <c r="J295" s="56">
        <f>IF(Tabela1610[[#This Row],[Real Disposable Income (RDI)]]="",#N/A,((Tabela1610[[#This Row],[Real Disposable Income (RDI)]]*1)/H283)-1)</f>
        <v>3.954929295957621E-2</v>
      </c>
      <c r="K295" s="10">
        <v>267000</v>
      </c>
      <c r="L295" s="11">
        <v>12.3</v>
      </c>
      <c r="M295" s="10">
        <v>307</v>
      </c>
      <c r="N295" s="10">
        <f>IF(Tabela1610[[#This Row],[Payroll]]="",#N/A,AVERAGE(M293:M295))</f>
        <v>273.66666666666669</v>
      </c>
      <c r="O295" s="10"/>
      <c r="P295" s="7"/>
    </row>
    <row r="296" spans="1:16">
      <c r="A296" s="6">
        <v>26451</v>
      </c>
      <c r="B296" s="11">
        <v>5.7</v>
      </c>
      <c r="C296" s="11">
        <f>IF(Tabela1610[[#This Row],[Unemployment Rate]]="",#N/A,AVERAGE(B284:B296))</f>
        <v>5.861538461538462</v>
      </c>
      <c r="D296" s="10">
        <v>4923</v>
      </c>
      <c r="E296" s="11">
        <v>60.4</v>
      </c>
      <c r="F296" s="11"/>
      <c r="G296" s="11"/>
      <c r="H296" s="55">
        <v>4174.2</v>
      </c>
      <c r="I296" s="56">
        <f>IF(Tabela1610[[#This Row],[Real Disposable Income (RDI)]]="",#N/A,((Tabela1610[[#This Row],[Real Disposable Income (RDI)]]*1)/H295)-1)</f>
        <v>3.1964238506092535E-3</v>
      </c>
      <c r="J296" s="56">
        <f>IF(Tabela1610[[#This Row],[Real Disposable Income (RDI)]]="",#N/A,((Tabela1610[[#This Row],[Real Disposable Income (RDI)]]*1)/H284)-1)</f>
        <v>2.1260979130477198E-2</v>
      </c>
      <c r="K296" s="10">
        <v>286000</v>
      </c>
      <c r="L296" s="11">
        <v>12.4</v>
      </c>
      <c r="M296" s="10">
        <v>289</v>
      </c>
      <c r="N296" s="10">
        <f>IF(Tabela1610[[#This Row],[Payroll]]="",#N/A,AVERAGE(M294:M296))</f>
        <v>271.33333333333331</v>
      </c>
      <c r="O296" s="10"/>
      <c r="P296" s="7"/>
    </row>
    <row r="297" spans="1:16">
      <c r="A297" s="6">
        <v>26481</v>
      </c>
      <c r="B297" s="11">
        <v>5.6</v>
      </c>
      <c r="C297" s="11">
        <f>IF(Tabela1610[[#This Row],[Unemployment Rate]]="",#N/A,AVERAGE(B285:B297))</f>
        <v>5.838461538461539</v>
      </c>
      <c r="D297" s="10">
        <v>4913</v>
      </c>
      <c r="E297" s="11">
        <v>60.4</v>
      </c>
      <c r="F297" s="11"/>
      <c r="G297" s="11"/>
      <c r="H297" s="55">
        <v>4204.5</v>
      </c>
      <c r="I297" s="56">
        <f>IF(Tabela1610[[#This Row],[Real Disposable Income (RDI)]]="",#N/A,((Tabela1610[[#This Row],[Real Disposable Income (RDI)]]*1)/H296)-1)</f>
        <v>7.2588759522782542E-3</v>
      </c>
      <c r="J297" s="56">
        <f>IF(Tabela1610[[#This Row],[Real Disposable Income (RDI)]]="",#N/A,((Tabela1610[[#This Row],[Real Disposable Income (RDI)]]*1)/H285)-1)</f>
        <v>4.3533295276860784E-2</v>
      </c>
      <c r="K297" s="10">
        <v>247000</v>
      </c>
      <c r="L297" s="11">
        <v>11.8</v>
      </c>
      <c r="M297" s="10">
        <v>-49</v>
      </c>
      <c r="N297" s="10">
        <f>IF(Tabela1610[[#This Row],[Payroll]]="",#N/A,AVERAGE(M295:M297))</f>
        <v>182.33333333333334</v>
      </c>
      <c r="O297" s="10"/>
      <c r="P297" s="7"/>
    </row>
    <row r="298" spans="1:16">
      <c r="A298" s="6">
        <v>26512</v>
      </c>
      <c r="B298" s="11">
        <v>5.6</v>
      </c>
      <c r="C298" s="11">
        <f>IF(Tabela1610[[#This Row],[Unemployment Rate]]="",#N/A,AVERAGE(B286:B298))</f>
        <v>5.8076923076923066</v>
      </c>
      <c r="D298" s="10">
        <v>4939</v>
      </c>
      <c r="E298" s="11">
        <v>60.6</v>
      </c>
      <c r="F298" s="11"/>
      <c r="G298" s="11"/>
      <c r="H298" s="55">
        <v>4243.5</v>
      </c>
      <c r="I298" s="56">
        <f>IF(Tabela1610[[#This Row],[Real Disposable Income (RDI)]]="",#N/A,((Tabela1610[[#This Row],[Real Disposable Income (RDI)]]*1)/H297)-1)</f>
        <v>9.2757759543347085E-3</v>
      </c>
      <c r="J298" s="56">
        <f>IF(Tabela1610[[#This Row],[Real Disposable Income (RDI)]]="",#N/A,((Tabela1610[[#This Row],[Real Disposable Income (RDI)]]*1)/H286)-1)</f>
        <v>4.9514010832735655E-2</v>
      </c>
      <c r="K298" s="10">
        <v>262000</v>
      </c>
      <c r="L298" s="11">
        <v>11.8</v>
      </c>
      <c r="M298" s="10">
        <v>432</v>
      </c>
      <c r="N298" s="10">
        <f>IF(Tabela1610[[#This Row],[Payroll]]="",#N/A,AVERAGE(M296:M298))</f>
        <v>224</v>
      </c>
      <c r="O298" s="10"/>
      <c r="P298" s="7"/>
    </row>
    <row r="299" spans="1:16">
      <c r="A299" s="6">
        <v>26543</v>
      </c>
      <c r="B299" s="11">
        <v>5.5</v>
      </c>
      <c r="C299" s="11">
        <f>IF(Tabela1610[[#This Row],[Unemployment Rate]]="",#N/A,AVERAGE(B287:B299))</f>
        <v>5.7615384615384624</v>
      </c>
      <c r="D299" s="10">
        <v>4849</v>
      </c>
      <c r="E299" s="11">
        <v>60.4</v>
      </c>
      <c r="F299" s="11"/>
      <c r="G299" s="11"/>
      <c r="H299" s="55">
        <v>4260</v>
      </c>
      <c r="I299" s="56">
        <f>IF(Tabela1610[[#This Row],[Real Disposable Income (RDI)]]="",#N/A,((Tabela1610[[#This Row],[Real Disposable Income (RDI)]]*1)/H298)-1)</f>
        <v>3.8882997525626628E-3</v>
      </c>
      <c r="J299" s="56">
        <f>IF(Tabela1610[[#This Row],[Real Disposable Income (RDI)]]="",#N/A,((Tabela1610[[#This Row],[Real Disposable Income (RDI)]]*1)/H287)-1)</f>
        <v>4.7377867381309446E-2</v>
      </c>
      <c r="K299" s="10">
        <v>251000</v>
      </c>
      <c r="L299" s="11">
        <v>12.1</v>
      </c>
      <c r="M299" s="10">
        <v>123</v>
      </c>
      <c r="N299" s="10">
        <f>IF(Tabela1610[[#This Row],[Payroll]]="",#N/A,AVERAGE(M297:M299))</f>
        <v>168.66666666666666</v>
      </c>
      <c r="O299" s="10"/>
      <c r="P299" s="7"/>
    </row>
    <row r="300" spans="1:16">
      <c r="A300" s="6">
        <v>26573</v>
      </c>
      <c r="B300" s="11">
        <v>5.6</v>
      </c>
      <c r="C300" s="11">
        <f>IF(Tabela1610[[#This Row],[Unemployment Rate]]="",#N/A,AVERAGE(B288:B300))</f>
        <v>5.7307692307692308</v>
      </c>
      <c r="D300" s="10">
        <v>4875</v>
      </c>
      <c r="E300" s="11">
        <v>60.3</v>
      </c>
      <c r="F300" s="11"/>
      <c r="G300" s="11"/>
      <c r="H300" s="55">
        <v>4366.8999999999996</v>
      </c>
      <c r="I300" s="56">
        <f>IF(Tabela1610[[#This Row],[Real Disposable Income (RDI)]]="",#N/A,((Tabela1610[[#This Row],[Real Disposable Income (RDI)]]*1)/H299)-1)</f>
        <v>2.5093896713614949E-2</v>
      </c>
      <c r="J300" s="56">
        <f>IF(Tabela1610[[#This Row],[Real Disposable Income (RDI)]]="",#N/A,((Tabela1610[[#This Row],[Real Disposable Income (RDI)]]*1)/H288)-1)</f>
        <v>7.0213704538770516E-2</v>
      </c>
      <c r="K300" s="10">
        <v>234000</v>
      </c>
      <c r="L300" s="11">
        <v>11.7</v>
      </c>
      <c r="M300" s="10">
        <v>410</v>
      </c>
      <c r="N300" s="10">
        <f>IF(Tabela1610[[#This Row],[Payroll]]="",#N/A,AVERAGE(M298:M300))</f>
        <v>321.66666666666669</v>
      </c>
      <c r="O300" s="10"/>
      <c r="P300" s="7"/>
    </row>
    <row r="301" spans="1:16">
      <c r="A301" s="6">
        <v>26604</v>
      </c>
      <c r="B301" s="11">
        <v>5.3</v>
      </c>
      <c r="C301" s="11">
        <f>IF(Tabela1610[[#This Row],[Unemployment Rate]]="",#N/A,AVERAGE(B289:B301))</f>
        <v>5.6923076923076925</v>
      </c>
      <c r="D301" s="10">
        <v>4602</v>
      </c>
      <c r="E301" s="11">
        <v>60.3</v>
      </c>
      <c r="F301" s="11"/>
      <c r="G301" s="11"/>
      <c r="H301" s="55">
        <v>4415.3999999999996</v>
      </c>
      <c r="I301" s="56">
        <f>IF(Tabela1610[[#This Row],[Real Disposable Income (RDI)]]="",#N/A,((Tabela1610[[#This Row],[Real Disposable Income (RDI)]]*1)/H300)-1)</f>
        <v>1.110627676383702E-2</v>
      </c>
      <c r="J301" s="56">
        <f>IF(Tabela1610[[#This Row],[Real Disposable Income (RDI)]]="",#N/A,((Tabela1610[[#This Row],[Real Disposable Income (RDI)]]*1)/H289)-1)</f>
        <v>7.9559902200488919E-2</v>
      </c>
      <c r="K301" s="10">
        <v>235000</v>
      </c>
      <c r="L301" s="11">
        <v>11.4</v>
      </c>
      <c r="M301" s="10">
        <v>299</v>
      </c>
      <c r="N301" s="10">
        <f>IF(Tabela1610[[#This Row],[Payroll]]="",#N/A,AVERAGE(M299:M301))</f>
        <v>277.33333333333331</v>
      </c>
      <c r="O301" s="10"/>
      <c r="P301" s="7"/>
    </row>
    <row r="302" spans="1:16">
      <c r="A302" s="6">
        <v>26634</v>
      </c>
      <c r="B302" s="11">
        <v>5.2</v>
      </c>
      <c r="C302" s="11">
        <f>IF(Tabela1610[[#This Row],[Unemployment Rate]]="",#N/A,AVERAGE(B290:B302))</f>
        <v>5.6307692307692321</v>
      </c>
      <c r="D302" s="10">
        <v>4543</v>
      </c>
      <c r="E302" s="11">
        <v>60.5</v>
      </c>
      <c r="F302" s="11"/>
      <c r="G302" s="11"/>
      <c r="H302" s="55">
        <v>4435.1000000000004</v>
      </c>
      <c r="I302" s="56">
        <f>IF(Tabela1610[[#This Row],[Real Disposable Income (RDI)]]="",#N/A,((Tabela1610[[#This Row],[Real Disposable Income (RDI)]]*1)/H301)-1)</f>
        <v>4.4616569280249152E-3</v>
      </c>
      <c r="J302" s="56">
        <f>IF(Tabela1610[[#This Row],[Real Disposable Income (RDI)]]="",#N/A,((Tabela1610[[#This Row],[Real Disposable Income (RDI)]]*1)/H290)-1)</f>
        <v>7.8863509207229843E-2</v>
      </c>
      <c r="K302" s="10">
        <v>225000</v>
      </c>
      <c r="L302" s="11">
        <v>11.4</v>
      </c>
      <c r="M302" s="10">
        <v>295</v>
      </c>
      <c r="N302" s="10">
        <f>IF(Tabela1610[[#This Row],[Payroll]]="",#N/A,AVERAGE(M300:M302))</f>
        <v>334.66666666666669</v>
      </c>
      <c r="O302" s="10"/>
      <c r="P302" s="7"/>
    </row>
    <row r="303" spans="1:16">
      <c r="A303" s="6">
        <v>26665</v>
      </c>
      <c r="B303" s="11">
        <v>4.9000000000000004</v>
      </c>
      <c r="C303" s="11">
        <f>IF(Tabela1610[[#This Row],[Unemployment Rate]]="",#N/A,AVERAGE(B291:B303))</f>
        <v>5.5461538461538469</v>
      </c>
      <c r="D303" s="10">
        <v>4326</v>
      </c>
      <c r="E303" s="11">
        <v>60</v>
      </c>
      <c r="F303" s="11"/>
      <c r="G303" s="11"/>
      <c r="H303" s="55">
        <v>4411.8999999999996</v>
      </c>
      <c r="I303" s="56">
        <f>IF(Tabela1610[[#This Row],[Real Disposable Income (RDI)]]="",#N/A,((Tabela1610[[#This Row],[Real Disposable Income (RDI)]]*1)/H302)-1)</f>
        <v>-5.2309981736602396E-3</v>
      </c>
      <c r="J303" s="56">
        <f>IF(Tabela1610[[#This Row],[Real Disposable Income (RDI)]]="",#N/A,((Tabela1610[[#This Row],[Real Disposable Income (RDI)]]*1)/H291)-1)</f>
        <v>7.8677782939292396E-2</v>
      </c>
      <c r="K303" s="10">
        <v>214000</v>
      </c>
      <c r="L303" s="11">
        <v>11</v>
      </c>
      <c r="M303" s="10">
        <v>349</v>
      </c>
      <c r="N303" s="10">
        <f>IF(Tabela1610[[#This Row],[Payroll]]="",#N/A,AVERAGE(M301:M303))</f>
        <v>314.33333333333331</v>
      </c>
      <c r="O303" s="10"/>
      <c r="P303" s="7"/>
    </row>
    <row r="304" spans="1:16">
      <c r="A304" s="6">
        <v>26696</v>
      </c>
      <c r="B304" s="11">
        <v>5</v>
      </c>
      <c r="C304" s="11">
        <f>IF(Tabela1610[[#This Row],[Unemployment Rate]]="",#N/A,AVERAGE(B292:B304))</f>
        <v>5.4846153846153847</v>
      </c>
      <c r="D304" s="10">
        <v>4452</v>
      </c>
      <c r="E304" s="11">
        <v>60.5</v>
      </c>
      <c r="F304" s="11"/>
      <c r="G304" s="11"/>
      <c r="H304" s="55">
        <v>4444.7</v>
      </c>
      <c r="I304" s="56">
        <f>IF(Tabela1610[[#This Row],[Real Disposable Income (RDI)]]="",#N/A,((Tabela1610[[#This Row],[Real Disposable Income (RDI)]]*1)/H303)-1)</f>
        <v>7.4344386772140503E-3</v>
      </c>
      <c r="J304" s="56">
        <f>IF(Tabela1610[[#This Row],[Real Disposable Income (RDI)]]="",#N/A,((Tabela1610[[#This Row],[Real Disposable Income (RDI)]]*1)/H292)-1)</f>
        <v>8.0069012441679632E-2</v>
      </c>
      <c r="K304" s="10">
        <v>218000</v>
      </c>
      <c r="L304" s="11">
        <v>10.5</v>
      </c>
      <c r="M304" s="10">
        <v>397</v>
      </c>
      <c r="N304" s="10">
        <f>IF(Tabela1610[[#This Row],[Payroll]]="",#N/A,AVERAGE(M302:M304))</f>
        <v>347</v>
      </c>
      <c r="O304" s="10"/>
      <c r="P304" s="7"/>
    </row>
    <row r="305" spans="1:16">
      <c r="A305" s="6">
        <v>26724</v>
      </c>
      <c r="B305" s="11">
        <v>4.9000000000000004</v>
      </c>
      <c r="C305" s="11">
        <f>IF(Tabela1610[[#This Row],[Unemployment Rate]]="",#N/A,AVERAGE(B293:B305))</f>
        <v>5.4230769230769234</v>
      </c>
      <c r="D305" s="10">
        <v>4394</v>
      </c>
      <c r="E305" s="11">
        <v>60.8</v>
      </c>
      <c r="F305" s="11"/>
      <c r="G305" s="11"/>
      <c r="H305" s="55">
        <v>4461</v>
      </c>
      <c r="I305" s="56">
        <f>IF(Tabela1610[[#This Row],[Real Disposable Income (RDI)]]="",#N/A,((Tabela1610[[#This Row],[Real Disposable Income (RDI)]]*1)/H304)-1)</f>
        <v>3.6672891308751066E-3</v>
      </c>
      <c r="J305" s="56">
        <f>IF(Tabela1610[[#This Row],[Real Disposable Income (RDI)]]="",#N/A,((Tabela1610[[#This Row],[Real Disposable Income (RDI)]]*1)/H293)-1)</f>
        <v>7.9544079568279136E-2</v>
      </c>
      <c r="K305" s="10">
        <v>222000</v>
      </c>
      <c r="L305" s="11">
        <v>10.6</v>
      </c>
      <c r="M305" s="10">
        <v>270</v>
      </c>
      <c r="N305" s="10">
        <f>IF(Tabela1610[[#This Row],[Payroll]]="",#N/A,AVERAGE(M303:M305))</f>
        <v>338.66666666666669</v>
      </c>
      <c r="O305" s="10"/>
      <c r="P305" s="7"/>
    </row>
    <row r="306" spans="1:16">
      <c r="A306" s="6">
        <v>26755</v>
      </c>
      <c r="B306" s="11">
        <v>5</v>
      </c>
      <c r="C306" s="11">
        <f>IF(Tabela1610[[#This Row],[Unemployment Rate]]="",#N/A,AVERAGE(B294:B306))</f>
        <v>5.361538461538462</v>
      </c>
      <c r="D306" s="10">
        <v>4459</v>
      </c>
      <c r="E306" s="11">
        <v>60.8</v>
      </c>
      <c r="F306" s="11"/>
      <c r="G306" s="11"/>
      <c r="H306" s="55">
        <v>4466.7</v>
      </c>
      <c r="I306" s="56">
        <f>IF(Tabela1610[[#This Row],[Real Disposable Income (RDI)]]="",#N/A,((Tabela1610[[#This Row],[Real Disposable Income (RDI)]]*1)/H305)-1)</f>
        <v>1.2777404169468376E-3</v>
      </c>
      <c r="J306" s="56">
        <f>IF(Tabela1610[[#This Row],[Real Disposable Income (RDI)]]="",#N/A,((Tabela1610[[#This Row],[Real Disposable Income (RDI)]]*1)/H294)-1)</f>
        <v>8.1368324214399657E-2</v>
      </c>
      <c r="K306" s="10">
        <v>236000</v>
      </c>
      <c r="L306" s="11">
        <v>10</v>
      </c>
      <c r="M306" s="10">
        <v>171</v>
      </c>
      <c r="N306" s="10">
        <f>IF(Tabela1610[[#This Row],[Payroll]]="",#N/A,AVERAGE(M304:M306))</f>
        <v>279.33333333333331</v>
      </c>
      <c r="O306" s="10"/>
      <c r="P306" s="7"/>
    </row>
    <row r="307" spans="1:16">
      <c r="A307" s="6">
        <v>26785</v>
      </c>
      <c r="B307" s="11">
        <v>4.9000000000000004</v>
      </c>
      <c r="C307" s="11">
        <f>IF(Tabela1610[[#This Row],[Unemployment Rate]]="",#N/A,AVERAGE(B295:B307))</f>
        <v>5.3000000000000007</v>
      </c>
      <c r="D307" s="10">
        <v>4329</v>
      </c>
      <c r="E307" s="11">
        <v>60.6</v>
      </c>
      <c r="F307" s="11"/>
      <c r="G307" s="11"/>
      <c r="H307" s="55">
        <v>4475</v>
      </c>
      <c r="I307" s="56">
        <f>IF(Tabela1610[[#This Row],[Real Disposable Income (RDI)]]="",#N/A,((Tabela1610[[#This Row],[Real Disposable Income (RDI)]]*1)/H306)-1)</f>
        <v>1.8581950880964815E-3</v>
      </c>
      <c r="J307" s="56">
        <f>IF(Tabela1610[[#This Row],[Real Disposable Income (RDI)]]="",#N/A,((Tabela1610[[#This Row],[Real Disposable Income (RDI)]]*1)/H295)-1)</f>
        <v>7.5488476050854514E-2</v>
      </c>
      <c r="K307" s="10">
        <v>238000</v>
      </c>
      <c r="L307" s="11">
        <v>10.1</v>
      </c>
      <c r="M307" s="10">
        <v>193</v>
      </c>
      <c r="N307" s="10">
        <f>IF(Tabela1610[[#This Row],[Payroll]]="",#N/A,AVERAGE(M305:M307))</f>
        <v>211.33333333333334</v>
      </c>
      <c r="O307" s="10"/>
      <c r="P307" s="7"/>
    </row>
    <row r="308" spans="1:16">
      <c r="A308" s="6">
        <v>26816</v>
      </c>
      <c r="B308" s="11">
        <v>4.9000000000000004</v>
      </c>
      <c r="C308" s="11">
        <f>IF(Tabela1610[[#This Row],[Unemployment Rate]]="",#N/A,AVERAGE(B296:B308))</f>
        <v>5.2384615384615376</v>
      </c>
      <c r="D308" s="10">
        <v>4363</v>
      </c>
      <c r="E308" s="11">
        <v>60.9</v>
      </c>
      <c r="F308" s="11"/>
      <c r="G308" s="11"/>
      <c r="H308" s="55">
        <v>4488.3</v>
      </c>
      <c r="I308" s="56">
        <f>IF(Tabela1610[[#This Row],[Real Disposable Income (RDI)]]="",#N/A,((Tabela1610[[#This Row],[Real Disposable Income (RDI)]]*1)/H307)-1)</f>
        <v>2.9720670391062409E-3</v>
      </c>
      <c r="J308" s="56">
        <f>IF(Tabela1610[[#This Row],[Real Disposable Income (RDI)]]="",#N/A,((Tabela1610[[#This Row],[Real Disposable Income (RDI)]]*1)/H296)-1)</f>
        <v>7.5247951703320437E-2</v>
      </c>
      <c r="K308" s="10">
        <v>237000</v>
      </c>
      <c r="L308" s="11">
        <v>9.6</v>
      </c>
      <c r="M308" s="10">
        <v>239</v>
      </c>
      <c r="N308" s="10">
        <f>IF(Tabela1610[[#This Row],[Payroll]]="",#N/A,AVERAGE(M306:M308))</f>
        <v>201</v>
      </c>
      <c r="O308" s="10"/>
      <c r="P308" s="7"/>
    </row>
    <row r="309" spans="1:16">
      <c r="A309" s="6">
        <v>26846</v>
      </c>
      <c r="B309" s="11">
        <v>4.8</v>
      </c>
      <c r="C309" s="11">
        <f>IF(Tabela1610[[#This Row],[Unemployment Rate]]="",#N/A,AVERAGE(B297:B309))</f>
        <v>5.1692307692307686</v>
      </c>
      <c r="D309" s="10">
        <v>4305</v>
      </c>
      <c r="E309" s="11">
        <v>60.9</v>
      </c>
      <c r="F309" s="11"/>
      <c r="G309" s="11"/>
      <c r="H309" s="55">
        <v>4499</v>
      </c>
      <c r="I309" s="56">
        <f>IF(Tabela1610[[#This Row],[Real Disposable Income (RDI)]]="",#N/A,((Tabela1610[[#This Row],[Real Disposable Income (RDI)]]*1)/H308)-1)</f>
        <v>2.3839761156785322E-3</v>
      </c>
      <c r="J309" s="56">
        <f>IF(Tabela1610[[#This Row],[Real Disposable Income (RDI)]]="",#N/A,((Tabela1610[[#This Row],[Real Disposable Income (RDI)]]*1)/H297)-1)</f>
        <v>7.0044000475680823E-2</v>
      </c>
      <c r="K309" s="10">
        <v>250000</v>
      </c>
      <c r="L309" s="11">
        <v>9.6</v>
      </c>
      <c r="M309" s="10">
        <v>26</v>
      </c>
      <c r="N309" s="10">
        <f>IF(Tabela1610[[#This Row],[Payroll]]="",#N/A,AVERAGE(M307:M309))</f>
        <v>152.66666666666666</v>
      </c>
      <c r="O309" s="10"/>
      <c r="P309" s="7"/>
    </row>
    <row r="310" spans="1:16">
      <c r="A310" s="6">
        <v>26877</v>
      </c>
      <c r="B310" s="11">
        <v>4.8</v>
      </c>
      <c r="C310" s="11">
        <f>IF(Tabela1610[[#This Row],[Unemployment Rate]]="",#N/A,AVERAGE(B298:B310))</f>
        <v>5.1076923076923073</v>
      </c>
      <c r="D310" s="10">
        <v>4305</v>
      </c>
      <c r="E310" s="11">
        <v>60.7</v>
      </c>
      <c r="F310" s="11"/>
      <c r="G310" s="11"/>
      <c r="H310" s="55">
        <v>4484.3999999999996</v>
      </c>
      <c r="I310" s="56">
        <f>IF(Tabela1610[[#This Row],[Real Disposable Income (RDI)]]="",#N/A,((Tabela1610[[#This Row],[Real Disposable Income (RDI)]]*1)/H309)-1)</f>
        <v>-3.2451655923538825E-3</v>
      </c>
      <c r="J310" s="56">
        <f>IF(Tabela1610[[#This Row],[Real Disposable Income (RDI)]]="",#N/A,((Tabela1610[[#This Row],[Real Disposable Income (RDI)]]*1)/H298)-1)</f>
        <v>5.6769176387415854E-2</v>
      </c>
      <c r="K310" s="10">
        <v>254000</v>
      </c>
      <c r="L310" s="11">
        <v>9.8000000000000007</v>
      </c>
      <c r="M310" s="10">
        <v>255</v>
      </c>
      <c r="N310" s="10">
        <f>IF(Tabela1610[[#This Row],[Payroll]]="",#N/A,AVERAGE(M308:M310))</f>
        <v>173.33333333333334</v>
      </c>
      <c r="O310" s="10"/>
      <c r="P310" s="7"/>
    </row>
    <row r="311" spans="1:16">
      <c r="A311" s="6">
        <v>26908</v>
      </c>
      <c r="B311" s="11">
        <v>4.8</v>
      </c>
      <c r="C311" s="11">
        <f>IF(Tabela1610[[#This Row],[Unemployment Rate]]="",#N/A,AVERAGE(B299:B311))</f>
        <v>5.046153846153846</v>
      </c>
      <c r="D311" s="10">
        <v>4350</v>
      </c>
      <c r="E311" s="11">
        <v>60.8</v>
      </c>
      <c r="F311" s="11"/>
      <c r="G311" s="11"/>
      <c r="H311" s="55">
        <v>4507.3</v>
      </c>
      <c r="I311" s="56">
        <f>IF(Tabela1610[[#This Row],[Real Disposable Income (RDI)]]="",#N/A,((Tabela1610[[#This Row],[Real Disposable Income (RDI)]]*1)/H310)-1)</f>
        <v>5.1065917402552952E-3</v>
      </c>
      <c r="J311" s="56">
        <f>IF(Tabela1610[[#This Row],[Real Disposable Income (RDI)]]="",#N/A,((Tabela1610[[#This Row],[Real Disposable Income (RDI)]]*1)/H299)-1)</f>
        <v>5.8051643192488234E-2</v>
      </c>
      <c r="K311" s="10">
        <v>249000</v>
      </c>
      <c r="L311" s="11">
        <v>9.4</v>
      </c>
      <c r="M311" s="10">
        <v>108</v>
      </c>
      <c r="N311" s="10">
        <f>IF(Tabela1610[[#This Row],[Payroll]]="",#N/A,AVERAGE(M309:M311))</f>
        <v>129.66666666666666</v>
      </c>
      <c r="O311" s="10"/>
      <c r="P311" s="7"/>
    </row>
    <row r="312" spans="1:16">
      <c r="A312" s="6">
        <v>26938</v>
      </c>
      <c r="B312" s="11">
        <v>4.5999999999999996</v>
      </c>
      <c r="C312" s="11">
        <f>IF(Tabela1610[[#This Row],[Unemployment Rate]]="",#N/A,AVERAGE(B300:B312))</f>
        <v>4.9769230769230761</v>
      </c>
      <c r="D312" s="10">
        <v>4144</v>
      </c>
      <c r="E312" s="11">
        <v>60.9</v>
      </c>
      <c r="F312" s="11"/>
      <c r="G312" s="11"/>
      <c r="H312" s="55">
        <v>4546.8999999999996</v>
      </c>
      <c r="I312" s="56">
        <f>IF(Tabela1610[[#This Row],[Real Disposable Income (RDI)]]="",#N/A,((Tabela1610[[#This Row],[Real Disposable Income (RDI)]]*1)/H311)-1)</f>
        <v>8.7857475650610084E-3</v>
      </c>
      <c r="J312" s="56">
        <f>IF(Tabela1610[[#This Row],[Real Disposable Income (RDI)]]="",#N/A,((Tabela1610[[#This Row],[Real Disposable Income (RDI)]]*1)/H300)-1)</f>
        <v>4.121917149465304E-2</v>
      </c>
      <c r="K312" s="10">
        <v>235000</v>
      </c>
      <c r="L312" s="11">
        <v>10.199999999999999</v>
      </c>
      <c r="M312" s="10">
        <v>331</v>
      </c>
      <c r="N312" s="10">
        <f>IF(Tabela1610[[#This Row],[Payroll]]="",#N/A,AVERAGE(M310:M312))</f>
        <v>231.33333333333334</v>
      </c>
      <c r="O312" s="10"/>
      <c r="P312" s="7"/>
    </row>
    <row r="313" spans="1:16">
      <c r="A313" s="6">
        <v>26969</v>
      </c>
      <c r="B313" s="11">
        <v>4.8</v>
      </c>
      <c r="C313" s="11">
        <f>IF(Tabela1610[[#This Row],[Unemployment Rate]]="",#N/A,AVERAGE(B301:B313))</f>
        <v>4.9153846153846139</v>
      </c>
      <c r="D313" s="10">
        <v>4396</v>
      </c>
      <c r="E313" s="11">
        <v>61.2</v>
      </c>
      <c r="F313" s="11"/>
      <c r="G313" s="11"/>
      <c r="H313" s="55">
        <v>4554.1000000000004</v>
      </c>
      <c r="I313" s="56">
        <f>IF(Tabela1610[[#This Row],[Real Disposable Income (RDI)]]="",#N/A,((Tabela1610[[#This Row],[Real Disposable Income (RDI)]]*1)/H312)-1)</f>
        <v>1.5834964481296065E-3</v>
      </c>
      <c r="J313" s="56">
        <f>IF(Tabela1610[[#This Row],[Real Disposable Income (RDI)]]="",#N/A,((Tabela1610[[#This Row],[Real Disposable Income (RDI)]]*1)/H301)-1)</f>
        <v>3.1412782533859041E-2</v>
      </c>
      <c r="K313" s="10">
        <v>233000</v>
      </c>
      <c r="L313" s="11">
        <v>9.9</v>
      </c>
      <c r="M313" s="10">
        <v>313</v>
      </c>
      <c r="N313" s="10">
        <f>IF(Tabela1610[[#This Row],[Payroll]]="",#N/A,AVERAGE(M311:M313))</f>
        <v>250.66666666666666</v>
      </c>
      <c r="O313" s="10"/>
      <c r="P313" s="7"/>
    </row>
    <row r="314" spans="1:16">
      <c r="A314" s="6">
        <v>26999</v>
      </c>
      <c r="B314" s="11">
        <v>4.9000000000000004</v>
      </c>
      <c r="C314" s="11">
        <f>IF(Tabela1610[[#This Row],[Unemployment Rate]]="",#N/A,AVERAGE(B302:B314))</f>
        <v>4.8846153846153832</v>
      </c>
      <c r="D314" s="10">
        <v>4489</v>
      </c>
      <c r="E314" s="11">
        <v>61.2</v>
      </c>
      <c r="F314" s="11"/>
      <c r="G314" s="11"/>
      <c r="H314" s="55">
        <v>4537.2</v>
      </c>
      <c r="I314" s="56">
        <f>IF(Tabela1610[[#This Row],[Real Disposable Income (RDI)]]="",#N/A,((Tabela1610[[#This Row],[Real Disposable Income (RDI)]]*1)/H313)-1)</f>
        <v>-3.710941788718003E-3</v>
      </c>
      <c r="J314" s="56">
        <f>IF(Tabela1610[[#This Row],[Real Disposable Income (RDI)]]="",#N/A,((Tabela1610[[#This Row],[Real Disposable Income (RDI)]]*1)/H302)-1)</f>
        <v>2.3020901445288677E-2</v>
      </c>
      <c r="K314" s="10">
        <v>300000</v>
      </c>
      <c r="L314" s="11">
        <v>9.5</v>
      </c>
      <c r="M314" s="10">
        <v>111</v>
      </c>
      <c r="N314" s="10">
        <f>IF(Tabela1610[[#This Row],[Payroll]]="",#N/A,AVERAGE(M312:M314))</f>
        <v>251.66666666666666</v>
      </c>
      <c r="O314" s="10"/>
      <c r="P314" s="7"/>
    </row>
    <row r="315" spans="1:16">
      <c r="A315" s="6">
        <v>27030</v>
      </c>
      <c r="B315" s="11">
        <v>5.0999999999999996</v>
      </c>
      <c r="C315" s="11">
        <f>IF(Tabela1610[[#This Row],[Unemployment Rate]]="",#N/A,AVERAGE(B303:B315))</f>
        <v>4.8769230769230765</v>
      </c>
      <c r="D315" s="10">
        <v>4644</v>
      </c>
      <c r="E315" s="11">
        <v>61.3</v>
      </c>
      <c r="F315" s="11"/>
      <c r="G315" s="11"/>
      <c r="H315" s="55">
        <v>4504.1000000000004</v>
      </c>
      <c r="I315" s="56">
        <f>IF(Tabela1610[[#This Row],[Real Disposable Income (RDI)]]="",#N/A,((Tabela1610[[#This Row],[Real Disposable Income (RDI)]]*1)/H314)-1)</f>
        <v>-7.2952481706778372E-3</v>
      </c>
      <c r="J315" s="56">
        <f>IF(Tabela1610[[#This Row],[Real Disposable Income (RDI)]]="",#N/A,((Tabela1610[[#This Row],[Real Disposable Income (RDI)]]*1)/H303)-1)</f>
        <v>2.0898025793875785E-2</v>
      </c>
      <c r="K315" s="10">
        <v>291000</v>
      </c>
      <c r="L315" s="11">
        <v>9.5</v>
      </c>
      <c r="M315" s="10">
        <v>69</v>
      </c>
      <c r="N315" s="10">
        <f>IF(Tabela1610[[#This Row],[Payroll]]="",#N/A,AVERAGE(M313:M315))</f>
        <v>164.33333333333334</v>
      </c>
      <c r="O315" s="10"/>
      <c r="P315" s="7"/>
    </row>
    <row r="316" spans="1:16">
      <c r="A316" s="6">
        <v>27061</v>
      </c>
      <c r="B316" s="11">
        <v>5.2</v>
      </c>
      <c r="C316" s="11">
        <f>IF(Tabela1610[[#This Row],[Unemployment Rate]]="",#N/A,AVERAGE(B304:B316))</f>
        <v>4.9000000000000004</v>
      </c>
      <c r="D316" s="10">
        <v>4731</v>
      </c>
      <c r="E316" s="11">
        <v>61.4</v>
      </c>
      <c r="F316" s="11"/>
      <c r="G316" s="11"/>
      <c r="H316" s="55">
        <v>4470.2</v>
      </c>
      <c r="I316" s="56">
        <f>IF(Tabela1610[[#This Row],[Real Disposable Income (RDI)]]="",#N/A,((Tabela1610[[#This Row],[Real Disposable Income (RDI)]]*1)/H315)-1)</f>
        <v>-7.5264758775339669E-3</v>
      </c>
      <c r="J316" s="56">
        <f>IF(Tabela1610[[#This Row],[Real Disposable Income (RDI)]]="",#N/A,((Tabela1610[[#This Row],[Real Disposable Income (RDI)]]*1)/H304)-1)</f>
        <v>5.7371701127184593E-3</v>
      </c>
      <c r="K316" s="10">
        <v>292000</v>
      </c>
      <c r="L316" s="11">
        <v>9.6</v>
      </c>
      <c r="M316" s="10">
        <v>154</v>
      </c>
      <c r="N316" s="10">
        <f>IF(Tabela1610[[#This Row],[Payroll]]="",#N/A,AVERAGE(M314:M316))</f>
        <v>111.33333333333333</v>
      </c>
      <c r="O316" s="10"/>
      <c r="P316" s="7"/>
    </row>
    <row r="317" spans="1:16">
      <c r="A317" s="6">
        <v>27089</v>
      </c>
      <c r="B317" s="11">
        <v>5.0999999999999996</v>
      </c>
      <c r="C317" s="11">
        <f>IF(Tabela1610[[#This Row],[Unemployment Rate]]="",#N/A,AVERAGE(B305:B317))</f>
        <v>4.907692307692308</v>
      </c>
      <c r="D317" s="10">
        <v>4634</v>
      </c>
      <c r="E317" s="11">
        <v>61.3</v>
      </c>
      <c r="F317" s="11"/>
      <c r="G317" s="11"/>
      <c r="H317" s="55">
        <v>4438.2</v>
      </c>
      <c r="I317" s="56">
        <f>IF(Tabela1610[[#This Row],[Real Disposable Income (RDI)]]="",#N/A,((Tabela1610[[#This Row],[Real Disposable Income (RDI)]]*1)/H316)-1)</f>
        <v>-7.1585163974766663E-3</v>
      </c>
      <c r="J317" s="56">
        <f>IF(Tabela1610[[#This Row],[Real Disposable Income (RDI)]]="",#N/A,((Tabela1610[[#This Row],[Real Disposable Income (RDI)]]*1)/H305)-1)</f>
        <v>-5.1109616677875724E-3</v>
      </c>
      <c r="K317" s="10">
        <v>323000</v>
      </c>
      <c r="L317" s="11">
        <v>9.6999999999999993</v>
      </c>
      <c r="M317" s="10">
        <v>42</v>
      </c>
      <c r="N317" s="10">
        <f>IF(Tabela1610[[#This Row],[Payroll]]="",#N/A,AVERAGE(M315:M317))</f>
        <v>88.333333333333329</v>
      </c>
      <c r="O317" s="10"/>
      <c r="P317" s="7"/>
    </row>
    <row r="318" spans="1:16">
      <c r="A318" s="6">
        <v>27120</v>
      </c>
      <c r="B318" s="11">
        <v>5.0999999999999996</v>
      </c>
      <c r="C318" s="11">
        <f>IF(Tabela1610[[#This Row],[Unemployment Rate]]="",#N/A,AVERAGE(B306:B318))</f>
        <v>4.9230769230769234</v>
      </c>
      <c r="D318" s="10">
        <v>4618</v>
      </c>
      <c r="E318" s="11">
        <v>61.1</v>
      </c>
      <c r="F318" s="11"/>
      <c r="G318" s="11"/>
      <c r="H318" s="55">
        <v>4435.1000000000004</v>
      </c>
      <c r="I318" s="56">
        <f>IF(Tabela1610[[#This Row],[Real Disposable Income (RDI)]]="",#N/A,((Tabela1610[[#This Row],[Real Disposable Income (RDI)]]*1)/H317)-1)</f>
        <v>-6.9848136631955882E-4</v>
      </c>
      <c r="J318" s="56">
        <f>IF(Tabela1610[[#This Row],[Real Disposable Income (RDI)]]="",#N/A,((Tabela1610[[#This Row],[Real Disposable Income (RDI)]]*1)/H306)-1)</f>
        <v>-7.0745740703426208E-3</v>
      </c>
      <c r="K318" s="10">
        <v>283000</v>
      </c>
      <c r="L318" s="11">
        <v>9.8000000000000007</v>
      </c>
      <c r="M318" s="10">
        <v>86</v>
      </c>
      <c r="N318" s="10">
        <f>IF(Tabela1610[[#This Row],[Payroll]]="",#N/A,AVERAGE(M316:M318))</f>
        <v>94</v>
      </c>
      <c r="O318" s="10"/>
      <c r="P318" s="7"/>
    </row>
    <row r="319" spans="1:16">
      <c r="A319" s="6">
        <v>27150</v>
      </c>
      <c r="B319" s="11">
        <v>5.0999999999999996</v>
      </c>
      <c r="C319" s="11">
        <f>IF(Tabela1610[[#This Row],[Unemployment Rate]]="",#N/A,AVERAGE(B307:B319))</f>
        <v>4.930769230769231</v>
      </c>
      <c r="D319" s="10">
        <v>4705</v>
      </c>
      <c r="E319" s="11">
        <v>61.2</v>
      </c>
      <c r="F319" s="11"/>
      <c r="G319" s="11"/>
      <c r="H319" s="55">
        <v>4430.6000000000004</v>
      </c>
      <c r="I319" s="56">
        <f>IF(Tabela1610[[#This Row],[Real Disposable Income (RDI)]]="",#N/A,((Tabela1610[[#This Row],[Real Disposable Income (RDI)]]*1)/H318)-1)</f>
        <v>-1.0146332664426883E-3</v>
      </c>
      <c r="J319" s="56">
        <f>IF(Tabela1610[[#This Row],[Real Disposable Income (RDI)]]="",#N/A,((Tabela1610[[#This Row],[Real Disposable Income (RDI)]]*1)/H307)-1)</f>
        <v>-9.9217877094971429E-3</v>
      </c>
      <c r="K319" s="10">
        <v>309000</v>
      </c>
      <c r="L319" s="11">
        <v>9.6</v>
      </c>
      <c r="M319" s="10">
        <v>167</v>
      </c>
      <c r="N319" s="10">
        <f>IF(Tabela1610[[#This Row],[Payroll]]="",#N/A,AVERAGE(M317:M319))</f>
        <v>98.333333333333329</v>
      </c>
      <c r="O319" s="10"/>
      <c r="P319" s="7"/>
    </row>
    <row r="320" spans="1:16">
      <c r="A320" s="6">
        <v>27181</v>
      </c>
      <c r="B320" s="11">
        <v>5.4</v>
      </c>
      <c r="C320" s="11">
        <f>IF(Tabela1610[[#This Row],[Unemployment Rate]]="",#N/A,AVERAGE(B308:B320))</f>
        <v>4.9692307692307702</v>
      </c>
      <c r="D320" s="10">
        <v>4927</v>
      </c>
      <c r="E320" s="11">
        <v>61.2</v>
      </c>
      <c r="F320" s="11"/>
      <c r="G320" s="11"/>
      <c r="H320" s="55">
        <v>4421.7</v>
      </c>
      <c r="I320" s="56">
        <f>IF(Tabela1610[[#This Row],[Real Disposable Income (RDI)]]="",#N/A,((Tabela1610[[#This Row],[Real Disposable Income (RDI)]]*1)/H319)-1)</f>
        <v>-2.0087572789240227E-3</v>
      </c>
      <c r="J320" s="56">
        <f>IF(Tabela1610[[#This Row],[Real Disposable Income (RDI)]]="",#N/A,((Tabela1610[[#This Row],[Real Disposable Income (RDI)]]*1)/H308)-1)</f>
        <v>-1.4838580308802918E-2</v>
      </c>
      <c r="K320" s="10">
        <v>325000</v>
      </c>
      <c r="L320" s="11">
        <v>9.6999999999999993</v>
      </c>
      <c r="M320" s="10">
        <v>55</v>
      </c>
      <c r="N320" s="10">
        <f>IF(Tabela1610[[#This Row],[Payroll]]="",#N/A,AVERAGE(M318:M320))</f>
        <v>102.66666666666667</v>
      </c>
      <c r="O320" s="10"/>
      <c r="P320" s="7"/>
    </row>
    <row r="321" spans="1:16">
      <c r="A321" s="6">
        <v>27211</v>
      </c>
      <c r="B321" s="11">
        <v>5.5</v>
      </c>
      <c r="C321" s="11">
        <f>IF(Tabela1610[[#This Row],[Unemployment Rate]]="",#N/A,AVERAGE(B309:B321))</f>
        <v>5.0153846153846171</v>
      </c>
      <c r="D321" s="10">
        <v>5063</v>
      </c>
      <c r="E321" s="11">
        <v>61.4</v>
      </c>
      <c r="F321" s="11"/>
      <c r="G321" s="11"/>
      <c r="H321" s="55">
        <v>4438.7</v>
      </c>
      <c r="I321" s="56">
        <f>IF(Tabela1610[[#This Row],[Real Disposable Income (RDI)]]="",#N/A,((Tabela1610[[#This Row],[Real Disposable Income (RDI)]]*1)/H320)-1)</f>
        <v>3.8446751249519018E-3</v>
      </c>
      <c r="J321" s="56">
        <f>IF(Tabela1610[[#This Row],[Real Disposable Income (RDI)]]="",#N/A,((Tabela1610[[#This Row],[Real Disposable Income (RDI)]]*1)/H309)-1)</f>
        <v>-1.3402978439653324E-2</v>
      </c>
      <c r="K321" s="10">
        <v>320000</v>
      </c>
      <c r="L321" s="11">
        <v>9.9</v>
      </c>
      <c r="M321" s="10">
        <v>32</v>
      </c>
      <c r="N321" s="10">
        <f>IF(Tabela1610[[#This Row],[Payroll]]="",#N/A,AVERAGE(M319:M321))</f>
        <v>84.666666666666671</v>
      </c>
      <c r="O321" s="10"/>
      <c r="P321" s="7"/>
    </row>
    <row r="322" spans="1:16">
      <c r="A322" s="6">
        <v>27242</v>
      </c>
      <c r="B322" s="11">
        <v>5.5</v>
      </c>
      <c r="C322" s="11">
        <f>IF(Tabela1610[[#This Row],[Unemployment Rate]]="",#N/A,AVERAGE(B310:B322))</f>
        <v>5.0692307692307699</v>
      </c>
      <c r="D322" s="10">
        <v>5022</v>
      </c>
      <c r="E322" s="11">
        <v>61.2</v>
      </c>
      <c r="F322" s="11"/>
      <c r="G322" s="11"/>
      <c r="H322" s="55">
        <v>4432.6000000000004</v>
      </c>
      <c r="I322" s="56">
        <f>IF(Tabela1610[[#This Row],[Real Disposable Income (RDI)]]="",#N/A,((Tabela1610[[#This Row],[Real Disposable Income (RDI)]]*1)/H321)-1)</f>
        <v>-1.3742762520556617E-3</v>
      </c>
      <c r="J322" s="56">
        <f>IF(Tabela1610[[#This Row],[Real Disposable Income (RDI)]]="",#N/A,((Tabela1610[[#This Row],[Real Disposable Income (RDI)]]*1)/H310)-1)</f>
        <v>-1.1551155115511413E-2</v>
      </c>
      <c r="K322" s="10">
        <v>350000</v>
      </c>
      <c r="L322" s="11">
        <v>9.8000000000000007</v>
      </c>
      <c r="M322" s="10">
        <v>-17</v>
      </c>
      <c r="N322" s="10">
        <f>IF(Tabela1610[[#This Row],[Payroll]]="",#N/A,AVERAGE(M320:M322))</f>
        <v>23.333333333333332</v>
      </c>
      <c r="O322" s="10"/>
      <c r="P322" s="7"/>
    </row>
    <row r="323" spans="1:16">
      <c r="A323" s="6">
        <v>27273</v>
      </c>
      <c r="B323" s="11">
        <v>5.9</v>
      </c>
      <c r="C323" s="11">
        <f>IF(Tabela1610[[#This Row],[Unemployment Rate]]="",#N/A,AVERAGE(B311:B323))</f>
        <v>5.1538461538461542</v>
      </c>
      <c r="D323" s="10">
        <v>5437</v>
      </c>
      <c r="E323" s="11">
        <v>61.4</v>
      </c>
      <c r="F323" s="11"/>
      <c r="G323" s="11"/>
      <c r="H323" s="55">
        <v>4428</v>
      </c>
      <c r="I323" s="56">
        <f>IF(Tabela1610[[#This Row],[Real Disposable Income (RDI)]]="",#N/A,((Tabela1610[[#This Row],[Real Disposable Income (RDI)]]*1)/H322)-1)</f>
        <v>-1.0377656454452211E-3</v>
      </c>
      <c r="J323" s="56">
        <f>IF(Tabela1610[[#This Row],[Real Disposable Income (RDI)]]="",#N/A,((Tabela1610[[#This Row],[Real Disposable Income (RDI)]]*1)/H311)-1)</f>
        <v>-1.7593681361347202E-2</v>
      </c>
      <c r="K323" s="10">
        <v>366000</v>
      </c>
      <c r="L323" s="11">
        <v>9.6</v>
      </c>
      <c r="M323" s="10">
        <v>-9</v>
      </c>
      <c r="N323" s="10">
        <f>IF(Tabela1610[[#This Row],[Payroll]]="",#N/A,AVERAGE(M321:M323))</f>
        <v>2</v>
      </c>
      <c r="O323" s="10"/>
      <c r="P323" s="7"/>
    </row>
    <row r="324" spans="1:16">
      <c r="A324" s="6">
        <v>27303</v>
      </c>
      <c r="B324" s="11">
        <v>6</v>
      </c>
      <c r="C324" s="11">
        <f>IF(Tabela1610[[#This Row],[Unemployment Rate]]="",#N/A,AVERAGE(B312:B324))</f>
        <v>5.2461538461538453</v>
      </c>
      <c r="D324" s="10">
        <v>5523</v>
      </c>
      <c r="E324" s="11">
        <v>61.3</v>
      </c>
      <c r="F324" s="11"/>
      <c r="G324" s="11"/>
      <c r="H324" s="55">
        <v>4442.6000000000004</v>
      </c>
      <c r="I324" s="56">
        <f>IF(Tabela1610[[#This Row],[Real Disposable Income (RDI)]]="",#N/A,((Tabela1610[[#This Row],[Real Disposable Income (RDI)]]*1)/H323)-1)</f>
        <v>3.2971996386630398E-3</v>
      </c>
      <c r="J324" s="56">
        <f>IF(Tabela1610[[#This Row],[Real Disposable Income (RDI)]]="",#N/A,((Tabela1610[[#This Row],[Real Disposable Income (RDI)]]*1)/H312)-1)</f>
        <v>-2.2938705491653444E-2</v>
      </c>
      <c r="K324" s="10">
        <v>414000</v>
      </c>
      <c r="L324" s="11">
        <v>9.9</v>
      </c>
      <c r="M324" s="10">
        <v>20</v>
      </c>
      <c r="N324" s="10">
        <f>IF(Tabela1610[[#This Row],[Payroll]]="",#N/A,AVERAGE(M322:M324))</f>
        <v>-2</v>
      </c>
      <c r="O324" s="10"/>
      <c r="P324" s="7"/>
    </row>
    <row r="325" spans="1:16">
      <c r="A325" s="6">
        <v>27334</v>
      </c>
      <c r="B325" s="11">
        <v>6.6</v>
      </c>
      <c r="C325" s="11">
        <f>IF(Tabela1610[[#This Row],[Unemployment Rate]]="",#N/A,AVERAGE(B313:B325))</f>
        <v>5.4</v>
      </c>
      <c r="D325" s="10">
        <v>6140</v>
      </c>
      <c r="E325" s="11">
        <v>61.3</v>
      </c>
      <c r="F325" s="11"/>
      <c r="G325" s="11"/>
      <c r="H325" s="55">
        <v>4419</v>
      </c>
      <c r="I325" s="56">
        <f>IF(Tabela1610[[#This Row],[Real Disposable Income (RDI)]]="",#N/A,((Tabela1610[[#This Row],[Real Disposable Income (RDI)]]*1)/H324)-1)</f>
        <v>-5.3122045648945626E-3</v>
      </c>
      <c r="J325" s="56">
        <f>IF(Tabela1610[[#This Row],[Real Disposable Income (RDI)]]="",#N/A,((Tabela1610[[#This Row],[Real Disposable Income (RDI)]]*1)/H313)-1)</f>
        <v>-2.9665576074306754E-2</v>
      </c>
      <c r="K325" s="10">
        <v>474000</v>
      </c>
      <c r="L325" s="11">
        <v>9.6</v>
      </c>
      <c r="M325" s="10">
        <v>-365</v>
      </c>
      <c r="N325" s="10">
        <f>IF(Tabela1610[[#This Row],[Payroll]]="",#N/A,AVERAGE(M323:M325))</f>
        <v>-118</v>
      </c>
      <c r="O325" s="10"/>
      <c r="P325" s="7"/>
    </row>
    <row r="326" spans="1:16">
      <c r="A326" s="6">
        <v>27364</v>
      </c>
      <c r="B326" s="11">
        <v>7.2</v>
      </c>
      <c r="C326" s="11">
        <f>IF(Tabela1610[[#This Row],[Unemployment Rate]]="",#N/A,AVERAGE(B314:B326))</f>
        <v>5.5846153846153843</v>
      </c>
      <c r="D326" s="10">
        <v>6636</v>
      </c>
      <c r="E326" s="11">
        <v>61.2</v>
      </c>
      <c r="F326" s="11"/>
      <c r="G326" s="11"/>
      <c r="H326" s="55">
        <v>4419.7</v>
      </c>
      <c r="I326" s="56">
        <f>IF(Tabela1610[[#This Row],[Real Disposable Income (RDI)]]="",#N/A,((Tabela1610[[#This Row],[Real Disposable Income (RDI)]]*1)/H325)-1)</f>
        <v>1.5840687938450948E-4</v>
      </c>
      <c r="J326" s="56">
        <f>IF(Tabela1610[[#This Row],[Real Disposable Income (RDI)]]="",#N/A,((Tabela1610[[#This Row],[Real Disposable Income (RDI)]]*1)/H314)-1)</f>
        <v>-2.58970290046725E-2</v>
      </c>
      <c r="K326" s="10">
        <v>537000</v>
      </c>
      <c r="L326" s="11">
        <v>10.1</v>
      </c>
      <c r="M326" s="10">
        <v>-613</v>
      </c>
      <c r="N326" s="10">
        <f>IF(Tabela1610[[#This Row],[Payroll]]="",#N/A,AVERAGE(M324:M326))</f>
        <v>-319.33333333333331</v>
      </c>
      <c r="O326" s="10"/>
      <c r="P326" s="7"/>
    </row>
    <row r="327" spans="1:16">
      <c r="A327" s="6">
        <v>27395</v>
      </c>
      <c r="B327" s="11">
        <v>8.1</v>
      </c>
      <c r="C327" s="11">
        <f>IF(Tabela1610[[#This Row],[Unemployment Rate]]="",#N/A,AVERAGE(B315:B327))</f>
        <v>5.8307692307692305</v>
      </c>
      <c r="D327" s="10">
        <v>7501</v>
      </c>
      <c r="E327" s="11">
        <v>61.4</v>
      </c>
      <c r="F327" s="11"/>
      <c r="G327" s="11"/>
      <c r="H327" s="55">
        <v>4417.3999999999996</v>
      </c>
      <c r="I327" s="56">
        <f>IF(Tabela1610[[#This Row],[Real Disposable Income (RDI)]]="",#N/A,((Tabela1610[[#This Row],[Real Disposable Income (RDI)]]*1)/H326)-1)</f>
        <v>-5.2039731203479267E-4</v>
      </c>
      <c r="J327" s="56">
        <f>IF(Tabela1610[[#This Row],[Real Disposable Income (RDI)]]="",#N/A,((Tabela1610[[#This Row],[Real Disposable Income (RDI)]]*1)/H315)-1)</f>
        <v>-1.9249128571745877E-2</v>
      </c>
      <c r="K327" s="10">
        <v>555000</v>
      </c>
      <c r="L327" s="11">
        <v>10.7</v>
      </c>
      <c r="M327" s="10">
        <v>-359</v>
      </c>
      <c r="N327" s="10">
        <f>IF(Tabela1610[[#This Row],[Payroll]]="",#N/A,AVERAGE(M325:M327))</f>
        <v>-445.66666666666669</v>
      </c>
      <c r="O327" s="10"/>
      <c r="P327" s="7"/>
    </row>
    <row r="328" spans="1:16">
      <c r="A328" s="6">
        <v>27426</v>
      </c>
      <c r="B328" s="11">
        <v>8.1</v>
      </c>
      <c r="C328" s="11">
        <f>IF(Tabela1610[[#This Row],[Unemployment Rate]]="",#N/A,AVERAGE(B316:B328))</f>
        <v>6.0615384615384613</v>
      </c>
      <c r="D328" s="10">
        <v>7520</v>
      </c>
      <c r="E328" s="11">
        <v>61</v>
      </c>
      <c r="F328" s="11"/>
      <c r="G328" s="11"/>
      <c r="H328" s="55">
        <v>4420.1000000000004</v>
      </c>
      <c r="I328" s="56">
        <f>IF(Tabela1610[[#This Row],[Real Disposable Income (RDI)]]="",#N/A,((Tabela1610[[#This Row],[Real Disposable Income (RDI)]]*1)/H327)-1)</f>
        <v>6.1121926925356007E-4</v>
      </c>
      <c r="J328" s="56">
        <f>IF(Tabela1610[[#This Row],[Real Disposable Income (RDI)]]="",#N/A,((Tabela1610[[#This Row],[Real Disposable Income (RDI)]]*1)/H316)-1)</f>
        <v>-1.120755223479919E-2</v>
      </c>
      <c r="K328" s="10">
        <v>544000</v>
      </c>
      <c r="L328" s="11">
        <v>11.7</v>
      </c>
      <c r="M328" s="10">
        <v>-375</v>
      </c>
      <c r="N328" s="10">
        <f>IF(Tabela1610[[#This Row],[Payroll]]="",#N/A,AVERAGE(M326:M328))</f>
        <v>-449</v>
      </c>
      <c r="O328" s="10"/>
      <c r="P328" s="7"/>
    </row>
    <row r="329" spans="1:16">
      <c r="A329" s="6">
        <v>27454</v>
      </c>
      <c r="B329" s="11">
        <v>8.6</v>
      </c>
      <c r="C329" s="11">
        <f>IF(Tabela1610[[#This Row],[Unemployment Rate]]="",#N/A,AVERAGE(B317:B329))</f>
        <v>6.3230769230769219</v>
      </c>
      <c r="D329" s="10">
        <v>7978</v>
      </c>
      <c r="E329" s="11">
        <v>61.2</v>
      </c>
      <c r="F329" s="11"/>
      <c r="G329" s="11"/>
      <c r="H329" s="55">
        <v>4424.1000000000004</v>
      </c>
      <c r="I329" s="56">
        <f>IF(Tabela1610[[#This Row],[Real Disposable Income (RDI)]]="",#N/A,((Tabela1610[[#This Row],[Real Disposable Income (RDI)]]*1)/H328)-1)</f>
        <v>9.0495690142766705E-4</v>
      </c>
      <c r="J329" s="56">
        <f>IF(Tabela1610[[#This Row],[Real Disposable Income (RDI)]]="",#N/A,((Tabela1610[[#This Row],[Real Disposable Income (RDI)]]*1)/H317)-1)</f>
        <v>-3.1769636339055163E-3</v>
      </c>
      <c r="K329" s="10">
        <v>555000</v>
      </c>
      <c r="L329" s="11">
        <v>11.8</v>
      </c>
      <c r="M329" s="10">
        <v>-270</v>
      </c>
      <c r="N329" s="10">
        <f>IF(Tabela1610[[#This Row],[Payroll]]="",#N/A,AVERAGE(M327:M329))</f>
        <v>-334.66666666666669</v>
      </c>
      <c r="O329" s="10"/>
      <c r="P329" s="7"/>
    </row>
    <row r="330" spans="1:16">
      <c r="A330" s="6">
        <v>27485</v>
      </c>
      <c r="B330" s="11">
        <v>8.8000000000000007</v>
      </c>
      <c r="C330" s="11">
        <f>IF(Tabela1610[[#This Row],[Unemployment Rate]]="",#N/A,AVERAGE(B318:B330))</f>
        <v>6.6076923076923073</v>
      </c>
      <c r="D330" s="10">
        <v>8210</v>
      </c>
      <c r="E330" s="11">
        <v>61.3</v>
      </c>
      <c r="F330" s="11"/>
      <c r="G330" s="11"/>
      <c r="H330" s="55">
        <v>4505.1000000000004</v>
      </c>
      <c r="I330" s="56">
        <f>IF(Tabela1610[[#This Row],[Real Disposable Income (RDI)]]="",#N/A,((Tabela1610[[#This Row],[Real Disposable Income (RDI)]]*1)/H329)-1)</f>
        <v>1.8308808571234847E-2</v>
      </c>
      <c r="J330" s="56">
        <f>IF(Tabela1610[[#This Row],[Real Disposable Income (RDI)]]="",#N/A,((Tabela1610[[#This Row],[Real Disposable Income (RDI)]]*1)/H318)-1)</f>
        <v>1.5783184144664064E-2</v>
      </c>
      <c r="K330" s="10">
        <v>513000</v>
      </c>
      <c r="L330" s="11">
        <v>12.9</v>
      </c>
      <c r="M330" s="10">
        <v>-188</v>
      </c>
      <c r="N330" s="10">
        <f>IF(Tabela1610[[#This Row],[Payroll]]="",#N/A,AVERAGE(M328:M330))</f>
        <v>-277.66666666666669</v>
      </c>
      <c r="O330" s="10"/>
      <c r="P330" s="7"/>
    </row>
    <row r="331" spans="1:16">
      <c r="A331" s="6">
        <v>27515</v>
      </c>
      <c r="B331" s="11">
        <v>9</v>
      </c>
      <c r="C331" s="11">
        <f>IF(Tabela1610[[#This Row],[Unemployment Rate]]="",#N/A,AVERAGE(B319:B331))</f>
        <v>6.9076923076923071</v>
      </c>
      <c r="D331" s="10">
        <v>8433</v>
      </c>
      <c r="E331" s="11">
        <v>61.5</v>
      </c>
      <c r="F331" s="11"/>
      <c r="G331" s="11"/>
      <c r="H331" s="55">
        <v>4765.1000000000004</v>
      </c>
      <c r="I331" s="56">
        <f>IF(Tabela1610[[#This Row],[Real Disposable Income (RDI)]]="",#N/A,((Tabela1610[[#This Row],[Real Disposable Income (RDI)]]*1)/H330)-1)</f>
        <v>5.7712370424629844E-2</v>
      </c>
      <c r="J331" s="56">
        <f>IF(Tabela1610[[#This Row],[Real Disposable Income (RDI)]]="",#N/A,((Tabela1610[[#This Row],[Real Disposable Income (RDI)]]*1)/H319)-1)</f>
        <v>7.5497675258429986E-2</v>
      </c>
      <c r="K331" s="10">
        <v>475000</v>
      </c>
      <c r="L331" s="11">
        <v>13.4</v>
      </c>
      <c r="M331" s="10">
        <v>164</v>
      </c>
      <c r="N331" s="10">
        <f>IF(Tabela1610[[#This Row],[Payroll]]="",#N/A,AVERAGE(M329:M331))</f>
        <v>-98</v>
      </c>
      <c r="O331" s="10"/>
      <c r="P331" s="7"/>
    </row>
    <row r="332" spans="1:16">
      <c r="A332" s="6">
        <v>27546</v>
      </c>
      <c r="B332" s="11">
        <v>8.8000000000000007</v>
      </c>
      <c r="C332" s="11">
        <f>IF(Tabela1610[[#This Row],[Unemployment Rate]]="",#N/A,AVERAGE(B320:B332))</f>
        <v>7.1923076923076925</v>
      </c>
      <c r="D332" s="10">
        <v>8220</v>
      </c>
      <c r="E332" s="11">
        <v>61.2</v>
      </c>
      <c r="F332" s="11"/>
      <c r="G332" s="11"/>
      <c r="H332" s="55">
        <v>4604.8999999999996</v>
      </c>
      <c r="I332" s="56">
        <f>IF(Tabela1610[[#This Row],[Real Disposable Income (RDI)]]="",#N/A,((Tabela1610[[#This Row],[Real Disposable Income (RDI)]]*1)/H331)-1)</f>
        <v>-3.3619441354851065E-2</v>
      </c>
      <c r="J332" s="56">
        <f>IF(Tabela1610[[#This Row],[Real Disposable Income (RDI)]]="",#N/A,((Tabela1610[[#This Row],[Real Disposable Income (RDI)]]*1)/H320)-1)</f>
        <v>4.1432028405364418E-2</v>
      </c>
      <c r="K332" s="10">
        <v>459000</v>
      </c>
      <c r="L332" s="11">
        <v>15.3</v>
      </c>
      <c r="M332" s="10">
        <v>-103</v>
      </c>
      <c r="N332" s="10">
        <f>IF(Tabela1610[[#This Row],[Payroll]]="",#N/A,AVERAGE(M330:M332))</f>
        <v>-42.333333333333336</v>
      </c>
      <c r="O332" s="10"/>
      <c r="P332" s="7"/>
    </row>
    <row r="333" spans="1:16">
      <c r="A333" s="6">
        <v>27576</v>
      </c>
      <c r="B333" s="11">
        <v>8.6</v>
      </c>
      <c r="C333" s="11">
        <f>IF(Tabela1610[[#This Row],[Unemployment Rate]]="",#N/A,AVERAGE(B321:B333))</f>
        <v>7.4384615384615387</v>
      </c>
      <c r="D333" s="10">
        <v>8127</v>
      </c>
      <c r="E333" s="11">
        <v>61.3</v>
      </c>
      <c r="F333" s="11"/>
      <c r="G333" s="11"/>
      <c r="H333" s="55">
        <v>4533.8999999999996</v>
      </c>
      <c r="I333" s="56">
        <f>IF(Tabela1610[[#This Row],[Real Disposable Income (RDI)]]="",#N/A,((Tabela1610[[#This Row],[Real Disposable Income (RDI)]]*1)/H332)-1)</f>
        <v>-1.541835870485786E-2</v>
      </c>
      <c r="J333" s="56">
        <f>IF(Tabela1610[[#This Row],[Real Disposable Income (RDI)]]="",#N/A,((Tabela1610[[#This Row],[Real Disposable Income (RDI)]]*1)/H321)-1)</f>
        <v>2.1447721179624679E-2</v>
      </c>
      <c r="K333" s="10">
        <v>454000</v>
      </c>
      <c r="L333" s="11">
        <v>15</v>
      </c>
      <c r="M333" s="10">
        <v>249</v>
      </c>
      <c r="N333" s="10">
        <f>IF(Tabela1610[[#This Row],[Payroll]]="",#N/A,AVERAGE(M331:M333))</f>
        <v>103.33333333333333</v>
      </c>
      <c r="O333" s="10"/>
      <c r="P333" s="7"/>
    </row>
    <row r="334" spans="1:16">
      <c r="A334" s="6">
        <v>27607</v>
      </c>
      <c r="B334" s="11">
        <v>8.4</v>
      </c>
      <c r="C334" s="11">
        <f>IF(Tabela1610[[#This Row],[Unemployment Rate]]="",#N/A,AVERAGE(B322:B334))</f>
        <v>7.661538461538461</v>
      </c>
      <c r="D334" s="10">
        <v>7928</v>
      </c>
      <c r="E334" s="11">
        <v>61.3</v>
      </c>
      <c r="F334" s="11"/>
      <c r="G334" s="11"/>
      <c r="H334" s="55">
        <v>4564.1000000000004</v>
      </c>
      <c r="I334" s="56">
        <f>IF(Tabela1610[[#This Row],[Real Disposable Income (RDI)]]="",#N/A,((Tabela1610[[#This Row],[Real Disposable Income (RDI)]]*1)/H333)-1)</f>
        <v>6.6609320893713519E-3</v>
      </c>
      <c r="J334" s="56">
        <f>IF(Tabela1610[[#This Row],[Real Disposable Income (RDI)]]="",#N/A,((Tabela1610[[#This Row],[Real Disposable Income (RDI)]]*1)/H322)-1)</f>
        <v>2.9666561386094026E-2</v>
      </c>
      <c r="K334" s="10">
        <v>446000</v>
      </c>
      <c r="L334" s="11">
        <v>15.6</v>
      </c>
      <c r="M334" s="10">
        <v>383</v>
      </c>
      <c r="N334" s="10">
        <f>IF(Tabela1610[[#This Row],[Payroll]]="",#N/A,AVERAGE(M332:M334))</f>
        <v>176.33333333333334</v>
      </c>
      <c r="O334" s="10"/>
      <c r="P334" s="7"/>
    </row>
    <row r="335" spans="1:16">
      <c r="A335" s="6">
        <v>27638</v>
      </c>
      <c r="B335" s="11">
        <v>8.4</v>
      </c>
      <c r="C335" s="11">
        <f>IF(Tabela1610[[#This Row],[Unemployment Rate]]="",#N/A,AVERAGE(B323:B335))</f>
        <v>7.884615384615385</v>
      </c>
      <c r="D335" s="10">
        <v>7923</v>
      </c>
      <c r="E335" s="11">
        <v>61.2</v>
      </c>
      <c r="F335" s="11"/>
      <c r="G335" s="11"/>
      <c r="H335" s="55">
        <v>4575.2</v>
      </c>
      <c r="I335" s="56">
        <f>IF(Tabela1610[[#This Row],[Real Disposable Income (RDI)]]="",#N/A,((Tabela1610[[#This Row],[Real Disposable Income (RDI)]]*1)/H334)-1)</f>
        <v>2.4320238382156134E-3</v>
      </c>
      <c r="J335" s="56">
        <f>IF(Tabela1610[[#This Row],[Real Disposable Income (RDI)]]="",#N/A,((Tabela1610[[#This Row],[Real Disposable Income (RDI)]]*1)/H323)-1)</f>
        <v>3.3242999096657622E-2</v>
      </c>
      <c r="K335" s="10">
        <v>445000</v>
      </c>
      <c r="L335" s="11">
        <v>16.100000000000001</v>
      </c>
      <c r="M335" s="10">
        <v>75</v>
      </c>
      <c r="N335" s="10">
        <f>IF(Tabela1610[[#This Row],[Payroll]]="",#N/A,AVERAGE(M333:M335))</f>
        <v>235.66666666666666</v>
      </c>
      <c r="O335" s="10"/>
      <c r="P335" s="7"/>
    </row>
    <row r="336" spans="1:16">
      <c r="A336" s="6">
        <v>27668</v>
      </c>
      <c r="B336" s="11">
        <v>8.4</v>
      </c>
      <c r="C336" s="11">
        <f>IF(Tabela1610[[#This Row],[Unemployment Rate]]="",#N/A,AVERAGE(B324:B336))</f>
        <v>8.0769230769230784</v>
      </c>
      <c r="D336" s="10">
        <v>7897</v>
      </c>
      <c r="E336" s="11">
        <v>61.2</v>
      </c>
      <c r="F336" s="11"/>
      <c r="G336" s="11"/>
      <c r="H336" s="55">
        <v>4594.3</v>
      </c>
      <c r="I336" s="56">
        <f>IF(Tabela1610[[#This Row],[Real Disposable Income (RDI)]]="",#N/A,((Tabela1610[[#This Row],[Real Disposable Income (RDI)]]*1)/H335)-1)</f>
        <v>4.1746808882672237E-3</v>
      </c>
      <c r="J336" s="56">
        <f>IF(Tabela1610[[#This Row],[Real Disposable Income (RDI)]]="",#N/A,((Tabela1610[[#This Row],[Real Disposable Income (RDI)]]*1)/H324)-1)</f>
        <v>3.4146670868410389E-2</v>
      </c>
      <c r="K336" s="10">
        <v>426000</v>
      </c>
      <c r="L336" s="11">
        <v>15.4</v>
      </c>
      <c r="M336" s="10">
        <v>312</v>
      </c>
      <c r="N336" s="10">
        <f>IF(Tabela1610[[#This Row],[Payroll]]="",#N/A,AVERAGE(M334:M336))</f>
        <v>256.66666666666669</v>
      </c>
      <c r="O336" s="10"/>
      <c r="P336" s="7"/>
    </row>
    <row r="337" spans="1:16">
      <c r="A337" s="6">
        <v>27699</v>
      </c>
      <c r="B337" s="11">
        <v>8.3000000000000007</v>
      </c>
      <c r="C337" s="11">
        <f>IF(Tabela1610[[#This Row],[Unemployment Rate]]="",#N/A,AVERAGE(B325:B337))</f>
        <v>8.2538461538461547</v>
      </c>
      <c r="D337" s="10">
        <v>7794</v>
      </c>
      <c r="E337" s="11">
        <v>61.1</v>
      </c>
      <c r="F337" s="11"/>
      <c r="G337" s="11"/>
      <c r="H337" s="55">
        <v>4590.8999999999996</v>
      </c>
      <c r="I337" s="56">
        <f>IF(Tabela1610[[#This Row],[Real Disposable Income (RDI)]]="",#N/A,((Tabela1610[[#This Row],[Real Disposable Income (RDI)]]*1)/H336)-1)</f>
        <v>-7.4004745010136652E-4</v>
      </c>
      <c r="J337" s="56">
        <f>IF(Tabela1610[[#This Row],[Real Disposable Income (RDI)]]="",#N/A,((Tabela1610[[#This Row],[Real Disposable Income (RDI)]]*1)/H325)-1)</f>
        <v>3.8900203665987787E-2</v>
      </c>
      <c r="K337" s="10">
        <v>387000</v>
      </c>
      <c r="L337" s="11">
        <v>16.600000000000001</v>
      </c>
      <c r="M337" s="10">
        <v>145</v>
      </c>
      <c r="N337" s="10">
        <f>IF(Tabela1610[[#This Row],[Payroll]]="",#N/A,AVERAGE(M335:M337))</f>
        <v>177.33333333333334</v>
      </c>
      <c r="O337" s="10"/>
      <c r="P337" s="7"/>
    </row>
    <row r="338" spans="1:16">
      <c r="A338" s="6">
        <v>27729</v>
      </c>
      <c r="B338" s="11">
        <v>8.1999999999999993</v>
      </c>
      <c r="C338" s="11">
        <f>IF(Tabela1610[[#This Row],[Unemployment Rate]]="",#N/A,AVERAGE(B326:B338))</f>
        <v>8.3769230769230774</v>
      </c>
      <c r="D338" s="10">
        <v>7744</v>
      </c>
      <c r="E338" s="11">
        <v>61.1</v>
      </c>
      <c r="F338" s="11"/>
      <c r="G338" s="11"/>
      <c r="H338" s="55">
        <v>4595.3</v>
      </c>
      <c r="I338" s="56">
        <f>IF(Tabela1610[[#This Row],[Real Disposable Income (RDI)]]="",#N/A,((Tabela1610[[#This Row],[Real Disposable Income (RDI)]]*1)/H337)-1)</f>
        <v>9.5841773944127517E-4</v>
      </c>
      <c r="J338" s="56">
        <f>IF(Tabela1610[[#This Row],[Real Disposable Income (RDI)]]="",#N/A,((Tabela1610[[#This Row],[Real Disposable Income (RDI)]]*1)/H326)-1)</f>
        <v>3.9731203475349197E-2</v>
      </c>
      <c r="K338" s="10">
        <v>391000</v>
      </c>
      <c r="L338" s="11">
        <v>16.5</v>
      </c>
      <c r="M338" s="10">
        <v>332</v>
      </c>
      <c r="N338" s="10">
        <f>IF(Tabela1610[[#This Row],[Payroll]]="",#N/A,AVERAGE(M336:M338))</f>
        <v>263</v>
      </c>
      <c r="O338" s="10"/>
      <c r="P338" s="7"/>
    </row>
    <row r="339" spans="1:16">
      <c r="A339" s="6">
        <v>27760</v>
      </c>
      <c r="B339" s="11">
        <v>7.9</v>
      </c>
      <c r="C339" s="11">
        <f>IF(Tabela1610[[#This Row],[Unemployment Rate]]="",#N/A,AVERAGE(B327:B339))</f>
        <v>8.430769230769231</v>
      </c>
      <c r="D339" s="10">
        <v>7534</v>
      </c>
      <c r="E339" s="11">
        <v>61.3</v>
      </c>
      <c r="F339" s="11"/>
      <c r="G339" s="11"/>
      <c r="H339" s="55">
        <v>4625.1000000000004</v>
      </c>
      <c r="I339" s="56">
        <f>IF(Tabela1610[[#This Row],[Real Disposable Income (RDI)]]="",#N/A,((Tabela1610[[#This Row],[Real Disposable Income (RDI)]]*1)/H338)-1)</f>
        <v>6.4848867320959069E-3</v>
      </c>
      <c r="J339" s="56">
        <f>IF(Tabela1610[[#This Row],[Real Disposable Income (RDI)]]="",#N/A,((Tabela1610[[#This Row],[Real Disposable Income (RDI)]]*1)/H327)-1)</f>
        <v>4.701860823108639E-2</v>
      </c>
      <c r="K339" s="10">
        <v>359000</v>
      </c>
      <c r="L339" s="11">
        <v>16.600000000000001</v>
      </c>
      <c r="M339" s="10">
        <v>486</v>
      </c>
      <c r="N339" s="10">
        <f>IF(Tabela1610[[#This Row],[Payroll]]="",#N/A,AVERAGE(M337:M339))</f>
        <v>321</v>
      </c>
      <c r="O339" s="10"/>
      <c r="P339" s="7"/>
    </row>
    <row r="340" spans="1:16">
      <c r="A340" s="6">
        <v>27791</v>
      </c>
      <c r="B340" s="11">
        <v>7.7</v>
      </c>
      <c r="C340" s="11">
        <f>IF(Tabela1610[[#This Row],[Unemployment Rate]]="",#N/A,AVERAGE(B328:B340))</f>
        <v>8.4000000000000021</v>
      </c>
      <c r="D340" s="10">
        <v>7326</v>
      </c>
      <c r="E340" s="11">
        <v>61.3</v>
      </c>
      <c r="F340" s="11"/>
      <c r="G340" s="11"/>
      <c r="H340" s="55">
        <v>4653.7</v>
      </c>
      <c r="I340" s="56">
        <f>IF(Tabela1610[[#This Row],[Real Disposable Income (RDI)]]="",#N/A,((Tabela1610[[#This Row],[Real Disposable Income (RDI)]]*1)/H339)-1)</f>
        <v>6.1836500832412877E-3</v>
      </c>
      <c r="J340" s="56">
        <f>IF(Tabela1610[[#This Row],[Real Disposable Income (RDI)]]="",#N/A,((Tabela1610[[#This Row],[Real Disposable Income (RDI)]]*1)/H328)-1)</f>
        <v>5.2849483043369894E-2</v>
      </c>
      <c r="K340" s="10">
        <v>349000</v>
      </c>
      <c r="L340" s="11">
        <v>16.3</v>
      </c>
      <c r="M340" s="10">
        <v>313</v>
      </c>
      <c r="N340" s="10">
        <f>IF(Tabela1610[[#This Row],[Payroll]]="",#N/A,AVERAGE(M338:M340))</f>
        <v>377</v>
      </c>
      <c r="O340" s="10"/>
      <c r="P340" s="7"/>
    </row>
    <row r="341" spans="1:16">
      <c r="A341" s="6">
        <v>27820</v>
      </c>
      <c r="B341" s="11">
        <v>7.6</v>
      </c>
      <c r="C341" s="11">
        <f>IF(Tabela1610[[#This Row],[Unemployment Rate]]="",#N/A,AVERAGE(B329:B341))</f>
        <v>8.361538461538462</v>
      </c>
      <c r="D341" s="10">
        <v>7230</v>
      </c>
      <c r="E341" s="11">
        <v>61.3</v>
      </c>
      <c r="F341" s="11"/>
      <c r="G341" s="11"/>
      <c r="H341" s="55">
        <v>4667.6000000000004</v>
      </c>
      <c r="I341" s="56">
        <f>IF(Tabela1610[[#This Row],[Real Disposable Income (RDI)]]="",#N/A,((Tabela1610[[#This Row],[Real Disposable Income (RDI)]]*1)/H340)-1)</f>
        <v>2.986870662053942E-3</v>
      </c>
      <c r="J341" s="56">
        <f>IF(Tabela1610[[#This Row],[Real Disposable Income (RDI)]]="",#N/A,((Tabela1610[[#This Row],[Real Disposable Income (RDI)]]*1)/H329)-1)</f>
        <v>5.5039443050563852E-2</v>
      </c>
      <c r="K341" s="10">
        <v>366000</v>
      </c>
      <c r="L341" s="11">
        <v>16.5</v>
      </c>
      <c r="M341" s="10">
        <v>232</v>
      </c>
      <c r="N341" s="10">
        <f>IF(Tabela1610[[#This Row],[Payroll]]="",#N/A,AVERAGE(M339:M341))</f>
        <v>343.66666666666669</v>
      </c>
      <c r="O341" s="10"/>
      <c r="P341" s="7"/>
    </row>
    <row r="342" spans="1:16">
      <c r="A342" s="6">
        <v>27851</v>
      </c>
      <c r="B342" s="11">
        <v>7.7</v>
      </c>
      <c r="C342" s="11">
        <f>IF(Tabela1610[[#This Row],[Unemployment Rate]]="",#N/A,AVERAGE(B330:B342))</f>
        <v>8.292307692307693</v>
      </c>
      <c r="D342" s="10">
        <v>7330</v>
      </c>
      <c r="E342" s="11">
        <v>61.6</v>
      </c>
      <c r="F342" s="11"/>
      <c r="G342" s="11"/>
      <c r="H342" s="55">
        <v>4673.7</v>
      </c>
      <c r="I342" s="56">
        <f>IF(Tabela1610[[#This Row],[Real Disposable Income (RDI)]]="",#N/A,((Tabela1610[[#This Row],[Real Disposable Income (RDI)]]*1)/H341)-1)</f>
        <v>1.3068814808465667E-3</v>
      </c>
      <c r="J342" s="56">
        <f>IF(Tabela1610[[#This Row],[Real Disposable Income (RDI)]]="",#N/A,((Tabela1610[[#This Row],[Real Disposable Income (RDI)]]*1)/H330)-1)</f>
        <v>3.7424252513817535E-2</v>
      </c>
      <c r="K342" s="10">
        <v>367000</v>
      </c>
      <c r="L342" s="11">
        <v>15.9</v>
      </c>
      <c r="M342" s="10">
        <v>244</v>
      </c>
      <c r="N342" s="10">
        <f>IF(Tabela1610[[#This Row],[Payroll]]="",#N/A,AVERAGE(M340:M342))</f>
        <v>263</v>
      </c>
      <c r="O342" s="10"/>
      <c r="P342" s="7"/>
    </row>
    <row r="343" spans="1:16">
      <c r="A343" s="6">
        <v>27881</v>
      </c>
      <c r="B343" s="11">
        <v>7.4</v>
      </c>
      <c r="C343" s="11">
        <f>IF(Tabela1610[[#This Row],[Unemployment Rate]]="",#N/A,AVERAGE(B331:B343))</f>
        <v>8.1846153846153857</v>
      </c>
      <c r="D343" s="10">
        <v>7053</v>
      </c>
      <c r="E343" s="11">
        <v>61.5</v>
      </c>
      <c r="F343" s="11"/>
      <c r="G343" s="11"/>
      <c r="H343" s="55">
        <v>4673.8</v>
      </c>
      <c r="I343" s="56">
        <f>IF(Tabela1610[[#This Row],[Real Disposable Income (RDI)]]="",#N/A,((Tabela1610[[#This Row],[Real Disposable Income (RDI)]]*1)/H342)-1)</f>
        <v>2.1396324111577769E-5</v>
      </c>
      <c r="J343" s="56">
        <f>IF(Tabela1610[[#This Row],[Real Disposable Income (RDI)]]="",#N/A,((Tabela1610[[#This Row],[Real Disposable Income (RDI)]]*1)/H331)-1)</f>
        <v>-1.9160143543682229E-2</v>
      </c>
      <c r="K343" s="10">
        <v>402000</v>
      </c>
      <c r="L343" s="11">
        <v>15</v>
      </c>
      <c r="M343" s="10">
        <v>20</v>
      </c>
      <c r="N343" s="10">
        <f>IF(Tabela1610[[#This Row],[Payroll]]="",#N/A,AVERAGE(M341:M343))</f>
        <v>165.33333333333334</v>
      </c>
      <c r="O343" s="10"/>
      <c r="P343" s="7"/>
    </row>
    <row r="344" spans="1:16">
      <c r="A344" s="6">
        <v>27912</v>
      </c>
      <c r="B344" s="11">
        <v>7.6</v>
      </c>
      <c r="C344" s="11">
        <f>IF(Tabela1610[[#This Row],[Unemployment Rate]]="",#N/A,AVERAGE(B332:B344))</f>
        <v>8.0769230769230766</v>
      </c>
      <c r="D344" s="10">
        <v>7322</v>
      </c>
      <c r="E344" s="11">
        <v>61.5</v>
      </c>
      <c r="F344" s="11"/>
      <c r="G344" s="11"/>
      <c r="H344" s="55">
        <v>4678.3</v>
      </c>
      <c r="I344" s="56">
        <f>IF(Tabela1610[[#This Row],[Real Disposable Income (RDI)]]="",#N/A,((Tabela1610[[#This Row],[Real Disposable Income (RDI)]]*1)/H343)-1)</f>
        <v>9.6281398433828436E-4</v>
      </c>
      <c r="J344" s="56">
        <f>IF(Tabela1610[[#This Row],[Real Disposable Income (RDI)]]="",#N/A,((Tabela1610[[#This Row],[Real Disposable Income (RDI)]]*1)/H332)-1)</f>
        <v>1.5939542661078443E-2</v>
      </c>
      <c r="K344" s="10">
        <v>387000</v>
      </c>
      <c r="L344" s="11">
        <v>16.899999999999999</v>
      </c>
      <c r="M344" s="10">
        <v>64</v>
      </c>
      <c r="N344" s="10">
        <f>IF(Tabela1610[[#This Row],[Payroll]]="",#N/A,AVERAGE(M342:M344))</f>
        <v>109.33333333333333</v>
      </c>
      <c r="O344" s="10"/>
      <c r="P344" s="7"/>
    </row>
    <row r="345" spans="1:16">
      <c r="A345" s="6">
        <v>27942</v>
      </c>
      <c r="B345" s="11">
        <v>7.8</v>
      </c>
      <c r="C345" s="11">
        <f>IF(Tabela1610[[#This Row],[Unemployment Rate]]="",#N/A,AVERAGE(B333:B345))</f>
        <v>7.9999999999999991</v>
      </c>
      <c r="D345" s="10">
        <v>7490</v>
      </c>
      <c r="E345" s="11">
        <v>61.8</v>
      </c>
      <c r="F345" s="11"/>
      <c r="G345" s="11"/>
      <c r="H345" s="55">
        <v>4705.1000000000004</v>
      </c>
      <c r="I345" s="56">
        <f>IF(Tabela1610[[#This Row],[Real Disposable Income (RDI)]]="",#N/A,((Tabela1610[[#This Row],[Real Disposable Income (RDI)]]*1)/H344)-1)</f>
        <v>5.7285766197123777E-3</v>
      </c>
      <c r="J345" s="56">
        <f>IF(Tabela1610[[#This Row],[Real Disposable Income (RDI)]]="",#N/A,((Tabela1610[[#This Row],[Real Disposable Income (RDI)]]*1)/H333)-1)</f>
        <v>3.7759985884117553E-2</v>
      </c>
      <c r="K345" s="10">
        <v>388000</v>
      </c>
      <c r="L345" s="11">
        <v>15.7</v>
      </c>
      <c r="M345" s="10">
        <v>171</v>
      </c>
      <c r="N345" s="10">
        <f>IF(Tabela1610[[#This Row],[Payroll]]="",#N/A,AVERAGE(M343:M345))</f>
        <v>85</v>
      </c>
      <c r="O345" s="10"/>
      <c r="P345" s="7"/>
    </row>
    <row r="346" spans="1:16">
      <c r="A346" s="6">
        <v>27973</v>
      </c>
      <c r="B346" s="11">
        <v>7.8</v>
      </c>
      <c r="C346" s="11">
        <f>IF(Tabela1610[[#This Row],[Unemployment Rate]]="",#N/A,AVERAGE(B334:B346))</f>
        <v>7.9384615384615387</v>
      </c>
      <c r="D346" s="10">
        <v>7518</v>
      </c>
      <c r="E346" s="11">
        <v>61.8</v>
      </c>
      <c r="F346" s="11"/>
      <c r="G346" s="11"/>
      <c r="H346" s="55">
        <v>4714.6000000000004</v>
      </c>
      <c r="I346" s="56">
        <f>IF(Tabela1610[[#This Row],[Real Disposable Income (RDI)]]="",#N/A,((Tabela1610[[#This Row],[Real Disposable Income (RDI)]]*1)/H345)-1)</f>
        <v>2.0190856729931372E-3</v>
      </c>
      <c r="J346" s="56">
        <f>IF(Tabela1610[[#This Row],[Real Disposable Income (RDI)]]="",#N/A,((Tabela1610[[#This Row],[Real Disposable Income (RDI)]]*1)/H334)-1)</f>
        <v>3.2974737626257022E-2</v>
      </c>
      <c r="K346" s="10">
        <v>394000</v>
      </c>
      <c r="L346" s="11">
        <v>15.6</v>
      </c>
      <c r="M346" s="10">
        <v>157</v>
      </c>
      <c r="N346" s="10">
        <f>IF(Tabela1610[[#This Row],[Payroll]]="",#N/A,AVERAGE(M344:M346))</f>
        <v>130.66666666666666</v>
      </c>
      <c r="O346" s="10"/>
      <c r="P346" s="7"/>
    </row>
    <row r="347" spans="1:16">
      <c r="A347" s="6">
        <v>28004</v>
      </c>
      <c r="B347" s="11">
        <v>7.6</v>
      </c>
      <c r="C347" s="11">
        <f>IF(Tabela1610[[#This Row],[Unemployment Rate]]="",#N/A,AVERAGE(B335:B347))</f>
        <v>7.8769230769230765</v>
      </c>
      <c r="D347" s="10">
        <v>7380</v>
      </c>
      <c r="E347" s="11">
        <v>61.6</v>
      </c>
      <c r="F347" s="11"/>
      <c r="G347" s="11"/>
      <c r="H347" s="55">
        <v>4715.6000000000004</v>
      </c>
      <c r="I347" s="56">
        <f>IF(Tabela1610[[#This Row],[Real Disposable Income (RDI)]]="",#N/A,((Tabela1610[[#This Row],[Real Disposable Income (RDI)]]*1)/H346)-1)</f>
        <v>2.1210707164986964E-4</v>
      </c>
      <c r="J347" s="56">
        <f>IF(Tabela1610[[#This Row],[Real Disposable Income (RDI)]]="",#N/A,((Tabela1610[[#This Row],[Real Disposable Income (RDI)]]*1)/H335)-1)</f>
        <v>3.0687183073964119E-2</v>
      </c>
      <c r="K347" s="10">
        <v>423000</v>
      </c>
      <c r="L347" s="11">
        <v>15.2</v>
      </c>
      <c r="M347" s="10">
        <v>188</v>
      </c>
      <c r="N347" s="10">
        <f>IF(Tabela1610[[#This Row],[Payroll]]="",#N/A,AVERAGE(M345:M347))</f>
        <v>172</v>
      </c>
      <c r="O347" s="10"/>
      <c r="P347" s="7"/>
    </row>
    <row r="348" spans="1:16">
      <c r="A348" s="6">
        <v>28034</v>
      </c>
      <c r="B348" s="11">
        <v>7.7</v>
      </c>
      <c r="C348" s="11">
        <f>IF(Tabela1610[[#This Row],[Unemployment Rate]]="",#N/A,AVERAGE(B336:B348))</f>
        <v>7.8230769230769237</v>
      </c>
      <c r="D348" s="10">
        <v>7430</v>
      </c>
      <c r="E348" s="11">
        <v>61.6</v>
      </c>
      <c r="F348" s="11"/>
      <c r="G348" s="11"/>
      <c r="H348" s="55">
        <v>4707.3999999999996</v>
      </c>
      <c r="I348" s="56">
        <f>IF(Tabela1610[[#This Row],[Real Disposable Income (RDI)]]="",#N/A,((Tabela1610[[#This Row],[Real Disposable Income (RDI)]]*1)/H347)-1)</f>
        <v>-1.7389091525999989E-3</v>
      </c>
      <c r="J348" s="56">
        <f>IF(Tabela1610[[#This Row],[Real Disposable Income (RDI)]]="",#N/A,((Tabela1610[[#This Row],[Real Disposable Income (RDI)]]*1)/H336)-1)</f>
        <v>2.4617460766601873E-2</v>
      </c>
      <c r="K348" s="10">
        <v>414000</v>
      </c>
      <c r="L348" s="11">
        <v>15.2</v>
      </c>
      <c r="M348" s="10">
        <v>19</v>
      </c>
      <c r="N348" s="10">
        <f>IF(Tabela1610[[#This Row],[Payroll]]="",#N/A,AVERAGE(M346:M348))</f>
        <v>121.33333333333333</v>
      </c>
      <c r="O348" s="10"/>
      <c r="P348" s="7"/>
    </row>
    <row r="349" spans="1:16">
      <c r="A349" s="6">
        <v>28065</v>
      </c>
      <c r="B349" s="11">
        <v>7.8</v>
      </c>
      <c r="C349" s="11">
        <f>IF(Tabela1610[[#This Row],[Unemployment Rate]]="",#N/A,AVERAGE(B337:B349))</f>
        <v>7.7769230769230768</v>
      </c>
      <c r="D349" s="10">
        <v>7620</v>
      </c>
      <c r="E349" s="11">
        <v>61.9</v>
      </c>
      <c r="F349" s="11"/>
      <c r="G349" s="11"/>
      <c r="H349" s="55">
        <v>4749.8</v>
      </c>
      <c r="I349" s="56">
        <f>IF(Tabela1610[[#This Row],[Real Disposable Income (RDI)]]="",#N/A,((Tabela1610[[#This Row],[Real Disposable Income (RDI)]]*1)/H348)-1)</f>
        <v>9.0070952117942138E-3</v>
      </c>
      <c r="J349" s="56">
        <f>IF(Tabela1610[[#This Row],[Real Disposable Income (RDI)]]="",#N/A,((Tabela1610[[#This Row],[Real Disposable Income (RDI)]]*1)/H337)-1)</f>
        <v>3.4611949726633284E-2</v>
      </c>
      <c r="K349" s="10">
        <v>377000</v>
      </c>
      <c r="L349" s="11">
        <v>15.3</v>
      </c>
      <c r="M349" s="10">
        <v>329</v>
      </c>
      <c r="N349" s="10">
        <f>IF(Tabela1610[[#This Row],[Payroll]]="",#N/A,AVERAGE(M347:M349))</f>
        <v>178.66666666666666</v>
      </c>
      <c r="O349" s="10"/>
      <c r="P349" s="7"/>
    </row>
    <row r="350" spans="1:16">
      <c r="A350" s="6">
        <v>28095</v>
      </c>
      <c r="B350" s="11">
        <v>7.8</v>
      </c>
      <c r="C350" s="11">
        <f>IF(Tabela1610[[#This Row],[Unemployment Rate]]="",#N/A,AVERAGE(B338:B350))</f>
        <v>7.7384615384615376</v>
      </c>
      <c r="D350" s="10">
        <v>7545</v>
      </c>
      <c r="E350" s="11">
        <v>61.8</v>
      </c>
      <c r="F350" s="11"/>
      <c r="G350" s="11"/>
      <c r="H350" s="55">
        <v>4767.8999999999996</v>
      </c>
      <c r="I350" s="56">
        <f>IF(Tabela1610[[#This Row],[Real Disposable Income (RDI)]]="",#N/A,((Tabela1610[[#This Row],[Real Disposable Income (RDI)]]*1)/H349)-1)</f>
        <v>3.8106867657583532E-3</v>
      </c>
      <c r="J350" s="56">
        <f>IF(Tabela1610[[#This Row],[Real Disposable Income (RDI)]]="",#N/A,((Tabela1610[[#This Row],[Real Disposable Income (RDI)]]*1)/H338)-1)</f>
        <v>3.7560115770461033E-2</v>
      </c>
      <c r="K350" s="10">
        <v>333000</v>
      </c>
      <c r="L350" s="11">
        <v>15.1</v>
      </c>
      <c r="M350" s="10">
        <v>208</v>
      </c>
      <c r="N350" s="10">
        <f>IF(Tabela1610[[#This Row],[Payroll]]="",#N/A,AVERAGE(M348:M350))</f>
        <v>185.33333333333334</v>
      </c>
      <c r="O350" s="10"/>
      <c r="P350" s="7"/>
    </row>
    <row r="351" spans="1:16">
      <c r="A351" s="6">
        <v>28126</v>
      </c>
      <c r="B351" s="11">
        <v>7.5</v>
      </c>
      <c r="C351" s="11">
        <f>IF(Tabela1610[[#This Row],[Unemployment Rate]]="",#N/A,AVERAGE(B339:B351))</f>
        <v>7.684615384615384</v>
      </c>
      <c r="D351" s="10">
        <v>7280</v>
      </c>
      <c r="E351" s="11">
        <v>61.6</v>
      </c>
      <c r="F351" s="11"/>
      <c r="G351" s="11"/>
      <c r="H351" s="55">
        <v>4758.3</v>
      </c>
      <c r="I351" s="56">
        <f>IF(Tabela1610[[#This Row],[Real Disposable Income (RDI)]]="",#N/A,((Tabela1610[[#This Row],[Real Disposable Income (RDI)]]*1)/H350)-1)</f>
        <v>-2.013465047505103E-3</v>
      </c>
      <c r="J351" s="56">
        <f>IF(Tabela1610[[#This Row],[Real Disposable Income (RDI)]]="",#N/A,((Tabela1610[[#This Row],[Real Disposable Income (RDI)]]*1)/H339)-1)</f>
        <v>2.8799377310760876E-2</v>
      </c>
      <c r="K351" s="10">
        <v>422000</v>
      </c>
      <c r="L351" s="11">
        <v>15.2</v>
      </c>
      <c r="M351" s="10">
        <v>242</v>
      </c>
      <c r="N351" s="10">
        <f>IF(Tabela1610[[#This Row],[Payroll]]="",#N/A,AVERAGE(M349:M351))</f>
        <v>259.66666666666669</v>
      </c>
      <c r="O351" s="10"/>
      <c r="P351" s="7"/>
    </row>
    <row r="352" spans="1:16">
      <c r="A352" s="6">
        <v>28157</v>
      </c>
      <c r="B352" s="11">
        <v>7.6</v>
      </c>
      <c r="C352" s="11">
        <f>IF(Tabela1610[[#This Row],[Unemployment Rate]]="",#N/A,AVERAGE(B340:B352))</f>
        <v>7.6615384615384601</v>
      </c>
      <c r="D352" s="10">
        <v>7443</v>
      </c>
      <c r="E352" s="11">
        <v>61.9</v>
      </c>
      <c r="F352" s="11"/>
      <c r="G352" s="11"/>
      <c r="H352" s="55">
        <v>4716.2</v>
      </c>
      <c r="I352" s="56">
        <f>IF(Tabela1610[[#This Row],[Real Disposable Income (RDI)]]="",#N/A,((Tabela1610[[#This Row],[Real Disposable Income (RDI)]]*1)/H351)-1)</f>
        <v>-8.8476977071644258E-3</v>
      </c>
      <c r="J352" s="56">
        <f>IF(Tabela1610[[#This Row],[Real Disposable Income (RDI)]]="",#N/A,((Tabela1610[[#This Row],[Real Disposable Income (RDI)]]*1)/H340)-1)</f>
        <v>1.343017384017009E-2</v>
      </c>
      <c r="K352" s="10">
        <v>362000</v>
      </c>
      <c r="L352" s="11">
        <v>14.7</v>
      </c>
      <c r="M352" s="10">
        <v>298</v>
      </c>
      <c r="N352" s="10">
        <f>IF(Tabela1610[[#This Row],[Payroll]]="",#N/A,AVERAGE(M350:M352))</f>
        <v>249.33333333333334</v>
      </c>
      <c r="O352" s="10"/>
      <c r="P352" s="7"/>
    </row>
    <row r="353" spans="1:16">
      <c r="A353" s="6">
        <v>28185</v>
      </c>
      <c r="B353" s="11">
        <v>7.4</v>
      </c>
      <c r="C353" s="11">
        <f>IF(Tabela1610[[#This Row],[Unemployment Rate]]="",#N/A,AVERAGE(B341:B353))</f>
        <v>7.638461538461538</v>
      </c>
      <c r="D353" s="10">
        <v>7307</v>
      </c>
      <c r="E353" s="11">
        <v>62</v>
      </c>
      <c r="F353" s="11"/>
      <c r="G353" s="11"/>
      <c r="H353" s="55">
        <v>4782.3999999999996</v>
      </c>
      <c r="I353" s="56">
        <f>IF(Tabela1610[[#This Row],[Real Disposable Income (RDI)]]="",#N/A,((Tabela1610[[#This Row],[Real Disposable Income (RDI)]]*1)/H352)-1)</f>
        <v>1.4036724481574003E-2</v>
      </c>
      <c r="J353" s="56">
        <f>IF(Tabela1610[[#This Row],[Real Disposable Income (RDI)]]="",#N/A,((Tabela1610[[#This Row],[Real Disposable Income (RDI)]]*1)/H341)-1)</f>
        <v>2.4595080983803141E-2</v>
      </c>
      <c r="K353" s="10">
        <v>356000</v>
      </c>
      <c r="L353" s="11">
        <v>14.5</v>
      </c>
      <c r="M353" s="10">
        <v>403</v>
      </c>
      <c r="N353" s="10">
        <f>IF(Tabela1610[[#This Row],[Payroll]]="",#N/A,AVERAGE(M351:M353))</f>
        <v>314.33333333333331</v>
      </c>
      <c r="O353" s="10"/>
      <c r="P353" s="7"/>
    </row>
    <row r="354" spans="1:16">
      <c r="A354" s="6">
        <v>28216</v>
      </c>
      <c r="B354" s="11">
        <v>7.2</v>
      </c>
      <c r="C354" s="11">
        <f>IF(Tabela1610[[#This Row],[Unemployment Rate]]="",#N/A,AVERAGE(B342:B354))</f>
        <v>7.6076923076923082</v>
      </c>
      <c r="D354" s="10">
        <v>7059</v>
      </c>
      <c r="E354" s="11">
        <v>62.1</v>
      </c>
      <c r="F354" s="11"/>
      <c r="G354" s="11"/>
      <c r="H354" s="55">
        <v>4789.7</v>
      </c>
      <c r="I354" s="56">
        <f>IF(Tabela1610[[#This Row],[Real Disposable Income (RDI)]]="",#N/A,((Tabela1610[[#This Row],[Real Disposable Income (RDI)]]*1)/H353)-1)</f>
        <v>1.5264302442288269E-3</v>
      </c>
      <c r="J354" s="56">
        <f>IF(Tabela1610[[#This Row],[Real Disposable Income (RDI)]]="",#N/A,((Tabela1610[[#This Row],[Real Disposable Income (RDI)]]*1)/H342)-1)</f>
        <v>2.481973596936049E-2</v>
      </c>
      <c r="K354" s="10">
        <v>375000</v>
      </c>
      <c r="L354" s="11">
        <v>14.4</v>
      </c>
      <c r="M354" s="10">
        <v>337</v>
      </c>
      <c r="N354" s="10">
        <f>IF(Tabela1610[[#This Row],[Payroll]]="",#N/A,AVERAGE(M352:M354))</f>
        <v>346</v>
      </c>
      <c r="O354" s="10"/>
      <c r="P354" s="7"/>
    </row>
    <row r="355" spans="1:16">
      <c r="A355" s="6">
        <v>28246</v>
      </c>
      <c r="B355" s="11">
        <v>7</v>
      </c>
      <c r="C355" s="11">
        <f>IF(Tabela1610[[#This Row],[Unemployment Rate]]="",#N/A,AVERAGE(B343:B355))</f>
        <v>7.5538461538461537</v>
      </c>
      <c r="D355" s="10">
        <v>6911</v>
      </c>
      <c r="E355" s="11">
        <v>62.2</v>
      </c>
      <c r="F355" s="11"/>
      <c r="G355" s="11"/>
      <c r="H355" s="55">
        <v>4790.6000000000004</v>
      </c>
      <c r="I355" s="56">
        <f>IF(Tabela1610[[#This Row],[Real Disposable Income (RDI)]]="",#N/A,((Tabela1610[[#This Row],[Real Disposable Income (RDI)]]*1)/H354)-1)</f>
        <v>1.879032089693311E-4</v>
      </c>
      <c r="J355" s="56">
        <f>IF(Tabela1610[[#This Row],[Real Disposable Income (RDI)]]="",#N/A,((Tabela1610[[#This Row],[Real Disposable Income (RDI)]]*1)/H343)-1)</f>
        <v>2.4990371860156735E-2</v>
      </c>
      <c r="K355" s="10">
        <v>381000</v>
      </c>
      <c r="L355" s="11">
        <v>14.9</v>
      </c>
      <c r="M355" s="10">
        <v>360</v>
      </c>
      <c r="N355" s="10">
        <f>IF(Tabela1610[[#This Row],[Payroll]]="",#N/A,AVERAGE(M353:M355))</f>
        <v>366.66666666666669</v>
      </c>
      <c r="O355" s="10"/>
      <c r="P355" s="7"/>
    </row>
    <row r="356" spans="1:16">
      <c r="A356" s="6">
        <v>28277</v>
      </c>
      <c r="B356" s="11">
        <v>7.2</v>
      </c>
      <c r="C356" s="11">
        <f>IF(Tabela1610[[#This Row],[Unemployment Rate]]="",#N/A,AVERAGE(B344:B356))</f>
        <v>7.5384615384615383</v>
      </c>
      <c r="D356" s="10">
        <v>7134</v>
      </c>
      <c r="E356" s="11">
        <v>62.4</v>
      </c>
      <c r="F356" s="11"/>
      <c r="G356" s="11"/>
      <c r="H356" s="55">
        <v>4810.5</v>
      </c>
      <c r="I356" s="56">
        <f>IF(Tabela1610[[#This Row],[Real Disposable Income (RDI)]]="",#N/A,((Tabela1610[[#This Row],[Real Disposable Income (RDI)]]*1)/H355)-1)</f>
        <v>4.1539681877007517E-3</v>
      </c>
      <c r="J356" s="56">
        <f>IF(Tabela1610[[#This Row],[Real Disposable Income (RDI)]]="",#N/A,((Tabela1610[[#This Row],[Real Disposable Income (RDI)]]*1)/H344)-1)</f>
        <v>2.8258127952461409E-2</v>
      </c>
      <c r="K356" s="10">
        <v>365000</v>
      </c>
      <c r="L356" s="11">
        <v>14.4</v>
      </c>
      <c r="M356" s="10">
        <v>400</v>
      </c>
      <c r="N356" s="10">
        <f>IF(Tabela1610[[#This Row],[Payroll]]="",#N/A,AVERAGE(M354:M356))</f>
        <v>365.66666666666669</v>
      </c>
      <c r="O356" s="10"/>
      <c r="P356" s="7"/>
    </row>
    <row r="357" spans="1:16">
      <c r="A357" s="6">
        <v>28307</v>
      </c>
      <c r="B357" s="11">
        <v>6.9</v>
      </c>
      <c r="C357" s="11">
        <f>IF(Tabela1610[[#This Row],[Unemployment Rate]]="",#N/A,AVERAGE(B345:B357))</f>
        <v>7.4846153846153856</v>
      </c>
      <c r="D357" s="10">
        <v>6829</v>
      </c>
      <c r="E357" s="11">
        <v>62.1</v>
      </c>
      <c r="F357" s="11"/>
      <c r="G357" s="11"/>
      <c r="H357" s="55">
        <v>4841.6000000000004</v>
      </c>
      <c r="I357" s="56">
        <f>IF(Tabela1610[[#This Row],[Real Disposable Income (RDI)]]="",#N/A,((Tabela1610[[#This Row],[Real Disposable Income (RDI)]]*1)/H356)-1)</f>
        <v>6.4650244257353773E-3</v>
      </c>
      <c r="J357" s="56">
        <f>IF(Tabela1610[[#This Row],[Real Disposable Income (RDI)]]="",#N/A,((Tabela1610[[#This Row],[Real Disposable Income (RDI)]]*1)/H345)-1)</f>
        <v>2.9011073090901451E-2</v>
      </c>
      <c r="K357" s="10">
        <v>365000</v>
      </c>
      <c r="L357" s="11">
        <v>14.3</v>
      </c>
      <c r="M357" s="10">
        <v>346</v>
      </c>
      <c r="N357" s="10">
        <f>IF(Tabela1610[[#This Row],[Payroll]]="",#N/A,AVERAGE(M355:M357))</f>
        <v>368.66666666666669</v>
      </c>
      <c r="O357" s="10"/>
      <c r="P357" s="7"/>
    </row>
    <row r="358" spans="1:16">
      <c r="A358" s="6">
        <v>28338</v>
      </c>
      <c r="B358" s="11">
        <v>7</v>
      </c>
      <c r="C358" s="11">
        <f>IF(Tabela1610[[#This Row],[Unemployment Rate]]="",#N/A,AVERAGE(B346:B358))</f>
        <v>7.4230769230769234</v>
      </c>
      <c r="D358" s="10">
        <v>6925</v>
      </c>
      <c r="E358" s="11">
        <v>62.3</v>
      </c>
      <c r="F358" s="11"/>
      <c r="G358" s="11"/>
      <c r="H358" s="55">
        <v>4861.2</v>
      </c>
      <c r="I358" s="56">
        <f>IF(Tabela1610[[#This Row],[Real Disposable Income (RDI)]]="",#N/A,((Tabela1610[[#This Row],[Real Disposable Income (RDI)]]*1)/H357)-1)</f>
        <v>4.0482485128880974E-3</v>
      </c>
      <c r="J358" s="56">
        <f>IF(Tabela1610[[#This Row],[Real Disposable Income (RDI)]]="",#N/A,((Tabela1610[[#This Row],[Real Disposable Income (RDI)]]*1)/H346)-1)</f>
        <v>3.1094896703856012E-2</v>
      </c>
      <c r="K358" s="10">
        <v>365000</v>
      </c>
      <c r="L358" s="11">
        <v>13.9</v>
      </c>
      <c r="M358" s="10">
        <v>241</v>
      </c>
      <c r="N358" s="10">
        <f>IF(Tabela1610[[#This Row],[Payroll]]="",#N/A,AVERAGE(M356:M358))</f>
        <v>329</v>
      </c>
      <c r="O358" s="10"/>
      <c r="P358" s="7"/>
    </row>
    <row r="359" spans="1:16">
      <c r="A359" s="6">
        <v>28369</v>
      </c>
      <c r="B359" s="11">
        <v>6.8</v>
      </c>
      <c r="C359" s="11">
        <f>IF(Tabela1610[[#This Row],[Unemployment Rate]]="",#N/A,AVERAGE(B347:B359))</f>
        <v>7.3461538461538476</v>
      </c>
      <c r="D359" s="10">
        <v>6751</v>
      </c>
      <c r="E359" s="11">
        <v>62.3</v>
      </c>
      <c r="F359" s="11"/>
      <c r="G359" s="11"/>
      <c r="H359" s="55">
        <v>4887.8</v>
      </c>
      <c r="I359" s="56">
        <f>IF(Tabela1610[[#This Row],[Real Disposable Income (RDI)]]="",#N/A,((Tabela1610[[#This Row],[Real Disposable Income (RDI)]]*1)/H358)-1)</f>
        <v>5.4718999424010484E-3</v>
      </c>
      <c r="J359" s="56">
        <f>IF(Tabela1610[[#This Row],[Real Disposable Income (RDI)]]="",#N/A,((Tabela1610[[#This Row],[Real Disposable Income (RDI)]]*1)/H347)-1)</f>
        <v>3.6517092204597423E-2</v>
      </c>
      <c r="K359" s="10">
        <v>380000</v>
      </c>
      <c r="L359" s="11">
        <v>14</v>
      </c>
      <c r="M359" s="10">
        <v>457</v>
      </c>
      <c r="N359" s="10">
        <f>IF(Tabela1610[[#This Row],[Payroll]]="",#N/A,AVERAGE(M357:M359))</f>
        <v>348</v>
      </c>
      <c r="O359" s="10"/>
      <c r="P359" s="7"/>
    </row>
    <row r="360" spans="1:16">
      <c r="A360" s="6">
        <v>28399</v>
      </c>
      <c r="B360" s="11">
        <v>6.8</v>
      </c>
      <c r="C360" s="11">
        <f>IF(Tabela1610[[#This Row],[Unemployment Rate]]="",#N/A,AVERAGE(B348:B360))</f>
        <v>7.2846153846153845</v>
      </c>
      <c r="D360" s="10">
        <v>6763</v>
      </c>
      <c r="E360" s="11">
        <v>62.4</v>
      </c>
      <c r="F360" s="11"/>
      <c r="G360" s="11"/>
      <c r="H360" s="55">
        <v>4923.3999999999996</v>
      </c>
      <c r="I360" s="56">
        <f>IF(Tabela1610[[#This Row],[Real Disposable Income (RDI)]]="",#N/A,((Tabela1610[[#This Row],[Real Disposable Income (RDI)]]*1)/H359)-1)</f>
        <v>7.2834404026349553E-3</v>
      </c>
      <c r="J360" s="56">
        <f>IF(Tabela1610[[#This Row],[Real Disposable Income (RDI)]]="",#N/A,((Tabela1610[[#This Row],[Real Disposable Income (RDI)]]*1)/H348)-1)</f>
        <v>4.5885202022347693E-2</v>
      </c>
      <c r="K360" s="10">
        <v>349000</v>
      </c>
      <c r="L360" s="11">
        <v>13.7</v>
      </c>
      <c r="M360" s="10">
        <v>268</v>
      </c>
      <c r="N360" s="10">
        <f>IF(Tabela1610[[#This Row],[Payroll]]="",#N/A,AVERAGE(M358:M360))</f>
        <v>322</v>
      </c>
      <c r="O360" s="10"/>
      <c r="P360" s="7"/>
    </row>
    <row r="361" spans="1:16">
      <c r="A361" s="6">
        <v>28430</v>
      </c>
      <c r="B361" s="11">
        <v>6.8</v>
      </c>
      <c r="C361" s="11">
        <f>IF(Tabela1610[[#This Row],[Unemployment Rate]]="",#N/A,AVERAGE(B349:B361))</f>
        <v>7.2153846153846155</v>
      </c>
      <c r="D361" s="10">
        <v>6815</v>
      </c>
      <c r="E361" s="11">
        <v>62.8</v>
      </c>
      <c r="F361" s="11"/>
      <c r="G361" s="11"/>
      <c r="H361" s="55">
        <v>4962.7</v>
      </c>
      <c r="I361" s="56">
        <f>IF(Tabela1610[[#This Row],[Real Disposable Income (RDI)]]="",#N/A,((Tabela1610[[#This Row],[Real Disposable Income (RDI)]]*1)/H360)-1)</f>
        <v>7.982288662306658E-3</v>
      </c>
      <c r="J361" s="56">
        <f>IF(Tabela1610[[#This Row],[Real Disposable Income (RDI)]]="",#N/A,((Tabela1610[[#This Row],[Real Disposable Income (RDI)]]*1)/H349)-1)</f>
        <v>4.4822939913259363E-2</v>
      </c>
      <c r="K361" s="10">
        <v>354000</v>
      </c>
      <c r="L361" s="11">
        <v>13.6</v>
      </c>
      <c r="M361" s="10">
        <v>373</v>
      </c>
      <c r="N361" s="10">
        <f>IF(Tabela1610[[#This Row],[Payroll]]="",#N/A,AVERAGE(M359:M361))</f>
        <v>366</v>
      </c>
      <c r="O361" s="10"/>
      <c r="P361" s="7"/>
    </row>
    <row r="362" spans="1:16">
      <c r="A362" s="6">
        <v>28460</v>
      </c>
      <c r="B362" s="11">
        <v>6.4</v>
      </c>
      <c r="C362" s="11">
        <f>IF(Tabela1610[[#This Row],[Unemployment Rate]]="",#N/A,AVERAGE(B350:B362))</f>
        <v>7.1076923076923073</v>
      </c>
      <c r="D362" s="10">
        <v>6386</v>
      </c>
      <c r="E362" s="11">
        <v>62.7</v>
      </c>
      <c r="F362" s="11"/>
      <c r="G362" s="11"/>
      <c r="H362" s="55">
        <v>4983.5</v>
      </c>
      <c r="I362" s="56">
        <f>IF(Tabela1610[[#This Row],[Real Disposable Income (RDI)]]="",#N/A,((Tabela1610[[#This Row],[Real Disposable Income (RDI)]]*1)/H361)-1)</f>
        <v>4.1912668507062545E-3</v>
      </c>
      <c r="J362" s="56">
        <f>IF(Tabela1610[[#This Row],[Real Disposable Income (RDI)]]="",#N/A,((Tabela1610[[#This Row],[Real Disposable Income (RDI)]]*1)/H350)-1)</f>
        <v>4.5219069191887451E-2</v>
      </c>
      <c r="K362" s="10">
        <v>364000</v>
      </c>
      <c r="L362" s="11">
        <v>13.6</v>
      </c>
      <c r="M362" s="10">
        <v>237</v>
      </c>
      <c r="N362" s="10">
        <f>IF(Tabela1610[[#This Row],[Payroll]]="",#N/A,AVERAGE(M360:M362))</f>
        <v>292.66666666666669</v>
      </c>
      <c r="O362" s="10"/>
      <c r="P362" s="7"/>
    </row>
    <row r="363" spans="1:16">
      <c r="A363" s="6">
        <v>28491</v>
      </c>
      <c r="B363" s="11">
        <v>6.4</v>
      </c>
      <c r="C363" s="11">
        <f>IF(Tabela1610[[#This Row],[Unemployment Rate]]="",#N/A,AVERAGE(B351:B363))</f>
        <v>7.0000000000000009</v>
      </c>
      <c r="D363" s="10">
        <v>6489</v>
      </c>
      <c r="E363" s="11">
        <v>62.8</v>
      </c>
      <c r="F363" s="11"/>
      <c r="G363" s="11"/>
      <c r="H363" s="55">
        <v>4962</v>
      </c>
      <c r="I363" s="56">
        <f>IF(Tabela1610[[#This Row],[Real Disposable Income (RDI)]]="",#N/A,((Tabela1610[[#This Row],[Real Disposable Income (RDI)]]*1)/H362)-1)</f>
        <v>-4.3142369820406978E-3</v>
      </c>
      <c r="J363" s="56">
        <f>IF(Tabela1610[[#This Row],[Real Disposable Income (RDI)]]="",#N/A,((Tabela1610[[#This Row],[Real Disposable Income (RDI)]]*1)/H351)-1)</f>
        <v>4.2809406720887733E-2</v>
      </c>
      <c r="K363" s="10">
        <v>363000</v>
      </c>
      <c r="L363" s="11">
        <v>12.9</v>
      </c>
      <c r="M363" s="10">
        <v>184</v>
      </c>
      <c r="N363" s="10">
        <f>IF(Tabela1610[[#This Row],[Payroll]]="",#N/A,AVERAGE(M361:M363))</f>
        <v>264.66666666666669</v>
      </c>
      <c r="O363" s="10"/>
      <c r="P363" s="7"/>
    </row>
    <row r="364" spans="1:16">
      <c r="A364" s="6">
        <v>28522</v>
      </c>
      <c r="B364" s="11">
        <v>6.3</v>
      </c>
      <c r="C364" s="11">
        <f>IF(Tabela1610[[#This Row],[Unemployment Rate]]="",#N/A,AVERAGE(B352:B364))</f>
        <v>6.9076923076923071</v>
      </c>
      <c r="D364" s="10">
        <v>6318</v>
      </c>
      <c r="E364" s="11">
        <v>62.7</v>
      </c>
      <c r="F364" s="11"/>
      <c r="G364" s="11"/>
      <c r="H364" s="55">
        <v>4991.5</v>
      </c>
      <c r="I364" s="56">
        <f>IF(Tabela1610[[#This Row],[Real Disposable Income (RDI)]]="",#N/A,((Tabela1610[[#This Row],[Real Disposable Income (RDI)]]*1)/H363)-1)</f>
        <v>5.9451833937929077E-3</v>
      </c>
      <c r="J364" s="56">
        <f>IF(Tabela1610[[#This Row],[Real Disposable Income (RDI)]]="",#N/A,((Tabela1610[[#This Row],[Real Disposable Income (RDI)]]*1)/H352)-1)</f>
        <v>5.8373266612951058E-2</v>
      </c>
      <c r="K364" s="10">
        <v>371000</v>
      </c>
      <c r="L364" s="11">
        <v>12.5</v>
      </c>
      <c r="M364" s="10">
        <v>354</v>
      </c>
      <c r="N364" s="10">
        <f>IF(Tabela1610[[#This Row],[Payroll]]="",#N/A,AVERAGE(M362:M364))</f>
        <v>258.33333333333331</v>
      </c>
      <c r="O364" s="10"/>
      <c r="P364" s="7"/>
    </row>
    <row r="365" spans="1:16">
      <c r="A365" s="6">
        <v>28550</v>
      </c>
      <c r="B365" s="11">
        <v>6.3</v>
      </c>
      <c r="C365" s="11">
        <f>IF(Tabela1610[[#This Row],[Unemployment Rate]]="",#N/A,AVERAGE(B353:B365))</f>
        <v>6.8076923076923075</v>
      </c>
      <c r="D365" s="10">
        <v>6337</v>
      </c>
      <c r="E365" s="11">
        <v>62.8</v>
      </c>
      <c r="F365" s="11"/>
      <c r="G365" s="11"/>
      <c r="H365" s="55">
        <v>5033</v>
      </c>
      <c r="I365" s="56">
        <f>IF(Tabela1610[[#This Row],[Real Disposable Income (RDI)]]="",#N/A,((Tabela1610[[#This Row],[Real Disposable Income (RDI)]]*1)/H364)-1)</f>
        <v>8.3141340278474196E-3</v>
      </c>
      <c r="J365" s="56">
        <f>IF(Tabela1610[[#This Row],[Real Disposable Income (RDI)]]="",#N/A,((Tabela1610[[#This Row],[Real Disposable Income (RDI)]]*1)/H353)-1)</f>
        <v>5.2400468384075083E-2</v>
      </c>
      <c r="K365" s="10">
        <v>335000</v>
      </c>
      <c r="L365" s="11">
        <v>12.4</v>
      </c>
      <c r="M365" s="10">
        <v>512</v>
      </c>
      <c r="N365" s="10">
        <f>IF(Tabela1610[[#This Row],[Payroll]]="",#N/A,AVERAGE(M363:M365))</f>
        <v>350</v>
      </c>
      <c r="O365" s="10"/>
      <c r="P365" s="7"/>
    </row>
    <row r="366" spans="1:16">
      <c r="A366" s="6">
        <v>28581</v>
      </c>
      <c r="B366" s="11">
        <v>6.1</v>
      </c>
      <c r="C366" s="11">
        <f>IF(Tabela1610[[#This Row],[Unemployment Rate]]="",#N/A,AVERAGE(B354:B366))</f>
        <v>6.7076923076923061</v>
      </c>
      <c r="D366" s="10">
        <v>6180</v>
      </c>
      <c r="E366" s="11">
        <v>63</v>
      </c>
      <c r="F366" s="11"/>
      <c r="G366" s="11"/>
      <c r="H366" s="55">
        <v>5050.5</v>
      </c>
      <c r="I366" s="56">
        <f>IF(Tabela1610[[#This Row],[Real Disposable Income (RDI)]]="",#N/A,((Tabela1610[[#This Row],[Real Disposable Income (RDI)]]*1)/H365)-1)</f>
        <v>3.477051460361702E-3</v>
      </c>
      <c r="J366" s="56">
        <f>IF(Tabela1610[[#This Row],[Real Disposable Income (RDI)]]="",#N/A,((Tabela1610[[#This Row],[Real Disposable Income (RDI)]]*1)/H354)-1)</f>
        <v>5.4450174332421719E-2</v>
      </c>
      <c r="K366" s="10">
        <v>324000</v>
      </c>
      <c r="L366" s="11">
        <v>12.3</v>
      </c>
      <c r="M366" s="10">
        <v>702</v>
      </c>
      <c r="N366" s="10">
        <f>IF(Tabela1610[[#This Row],[Payroll]]="",#N/A,AVERAGE(M364:M366))</f>
        <v>522.66666666666663</v>
      </c>
      <c r="O366" s="10"/>
      <c r="P366" s="7"/>
    </row>
    <row r="367" spans="1:16">
      <c r="A367" s="6">
        <v>28611</v>
      </c>
      <c r="B367" s="11">
        <v>6</v>
      </c>
      <c r="C367" s="11">
        <f>IF(Tabela1610[[#This Row],[Unemployment Rate]]="",#N/A,AVERAGE(B355:B367))</f>
        <v>6.6153846153846141</v>
      </c>
      <c r="D367" s="10">
        <v>6127</v>
      </c>
      <c r="E367" s="11">
        <v>63.1</v>
      </c>
      <c r="F367" s="11"/>
      <c r="G367" s="11"/>
      <c r="H367" s="55">
        <v>5047.2</v>
      </c>
      <c r="I367" s="56">
        <f>IF(Tabela1610[[#This Row],[Real Disposable Income (RDI)]]="",#N/A,((Tabela1610[[#This Row],[Real Disposable Income (RDI)]]*1)/H366)-1)</f>
        <v>-6.5340065340069309E-4</v>
      </c>
      <c r="J367" s="56">
        <f>IF(Tabela1610[[#This Row],[Real Disposable Income (RDI)]]="",#N/A,((Tabela1610[[#This Row],[Real Disposable Income (RDI)]]*1)/H355)-1)</f>
        <v>5.356322798814328E-2</v>
      </c>
      <c r="K367" s="10">
        <v>318000</v>
      </c>
      <c r="L367" s="11">
        <v>12.1</v>
      </c>
      <c r="M367" s="10">
        <v>347</v>
      </c>
      <c r="N367" s="10">
        <f>IF(Tabela1610[[#This Row],[Payroll]]="",#N/A,AVERAGE(M365:M367))</f>
        <v>520.33333333333337</v>
      </c>
      <c r="O367" s="10"/>
      <c r="P367" s="7"/>
    </row>
    <row r="368" spans="1:16">
      <c r="A368" s="6">
        <v>28642</v>
      </c>
      <c r="B368" s="11">
        <v>5.9</v>
      </c>
      <c r="C368" s="11">
        <f>IF(Tabela1610[[#This Row],[Unemployment Rate]]="",#N/A,AVERAGE(B356:B368))</f>
        <v>6.5307692307692298</v>
      </c>
      <c r="D368" s="10">
        <v>6028</v>
      </c>
      <c r="E368" s="11">
        <v>63.3</v>
      </c>
      <c r="F368" s="11"/>
      <c r="G368" s="11"/>
      <c r="H368" s="55">
        <v>5047.5</v>
      </c>
      <c r="I368" s="56">
        <f>IF(Tabela1610[[#This Row],[Real Disposable Income (RDI)]]="",#N/A,((Tabela1610[[#This Row],[Real Disposable Income (RDI)]]*1)/H367)-1)</f>
        <v>5.9438896814034692E-5</v>
      </c>
      <c r="J368" s="56">
        <f>IF(Tabela1610[[#This Row],[Real Disposable Income (RDI)]]="",#N/A,((Tabela1610[[#This Row],[Real Disposable Income (RDI)]]*1)/H356)-1)</f>
        <v>4.9267227938883718E-2</v>
      </c>
      <c r="K368" s="10">
        <v>330000</v>
      </c>
      <c r="L368" s="11">
        <v>12.1</v>
      </c>
      <c r="M368" s="10">
        <v>441</v>
      </c>
      <c r="N368" s="10">
        <f>IF(Tabela1610[[#This Row],[Payroll]]="",#N/A,AVERAGE(M366:M368))</f>
        <v>496.66666666666669</v>
      </c>
      <c r="O368" s="10"/>
      <c r="P368" s="7"/>
    </row>
    <row r="369" spans="1:16">
      <c r="A369" s="6">
        <v>28672</v>
      </c>
      <c r="B369" s="11">
        <v>6.2</v>
      </c>
      <c r="C369" s="11">
        <f>IF(Tabela1610[[#This Row],[Unemployment Rate]]="",#N/A,AVERAGE(B357:B369))</f>
        <v>6.4538461538461531</v>
      </c>
      <c r="D369" s="10">
        <v>6309</v>
      </c>
      <c r="E369" s="11">
        <v>63.2</v>
      </c>
      <c r="F369" s="11"/>
      <c r="G369" s="11"/>
      <c r="H369" s="55">
        <v>5072.8</v>
      </c>
      <c r="I369" s="56">
        <f>IF(Tabela1610[[#This Row],[Real Disposable Income (RDI)]]="",#N/A,((Tabela1610[[#This Row],[Real Disposable Income (RDI)]]*1)/H368)-1)</f>
        <v>5.0123823675087831E-3</v>
      </c>
      <c r="J369" s="56">
        <f>IF(Tabela1610[[#This Row],[Real Disposable Income (RDI)]]="",#N/A,((Tabela1610[[#This Row],[Real Disposable Income (RDI)]]*1)/H357)-1)</f>
        <v>4.7752808988763995E-2</v>
      </c>
      <c r="K369" s="10">
        <v>346000</v>
      </c>
      <c r="L369" s="11">
        <v>12</v>
      </c>
      <c r="M369" s="10">
        <v>254</v>
      </c>
      <c r="N369" s="10">
        <f>IF(Tabela1610[[#This Row],[Payroll]]="",#N/A,AVERAGE(M367:M369))</f>
        <v>347.33333333333331</v>
      </c>
      <c r="O369" s="10"/>
      <c r="P369" s="7"/>
    </row>
    <row r="370" spans="1:16">
      <c r="A370" s="6">
        <v>28703</v>
      </c>
      <c r="B370" s="11">
        <v>5.9</v>
      </c>
      <c r="C370" s="11">
        <f>IF(Tabela1610[[#This Row],[Unemployment Rate]]="",#N/A,AVERAGE(B358:B370))</f>
        <v>6.3769230769230782</v>
      </c>
      <c r="D370" s="10">
        <v>6080</v>
      </c>
      <c r="E370" s="11">
        <v>63.2</v>
      </c>
      <c r="F370" s="11"/>
      <c r="G370" s="11"/>
      <c r="H370" s="55">
        <v>5094.2</v>
      </c>
      <c r="I370" s="56">
        <f>IF(Tabela1610[[#This Row],[Real Disposable Income (RDI)]]="",#N/A,((Tabela1610[[#This Row],[Real Disposable Income (RDI)]]*1)/H369)-1)</f>
        <v>4.2185775114333968E-3</v>
      </c>
      <c r="J370" s="56">
        <f>IF(Tabela1610[[#This Row],[Real Disposable Income (RDI)]]="",#N/A,((Tabela1610[[#This Row],[Real Disposable Income (RDI)]]*1)/H358)-1)</f>
        <v>4.7930552127046777E-2</v>
      </c>
      <c r="K370" s="10">
        <v>333000</v>
      </c>
      <c r="L370" s="11">
        <v>11.4</v>
      </c>
      <c r="M370" s="10">
        <v>279</v>
      </c>
      <c r="N370" s="10">
        <f>IF(Tabela1610[[#This Row],[Payroll]]="",#N/A,AVERAGE(M368:M370))</f>
        <v>324.66666666666669</v>
      </c>
      <c r="O370" s="10"/>
      <c r="P370" s="7"/>
    </row>
    <row r="371" spans="1:16">
      <c r="A371" s="6">
        <v>28734</v>
      </c>
      <c r="B371" s="11">
        <v>6</v>
      </c>
      <c r="C371" s="11">
        <f>IF(Tabela1610[[#This Row],[Unemployment Rate]]="",#N/A,AVERAGE(B359:B371))</f>
        <v>6.2999999999999989</v>
      </c>
      <c r="D371" s="10">
        <v>6125</v>
      </c>
      <c r="E371" s="11">
        <v>63.3</v>
      </c>
      <c r="F371" s="11"/>
      <c r="G371" s="11"/>
      <c r="H371" s="55">
        <v>5095.8</v>
      </c>
      <c r="I371" s="56">
        <f>IF(Tabela1610[[#This Row],[Real Disposable Income (RDI)]]="",#N/A,((Tabela1610[[#This Row],[Real Disposable Income (RDI)]]*1)/H370)-1)</f>
        <v>3.1408268226607028E-4</v>
      </c>
      <c r="J371" s="56">
        <f>IF(Tabela1610[[#This Row],[Real Disposable Income (RDI)]]="",#N/A,((Tabela1610[[#This Row],[Real Disposable Income (RDI)]]*1)/H359)-1)</f>
        <v>4.2554932689553571E-2</v>
      </c>
      <c r="K371" s="10">
        <v>318000</v>
      </c>
      <c r="L371" s="11">
        <v>11.4</v>
      </c>
      <c r="M371" s="10">
        <v>138</v>
      </c>
      <c r="N371" s="10">
        <f>IF(Tabela1610[[#This Row],[Payroll]]="",#N/A,AVERAGE(M369:M371))</f>
        <v>223.66666666666666</v>
      </c>
      <c r="O371" s="10"/>
      <c r="P371" s="7"/>
    </row>
    <row r="372" spans="1:16">
      <c r="A372" s="6">
        <v>28764</v>
      </c>
      <c r="B372" s="11">
        <v>5.8</v>
      </c>
      <c r="C372" s="11">
        <f>IF(Tabela1610[[#This Row],[Unemployment Rate]]="",#N/A,AVERAGE(B360:B372))</f>
        <v>6.2230769230769223</v>
      </c>
      <c r="D372" s="10">
        <v>5947</v>
      </c>
      <c r="E372" s="11">
        <v>63.3</v>
      </c>
      <c r="F372" s="11"/>
      <c r="G372" s="11"/>
      <c r="H372" s="55">
        <v>5109.5</v>
      </c>
      <c r="I372" s="56">
        <f>IF(Tabela1610[[#This Row],[Real Disposable Income (RDI)]]="",#N/A,((Tabela1610[[#This Row],[Real Disposable Income (RDI)]]*1)/H371)-1)</f>
        <v>2.6884885592055596E-3</v>
      </c>
      <c r="J372" s="56">
        <f>IF(Tabela1610[[#This Row],[Real Disposable Income (RDI)]]="",#N/A,((Tabela1610[[#This Row],[Real Disposable Income (RDI)]]*1)/H360)-1)</f>
        <v>3.7799081935248058E-2</v>
      </c>
      <c r="K372" s="10">
        <v>316000</v>
      </c>
      <c r="L372" s="11">
        <v>11.7</v>
      </c>
      <c r="M372" s="10">
        <v>335</v>
      </c>
      <c r="N372" s="10">
        <f>IF(Tabela1610[[#This Row],[Payroll]]="",#N/A,AVERAGE(M370:M372))</f>
        <v>250.66666666666666</v>
      </c>
      <c r="O372" s="10"/>
      <c r="P372" s="7"/>
    </row>
    <row r="373" spans="1:16">
      <c r="A373" s="6">
        <v>28795</v>
      </c>
      <c r="B373" s="11">
        <v>5.9</v>
      </c>
      <c r="C373" s="11">
        <f>IF(Tabela1610[[#This Row],[Unemployment Rate]]="",#N/A,AVERAGE(B361:B373))</f>
        <v>6.1538461538461551</v>
      </c>
      <c r="D373" s="10">
        <v>6077</v>
      </c>
      <c r="E373" s="11">
        <v>63.5</v>
      </c>
      <c r="F373" s="11"/>
      <c r="G373" s="11"/>
      <c r="H373" s="55">
        <v>5114.1000000000004</v>
      </c>
      <c r="I373" s="56">
        <f>IF(Tabela1610[[#This Row],[Real Disposable Income (RDI)]]="",#N/A,((Tabela1610[[#This Row],[Real Disposable Income (RDI)]]*1)/H372)-1)</f>
        <v>9.0028378510620399E-4</v>
      </c>
      <c r="J373" s="56">
        <f>IF(Tabela1610[[#This Row],[Real Disposable Income (RDI)]]="",#N/A,((Tabela1610[[#This Row],[Real Disposable Income (RDI)]]*1)/H361)-1)</f>
        <v>3.0507586596006275E-2</v>
      </c>
      <c r="K373" s="10">
        <v>359000</v>
      </c>
      <c r="L373" s="11">
        <v>11.1</v>
      </c>
      <c r="M373" s="10">
        <v>435</v>
      </c>
      <c r="N373" s="10">
        <f>IF(Tabela1610[[#This Row],[Payroll]]="",#N/A,AVERAGE(M371:M373))</f>
        <v>302.66666666666669</v>
      </c>
      <c r="O373" s="10"/>
      <c r="P373" s="7"/>
    </row>
    <row r="374" spans="1:16">
      <c r="A374" s="6">
        <v>28825</v>
      </c>
      <c r="B374" s="11">
        <v>6</v>
      </c>
      <c r="C374" s="11">
        <f>IF(Tabela1610[[#This Row],[Unemployment Rate]]="",#N/A,AVERAGE(B362:B374))</f>
        <v>6.0923076923076929</v>
      </c>
      <c r="D374" s="10">
        <v>6228</v>
      </c>
      <c r="E374" s="11">
        <v>63.6</v>
      </c>
      <c r="F374" s="11"/>
      <c r="G374" s="11"/>
      <c r="H374" s="55">
        <v>5139.6000000000004</v>
      </c>
      <c r="I374" s="56">
        <f>IF(Tabela1610[[#This Row],[Real Disposable Income (RDI)]]="",#N/A,((Tabela1610[[#This Row],[Real Disposable Income (RDI)]]*1)/H373)-1)</f>
        <v>4.9862145832111349E-3</v>
      </c>
      <c r="J374" s="56">
        <f>IF(Tabela1610[[#This Row],[Real Disposable Income (RDI)]]="",#N/A,((Tabela1610[[#This Row],[Real Disposable Income (RDI)]]*1)/H362)-1)</f>
        <v>3.1323367111467881E-2</v>
      </c>
      <c r="K374" s="10">
        <v>358000</v>
      </c>
      <c r="L374" s="11">
        <v>10.6</v>
      </c>
      <c r="M374" s="10">
        <v>280</v>
      </c>
      <c r="N374" s="10">
        <f>IF(Tabela1610[[#This Row],[Payroll]]="",#N/A,AVERAGE(M372:M374))</f>
        <v>350</v>
      </c>
      <c r="O374" s="10"/>
      <c r="P374" s="7"/>
    </row>
    <row r="375" spans="1:16">
      <c r="A375" s="6">
        <v>28856</v>
      </c>
      <c r="B375" s="11">
        <v>5.9</v>
      </c>
      <c r="C375" s="11">
        <f>IF(Tabela1610[[#This Row],[Unemployment Rate]]="",#N/A,AVERAGE(B363:B375))</f>
        <v>6.0538461538461537</v>
      </c>
      <c r="D375" s="10">
        <v>6109</v>
      </c>
      <c r="E375" s="11">
        <v>63.6</v>
      </c>
      <c r="F375" s="11"/>
      <c r="G375" s="11"/>
      <c r="H375" s="55">
        <v>5164</v>
      </c>
      <c r="I375" s="56">
        <f>IF(Tabela1610[[#This Row],[Real Disposable Income (RDI)]]="",#N/A,((Tabela1610[[#This Row],[Real Disposable Income (RDI)]]*1)/H374)-1)</f>
        <v>4.7474511635146044E-3</v>
      </c>
      <c r="J375" s="56">
        <f>IF(Tabela1610[[#This Row],[Real Disposable Income (RDI)]]="",#N/A,((Tabela1610[[#This Row],[Real Disposable Income (RDI)]]*1)/H363)-1)</f>
        <v>4.0709391374445847E-2</v>
      </c>
      <c r="K375" s="10">
        <v>342000</v>
      </c>
      <c r="L375" s="11">
        <v>11.1</v>
      </c>
      <c r="M375" s="10">
        <v>137</v>
      </c>
      <c r="N375" s="10">
        <f>IF(Tabela1610[[#This Row],[Payroll]]="",#N/A,AVERAGE(M373:M375))</f>
        <v>284</v>
      </c>
      <c r="O375" s="10"/>
      <c r="P375" s="7"/>
    </row>
    <row r="376" spans="1:16">
      <c r="A376" s="6">
        <v>28887</v>
      </c>
      <c r="B376" s="11">
        <v>5.9</v>
      </c>
      <c r="C376" s="11">
        <f>IF(Tabela1610[[#This Row],[Unemployment Rate]]="",#N/A,AVERAGE(B364:B376))</f>
        <v>6.0153846153846171</v>
      </c>
      <c r="D376" s="10">
        <v>6173</v>
      </c>
      <c r="E376" s="11">
        <v>63.8</v>
      </c>
      <c r="F376" s="11"/>
      <c r="G376" s="11"/>
      <c r="H376" s="55">
        <v>5184.7</v>
      </c>
      <c r="I376" s="56">
        <f>IF(Tabela1610[[#This Row],[Real Disposable Income (RDI)]]="",#N/A,((Tabela1610[[#This Row],[Real Disposable Income (RDI)]]*1)/H375)-1)</f>
        <v>4.0085205267235136E-3</v>
      </c>
      <c r="J376" s="56">
        <f>IF(Tabela1610[[#This Row],[Real Disposable Income (RDI)]]="",#N/A,((Tabela1610[[#This Row],[Real Disposable Income (RDI)]]*1)/H364)-1)</f>
        <v>3.8705799859761525E-2</v>
      </c>
      <c r="K376" s="10">
        <v>360000</v>
      </c>
      <c r="L376" s="11">
        <v>11.2</v>
      </c>
      <c r="M376" s="10">
        <v>247</v>
      </c>
      <c r="N376" s="10">
        <f>IF(Tabela1610[[#This Row],[Payroll]]="",#N/A,AVERAGE(M374:M376))</f>
        <v>221.33333333333334</v>
      </c>
      <c r="O376" s="10"/>
      <c r="P376" s="7"/>
    </row>
    <row r="377" spans="1:16">
      <c r="A377" s="6">
        <v>28915</v>
      </c>
      <c r="B377" s="11">
        <v>5.8</v>
      </c>
      <c r="C377" s="11">
        <f>IF(Tabela1610[[#This Row],[Unemployment Rate]]="",#N/A,AVERAGE(B365:B377))</f>
        <v>5.976923076923077</v>
      </c>
      <c r="D377" s="10">
        <v>6109</v>
      </c>
      <c r="E377" s="11">
        <v>63.8</v>
      </c>
      <c r="F377" s="11"/>
      <c r="G377" s="11"/>
      <c r="H377" s="55">
        <v>5198.5</v>
      </c>
      <c r="I377" s="56">
        <f>IF(Tabela1610[[#This Row],[Real Disposable Income (RDI)]]="",#N/A,((Tabela1610[[#This Row],[Real Disposable Income (RDI)]]*1)/H376)-1)</f>
        <v>2.6616776284067445E-3</v>
      </c>
      <c r="J377" s="56">
        <f>IF(Tabela1610[[#This Row],[Real Disposable Income (RDI)]]="",#N/A,((Tabela1610[[#This Row],[Real Disposable Income (RDI)]]*1)/H365)-1)</f>
        <v>3.2882972382276998E-2</v>
      </c>
      <c r="K377" s="10">
        <v>360000</v>
      </c>
      <c r="L377" s="11">
        <v>11.7</v>
      </c>
      <c r="M377" s="10">
        <v>424</v>
      </c>
      <c r="N377" s="10">
        <f>IF(Tabela1610[[#This Row],[Payroll]]="",#N/A,AVERAGE(M375:M377))</f>
        <v>269.33333333333331</v>
      </c>
      <c r="O377" s="10"/>
      <c r="P377" s="7"/>
    </row>
    <row r="378" spans="1:16">
      <c r="A378" s="6">
        <v>28946</v>
      </c>
      <c r="B378" s="11">
        <v>5.8</v>
      </c>
      <c r="C378" s="11">
        <f>IF(Tabela1610[[#This Row],[Unemployment Rate]]="",#N/A,AVERAGE(B366:B378))</f>
        <v>5.9384615384615378</v>
      </c>
      <c r="D378" s="10">
        <v>6069</v>
      </c>
      <c r="E378" s="11">
        <v>63.5</v>
      </c>
      <c r="F378" s="11"/>
      <c r="G378" s="11"/>
      <c r="H378" s="55">
        <v>5156.1000000000004</v>
      </c>
      <c r="I378" s="56">
        <f>IF(Tabela1610[[#This Row],[Real Disposable Income (RDI)]]="",#N/A,((Tabela1610[[#This Row],[Real Disposable Income (RDI)]]*1)/H377)-1)</f>
        <v>-8.1561989035298099E-3</v>
      </c>
      <c r="J378" s="56">
        <f>IF(Tabela1610[[#This Row],[Real Disposable Income (RDI)]]="",#N/A,((Tabela1610[[#This Row],[Real Disposable Income (RDI)]]*1)/H366)-1)</f>
        <v>2.0908820908821069E-2</v>
      </c>
      <c r="K378" s="10">
        <v>357000</v>
      </c>
      <c r="L378" s="11">
        <v>11</v>
      </c>
      <c r="M378" s="10">
        <v>-62</v>
      </c>
      <c r="N378" s="10">
        <f>IF(Tabela1610[[#This Row],[Payroll]]="",#N/A,AVERAGE(M376:M378))</f>
        <v>203</v>
      </c>
      <c r="O378" s="10"/>
      <c r="P378" s="7"/>
    </row>
    <row r="379" spans="1:16">
      <c r="A379" s="6">
        <v>28976</v>
      </c>
      <c r="B379" s="11">
        <v>5.6</v>
      </c>
      <c r="C379" s="11">
        <f>IF(Tabela1610[[#This Row],[Unemployment Rate]]="",#N/A,AVERAGE(B367:B379))</f>
        <v>5.8999999999999995</v>
      </c>
      <c r="D379" s="10">
        <v>5840</v>
      </c>
      <c r="E379" s="11">
        <v>63.3</v>
      </c>
      <c r="F379" s="11"/>
      <c r="G379" s="11"/>
      <c r="H379" s="55">
        <v>5132.2</v>
      </c>
      <c r="I379" s="56">
        <f>IF(Tabela1610[[#This Row],[Real Disposable Income (RDI)]]="",#N/A,((Tabela1610[[#This Row],[Real Disposable Income (RDI)]]*1)/H378)-1)</f>
        <v>-4.6352863598457805E-3</v>
      </c>
      <c r="J379" s="56">
        <f>IF(Tabela1610[[#This Row],[Real Disposable Income (RDI)]]="",#N/A,((Tabela1610[[#This Row],[Real Disposable Income (RDI)]]*1)/H367)-1)</f>
        <v>1.6841020763987968E-2</v>
      </c>
      <c r="K379" s="10">
        <v>349000</v>
      </c>
      <c r="L379" s="11">
        <v>11.1</v>
      </c>
      <c r="M379" s="10">
        <v>372</v>
      </c>
      <c r="N379" s="10">
        <f>IF(Tabela1610[[#This Row],[Payroll]]="",#N/A,AVERAGE(M377:M379))</f>
        <v>244.66666666666666</v>
      </c>
      <c r="O379" s="10"/>
      <c r="P379" s="7"/>
    </row>
    <row r="380" spans="1:16">
      <c r="A380" s="6">
        <v>29007</v>
      </c>
      <c r="B380" s="11">
        <v>5.7</v>
      </c>
      <c r="C380" s="11">
        <f>IF(Tabela1610[[#This Row],[Unemployment Rate]]="",#N/A,AVERAGE(B368:B380))</f>
        <v>5.8769230769230765</v>
      </c>
      <c r="D380" s="10">
        <v>5959</v>
      </c>
      <c r="E380" s="11">
        <v>63.5</v>
      </c>
      <c r="F380" s="11"/>
      <c r="G380" s="11"/>
      <c r="H380" s="55">
        <v>5118.8999999999996</v>
      </c>
      <c r="I380" s="56">
        <f>IF(Tabela1610[[#This Row],[Real Disposable Income (RDI)]]="",#N/A,((Tabela1610[[#This Row],[Real Disposable Income (RDI)]]*1)/H379)-1)</f>
        <v>-2.5914812361170769E-3</v>
      </c>
      <c r="J380" s="56">
        <f>IF(Tabela1610[[#This Row],[Real Disposable Income (RDI)]]="",#N/A,((Tabela1610[[#This Row],[Real Disposable Income (RDI)]]*1)/H368)-1)</f>
        <v>1.4145616641901837E-2</v>
      </c>
      <c r="K380" s="10">
        <v>369000</v>
      </c>
      <c r="L380" s="11">
        <v>10.4</v>
      </c>
      <c r="M380" s="10">
        <v>319</v>
      </c>
      <c r="N380" s="10">
        <f>IF(Tabela1610[[#This Row],[Payroll]]="",#N/A,AVERAGE(M378:M380))</f>
        <v>209.66666666666666</v>
      </c>
      <c r="O380" s="10"/>
      <c r="P380" s="7"/>
    </row>
    <row r="381" spans="1:16">
      <c r="A381" s="6">
        <v>29037</v>
      </c>
      <c r="B381" s="11">
        <v>5.7</v>
      </c>
      <c r="C381" s="11">
        <f>IF(Tabela1610[[#This Row],[Unemployment Rate]]="",#N/A,AVERAGE(B369:B381))</f>
        <v>5.861538461538462</v>
      </c>
      <c r="D381" s="10">
        <v>5996</v>
      </c>
      <c r="E381" s="11">
        <v>63.6</v>
      </c>
      <c r="F381" s="11"/>
      <c r="G381" s="11"/>
      <c r="H381" s="55">
        <v>5156.2</v>
      </c>
      <c r="I381" s="56">
        <f>IF(Tabela1610[[#This Row],[Real Disposable Income (RDI)]]="",#N/A,((Tabela1610[[#This Row],[Real Disposable Income (RDI)]]*1)/H380)-1)</f>
        <v>7.2867217566274789E-3</v>
      </c>
      <c r="J381" s="56">
        <f>IF(Tabela1610[[#This Row],[Real Disposable Income (RDI)]]="",#N/A,((Tabela1610[[#This Row],[Real Disposable Income (RDI)]]*1)/H369)-1)</f>
        <v>1.6440624507175539E-2</v>
      </c>
      <c r="K381" s="10">
        <v>386000</v>
      </c>
      <c r="L381" s="11">
        <v>10.3</v>
      </c>
      <c r="M381" s="10">
        <v>109</v>
      </c>
      <c r="N381" s="10">
        <f>IF(Tabela1610[[#This Row],[Payroll]]="",#N/A,AVERAGE(M379:M381))</f>
        <v>266.66666666666669</v>
      </c>
      <c r="O381" s="10"/>
      <c r="P381" s="7"/>
    </row>
    <row r="382" spans="1:16">
      <c r="A382" s="6">
        <v>29068</v>
      </c>
      <c r="B382" s="11">
        <v>6</v>
      </c>
      <c r="C382" s="11">
        <f>IF(Tabela1610[[#This Row],[Unemployment Rate]]="",#N/A,AVERAGE(B370:B382))</f>
        <v>5.8461538461538458</v>
      </c>
      <c r="D382" s="10">
        <v>6320</v>
      </c>
      <c r="E382" s="11">
        <v>63.6</v>
      </c>
      <c r="F382" s="11"/>
      <c r="G382" s="11"/>
      <c r="H382" s="55">
        <v>5163.7</v>
      </c>
      <c r="I382" s="56">
        <f>IF(Tabela1610[[#This Row],[Real Disposable Income (RDI)]]="",#N/A,((Tabela1610[[#This Row],[Real Disposable Income (RDI)]]*1)/H381)-1)</f>
        <v>1.4545595593653537E-3</v>
      </c>
      <c r="J382" s="56">
        <f>IF(Tabela1610[[#This Row],[Real Disposable Income (RDI)]]="",#N/A,((Tabela1610[[#This Row],[Real Disposable Income (RDI)]]*1)/H370)-1)</f>
        <v>1.3642966510934107E-2</v>
      </c>
      <c r="K382" s="10">
        <v>390000</v>
      </c>
      <c r="L382" s="11">
        <v>10.6</v>
      </c>
      <c r="M382" s="10">
        <v>83</v>
      </c>
      <c r="N382" s="10">
        <f>IF(Tabela1610[[#This Row],[Payroll]]="",#N/A,AVERAGE(M380:M382))</f>
        <v>170.33333333333334</v>
      </c>
      <c r="O382" s="10"/>
      <c r="P382" s="7"/>
    </row>
    <row r="383" spans="1:16">
      <c r="A383" s="6">
        <v>29099</v>
      </c>
      <c r="B383" s="11">
        <v>5.9</v>
      </c>
      <c r="C383" s="11">
        <f>IF(Tabela1610[[#This Row],[Unemployment Rate]]="",#N/A,AVERAGE(B371:B383))</f>
        <v>5.8461538461538458</v>
      </c>
      <c r="D383" s="10">
        <v>6190</v>
      </c>
      <c r="E383" s="11">
        <v>63.8</v>
      </c>
      <c r="F383" s="11"/>
      <c r="G383" s="11"/>
      <c r="H383" s="55">
        <v>5159.3</v>
      </c>
      <c r="I383" s="56">
        <f>IF(Tabela1610[[#This Row],[Real Disposable Income (RDI)]]="",#N/A,((Tabela1610[[#This Row],[Real Disposable Income (RDI)]]*1)/H382)-1)</f>
        <v>-8.5210217479703143E-4</v>
      </c>
      <c r="J383" s="56">
        <f>IF(Tabela1610[[#This Row],[Real Disposable Income (RDI)]]="",#N/A,((Tabela1610[[#This Row],[Real Disposable Income (RDI)]]*1)/H371)-1)</f>
        <v>1.2461242591938371E-2</v>
      </c>
      <c r="K383" s="10">
        <v>390000</v>
      </c>
      <c r="L383" s="11">
        <v>10.5</v>
      </c>
      <c r="M383" s="10">
        <v>27</v>
      </c>
      <c r="N383" s="10">
        <f>IF(Tabela1610[[#This Row],[Payroll]]="",#N/A,AVERAGE(M381:M383))</f>
        <v>73</v>
      </c>
      <c r="O383" s="10"/>
      <c r="P383" s="7"/>
    </row>
    <row r="384" spans="1:16">
      <c r="A384" s="6">
        <v>29129</v>
      </c>
      <c r="B384" s="11">
        <v>6</v>
      </c>
      <c r="C384" s="11">
        <f>IF(Tabela1610[[#This Row],[Unemployment Rate]]="",#N/A,AVERAGE(B372:B384))</f>
        <v>5.8461538461538458</v>
      </c>
      <c r="D384" s="10">
        <v>6296</v>
      </c>
      <c r="E384" s="11">
        <v>63.7</v>
      </c>
      <c r="F384" s="11"/>
      <c r="G384" s="11"/>
      <c r="H384" s="55">
        <v>5156.6000000000004</v>
      </c>
      <c r="I384" s="56">
        <f>IF(Tabela1610[[#This Row],[Real Disposable Income (RDI)]]="",#N/A,((Tabela1610[[#This Row],[Real Disposable Income (RDI)]]*1)/H383)-1)</f>
        <v>-5.2332680790023733E-4</v>
      </c>
      <c r="J384" s="56">
        <f>IF(Tabela1610[[#This Row],[Real Disposable Income (RDI)]]="",#N/A,((Tabela1610[[#This Row],[Real Disposable Income (RDI)]]*1)/H372)-1)</f>
        <v>9.2181231040220357E-3</v>
      </c>
      <c r="K384" s="10">
        <v>398000</v>
      </c>
      <c r="L384" s="11">
        <v>10.5</v>
      </c>
      <c r="M384" s="10">
        <v>154</v>
      </c>
      <c r="N384" s="10">
        <f>IF(Tabela1610[[#This Row],[Payroll]]="",#N/A,AVERAGE(M382:M384))</f>
        <v>88</v>
      </c>
      <c r="O384" s="10"/>
      <c r="P384" s="7"/>
    </row>
    <row r="385" spans="1:16">
      <c r="A385" s="6">
        <v>29160</v>
      </c>
      <c r="B385" s="11">
        <v>5.9</v>
      </c>
      <c r="C385" s="11">
        <f>IF(Tabela1610[[#This Row],[Unemployment Rate]]="",#N/A,AVERAGE(B373:B385))</f>
        <v>5.8538461538461553</v>
      </c>
      <c r="D385" s="10">
        <v>6238</v>
      </c>
      <c r="E385" s="11">
        <v>63.7</v>
      </c>
      <c r="F385" s="11"/>
      <c r="G385" s="11"/>
      <c r="H385" s="55">
        <v>5171.2</v>
      </c>
      <c r="I385" s="56">
        <f>IF(Tabela1610[[#This Row],[Real Disposable Income (RDI)]]="",#N/A,((Tabela1610[[#This Row],[Real Disposable Income (RDI)]]*1)/H384)-1)</f>
        <v>2.8313229647440874E-3</v>
      </c>
      <c r="J385" s="56">
        <f>IF(Tabela1610[[#This Row],[Real Disposable Income (RDI)]]="",#N/A,((Tabela1610[[#This Row],[Real Disposable Income (RDI)]]*1)/H373)-1)</f>
        <v>1.1165209909856921E-2</v>
      </c>
      <c r="K385" s="10">
        <v>414000</v>
      </c>
      <c r="L385" s="11">
        <v>10.6</v>
      </c>
      <c r="M385" s="10">
        <v>92</v>
      </c>
      <c r="N385" s="10">
        <f>IF(Tabela1610[[#This Row],[Payroll]]="",#N/A,AVERAGE(M383:M385))</f>
        <v>91</v>
      </c>
      <c r="O385" s="10"/>
      <c r="P385" s="7"/>
    </row>
    <row r="386" spans="1:16">
      <c r="A386" s="6">
        <v>29190</v>
      </c>
      <c r="B386" s="11">
        <v>6</v>
      </c>
      <c r="C386" s="11">
        <f>IF(Tabela1610[[#This Row],[Unemployment Rate]]="",#N/A,AVERAGE(B374:B386))</f>
        <v>5.8615384615384629</v>
      </c>
      <c r="D386" s="10">
        <v>6325</v>
      </c>
      <c r="E386" s="11">
        <v>63.9</v>
      </c>
      <c r="F386" s="11"/>
      <c r="G386" s="11"/>
      <c r="H386" s="55">
        <v>5182.2</v>
      </c>
      <c r="I386" s="56">
        <f>IF(Tabela1610[[#This Row],[Real Disposable Income (RDI)]]="",#N/A,((Tabela1610[[#This Row],[Real Disposable Income (RDI)]]*1)/H385)-1)</f>
        <v>2.1271658415842332E-3</v>
      </c>
      <c r="J386" s="56">
        <f>IF(Tabela1610[[#This Row],[Real Disposable Income (RDI)]]="",#N/A,((Tabela1610[[#This Row],[Real Disposable Income (RDI)]]*1)/H374)-1)</f>
        <v>8.2885827690870606E-3</v>
      </c>
      <c r="K386" s="10">
        <v>428000</v>
      </c>
      <c r="L386" s="11">
        <v>10.8</v>
      </c>
      <c r="M386" s="10">
        <v>99</v>
      </c>
      <c r="N386" s="10">
        <f>IF(Tabela1610[[#This Row],[Payroll]]="",#N/A,AVERAGE(M384:M386))</f>
        <v>115</v>
      </c>
      <c r="O386" s="10"/>
      <c r="P386" s="7"/>
    </row>
    <row r="387" spans="1:16">
      <c r="A387" s="6">
        <v>29221</v>
      </c>
      <c r="B387" s="11">
        <v>6.3</v>
      </c>
      <c r="C387" s="11">
        <f>IF(Tabela1610[[#This Row],[Unemployment Rate]]="",#N/A,AVERAGE(B375:B387))</f>
        <v>5.884615384615385</v>
      </c>
      <c r="D387" s="10">
        <v>6683</v>
      </c>
      <c r="E387" s="11">
        <v>64</v>
      </c>
      <c r="F387" s="11"/>
      <c r="G387" s="11"/>
      <c r="H387" s="55">
        <v>5218.8</v>
      </c>
      <c r="I387" s="56">
        <f>IF(Tabela1610[[#This Row],[Real Disposable Income (RDI)]]="",#N/A,((Tabela1610[[#This Row],[Real Disposable Income (RDI)]]*1)/H386)-1)</f>
        <v>7.062637489869239E-3</v>
      </c>
      <c r="J387" s="56">
        <f>IF(Tabela1610[[#This Row],[Real Disposable Income (RDI)]]="",#N/A,((Tabela1610[[#This Row],[Real Disposable Income (RDI)]]*1)/H375)-1)</f>
        <v>1.0611928737412901E-2</v>
      </c>
      <c r="K387" s="10">
        <v>412000</v>
      </c>
      <c r="L387" s="11">
        <v>10.4</v>
      </c>
      <c r="M387" s="10">
        <v>128</v>
      </c>
      <c r="N387" s="10">
        <f>IF(Tabela1610[[#This Row],[Payroll]]="",#N/A,AVERAGE(M385:M387))</f>
        <v>106.33333333333333</v>
      </c>
      <c r="O387" s="10"/>
      <c r="P387" s="7"/>
    </row>
    <row r="388" spans="1:16">
      <c r="A388" s="6">
        <v>29252</v>
      </c>
      <c r="B388" s="11">
        <v>6.3</v>
      </c>
      <c r="C388" s="11">
        <f>IF(Tabela1610[[#This Row],[Unemployment Rate]]="",#N/A,AVERAGE(B376:B388))</f>
        <v>5.9153846153846148</v>
      </c>
      <c r="D388" s="10">
        <v>6702</v>
      </c>
      <c r="E388" s="11">
        <v>64</v>
      </c>
      <c r="F388" s="11"/>
      <c r="G388" s="11"/>
      <c r="H388" s="55">
        <v>5191.3</v>
      </c>
      <c r="I388" s="56">
        <f>IF(Tabela1610[[#This Row],[Real Disposable Income (RDI)]]="",#N/A,((Tabela1610[[#This Row],[Real Disposable Income (RDI)]]*1)/H387)-1)</f>
        <v>-5.2694105924733226E-3</v>
      </c>
      <c r="J388" s="56">
        <f>IF(Tabela1610[[#This Row],[Real Disposable Income (RDI)]]="",#N/A,((Tabela1610[[#This Row],[Real Disposable Income (RDI)]]*1)/H376)-1)</f>
        <v>1.272976257064018E-3</v>
      </c>
      <c r="K388" s="10">
        <v>428000</v>
      </c>
      <c r="L388" s="11">
        <v>10.6</v>
      </c>
      <c r="M388" s="10">
        <v>83</v>
      </c>
      <c r="N388" s="10">
        <f>IF(Tabela1610[[#This Row],[Payroll]]="",#N/A,AVERAGE(M386:M388))</f>
        <v>103.33333333333333</v>
      </c>
      <c r="O388" s="10"/>
      <c r="P388" s="7"/>
    </row>
    <row r="389" spans="1:16">
      <c r="A389" s="6">
        <v>29281</v>
      </c>
      <c r="B389" s="11">
        <v>6.3</v>
      </c>
      <c r="C389" s="11">
        <f>IF(Tabela1610[[#This Row],[Unemployment Rate]]="",#N/A,AVERAGE(B377:B389))</f>
        <v>5.9461538461538446</v>
      </c>
      <c r="D389" s="10">
        <v>6729</v>
      </c>
      <c r="E389" s="11">
        <v>63.7</v>
      </c>
      <c r="F389" s="11"/>
      <c r="G389" s="11"/>
      <c r="H389" s="55">
        <v>5159</v>
      </c>
      <c r="I389" s="56">
        <f>IF(Tabela1610[[#This Row],[Real Disposable Income (RDI)]]="",#N/A,((Tabela1610[[#This Row],[Real Disposable Income (RDI)]]*1)/H388)-1)</f>
        <v>-6.221948259588217E-3</v>
      </c>
      <c r="J389" s="56">
        <f>IF(Tabela1610[[#This Row],[Real Disposable Income (RDI)]]="",#N/A,((Tabela1610[[#This Row],[Real Disposable Income (RDI)]]*1)/H377)-1)</f>
        <v>-7.5983456766375301E-3</v>
      </c>
      <c r="K389" s="10">
        <v>475000</v>
      </c>
      <c r="L389" s="11">
        <v>11</v>
      </c>
      <c r="M389" s="10">
        <v>111</v>
      </c>
      <c r="N389" s="10">
        <f>IF(Tabela1610[[#This Row],[Payroll]]="",#N/A,AVERAGE(M387:M389))</f>
        <v>107.33333333333333</v>
      </c>
      <c r="O389" s="10"/>
      <c r="P389" s="7"/>
    </row>
    <row r="390" spans="1:16">
      <c r="A390" s="6">
        <v>29312</v>
      </c>
      <c r="B390" s="11">
        <v>6.9</v>
      </c>
      <c r="C390" s="11">
        <f>IF(Tabela1610[[#This Row],[Unemployment Rate]]="",#N/A,AVERAGE(B378:B390))</f>
        <v>6.0307692307692298</v>
      </c>
      <c r="D390" s="10">
        <v>7358</v>
      </c>
      <c r="E390" s="11">
        <v>63.8</v>
      </c>
      <c r="F390" s="11"/>
      <c r="G390" s="11"/>
      <c r="H390" s="55">
        <v>5153.3999999999996</v>
      </c>
      <c r="I390" s="56">
        <f>IF(Tabela1610[[#This Row],[Real Disposable Income (RDI)]]="",#N/A,((Tabela1610[[#This Row],[Real Disposable Income (RDI)]]*1)/H389)-1)</f>
        <v>-1.0854816824966695E-3</v>
      </c>
      <c r="J390" s="56">
        <f>IF(Tabela1610[[#This Row],[Real Disposable Income (RDI)]]="",#N/A,((Tabela1610[[#This Row],[Real Disposable Income (RDI)]]*1)/H378)-1)</f>
        <v>-5.2365159713751996E-4</v>
      </c>
      <c r="K390" s="10">
        <v>563000</v>
      </c>
      <c r="L390" s="11">
        <v>11.4</v>
      </c>
      <c r="M390" s="10">
        <v>-145</v>
      </c>
      <c r="N390" s="10">
        <f>IF(Tabela1610[[#This Row],[Payroll]]="",#N/A,AVERAGE(M388:M390))</f>
        <v>16.333333333333332</v>
      </c>
      <c r="O390" s="10"/>
      <c r="P390" s="7"/>
    </row>
    <row r="391" spans="1:16">
      <c r="A391" s="6">
        <v>29342</v>
      </c>
      <c r="B391" s="11">
        <v>7.5</v>
      </c>
      <c r="C391" s="11">
        <f>IF(Tabela1610[[#This Row],[Unemployment Rate]]="",#N/A,AVERAGE(B379:B391))</f>
        <v>6.161538461538461</v>
      </c>
      <c r="D391" s="10">
        <v>7984</v>
      </c>
      <c r="E391" s="11">
        <v>63.9</v>
      </c>
      <c r="F391" s="11"/>
      <c r="G391" s="11"/>
      <c r="H391" s="55">
        <v>5134.3</v>
      </c>
      <c r="I391" s="56">
        <f>IF(Tabela1610[[#This Row],[Real Disposable Income (RDI)]]="",#N/A,((Tabela1610[[#This Row],[Real Disposable Income (RDI)]]*1)/H390)-1)</f>
        <v>-3.7062909923544218E-3</v>
      </c>
      <c r="J391" s="56">
        <f>IF(Tabela1610[[#This Row],[Real Disposable Income (RDI)]]="",#N/A,((Tabela1610[[#This Row],[Real Disposable Income (RDI)]]*1)/H379)-1)</f>
        <v>4.0918124780797704E-4</v>
      </c>
      <c r="K391" s="10">
        <v>637000</v>
      </c>
      <c r="L391" s="11">
        <v>10.9</v>
      </c>
      <c r="M391" s="10">
        <v>-429</v>
      </c>
      <c r="N391" s="10">
        <f>IF(Tabela1610[[#This Row],[Payroll]]="",#N/A,AVERAGE(M389:M391))</f>
        <v>-154.33333333333334</v>
      </c>
      <c r="O391" s="10"/>
      <c r="P391" s="7"/>
    </row>
    <row r="392" spans="1:16">
      <c r="A392" s="6">
        <v>29373</v>
      </c>
      <c r="B392" s="11">
        <v>7.6</v>
      </c>
      <c r="C392" s="11">
        <f>IF(Tabela1610[[#This Row],[Unemployment Rate]]="",#N/A,AVERAGE(B380:B392))</f>
        <v>6.3153846153846143</v>
      </c>
      <c r="D392" s="10">
        <v>8098</v>
      </c>
      <c r="E392" s="11">
        <v>63.7</v>
      </c>
      <c r="F392" s="11"/>
      <c r="G392" s="11"/>
      <c r="H392" s="55">
        <v>5145.1000000000004</v>
      </c>
      <c r="I392" s="56">
        <f>IF(Tabela1610[[#This Row],[Real Disposable Income (RDI)]]="",#N/A,((Tabela1610[[#This Row],[Real Disposable Income (RDI)]]*1)/H391)-1)</f>
        <v>2.1034999902616036E-3</v>
      </c>
      <c r="J392" s="56">
        <f>IF(Tabela1610[[#This Row],[Real Disposable Income (RDI)]]="",#N/A,((Tabela1610[[#This Row],[Real Disposable Income (RDI)]]*1)/H380)-1)</f>
        <v>5.1182871320012424E-3</v>
      </c>
      <c r="K392" s="10">
        <v>627000</v>
      </c>
      <c r="L392" s="11">
        <v>11.3</v>
      </c>
      <c r="M392" s="10">
        <v>-319</v>
      </c>
      <c r="N392" s="10">
        <f>IF(Tabela1610[[#This Row],[Payroll]]="",#N/A,AVERAGE(M390:M392))</f>
        <v>-297.66666666666669</v>
      </c>
      <c r="O392" s="10"/>
      <c r="P392" s="7"/>
    </row>
    <row r="393" spans="1:16">
      <c r="A393" s="6">
        <v>29403</v>
      </c>
      <c r="B393" s="11">
        <v>7.8</v>
      </c>
      <c r="C393" s="11">
        <f>IF(Tabela1610[[#This Row],[Unemployment Rate]]="",#N/A,AVERAGE(B381:B393))</f>
        <v>6.4769230769230752</v>
      </c>
      <c r="D393" s="10">
        <v>8363</v>
      </c>
      <c r="E393" s="11">
        <v>63.8</v>
      </c>
      <c r="F393" s="11"/>
      <c r="G393" s="11"/>
      <c r="H393" s="55">
        <v>5189.8</v>
      </c>
      <c r="I393" s="56">
        <f>IF(Tabela1610[[#This Row],[Real Disposable Income (RDI)]]="",#N/A,((Tabela1610[[#This Row],[Real Disposable Income (RDI)]]*1)/H392)-1)</f>
        <v>8.6878777866319368E-3</v>
      </c>
      <c r="J393" s="56">
        <f>IF(Tabela1610[[#This Row],[Real Disposable Income (RDI)]]="",#N/A,((Tabela1610[[#This Row],[Real Disposable Income (RDI)]]*1)/H381)-1)</f>
        <v>6.5164268259572111E-3</v>
      </c>
      <c r="K393" s="10">
        <v>558000</v>
      </c>
      <c r="L393" s="11">
        <v>11.8</v>
      </c>
      <c r="M393" s="10">
        <v>-261</v>
      </c>
      <c r="N393" s="10">
        <f>IF(Tabela1610[[#This Row],[Payroll]]="",#N/A,AVERAGE(M391:M393))</f>
        <v>-336.33333333333331</v>
      </c>
      <c r="O393" s="10"/>
      <c r="P393" s="7"/>
    </row>
    <row r="394" spans="1:16">
      <c r="A394" s="6">
        <v>29434</v>
      </c>
      <c r="B394" s="11">
        <v>7.7</v>
      </c>
      <c r="C394" s="11">
        <f>IF(Tabela1610[[#This Row],[Unemployment Rate]]="",#N/A,AVERAGE(B382:B394))</f>
        <v>6.6307692307692303</v>
      </c>
      <c r="D394" s="10">
        <v>8281</v>
      </c>
      <c r="E394" s="11">
        <v>63.7</v>
      </c>
      <c r="F394" s="11"/>
      <c r="G394" s="11"/>
      <c r="H394" s="55">
        <v>5194.8</v>
      </c>
      <c r="I394" s="56">
        <f>IF(Tabela1610[[#This Row],[Real Disposable Income (RDI)]]="",#N/A,((Tabela1610[[#This Row],[Real Disposable Income (RDI)]]*1)/H393)-1)</f>
        <v>9.6342826313144947E-4</v>
      </c>
      <c r="J394" s="56">
        <f>IF(Tabela1610[[#This Row],[Real Disposable Income (RDI)]]="",#N/A,((Tabela1610[[#This Row],[Real Disposable Income (RDI)]]*1)/H382)-1)</f>
        <v>6.0228130991344386E-3</v>
      </c>
      <c r="K394" s="10">
        <v>502000</v>
      </c>
      <c r="L394" s="11">
        <v>12.4</v>
      </c>
      <c r="M394" s="10">
        <v>259</v>
      </c>
      <c r="N394" s="10">
        <f>IF(Tabela1610[[#This Row],[Payroll]]="",#N/A,AVERAGE(M392:M394))</f>
        <v>-107</v>
      </c>
      <c r="O394" s="10"/>
      <c r="P394" s="7"/>
    </row>
    <row r="395" spans="1:16">
      <c r="A395" s="6">
        <v>29465</v>
      </c>
      <c r="B395" s="11">
        <v>7.5</v>
      </c>
      <c r="C395" s="11">
        <f>IF(Tabela1610[[#This Row],[Unemployment Rate]]="",#N/A,AVERAGE(B383:B395))</f>
        <v>6.7461538461538453</v>
      </c>
      <c r="D395" s="10">
        <v>8021</v>
      </c>
      <c r="E395" s="11">
        <v>63.6</v>
      </c>
      <c r="F395" s="11"/>
      <c r="G395" s="11"/>
      <c r="H395" s="55">
        <v>5216.6000000000004</v>
      </c>
      <c r="I395" s="56">
        <f>IF(Tabela1610[[#This Row],[Real Disposable Income (RDI)]]="",#N/A,((Tabela1610[[#This Row],[Real Disposable Income (RDI)]]*1)/H394)-1)</f>
        <v>4.1965041965041916E-3</v>
      </c>
      <c r="J395" s="56">
        <f>IF(Tabela1610[[#This Row],[Real Disposable Income (RDI)]]="",#N/A,((Tabela1610[[#This Row],[Real Disposable Income (RDI)]]*1)/H383)-1)</f>
        <v>1.1106157812106332E-2</v>
      </c>
      <c r="K395" s="10">
        <v>463000</v>
      </c>
      <c r="L395" s="11">
        <v>12.9</v>
      </c>
      <c r="M395" s="10">
        <v>114</v>
      </c>
      <c r="N395" s="10">
        <f>IF(Tabela1610[[#This Row],[Payroll]]="",#N/A,AVERAGE(M393:M395))</f>
        <v>37.333333333333336</v>
      </c>
      <c r="O395" s="10"/>
      <c r="P395" s="7"/>
    </row>
    <row r="396" spans="1:16">
      <c r="A396" s="6">
        <v>29495</v>
      </c>
      <c r="B396" s="11">
        <v>7.5</v>
      </c>
      <c r="C396" s="11">
        <f>IF(Tabela1610[[#This Row],[Unemployment Rate]]="",#N/A,AVERAGE(B384:B396))</f>
        <v>6.8692307692307688</v>
      </c>
      <c r="D396" s="10">
        <v>8088</v>
      </c>
      <c r="E396" s="11">
        <v>63.7</v>
      </c>
      <c r="F396" s="11"/>
      <c r="G396" s="11"/>
      <c r="H396" s="55">
        <v>5257.1</v>
      </c>
      <c r="I396" s="56">
        <f>IF(Tabela1610[[#This Row],[Real Disposable Income (RDI)]]="",#N/A,((Tabela1610[[#This Row],[Real Disposable Income (RDI)]]*1)/H395)-1)</f>
        <v>7.7636774910860851E-3</v>
      </c>
      <c r="J396" s="56">
        <f>IF(Tabela1610[[#This Row],[Real Disposable Income (RDI)]]="",#N/A,((Tabela1610[[#This Row],[Real Disposable Income (RDI)]]*1)/H384)-1)</f>
        <v>1.9489586161424155E-2</v>
      </c>
      <c r="K396" s="10">
        <v>418000</v>
      </c>
      <c r="L396" s="11">
        <v>13.1</v>
      </c>
      <c r="M396" s="10">
        <v>277</v>
      </c>
      <c r="N396" s="10">
        <f>IF(Tabela1610[[#This Row],[Payroll]]="",#N/A,AVERAGE(M394:M396))</f>
        <v>216.66666666666666</v>
      </c>
      <c r="O396" s="10"/>
      <c r="P396" s="7"/>
    </row>
    <row r="397" spans="1:16">
      <c r="A397" s="6">
        <v>29526</v>
      </c>
      <c r="B397" s="11">
        <v>7.5</v>
      </c>
      <c r="C397" s="11">
        <f>IF(Tabela1610[[#This Row],[Unemployment Rate]]="",#N/A,AVERAGE(B385:B397))</f>
        <v>6.9846153846153847</v>
      </c>
      <c r="D397" s="10">
        <v>8023</v>
      </c>
      <c r="E397" s="11">
        <v>63.8</v>
      </c>
      <c r="F397" s="11"/>
      <c r="G397" s="11"/>
      <c r="H397" s="55">
        <v>5264.5</v>
      </c>
      <c r="I397" s="56">
        <f>IF(Tabela1610[[#This Row],[Real Disposable Income (RDI)]]="",#N/A,((Tabela1610[[#This Row],[Real Disposable Income (RDI)]]*1)/H396)-1)</f>
        <v>1.4076201708166369E-3</v>
      </c>
      <c r="J397" s="56">
        <f>IF(Tabela1610[[#This Row],[Real Disposable Income (RDI)]]="",#N/A,((Tabela1610[[#This Row],[Real Disposable Income (RDI)]]*1)/H385)-1)</f>
        <v>1.8042233910891214E-2</v>
      </c>
      <c r="K397" s="10">
        <v>412000</v>
      </c>
      <c r="L397" s="11">
        <v>13.6</v>
      </c>
      <c r="M397" s="10">
        <v>257</v>
      </c>
      <c r="N397" s="10">
        <f>IF(Tabela1610[[#This Row],[Payroll]]="",#N/A,AVERAGE(M395:M397))</f>
        <v>216</v>
      </c>
      <c r="O397" s="10"/>
      <c r="P397" s="7"/>
    </row>
    <row r="398" spans="1:16">
      <c r="A398" s="6">
        <v>29556</v>
      </c>
      <c r="B398" s="11">
        <v>7.2</v>
      </c>
      <c r="C398" s="11">
        <f>IF(Tabela1610[[#This Row],[Unemployment Rate]]="",#N/A,AVERAGE(B386:B398))</f>
        <v>7.0846153846153852</v>
      </c>
      <c r="D398" s="10">
        <v>7718</v>
      </c>
      <c r="E398" s="11">
        <v>63.6</v>
      </c>
      <c r="F398" s="11"/>
      <c r="G398" s="11"/>
      <c r="H398" s="55">
        <v>5288.4</v>
      </c>
      <c r="I398" s="56">
        <f>IF(Tabela1610[[#This Row],[Real Disposable Income (RDI)]]="",#N/A,((Tabela1610[[#This Row],[Real Disposable Income (RDI)]]*1)/H397)-1)</f>
        <v>4.5398423402032151E-3</v>
      </c>
      <c r="J398" s="56">
        <f>IF(Tabela1610[[#This Row],[Real Disposable Income (RDI)]]="",#N/A,((Tabela1610[[#This Row],[Real Disposable Income (RDI)]]*1)/H386)-1)</f>
        <v>2.0493226814866317E-2</v>
      </c>
      <c r="K398" s="10">
        <v>399000</v>
      </c>
      <c r="L398" s="11">
        <v>13.7</v>
      </c>
      <c r="M398" s="10">
        <v>196</v>
      </c>
      <c r="N398" s="10">
        <f>IF(Tabela1610[[#This Row],[Payroll]]="",#N/A,AVERAGE(M396:M398))</f>
        <v>243.33333333333334</v>
      </c>
      <c r="O398" s="10"/>
      <c r="P398" s="7"/>
    </row>
    <row r="399" spans="1:16">
      <c r="A399" s="6">
        <v>29587</v>
      </c>
      <c r="B399" s="11">
        <v>7.5</v>
      </c>
      <c r="C399" s="11">
        <f>IF(Tabela1610[[#This Row],[Unemployment Rate]]="",#N/A,AVERAGE(B387:B399))</f>
        <v>7.2000000000000011</v>
      </c>
      <c r="D399" s="10">
        <v>8071</v>
      </c>
      <c r="E399" s="11">
        <v>63.9</v>
      </c>
      <c r="F399" s="11"/>
      <c r="G399" s="11"/>
      <c r="H399" s="55">
        <v>5267.1</v>
      </c>
      <c r="I399" s="56">
        <f>IF(Tabela1610[[#This Row],[Real Disposable Income (RDI)]]="",#N/A,((Tabela1610[[#This Row],[Real Disposable Income (RDI)]]*1)/H398)-1)</f>
        <v>-4.0276832312229338E-3</v>
      </c>
      <c r="J399" s="56">
        <f>IF(Tabela1610[[#This Row],[Real Disposable Income (RDI)]]="",#N/A,((Tabela1610[[#This Row],[Real Disposable Income (RDI)]]*1)/H387)-1)</f>
        <v>9.25500114968969E-3</v>
      </c>
      <c r="K399" s="10">
        <v>419000</v>
      </c>
      <c r="L399" s="11">
        <v>14.3</v>
      </c>
      <c r="M399" s="10">
        <v>90</v>
      </c>
      <c r="N399" s="10">
        <f>IF(Tabela1610[[#This Row],[Payroll]]="",#N/A,AVERAGE(M397:M399))</f>
        <v>181</v>
      </c>
      <c r="O399" s="10"/>
      <c r="P399" s="7"/>
    </row>
    <row r="400" spans="1:16">
      <c r="A400" s="6">
        <v>29618</v>
      </c>
      <c r="B400" s="11">
        <v>7.4</v>
      </c>
      <c r="C400" s="11">
        <f>IF(Tabela1610[[#This Row],[Unemployment Rate]]="",#N/A,AVERAGE(B388:B400))</f>
        <v>7.2846153846153845</v>
      </c>
      <c r="D400" s="10">
        <v>8051</v>
      </c>
      <c r="E400" s="11">
        <v>63.9</v>
      </c>
      <c r="F400" s="11"/>
      <c r="G400" s="11"/>
      <c r="H400" s="55">
        <v>5250.2</v>
      </c>
      <c r="I400" s="56">
        <f>IF(Tabela1610[[#This Row],[Real Disposable Income (RDI)]]="",#N/A,((Tabela1610[[#This Row],[Real Disposable Income (RDI)]]*1)/H399)-1)</f>
        <v>-3.208596761026139E-3</v>
      </c>
      <c r="J400" s="56">
        <f>IF(Tabela1610[[#This Row],[Real Disposable Income (RDI)]]="",#N/A,((Tabela1610[[#This Row],[Real Disposable Income (RDI)]]*1)/H388)-1)</f>
        <v>1.1345905649837063E-2</v>
      </c>
      <c r="K400" s="10">
        <v>434000</v>
      </c>
      <c r="L400" s="11">
        <v>14.1</v>
      </c>
      <c r="M400" s="10">
        <v>72</v>
      </c>
      <c r="N400" s="10">
        <f>IF(Tabela1610[[#This Row],[Payroll]]="",#N/A,AVERAGE(M398:M400))</f>
        <v>119.33333333333333</v>
      </c>
      <c r="O400" s="10"/>
      <c r="P400" s="7"/>
    </row>
    <row r="401" spans="1:16">
      <c r="A401" s="6">
        <v>29646</v>
      </c>
      <c r="B401" s="11">
        <v>7.4</v>
      </c>
      <c r="C401" s="11">
        <f>IF(Tabela1610[[#This Row],[Unemployment Rate]]="",#N/A,AVERAGE(B389:B401))</f>
        <v>7.3692307692307697</v>
      </c>
      <c r="D401" s="10">
        <v>7982</v>
      </c>
      <c r="E401" s="11">
        <v>64.099999999999994</v>
      </c>
      <c r="F401" s="11"/>
      <c r="G401" s="11"/>
      <c r="H401" s="55">
        <v>5264.4</v>
      </c>
      <c r="I401" s="56">
        <f>IF(Tabela1610[[#This Row],[Real Disposable Income (RDI)]]="",#N/A,((Tabela1610[[#This Row],[Real Disposable Income (RDI)]]*1)/H400)-1)</f>
        <v>2.7046588701382657E-3</v>
      </c>
      <c r="J401" s="56">
        <f>IF(Tabela1610[[#This Row],[Real Disposable Income (RDI)]]="",#N/A,((Tabela1610[[#This Row],[Real Disposable Income (RDI)]]*1)/H389)-1)</f>
        <v>2.0430315952703948E-2</v>
      </c>
      <c r="K401" s="10">
        <v>412000</v>
      </c>
      <c r="L401" s="11">
        <v>14</v>
      </c>
      <c r="M401" s="10">
        <v>105</v>
      </c>
      <c r="N401" s="10">
        <f>IF(Tabela1610[[#This Row],[Payroll]]="",#N/A,AVERAGE(M399:M401))</f>
        <v>89</v>
      </c>
      <c r="O401" s="10"/>
      <c r="P401" s="7"/>
    </row>
    <row r="402" spans="1:16">
      <c r="A402" s="6">
        <v>29677</v>
      </c>
      <c r="B402" s="11">
        <v>7.2</v>
      </c>
      <c r="C402" s="11">
        <f>IF(Tabela1610[[#This Row],[Unemployment Rate]]="",#N/A,AVERAGE(B390:B402))</f>
        <v>7.4384615384615396</v>
      </c>
      <c r="D402" s="10">
        <v>7869</v>
      </c>
      <c r="E402" s="11">
        <v>64.2</v>
      </c>
      <c r="F402" s="11"/>
      <c r="G402" s="11"/>
      <c r="H402" s="55">
        <v>5249</v>
      </c>
      <c r="I402" s="56">
        <f>IF(Tabela1610[[#This Row],[Real Disposable Income (RDI)]]="",#N/A,((Tabela1610[[#This Row],[Real Disposable Income (RDI)]]*1)/H401)-1)</f>
        <v>-2.9253096269279411E-3</v>
      </c>
      <c r="J402" s="56">
        <f>IF(Tabela1610[[#This Row],[Real Disposable Income (RDI)]]="",#N/A,((Tabela1610[[#This Row],[Real Disposable Income (RDI)]]*1)/H390)-1)</f>
        <v>1.855085962665437E-2</v>
      </c>
      <c r="K402" s="10">
        <v>436000</v>
      </c>
      <c r="L402" s="11">
        <v>13.9</v>
      </c>
      <c r="M402" s="10">
        <v>73</v>
      </c>
      <c r="N402" s="10">
        <f>IF(Tabela1610[[#This Row],[Payroll]]="",#N/A,AVERAGE(M400:M402))</f>
        <v>83.333333333333329</v>
      </c>
      <c r="O402" s="10"/>
      <c r="P402" s="7"/>
    </row>
    <row r="403" spans="1:16">
      <c r="A403" s="6">
        <v>29707</v>
      </c>
      <c r="B403" s="11">
        <v>7.5</v>
      </c>
      <c r="C403" s="11">
        <f>IF(Tabela1610[[#This Row],[Unemployment Rate]]="",#N/A,AVERAGE(B391:B403))</f>
        <v>7.4846153846153856</v>
      </c>
      <c r="D403" s="10">
        <v>8174</v>
      </c>
      <c r="E403" s="11">
        <v>64.3</v>
      </c>
      <c r="F403" s="11"/>
      <c r="G403" s="11"/>
      <c r="H403" s="55">
        <v>5258.8</v>
      </c>
      <c r="I403" s="56">
        <f>IF(Tabela1610[[#This Row],[Real Disposable Income (RDI)]]="",#N/A,((Tabela1610[[#This Row],[Real Disposable Income (RDI)]]*1)/H402)-1)</f>
        <v>1.8670222899599409E-3</v>
      </c>
      <c r="J403" s="56">
        <f>IF(Tabela1610[[#This Row],[Real Disposable Income (RDI)]]="",#N/A,((Tabela1610[[#This Row],[Real Disposable Income (RDI)]]*1)/H391)-1)</f>
        <v>2.4248680443293091E-2</v>
      </c>
      <c r="K403" s="10">
        <v>417000</v>
      </c>
      <c r="L403" s="11">
        <v>13.6</v>
      </c>
      <c r="M403" s="10">
        <v>13</v>
      </c>
      <c r="N403" s="10">
        <f>IF(Tabela1610[[#This Row],[Payroll]]="",#N/A,AVERAGE(M401:M403))</f>
        <v>63.666666666666664</v>
      </c>
      <c r="O403" s="10"/>
      <c r="P403" s="7"/>
    </row>
    <row r="404" spans="1:16">
      <c r="A404" s="6">
        <v>29738</v>
      </c>
      <c r="B404" s="11">
        <v>7.5</v>
      </c>
      <c r="C404" s="11">
        <f>IF(Tabela1610[[#This Row],[Unemployment Rate]]="",#N/A,AVERAGE(B392:B404))</f>
        <v>7.4846153846153856</v>
      </c>
      <c r="D404" s="10">
        <v>8098</v>
      </c>
      <c r="E404" s="11">
        <v>63.7</v>
      </c>
      <c r="F404" s="11"/>
      <c r="G404" s="11"/>
      <c r="H404" s="55">
        <v>5287.2</v>
      </c>
      <c r="I404" s="56">
        <f>IF(Tabela1610[[#This Row],[Real Disposable Income (RDI)]]="",#N/A,((Tabela1610[[#This Row],[Real Disposable Income (RDI)]]*1)/H403)-1)</f>
        <v>5.4004715904767409E-3</v>
      </c>
      <c r="J404" s="56">
        <f>IF(Tabela1610[[#This Row],[Real Disposable Income (RDI)]]="",#N/A,((Tabela1610[[#This Row],[Real Disposable Income (RDI)]]*1)/H392)-1)</f>
        <v>2.7618510816116215E-2</v>
      </c>
      <c r="K404" s="10">
        <v>444000</v>
      </c>
      <c r="L404" s="11">
        <v>13.7</v>
      </c>
      <c r="M404" s="10">
        <v>194</v>
      </c>
      <c r="N404" s="10">
        <f>IF(Tabela1610[[#This Row],[Payroll]]="",#N/A,AVERAGE(M402:M404))</f>
        <v>93.333333333333329</v>
      </c>
      <c r="O404" s="10"/>
      <c r="P404" s="7"/>
    </row>
    <row r="405" spans="1:16">
      <c r="A405" s="6">
        <v>29768</v>
      </c>
      <c r="B405" s="11">
        <v>7.2</v>
      </c>
      <c r="C405" s="11">
        <f>IF(Tabela1610[[#This Row],[Unemployment Rate]]="",#N/A,AVERAGE(B393:B405))</f>
        <v>7.453846153846154</v>
      </c>
      <c r="D405" s="10">
        <v>7863</v>
      </c>
      <c r="E405" s="11">
        <v>63.8</v>
      </c>
      <c r="F405" s="11"/>
      <c r="G405" s="11"/>
      <c r="H405" s="55">
        <v>5370.5</v>
      </c>
      <c r="I405" s="56">
        <f>IF(Tabela1610[[#This Row],[Real Disposable Income (RDI)]]="",#N/A,((Tabela1610[[#This Row],[Real Disposable Income (RDI)]]*1)/H404)-1)</f>
        <v>1.575503101830833E-2</v>
      </c>
      <c r="J405" s="56">
        <f>IF(Tabela1610[[#This Row],[Real Disposable Income (RDI)]]="",#N/A,((Tabela1610[[#This Row],[Real Disposable Income (RDI)]]*1)/H393)-1)</f>
        <v>3.481829742957343E-2</v>
      </c>
      <c r="K405" s="10">
        <v>407000</v>
      </c>
      <c r="L405" s="11">
        <v>13.8</v>
      </c>
      <c r="M405" s="10">
        <v>111</v>
      </c>
      <c r="N405" s="10">
        <f>IF(Tabela1610[[#This Row],[Payroll]]="",#N/A,AVERAGE(M403:M405))</f>
        <v>106</v>
      </c>
      <c r="O405" s="10"/>
      <c r="P405" s="7"/>
    </row>
    <row r="406" spans="1:16">
      <c r="A406" s="6">
        <v>29799</v>
      </c>
      <c r="B406" s="11">
        <v>7.4</v>
      </c>
      <c r="C406" s="11">
        <f>IF(Tabela1610[[#This Row],[Unemployment Rate]]="",#N/A,AVERAGE(B394:B406))</f>
        <v>7.4230769230769234</v>
      </c>
      <c r="D406" s="10">
        <v>8036</v>
      </c>
      <c r="E406" s="11">
        <v>63.8</v>
      </c>
      <c r="F406" s="11"/>
      <c r="G406" s="11"/>
      <c r="H406" s="55">
        <v>5386.1</v>
      </c>
      <c r="I406" s="56">
        <f>IF(Tabela1610[[#This Row],[Real Disposable Income (RDI)]]="",#N/A,((Tabela1610[[#This Row],[Real Disposable Income (RDI)]]*1)/H405)-1)</f>
        <v>2.9047574713714219E-3</v>
      </c>
      <c r="J406" s="56">
        <f>IF(Tabela1610[[#This Row],[Real Disposable Income (RDI)]]="",#N/A,((Tabela1610[[#This Row],[Real Disposable Income (RDI)]]*1)/H394)-1)</f>
        <v>3.6825286825286963E-2</v>
      </c>
      <c r="K406" s="10">
        <v>451000</v>
      </c>
      <c r="L406" s="11">
        <v>14.4</v>
      </c>
      <c r="M406" s="10">
        <v>-36</v>
      </c>
      <c r="N406" s="10">
        <f>IF(Tabela1610[[#This Row],[Payroll]]="",#N/A,AVERAGE(M404:M406))</f>
        <v>89.666666666666671</v>
      </c>
      <c r="O406" s="10"/>
      <c r="P406" s="7"/>
    </row>
    <row r="407" spans="1:16">
      <c r="A407" s="6">
        <v>29830</v>
      </c>
      <c r="B407" s="11">
        <v>7.6</v>
      </c>
      <c r="C407" s="11">
        <f>IF(Tabela1610[[#This Row],[Unemployment Rate]]="",#N/A,AVERAGE(B395:B407))</f>
        <v>7.4153846153846157</v>
      </c>
      <c r="D407" s="10">
        <v>8230</v>
      </c>
      <c r="E407" s="11">
        <v>63.5</v>
      </c>
      <c r="F407" s="11"/>
      <c r="G407" s="11"/>
      <c r="H407" s="55">
        <v>5376.3</v>
      </c>
      <c r="I407" s="56">
        <f>IF(Tabela1610[[#This Row],[Real Disposable Income (RDI)]]="",#N/A,((Tabela1610[[#This Row],[Real Disposable Income (RDI)]]*1)/H406)-1)</f>
        <v>-1.8194983383152952E-3</v>
      </c>
      <c r="J407" s="56">
        <f>IF(Tabela1610[[#This Row],[Real Disposable Income (RDI)]]="",#N/A,((Tabela1610[[#This Row],[Real Disposable Income (RDI)]]*1)/H395)-1)</f>
        <v>3.0613809761147026E-2</v>
      </c>
      <c r="K407" s="10">
        <v>491000</v>
      </c>
      <c r="L407" s="11">
        <v>13.6</v>
      </c>
      <c r="M407" s="10">
        <v>-88</v>
      </c>
      <c r="N407" s="10">
        <f>IF(Tabela1610[[#This Row],[Payroll]]="",#N/A,AVERAGE(M405:M407))</f>
        <v>-4.333333333333333</v>
      </c>
      <c r="O407" s="10"/>
      <c r="P407" s="7"/>
    </row>
    <row r="408" spans="1:16">
      <c r="A408" s="6">
        <v>29860</v>
      </c>
      <c r="B408" s="11">
        <v>7.9</v>
      </c>
      <c r="C408" s="11">
        <f>IF(Tabela1610[[#This Row],[Unemployment Rate]]="",#N/A,AVERAGE(B396:B408))</f>
        <v>7.4461538461538472</v>
      </c>
      <c r="D408" s="10">
        <v>8646</v>
      </c>
      <c r="E408" s="11">
        <v>63.8</v>
      </c>
      <c r="F408" s="11"/>
      <c r="G408" s="11"/>
      <c r="H408" s="55">
        <v>5382.3</v>
      </c>
      <c r="I408" s="56">
        <f>IF(Tabela1610[[#This Row],[Real Disposable Income (RDI)]]="",#N/A,((Tabela1610[[#This Row],[Real Disposable Income (RDI)]]*1)/H407)-1)</f>
        <v>1.1160091512749659E-3</v>
      </c>
      <c r="J408" s="56">
        <f>IF(Tabela1610[[#This Row],[Real Disposable Income (RDI)]]="",#N/A,((Tabela1610[[#This Row],[Real Disposable Income (RDI)]]*1)/H396)-1)</f>
        <v>2.3815411538681053E-2</v>
      </c>
      <c r="K408" s="10">
        <v>514000</v>
      </c>
      <c r="L408" s="11">
        <v>13.5</v>
      </c>
      <c r="M408" s="10">
        <v>-97</v>
      </c>
      <c r="N408" s="10">
        <f>IF(Tabela1610[[#This Row],[Payroll]]="",#N/A,AVERAGE(M406:M408))</f>
        <v>-73.666666666666671</v>
      </c>
      <c r="O408" s="10"/>
      <c r="P408" s="7"/>
    </row>
    <row r="409" spans="1:16">
      <c r="A409" s="6">
        <v>29891</v>
      </c>
      <c r="B409" s="11">
        <v>8.3000000000000007</v>
      </c>
      <c r="C409" s="11">
        <f>IF(Tabela1610[[#This Row],[Unemployment Rate]]="",#N/A,AVERAGE(B397:B409))</f>
        <v>7.5076923076923086</v>
      </c>
      <c r="D409" s="10">
        <v>9029</v>
      </c>
      <c r="E409" s="11">
        <v>63.9</v>
      </c>
      <c r="F409" s="11"/>
      <c r="G409" s="11"/>
      <c r="H409" s="55">
        <v>5385</v>
      </c>
      <c r="I409" s="56">
        <f>IF(Tabela1610[[#This Row],[Real Disposable Income (RDI)]]="",#N/A,((Tabela1610[[#This Row],[Real Disposable Income (RDI)]]*1)/H408)-1)</f>
        <v>5.0164427846821624E-4</v>
      </c>
      <c r="J409" s="56">
        <f>IF(Tabela1610[[#This Row],[Real Disposable Income (RDI)]]="",#N/A,((Tabela1610[[#This Row],[Real Disposable Income (RDI)]]*1)/H397)-1)</f>
        <v>2.2889163263367873E-2</v>
      </c>
      <c r="K409" s="10">
        <v>552000</v>
      </c>
      <c r="L409" s="11">
        <v>13.1</v>
      </c>
      <c r="M409" s="10">
        <v>-209</v>
      </c>
      <c r="N409" s="10">
        <f>IF(Tabela1610[[#This Row],[Payroll]]="",#N/A,AVERAGE(M407:M409))</f>
        <v>-131.33333333333334</v>
      </c>
      <c r="O409" s="10"/>
      <c r="P409" s="7"/>
    </row>
    <row r="410" spans="1:16">
      <c r="A410" s="6">
        <v>29921</v>
      </c>
      <c r="B410" s="11">
        <v>8.5</v>
      </c>
      <c r="C410" s="11">
        <f>IF(Tabela1610[[#This Row],[Unemployment Rate]]="",#N/A,AVERAGE(B398:B410))</f>
        <v>7.5846153846153852</v>
      </c>
      <c r="D410" s="10">
        <v>9267</v>
      </c>
      <c r="E410" s="11">
        <v>63.6</v>
      </c>
      <c r="F410" s="11"/>
      <c r="G410" s="11"/>
      <c r="H410" s="55">
        <v>5377.6</v>
      </c>
      <c r="I410" s="56">
        <f>IF(Tabela1610[[#This Row],[Real Disposable Income (RDI)]]="",#N/A,((Tabela1610[[#This Row],[Real Disposable Income (RDI)]]*1)/H409)-1)</f>
        <v>-1.3741875580315366E-3</v>
      </c>
      <c r="J410" s="56">
        <f>IF(Tabela1610[[#This Row],[Real Disposable Income (RDI)]]="",#N/A,((Tabela1610[[#This Row],[Real Disposable Income (RDI)]]*1)/H398)-1)</f>
        <v>1.6867105362680768E-2</v>
      </c>
      <c r="K410" s="10">
        <v>556000</v>
      </c>
      <c r="L410" s="11">
        <v>13.1</v>
      </c>
      <c r="M410" s="10">
        <v>-276</v>
      </c>
      <c r="N410" s="10">
        <f>IF(Tabela1610[[#This Row],[Payroll]]="",#N/A,AVERAGE(M408:M410))</f>
        <v>-194</v>
      </c>
      <c r="O410" s="10"/>
      <c r="P410" s="7"/>
    </row>
    <row r="411" spans="1:16">
      <c r="A411" s="6">
        <v>29952</v>
      </c>
      <c r="B411" s="11">
        <v>8.6</v>
      </c>
      <c r="C411" s="11">
        <f>IF(Tabela1610[[#This Row],[Unemployment Rate]]="",#N/A,AVERAGE(B399:B411))</f>
        <v>7.6923076923076925</v>
      </c>
      <c r="D411" s="10">
        <v>9397</v>
      </c>
      <c r="E411" s="11">
        <v>63.7</v>
      </c>
      <c r="F411" s="11"/>
      <c r="G411" s="11"/>
      <c r="H411" s="55">
        <v>5384.7</v>
      </c>
      <c r="I411" s="56">
        <f>IF(Tabela1610[[#This Row],[Real Disposable Income (RDI)]]="",#N/A,((Tabela1610[[#This Row],[Real Disposable Income (RDI)]]*1)/H410)-1)</f>
        <v>1.3202915798868897E-3</v>
      </c>
      <c r="J411" s="56">
        <f>IF(Tabela1610[[#This Row],[Real Disposable Income (RDI)]]="",#N/A,((Tabela1610[[#This Row],[Real Disposable Income (RDI)]]*1)/H399)-1)</f>
        <v>2.2327276869624546E-2</v>
      </c>
      <c r="K411" s="10">
        <v>583000</v>
      </c>
      <c r="L411" s="11">
        <v>13.4</v>
      </c>
      <c r="M411" s="10">
        <v>-330</v>
      </c>
      <c r="N411" s="10">
        <f>IF(Tabela1610[[#This Row],[Payroll]]="",#N/A,AVERAGE(M409:M411))</f>
        <v>-271.66666666666669</v>
      </c>
      <c r="O411" s="10"/>
      <c r="P411" s="7"/>
    </row>
    <row r="412" spans="1:16">
      <c r="A412" s="6">
        <v>29983</v>
      </c>
      <c r="B412" s="11">
        <v>8.9</v>
      </c>
      <c r="C412" s="11">
        <f>IF(Tabela1610[[#This Row],[Unemployment Rate]]="",#N/A,AVERAGE(B400:B412))</f>
        <v>7.8000000000000007</v>
      </c>
      <c r="D412" s="10">
        <v>9705</v>
      </c>
      <c r="E412" s="11">
        <v>63.8</v>
      </c>
      <c r="F412" s="11"/>
      <c r="G412" s="11"/>
      <c r="H412" s="55">
        <v>5399.5</v>
      </c>
      <c r="I412" s="56">
        <f>IF(Tabela1610[[#This Row],[Real Disposable Income (RDI)]]="",#N/A,((Tabela1610[[#This Row],[Real Disposable Income (RDI)]]*1)/H411)-1)</f>
        <v>2.7485282374133391E-3</v>
      </c>
      <c r="J412" s="56">
        <f>IF(Tabela1610[[#This Row],[Real Disposable Income (RDI)]]="",#N/A,((Tabela1610[[#This Row],[Real Disposable Income (RDI)]]*1)/H400)-1)</f>
        <v>2.8437011923355238E-2</v>
      </c>
      <c r="K412" s="10">
        <v>528000</v>
      </c>
      <c r="L412" s="11">
        <v>14.1</v>
      </c>
      <c r="M412" s="10">
        <v>-2</v>
      </c>
      <c r="N412" s="10">
        <f>IF(Tabela1610[[#This Row],[Payroll]]="",#N/A,AVERAGE(M410:M412))</f>
        <v>-202.66666666666666</v>
      </c>
      <c r="O412" s="10"/>
      <c r="P412" s="7"/>
    </row>
    <row r="413" spans="1:16">
      <c r="A413" s="6">
        <v>30011</v>
      </c>
      <c r="B413" s="11">
        <v>9</v>
      </c>
      <c r="C413" s="11">
        <f>IF(Tabela1610[[#This Row],[Unemployment Rate]]="",#N/A,AVERAGE(B401:B413))</f>
        <v>7.9230769230769234</v>
      </c>
      <c r="D413" s="10">
        <v>9895</v>
      </c>
      <c r="E413" s="11">
        <v>63.8</v>
      </c>
      <c r="F413" s="11"/>
      <c r="G413" s="11"/>
      <c r="H413" s="55">
        <v>5398.9</v>
      </c>
      <c r="I413" s="56">
        <f>IF(Tabela1610[[#This Row],[Real Disposable Income (RDI)]]="",#N/A,((Tabela1610[[#This Row],[Real Disposable Income (RDI)]]*1)/H412)-1)</f>
        <v>-1.1112140012969896E-4</v>
      </c>
      <c r="J413" s="56">
        <f>IF(Tabela1610[[#This Row],[Real Disposable Income (RDI)]]="",#N/A,((Tabela1610[[#This Row],[Real Disposable Income (RDI)]]*1)/H401)-1)</f>
        <v>2.5548970442975438E-2</v>
      </c>
      <c r="K413" s="10">
        <v>574000</v>
      </c>
      <c r="L413" s="11">
        <v>14.1</v>
      </c>
      <c r="M413" s="10">
        <v>-129</v>
      </c>
      <c r="N413" s="10">
        <f>IF(Tabela1610[[#This Row],[Payroll]]="",#N/A,AVERAGE(M411:M413))</f>
        <v>-153.66666666666666</v>
      </c>
      <c r="O413" s="10"/>
      <c r="P413" s="7"/>
    </row>
    <row r="414" spans="1:16">
      <c r="A414" s="6">
        <v>30042</v>
      </c>
      <c r="B414" s="11">
        <v>9.3000000000000007</v>
      </c>
      <c r="C414" s="11">
        <f>IF(Tabela1610[[#This Row],[Unemployment Rate]]="",#N/A,AVERAGE(B402:B414))</f>
        <v>8.069230769230769</v>
      </c>
      <c r="D414" s="10">
        <v>10244</v>
      </c>
      <c r="E414" s="11">
        <v>63.9</v>
      </c>
      <c r="F414" s="11"/>
      <c r="G414" s="11"/>
      <c r="H414" s="55">
        <v>5452.7</v>
      </c>
      <c r="I414" s="56">
        <f>IF(Tabela1610[[#This Row],[Real Disposable Income (RDI)]]="",#N/A,((Tabela1610[[#This Row],[Real Disposable Income (RDI)]]*1)/H413)-1)</f>
        <v>9.9649928689178324E-3</v>
      </c>
      <c r="J414" s="56">
        <f>IF(Tabela1610[[#This Row],[Real Disposable Income (RDI)]]="",#N/A,((Tabela1610[[#This Row],[Real Disposable Income (RDI)]]*1)/H402)-1)</f>
        <v>3.8807391884168485E-2</v>
      </c>
      <c r="K414" s="10">
        <v>588000</v>
      </c>
      <c r="L414" s="11">
        <v>14.5</v>
      </c>
      <c r="M414" s="10">
        <v>-284</v>
      </c>
      <c r="N414" s="10">
        <f>IF(Tabela1610[[#This Row],[Payroll]]="",#N/A,AVERAGE(M412:M414))</f>
        <v>-138.33333333333334</v>
      </c>
      <c r="O414" s="10"/>
      <c r="P414" s="7"/>
    </row>
    <row r="415" spans="1:16">
      <c r="A415" s="6">
        <v>30072</v>
      </c>
      <c r="B415" s="11">
        <v>9.4</v>
      </c>
      <c r="C415" s="11">
        <f>IF(Tabela1610[[#This Row],[Unemployment Rate]]="",#N/A,AVERAGE(B403:B415))</f>
        <v>8.2384615384615394</v>
      </c>
      <c r="D415" s="10">
        <v>10335</v>
      </c>
      <c r="E415" s="11">
        <v>64.2</v>
      </c>
      <c r="F415" s="11"/>
      <c r="G415" s="11"/>
      <c r="H415" s="55">
        <v>5430.3</v>
      </c>
      <c r="I415" s="56">
        <f>IF(Tabela1610[[#This Row],[Real Disposable Income (RDI)]]="",#N/A,((Tabela1610[[#This Row],[Real Disposable Income (RDI)]]*1)/H414)-1)</f>
        <v>-4.1080565591358198E-3</v>
      </c>
      <c r="J415" s="56">
        <f>IF(Tabela1610[[#This Row],[Real Disposable Income (RDI)]]="",#N/A,((Tabela1610[[#This Row],[Real Disposable Income (RDI)]]*1)/H403)-1)</f>
        <v>3.2612002738267254E-2</v>
      </c>
      <c r="K415" s="10">
        <v>588000</v>
      </c>
      <c r="L415" s="11">
        <v>14.9</v>
      </c>
      <c r="M415" s="10">
        <v>-43</v>
      </c>
      <c r="N415" s="10">
        <f>IF(Tabela1610[[#This Row],[Payroll]]="",#N/A,AVERAGE(M413:M415))</f>
        <v>-152</v>
      </c>
      <c r="O415" s="10"/>
      <c r="P415" s="7"/>
    </row>
    <row r="416" spans="1:16">
      <c r="A416" s="6">
        <v>30103</v>
      </c>
      <c r="B416" s="11">
        <v>9.6</v>
      </c>
      <c r="C416" s="11">
        <f>IF(Tabela1610[[#This Row],[Unemployment Rate]]="",#N/A,AVERAGE(B404:B416))</f>
        <v>8.4</v>
      </c>
      <c r="D416" s="10">
        <v>10538</v>
      </c>
      <c r="E416" s="11">
        <v>63.9</v>
      </c>
      <c r="F416" s="11"/>
      <c r="G416" s="11"/>
      <c r="H416" s="55">
        <v>5400.9</v>
      </c>
      <c r="I416" s="56">
        <f>IF(Tabela1610[[#This Row],[Real Disposable Income (RDI)]]="",#N/A,((Tabela1610[[#This Row],[Real Disposable Income (RDI)]]*1)/H415)-1)</f>
        <v>-5.4140655212420175E-3</v>
      </c>
      <c r="J416" s="56">
        <f>IF(Tabela1610[[#This Row],[Real Disposable Income (RDI)]]="",#N/A,((Tabela1610[[#This Row],[Real Disposable Income (RDI)]]*1)/H404)-1)</f>
        <v>2.1504766227871119E-2</v>
      </c>
      <c r="K416" s="10">
        <v>582000</v>
      </c>
      <c r="L416" s="11">
        <v>15.7</v>
      </c>
      <c r="M416" s="10">
        <v>-242</v>
      </c>
      <c r="N416" s="10">
        <f>IF(Tabela1610[[#This Row],[Payroll]]="",#N/A,AVERAGE(M414:M416))</f>
        <v>-189.66666666666666</v>
      </c>
      <c r="O416" s="10"/>
      <c r="P416" s="7"/>
    </row>
    <row r="417" spans="1:16">
      <c r="A417" s="6">
        <v>30133</v>
      </c>
      <c r="B417" s="11">
        <v>9.8000000000000007</v>
      </c>
      <c r="C417" s="11">
        <f>IF(Tabela1610[[#This Row],[Unemployment Rate]]="",#N/A,AVERAGE(B405:B417))</f>
        <v>8.5769230769230766</v>
      </c>
      <c r="D417" s="10">
        <v>10849</v>
      </c>
      <c r="E417" s="11">
        <v>64</v>
      </c>
      <c r="F417" s="11"/>
      <c r="G417" s="11"/>
      <c r="H417" s="55">
        <v>5450.4</v>
      </c>
      <c r="I417" s="56">
        <f>IF(Tabela1610[[#This Row],[Real Disposable Income (RDI)]]="",#N/A,((Tabela1610[[#This Row],[Real Disposable Income (RDI)]]*1)/H416)-1)</f>
        <v>9.1651391434761642E-3</v>
      </c>
      <c r="J417" s="56">
        <f>IF(Tabela1610[[#This Row],[Real Disposable Income (RDI)]]="",#N/A,((Tabela1610[[#This Row],[Real Disposable Income (RDI)]]*1)/H405)-1)</f>
        <v>1.4877571920677735E-2</v>
      </c>
      <c r="K417" s="10">
        <v>605000</v>
      </c>
      <c r="L417" s="11">
        <v>15.4</v>
      </c>
      <c r="M417" s="10">
        <v>-344</v>
      </c>
      <c r="N417" s="10">
        <f>IF(Tabela1610[[#This Row],[Payroll]]="",#N/A,AVERAGE(M415:M417))</f>
        <v>-209.66666666666666</v>
      </c>
      <c r="O417" s="10"/>
      <c r="P417" s="7"/>
    </row>
    <row r="418" spans="1:16">
      <c r="A418" s="6">
        <v>30164</v>
      </c>
      <c r="B418" s="11">
        <v>9.8000000000000007</v>
      </c>
      <c r="C418" s="11">
        <f>IF(Tabela1610[[#This Row],[Unemployment Rate]]="",#N/A,AVERAGE(B406:B418))</f>
        <v>8.7769230769230759</v>
      </c>
      <c r="D418" s="10">
        <v>10881</v>
      </c>
      <c r="E418" s="11">
        <v>64.099999999999994</v>
      </c>
      <c r="F418" s="11"/>
      <c r="G418" s="11"/>
      <c r="H418" s="55">
        <v>5459.3</v>
      </c>
      <c r="I418" s="56">
        <f>IF(Tabela1610[[#This Row],[Real Disposable Income (RDI)]]="",#N/A,((Tabela1610[[#This Row],[Real Disposable Income (RDI)]]*1)/H417)-1)</f>
        <v>1.6329076765009276E-3</v>
      </c>
      <c r="J418" s="56">
        <f>IF(Tabela1610[[#This Row],[Real Disposable Income (RDI)]]="",#N/A,((Tabela1610[[#This Row],[Real Disposable Income (RDI)]]*1)/H406)-1)</f>
        <v>1.359053860864079E-2</v>
      </c>
      <c r="K418" s="10">
        <v>647000</v>
      </c>
      <c r="L418" s="11">
        <v>16.2</v>
      </c>
      <c r="M418" s="10">
        <v>-158</v>
      </c>
      <c r="N418" s="10">
        <f>IF(Tabela1610[[#This Row],[Payroll]]="",#N/A,AVERAGE(M416:M418))</f>
        <v>-248</v>
      </c>
      <c r="O418" s="10"/>
      <c r="P418" s="7"/>
    </row>
    <row r="419" spans="1:16">
      <c r="A419" s="6">
        <v>30195</v>
      </c>
      <c r="B419" s="11">
        <v>10.1</v>
      </c>
      <c r="C419" s="11">
        <f>IF(Tabela1610[[#This Row],[Unemployment Rate]]="",#N/A,AVERAGE(B407:B419))</f>
        <v>8.9846153846153829</v>
      </c>
      <c r="D419" s="10">
        <v>11217</v>
      </c>
      <c r="E419" s="11">
        <v>64.099999999999994</v>
      </c>
      <c r="F419" s="11"/>
      <c r="G419" s="11"/>
      <c r="H419" s="55">
        <v>5457.7</v>
      </c>
      <c r="I419" s="56">
        <f>IF(Tabela1610[[#This Row],[Real Disposable Income (RDI)]]="",#N/A,((Tabela1610[[#This Row],[Real Disposable Income (RDI)]]*1)/H418)-1)</f>
        <v>-2.9307786712584605E-4</v>
      </c>
      <c r="J419" s="56">
        <f>IF(Tabela1610[[#This Row],[Real Disposable Income (RDI)]]="",#N/A,((Tabela1610[[#This Row],[Real Disposable Income (RDI)]]*1)/H407)-1)</f>
        <v>1.5140524152297941E-2</v>
      </c>
      <c r="K419" s="10">
        <v>671000</v>
      </c>
      <c r="L419" s="11">
        <v>16.600000000000001</v>
      </c>
      <c r="M419" s="10">
        <v>-180</v>
      </c>
      <c r="N419" s="10">
        <f>IF(Tabela1610[[#This Row],[Payroll]]="",#N/A,AVERAGE(M417:M419))</f>
        <v>-227.33333333333334</v>
      </c>
      <c r="O419" s="10"/>
      <c r="P419" s="7"/>
    </row>
    <row r="420" spans="1:16">
      <c r="A420" s="6">
        <v>30225</v>
      </c>
      <c r="B420" s="11">
        <v>10.4</v>
      </c>
      <c r="C420" s="11">
        <f>IF(Tabela1610[[#This Row],[Unemployment Rate]]="",#N/A,AVERAGE(B408:B420))</f>
        <v>9.1999999999999993</v>
      </c>
      <c r="D420" s="10">
        <v>11529</v>
      </c>
      <c r="E420" s="11">
        <v>64.099999999999994</v>
      </c>
      <c r="F420" s="11"/>
      <c r="G420" s="11"/>
      <c r="H420" s="55">
        <v>5452.2</v>
      </c>
      <c r="I420" s="56">
        <f>IF(Tabela1610[[#This Row],[Real Disposable Income (RDI)]]="",#N/A,((Tabela1610[[#This Row],[Real Disposable Income (RDI)]]*1)/H419)-1)</f>
        <v>-1.0077505176172563E-3</v>
      </c>
      <c r="J420" s="56">
        <f>IF(Tabela1610[[#This Row],[Real Disposable Income (RDI)]]="",#N/A,((Tabela1610[[#This Row],[Real Disposable Income (RDI)]]*1)/H408)-1)</f>
        <v>1.298701298701288E-2</v>
      </c>
      <c r="K420" s="10">
        <v>637000</v>
      </c>
      <c r="L420" s="11">
        <v>17.2</v>
      </c>
      <c r="M420" s="10">
        <v>-276</v>
      </c>
      <c r="N420" s="10">
        <f>IF(Tabela1610[[#This Row],[Payroll]]="",#N/A,AVERAGE(M418:M420))</f>
        <v>-204.66666666666666</v>
      </c>
      <c r="O420" s="10"/>
      <c r="P420" s="7"/>
    </row>
    <row r="421" spans="1:16">
      <c r="A421" s="6">
        <v>30256</v>
      </c>
      <c r="B421" s="11">
        <v>10.8</v>
      </c>
      <c r="C421" s="11">
        <f>IF(Tabela1610[[#This Row],[Unemployment Rate]]="",#N/A,AVERAGE(B409:B421))</f>
        <v>9.4230769230769216</v>
      </c>
      <c r="D421" s="10">
        <v>11938</v>
      </c>
      <c r="E421" s="11">
        <v>64.2</v>
      </c>
      <c r="F421" s="11"/>
      <c r="G421" s="11"/>
      <c r="H421" s="55">
        <v>5474.3</v>
      </c>
      <c r="I421" s="56">
        <f>IF(Tabela1610[[#This Row],[Real Disposable Income (RDI)]]="",#N/A,((Tabela1610[[#This Row],[Real Disposable Income (RDI)]]*1)/H420)-1)</f>
        <v>4.0534096328088687E-3</v>
      </c>
      <c r="J421" s="56">
        <f>IF(Tabela1610[[#This Row],[Real Disposable Income (RDI)]]="",#N/A,((Tabela1610[[#This Row],[Real Disposable Income (RDI)]]*1)/H409)-1)</f>
        <v>1.658310120705675E-2</v>
      </c>
      <c r="K421" s="10">
        <v>612000</v>
      </c>
      <c r="L421" s="11">
        <v>17.100000000000001</v>
      </c>
      <c r="M421" s="10">
        <v>-121</v>
      </c>
      <c r="N421" s="10">
        <f>IF(Tabela1610[[#This Row],[Payroll]]="",#N/A,AVERAGE(M419:M421))</f>
        <v>-192.33333333333334</v>
      </c>
      <c r="O421" s="10"/>
      <c r="P421" s="7"/>
    </row>
    <row r="422" spans="1:16">
      <c r="A422" s="6">
        <v>30286</v>
      </c>
      <c r="B422" s="11">
        <v>10.8</v>
      </c>
      <c r="C422" s="11">
        <f>IF(Tabela1610[[#This Row],[Unemployment Rate]]="",#N/A,AVERAGE(B410:B422))</f>
        <v>9.615384615384615</v>
      </c>
      <c r="D422" s="10">
        <v>12051</v>
      </c>
      <c r="E422" s="11">
        <v>64.099999999999994</v>
      </c>
      <c r="F422" s="11"/>
      <c r="G422" s="11"/>
      <c r="H422" s="55">
        <v>5500.9</v>
      </c>
      <c r="I422" s="56">
        <f>IF(Tabela1610[[#This Row],[Real Disposable Income (RDI)]]="",#N/A,((Tabela1610[[#This Row],[Real Disposable Income (RDI)]]*1)/H421)-1)</f>
        <v>4.859068739382133E-3</v>
      </c>
      <c r="J422" s="56">
        <f>IF(Tabela1610[[#This Row],[Real Disposable Income (RDI)]]="",#N/A,((Tabela1610[[#This Row],[Real Disposable Income (RDI)]]*1)/H410)-1)</f>
        <v>2.2928443915501306E-2</v>
      </c>
      <c r="K422" s="10">
        <v>489000</v>
      </c>
      <c r="L422" s="11">
        <v>18.100000000000001</v>
      </c>
      <c r="M422" s="10">
        <v>-15</v>
      </c>
      <c r="N422" s="10">
        <f>IF(Tabela1610[[#This Row],[Payroll]]="",#N/A,AVERAGE(M420:M422))</f>
        <v>-137.33333333333334</v>
      </c>
      <c r="O422" s="10"/>
      <c r="P422" s="7"/>
    </row>
    <row r="423" spans="1:16">
      <c r="A423" s="6">
        <v>30317</v>
      </c>
      <c r="B423" s="11">
        <v>10.4</v>
      </c>
      <c r="C423" s="11">
        <f>IF(Tabela1610[[#This Row],[Unemployment Rate]]="",#N/A,AVERAGE(B411:B423))</f>
        <v>9.7615384615384606</v>
      </c>
      <c r="D423" s="10">
        <v>11534</v>
      </c>
      <c r="E423" s="11">
        <v>63.9</v>
      </c>
      <c r="F423" s="11"/>
      <c r="G423" s="11"/>
      <c r="H423" s="55">
        <v>5520</v>
      </c>
      <c r="I423" s="56">
        <f>IF(Tabela1610[[#This Row],[Real Disposable Income (RDI)]]="",#N/A,((Tabela1610[[#This Row],[Real Disposable Income (RDI)]]*1)/H422)-1)</f>
        <v>3.4721591012381037E-3</v>
      </c>
      <c r="J423" s="56">
        <f>IF(Tabela1610[[#This Row],[Real Disposable Income (RDI)]]="",#N/A,((Tabela1610[[#This Row],[Real Disposable Income (RDI)]]*1)/H411)-1)</f>
        <v>2.5126748008245547E-2</v>
      </c>
      <c r="K423" s="10">
        <v>503000</v>
      </c>
      <c r="L423" s="11">
        <v>19.399999999999999</v>
      </c>
      <c r="M423" s="10">
        <v>219</v>
      </c>
      <c r="N423" s="10">
        <f>IF(Tabela1610[[#This Row],[Payroll]]="",#N/A,AVERAGE(M421:M423))</f>
        <v>27.666666666666668</v>
      </c>
      <c r="O423" s="10"/>
      <c r="P423" s="7"/>
    </row>
    <row r="424" spans="1:16">
      <c r="A424" s="6">
        <v>30348</v>
      </c>
      <c r="B424" s="11">
        <v>10.4</v>
      </c>
      <c r="C424" s="11">
        <f>IF(Tabela1610[[#This Row],[Unemployment Rate]]="",#N/A,AVERAGE(B412:B424))</f>
        <v>9.8999999999999986</v>
      </c>
      <c r="D424" s="10">
        <v>11545</v>
      </c>
      <c r="E424" s="11">
        <v>63.8</v>
      </c>
      <c r="F424" s="11"/>
      <c r="G424" s="11"/>
      <c r="H424" s="55">
        <v>5522.6</v>
      </c>
      <c r="I424" s="56">
        <f>IF(Tabela1610[[#This Row],[Real Disposable Income (RDI)]]="",#N/A,((Tabela1610[[#This Row],[Real Disposable Income (RDI)]]*1)/H423)-1)</f>
        <v>4.7101449275377405E-4</v>
      </c>
      <c r="J424" s="56">
        <f>IF(Tabela1610[[#This Row],[Real Disposable Income (RDI)]]="",#N/A,((Tabela1610[[#This Row],[Real Disposable Income (RDI)]]*1)/H412)-1)</f>
        <v>2.2798407259931652E-2</v>
      </c>
      <c r="K424" s="10">
        <v>481000</v>
      </c>
      <c r="L424" s="11">
        <v>19.2</v>
      </c>
      <c r="M424" s="10">
        <v>-73</v>
      </c>
      <c r="N424" s="10">
        <f>IF(Tabela1610[[#This Row],[Payroll]]="",#N/A,AVERAGE(M422:M424))</f>
        <v>43.666666666666664</v>
      </c>
      <c r="O424" s="10"/>
      <c r="P424" s="7"/>
    </row>
    <row r="425" spans="1:16">
      <c r="A425" s="6">
        <v>30376</v>
      </c>
      <c r="B425" s="11">
        <v>10.3</v>
      </c>
      <c r="C425" s="11">
        <f>IF(Tabela1610[[#This Row],[Unemployment Rate]]="",#N/A,AVERAGE(B413:B425))</f>
        <v>10.007692307692309</v>
      </c>
      <c r="D425" s="10">
        <v>11408</v>
      </c>
      <c r="E425" s="11">
        <v>63.7</v>
      </c>
      <c r="F425" s="11"/>
      <c r="G425" s="11"/>
      <c r="H425" s="55">
        <v>5549.2</v>
      </c>
      <c r="I425" s="56">
        <f>IF(Tabela1610[[#This Row],[Real Disposable Income (RDI)]]="",#N/A,((Tabela1610[[#This Row],[Real Disposable Income (RDI)]]*1)/H424)-1)</f>
        <v>4.8165719045376587E-3</v>
      </c>
      <c r="J425" s="56">
        <f>IF(Tabela1610[[#This Row],[Real Disposable Income (RDI)]]="",#N/A,((Tabela1610[[#This Row],[Real Disposable Income (RDI)]]*1)/H413)-1)</f>
        <v>2.7839004241604792E-2</v>
      </c>
      <c r="K425" s="10">
        <v>481000</v>
      </c>
      <c r="L425" s="11">
        <v>19.399999999999999</v>
      </c>
      <c r="M425" s="10">
        <v>173</v>
      </c>
      <c r="N425" s="10">
        <f>IF(Tabela1610[[#This Row],[Payroll]]="",#N/A,AVERAGE(M423:M425))</f>
        <v>106.33333333333333</v>
      </c>
      <c r="O425" s="10"/>
      <c r="P425" s="7"/>
    </row>
    <row r="426" spans="1:16">
      <c r="A426" s="6">
        <v>30407</v>
      </c>
      <c r="B426" s="11">
        <v>10.199999999999999</v>
      </c>
      <c r="C426" s="11">
        <f>IF(Tabela1610[[#This Row],[Unemployment Rate]]="",#N/A,AVERAGE(B414:B426))</f>
        <v>10.100000000000001</v>
      </c>
      <c r="D426" s="10">
        <v>11268</v>
      </c>
      <c r="E426" s="11">
        <v>63.8</v>
      </c>
      <c r="F426" s="11"/>
      <c r="G426" s="11"/>
      <c r="H426" s="55">
        <v>5561.3</v>
      </c>
      <c r="I426" s="56">
        <f>IF(Tabela1610[[#This Row],[Real Disposable Income (RDI)]]="",#N/A,((Tabela1610[[#This Row],[Real Disposable Income (RDI)]]*1)/H425)-1)</f>
        <v>2.1804944856917974E-3</v>
      </c>
      <c r="J426" s="56">
        <f>IF(Tabela1610[[#This Row],[Real Disposable Income (RDI)]]="",#N/A,((Tabela1610[[#This Row],[Real Disposable Income (RDI)]]*1)/H414)-1)</f>
        <v>1.9916738496524644E-2</v>
      </c>
      <c r="K426" s="10">
        <v>490000</v>
      </c>
      <c r="L426" s="11">
        <v>19.5</v>
      </c>
      <c r="M426" s="10">
        <v>274</v>
      </c>
      <c r="N426" s="10">
        <f>IF(Tabela1610[[#This Row],[Payroll]]="",#N/A,AVERAGE(M424:M426))</f>
        <v>124.66666666666667</v>
      </c>
      <c r="O426" s="10"/>
      <c r="P426" s="7"/>
    </row>
    <row r="427" spans="1:16">
      <c r="A427" s="6">
        <v>30437</v>
      </c>
      <c r="B427" s="11">
        <v>10.1</v>
      </c>
      <c r="C427" s="11">
        <f>IF(Tabela1610[[#This Row],[Unemployment Rate]]="",#N/A,AVERAGE(B415:B427))</f>
        <v>10.161538461538463</v>
      </c>
      <c r="D427" s="10">
        <v>11154</v>
      </c>
      <c r="E427" s="11">
        <v>63.7</v>
      </c>
      <c r="F427" s="11"/>
      <c r="G427" s="11"/>
      <c r="H427" s="55">
        <v>5572.5</v>
      </c>
      <c r="I427" s="56">
        <f>IF(Tabela1610[[#This Row],[Real Disposable Income (RDI)]]="",#N/A,((Tabela1610[[#This Row],[Real Disposable Income (RDI)]]*1)/H426)-1)</f>
        <v>2.0139176091920064E-3</v>
      </c>
      <c r="J427" s="56">
        <f>IF(Tabela1610[[#This Row],[Real Disposable Income (RDI)]]="",#N/A,((Tabela1610[[#This Row],[Real Disposable Income (RDI)]]*1)/H415)-1)</f>
        <v>2.6186398541516942E-2</v>
      </c>
      <c r="K427" s="10">
        <v>454000</v>
      </c>
      <c r="L427" s="11">
        <v>20.5</v>
      </c>
      <c r="M427" s="10">
        <v>280</v>
      </c>
      <c r="N427" s="10">
        <f>IF(Tabela1610[[#This Row],[Payroll]]="",#N/A,AVERAGE(M425:M427))</f>
        <v>242.33333333333334</v>
      </c>
      <c r="O427" s="10"/>
      <c r="P427" s="7"/>
    </row>
    <row r="428" spans="1:16">
      <c r="A428" s="6">
        <v>30468</v>
      </c>
      <c r="B428" s="11">
        <v>10.1</v>
      </c>
      <c r="C428" s="11">
        <f>IF(Tabela1610[[#This Row],[Unemployment Rate]]="",#N/A,AVERAGE(B416:B428))</f>
        <v>10.215384615384616</v>
      </c>
      <c r="D428" s="10">
        <v>11246</v>
      </c>
      <c r="E428" s="11">
        <v>64.3</v>
      </c>
      <c r="F428" s="11"/>
      <c r="G428" s="11"/>
      <c r="H428" s="55">
        <v>5576.8</v>
      </c>
      <c r="I428" s="56">
        <f>IF(Tabela1610[[#This Row],[Real Disposable Income (RDI)]]="",#N/A,((Tabela1610[[#This Row],[Real Disposable Income (RDI)]]*1)/H427)-1)</f>
        <v>7.7164647824146115E-4</v>
      </c>
      <c r="J428" s="56">
        <f>IF(Tabela1610[[#This Row],[Real Disposable Income (RDI)]]="",#N/A,((Tabela1610[[#This Row],[Real Disposable Income (RDI)]]*1)/H416)-1)</f>
        <v>3.2568645966413179E-2</v>
      </c>
      <c r="K428" s="10">
        <v>442000</v>
      </c>
      <c r="L428" s="11">
        <v>20.8</v>
      </c>
      <c r="M428" s="10">
        <v>377</v>
      </c>
      <c r="N428" s="10">
        <f>IF(Tabela1610[[#This Row],[Payroll]]="",#N/A,AVERAGE(M426:M428))</f>
        <v>310.33333333333331</v>
      </c>
      <c r="O428" s="10"/>
      <c r="P428" s="7"/>
    </row>
    <row r="429" spans="1:16">
      <c r="A429" s="6">
        <v>30498</v>
      </c>
      <c r="B429" s="11">
        <v>9.4</v>
      </c>
      <c r="C429" s="11">
        <f>IF(Tabela1610[[#This Row],[Unemployment Rate]]="",#N/A,AVERAGE(B417:B429))</f>
        <v>10.199999999999999</v>
      </c>
      <c r="D429" s="10">
        <v>10548</v>
      </c>
      <c r="E429" s="11">
        <v>64.099999999999994</v>
      </c>
      <c r="F429" s="11"/>
      <c r="G429" s="11"/>
      <c r="H429" s="55">
        <v>5647</v>
      </c>
      <c r="I429" s="56">
        <f>IF(Tabela1610[[#This Row],[Real Disposable Income (RDI)]]="",#N/A,((Tabela1610[[#This Row],[Real Disposable Income (RDI)]]*1)/H428)-1)</f>
        <v>1.2587864008033245E-2</v>
      </c>
      <c r="J429" s="56">
        <f>IF(Tabela1610[[#This Row],[Real Disposable Income (RDI)]]="",#N/A,((Tabela1610[[#This Row],[Real Disposable Income (RDI)]]*1)/H417)-1)</f>
        <v>3.607074710113034E-2</v>
      </c>
      <c r="K429" s="10">
        <v>415000</v>
      </c>
      <c r="L429" s="11">
        <v>21.2</v>
      </c>
      <c r="M429" s="10">
        <v>416</v>
      </c>
      <c r="N429" s="10">
        <f>IF(Tabela1610[[#This Row],[Payroll]]="",#N/A,AVERAGE(M427:M429))</f>
        <v>357.66666666666669</v>
      </c>
      <c r="O429" s="10"/>
      <c r="P429" s="7"/>
    </row>
    <row r="430" spans="1:16">
      <c r="A430" s="6">
        <v>30529</v>
      </c>
      <c r="B430" s="11">
        <v>9.5</v>
      </c>
      <c r="C430" s="11">
        <f>IF(Tabela1610[[#This Row],[Unemployment Rate]]="",#N/A,AVERAGE(B418:B430))</f>
        <v>10.176923076923076</v>
      </c>
      <c r="D430" s="10">
        <v>10623</v>
      </c>
      <c r="E430" s="11">
        <v>64.3</v>
      </c>
      <c r="F430" s="11"/>
      <c r="G430" s="11"/>
      <c r="H430" s="55">
        <v>5635.9</v>
      </c>
      <c r="I430" s="56">
        <f>IF(Tabela1610[[#This Row],[Real Disposable Income (RDI)]]="",#N/A,((Tabela1610[[#This Row],[Real Disposable Income (RDI)]]*1)/H429)-1)</f>
        <v>-1.9656454754737318E-3</v>
      </c>
      <c r="J430" s="56">
        <f>IF(Tabela1610[[#This Row],[Real Disposable Income (RDI)]]="",#N/A,((Tabela1610[[#This Row],[Real Disposable Income (RDI)]]*1)/H418)-1)</f>
        <v>3.2348469584012607E-2</v>
      </c>
      <c r="K430" s="10">
        <v>426000</v>
      </c>
      <c r="L430" s="11">
        <v>20</v>
      </c>
      <c r="M430" s="10">
        <v>-308</v>
      </c>
      <c r="N430" s="10">
        <f>IF(Tabela1610[[#This Row],[Payroll]]="",#N/A,AVERAGE(M428:M430))</f>
        <v>161.66666666666666</v>
      </c>
      <c r="O430" s="10"/>
      <c r="P430" s="7"/>
    </row>
    <row r="431" spans="1:16">
      <c r="A431" s="6">
        <v>30560</v>
      </c>
      <c r="B431" s="11">
        <v>9.1999999999999993</v>
      </c>
      <c r="C431" s="11">
        <f>IF(Tabela1610[[#This Row],[Unemployment Rate]]="",#N/A,AVERAGE(B419:B431))</f>
        <v>10.13076923076923</v>
      </c>
      <c r="D431" s="10">
        <v>10282</v>
      </c>
      <c r="E431" s="11">
        <v>64.3</v>
      </c>
      <c r="F431" s="11"/>
      <c r="G431" s="11"/>
      <c r="H431" s="55">
        <v>5676.2</v>
      </c>
      <c r="I431" s="56">
        <f>IF(Tabela1610[[#This Row],[Real Disposable Income (RDI)]]="",#N/A,((Tabela1610[[#This Row],[Real Disposable Income (RDI)]]*1)/H430)-1)</f>
        <v>7.1505881935449711E-3</v>
      </c>
      <c r="J431" s="56">
        <f>IF(Tabela1610[[#This Row],[Real Disposable Income (RDI)]]="",#N/A,((Tabela1610[[#This Row],[Real Disposable Income (RDI)]]*1)/H419)-1)</f>
        <v>4.0035179654433151E-2</v>
      </c>
      <c r="K431" s="10">
        <v>416000</v>
      </c>
      <c r="L431" s="11">
        <v>20.2</v>
      </c>
      <c r="M431" s="10">
        <v>1118</v>
      </c>
      <c r="N431" s="10">
        <f>IF(Tabela1610[[#This Row],[Payroll]]="",#N/A,AVERAGE(M429:M431))</f>
        <v>408.66666666666669</v>
      </c>
      <c r="O431" s="10"/>
      <c r="P431" s="7"/>
    </row>
    <row r="432" spans="1:16">
      <c r="A432" s="6">
        <v>30590</v>
      </c>
      <c r="B432" s="11">
        <v>8.8000000000000007</v>
      </c>
      <c r="C432" s="11">
        <f>IF(Tabela1610[[#This Row],[Unemployment Rate]]="",#N/A,AVERAGE(B420:B432))</f>
        <v>10.030769230769231</v>
      </c>
      <c r="D432" s="10">
        <v>9887</v>
      </c>
      <c r="E432" s="11">
        <v>64</v>
      </c>
      <c r="F432" s="11"/>
      <c r="G432" s="11"/>
      <c r="H432" s="55">
        <v>5726.4</v>
      </c>
      <c r="I432" s="56">
        <f>IF(Tabela1610[[#This Row],[Real Disposable Income (RDI)]]="",#N/A,((Tabela1610[[#This Row],[Real Disposable Income (RDI)]]*1)/H431)-1)</f>
        <v>8.8439448927097875E-3</v>
      </c>
      <c r="J432" s="56">
        <f>IF(Tabela1610[[#This Row],[Real Disposable Income (RDI)]]="",#N/A,((Tabela1610[[#This Row],[Real Disposable Income (RDI)]]*1)/H420)-1)</f>
        <v>5.0291625398921402E-2</v>
      </c>
      <c r="K432" s="10">
        <v>404000</v>
      </c>
      <c r="L432" s="11">
        <v>20.2</v>
      </c>
      <c r="M432" s="10">
        <v>273</v>
      </c>
      <c r="N432" s="10">
        <f>IF(Tabela1610[[#This Row],[Payroll]]="",#N/A,AVERAGE(M430:M432))</f>
        <v>361</v>
      </c>
      <c r="O432" s="10"/>
      <c r="P432" s="7"/>
    </row>
    <row r="433" spans="1:16">
      <c r="A433" s="6">
        <v>30621</v>
      </c>
      <c r="B433" s="11">
        <v>8.5</v>
      </c>
      <c r="C433" s="11">
        <f>IF(Tabela1610[[#This Row],[Unemployment Rate]]="",#N/A,AVERAGE(B421:B433))</f>
        <v>9.884615384615385</v>
      </c>
      <c r="D433" s="10">
        <v>9499</v>
      </c>
      <c r="E433" s="11">
        <v>64.099999999999994</v>
      </c>
      <c r="F433" s="11"/>
      <c r="G433" s="11"/>
      <c r="H433" s="55">
        <v>5775</v>
      </c>
      <c r="I433" s="56">
        <f>IF(Tabela1610[[#This Row],[Real Disposable Income (RDI)]]="",#N/A,((Tabela1610[[#This Row],[Real Disposable Income (RDI)]]*1)/H432)-1)</f>
        <v>8.4870075440066639E-3</v>
      </c>
      <c r="J433" s="56">
        <f>IF(Tabela1610[[#This Row],[Real Disposable Income (RDI)]]="",#N/A,((Tabela1610[[#This Row],[Real Disposable Income (RDI)]]*1)/H421)-1)</f>
        <v>5.4929397365873323E-2</v>
      </c>
      <c r="K433" s="10">
        <v>398000</v>
      </c>
      <c r="L433" s="11">
        <v>19.7</v>
      </c>
      <c r="M433" s="10">
        <v>355</v>
      </c>
      <c r="N433" s="10">
        <f>IF(Tabela1610[[#This Row],[Payroll]]="",#N/A,AVERAGE(M431:M433))</f>
        <v>582</v>
      </c>
      <c r="O433" s="10"/>
      <c r="P433" s="7"/>
    </row>
    <row r="434" spans="1:16">
      <c r="A434" s="6">
        <v>30651</v>
      </c>
      <c r="B434" s="11">
        <v>8.3000000000000007</v>
      </c>
      <c r="C434" s="11">
        <f>IF(Tabela1610[[#This Row],[Unemployment Rate]]="",#N/A,AVERAGE(B422:B434))</f>
        <v>9.6923076923076934</v>
      </c>
      <c r="D434" s="10">
        <v>9331</v>
      </c>
      <c r="E434" s="11">
        <v>64.099999999999994</v>
      </c>
      <c r="F434" s="11"/>
      <c r="G434" s="11"/>
      <c r="H434" s="55">
        <v>5825.9</v>
      </c>
      <c r="I434" s="56">
        <f>IF(Tabela1610[[#This Row],[Real Disposable Income (RDI)]]="",#N/A,((Tabela1610[[#This Row],[Real Disposable Income (RDI)]]*1)/H433)-1)</f>
        <v>8.8138528138528294E-3</v>
      </c>
      <c r="J434" s="56">
        <f>IF(Tabela1610[[#This Row],[Real Disposable Income (RDI)]]="",#N/A,((Tabela1610[[#This Row],[Real Disposable Income (RDI)]]*1)/H422)-1)</f>
        <v>5.908124125143166E-2</v>
      </c>
      <c r="K434" s="10">
        <v>372000</v>
      </c>
      <c r="L434" s="11">
        <v>19.2</v>
      </c>
      <c r="M434" s="10">
        <v>355</v>
      </c>
      <c r="N434" s="10">
        <f>IF(Tabela1610[[#This Row],[Payroll]]="",#N/A,AVERAGE(M432:M434))</f>
        <v>327.66666666666669</v>
      </c>
      <c r="O434" s="10"/>
      <c r="P434" s="7"/>
    </row>
    <row r="435" spans="1:16">
      <c r="A435" s="6">
        <v>30682</v>
      </c>
      <c r="B435" s="11">
        <v>8</v>
      </c>
      <c r="C435" s="11">
        <f>IF(Tabela1610[[#This Row],[Unemployment Rate]]="",#N/A,AVERAGE(B423:B435))</f>
        <v>9.476923076923077</v>
      </c>
      <c r="D435" s="10">
        <v>9008</v>
      </c>
      <c r="E435" s="11">
        <v>63.9</v>
      </c>
      <c r="F435" s="11"/>
      <c r="G435" s="11"/>
      <c r="H435" s="55">
        <v>5851.3</v>
      </c>
      <c r="I435" s="56">
        <f>IF(Tabela1610[[#This Row],[Real Disposable Income (RDI)]]="",#N/A,((Tabela1610[[#This Row],[Real Disposable Income (RDI)]]*1)/H434)-1)</f>
        <v>4.3598413978958028E-3</v>
      </c>
      <c r="J435" s="56">
        <f>IF(Tabela1610[[#This Row],[Real Disposable Income (RDI)]]="",#N/A,((Tabela1610[[#This Row],[Real Disposable Income (RDI)]]*1)/H423)-1)</f>
        <v>6.0018115942028993E-2</v>
      </c>
      <c r="K435" s="10">
        <v>364000</v>
      </c>
      <c r="L435" s="11">
        <v>20.399999999999999</v>
      </c>
      <c r="M435" s="10">
        <v>443</v>
      </c>
      <c r="N435" s="10">
        <f>IF(Tabela1610[[#This Row],[Payroll]]="",#N/A,AVERAGE(M433:M435))</f>
        <v>384.33333333333331</v>
      </c>
      <c r="O435" s="10"/>
      <c r="P435" s="7"/>
    </row>
    <row r="436" spans="1:16">
      <c r="A436" s="6">
        <v>30713</v>
      </c>
      <c r="B436" s="11">
        <v>7.8</v>
      </c>
      <c r="C436" s="11">
        <f>IF(Tabela1610[[#This Row],[Unemployment Rate]]="",#N/A,AVERAGE(B424:B436))</f>
        <v>9.2769230769230759</v>
      </c>
      <c r="D436" s="10">
        <v>8791</v>
      </c>
      <c r="E436" s="11">
        <v>64.099999999999994</v>
      </c>
      <c r="F436" s="11"/>
      <c r="G436" s="11"/>
      <c r="H436" s="55">
        <v>5884.8</v>
      </c>
      <c r="I436" s="56">
        <f>IF(Tabela1610[[#This Row],[Real Disposable Income (RDI)]]="",#N/A,((Tabela1610[[#This Row],[Real Disposable Income (RDI)]]*1)/H435)-1)</f>
        <v>5.7252234546170122E-3</v>
      </c>
      <c r="J436" s="56">
        <f>IF(Tabela1610[[#This Row],[Real Disposable Income (RDI)]]="",#N/A,((Tabela1610[[#This Row],[Real Disposable Income (RDI)]]*1)/H424)-1)</f>
        <v>6.5585050519682664E-2</v>
      </c>
      <c r="K436" s="10">
        <v>343000</v>
      </c>
      <c r="L436" s="11">
        <v>19</v>
      </c>
      <c r="M436" s="10">
        <v>484</v>
      </c>
      <c r="N436" s="10">
        <f>IF(Tabela1610[[#This Row],[Payroll]]="",#N/A,AVERAGE(M434:M436))</f>
        <v>427.33333333333331</v>
      </c>
      <c r="O436" s="10"/>
      <c r="P436" s="7"/>
    </row>
    <row r="437" spans="1:16">
      <c r="A437" s="6">
        <v>30742</v>
      </c>
      <c r="B437" s="11">
        <v>7.8</v>
      </c>
      <c r="C437" s="11">
        <f>IF(Tabela1610[[#This Row],[Unemployment Rate]]="",#N/A,AVERAGE(B425:B437))</f>
        <v>9.0769230769230766</v>
      </c>
      <c r="D437" s="10">
        <v>8746</v>
      </c>
      <c r="E437" s="11">
        <v>64.099999999999994</v>
      </c>
      <c r="F437" s="11"/>
      <c r="G437" s="11"/>
      <c r="H437" s="55">
        <v>5922.6</v>
      </c>
      <c r="I437" s="56">
        <f>IF(Tabela1610[[#This Row],[Real Disposable Income (RDI)]]="",#N/A,((Tabela1610[[#This Row],[Real Disposable Income (RDI)]]*1)/H436)-1)</f>
        <v>6.4233278955954098E-3</v>
      </c>
      <c r="J437" s="56">
        <f>IF(Tabela1610[[#This Row],[Real Disposable Income (RDI)]]="",#N/A,((Tabela1610[[#This Row],[Real Disposable Income (RDI)]]*1)/H425)-1)</f>
        <v>6.728897859150873E-2</v>
      </c>
      <c r="K437" s="10">
        <v>341000</v>
      </c>
      <c r="L437" s="11">
        <v>19.100000000000001</v>
      </c>
      <c r="M437" s="10">
        <v>272</v>
      </c>
      <c r="N437" s="10">
        <f>IF(Tabela1610[[#This Row],[Payroll]]="",#N/A,AVERAGE(M435:M437))</f>
        <v>399.66666666666669</v>
      </c>
      <c r="O437" s="10"/>
      <c r="P437" s="7"/>
    </row>
    <row r="438" spans="1:16">
      <c r="A438" s="6">
        <v>30773</v>
      </c>
      <c r="B438" s="11">
        <v>7.7</v>
      </c>
      <c r="C438" s="11">
        <f>IF(Tabela1610[[#This Row],[Unemployment Rate]]="",#N/A,AVERAGE(B426:B438))</f>
        <v>8.8769230769230756</v>
      </c>
      <c r="D438" s="10">
        <v>8762</v>
      </c>
      <c r="E438" s="11">
        <v>64.3</v>
      </c>
      <c r="F438" s="11"/>
      <c r="G438" s="11"/>
      <c r="H438" s="55">
        <v>5962.5</v>
      </c>
      <c r="I438" s="56">
        <f>IF(Tabela1610[[#This Row],[Real Disposable Income (RDI)]]="",#N/A,((Tabela1610[[#This Row],[Real Disposable Income (RDI)]]*1)/H437)-1)</f>
        <v>6.7369060885420495E-3</v>
      </c>
      <c r="J438" s="56">
        <f>IF(Tabela1610[[#This Row],[Real Disposable Income (RDI)]]="",#N/A,((Tabela1610[[#This Row],[Real Disposable Income (RDI)]]*1)/H426)-1)</f>
        <v>7.2141405786416701E-2</v>
      </c>
      <c r="K438" s="10">
        <v>375000</v>
      </c>
      <c r="L438" s="11">
        <v>18.899999999999999</v>
      </c>
      <c r="M438" s="10">
        <v>363</v>
      </c>
      <c r="N438" s="10">
        <f>IF(Tabela1610[[#This Row],[Payroll]]="",#N/A,AVERAGE(M436:M438))</f>
        <v>373</v>
      </c>
      <c r="O438" s="10"/>
      <c r="P438" s="7"/>
    </row>
    <row r="439" spans="1:16">
      <c r="A439" s="6">
        <v>30803</v>
      </c>
      <c r="B439" s="11">
        <v>7.4</v>
      </c>
      <c r="C439" s="11">
        <f>IF(Tabela1610[[#This Row],[Unemployment Rate]]="",#N/A,AVERAGE(B427:B439))</f>
        <v>8.661538461538461</v>
      </c>
      <c r="D439" s="10">
        <v>8456</v>
      </c>
      <c r="E439" s="11">
        <v>64.5</v>
      </c>
      <c r="F439" s="11"/>
      <c r="G439" s="11"/>
      <c r="H439" s="55">
        <v>5971</v>
      </c>
      <c r="I439" s="56">
        <f>IF(Tabela1610[[#This Row],[Real Disposable Income (RDI)]]="",#N/A,((Tabela1610[[#This Row],[Real Disposable Income (RDI)]]*1)/H438)-1)</f>
        <v>1.4255765199160386E-3</v>
      </c>
      <c r="J439" s="56">
        <f>IF(Tabela1610[[#This Row],[Real Disposable Income (RDI)]]="",#N/A,((Tabela1610[[#This Row],[Real Disposable Income (RDI)]]*1)/H427)-1)</f>
        <v>7.1511888739345109E-2</v>
      </c>
      <c r="K439" s="10">
        <v>354000</v>
      </c>
      <c r="L439" s="11">
        <v>18.8</v>
      </c>
      <c r="M439" s="10">
        <v>306</v>
      </c>
      <c r="N439" s="10">
        <f>IF(Tabela1610[[#This Row],[Payroll]]="",#N/A,AVERAGE(M437:M439))</f>
        <v>313.66666666666669</v>
      </c>
      <c r="O439" s="10"/>
      <c r="P439" s="7"/>
    </row>
    <row r="440" spans="1:16">
      <c r="A440" s="6">
        <v>30834</v>
      </c>
      <c r="B440" s="11">
        <v>7.2</v>
      </c>
      <c r="C440" s="11">
        <f>IF(Tabela1610[[#This Row],[Unemployment Rate]]="",#N/A,AVERAGE(B428:B440))</f>
        <v>8.4384615384615387</v>
      </c>
      <c r="D440" s="10">
        <v>8226</v>
      </c>
      <c r="E440" s="11">
        <v>64.599999999999994</v>
      </c>
      <c r="F440" s="11"/>
      <c r="G440" s="11"/>
      <c r="H440" s="55">
        <v>6010.3</v>
      </c>
      <c r="I440" s="56">
        <f>IF(Tabela1610[[#This Row],[Real Disposable Income (RDI)]]="",#N/A,((Tabela1610[[#This Row],[Real Disposable Income (RDI)]]*1)/H439)-1)</f>
        <v>6.5818120917768841E-3</v>
      </c>
      <c r="J440" s="56">
        <f>IF(Tabela1610[[#This Row],[Real Disposable Income (RDI)]]="",#N/A,((Tabela1610[[#This Row],[Real Disposable Income (RDI)]]*1)/H428)-1)</f>
        <v>7.7732749964137149E-2</v>
      </c>
      <c r="K440" s="10">
        <v>360000</v>
      </c>
      <c r="L440" s="11">
        <v>18.100000000000001</v>
      </c>
      <c r="M440" s="10">
        <v>381</v>
      </c>
      <c r="N440" s="10">
        <f>IF(Tabela1610[[#This Row],[Payroll]]="",#N/A,AVERAGE(M438:M440))</f>
        <v>350</v>
      </c>
      <c r="O440" s="10"/>
      <c r="P440" s="7"/>
    </row>
    <row r="441" spans="1:16">
      <c r="A441" s="6">
        <v>30864</v>
      </c>
      <c r="B441" s="11">
        <v>7.5</v>
      </c>
      <c r="C441" s="11">
        <f>IF(Tabela1610[[#This Row],[Unemployment Rate]]="",#N/A,AVERAGE(B429:B441))</f>
        <v>8.2384615384615394</v>
      </c>
      <c r="D441" s="10">
        <v>8537</v>
      </c>
      <c r="E441" s="11">
        <v>64.599999999999994</v>
      </c>
      <c r="F441" s="11"/>
      <c r="G441" s="11"/>
      <c r="H441" s="55">
        <v>6017.6</v>
      </c>
      <c r="I441" s="56">
        <f>IF(Tabela1610[[#This Row],[Real Disposable Income (RDI)]]="",#N/A,((Tabela1610[[#This Row],[Real Disposable Income (RDI)]]*1)/H440)-1)</f>
        <v>1.2145816348601013E-3</v>
      </c>
      <c r="J441" s="56">
        <f>IF(Tabela1610[[#This Row],[Real Disposable Income (RDI)]]="",#N/A,((Tabela1610[[#This Row],[Real Disposable Income (RDI)]]*1)/H429)-1)</f>
        <v>6.5627766955905775E-2</v>
      </c>
      <c r="K441" s="10">
        <v>359000</v>
      </c>
      <c r="L441" s="11">
        <v>18</v>
      </c>
      <c r="M441" s="10">
        <v>310</v>
      </c>
      <c r="N441" s="10">
        <f>IF(Tabela1610[[#This Row],[Payroll]]="",#N/A,AVERAGE(M439:M441))</f>
        <v>332.33333333333331</v>
      </c>
      <c r="O441" s="10"/>
      <c r="P441" s="7"/>
    </row>
    <row r="442" spans="1:16">
      <c r="A442" s="6">
        <v>30895</v>
      </c>
      <c r="B442" s="11">
        <v>7.5</v>
      </c>
      <c r="C442" s="11">
        <f>IF(Tabela1610[[#This Row],[Unemployment Rate]]="",#N/A,AVERAGE(B430:B442))</f>
        <v>8.092307692307692</v>
      </c>
      <c r="D442" s="10">
        <v>8519</v>
      </c>
      <c r="E442" s="11">
        <v>64.400000000000006</v>
      </c>
      <c r="F442" s="11"/>
      <c r="G442" s="11"/>
      <c r="H442" s="55">
        <v>6058.5</v>
      </c>
      <c r="I442" s="56">
        <f>IF(Tabela1610[[#This Row],[Real Disposable Income (RDI)]]="",#N/A,((Tabela1610[[#This Row],[Real Disposable Income (RDI)]]*1)/H441)-1)</f>
        <v>6.7967295931932181E-3</v>
      </c>
      <c r="J442" s="56">
        <f>IF(Tabela1610[[#This Row],[Real Disposable Income (RDI)]]="",#N/A,((Tabela1610[[#This Row],[Real Disposable Income (RDI)]]*1)/H430)-1)</f>
        <v>7.4983587359605419E-2</v>
      </c>
      <c r="K442" s="10">
        <v>395000</v>
      </c>
      <c r="L442" s="11">
        <v>17.3</v>
      </c>
      <c r="M442" s="10">
        <v>243</v>
      </c>
      <c r="N442" s="10">
        <f>IF(Tabela1610[[#This Row],[Payroll]]="",#N/A,AVERAGE(M440:M442))</f>
        <v>311.33333333333331</v>
      </c>
      <c r="O442" s="10"/>
      <c r="P442" s="7"/>
    </row>
    <row r="443" spans="1:16">
      <c r="A443" s="6">
        <v>30926</v>
      </c>
      <c r="B443" s="11">
        <v>7.3</v>
      </c>
      <c r="C443" s="11">
        <f>IF(Tabela1610[[#This Row],[Unemployment Rate]]="",#N/A,AVERAGE(B431:B443))</f>
        <v>7.9230769230769234</v>
      </c>
      <c r="D443" s="10">
        <v>8367</v>
      </c>
      <c r="E443" s="11">
        <v>64.400000000000006</v>
      </c>
      <c r="F443" s="11"/>
      <c r="G443" s="11"/>
      <c r="H443" s="55">
        <v>6101.7</v>
      </c>
      <c r="I443" s="56">
        <f>IF(Tabela1610[[#This Row],[Real Disposable Income (RDI)]]="",#N/A,((Tabela1610[[#This Row],[Real Disposable Income (RDI)]]*1)/H442)-1)</f>
        <v>7.1304778410496983E-3</v>
      </c>
      <c r="J443" s="56">
        <f>IF(Tabela1610[[#This Row],[Real Disposable Income (RDI)]]="",#N/A,((Tabela1610[[#This Row],[Real Disposable Income (RDI)]]*1)/H431)-1)</f>
        <v>7.4962122546774257E-2</v>
      </c>
      <c r="K443" s="10">
        <v>402000</v>
      </c>
      <c r="L443" s="11">
        <v>17</v>
      </c>
      <c r="M443" s="10">
        <v>312</v>
      </c>
      <c r="N443" s="10">
        <f>IF(Tabela1610[[#This Row],[Payroll]]="",#N/A,AVERAGE(M441:M443))</f>
        <v>288.33333333333331</v>
      </c>
      <c r="O443" s="10"/>
      <c r="P443" s="7"/>
    </row>
    <row r="444" spans="1:16">
      <c r="A444" s="6">
        <v>30956</v>
      </c>
      <c r="B444" s="11">
        <v>7.4</v>
      </c>
      <c r="C444" s="11">
        <f>IF(Tabela1610[[#This Row],[Unemployment Rate]]="",#N/A,AVERAGE(B432:B444))</f>
        <v>7.7846153846153845</v>
      </c>
      <c r="D444" s="10">
        <v>8381</v>
      </c>
      <c r="E444" s="11">
        <v>64.400000000000006</v>
      </c>
      <c r="F444" s="11"/>
      <c r="G444" s="11"/>
      <c r="H444" s="55">
        <v>6079.2</v>
      </c>
      <c r="I444" s="56">
        <f>IF(Tabela1610[[#This Row],[Real Disposable Income (RDI)]]="",#N/A,((Tabela1610[[#This Row],[Real Disposable Income (RDI)]]*1)/H443)-1)</f>
        <v>-3.6874969270859204E-3</v>
      </c>
      <c r="J444" s="56">
        <f>IF(Tabela1610[[#This Row],[Real Disposable Income (RDI)]]="",#N/A,((Tabela1610[[#This Row],[Real Disposable Income (RDI)]]*1)/H432)-1)</f>
        <v>6.160938809723393E-2</v>
      </c>
      <c r="K444" s="10">
        <v>425000</v>
      </c>
      <c r="L444" s="11">
        <v>16.7</v>
      </c>
      <c r="M444" s="10">
        <v>285</v>
      </c>
      <c r="N444" s="10">
        <f>IF(Tabela1610[[#This Row],[Payroll]]="",#N/A,AVERAGE(M442:M444))</f>
        <v>280</v>
      </c>
      <c r="O444" s="10"/>
      <c r="P444" s="7"/>
    </row>
    <row r="445" spans="1:16">
      <c r="A445" s="6">
        <v>30987</v>
      </c>
      <c r="B445" s="11">
        <v>7.2</v>
      </c>
      <c r="C445" s="11">
        <f>IF(Tabela1610[[#This Row],[Unemployment Rate]]="",#N/A,AVERAGE(B433:B445))</f>
        <v>7.6615384615384619</v>
      </c>
      <c r="D445" s="10">
        <v>8198</v>
      </c>
      <c r="E445" s="11">
        <v>64.5</v>
      </c>
      <c r="F445" s="11"/>
      <c r="G445" s="11"/>
      <c r="H445" s="55">
        <v>6105.7</v>
      </c>
      <c r="I445" s="56">
        <f>IF(Tabela1610[[#This Row],[Real Disposable Income (RDI)]]="",#N/A,((Tabela1610[[#This Row],[Real Disposable Income (RDI)]]*1)/H444)-1)</f>
        <v>4.3591262008157994E-3</v>
      </c>
      <c r="J445" s="56">
        <f>IF(Tabela1610[[#This Row],[Real Disposable Income (RDI)]]="",#N/A,((Tabela1610[[#This Row],[Real Disposable Income (RDI)]]*1)/H433)-1)</f>
        <v>5.7264069264069128E-2</v>
      </c>
      <c r="K445" s="10">
        <v>429000</v>
      </c>
      <c r="L445" s="11">
        <v>17</v>
      </c>
      <c r="M445" s="10">
        <v>353</v>
      </c>
      <c r="N445" s="10">
        <f>IF(Tabela1610[[#This Row],[Payroll]]="",#N/A,AVERAGE(M443:M445))</f>
        <v>316.66666666666669</v>
      </c>
      <c r="O445" s="10"/>
      <c r="P445" s="7"/>
    </row>
    <row r="446" spans="1:16">
      <c r="A446" s="6">
        <v>31017</v>
      </c>
      <c r="B446" s="11">
        <v>7.3</v>
      </c>
      <c r="C446" s="11">
        <f>IF(Tabela1610[[#This Row],[Unemployment Rate]]="",#N/A,AVERAGE(B434:B446))</f>
        <v>7.5692307692307699</v>
      </c>
      <c r="D446" s="10">
        <v>8358</v>
      </c>
      <c r="E446" s="11">
        <v>64.599999999999994</v>
      </c>
      <c r="F446" s="11"/>
      <c r="G446" s="11"/>
      <c r="H446" s="55">
        <v>6143.3</v>
      </c>
      <c r="I446" s="56">
        <f>IF(Tabela1610[[#This Row],[Real Disposable Income (RDI)]]="",#N/A,((Tabela1610[[#This Row],[Real Disposable Income (RDI)]]*1)/H445)-1)</f>
        <v>6.158180061254237E-3</v>
      </c>
      <c r="J446" s="56">
        <f>IF(Tabela1610[[#This Row],[Real Disposable Income (RDI)]]="",#N/A,((Tabela1610[[#This Row],[Real Disposable Income (RDI)]]*1)/H434)-1)</f>
        <v>5.4480852743782116E-2</v>
      </c>
      <c r="K446" s="10">
        <v>379000</v>
      </c>
      <c r="L446" s="11">
        <v>16.8</v>
      </c>
      <c r="M446" s="10">
        <v>125</v>
      </c>
      <c r="N446" s="10">
        <f>IF(Tabela1610[[#This Row],[Payroll]]="",#N/A,AVERAGE(M444:M446))</f>
        <v>254.33333333333334</v>
      </c>
      <c r="O446" s="10"/>
      <c r="P446" s="7"/>
    </row>
    <row r="447" spans="1:16">
      <c r="A447" s="6">
        <v>31048</v>
      </c>
      <c r="B447" s="11">
        <v>7.3</v>
      </c>
      <c r="C447" s="11">
        <f>IF(Tabela1610[[#This Row],[Unemployment Rate]]="",#N/A,AVERAGE(B435:B447))</f>
        <v>7.4923076923076923</v>
      </c>
      <c r="D447" s="10">
        <v>8423</v>
      </c>
      <c r="E447" s="11">
        <v>64.7</v>
      </c>
      <c r="F447" s="11"/>
      <c r="G447" s="11"/>
      <c r="H447" s="55">
        <v>6141.6</v>
      </c>
      <c r="I447" s="56">
        <f>IF(Tabela1610[[#This Row],[Real Disposable Income (RDI)]]="",#N/A,((Tabela1610[[#This Row],[Real Disposable Income (RDI)]]*1)/H446)-1)</f>
        <v>-2.7672423615965336E-4</v>
      </c>
      <c r="J447" s="56">
        <f>IF(Tabela1610[[#This Row],[Real Disposable Income (RDI)]]="",#N/A,((Tabela1610[[#This Row],[Real Disposable Income (RDI)]]*1)/H435)-1)</f>
        <v>4.961290653359085E-2</v>
      </c>
      <c r="K447" s="10">
        <v>368000</v>
      </c>
      <c r="L447" s="11">
        <v>15.9</v>
      </c>
      <c r="M447" s="10">
        <v>265</v>
      </c>
      <c r="N447" s="10">
        <f>IF(Tabela1610[[#This Row],[Payroll]]="",#N/A,AVERAGE(M445:M447))</f>
        <v>247.66666666666666</v>
      </c>
      <c r="O447" s="10"/>
      <c r="P447" s="7"/>
    </row>
    <row r="448" spans="1:16">
      <c r="A448" s="6">
        <v>31079</v>
      </c>
      <c r="B448" s="11">
        <v>7.2</v>
      </c>
      <c r="C448" s="11">
        <f>IF(Tabela1610[[#This Row],[Unemployment Rate]]="",#N/A,AVERAGE(B436:B448))</f>
        <v>7.430769230769231</v>
      </c>
      <c r="D448" s="10">
        <v>8321</v>
      </c>
      <c r="E448" s="11">
        <v>64.7</v>
      </c>
      <c r="F448" s="11"/>
      <c r="G448" s="11"/>
      <c r="H448" s="55">
        <v>6085.2</v>
      </c>
      <c r="I448" s="56">
        <f>IF(Tabela1610[[#This Row],[Real Disposable Income (RDI)]]="",#N/A,((Tabela1610[[#This Row],[Real Disposable Income (RDI)]]*1)/H447)-1)</f>
        <v>-9.1832747166863404E-3</v>
      </c>
      <c r="J448" s="56">
        <f>IF(Tabela1610[[#This Row],[Real Disposable Income (RDI)]]="",#N/A,((Tabela1610[[#This Row],[Real Disposable Income (RDI)]]*1)/H436)-1)</f>
        <v>3.4053833605220074E-2</v>
      </c>
      <c r="K448" s="10">
        <v>390000</v>
      </c>
      <c r="L448" s="11">
        <v>15.9</v>
      </c>
      <c r="M448" s="10">
        <v>131</v>
      </c>
      <c r="N448" s="10">
        <f>IF(Tabela1610[[#This Row],[Payroll]]="",#N/A,AVERAGE(M446:M448))</f>
        <v>173.66666666666666</v>
      </c>
      <c r="O448" s="10"/>
      <c r="P448" s="7"/>
    </row>
    <row r="449" spans="1:16">
      <c r="A449" s="6">
        <v>31107</v>
      </c>
      <c r="B449" s="11">
        <v>7.2</v>
      </c>
      <c r="C449" s="11">
        <f>IF(Tabela1610[[#This Row],[Unemployment Rate]]="",#N/A,AVERAGE(B437:B449))</f>
        <v>7.3846153846153832</v>
      </c>
      <c r="D449" s="10">
        <v>8339</v>
      </c>
      <c r="E449" s="11">
        <v>64.900000000000006</v>
      </c>
      <c r="F449" s="11"/>
      <c r="G449" s="11"/>
      <c r="H449" s="55">
        <v>6057.8</v>
      </c>
      <c r="I449" s="56">
        <f>IF(Tabela1610[[#This Row],[Real Disposable Income (RDI)]]="",#N/A,((Tabela1610[[#This Row],[Real Disposable Income (RDI)]]*1)/H448)-1)</f>
        <v>-4.5027279300597911E-3</v>
      </c>
      <c r="J449" s="56">
        <f>IF(Tabela1610[[#This Row],[Real Disposable Income (RDI)]]="",#N/A,((Tabela1610[[#This Row],[Real Disposable Income (RDI)]]*1)/H437)-1)</f>
        <v>2.282781210954643E-2</v>
      </c>
      <c r="K449" s="10">
        <v>386000</v>
      </c>
      <c r="L449" s="11">
        <v>16.100000000000001</v>
      </c>
      <c r="M449" s="10">
        <v>339</v>
      </c>
      <c r="N449" s="10">
        <f>IF(Tabela1610[[#This Row],[Payroll]]="",#N/A,AVERAGE(M447:M449))</f>
        <v>245</v>
      </c>
      <c r="O449" s="10"/>
      <c r="P449" s="7"/>
    </row>
    <row r="450" spans="1:16">
      <c r="A450" s="6">
        <v>31138</v>
      </c>
      <c r="B450" s="11">
        <v>7.3</v>
      </c>
      <c r="C450" s="11">
        <f>IF(Tabela1610[[#This Row],[Unemployment Rate]]="",#N/A,AVERAGE(B438:B450))</f>
        <v>7.3461538461538458</v>
      </c>
      <c r="D450" s="10">
        <v>8395</v>
      </c>
      <c r="E450" s="11">
        <v>64.900000000000006</v>
      </c>
      <c r="F450" s="11"/>
      <c r="G450" s="11"/>
      <c r="H450" s="55">
        <v>6159.5</v>
      </c>
      <c r="I450" s="56">
        <f>IF(Tabela1610[[#This Row],[Real Disposable Income (RDI)]]="",#N/A,((Tabela1610[[#This Row],[Real Disposable Income (RDI)]]*1)/H449)-1)</f>
        <v>1.678827297038521E-2</v>
      </c>
      <c r="J450" s="56">
        <f>IF(Tabela1610[[#This Row],[Real Disposable Income (RDI)]]="",#N/A,((Tabela1610[[#This Row],[Real Disposable Income (RDI)]]*1)/H438)-1)</f>
        <v>3.3039832285115311E-2</v>
      </c>
      <c r="K450" s="10">
        <v>386000</v>
      </c>
      <c r="L450" s="11">
        <v>16.399999999999999</v>
      </c>
      <c r="M450" s="10">
        <v>196</v>
      </c>
      <c r="N450" s="10">
        <f>IF(Tabela1610[[#This Row],[Payroll]]="",#N/A,AVERAGE(M448:M450))</f>
        <v>222</v>
      </c>
      <c r="O450" s="10"/>
      <c r="P450" s="7"/>
    </row>
    <row r="451" spans="1:16">
      <c r="A451" s="6">
        <v>31168</v>
      </c>
      <c r="B451" s="11">
        <v>7.2</v>
      </c>
      <c r="C451" s="11">
        <f>IF(Tabela1610[[#This Row],[Unemployment Rate]]="",#N/A,AVERAGE(B439:B451))</f>
        <v>7.3076923076923075</v>
      </c>
      <c r="D451" s="10">
        <v>8302</v>
      </c>
      <c r="E451" s="11">
        <v>64.8</v>
      </c>
      <c r="F451" s="11"/>
      <c r="G451" s="11"/>
      <c r="H451" s="55">
        <v>6310.8</v>
      </c>
      <c r="I451" s="56">
        <f>IF(Tabela1610[[#This Row],[Real Disposable Income (RDI)]]="",#N/A,((Tabela1610[[#This Row],[Real Disposable Income (RDI)]]*1)/H450)-1)</f>
        <v>2.4563682117054952E-2</v>
      </c>
      <c r="J451" s="56">
        <f>IF(Tabela1610[[#This Row],[Real Disposable Income (RDI)]]="",#N/A,((Tabela1610[[#This Row],[Real Disposable Income (RDI)]]*1)/H439)-1)</f>
        <v>5.6908390554345933E-2</v>
      </c>
      <c r="K451" s="10">
        <v>396000</v>
      </c>
      <c r="L451" s="11">
        <v>15.3</v>
      </c>
      <c r="M451" s="10">
        <v>274</v>
      </c>
      <c r="N451" s="10">
        <f>IF(Tabela1610[[#This Row],[Payroll]]="",#N/A,AVERAGE(M449:M451))</f>
        <v>269.66666666666669</v>
      </c>
      <c r="O451" s="10"/>
      <c r="P451" s="7"/>
    </row>
    <row r="452" spans="1:16">
      <c r="A452" s="6">
        <v>31199</v>
      </c>
      <c r="B452" s="11">
        <v>7.4</v>
      </c>
      <c r="C452" s="11">
        <f>IF(Tabela1610[[#This Row],[Unemployment Rate]]="",#N/A,AVERAGE(B440:B452))</f>
        <v>7.3076923076923075</v>
      </c>
      <c r="D452" s="10">
        <v>8460</v>
      </c>
      <c r="E452" s="11">
        <v>64.599999999999994</v>
      </c>
      <c r="F452" s="11"/>
      <c r="G452" s="11"/>
      <c r="H452" s="55">
        <v>6178.9</v>
      </c>
      <c r="I452" s="56">
        <f>IF(Tabela1610[[#This Row],[Real Disposable Income (RDI)]]="",#N/A,((Tabela1610[[#This Row],[Real Disposable Income (RDI)]]*1)/H451)-1)</f>
        <v>-2.0900678202446676E-2</v>
      </c>
      <c r="J452" s="56">
        <f>IF(Tabela1610[[#This Row],[Real Disposable Income (RDI)]]="",#N/A,((Tabela1610[[#This Row],[Real Disposable Income (RDI)]]*1)/H440)-1)</f>
        <v>2.8051844333893294E-2</v>
      </c>
      <c r="K452" s="10">
        <v>390000</v>
      </c>
      <c r="L452" s="11">
        <v>15.5</v>
      </c>
      <c r="M452" s="10">
        <v>147</v>
      </c>
      <c r="N452" s="10">
        <f>IF(Tabela1610[[#This Row],[Payroll]]="",#N/A,AVERAGE(M450:M452))</f>
        <v>205.66666666666666</v>
      </c>
      <c r="O452" s="10"/>
      <c r="P452" s="7"/>
    </row>
    <row r="453" spans="1:16">
      <c r="A453" s="6">
        <v>31229</v>
      </c>
      <c r="B453" s="11">
        <v>7.4</v>
      </c>
      <c r="C453" s="11">
        <f>IF(Tabela1610[[#This Row],[Unemployment Rate]]="",#N/A,AVERAGE(B441:B453))</f>
        <v>7.3230769230769246</v>
      </c>
      <c r="D453" s="10">
        <v>8513</v>
      </c>
      <c r="E453" s="11">
        <v>64.7</v>
      </c>
      <c r="F453" s="11"/>
      <c r="G453" s="11"/>
      <c r="H453" s="55">
        <v>6192.8</v>
      </c>
      <c r="I453" s="56">
        <f>IF(Tabela1610[[#This Row],[Real Disposable Income (RDI)]]="",#N/A,((Tabela1610[[#This Row],[Real Disposable Income (RDI)]]*1)/H452)-1)</f>
        <v>2.2495913512114996E-3</v>
      </c>
      <c r="J453" s="56">
        <f>IF(Tabela1610[[#This Row],[Real Disposable Income (RDI)]]="",#N/A,((Tabela1610[[#This Row],[Real Disposable Income (RDI)]]*1)/H441)-1)</f>
        <v>2.9114597181600699E-2</v>
      </c>
      <c r="K453" s="10">
        <v>362000</v>
      </c>
      <c r="L453" s="11">
        <v>15.5</v>
      </c>
      <c r="M453" s="10">
        <v>189</v>
      </c>
      <c r="N453" s="10">
        <f>IF(Tabela1610[[#This Row],[Payroll]]="",#N/A,AVERAGE(M451:M453))</f>
        <v>203.33333333333334</v>
      </c>
      <c r="O453" s="10"/>
      <c r="P453" s="7"/>
    </row>
    <row r="454" spans="1:16">
      <c r="A454" s="6">
        <v>31260</v>
      </c>
      <c r="B454" s="11">
        <v>7.1</v>
      </c>
      <c r="C454" s="11">
        <f>IF(Tabela1610[[#This Row],[Unemployment Rate]]="",#N/A,AVERAGE(B442:B454))</f>
        <v>7.292307692307693</v>
      </c>
      <c r="D454" s="10">
        <v>8196</v>
      </c>
      <c r="E454" s="11">
        <v>64.599999999999994</v>
      </c>
      <c r="F454" s="11"/>
      <c r="G454" s="11"/>
      <c r="H454" s="55">
        <v>6189</v>
      </c>
      <c r="I454" s="56">
        <f>IF(Tabela1610[[#This Row],[Real Disposable Income (RDI)]]="",#N/A,((Tabela1610[[#This Row],[Real Disposable Income (RDI)]]*1)/H453)-1)</f>
        <v>-6.1361581191066161E-4</v>
      </c>
      <c r="J454" s="56">
        <f>IF(Tabela1610[[#This Row],[Real Disposable Income (RDI)]]="",#N/A,((Tabela1610[[#This Row],[Real Disposable Income (RDI)]]*1)/H442)-1)</f>
        <v>2.1539985144837903E-2</v>
      </c>
      <c r="K454" s="10">
        <v>409000</v>
      </c>
      <c r="L454" s="11">
        <v>15.3</v>
      </c>
      <c r="M454" s="10">
        <v>192</v>
      </c>
      <c r="N454" s="10">
        <f>IF(Tabela1610[[#This Row],[Payroll]]="",#N/A,AVERAGE(M452:M454))</f>
        <v>176</v>
      </c>
      <c r="O454" s="10"/>
      <c r="P454" s="7"/>
    </row>
    <row r="455" spans="1:16">
      <c r="A455" s="6">
        <v>31291</v>
      </c>
      <c r="B455" s="11">
        <v>7.1</v>
      </c>
      <c r="C455" s="11">
        <f>IF(Tabela1610[[#This Row],[Unemployment Rate]]="",#N/A,AVERAGE(B443:B455))</f>
        <v>7.2615384615384624</v>
      </c>
      <c r="D455" s="10">
        <v>8248</v>
      </c>
      <c r="E455" s="11">
        <v>64.900000000000006</v>
      </c>
      <c r="F455" s="11"/>
      <c r="G455" s="11"/>
      <c r="H455" s="55">
        <v>6216.2</v>
      </c>
      <c r="I455" s="56">
        <f>IF(Tabela1610[[#This Row],[Real Disposable Income (RDI)]]="",#N/A,((Tabela1610[[#This Row],[Real Disposable Income (RDI)]]*1)/H454)-1)</f>
        <v>4.3948941670706176E-3</v>
      </c>
      <c r="J455" s="56">
        <f>IF(Tabela1610[[#This Row],[Real Disposable Income (RDI)]]="",#N/A,((Tabela1610[[#This Row],[Real Disposable Income (RDI)]]*1)/H443)-1)</f>
        <v>1.8765262140059358E-2</v>
      </c>
      <c r="K455" s="10">
        <v>399000</v>
      </c>
      <c r="L455" s="11">
        <v>15.3</v>
      </c>
      <c r="M455" s="10">
        <v>205</v>
      </c>
      <c r="N455" s="10">
        <f>IF(Tabela1610[[#This Row],[Payroll]]="",#N/A,AVERAGE(M453:M455))</f>
        <v>195.33333333333334</v>
      </c>
      <c r="O455" s="10"/>
      <c r="P455" s="7"/>
    </row>
    <row r="456" spans="1:16">
      <c r="A456" s="6">
        <v>31321</v>
      </c>
      <c r="B456" s="11">
        <v>7.1</v>
      </c>
      <c r="C456" s="11">
        <f>IF(Tabela1610[[#This Row],[Unemployment Rate]]="",#N/A,AVERAGE(B444:B456))</f>
        <v>7.2461538461538462</v>
      </c>
      <c r="D456" s="10">
        <v>8298</v>
      </c>
      <c r="E456" s="11">
        <v>65</v>
      </c>
      <c r="F456" s="11"/>
      <c r="G456" s="11"/>
      <c r="H456" s="55">
        <v>6247.8</v>
      </c>
      <c r="I456" s="56">
        <f>IF(Tabela1610[[#This Row],[Real Disposable Income (RDI)]]="",#N/A,((Tabela1610[[#This Row],[Real Disposable Income (RDI)]]*1)/H455)-1)</f>
        <v>5.0834915221518173E-3</v>
      </c>
      <c r="J456" s="56">
        <f>IF(Tabela1610[[#This Row],[Real Disposable Income (RDI)]]="",#N/A,((Tabela1610[[#This Row],[Real Disposable Income (RDI)]]*1)/H444)-1)</f>
        <v>2.7733912356889157E-2</v>
      </c>
      <c r="K456" s="10">
        <v>418000</v>
      </c>
      <c r="L456" s="11">
        <v>15.3</v>
      </c>
      <c r="M456" s="10">
        <v>188</v>
      </c>
      <c r="N456" s="10">
        <f>IF(Tabela1610[[#This Row],[Payroll]]="",#N/A,AVERAGE(M454:M456))</f>
        <v>195</v>
      </c>
      <c r="O456" s="10"/>
      <c r="P456" s="7"/>
    </row>
    <row r="457" spans="1:16">
      <c r="A457" s="6">
        <v>31352</v>
      </c>
      <c r="B457" s="11">
        <v>7</v>
      </c>
      <c r="C457" s="11">
        <f>IF(Tabela1610[[#This Row],[Unemployment Rate]]="",#N/A,AVERAGE(B445:B457))</f>
        <v>7.2153846153846137</v>
      </c>
      <c r="D457" s="10">
        <v>8128</v>
      </c>
      <c r="E457" s="11">
        <v>64.900000000000006</v>
      </c>
      <c r="F457" s="11"/>
      <c r="G457" s="11"/>
      <c r="H457" s="55">
        <v>6258.1</v>
      </c>
      <c r="I457" s="56">
        <f>IF(Tabela1610[[#This Row],[Real Disposable Income (RDI)]]="",#N/A,((Tabela1610[[#This Row],[Real Disposable Income (RDI)]]*1)/H456)-1)</f>
        <v>1.6485803002657118E-3</v>
      </c>
      <c r="J457" s="56">
        <f>IF(Tabela1610[[#This Row],[Real Disposable Income (RDI)]]="",#N/A,((Tabela1610[[#This Row],[Real Disposable Income (RDI)]]*1)/H445)-1)</f>
        <v>2.4960283014232587E-2</v>
      </c>
      <c r="K457" s="10">
        <v>393000</v>
      </c>
      <c r="L457" s="11">
        <v>15.7</v>
      </c>
      <c r="M457" s="10">
        <v>210</v>
      </c>
      <c r="N457" s="10">
        <f>IF(Tabela1610[[#This Row],[Payroll]]="",#N/A,AVERAGE(M455:M457))</f>
        <v>201</v>
      </c>
      <c r="O457" s="10"/>
      <c r="P457" s="7"/>
    </row>
    <row r="458" spans="1:16">
      <c r="A458" s="6">
        <v>31382</v>
      </c>
      <c r="B458" s="11">
        <v>7</v>
      </c>
      <c r="C458" s="11">
        <f>IF(Tabela1610[[#This Row],[Unemployment Rate]]="",#N/A,AVERAGE(B446:B458))</f>
        <v>7.1999999999999984</v>
      </c>
      <c r="D458" s="10">
        <v>8138</v>
      </c>
      <c r="E458" s="11">
        <v>65</v>
      </c>
      <c r="F458" s="11"/>
      <c r="G458" s="11"/>
      <c r="H458" s="55">
        <v>6296.4</v>
      </c>
      <c r="I458" s="56">
        <f>IF(Tabela1610[[#This Row],[Real Disposable Income (RDI)]]="",#N/A,((Tabela1610[[#This Row],[Real Disposable Income (RDI)]]*1)/H457)-1)</f>
        <v>6.1200683913646969E-3</v>
      </c>
      <c r="J458" s="56">
        <f>IF(Tabela1610[[#This Row],[Real Disposable Income (RDI)]]="",#N/A,((Tabela1610[[#This Row],[Real Disposable Income (RDI)]]*1)/H446)-1)</f>
        <v>2.4921459150619274E-2</v>
      </c>
      <c r="K458" s="10">
        <v>390000</v>
      </c>
      <c r="L458" s="11">
        <v>15.1</v>
      </c>
      <c r="M458" s="10">
        <v>166</v>
      </c>
      <c r="N458" s="10">
        <f>IF(Tabela1610[[#This Row],[Payroll]]="",#N/A,AVERAGE(M456:M458))</f>
        <v>188</v>
      </c>
      <c r="O458" s="10"/>
      <c r="P458" s="7"/>
    </row>
    <row r="459" spans="1:16">
      <c r="A459" s="6">
        <v>31413</v>
      </c>
      <c r="B459" s="11">
        <v>6.7</v>
      </c>
      <c r="C459" s="11">
        <f>IF(Tabela1610[[#This Row],[Unemployment Rate]]="",#N/A,AVERAGE(B447:B459))</f>
        <v>7.1538461538461542</v>
      </c>
      <c r="D459" s="10">
        <v>7795</v>
      </c>
      <c r="E459" s="11">
        <v>64.900000000000006</v>
      </c>
      <c r="F459" s="11"/>
      <c r="G459" s="11"/>
      <c r="H459" s="55">
        <v>6308.5</v>
      </c>
      <c r="I459" s="56">
        <f>IF(Tabela1610[[#This Row],[Real Disposable Income (RDI)]]="",#N/A,((Tabela1610[[#This Row],[Real Disposable Income (RDI)]]*1)/H458)-1)</f>
        <v>1.9217330538086053E-3</v>
      </c>
      <c r="J459" s="56">
        <f>IF(Tabela1610[[#This Row],[Real Disposable Income (RDI)]]="",#N/A,((Tabela1610[[#This Row],[Real Disposable Income (RDI)]]*1)/H447)-1)</f>
        <v>2.7175328904520013E-2</v>
      </c>
      <c r="K459" s="10">
        <v>344000</v>
      </c>
      <c r="L459" s="11">
        <v>14.8</v>
      </c>
      <c r="M459" s="10">
        <v>123</v>
      </c>
      <c r="N459" s="10">
        <f>IF(Tabela1610[[#This Row],[Payroll]]="",#N/A,AVERAGE(M457:M459))</f>
        <v>166.33333333333334</v>
      </c>
      <c r="O459" s="10"/>
      <c r="P459" s="7"/>
    </row>
    <row r="460" spans="1:16">
      <c r="A460" s="6">
        <v>31444</v>
      </c>
      <c r="B460" s="11">
        <v>7.2</v>
      </c>
      <c r="C460" s="11">
        <f>IF(Tabela1610[[#This Row],[Unemployment Rate]]="",#N/A,AVERAGE(B448:B460))</f>
        <v>7.1461538461538465</v>
      </c>
      <c r="D460" s="10">
        <v>8402</v>
      </c>
      <c r="E460" s="11">
        <v>65</v>
      </c>
      <c r="F460" s="11"/>
      <c r="G460" s="11"/>
      <c r="H460" s="55">
        <v>6341.7</v>
      </c>
      <c r="I460" s="56">
        <f>IF(Tabela1610[[#This Row],[Real Disposable Income (RDI)]]="",#N/A,((Tabela1610[[#This Row],[Real Disposable Income (RDI)]]*1)/H459)-1)</f>
        <v>5.2627407466117049E-3</v>
      </c>
      <c r="J460" s="56">
        <f>IF(Tabela1610[[#This Row],[Real Disposable Income (RDI)]]="",#N/A,((Tabela1610[[#This Row],[Real Disposable Income (RDI)]]*1)/H448)-1)</f>
        <v>4.2151449418260656E-2</v>
      </c>
      <c r="K460" s="10">
        <v>390000</v>
      </c>
      <c r="L460" s="11">
        <v>15.2</v>
      </c>
      <c r="M460" s="10">
        <v>115</v>
      </c>
      <c r="N460" s="10">
        <f>IF(Tabela1610[[#This Row],[Payroll]]="",#N/A,AVERAGE(M458:M460))</f>
        <v>134.66666666666666</v>
      </c>
      <c r="O460" s="10"/>
      <c r="P460" s="7"/>
    </row>
    <row r="461" spans="1:16">
      <c r="A461" s="6">
        <v>31472</v>
      </c>
      <c r="B461" s="11">
        <v>7.2</v>
      </c>
      <c r="C461" s="11">
        <f>IF(Tabela1610[[#This Row],[Unemployment Rate]]="",#N/A,AVERAGE(B449:B461))</f>
        <v>7.1461538461538474</v>
      </c>
      <c r="D461" s="10">
        <v>8383</v>
      </c>
      <c r="E461" s="11">
        <v>65.099999999999994</v>
      </c>
      <c r="F461" s="11"/>
      <c r="G461" s="11"/>
      <c r="H461" s="55">
        <v>6406.5</v>
      </c>
      <c r="I461" s="56">
        <f>IF(Tabela1610[[#This Row],[Real Disposable Income (RDI)]]="",#N/A,((Tabela1610[[#This Row],[Real Disposable Income (RDI)]]*1)/H460)-1)</f>
        <v>1.0218080325464785E-2</v>
      </c>
      <c r="J461" s="56">
        <f>IF(Tabela1610[[#This Row],[Real Disposable Income (RDI)]]="",#N/A,((Tabela1610[[#This Row],[Real Disposable Income (RDI)]]*1)/H449)-1)</f>
        <v>5.7562151276040696E-2</v>
      </c>
      <c r="K461" s="10">
        <v>396000</v>
      </c>
      <c r="L461" s="11">
        <v>14.6</v>
      </c>
      <c r="M461" s="10">
        <v>87</v>
      </c>
      <c r="N461" s="10">
        <f>IF(Tabela1610[[#This Row],[Payroll]]="",#N/A,AVERAGE(M459:M461))</f>
        <v>108.33333333333333</v>
      </c>
      <c r="O461" s="10"/>
      <c r="P461" s="7"/>
    </row>
    <row r="462" spans="1:16">
      <c r="A462" s="6">
        <v>31503</v>
      </c>
      <c r="B462" s="11">
        <v>7.1</v>
      </c>
      <c r="C462" s="11">
        <f>IF(Tabela1610[[#This Row],[Unemployment Rate]]="",#N/A,AVERAGE(B450:B462))</f>
        <v>7.138461538461538</v>
      </c>
      <c r="D462" s="10">
        <v>8364</v>
      </c>
      <c r="E462" s="11">
        <v>65.099999999999994</v>
      </c>
      <c r="F462" s="11"/>
      <c r="G462" s="11"/>
      <c r="H462" s="55">
        <v>6430.4</v>
      </c>
      <c r="I462" s="56">
        <f>IF(Tabela1610[[#This Row],[Real Disposable Income (RDI)]]="",#N/A,((Tabela1610[[#This Row],[Real Disposable Income (RDI)]]*1)/H461)-1)</f>
        <v>3.7305861234682158E-3</v>
      </c>
      <c r="J462" s="56">
        <f>IF(Tabela1610[[#This Row],[Real Disposable Income (RDI)]]="",#N/A,((Tabela1610[[#This Row],[Real Disposable Income (RDI)]]*1)/H450)-1)</f>
        <v>4.3980842600860326E-2</v>
      </c>
      <c r="K462" s="10">
        <v>391000</v>
      </c>
      <c r="L462" s="11">
        <v>14.7</v>
      </c>
      <c r="M462" s="10">
        <v>187</v>
      </c>
      <c r="N462" s="10">
        <f>IF(Tabela1610[[#This Row],[Payroll]]="",#N/A,AVERAGE(M460:M462))</f>
        <v>129.66666666666666</v>
      </c>
      <c r="O462" s="10"/>
      <c r="P462" s="7"/>
    </row>
    <row r="463" spans="1:16">
      <c r="A463" s="6">
        <v>31533</v>
      </c>
      <c r="B463" s="11">
        <v>7.2</v>
      </c>
      <c r="C463" s="11">
        <f>IF(Tabela1610[[#This Row],[Unemployment Rate]]="",#N/A,AVERAGE(B451:B463))</f>
        <v>7.1307692307692312</v>
      </c>
      <c r="D463" s="10">
        <v>8439</v>
      </c>
      <c r="E463" s="11">
        <v>65.2</v>
      </c>
      <c r="F463" s="11"/>
      <c r="G463" s="11"/>
      <c r="H463" s="55">
        <v>6435.8</v>
      </c>
      <c r="I463" s="56">
        <f>IF(Tabela1610[[#This Row],[Real Disposable Income (RDI)]]="",#N/A,((Tabela1610[[#This Row],[Real Disposable Income (RDI)]]*1)/H462)-1)</f>
        <v>8.3976113461070589E-4</v>
      </c>
      <c r="J463" s="56">
        <f>IF(Tabela1610[[#This Row],[Real Disposable Income (RDI)]]="",#N/A,((Tabela1610[[#This Row],[Real Disposable Income (RDI)]]*1)/H451)-1)</f>
        <v>1.9807314445078328E-2</v>
      </c>
      <c r="K463" s="10">
        <v>373000</v>
      </c>
      <c r="L463" s="11">
        <v>14.7</v>
      </c>
      <c r="M463" s="10">
        <v>127</v>
      </c>
      <c r="N463" s="10">
        <f>IF(Tabela1610[[#This Row],[Payroll]]="",#N/A,AVERAGE(M461:M463))</f>
        <v>133.66666666666666</v>
      </c>
      <c r="O463" s="10"/>
      <c r="P463" s="7"/>
    </row>
    <row r="464" spans="1:16">
      <c r="A464" s="6">
        <v>31564</v>
      </c>
      <c r="B464" s="11">
        <v>7.2</v>
      </c>
      <c r="C464" s="11">
        <f>IF(Tabela1610[[#This Row],[Unemployment Rate]]="",#N/A,AVERAGE(B452:B464))</f>
        <v>7.1307692307692312</v>
      </c>
      <c r="D464" s="10">
        <v>8508</v>
      </c>
      <c r="E464" s="11">
        <v>65.400000000000006</v>
      </c>
      <c r="F464" s="11"/>
      <c r="G464" s="11"/>
      <c r="H464" s="55">
        <v>6429.8</v>
      </c>
      <c r="I464" s="56">
        <f>IF(Tabela1610[[#This Row],[Real Disposable Income (RDI)]]="",#N/A,((Tabela1610[[#This Row],[Real Disposable Income (RDI)]]*1)/H463)-1)</f>
        <v>-9.3228503061004719E-4</v>
      </c>
      <c r="J464" s="56">
        <f>IF(Tabela1610[[#This Row],[Real Disposable Income (RDI)]]="",#N/A,((Tabela1610[[#This Row],[Real Disposable Income (RDI)]]*1)/H452)-1)</f>
        <v>4.0605933094887581E-2</v>
      </c>
      <c r="K464" s="10">
        <v>371000</v>
      </c>
      <c r="L464" s="11">
        <v>15.2</v>
      </c>
      <c r="M464" s="10">
        <v>-93</v>
      </c>
      <c r="N464" s="10">
        <f>IF(Tabela1610[[#This Row],[Payroll]]="",#N/A,AVERAGE(M462:M464))</f>
        <v>73.666666666666671</v>
      </c>
      <c r="O464" s="10"/>
      <c r="P464" s="7"/>
    </row>
    <row r="465" spans="1:16">
      <c r="A465" s="6">
        <v>31594</v>
      </c>
      <c r="B465" s="11">
        <v>7</v>
      </c>
      <c r="C465" s="11">
        <f>IF(Tabela1610[[#This Row],[Unemployment Rate]]="",#N/A,AVERAGE(B453:B465))</f>
        <v>7.1000000000000005</v>
      </c>
      <c r="D465" s="10">
        <v>8319</v>
      </c>
      <c r="E465" s="11">
        <v>65.400000000000006</v>
      </c>
      <c r="F465" s="11"/>
      <c r="G465" s="11"/>
      <c r="H465" s="55">
        <v>6461.8</v>
      </c>
      <c r="I465" s="56">
        <f>IF(Tabela1610[[#This Row],[Real Disposable Income (RDI)]]="",#N/A,((Tabela1610[[#This Row],[Real Disposable Income (RDI)]]*1)/H464)-1)</f>
        <v>4.9768266509067072E-3</v>
      </c>
      <c r="J465" s="56">
        <f>IF(Tabela1610[[#This Row],[Real Disposable Income (RDI)]]="",#N/A,((Tabela1610[[#This Row],[Real Disposable Income (RDI)]]*1)/H453)-1)</f>
        <v>4.3437540369461347E-2</v>
      </c>
      <c r="K465" s="10">
        <v>362000</v>
      </c>
      <c r="L465" s="11">
        <v>15.2</v>
      </c>
      <c r="M465" s="10">
        <v>318</v>
      </c>
      <c r="N465" s="10">
        <f>IF(Tabela1610[[#This Row],[Payroll]]="",#N/A,AVERAGE(M463:M465))</f>
        <v>117.33333333333333</v>
      </c>
      <c r="O465" s="10"/>
      <c r="P465" s="7"/>
    </row>
    <row r="466" spans="1:16">
      <c r="A466" s="6">
        <v>31625</v>
      </c>
      <c r="B466" s="11">
        <v>6.9</v>
      </c>
      <c r="C466" s="11">
        <f>IF(Tabela1610[[#This Row],[Unemployment Rate]]="",#N/A,AVERAGE(B454:B466))</f>
        <v>7.0615384615384622</v>
      </c>
      <c r="D466" s="10">
        <v>8135</v>
      </c>
      <c r="E466" s="11">
        <v>65.3</v>
      </c>
      <c r="F466" s="11"/>
      <c r="G466" s="11"/>
      <c r="H466" s="55">
        <v>6469.4</v>
      </c>
      <c r="I466" s="56">
        <f>IF(Tabela1610[[#This Row],[Real Disposable Income (RDI)]]="",#N/A,((Tabela1610[[#This Row],[Real Disposable Income (RDI)]]*1)/H465)-1)</f>
        <v>1.1761428704075705E-3</v>
      </c>
      <c r="J466" s="56">
        <f>IF(Tabela1610[[#This Row],[Real Disposable Income (RDI)]]="",#N/A,((Tabela1610[[#This Row],[Real Disposable Income (RDI)]]*1)/H454)-1)</f>
        <v>4.5306188398771985E-2</v>
      </c>
      <c r="K466" s="10">
        <v>401000</v>
      </c>
      <c r="L466" s="11">
        <v>15.5</v>
      </c>
      <c r="M466" s="10">
        <v>115</v>
      </c>
      <c r="N466" s="10">
        <f>IF(Tabela1610[[#This Row],[Payroll]]="",#N/A,AVERAGE(M464:M466))</f>
        <v>113.33333333333333</v>
      </c>
      <c r="O466" s="10"/>
      <c r="P466" s="7"/>
    </row>
    <row r="467" spans="1:16">
      <c r="A467" s="6">
        <v>31656</v>
      </c>
      <c r="B467" s="11">
        <v>7</v>
      </c>
      <c r="C467" s="11">
        <f>IF(Tabela1610[[#This Row],[Unemployment Rate]]="",#N/A,AVERAGE(B455:B467))</f>
        <v>7.0538461538461554</v>
      </c>
      <c r="D467" s="10">
        <v>8310</v>
      </c>
      <c r="E467" s="11">
        <v>65.400000000000006</v>
      </c>
      <c r="F467" s="11"/>
      <c r="G467" s="11"/>
      <c r="H467" s="55">
        <v>6472.9</v>
      </c>
      <c r="I467" s="56">
        <f>IF(Tabela1610[[#This Row],[Real Disposable Income (RDI)]]="",#N/A,((Tabela1610[[#This Row],[Real Disposable Income (RDI)]]*1)/H466)-1)</f>
        <v>5.4100843973170498E-4</v>
      </c>
      <c r="J467" s="56">
        <f>IF(Tabela1610[[#This Row],[Real Disposable Income (RDI)]]="",#N/A,((Tabela1610[[#This Row],[Real Disposable Income (RDI)]]*1)/H455)-1)</f>
        <v>4.1295325118239301E-2</v>
      </c>
      <c r="K467" s="10">
        <v>389000</v>
      </c>
      <c r="L467" s="11">
        <v>15.4</v>
      </c>
      <c r="M467" s="10">
        <v>346</v>
      </c>
      <c r="N467" s="10">
        <f>IF(Tabela1610[[#This Row],[Payroll]]="",#N/A,AVERAGE(M465:M467))</f>
        <v>259.66666666666669</v>
      </c>
      <c r="O467" s="10"/>
      <c r="P467" s="7"/>
    </row>
    <row r="468" spans="1:16">
      <c r="A468" s="6">
        <v>31686</v>
      </c>
      <c r="B468" s="11">
        <v>7</v>
      </c>
      <c r="C468" s="11">
        <f>IF(Tabela1610[[#This Row],[Unemployment Rate]]="",#N/A,AVERAGE(B456:B468))</f>
        <v>7.0461538461538478</v>
      </c>
      <c r="D468" s="10">
        <v>8243</v>
      </c>
      <c r="E468" s="11">
        <v>65.400000000000006</v>
      </c>
      <c r="F468" s="11"/>
      <c r="G468" s="11"/>
      <c r="H468" s="55">
        <v>6466</v>
      </c>
      <c r="I468" s="56">
        <f>IF(Tabela1610[[#This Row],[Real Disposable Income (RDI)]]="",#N/A,((Tabela1610[[#This Row],[Real Disposable Income (RDI)]]*1)/H467)-1)</f>
        <v>-1.0659827897850915E-3</v>
      </c>
      <c r="J468" s="56">
        <f>IF(Tabela1610[[#This Row],[Real Disposable Income (RDI)]]="",#N/A,((Tabela1610[[#This Row],[Real Disposable Income (RDI)]]*1)/H456)-1)</f>
        <v>3.4924293351259683E-2</v>
      </c>
      <c r="K468" s="10">
        <v>370000</v>
      </c>
      <c r="L468" s="11">
        <v>15.2</v>
      </c>
      <c r="M468" s="10">
        <v>187</v>
      </c>
      <c r="N468" s="10">
        <f>IF(Tabela1610[[#This Row],[Payroll]]="",#N/A,AVERAGE(M466:M468))</f>
        <v>216</v>
      </c>
      <c r="O468" s="10"/>
      <c r="P468" s="7"/>
    </row>
    <row r="469" spans="1:16">
      <c r="A469" s="6">
        <v>31717</v>
      </c>
      <c r="B469" s="11">
        <v>6.9</v>
      </c>
      <c r="C469" s="11">
        <f>IF(Tabela1610[[#This Row],[Unemployment Rate]]="",#N/A,AVERAGE(B457:B469))</f>
        <v>7.0307692307692324</v>
      </c>
      <c r="D469" s="10">
        <v>8159</v>
      </c>
      <c r="E469" s="11">
        <v>65.400000000000006</v>
      </c>
      <c r="F469" s="11"/>
      <c r="G469" s="11"/>
      <c r="H469" s="55">
        <v>6466.7</v>
      </c>
      <c r="I469" s="56">
        <f>IF(Tabela1610[[#This Row],[Real Disposable Income (RDI)]]="",#N/A,((Tabela1610[[#This Row],[Real Disposable Income (RDI)]]*1)/H468)-1)</f>
        <v>1.0825858335916649E-4</v>
      </c>
      <c r="J469" s="56">
        <f>IF(Tabela1610[[#This Row],[Real Disposable Income (RDI)]]="",#N/A,((Tabela1610[[#This Row],[Real Disposable Income (RDI)]]*1)/H457)-1)</f>
        <v>3.3332800690305309E-2</v>
      </c>
      <c r="K469" s="10">
        <v>366000</v>
      </c>
      <c r="L469" s="11">
        <v>15</v>
      </c>
      <c r="M469" s="10">
        <v>187</v>
      </c>
      <c r="N469" s="10">
        <f>IF(Tabela1610[[#This Row],[Payroll]]="",#N/A,AVERAGE(M467:M469))</f>
        <v>240</v>
      </c>
      <c r="O469" s="10"/>
      <c r="P469" s="7"/>
    </row>
    <row r="470" spans="1:16">
      <c r="A470" s="6">
        <v>31747</v>
      </c>
      <c r="B470" s="11">
        <v>6.6</v>
      </c>
      <c r="C470" s="11">
        <f>IF(Tabela1610[[#This Row],[Unemployment Rate]]="",#N/A,AVERAGE(B458:B470))</f>
        <v>7</v>
      </c>
      <c r="D470" s="10">
        <v>7883</v>
      </c>
      <c r="E470" s="11">
        <v>65.3</v>
      </c>
      <c r="F470" s="11"/>
      <c r="G470" s="11"/>
      <c r="H470" s="55">
        <v>6473.8</v>
      </c>
      <c r="I470" s="56">
        <f>IF(Tabela1610[[#This Row],[Real Disposable Income (RDI)]]="",#N/A,((Tabela1610[[#This Row],[Real Disposable Income (RDI)]]*1)/H469)-1)</f>
        <v>1.097932484884101E-3</v>
      </c>
      <c r="J470" s="56">
        <f>IF(Tabela1610[[#This Row],[Real Disposable Income (RDI)]]="",#N/A,((Tabela1610[[#This Row],[Real Disposable Income (RDI)]]*1)/H458)-1)</f>
        <v>2.8174830061622691E-2</v>
      </c>
      <c r="K470" s="10">
        <v>345000</v>
      </c>
      <c r="L470" s="11">
        <v>15</v>
      </c>
      <c r="M470" s="10">
        <v>201</v>
      </c>
      <c r="N470" s="10">
        <f>IF(Tabela1610[[#This Row],[Payroll]]="",#N/A,AVERAGE(M468:M470))</f>
        <v>191.66666666666666</v>
      </c>
      <c r="O470" s="10"/>
      <c r="P470" s="7"/>
    </row>
    <row r="471" spans="1:16">
      <c r="A471" s="6">
        <v>31778</v>
      </c>
      <c r="B471" s="11">
        <v>6.6</v>
      </c>
      <c r="C471" s="11">
        <f>IF(Tabela1610[[#This Row],[Unemployment Rate]]="",#N/A,AVERAGE(B459:B471))</f>
        <v>6.9692307692307685</v>
      </c>
      <c r="D471" s="10">
        <v>7892</v>
      </c>
      <c r="E471" s="11">
        <v>65.400000000000006</v>
      </c>
      <c r="F471" s="11"/>
      <c r="G471" s="11"/>
      <c r="H471" s="55">
        <v>6494.2</v>
      </c>
      <c r="I471" s="56">
        <f>IF(Tabela1610[[#This Row],[Real Disposable Income (RDI)]]="",#N/A,((Tabela1610[[#This Row],[Real Disposable Income (RDI)]]*1)/H470)-1)</f>
        <v>3.1511631499272497E-3</v>
      </c>
      <c r="J471" s="56">
        <f>IF(Tabela1610[[#This Row],[Real Disposable Income (RDI)]]="",#N/A,((Tabela1610[[#This Row],[Real Disposable Income (RDI)]]*1)/H459)-1)</f>
        <v>2.9436474597764883E-2</v>
      </c>
      <c r="K471" s="10">
        <v>370000</v>
      </c>
      <c r="L471" s="11">
        <v>14.9</v>
      </c>
      <c r="M471" s="10">
        <v>169</v>
      </c>
      <c r="N471" s="10">
        <f>IF(Tabela1610[[#This Row],[Payroll]]="",#N/A,AVERAGE(M469:M471))</f>
        <v>185.66666666666666</v>
      </c>
      <c r="O471" s="10"/>
      <c r="P471" s="7"/>
    </row>
    <row r="472" spans="1:16">
      <c r="A472" s="6">
        <v>31809</v>
      </c>
      <c r="B472" s="11">
        <v>6.6</v>
      </c>
      <c r="C472" s="11">
        <f>IF(Tabela1610[[#This Row],[Unemployment Rate]]="",#N/A,AVERAGE(B460:B472))</f>
        <v>6.9615384615384608</v>
      </c>
      <c r="D472" s="10">
        <v>7865</v>
      </c>
      <c r="E472" s="11">
        <v>65.5</v>
      </c>
      <c r="F472" s="11"/>
      <c r="G472" s="11"/>
      <c r="H472" s="55">
        <v>6525</v>
      </c>
      <c r="I472" s="56">
        <f>IF(Tabela1610[[#This Row],[Real Disposable Income (RDI)]]="",#N/A,((Tabela1610[[#This Row],[Real Disposable Income (RDI)]]*1)/H471)-1)</f>
        <v>4.7426934803362908E-3</v>
      </c>
      <c r="J472" s="56">
        <f>IF(Tabela1610[[#This Row],[Real Disposable Income (RDI)]]="",#N/A,((Tabela1610[[#This Row],[Real Disposable Income (RDI)]]*1)/H460)-1)</f>
        <v>2.8903921661384224E-2</v>
      </c>
      <c r="K472" s="10">
        <v>348000</v>
      </c>
      <c r="L472" s="11">
        <v>14.7</v>
      </c>
      <c r="M472" s="10">
        <v>241</v>
      </c>
      <c r="N472" s="10">
        <f>IF(Tabela1610[[#This Row],[Payroll]]="",#N/A,AVERAGE(M470:M472))</f>
        <v>203.66666666666666</v>
      </c>
      <c r="O472" s="10"/>
      <c r="P472" s="7"/>
    </row>
    <row r="473" spans="1:16">
      <c r="A473" s="6">
        <v>31837</v>
      </c>
      <c r="B473" s="11">
        <v>6.6</v>
      </c>
      <c r="C473" s="11">
        <f>IF(Tabela1610[[#This Row],[Unemployment Rate]]="",#N/A,AVERAGE(B461:B473))</f>
        <v>6.9153846153846139</v>
      </c>
      <c r="D473" s="10">
        <v>7862</v>
      </c>
      <c r="E473" s="11">
        <v>65.5</v>
      </c>
      <c r="F473" s="11"/>
      <c r="G473" s="11"/>
      <c r="H473" s="55">
        <v>6530.5</v>
      </c>
      <c r="I473" s="56">
        <f>IF(Tabela1610[[#This Row],[Real Disposable Income (RDI)]]="",#N/A,((Tabela1610[[#This Row],[Real Disposable Income (RDI)]]*1)/H472)-1)</f>
        <v>8.4291187739471418E-4</v>
      </c>
      <c r="J473" s="56">
        <f>IF(Tabela1610[[#This Row],[Real Disposable Income (RDI)]]="",#N/A,((Tabela1610[[#This Row],[Real Disposable Income (RDI)]]*1)/H461)-1)</f>
        <v>1.9355342230547024E-2</v>
      </c>
      <c r="K473" s="10">
        <v>326000</v>
      </c>
      <c r="L473" s="11">
        <v>14.9</v>
      </c>
      <c r="M473" s="10">
        <v>245</v>
      </c>
      <c r="N473" s="10">
        <f>IF(Tabela1610[[#This Row],[Payroll]]="",#N/A,AVERAGE(M471:M473))</f>
        <v>218.33333333333334</v>
      </c>
      <c r="O473" s="10"/>
      <c r="P473" s="7"/>
    </row>
    <row r="474" spans="1:16">
      <c r="A474" s="6">
        <v>31868</v>
      </c>
      <c r="B474" s="11">
        <v>6.3</v>
      </c>
      <c r="C474" s="11">
        <f>IF(Tabela1610[[#This Row],[Unemployment Rate]]="",#N/A,AVERAGE(B462:B474))</f>
        <v>6.8461538461538449</v>
      </c>
      <c r="D474" s="10">
        <v>7542</v>
      </c>
      <c r="E474" s="11">
        <v>65.400000000000006</v>
      </c>
      <c r="F474" s="11"/>
      <c r="G474" s="11"/>
      <c r="H474" s="55">
        <v>6282.3</v>
      </c>
      <c r="I474" s="56">
        <f>IF(Tabela1610[[#This Row],[Real Disposable Income (RDI)]]="",#N/A,((Tabela1610[[#This Row],[Real Disposable Income (RDI)]]*1)/H473)-1)</f>
        <v>-3.8006278232907142E-2</v>
      </c>
      <c r="J474" s="56">
        <f>IF(Tabela1610[[#This Row],[Real Disposable Income (RDI)]]="",#N/A,((Tabela1610[[#This Row],[Real Disposable Income (RDI)]]*1)/H462)-1)</f>
        <v>-2.3031226673301708E-2</v>
      </c>
      <c r="K474" s="10">
        <v>328000</v>
      </c>
      <c r="L474" s="11">
        <v>14.8</v>
      </c>
      <c r="M474" s="10">
        <v>335</v>
      </c>
      <c r="N474" s="10">
        <f>IF(Tabela1610[[#This Row],[Payroll]]="",#N/A,AVERAGE(M472:M474))</f>
        <v>273.66666666666669</v>
      </c>
      <c r="O474" s="10"/>
      <c r="P474" s="7"/>
    </row>
    <row r="475" spans="1:16">
      <c r="A475" s="6">
        <v>31898</v>
      </c>
      <c r="B475" s="11">
        <v>6.3</v>
      </c>
      <c r="C475" s="11">
        <f>IF(Tabela1610[[#This Row],[Unemployment Rate]]="",#N/A,AVERAGE(B463:B475))</f>
        <v>6.7846153846153836</v>
      </c>
      <c r="D475" s="10">
        <v>7574</v>
      </c>
      <c r="E475" s="11">
        <v>65.7</v>
      </c>
      <c r="F475" s="11"/>
      <c r="G475" s="11"/>
      <c r="H475" s="55">
        <v>6537</v>
      </c>
      <c r="I475" s="56">
        <f>IF(Tabela1610[[#This Row],[Real Disposable Income (RDI)]]="",#N/A,((Tabela1610[[#This Row],[Real Disposable Income (RDI)]]*1)/H474)-1)</f>
        <v>4.054247648154341E-2</v>
      </c>
      <c r="J475" s="56">
        <f>IF(Tabela1610[[#This Row],[Real Disposable Income (RDI)]]="",#N/A,((Tabela1610[[#This Row],[Real Disposable Income (RDI)]]*1)/H463)-1)</f>
        <v>1.5724540849622493E-2</v>
      </c>
      <c r="K475" s="10">
        <v>326000</v>
      </c>
      <c r="L475" s="11">
        <v>14.9</v>
      </c>
      <c r="M475" s="10">
        <v>229</v>
      </c>
      <c r="N475" s="10">
        <f>IF(Tabela1610[[#This Row],[Payroll]]="",#N/A,AVERAGE(M473:M475))</f>
        <v>269.66666666666669</v>
      </c>
      <c r="O475" s="10"/>
      <c r="P475" s="7"/>
    </row>
    <row r="476" spans="1:16">
      <c r="A476" s="6">
        <v>31929</v>
      </c>
      <c r="B476" s="11">
        <v>6.2</v>
      </c>
      <c r="C476" s="11">
        <f>IF(Tabela1610[[#This Row],[Unemployment Rate]]="",#N/A,AVERAGE(B464:B476))</f>
        <v>6.7076923076923078</v>
      </c>
      <c r="D476" s="10">
        <v>7398</v>
      </c>
      <c r="E476" s="11">
        <v>65.5</v>
      </c>
      <c r="F476" s="11"/>
      <c r="G476" s="11"/>
      <c r="H476" s="55">
        <v>6527.6</v>
      </c>
      <c r="I476" s="56">
        <f>IF(Tabela1610[[#This Row],[Real Disposable Income (RDI)]]="",#N/A,((Tabela1610[[#This Row],[Real Disposable Income (RDI)]]*1)/H475)-1)</f>
        <v>-1.4379684870735598E-3</v>
      </c>
      <c r="J476" s="56">
        <f>IF(Tabela1610[[#This Row],[Real Disposable Income (RDI)]]="",#N/A,((Tabela1610[[#This Row],[Real Disposable Income (RDI)]]*1)/H464)-1)</f>
        <v>1.521042645183357E-2</v>
      </c>
      <c r="K476" s="10">
        <v>326000</v>
      </c>
      <c r="L476" s="11">
        <v>14.9</v>
      </c>
      <c r="M476" s="10">
        <v>172</v>
      </c>
      <c r="N476" s="10">
        <f>IF(Tabela1610[[#This Row],[Payroll]]="",#N/A,AVERAGE(M474:M476))</f>
        <v>245.33333333333334</v>
      </c>
      <c r="O476" s="10"/>
      <c r="P476" s="7"/>
    </row>
    <row r="477" spans="1:16">
      <c r="A477" s="6">
        <v>31959</v>
      </c>
      <c r="B477" s="11">
        <v>6.1</v>
      </c>
      <c r="C477" s="11">
        <f>IF(Tabela1610[[#This Row],[Unemployment Rate]]="",#N/A,AVERAGE(B465:B477))</f>
        <v>6.6230769230769226</v>
      </c>
      <c r="D477" s="10">
        <v>7268</v>
      </c>
      <c r="E477" s="11">
        <v>65.599999999999994</v>
      </c>
      <c r="F477" s="11"/>
      <c r="G477" s="11"/>
      <c r="H477" s="55">
        <v>6545.8</v>
      </c>
      <c r="I477" s="56">
        <f>IF(Tabela1610[[#This Row],[Real Disposable Income (RDI)]]="",#N/A,((Tabela1610[[#This Row],[Real Disposable Income (RDI)]]*1)/H476)-1)</f>
        <v>2.7881610392792577E-3</v>
      </c>
      <c r="J477" s="56">
        <f>IF(Tabela1610[[#This Row],[Real Disposable Income (RDI)]]="",#N/A,((Tabela1610[[#This Row],[Real Disposable Income (RDI)]]*1)/H465)-1)</f>
        <v>1.2999473830821229E-2</v>
      </c>
      <c r="K477" s="10">
        <v>324000</v>
      </c>
      <c r="L477" s="11">
        <v>14.2</v>
      </c>
      <c r="M477" s="10">
        <v>347</v>
      </c>
      <c r="N477" s="10">
        <f>IF(Tabela1610[[#This Row],[Payroll]]="",#N/A,AVERAGE(M475:M477))</f>
        <v>249.33333333333334</v>
      </c>
      <c r="O477" s="10"/>
      <c r="P477" s="7"/>
    </row>
    <row r="478" spans="1:16">
      <c r="A478" s="6">
        <v>31990</v>
      </c>
      <c r="B478" s="11">
        <v>6</v>
      </c>
      <c r="C478" s="11">
        <f>IF(Tabela1610[[#This Row],[Unemployment Rate]]="",#N/A,AVERAGE(B466:B478))</f>
        <v>6.546153846153846</v>
      </c>
      <c r="D478" s="10">
        <v>7261</v>
      </c>
      <c r="E478" s="11">
        <v>65.7</v>
      </c>
      <c r="F478" s="11"/>
      <c r="G478" s="11"/>
      <c r="H478" s="55">
        <v>6574</v>
      </c>
      <c r="I478" s="56">
        <f>IF(Tabela1610[[#This Row],[Real Disposable Income (RDI)]]="",#N/A,((Tabela1610[[#This Row],[Real Disposable Income (RDI)]]*1)/H477)-1)</f>
        <v>4.3081059610743377E-3</v>
      </c>
      <c r="J478" s="56">
        <f>IF(Tabela1610[[#This Row],[Real Disposable Income (RDI)]]="",#N/A,((Tabela1610[[#This Row],[Real Disposable Income (RDI)]]*1)/H466)-1)</f>
        <v>1.6168423655980479E-2</v>
      </c>
      <c r="K478" s="10">
        <v>322000</v>
      </c>
      <c r="L478" s="11">
        <v>14.4</v>
      </c>
      <c r="M478" s="10">
        <v>173</v>
      </c>
      <c r="N478" s="10">
        <f>IF(Tabela1610[[#This Row],[Payroll]]="",#N/A,AVERAGE(M476:M478))</f>
        <v>230.66666666666666</v>
      </c>
      <c r="O478" s="10"/>
      <c r="P478" s="7"/>
    </row>
    <row r="479" spans="1:16">
      <c r="A479" s="6">
        <v>32021</v>
      </c>
      <c r="B479" s="11">
        <v>5.9</v>
      </c>
      <c r="C479" s="11">
        <f>IF(Tabela1610[[#This Row],[Unemployment Rate]]="",#N/A,AVERAGE(B467:B479))</f>
        <v>6.4692307692307685</v>
      </c>
      <c r="D479" s="10">
        <v>7102</v>
      </c>
      <c r="E479" s="11">
        <v>65.5</v>
      </c>
      <c r="F479" s="11"/>
      <c r="G479" s="11"/>
      <c r="H479" s="55">
        <v>6575.3</v>
      </c>
      <c r="I479" s="56">
        <f>IF(Tabela1610[[#This Row],[Real Disposable Income (RDI)]]="",#N/A,((Tabela1610[[#This Row],[Real Disposable Income (RDI)]]*1)/H478)-1)</f>
        <v>1.9774870702771175E-4</v>
      </c>
      <c r="J479" s="56">
        <f>IF(Tabela1610[[#This Row],[Real Disposable Income (RDI)]]="",#N/A,((Tabela1610[[#This Row],[Real Disposable Income (RDI)]]*1)/H467)-1)</f>
        <v>1.5819802561448659E-2</v>
      </c>
      <c r="K479" s="10">
        <v>317000</v>
      </c>
      <c r="L479" s="11">
        <v>14.2</v>
      </c>
      <c r="M479" s="10">
        <v>227</v>
      </c>
      <c r="N479" s="10">
        <f>IF(Tabela1610[[#This Row],[Payroll]]="",#N/A,AVERAGE(M477:M479))</f>
        <v>249</v>
      </c>
      <c r="O479" s="10"/>
      <c r="P479" s="7"/>
    </row>
    <row r="480" spans="1:16">
      <c r="A480" s="6">
        <v>32051</v>
      </c>
      <c r="B480" s="11">
        <v>6</v>
      </c>
      <c r="C480" s="11">
        <f>IF(Tabela1610[[#This Row],[Unemployment Rate]]="",#N/A,AVERAGE(B468:B480))</f>
        <v>6.3923076923076927</v>
      </c>
      <c r="D480" s="10">
        <v>7227</v>
      </c>
      <c r="E480" s="11">
        <v>65.7</v>
      </c>
      <c r="F480" s="11"/>
      <c r="G480" s="11"/>
      <c r="H480" s="55">
        <v>6619.6</v>
      </c>
      <c r="I480" s="56">
        <f>IF(Tabela1610[[#This Row],[Real Disposable Income (RDI)]]="",#N/A,((Tabela1610[[#This Row],[Real Disposable Income (RDI)]]*1)/H479)-1)</f>
        <v>6.7373351786230717E-3</v>
      </c>
      <c r="J480" s="56">
        <f>IF(Tabela1610[[#This Row],[Real Disposable Income (RDI)]]="",#N/A,((Tabela1610[[#This Row],[Real Disposable Income (RDI)]]*1)/H468)-1)</f>
        <v>2.3755026291370385E-2</v>
      </c>
      <c r="K480" s="10">
        <v>289000</v>
      </c>
      <c r="L480" s="11">
        <v>14</v>
      </c>
      <c r="M480" s="10">
        <v>491</v>
      </c>
      <c r="N480" s="10">
        <f>IF(Tabela1610[[#This Row],[Payroll]]="",#N/A,AVERAGE(M478:M480))</f>
        <v>297</v>
      </c>
      <c r="O480" s="10"/>
      <c r="P480" s="7"/>
    </row>
    <row r="481" spans="1:16">
      <c r="A481" s="6">
        <v>32082</v>
      </c>
      <c r="B481" s="11">
        <v>5.8</v>
      </c>
      <c r="C481" s="11">
        <f>IF(Tabela1610[[#This Row],[Unemployment Rate]]="",#N/A,AVERAGE(B469:B481))</f>
        <v>6.3000000000000007</v>
      </c>
      <c r="D481" s="10">
        <v>7035</v>
      </c>
      <c r="E481" s="11">
        <v>65.7</v>
      </c>
      <c r="F481" s="11"/>
      <c r="G481" s="11"/>
      <c r="H481" s="55">
        <v>6648.1</v>
      </c>
      <c r="I481" s="56">
        <f>IF(Tabela1610[[#This Row],[Real Disposable Income (RDI)]]="",#N/A,((Tabela1610[[#This Row],[Real Disposable Income (RDI)]]*1)/H480)-1)</f>
        <v>4.3053960964409832E-3</v>
      </c>
      <c r="J481" s="56">
        <f>IF(Tabela1610[[#This Row],[Real Disposable Income (RDI)]]="",#N/A,((Tabela1610[[#This Row],[Real Disposable Income (RDI)]]*1)/H469)-1)</f>
        <v>2.8051401796898023E-2</v>
      </c>
      <c r="K481" s="10">
        <v>306000</v>
      </c>
      <c r="L481" s="11">
        <v>14</v>
      </c>
      <c r="M481" s="10">
        <v>234</v>
      </c>
      <c r="N481" s="10">
        <f>IF(Tabela1610[[#This Row],[Payroll]]="",#N/A,AVERAGE(M479:M481))</f>
        <v>317.33333333333331</v>
      </c>
      <c r="O481" s="10"/>
      <c r="P481" s="7"/>
    </row>
    <row r="482" spans="1:16">
      <c r="A482" s="6">
        <v>32112</v>
      </c>
      <c r="B482" s="11">
        <v>5.7</v>
      </c>
      <c r="C482" s="11">
        <f>IF(Tabela1610[[#This Row],[Unemployment Rate]]="",#N/A,AVERAGE(B470:B482))</f>
        <v>6.207692307692307</v>
      </c>
      <c r="D482" s="10">
        <v>6936</v>
      </c>
      <c r="E482" s="11">
        <v>65.7</v>
      </c>
      <c r="F482" s="11"/>
      <c r="G482" s="11"/>
      <c r="H482" s="55">
        <v>6711.5</v>
      </c>
      <c r="I482" s="56">
        <f>IF(Tabela1610[[#This Row],[Real Disposable Income (RDI)]]="",#N/A,((Tabela1610[[#This Row],[Real Disposable Income (RDI)]]*1)/H481)-1)</f>
        <v>9.5365593176996999E-3</v>
      </c>
      <c r="J482" s="56">
        <f>IF(Tabela1610[[#This Row],[Real Disposable Income (RDI)]]="",#N/A,((Tabela1610[[#This Row],[Real Disposable Income (RDI)]]*1)/H470)-1)</f>
        <v>3.6717229447928545E-2</v>
      </c>
      <c r="K482" s="10">
        <v>316000</v>
      </c>
      <c r="L482" s="11">
        <v>14.2</v>
      </c>
      <c r="M482" s="10">
        <v>289</v>
      </c>
      <c r="N482" s="10">
        <f>IF(Tabela1610[[#This Row],[Payroll]]="",#N/A,AVERAGE(M480:M482))</f>
        <v>338</v>
      </c>
      <c r="O482" s="10"/>
      <c r="P482" s="7"/>
    </row>
    <row r="483" spans="1:16">
      <c r="A483" s="6">
        <v>32143</v>
      </c>
      <c r="B483" s="11">
        <v>5.7</v>
      </c>
      <c r="C483" s="11">
        <f>IF(Tabela1610[[#This Row],[Unemployment Rate]]="",#N/A,AVERAGE(B471:B483))</f>
        <v>6.1384615384615397</v>
      </c>
      <c r="D483" s="10">
        <v>6953</v>
      </c>
      <c r="E483" s="11">
        <v>65.8</v>
      </c>
      <c r="F483" s="11"/>
      <c r="G483" s="11"/>
      <c r="H483" s="55">
        <v>6730.2</v>
      </c>
      <c r="I483" s="56">
        <f>IF(Tabela1610[[#This Row],[Real Disposable Income (RDI)]]="",#N/A,((Tabela1610[[#This Row],[Real Disposable Income (RDI)]]*1)/H482)-1)</f>
        <v>2.7862623854577606E-3</v>
      </c>
      <c r="J483" s="56">
        <f>IF(Tabela1610[[#This Row],[Real Disposable Income (RDI)]]="",#N/A,((Tabela1610[[#This Row],[Real Disposable Income (RDI)]]*1)/H471)-1)</f>
        <v>3.6340118875304084E-2</v>
      </c>
      <c r="K483" s="10">
        <v>342000</v>
      </c>
      <c r="L483" s="11">
        <v>14.2</v>
      </c>
      <c r="M483" s="10">
        <v>92</v>
      </c>
      <c r="N483" s="10">
        <f>IF(Tabela1610[[#This Row],[Payroll]]="",#N/A,AVERAGE(M481:M483))</f>
        <v>205</v>
      </c>
      <c r="O483" s="10"/>
      <c r="P483" s="7"/>
    </row>
    <row r="484" spans="1:16">
      <c r="A484" s="6">
        <v>32174</v>
      </c>
      <c r="B484" s="11">
        <v>5.7</v>
      </c>
      <c r="C484" s="11">
        <f>IF(Tabela1610[[#This Row],[Unemployment Rate]]="",#N/A,AVERAGE(B472:B484))</f>
        <v>6.0692307692307699</v>
      </c>
      <c r="D484" s="10">
        <v>6929</v>
      </c>
      <c r="E484" s="11">
        <v>65.900000000000006</v>
      </c>
      <c r="F484" s="11"/>
      <c r="G484" s="11"/>
      <c r="H484" s="55">
        <v>6773.5</v>
      </c>
      <c r="I484" s="56">
        <f>IF(Tabela1610[[#This Row],[Real Disposable Income (RDI)]]="",#N/A,((Tabela1610[[#This Row],[Real Disposable Income (RDI)]]*1)/H483)-1)</f>
        <v>6.4336869632404259E-3</v>
      </c>
      <c r="J484" s="56">
        <f>IF(Tabela1610[[#This Row],[Real Disposable Income (RDI)]]="",#N/A,((Tabela1610[[#This Row],[Real Disposable Income (RDI)]]*1)/H472)-1)</f>
        <v>3.8084291187739483E-2</v>
      </c>
      <c r="K484" s="10">
        <v>319000</v>
      </c>
      <c r="L484" s="11">
        <v>14.4</v>
      </c>
      <c r="M484" s="10">
        <v>461</v>
      </c>
      <c r="N484" s="10">
        <f>IF(Tabela1610[[#This Row],[Payroll]]="",#N/A,AVERAGE(M482:M484))</f>
        <v>280.66666666666669</v>
      </c>
      <c r="O484" s="10"/>
      <c r="P484" s="7"/>
    </row>
    <row r="485" spans="1:16">
      <c r="A485" s="6">
        <v>32203</v>
      </c>
      <c r="B485" s="11">
        <v>5.7</v>
      </c>
      <c r="C485" s="11">
        <f>IF(Tabela1610[[#This Row],[Unemployment Rate]]="",#N/A,AVERAGE(B473:B485))</f>
        <v>6</v>
      </c>
      <c r="D485" s="10">
        <v>6876</v>
      </c>
      <c r="E485" s="11">
        <v>65.7</v>
      </c>
      <c r="F485" s="11"/>
      <c r="G485" s="11"/>
      <c r="H485" s="55">
        <v>6804.3</v>
      </c>
      <c r="I485" s="56">
        <f>IF(Tabela1610[[#This Row],[Real Disposable Income (RDI)]]="",#N/A,((Tabela1610[[#This Row],[Real Disposable Income (RDI)]]*1)/H484)-1)</f>
        <v>4.547132206392579E-3</v>
      </c>
      <c r="J485" s="56">
        <f>IF(Tabela1610[[#This Row],[Real Disposable Income (RDI)]]="",#N/A,((Tabela1610[[#This Row],[Real Disposable Income (RDI)]]*1)/H473)-1)</f>
        <v>4.1926345609065274E-2</v>
      </c>
      <c r="K485" s="10">
        <v>304000</v>
      </c>
      <c r="L485" s="11">
        <v>13.7</v>
      </c>
      <c r="M485" s="10">
        <v>275</v>
      </c>
      <c r="N485" s="10">
        <f>IF(Tabela1610[[#This Row],[Payroll]]="",#N/A,AVERAGE(M483:M485))</f>
        <v>276</v>
      </c>
      <c r="O485" s="10"/>
      <c r="P485" s="7"/>
    </row>
    <row r="486" spans="1:16">
      <c r="A486" s="6">
        <v>32234</v>
      </c>
      <c r="B486" s="11">
        <v>5.4</v>
      </c>
      <c r="C486" s="11">
        <f>IF(Tabela1610[[#This Row],[Unemployment Rate]]="",#N/A,AVERAGE(B474:B486))</f>
        <v>5.9076923076923089</v>
      </c>
      <c r="D486" s="10">
        <v>6601</v>
      </c>
      <c r="E486" s="11">
        <v>65.8</v>
      </c>
      <c r="F486" s="11"/>
      <c r="G486" s="11"/>
      <c r="H486" s="55">
        <v>6830.1</v>
      </c>
      <c r="I486" s="56">
        <f>IF(Tabela1610[[#This Row],[Real Disposable Income (RDI)]]="",#N/A,((Tabela1610[[#This Row],[Real Disposable Income (RDI)]]*1)/H485)-1)</f>
        <v>3.7917199418016079E-3</v>
      </c>
      <c r="J486" s="56">
        <f>IF(Tabela1610[[#This Row],[Real Disposable Income (RDI)]]="",#N/A,((Tabela1610[[#This Row],[Real Disposable Income (RDI)]]*1)/H474)-1)</f>
        <v>8.7197364022730595E-2</v>
      </c>
      <c r="K486" s="10">
        <v>313000</v>
      </c>
      <c r="L486" s="11">
        <v>13.3</v>
      </c>
      <c r="M486" s="10">
        <v>243</v>
      </c>
      <c r="N486" s="10">
        <f>IF(Tabela1610[[#This Row],[Payroll]]="",#N/A,AVERAGE(M484:M486))</f>
        <v>326.33333333333331</v>
      </c>
      <c r="O486" s="10"/>
      <c r="P486" s="7"/>
    </row>
    <row r="487" spans="1:16">
      <c r="A487" s="6">
        <v>32264</v>
      </c>
      <c r="B487" s="11">
        <v>5.6</v>
      </c>
      <c r="C487" s="11">
        <f>IF(Tabela1610[[#This Row],[Unemployment Rate]]="",#N/A,AVERAGE(B475:B487))</f>
        <v>5.8538461538461544</v>
      </c>
      <c r="D487" s="10">
        <v>6779</v>
      </c>
      <c r="E487" s="11">
        <v>65.7</v>
      </c>
      <c r="F487" s="11"/>
      <c r="G487" s="11"/>
      <c r="H487" s="55">
        <v>6841.7</v>
      </c>
      <c r="I487" s="56">
        <f>IF(Tabela1610[[#This Row],[Real Disposable Income (RDI)]]="",#N/A,((Tabela1610[[#This Row],[Real Disposable Income (RDI)]]*1)/H486)-1)</f>
        <v>1.6983645920263246E-3</v>
      </c>
      <c r="J487" s="56">
        <f>IF(Tabela1610[[#This Row],[Real Disposable Income (RDI)]]="",#N/A,((Tabela1610[[#This Row],[Real Disposable Income (RDI)]]*1)/H475)-1)</f>
        <v>4.6611595533119221E-2</v>
      </c>
      <c r="K487" s="10">
        <v>313000</v>
      </c>
      <c r="L487" s="11">
        <v>13.8</v>
      </c>
      <c r="M487" s="10">
        <v>230</v>
      </c>
      <c r="N487" s="10">
        <f>IF(Tabela1610[[#This Row],[Payroll]]="",#N/A,AVERAGE(M485:M487))</f>
        <v>249.33333333333334</v>
      </c>
      <c r="O487" s="10"/>
      <c r="P487" s="7"/>
    </row>
    <row r="488" spans="1:16">
      <c r="A488" s="6">
        <v>32295</v>
      </c>
      <c r="B488" s="11">
        <v>5.4</v>
      </c>
      <c r="C488" s="11">
        <f>IF(Tabela1610[[#This Row],[Unemployment Rate]]="",#N/A,AVERAGE(B476:B488))</f>
        <v>5.7846153846153863</v>
      </c>
      <c r="D488" s="10">
        <v>6546</v>
      </c>
      <c r="E488" s="11">
        <v>65.8</v>
      </c>
      <c r="F488" s="11"/>
      <c r="G488" s="11"/>
      <c r="H488" s="55">
        <v>6868.5</v>
      </c>
      <c r="I488" s="56">
        <f>IF(Tabela1610[[#This Row],[Real Disposable Income (RDI)]]="",#N/A,((Tabela1610[[#This Row],[Real Disposable Income (RDI)]]*1)/H487)-1)</f>
        <v>3.9171550930323651E-3</v>
      </c>
      <c r="J488" s="56">
        <f>IF(Tabela1610[[#This Row],[Real Disposable Income (RDI)]]="",#N/A,((Tabela1610[[#This Row],[Real Disposable Income (RDI)]]*1)/H476)-1)</f>
        <v>5.2224401004963505E-2</v>
      </c>
      <c r="K488" s="10">
        <v>307000</v>
      </c>
      <c r="L488" s="11">
        <v>13.1</v>
      </c>
      <c r="M488" s="10">
        <v>364</v>
      </c>
      <c r="N488" s="10">
        <f>IF(Tabela1610[[#This Row],[Payroll]]="",#N/A,AVERAGE(M486:M488))</f>
        <v>279</v>
      </c>
      <c r="O488" s="10"/>
      <c r="P488" s="7"/>
    </row>
    <row r="489" spans="1:16">
      <c r="A489" s="6">
        <v>32325</v>
      </c>
      <c r="B489" s="11">
        <v>5.4</v>
      </c>
      <c r="C489" s="11">
        <f>IF(Tabela1610[[#This Row],[Unemployment Rate]]="",#N/A,AVERAGE(B477:B489))</f>
        <v>5.7230769230769249</v>
      </c>
      <c r="D489" s="10">
        <v>6605</v>
      </c>
      <c r="E489" s="11">
        <v>65.900000000000006</v>
      </c>
      <c r="F489" s="11"/>
      <c r="G489" s="11"/>
      <c r="H489" s="55">
        <v>6898.2</v>
      </c>
      <c r="I489" s="56">
        <f>IF(Tabela1610[[#This Row],[Real Disposable Income (RDI)]]="",#N/A,((Tabela1610[[#This Row],[Real Disposable Income (RDI)]]*1)/H488)-1)</f>
        <v>4.3240882288708704E-3</v>
      </c>
      <c r="J489" s="56">
        <f>IF(Tabela1610[[#This Row],[Real Disposable Income (RDI)]]="",#N/A,((Tabela1610[[#This Row],[Real Disposable Income (RDI)]]*1)/H477)-1)</f>
        <v>5.3836047541935272E-2</v>
      </c>
      <c r="K489" s="10">
        <v>331000</v>
      </c>
      <c r="L489" s="11">
        <v>13.4</v>
      </c>
      <c r="M489" s="10">
        <v>224</v>
      </c>
      <c r="N489" s="10">
        <f>IF(Tabela1610[[#This Row],[Payroll]]="",#N/A,AVERAGE(M487:M489))</f>
        <v>272.66666666666669</v>
      </c>
      <c r="O489" s="10"/>
      <c r="P489" s="7"/>
    </row>
    <row r="490" spans="1:16">
      <c r="A490" s="6">
        <v>32356</v>
      </c>
      <c r="B490" s="11">
        <v>5.6</v>
      </c>
      <c r="C490" s="11">
        <f>IF(Tabela1610[[#This Row],[Unemployment Rate]]="",#N/A,AVERAGE(B478:B490))</f>
        <v>5.6846153846153848</v>
      </c>
      <c r="D490" s="10">
        <v>6843</v>
      </c>
      <c r="E490" s="11">
        <v>66.099999999999994</v>
      </c>
      <c r="F490" s="11"/>
      <c r="G490" s="11"/>
      <c r="H490" s="55">
        <v>6918.4</v>
      </c>
      <c r="I490" s="56">
        <f>IF(Tabela1610[[#This Row],[Real Disposable Income (RDI)]]="",#N/A,((Tabela1610[[#This Row],[Real Disposable Income (RDI)]]*1)/H489)-1)</f>
        <v>2.9283001362674366E-3</v>
      </c>
      <c r="J490" s="56">
        <f>IF(Tabela1610[[#This Row],[Real Disposable Income (RDI)]]="",#N/A,((Tabela1610[[#This Row],[Real Disposable Income (RDI)]]*1)/H478)-1)</f>
        <v>5.2388195923334324E-2</v>
      </c>
      <c r="K490" s="10">
        <v>315000</v>
      </c>
      <c r="L490" s="11">
        <v>13.6</v>
      </c>
      <c r="M490" s="10">
        <v>124</v>
      </c>
      <c r="N490" s="10">
        <f>IF(Tabela1610[[#This Row],[Payroll]]="",#N/A,AVERAGE(M488:M490))</f>
        <v>237.33333333333334</v>
      </c>
      <c r="O490" s="10"/>
      <c r="P490" s="7"/>
    </row>
    <row r="491" spans="1:16">
      <c r="A491" s="6">
        <v>32387</v>
      </c>
      <c r="B491" s="11">
        <v>5.4</v>
      </c>
      <c r="C491" s="11">
        <f>IF(Tabela1610[[#This Row],[Unemployment Rate]]="",#N/A,AVERAGE(B479:B491))</f>
        <v>5.638461538461538</v>
      </c>
      <c r="D491" s="10">
        <v>6604</v>
      </c>
      <c r="E491" s="11">
        <v>65.900000000000006</v>
      </c>
      <c r="F491" s="11"/>
      <c r="G491" s="11"/>
      <c r="H491" s="55">
        <v>6932.4</v>
      </c>
      <c r="I491" s="56">
        <f>IF(Tabela1610[[#This Row],[Real Disposable Income (RDI)]]="",#N/A,((Tabela1610[[#This Row],[Real Disposable Income (RDI)]]*1)/H490)-1)</f>
        <v>2.023589269195103E-3</v>
      </c>
      <c r="J491" s="56">
        <f>IF(Tabela1610[[#This Row],[Real Disposable Income (RDI)]]="",#N/A,((Tabela1610[[#This Row],[Real Disposable Income (RDI)]]*1)/H479)-1)</f>
        <v>5.4309309080954327E-2</v>
      </c>
      <c r="K491" s="10">
        <v>301000</v>
      </c>
      <c r="L491" s="11">
        <v>13.6</v>
      </c>
      <c r="M491" s="10">
        <v>339</v>
      </c>
      <c r="N491" s="10">
        <f>IF(Tabela1610[[#This Row],[Payroll]]="",#N/A,AVERAGE(M489:M491))</f>
        <v>229</v>
      </c>
      <c r="O491" s="10"/>
      <c r="P491" s="7"/>
    </row>
    <row r="492" spans="1:16">
      <c r="A492" s="6">
        <v>32417</v>
      </c>
      <c r="B492" s="11">
        <v>5.4</v>
      </c>
      <c r="C492" s="11">
        <f>IF(Tabela1610[[#This Row],[Unemployment Rate]]="",#N/A,AVERAGE(B480:B492))</f>
        <v>5.6000000000000005</v>
      </c>
      <c r="D492" s="10">
        <v>6568</v>
      </c>
      <c r="E492" s="11">
        <v>66</v>
      </c>
      <c r="F492" s="11"/>
      <c r="G492" s="11"/>
      <c r="H492" s="55">
        <v>6969.9</v>
      </c>
      <c r="I492" s="56">
        <f>IF(Tabela1610[[#This Row],[Real Disposable Income (RDI)]]="",#N/A,((Tabela1610[[#This Row],[Real Disposable Income (RDI)]]*1)/H491)-1)</f>
        <v>5.4093820321965413E-3</v>
      </c>
      <c r="J492" s="56">
        <f>IF(Tabela1610[[#This Row],[Real Disposable Income (RDI)]]="",#N/A,((Tabela1610[[#This Row],[Real Disposable Income (RDI)]]*1)/H480)-1)</f>
        <v>5.2918605353797776E-2</v>
      </c>
      <c r="K492" s="10">
        <v>294000</v>
      </c>
      <c r="L492" s="11">
        <v>13.4</v>
      </c>
      <c r="M492" s="10">
        <v>263</v>
      </c>
      <c r="N492" s="10">
        <f>IF(Tabela1610[[#This Row],[Payroll]]="",#N/A,AVERAGE(M490:M492))</f>
        <v>242</v>
      </c>
      <c r="O492" s="10"/>
      <c r="P492" s="7"/>
    </row>
    <row r="493" spans="1:16">
      <c r="A493" s="6">
        <v>32448</v>
      </c>
      <c r="B493" s="11">
        <v>5.3</v>
      </c>
      <c r="C493" s="11">
        <f>IF(Tabela1610[[#This Row],[Unemployment Rate]]="",#N/A,AVERAGE(B481:B493))</f>
        <v>5.546153846153846</v>
      </c>
      <c r="D493" s="10">
        <v>6537</v>
      </c>
      <c r="E493" s="11">
        <v>66.2</v>
      </c>
      <c r="F493" s="11"/>
      <c r="G493" s="11"/>
      <c r="H493" s="55">
        <v>6971.9</v>
      </c>
      <c r="I493" s="56">
        <f>IF(Tabela1610[[#This Row],[Real Disposable Income (RDI)]]="",#N/A,((Tabela1610[[#This Row],[Real Disposable Income (RDI)]]*1)/H492)-1)</f>
        <v>2.869481628144932E-4</v>
      </c>
      <c r="J493" s="56">
        <f>IF(Tabela1610[[#This Row],[Real Disposable Income (RDI)]]="",#N/A,((Tabela1610[[#This Row],[Real Disposable Income (RDI)]]*1)/H481)-1)</f>
        <v>4.8705645221942984E-2</v>
      </c>
      <c r="K493" s="10">
        <v>299000</v>
      </c>
      <c r="L493" s="11">
        <v>12.6</v>
      </c>
      <c r="M493" s="10">
        <v>341</v>
      </c>
      <c r="N493" s="10">
        <f>IF(Tabela1610[[#This Row],[Payroll]]="",#N/A,AVERAGE(M491:M493))</f>
        <v>314.33333333333331</v>
      </c>
      <c r="O493" s="10"/>
      <c r="P493" s="7"/>
    </row>
    <row r="494" spans="1:16">
      <c r="A494" s="6">
        <v>32478</v>
      </c>
      <c r="B494" s="11">
        <v>5.3</v>
      </c>
      <c r="C494" s="11">
        <f>IF(Tabela1610[[#This Row],[Unemployment Rate]]="",#N/A,AVERAGE(B482:B494))</f>
        <v>5.5076923076923077</v>
      </c>
      <c r="D494" s="10">
        <v>6518</v>
      </c>
      <c r="E494" s="11">
        <v>66.099999999999994</v>
      </c>
      <c r="F494" s="11"/>
      <c r="G494" s="11"/>
      <c r="H494" s="55">
        <v>7005.2</v>
      </c>
      <c r="I494" s="56">
        <f>IF(Tabela1610[[#This Row],[Real Disposable Income (RDI)]]="",#N/A,((Tabela1610[[#This Row],[Real Disposable Income (RDI)]]*1)/H493)-1)</f>
        <v>4.7763163556562294E-3</v>
      </c>
      <c r="J494" s="56">
        <f>IF(Tabela1610[[#This Row],[Real Disposable Income (RDI)]]="",#N/A,((Tabela1610[[#This Row],[Real Disposable Income (RDI)]]*1)/H482)-1)</f>
        <v>4.3760709230425299E-2</v>
      </c>
      <c r="K494" s="10">
        <v>304000</v>
      </c>
      <c r="L494" s="11">
        <v>12.9</v>
      </c>
      <c r="M494" s="10">
        <v>281</v>
      </c>
      <c r="N494" s="10">
        <f>IF(Tabela1610[[#This Row],[Payroll]]="",#N/A,AVERAGE(M492:M494))</f>
        <v>295</v>
      </c>
      <c r="O494" s="10"/>
      <c r="P494" s="7"/>
    </row>
    <row r="495" spans="1:16">
      <c r="A495" s="6">
        <v>32509</v>
      </c>
      <c r="B495" s="11">
        <v>5.4</v>
      </c>
      <c r="C495" s="11">
        <f>IF(Tabela1610[[#This Row],[Unemployment Rate]]="",#N/A,AVERAGE(B483:B495))</f>
        <v>5.4846153846153847</v>
      </c>
      <c r="D495" s="10">
        <v>6682</v>
      </c>
      <c r="E495" s="11">
        <v>66.5</v>
      </c>
      <c r="F495" s="11"/>
      <c r="G495" s="11"/>
      <c r="H495" s="55">
        <v>7033.4</v>
      </c>
      <c r="I495" s="56">
        <f>IF(Tabela1610[[#This Row],[Real Disposable Income (RDI)]]="",#N/A,((Tabela1610[[#This Row],[Real Disposable Income (RDI)]]*1)/H494)-1)</f>
        <v>4.0255809969735878E-3</v>
      </c>
      <c r="J495" s="56">
        <f>IF(Tabela1610[[#This Row],[Real Disposable Income (RDI)]]="",#N/A,((Tabela1610[[#This Row],[Real Disposable Income (RDI)]]*1)/H483)-1)</f>
        <v>4.5050667142135348E-2</v>
      </c>
      <c r="K495" s="10">
        <v>295000</v>
      </c>
      <c r="L495" s="11">
        <v>12.6</v>
      </c>
      <c r="M495" s="10">
        <v>263</v>
      </c>
      <c r="N495" s="10">
        <f>IF(Tabela1610[[#This Row],[Payroll]]="",#N/A,AVERAGE(M493:M495))</f>
        <v>295</v>
      </c>
      <c r="O495" s="10"/>
      <c r="P495" s="7"/>
    </row>
    <row r="496" spans="1:16">
      <c r="A496" s="6">
        <v>32540</v>
      </c>
      <c r="B496" s="11">
        <v>5.2</v>
      </c>
      <c r="C496" s="11">
        <f>IF(Tabela1610[[#This Row],[Unemployment Rate]]="",#N/A,AVERAGE(B484:B496))</f>
        <v>5.4461538461538463</v>
      </c>
      <c r="D496" s="10">
        <v>6359</v>
      </c>
      <c r="E496" s="11">
        <v>66.3</v>
      </c>
      <c r="F496" s="11"/>
      <c r="G496" s="11"/>
      <c r="H496" s="55">
        <v>7052.7</v>
      </c>
      <c r="I496" s="56">
        <f>IF(Tabela1610[[#This Row],[Real Disposable Income (RDI)]]="",#N/A,((Tabela1610[[#This Row],[Real Disposable Income (RDI)]]*1)/H495)-1)</f>
        <v>2.7440498194331031E-3</v>
      </c>
      <c r="J496" s="56">
        <f>IF(Tabela1610[[#This Row],[Real Disposable Income (RDI)]]="",#N/A,((Tabela1610[[#This Row],[Real Disposable Income (RDI)]]*1)/H484)-1)</f>
        <v>4.1219458182623514E-2</v>
      </c>
      <c r="K496" s="10">
        <v>300000</v>
      </c>
      <c r="L496" s="11">
        <v>12.4</v>
      </c>
      <c r="M496" s="10">
        <v>266</v>
      </c>
      <c r="N496" s="10">
        <f>IF(Tabela1610[[#This Row],[Payroll]]="",#N/A,AVERAGE(M494:M496))</f>
        <v>270</v>
      </c>
      <c r="O496" s="10"/>
      <c r="P496" s="7"/>
    </row>
    <row r="497" spans="1:16">
      <c r="A497" s="6">
        <v>32568</v>
      </c>
      <c r="B497" s="11">
        <v>5</v>
      </c>
      <c r="C497" s="11">
        <f>IF(Tabela1610[[#This Row],[Unemployment Rate]]="",#N/A,AVERAGE(B485:B497))</f>
        <v>5.3923076923076918</v>
      </c>
      <c r="D497" s="10">
        <v>6205</v>
      </c>
      <c r="E497" s="11">
        <v>66.3</v>
      </c>
      <c r="F497" s="11"/>
      <c r="G497" s="11"/>
      <c r="H497" s="55">
        <v>7087.1</v>
      </c>
      <c r="I497" s="56">
        <f>IF(Tabela1610[[#This Row],[Real Disposable Income (RDI)]]="",#N/A,((Tabela1610[[#This Row],[Real Disposable Income (RDI)]]*1)/H496)-1)</f>
        <v>4.8775646206418166E-3</v>
      </c>
      <c r="J497" s="56">
        <f>IF(Tabela1610[[#This Row],[Real Disposable Income (RDI)]]="",#N/A,((Tabela1610[[#This Row],[Real Disposable Income (RDI)]]*1)/H485)-1)</f>
        <v>4.1561953470599544E-2</v>
      </c>
      <c r="K497" s="10">
        <v>319000</v>
      </c>
      <c r="L497" s="11">
        <v>12.3</v>
      </c>
      <c r="M497" s="10">
        <v>194</v>
      </c>
      <c r="N497" s="10">
        <f>IF(Tabela1610[[#This Row],[Payroll]]="",#N/A,AVERAGE(M495:M497))</f>
        <v>241</v>
      </c>
      <c r="O497" s="10"/>
      <c r="P497" s="7"/>
    </row>
    <row r="498" spans="1:16">
      <c r="A498" s="6">
        <v>32599</v>
      </c>
      <c r="B498" s="11">
        <v>5.2</v>
      </c>
      <c r="C498" s="11">
        <f>IF(Tabela1610[[#This Row],[Unemployment Rate]]="",#N/A,AVERAGE(B486:B498))</f>
        <v>5.3538461538461535</v>
      </c>
      <c r="D498" s="10">
        <v>6468</v>
      </c>
      <c r="E498" s="11">
        <v>66.400000000000006</v>
      </c>
      <c r="F498" s="11"/>
      <c r="G498" s="11"/>
      <c r="H498" s="55">
        <v>7050</v>
      </c>
      <c r="I498" s="56">
        <f>IF(Tabela1610[[#This Row],[Real Disposable Income (RDI)]]="",#N/A,((Tabela1610[[#This Row],[Real Disposable Income (RDI)]]*1)/H497)-1)</f>
        <v>-5.234863343257512E-3</v>
      </c>
      <c r="J498" s="56">
        <f>IF(Tabela1610[[#This Row],[Real Disposable Income (RDI)]]="",#N/A,((Tabela1610[[#This Row],[Real Disposable Income (RDI)]]*1)/H486)-1)</f>
        <v>3.2195721878157002E-2</v>
      </c>
      <c r="K498" s="10">
        <v>311000</v>
      </c>
      <c r="L498" s="11">
        <v>12.5</v>
      </c>
      <c r="M498" s="10">
        <v>170</v>
      </c>
      <c r="N498" s="10">
        <f>IF(Tabela1610[[#This Row],[Payroll]]="",#N/A,AVERAGE(M496:M498))</f>
        <v>210</v>
      </c>
      <c r="O498" s="10"/>
      <c r="P498" s="7"/>
    </row>
    <row r="499" spans="1:16">
      <c r="A499" s="6">
        <v>32629</v>
      </c>
      <c r="B499" s="11">
        <v>5.2</v>
      </c>
      <c r="C499" s="11">
        <f>IF(Tabela1610[[#This Row],[Unemployment Rate]]="",#N/A,AVERAGE(B487:B499))</f>
        <v>5.3384615384615381</v>
      </c>
      <c r="D499" s="10">
        <v>6375</v>
      </c>
      <c r="E499" s="11">
        <v>66.3</v>
      </c>
      <c r="F499" s="11"/>
      <c r="G499" s="11"/>
      <c r="H499" s="55">
        <v>7017.2</v>
      </c>
      <c r="I499" s="56">
        <f>IF(Tabela1610[[#This Row],[Real Disposable Income (RDI)]]="",#N/A,((Tabela1610[[#This Row],[Real Disposable Income (RDI)]]*1)/H498)-1)</f>
        <v>-4.6524822695035439E-3</v>
      </c>
      <c r="J499" s="56">
        <f>IF(Tabela1610[[#This Row],[Real Disposable Income (RDI)]]="",#N/A,((Tabela1610[[#This Row],[Real Disposable Income (RDI)]]*1)/H487)-1)</f>
        <v>2.5651519359223496E-2</v>
      </c>
      <c r="K499" s="10">
        <v>325000</v>
      </c>
      <c r="L499" s="11">
        <v>12</v>
      </c>
      <c r="M499" s="10">
        <v>122</v>
      </c>
      <c r="N499" s="10">
        <f>IF(Tabela1610[[#This Row],[Payroll]]="",#N/A,AVERAGE(M497:M499))</f>
        <v>162</v>
      </c>
      <c r="O499" s="10"/>
      <c r="P499" s="7"/>
    </row>
    <row r="500" spans="1:16">
      <c r="A500" s="6">
        <v>32660</v>
      </c>
      <c r="B500" s="11">
        <v>5.3</v>
      </c>
      <c r="C500" s="11">
        <f>IF(Tabela1610[[#This Row],[Unemployment Rate]]="",#N/A,AVERAGE(B488:B500))</f>
        <v>5.3153846153846152</v>
      </c>
      <c r="D500" s="10">
        <v>6577</v>
      </c>
      <c r="E500" s="11">
        <v>66.5</v>
      </c>
      <c r="F500" s="11"/>
      <c r="G500" s="11"/>
      <c r="H500" s="55">
        <v>7036.7</v>
      </c>
      <c r="I500" s="56">
        <f>IF(Tabela1610[[#This Row],[Real Disposable Income (RDI)]]="",#N/A,((Tabela1610[[#This Row],[Real Disposable Income (RDI)]]*1)/H499)-1)</f>
        <v>2.7788861654221009E-3</v>
      </c>
      <c r="J500" s="56">
        <f>IF(Tabela1610[[#This Row],[Real Disposable Income (RDI)]]="",#N/A,((Tabela1610[[#This Row],[Real Disposable Income (RDI)]]*1)/H488)-1)</f>
        <v>2.4488607410642738E-2</v>
      </c>
      <c r="K500" s="10">
        <v>338000</v>
      </c>
      <c r="L500" s="11">
        <v>11.1</v>
      </c>
      <c r="M500" s="10">
        <v>114</v>
      </c>
      <c r="N500" s="10">
        <f>IF(Tabela1610[[#This Row],[Payroll]]="",#N/A,AVERAGE(M498:M500))</f>
        <v>135.33333333333334</v>
      </c>
      <c r="O500" s="10"/>
      <c r="P500" s="7"/>
    </row>
    <row r="501" spans="1:16">
      <c r="A501" s="6">
        <v>32690</v>
      </c>
      <c r="B501" s="11">
        <v>5.2</v>
      </c>
      <c r="C501" s="11">
        <f>IF(Tabela1610[[#This Row],[Unemployment Rate]]="",#N/A,AVERAGE(B489:B501))</f>
        <v>5.3000000000000007</v>
      </c>
      <c r="D501" s="10">
        <v>6495</v>
      </c>
      <c r="E501" s="11">
        <v>66.5</v>
      </c>
      <c r="F501" s="11"/>
      <c r="G501" s="11"/>
      <c r="H501" s="55">
        <v>7061.3</v>
      </c>
      <c r="I501" s="56">
        <f>IF(Tabela1610[[#This Row],[Real Disposable Income (RDI)]]="",#N/A,((Tabela1610[[#This Row],[Real Disposable Income (RDI)]]*1)/H500)-1)</f>
        <v>3.4959569116206346E-3</v>
      </c>
      <c r="J501" s="56">
        <f>IF(Tabela1610[[#This Row],[Real Disposable Income (RDI)]]="",#N/A,((Tabela1610[[#This Row],[Real Disposable Income (RDI)]]*1)/H489)-1)</f>
        <v>2.3643849120060345E-2</v>
      </c>
      <c r="K501" s="10">
        <v>337000</v>
      </c>
      <c r="L501" s="11">
        <v>11.8</v>
      </c>
      <c r="M501" s="10">
        <v>42</v>
      </c>
      <c r="N501" s="10">
        <f>IF(Tabela1610[[#This Row],[Payroll]]="",#N/A,AVERAGE(M499:M501))</f>
        <v>92.666666666666671</v>
      </c>
      <c r="O501" s="10"/>
      <c r="P501" s="7"/>
    </row>
    <row r="502" spans="1:16">
      <c r="A502" s="6">
        <v>32721</v>
      </c>
      <c r="B502" s="11">
        <v>5.2</v>
      </c>
      <c r="C502" s="11">
        <f>IF(Tabela1610[[#This Row],[Unemployment Rate]]="",#N/A,AVERAGE(B490:B502))</f>
        <v>5.2846153846153845</v>
      </c>
      <c r="D502" s="10">
        <v>6511</v>
      </c>
      <c r="E502" s="11">
        <v>66.5</v>
      </c>
      <c r="F502" s="11"/>
      <c r="G502" s="11"/>
      <c r="H502" s="55">
        <v>7080</v>
      </c>
      <c r="I502" s="56">
        <f>IF(Tabela1610[[#This Row],[Real Disposable Income (RDI)]]="",#N/A,((Tabela1610[[#This Row],[Real Disposable Income (RDI)]]*1)/H501)-1)</f>
        <v>2.6482375766501143E-3</v>
      </c>
      <c r="J502" s="56">
        <f>IF(Tabela1610[[#This Row],[Real Disposable Income (RDI)]]="",#N/A,((Tabela1610[[#This Row],[Real Disposable Income (RDI)]]*1)/H490)-1)</f>
        <v>2.3358001850138921E-2</v>
      </c>
      <c r="K502" s="10">
        <v>332000</v>
      </c>
      <c r="L502" s="11">
        <v>11.4</v>
      </c>
      <c r="M502" s="10">
        <v>51</v>
      </c>
      <c r="N502" s="10">
        <f>IF(Tabela1610[[#This Row],[Payroll]]="",#N/A,AVERAGE(M500:M502))</f>
        <v>69</v>
      </c>
      <c r="O502" s="10"/>
      <c r="P502" s="7"/>
    </row>
    <row r="503" spans="1:16">
      <c r="A503" s="6">
        <v>32752</v>
      </c>
      <c r="B503" s="11">
        <v>5.3</v>
      </c>
      <c r="C503" s="11">
        <f>IF(Tabela1610[[#This Row],[Unemployment Rate]]="",#N/A,AVERAGE(B491:B503))</f>
        <v>5.2615384615384633</v>
      </c>
      <c r="D503" s="10">
        <v>6590</v>
      </c>
      <c r="E503" s="11">
        <v>66.400000000000006</v>
      </c>
      <c r="F503" s="11"/>
      <c r="G503" s="11"/>
      <c r="H503" s="55">
        <v>7101.4</v>
      </c>
      <c r="I503" s="56">
        <f>IF(Tabela1610[[#This Row],[Real Disposable Income (RDI)]]="",#N/A,((Tabela1610[[#This Row],[Real Disposable Income (RDI)]]*1)/H502)-1)</f>
        <v>3.0225988700565143E-3</v>
      </c>
      <c r="J503" s="56">
        <f>IF(Tabela1610[[#This Row],[Real Disposable Income (RDI)]]="",#N/A,((Tabela1610[[#This Row],[Real Disposable Income (RDI)]]*1)/H491)-1)</f>
        <v>2.4378281691766146E-2</v>
      </c>
      <c r="K503" s="10">
        <v>347000</v>
      </c>
      <c r="L503" s="11">
        <v>11.5</v>
      </c>
      <c r="M503" s="10">
        <v>249</v>
      </c>
      <c r="N503" s="10">
        <f>IF(Tabela1610[[#This Row],[Payroll]]="",#N/A,AVERAGE(M501:M503))</f>
        <v>114</v>
      </c>
      <c r="O503" s="10"/>
      <c r="P503" s="7"/>
    </row>
    <row r="504" spans="1:16">
      <c r="A504" s="6">
        <v>32782</v>
      </c>
      <c r="B504" s="11">
        <v>5.3</v>
      </c>
      <c r="C504" s="11">
        <f>IF(Tabela1610[[#This Row],[Unemployment Rate]]="",#N/A,AVERAGE(B492:B504))</f>
        <v>5.2538461538461538</v>
      </c>
      <c r="D504" s="10">
        <v>6630</v>
      </c>
      <c r="E504" s="11">
        <v>66.5</v>
      </c>
      <c r="F504" s="11"/>
      <c r="G504" s="11"/>
      <c r="H504" s="55">
        <v>7136.8</v>
      </c>
      <c r="I504" s="56">
        <f>IF(Tabela1610[[#This Row],[Real Disposable Income (RDI)]]="",#N/A,((Tabela1610[[#This Row],[Real Disposable Income (RDI)]]*1)/H503)-1)</f>
        <v>4.9849325485116225E-3</v>
      </c>
      <c r="J504" s="56">
        <f>IF(Tabela1610[[#This Row],[Real Disposable Income (RDI)]]="",#N/A,((Tabela1610[[#This Row],[Real Disposable Income (RDI)]]*1)/H492)-1)</f>
        <v>2.3945824186860643E-2</v>
      </c>
      <c r="K504" s="10">
        <v>354000</v>
      </c>
      <c r="L504" s="11">
        <v>11.9</v>
      </c>
      <c r="M504" s="10">
        <v>107</v>
      </c>
      <c r="N504" s="10">
        <f>IF(Tabela1610[[#This Row],[Payroll]]="",#N/A,AVERAGE(M502:M504))</f>
        <v>135.66666666666666</v>
      </c>
      <c r="O504" s="10"/>
      <c r="P504" s="7"/>
    </row>
    <row r="505" spans="1:16">
      <c r="A505" s="6">
        <v>32813</v>
      </c>
      <c r="B505" s="11">
        <v>5.4</v>
      </c>
      <c r="C505" s="11">
        <f>IF(Tabela1610[[#This Row],[Unemployment Rate]]="",#N/A,AVERAGE(B493:B505))</f>
        <v>5.2538461538461538</v>
      </c>
      <c r="D505" s="10">
        <v>6725</v>
      </c>
      <c r="E505" s="11">
        <v>66.599999999999994</v>
      </c>
      <c r="F505" s="11"/>
      <c r="G505" s="11"/>
      <c r="H505" s="55">
        <v>7144</v>
      </c>
      <c r="I505" s="56">
        <f>IF(Tabela1610[[#This Row],[Real Disposable Income (RDI)]]="",#N/A,((Tabela1610[[#This Row],[Real Disposable Income (RDI)]]*1)/H504)-1)</f>
        <v>1.0088555094720508E-3</v>
      </c>
      <c r="J505" s="56">
        <f>IF(Tabela1610[[#This Row],[Real Disposable Income (RDI)]]="",#N/A,((Tabela1610[[#This Row],[Real Disposable Income (RDI)]]*1)/H493)-1)</f>
        <v>2.4684806150403915E-2</v>
      </c>
      <c r="K505" s="10">
        <v>342000</v>
      </c>
      <c r="L505" s="11">
        <v>11.7</v>
      </c>
      <c r="M505" s="10">
        <v>276</v>
      </c>
      <c r="N505" s="10">
        <f>IF(Tabela1610[[#This Row],[Payroll]]="",#N/A,AVERAGE(M503:M505))</f>
        <v>210.66666666666666</v>
      </c>
      <c r="O505" s="10"/>
      <c r="P505" s="7"/>
    </row>
    <row r="506" spans="1:16">
      <c r="A506" s="6">
        <v>32843</v>
      </c>
      <c r="B506" s="11">
        <v>5.4</v>
      </c>
      <c r="C506" s="11">
        <f>IF(Tabela1610[[#This Row],[Unemployment Rate]]="",#N/A,AVERAGE(B494:B506))</f>
        <v>5.2615384615384606</v>
      </c>
      <c r="D506" s="10">
        <v>6667</v>
      </c>
      <c r="E506" s="11">
        <v>66.5</v>
      </c>
      <c r="F506" s="11"/>
      <c r="G506" s="11"/>
      <c r="H506" s="55">
        <v>7144.7</v>
      </c>
      <c r="I506" s="56">
        <f>IF(Tabela1610[[#This Row],[Real Disposable Income (RDI)]]="",#N/A,((Tabela1610[[#This Row],[Real Disposable Income (RDI)]]*1)/H505)-1)</f>
        <v>9.7984322508404276E-5</v>
      </c>
      <c r="J506" s="56">
        <f>IF(Tabela1610[[#This Row],[Real Disposable Income (RDI)]]="",#N/A,((Tabela1610[[#This Row],[Real Disposable Income (RDI)]]*1)/H494)-1)</f>
        <v>1.9913778336093202E-2</v>
      </c>
      <c r="K506" s="10">
        <v>358000</v>
      </c>
      <c r="L506" s="11">
        <v>11.6</v>
      </c>
      <c r="M506" s="10">
        <v>84</v>
      </c>
      <c r="N506" s="10">
        <f>IF(Tabela1610[[#This Row],[Payroll]]="",#N/A,AVERAGE(M504:M506))</f>
        <v>155.66666666666666</v>
      </c>
      <c r="O506" s="10"/>
      <c r="P506" s="7"/>
    </row>
    <row r="507" spans="1:16">
      <c r="A507" s="6">
        <v>32874</v>
      </c>
      <c r="B507" s="11">
        <v>5.4</v>
      </c>
      <c r="C507" s="11">
        <f>IF(Tabela1610[[#This Row],[Unemployment Rate]]="",#N/A,AVERAGE(B495:B507))</f>
        <v>5.2692307692307692</v>
      </c>
      <c r="D507" s="10">
        <v>6752</v>
      </c>
      <c r="E507" s="11">
        <v>66.8</v>
      </c>
      <c r="F507" s="11"/>
      <c r="G507" s="11"/>
      <c r="H507" s="55">
        <v>7187.4</v>
      </c>
      <c r="I507" s="56">
        <f>IF(Tabela1610[[#This Row],[Real Disposable Income (RDI)]]="",#N/A,((Tabela1610[[#This Row],[Real Disposable Income (RDI)]]*1)/H506)-1)</f>
        <v>5.9764580738168593E-3</v>
      </c>
      <c r="J507" s="56">
        <f>IF(Tabela1610[[#This Row],[Real Disposable Income (RDI)]]="",#N/A,((Tabela1610[[#This Row],[Real Disposable Income (RDI)]]*1)/H495)-1)</f>
        <v>2.1895527056615682E-2</v>
      </c>
      <c r="K507" s="10">
        <v>345000</v>
      </c>
      <c r="L507" s="11">
        <v>11.8</v>
      </c>
      <c r="M507" s="10">
        <v>352</v>
      </c>
      <c r="N507" s="10">
        <f>IF(Tabela1610[[#This Row],[Payroll]]="",#N/A,AVERAGE(M505:M507))</f>
        <v>237.33333333333334</v>
      </c>
      <c r="O507" s="10"/>
      <c r="P507" s="7"/>
    </row>
    <row r="508" spans="1:16">
      <c r="A508" s="6">
        <v>32905</v>
      </c>
      <c r="B508" s="11">
        <v>5.3</v>
      </c>
      <c r="C508" s="11">
        <f>IF(Tabela1610[[#This Row],[Unemployment Rate]]="",#N/A,AVERAGE(B496:B508))</f>
        <v>5.2615384615384606</v>
      </c>
      <c r="D508" s="10">
        <v>6651</v>
      </c>
      <c r="E508" s="11">
        <v>66.7</v>
      </c>
      <c r="F508" s="11"/>
      <c r="G508" s="11"/>
      <c r="H508" s="55">
        <v>7203.3</v>
      </c>
      <c r="I508" s="56">
        <f>IF(Tabela1610[[#This Row],[Real Disposable Income (RDI)]]="",#N/A,((Tabela1610[[#This Row],[Real Disposable Income (RDI)]]*1)/H507)-1)</f>
        <v>2.2122046915435956E-3</v>
      </c>
      <c r="J508" s="56">
        <f>IF(Tabela1610[[#This Row],[Real Disposable Income (RDI)]]="",#N/A,((Tabela1610[[#This Row],[Real Disposable Income (RDI)]]*1)/H496)-1)</f>
        <v>2.1353524182228245E-2</v>
      </c>
      <c r="K508" s="10">
        <v>350000</v>
      </c>
      <c r="L508" s="11">
        <v>11.6</v>
      </c>
      <c r="M508" s="10">
        <v>244</v>
      </c>
      <c r="N508" s="10">
        <f>IF(Tabela1610[[#This Row],[Payroll]]="",#N/A,AVERAGE(M506:M508))</f>
        <v>226.66666666666666</v>
      </c>
      <c r="O508" s="10"/>
      <c r="P508" s="7"/>
    </row>
    <row r="509" spans="1:16">
      <c r="A509" s="6">
        <v>32933</v>
      </c>
      <c r="B509" s="11">
        <v>5.2</v>
      </c>
      <c r="C509" s="11">
        <f>IF(Tabela1610[[#This Row],[Unemployment Rate]]="",#N/A,AVERAGE(B497:B509))</f>
        <v>5.2615384615384606</v>
      </c>
      <c r="D509" s="10">
        <v>6598</v>
      </c>
      <c r="E509" s="11">
        <v>66.7</v>
      </c>
      <c r="F509" s="11"/>
      <c r="G509" s="11"/>
      <c r="H509" s="55">
        <v>7206.1</v>
      </c>
      <c r="I509" s="56">
        <f>IF(Tabela1610[[#This Row],[Real Disposable Income (RDI)]]="",#N/A,((Tabela1610[[#This Row],[Real Disposable Income (RDI)]]*1)/H508)-1)</f>
        <v>3.8871072980439791E-4</v>
      </c>
      <c r="J509" s="56">
        <f>IF(Tabela1610[[#This Row],[Real Disposable Income (RDI)]]="",#N/A,((Tabela1610[[#This Row],[Real Disposable Income (RDI)]]*1)/H497)-1)</f>
        <v>1.679107110101441E-2</v>
      </c>
      <c r="K509" s="10">
        <v>346000</v>
      </c>
      <c r="L509" s="11">
        <v>11.7</v>
      </c>
      <c r="M509" s="10">
        <v>204</v>
      </c>
      <c r="N509" s="10">
        <f>IF(Tabela1610[[#This Row],[Payroll]]="",#N/A,AVERAGE(M507:M509))</f>
        <v>266.66666666666669</v>
      </c>
      <c r="O509" s="10"/>
      <c r="P509" s="7"/>
    </row>
    <row r="510" spans="1:16">
      <c r="A510" s="6">
        <v>32964</v>
      </c>
      <c r="B510" s="11">
        <v>5.4</v>
      </c>
      <c r="C510" s="11">
        <f>IF(Tabela1610[[#This Row],[Unemployment Rate]]="",#N/A,AVERAGE(B498:B510))</f>
        <v>5.2923076923076922</v>
      </c>
      <c r="D510" s="10">
        <v>6797</v>
      </c>
      <c r="E510" s="11">
        <v>66.599999999999994</v>
      </c>
      <c r="F510" s="11"/>
      <c r="G510" s="11"/>
      <c r="H510" s="55">
        <v>7253.4</v>
      </c>
      <c r="I510" s="56">
        <f>IF(Tabela1610[[#This Row],[Real Disposable Income (RDI)]]="",#N/A,((Tabela1610[[#This Row],[Real Disposable Income (RDI)]]*1)/H509)-1)</f>
        <v>6.5638833765835347E-3</v>
      </c>
      <c r="J510" s="56">
        <f>IF(Tabela1610[[#This Row],[Real Disposable Income (RDI)]]="",#N/A,((Tabela1610[[#This Row],[Real Disposable Income (RDI)]]*1)/H498)-1)</f>
        <v>2.8851063829787194E-2</v>
      </c>
      <c r="K510" s="10">
        <v>363000</v>
      </c>
      <c r="L510" s="11">
        <v>11.8</v>
      </c>
      <c r="M510" s="10">
        <v>34</v>
      </c>
      <c r="N510" s="10">
        <f>IF(Tabela1610[[#This Row],[Payroll]]="",#N/A,AVERAGE(M508:M510))</f>
        <v>160.66666666666666</v>
      </c>
      <c r="O510" s="10"/>
      <c r="P510" s="7"/>
    </row>
    <row r="511" spans="1:16">
      <c r="A511" s="6">
        <v>32994</v>
      </c>
      <c r="B511" s="11">
        <v>5.4</v>
      </c>
      <c r="C511" s="11">
        <f>IF(Tabela1610[[#This Row],[Unemployment Rate]]="",#N/A,AVERAGE(B499:B511))</f>
        <v>5.3076923076923075</v>
      </c>
      <c r="D511" s="10">
        <v>6742</v>
      </c>
      <c r="E511" s="11">
        <v>66.599999999999994</v>
      </c>
      <c r="F511" s="11"/>
      <c r="G511" s="11"/>
      <c r="H511" s="55">
        <v>7245.8</v>
      </c>
      <c r="I511" s="56">
        <f>IF(Tabela1610[[#This Row],[Real Disposable Income (RDI)]]="",#N/A,((Tabela1610[[#This Row],[Real Disposable Income (RDI)]]*1)/H510)-1)</f>
        <v>-1.0477844872748276E-3</v>
      </c>
      <c r="J511" s="56">
        <f>IF(Tabela1610[[#This Row],[Real Disposable Income (RDI)]]="",#N/A,((Tabela1610[[#This Row],[Real Disposable Income (RDI)]]*1)/H499)-1)</f>
        <v>3.2577096277717654E-2</v>
      </c>
      <c r="K511" s="10">
        <v>359000</v>
      </c>
      <c r="L511" s="11">
        <v>11.7</v>
      </c>
      <c r="M511" s="10">
        <v>163</v>
      </c>
      <c r="N511" s="10">
        <f>IF(Tabela1610[[#This Row],[Payroll]]="",#N/A,AVERAGE(M509:M511))</f>
        <v>133.66666666666666</v>
      </c>
      <c r="O511" s="10"/>
      <c r="P511" s="7"/>
    </row>
    <row r="512" spans="1:16">
      <c r="A512" s="6">
        <v>33025</v>
      </c>
      <c r="B512" s="11">
        <v>5.2</v>
      </c>
      <c r="C512" s="11">
        <f>IF(Tabela1610[[#This Row],[Unemployment Rate]]="",#N/A,AVERAGE(B500:B512))</f>
        <v>5.3076923076923075</v>
      </c>
      <c r="D512" s="10">
        <v>6590</v>
      </c>
      <c r="E512" s="11">
        <v>66.400000000000006</v>
      </c>
      <c r="F512" s="11"/>
      <c r="G512" s="11"/>
      <c r="H512" s="55">
        <v>7257.3</v>
      </c>
      <c r="I512" s="56">
        <f>IF(Tabela1610[[#This Row],[Real Disposable Income (RDI)]]="",#N/A,((Tabela1610[[#This Row],[Real Disposable Income (RDI)]]*1)/H511)-1)</f>
        <v>1.5871263352562615E-3</v>
      </c>
      <c r="J512" s="56">
        <f>IF(Tabela1610[[#This Row],[Real Disposable Income (RDI)]]="",#N/A,((Tabela1610[[#This Row],[Real Disposable Income (RDI)]]*1)/H500)-1)</f>
        <v>3.1349922548922216E-2</v>
      </c>
      <c r="K512" s="10">
        <v>364000</v>
      </c>
      <c r="L512" s="11">
        <v>11.6</v>
      </c>
      <c r="M512" s="10">
        <v>24</v>
      </c>
      <c r="N512" s="10">
        <f>IF(Tabela1610[[#This Row],[Payroll]]="",#N/A,AVERAGE(M510:M512))</f>
        <v>73.666666666666671</v>
      </c>
      <c r="O512" s="10"/>
      <c r="P512" s="7"/>
    </row>
    <row r="513" spans="1:16">
      <c r="A513" s="6">
        <v>33055</v>
      </c>
      <c r="B513" s="11">
        <v>5.5</v>
      </c>
      <c r="C513" s="11">
        <f>IF(Tabela1610[[#This Row],[Unemployment Rate]]="",#N/A,AVERAGE(B501:B513))</f>
        <v>5.3230769230769219</v>
      </c>
      <c r="D513" s="10">
        <v>6922</v>
      </c>
      <c r="E513" s="11">
        <v>66.5</v>
      </c>
      <c r="F513" s="11"/>
      <c r="G513" s="11"/>
      <c r="H513" s="55">
        <v>7283.7</v>
      </c>
      <c r="I513" s="56">
        <f>IF(Tabela1610[[#This Row],[Real Disposable Income (RDI)]]="",#N/A,((Tabela1610[[#This Row],[Real Disposable Income (RDI)]]*1)/H512)-1)</f>
        <v>3.637716506138533E-3</v>
      </c>
      <c r="J513" s="56">
        <f>IF(Tabela1610[[#This Row],[Real Disposable Income (RDI)]]="",#N/A,((Tabela1610[[#This Row],[Real Disposable Income (RDI)]]*1)/H501)-1)</f>
        <v>3.1495616954385186E-2</v>
      </c>
      <c r="K513" s="10">
        <v>369000</v>
      </c>
      <c r="L513" s="11">
        <v>11.9</v>
      </c>
      <c r="M513" s="10">
        <v>-34</v>
      </c>
      <c r="N513" s="10">
        <f>IF(Tabela1610[[#This Row],[Payroll]]="",#N/A,AVERAGE(M511:M513))</f>
        <v>51</v>
      </c>
      <c r="O513" s="10"/>
      <c r="P513" s="7"/>
    </row>
    <row r="514" spans="1:16">
      <c r="A514" s="6">
        <v>33086</v>
      </c>
      <c r="B514" s="11">
        <v>5.7</v>
      </c>
      <c r="C514" s="11">
        <f>IF(Tabela1610[[#This Row],[Unemployment Rate]]="",#N/A,AVERAGE(B502:B514))</f>
        <v>5.361538461538462</v>
      </c>
      <c r="D514" s="10">
        <v>7188</v>
      </c>
      <c r="E514" s="11">
        <v>66.5</v>
      </c>
      <c r="F514" s="11"/>
      <c r="G514" s="11"/>
      <c r="H514" s="55">
        <v>7239.1</v>
      </c>
      <c r="I514" s="56">
        <f>IF(Tabela1610[[#This Row],[Real Disposable Income (RDI)]]="",#N/A,((Tabela1610[[#This Row],[Real Disposable Income (RDI)]]*1)/H513)-1)</f>
        <v>-6.1232615291677561E-3</v>
      </c>
      <c r="J514" s="56">
        <f>IF(Tabela1610[[#This Row],[Real Disposable Income (RDI)]]="",#N/A,((Tabela1610[[#This Row],[Real Disposable Income (RDI)]]*1)/H502)-1)</f>
        <v>2.2471751412429519E-2</v>
      </c>
      <c r="K514" s="10">
        <v>394000</v>
      </c>
      <c r="L514" s="11">
        <v>12.2</v>
      </c>
      <c r="M514" s="10">
        <v>-214</v>
      </c>
      <c r="N514" s="10">
        <f>IF(Tabela1610[[#This Row],[Payroll]]="",#N/A,AVERAGE(M512:M514))</f>
        <v>-74.666666666666671</v>
      </c>
      <c r="O514" s="10"/>
      <c r="P514" s="7"/>
    </row>
    <row r="515" spans="1:16">
      <c r="A515" s="6">
        <v>33117</v>
      </c>
      <c r="B515" s="11">
        <v>5.9</v>
      </c>
      <c r="C515" s="11">
        <f>IF(Tabela1610[[#This Row],[Unemployment Rate]]="",#N/A,AVERAGE(B503:B515))</f>
        <v>5.4153846153846157</v>
      </c>
      <c r="D515" s="10">
        <v>7368</v>
      </c>
      <c r="E515" s="11">
        <v>66.400000000000006</v>
      </c>
      <c r="F515" s="11"/>
      <c r="G515" s="11"/>
      <c r="H515" s="55">
        <v>7236.8</v>
      </c>
      <c r="I515" s="56">
        <f>IF(Tabela1610[[#This Row],[Real Disposable Income (RDI)]]="",#N/A,((Tabela1610[[#This Row],[Real Disposable Income (RDI)]]*1)/H514)-1)</f>
        <v>-3.17719053473553E-4</v>
      </c>
      <c r="J515" s="56">
        <f>IF(Tabela1610[[#This Row],[Real Disposable Income (RDI)]]="",#N/A,((Tabela1610[[#This Row],[Real Disposable Income (RDI)]]*1)/H503)-1)</f>
        <v>1.9066662911538579E-2</v>
      </c>
      <c r="K515" s="10">
        <v>404000</v>
      </c>
      <c r="L515" s="11">
        <v>12.4</v>
      </c>
      <c r="M515" s="10">
        <v>-88</v>
      </c>
      <c r="N515" s="10">
        <f>IF(Tabela1610[[#This Row],[Payroll]]="",#N/A,AVERAGE(M513:M515))</f>
        <v>-112</v>
      </c>
      <c r="O515" s="10"/>
      <c r="P515" s="7"/>
    </row>
    <row r="516" spans="1:16">
      <c r="A516" s="6">
        <v>33147</v>
      </c>
      <c r="B516" s="11">
        <v>5.9</v>
      </c>
      <c r="C516" s="11">
        <f>IF(Tabela1610[[#This Row],[Unemployment Rate]]="",#N/A,AVERAGE(B504:B516))</f>
        <v>5.4615384615384626</v>
      </c>
      <c r="D516" s="10">
        <v>7459</v>
      </c>
      <c r="E516" s="11">
        <v>66.400000000000006</v>
      </c>
      <c r="F516" s="11"/>
      <c r="G516" s="11"/>
      <c r="H516" s="55">
        <v>7178.7</v>
      </c>
      <c r="I516" s="56">
        <f>IF(Tabela1610[[#This Row],[Real Disposable Income (RDI)]]="",#N/A,((Tabela1610[[#This Row],[Real Disposable Income (RDI)]]*1)/H515)-1)</f>
        <v>-8.0284103471147672E-3</v>
      </c>
      <c r="J516" s="56">
        <f>IF(Tabela1610[[#This Row],[Real Disposable Income (RDI)]]="",#N/A,((Tabela1610[[#This Row],[Real Disposable Income (RDI)]]*1)/H504)-1)</f>
        <v>5.8709785898440892E-3</v>
      </c>
      <c r="K516" s="10">
        <v>440000</v>
      </c>
      <c r="L516" s="11">
        <v>12.2</v>
      </c>
      <c r="M516" s="10">
        <v>-148</v>
      </c>
      <c r="N516" s="10">
        <f>IF(Tabela1610[[#This Row],[Payroll]]="",#N/A,AVERAGE(M514:M516))</f>
        <v>-150</v>
      </c>
      <c r="O516" s="10"/>
      <c r="P516" s="7"/>
    </row>
    <row r="517" spans="1:16">
      <c r="A517" s="6">
        <v>33178</v>
      </c>
      <c r="B517" s="11">
        <v>6.2</v>
      </c>
      <c r="C517" s="11">
        <f>IF(Tabela1610[[#This Row],[Unemployment Rate]]="",#N/A,AVERAGE(B505:B517))</f>
        <v>5.5307692307692315</v>
      </c>
      <c r="D517" s="10">
        <v>7764</v>
      </c>
      <c r="E517" s="11">
        <v>66.400000000000006</v>
      </c>
      <c r="F517" s="11"/>
      <c r="G517" s="11"/>
      <c r="H517" s="55">
        <v>7181.9</v>
      </c>
      <c r="I517" s="56">
        <f>IF(Tabela1610[[#This Row],[Real Disposable Income (RDI)]]="",#N/A,((Tabela1610[[#This Row],[Real Disposable Income (RDI)]]*1)/H516)-1)</f>
        <v>4.4576316046085473E-4</v>
      </c>
      <c r="J517" s="56">
        <f>IF(Tabela1610[[#This Row],[Real Disposable Income (RDI)]]="",#N/A,((Tabela1610[[#This Row],[Real Disposable Income (RDI)]]*1)/H505)-1)</f>
        <v>5.305151175811762E-3</v>
      </c>
      <c r="K517" s="10">
        <v>462000</v>
      </c>
      <c r="L517" s="11">
        <v>12.4</v>
      </c>
      <c r="M517" s="10">
        <v>-153</v>
      </c>
      <c r="N517" s="10">
        <f>IF(Tabela1610[[#This Row],[Payroll]]="",#N/A,AVERAGE(M515:M517))</f>
        <v>-129.66666666666666</v>
      </c>
      <c r="O517" s="10"/>
      <c r="P517" s="7"/>
    </row>
    <row r="518" spans="1:16">
      <c r="A518" s="6">
        <v>33208</v>
      </c>
      <c r="B518" s="11">
        <v>6.3</v>
      </c>
      <c r="C518" s="11">
        <f>IF(Tabela1610[[#This Row],[Unemployment Rate]]="",#N/A,AVERAGE(B506:B518))</f>
        <v>5.6</v>
      </c>
      <c r="D518" s="10">
        <v>7901</v>
      </c>
      <c r="E518" s="11">
        <v>66.400000000000006</v>
      </c>
      <c r="F518" s="11"/>
      <c r="G518" s="11"/>
      <c r="H518" s="55">
        <v>7224.7</v>
      </c>
      <c r="I518" s="56">
        <f>IF(Tabela1610[[#This Row],[Real Disposable Income (RDI)]]="",#N/A,((Tabela1610[[#This Row],[Real Disposable Income (RDI)]]*1)/H517)-1)</f>
        <v>5.9594257786936833E-3</v>
      </c>
      <c r="J518" s="56">
        <f>IF(Tabela1610[[#This Row],[Real Disposable Income (RDI)]]="",#N/A,((Tabela1610[[#This Row],[Real Disposable Income (RDI)]]*1)/H506)-1)</f>
        <v>1.1197111145324401E-2</v>
      </c>
      <c r="K518" s="10">
        <v>454000</v>
      </c>
      <c r="L518" s="11">
        <v>12.5</v>
      </c>
      <c r="M518" s="10">
        <v>-48</v>
      </c>
      <c r="N518" s="10">
        <f>IF(Tabela1610[[#This Row],[Payroll]]="",#N/A,AVERAGE(M516:M518))</f>
        <v>-116.33333333333333</v>
      </c>
      <c r="O518" s="10"/>
      <c r="P518" s="7"/>
    </row>
    <row r="519" spans="1:16">
      <c r="A519" s="6">
        <v>33239</v>
      </c>
      <c r="B519" s="11">
        <v>6.4</v>
      </c>
      <c r="C519" s="11">
        <f>IF(Tabela1610[[#This Row],[Unemployment Rate]]="",#N/A,AVERAGE(B507:B519))</f>
        <v>5.6769230769230763</v>
      </c>
      <c r="D519" s="10">
        <v>8015</v>
      </c>
      <c r="E519" s="11">
        <v>66.2</v>
      </c>
      <c r="F519" s="11"/>
      <c r="G519" s="11"/>
      <c r="H519" s="55">
        <v>7205.7</v>
      </c>
      <c r="I519" s="56">
        <f>IF(Tabela1610[[#This Row],[Real Disposable Income (RDI)]]="",#N/A,((Tabela1610[[#This Row],[Real Disposable Income (RDI)]]*1)/H518)-1)</f>
        <v>-2.6298669840961741E-3</v>
      </c>
      <c r="J519" s="56">
        <f>IF(Tabela1610[[#This Row],[Real Disposable Income (RDI)]]="",#N/A,((Tabela1610[[#This Row],[Real Disposable Income (RDI)]]*1)/H507)-1)</f>
        <v>2.5461223808331823E-3</v>
      </c>
      <c r="K519" s="10">
        <v>462000</v>
      </c>
      <c r="L519" s="11">
        <v>12.2</v>
      </c>
      <c r="M519" s="10">
        <v>-122</v>
      </c>
      <c r="N519" s="10">
        <f>IF(Tabela1610[[#This Row],[Payroll]]="",#N/A,AVERAGE(M517:M519))</f>
        <v>-107.66666666666667</v>
      </c>
      <c r="O519" s="10"/>
      <c r="P519" s="7"/>
    </row>
    <row r="520" spans="1:16">
      <c r="A520" s="6">
        <v>33270</v>
      </c>
      <c r="B520" s="11">
        <v>6.6</v>
      </c>
      <c r="C520" s="11">
        <f>IF(Tabela1610[[#This Row],[Unemployment Rate]]="",#N/A,AVERAGE(B508:B520))</f>
        <v>5.7692307692307692</v>
      </c>
      <c r="D520" s="10">
        <v>8265</v>
      </c>
      <c r="E520" s="11">
        <v>66.2</v>
      </c>
      <c r="F520" s="11"/>
      <c r="G520" s="11"/>
      <c r="H520" s="55">
        <v>7216.8</v>
      </c>
      <c r="I520" s="56">
        <f>IF(Tabela1610[[#This Row],[Real Disposable Income (RDI)]]="",#N/A,((Tabela1610[[#This Row],[Real Disposable Income (RDI)]]*1)/H519)-1)</f>
        <v>1.5404471460094271E-3</v>
      </c>
      <c r="J520" s="56">
        <f>IF(Tabela1610[[#This Row],[Real Disposable Income (RDI)]]="",#N/A,((Tabela1610[[#This Row],[Real Disposable Income (RDI)]]*1)/H508)-1)</f>
        <v>1.8741410186997598E-3</v>
      </c>
      <c r="K520" s="10">
        <v>499000</v>
      </c>
      <c r="L520" s="11">
        <v>12.7</v>
      </c>
      <c r="M520" s="10">
        <v>-319</v>
      </c>
      <c r="N520" s="10">
        <f>IF(Tabela1610[[#This Row],[Payroll]]="",#N/A,AVERAGE(M518:M520))</f>
        <v>-163</v>
      </c>
      <c r="O520" s="10"/>
      <c r="P520" s="7"/>
    </row>
    <row r="521" spans="1:16">
      <c r="A521" s="6">
        <v>33298</v>
      </c>
      <c r="B521" s="11">
        <v>6.8</v>
      </c>
      <c r="C521" s="11">
        <f>IF(Tabela1610[[#This Row],[Unemployment Rate]]="",#N/A,AVERAGE(B509:B521))</f>
        <v>5.8846153846153832</v>
      </c>
      <c r="D521" s="10">
        <v>8586</v>
      </c>
      <c r="E521" s="11">
        <v>66.3</v>
      </c>
      <c r="F521" s="11"/>
      <c r="G521" s="11"/>
      <c r="H521" s="55">
        <v>7229.1</v>
      </c>
      <c r="I521" s="56">
        <f>IF(Tabela1610[[#This Row],[Real Disposable Income (RDI)]]="",#N/A,((Tabela1610[[#This Row],[Real Disposable Income (RDI)]]*1)/H520)-1)</f>
        <v>1.7043565014964734E-3</v>
      </c>
      <c r="J521" s="56">
        <f>IF(Tabela1610[[#This Row],[Real Disposable Income (RDI)]]="",#N/A,((Tabela1610[[#This Row],[Real Disposable Income (RDI)]]*1)/H509)-1)</f>
        <v>3.1917403311083614E-3</v>
      </c>
      <c r="K521" s="10">
        <v>499000</v>
      </c>
      <c r="L521" s="11">
        <v>12.9</v>
      </c>
      <c r="M521" s="10">
        <v>-163</v>
      </c>
      <c r="N521" s="10">
        <f>IF(Tabela1610[[#This Row],[Payroll]]="",#N/A,AVERAGE(M519:M521))</f>
        <v>-201.33333333333334</v>
      </c>
      <c r="O521" s="10"/>
      <c r="P521" s="7"/>
    </row>
    <row r="522" spans="1:16">
      <c r="A522" s="6">
        <v>33329</v>
      </c>
      <c r="B522" s="11">
        <v>6.7</v>
      </c>
      <c r="C522" s="11">
        <f>IF(Tabela1610[[#This Row],[Unemployment Rate]]="",#N/A,AVERAGE(B510:B522))</f>
        <v>6</v>
      </c>
      <c r="D522" s="10">
        <v>8439</v>
      </c>
      <c r="E522" s="11">
        <v>66.400000000000006</v>
      </c>
      <c r="F522" s="11"/>
      <c r="G522" s="11"/>
      <c r="H522" s="55">
        <v>7258</v>
      </c>
      <c r="I522" s="56">
        <f>IF(Tabela1610[[#This Row],[Real Disposable Income (RDI)]]="",#N/A,((Tabela1610[[#This Row],[Real Disposable Income (RDI)]]*1)/H521)-1)</f>
        <v>3.9977313911827572E-3</v>
      </c>
      <c r="J522" s="56">
        <f>IF(Tabela1610[[#This Row],[Real Disposable Income (RDI)]]="",#N/A,((Tabela1610[[#This Row],[Real Disposable Income (RDI)]]*1)/H510)-1)</f>
        <v>6.3418534756110034E-4</v>
      </c>
      <c r="K522" s="10">
        <v>462000</v>
      </c>
      <c r="L522" s="11">
        <v>13.5</v>
      </c>
      <c r="M522" s="10">
        <v>-217</v>
      </c>
      <c r="N522" s="10">
        <f>IF(Tabela1610[[#This Row],[Payroll]]="",#N/A,AVERAGE(M520:M522))</f>
        <v>-233</v>
      </c>
      <c r="O522" s="10"/>
      <c r="P522" s="7"/>
    </row>
    <row r="523" spans="1:16">
      <c r="A523" s="6">
        <v>33359</v>
      </c>
      <c r="B523" s="11">
        <v>6.9</v>
      </c>
      <c r="C523" s="11">
        <f>IF(Tabela1610[[#This Row],[Unemployment Rate]]="",#N/A,AVERAGE(B511:B523))</f>
        <v>6.1153846153846168</v>
      </c>
      <c r="D523" s="10">
        <v>8736</v>
      </c>
      <c r="E523" s="11">
        <v>66.2</v>
      </c>
      <c r="F523" s="11"/>
      <c r="G523" s="11"/>
      <c r="H523" s="55">
        <v>7259.5</v>
      </c>
      <c r="I523" s="56">
        <f>IF(Tabela1610[[#This Row],[Real Disposable Income (RDI)]]="",#N/A,((Tabela1610[[#This Row],[Real Disposable Income (RDI)]]*1)/H522)-1)</f>
        <v>2.066685037200866E-4</v>
      </c>
      <c r="J523" s="56">
        <f>IF(Tabela1610[[#This Row],[Real Disposable Income (RDI)]]="",#N/A,((Tabela1610[[#This Row],[Real Disposable Income (RDI)]]*1)/H511)-1)</f>
        <v>1.8907505037399908E-3</v>
      </c>
      <c r="K523" s="10">
        <v>443000</v>
      </c>
      <c r="L523" s="11">
        <v>12.9</v>
      </c>
      <c r="M523" s="10">
        <v>-102</v>
      </c>
      <c r="N523" s="10">
        <f>IF(Tabela1610[[#This Row],[Payroll]]="",#N/A,AVERAGE(M521:M523))</f>
        <v>-160.66666666666666</v>
      </c>
      <c r="O523" s="10"/>
      <c r="P523" s="7"/>
    </row>
    <row r="524" spans="1:16">
      <c r="A524" s="6">
        <v>33390</v>
      </c>
      <c r="B524" s="11">
        <v>6.9</v>
      </c>
      <c r="C524" s="11">
        <f>IF(Tabela1610[[#This Row],[Unemployment Rate]]="",#N/A,AVERAGE(B512:B524))</f>
        <v>6.2307692307692308</v>
      </c>
      <c r="D524" s="10">
        <v>8692</v>
      </c>
      <c r="E524" s="11">
        <v>66.2</v>
      </c>
      <c r="F524" s="11"/>
      <c r="G524" s="11"/>
      <c r="H524" s="55">
        <v>7296.7</v>
      </c>
      <c r="I524" s="56">
        <f>IF(Tabela1610[[#This Row],[Real Disposable Income (RDI)]]="",#N/A,((Tabela1610[[#This Row],[Real Disposable Income (RDI)]]*1)/H523)-1)</f>
        <v>5.1243198567394455E-3</v>
      </c>
      <c r="J524" s="56">
        <f>IF(Tabela1610[[#This Row],[Real Disposable Income (RDI)]]="",#N/A,((Tabela1610[[#This Row],[Real Disposable Income (RDI)]]*1)/H512)-1)</f>
        <v>5.4290163008281489E-3</v>
      </c>
      <c r="K524" s="10">
        <v>418000</v>
      </c>
      <c r="L524" s="11">
        <v>13.7</v>
      </c>
      <c r="M524" s="10">
        <v>88</v>
      </c>
      <c r="N524" s="10">
        <f>IF(Tabela1610[[#This Row],[Payroll]]="",#N/A,AVERAGE(M522:M524))</f>
        <v>-77</v>
      </c>
      <c r="O524" s="10"/>
      <c r="P524" s="7"/>
    </row>
    <row r="525" spans="1:16">
      <c r="A525" s="6">
        <v>33420</v>
      </c>
      <c r="B525" s="11">
        <v>6.8</v>
      </c>
      <c r="C525" s="11">
        <f>IF(Tabela1610[[#This Row],[Unemployment Rate]]="",#N/A,AVERAGE(B513:B525))</f>
        <v>6.3538461538461544</v>
      </c>
      <c r="D525" s="10">
        <v>8586</v>
      </c>
      <c r="E525" s="11">
        <v>66.099999999999994</v>
      </c>
      <c r="F525" s="11"/>
      <c r="G525" s="11"/>
      <c r="H525" s="55">
        <v>7282</v>
      </c>
      <c r="I525" s="56">
        <f>IF(Tabela1610[[#This Row],[Real Disposable Income (RDI)]]="",#N/A,((Tabela1610[[#This Row],[Real Disposable Income (RDI)]]*1)/H524)-1)</f>
        <v>-2.0146093439499246E-3</v>
      </c>
      <c r="J525" s="56">
        <f>IF(Tabela1610[[#This Row],[Real Disposable Income (RDI)]]="",#N/A,((Tabela1610[[#This Row],[Real Disposable Income (RDI)]]*1)/H513)-1)</f>
        <v>-2.333978609772025E-4</v>
      </c>
      <c r="K525" s="10">
        <v>423000</v>
      </c>
      <c r="L525" s="11">
        <v>13.8</v>
      </c>
      <c r="M525" s="10">
        <v>-47</v>
      </c>
      <c r="N525" s="10">
        <f>IF(Tabela1610[[#This Row],[Payroll]]="",#N/A,AVERAGE(M523:M525))</f>
        <v>-20.333333333333332</v>
      </c>
      <c r="O525" s="10"/>
      <c r="P525" s="7"/>
    </row>
    <row r="526" spans="1:16">
      <c r="A526" s="6">
        <v>33451</v>
      </c>
      <c r="B526" s="11">
        <v>6.9</v>
      </c>
      <c r="C526" s="11">
        <f>IF(Tabela1610[[#This Row],[Unemployment Rate]]="",#N/A,AVERAGE(B514:B526))</f>
        <v>6.4615384615384617</v>
      </c>
      <c r="D526" s="10">
        <v>8666</v>
      </c>
      <c r="E526" s="11">
        <v>66</v>
      </c>
      <c r="F526" s="11"/>
      <c r="G526" s="11"/>
      <c r="H526" s="55">
        <v>7298.3</v>
      </c>
      <c r="I526" s="56">
        <f>IF(Tabela1610[[#This Row],[Real Disposable Income (RDI)]]="",#N/A,((Tabela1610[[#This Row],[Real Disposable Income (RDI)]]*1)/H525)-1)</f>
        <v>2.2383960450425011E-3</v>
      </c>
      <c r="J526" s="56">
        <f>IF(Tabela1610[[#This Row],[Real Disposable Income (RDI)]]="",#N/A,((Tabela1610[[#This Row],[Real Disposable Income (RDI)]]*1)/H514)-1)</f>
        <v>8.1778121589699548E-3</v>
      </c>
      <c r="K526" s="10">
        <v>425000</v>
      </c>
      <c r="L526" s="11">
        <v>13.9</v>
      </c>
      <c r="M526" s="10">
        <v>11</v>
      </c>
      <c r="N526" s="10">
        <f>IF(Tabela1610[[#This Row],[Payroll]]="",#N/A,AVERAGE(M524:M526))</f>
        <v>17.333333333333332</v>
      </c>
      <c r="O526" s="10"/>
      <c r="P526" s="7"/>
    </row>
    <row r="527" spans="1:16">
      <c r="A527" s="6">
        <v>33482</v>
      </c>
      <c r="B527" s="11">
        <v>6.9</v>
      </c>
      <c r="C527" s="11">
        <f>IF(Tabela1610[[#This Row],[Unemployment Rate]]="",#N/A,AVERAGE(B515:B527))</f>
        <v>6.5538461538461554</v>
      </c>
      <c r="D527" s="10">
        <v>8722</v>
      </c>
      <c r="E527" s="11">
        <v>66.2</v>
      </c>
      <c r="F527" s="11"/>
      <c r="G527" s="11"/>
      <c r="H527" s="55">
        <v>7317.7</v>
      </c>
      <c r="I527" s="56">
        <f>IF(Tabela1610[[#This Row],[Real Disposable Income (RDI)]]="",#N/A,((Tabela1610[[#This Row],[Real Disposable Income (RDI)]]*1)/H526)-1)</f>
        <v>2.6581532685694409E-3</v>
      </c>
      <c r="J527" s="56">
        <f>IF(Tabela1610[[#This Row],[Real Disposable Income (RDI)]]="",#N/A,((Tabela1610[[#This Row],[Real Disposable Income (RDI)]]*1)/H515)-1)</f>
        <v>1.1178974132213026E-2</v>
      </c>
      <c r="K527" s="10">
        <v>437000</v>
      </c>
      <c r="L527" s="11">
        <v>14</v>
      </c>
      <c r="M527" s="10">
        <v>33</v>
      </c>
      <c r="N527" s="10">
        <f>IF(Tabela1610[[#This Row],[Payroll]]="",#N/A,AVERAGE(M525:M527))</f>
        <v>-1</v>
      </c>
      <c r="O527" s="10"/>
      <c r="P527" s="7"/>
    </row>
    <row r="528" spans="1:16">
      <c r="A528" s="6">
        <v>33512</v>
      </c>
      <c r="B528" s="11">
        <v>7</v>
      </c>
      <c r="C528" s="11">
        <f>IF(Tabela1610[[#This Row],[Unemployment Rate]]="",#N/A,AVERAGE(B516:B528))</f>
        <v>6.6384615384615397</v>
      </c>
      <c r="D528" s="10">
        <v>8842</v>
      </c>
      <c r="E528" s="11">
        <v>66.099999999999994</v>
      </c>
      <c r="F528" s="11"/>
      <c r="G528" s="11"/>
      <c r="H528" s="55">
        <v>7328</v>
      </c>
      <c r="I528" s="56">
        <f>IF(Tabela1610[[#This Row],[Real Disposable Income (RDI)]]="",#N/A,((Tabela1610[[#This Row],[Real Disposable Income (RDI)]]*1)/H527)-1)</f>
        <v>1.407546086885203E-3</v>
      </c>
      <c r="J528" s="56">
        <f>IF(Tabela1610[[#This Row],[Real Disposable Income (RDI)]]="",#N/A,((Tabela1610[[#This Row],[Real Disposable Income (RDI)]]*1)/H516)-1)</f>
        <v>2.0797637455249651E-2</v>
      </c>
      <c r="K528" s="10">
        <v>423000</v>
      </c>
      <c r="L528" s="11">
        <v>14.4</v>
      </c>
      <c r="M528" s="10">
        <v>27</v>
      </c>
      <c r="N528" s="10">
        <f>IF(Tabela1610[[#This Row],[Payroll]]="",#N/A,AVERAGE(M526:M528))</f>
        <v>23.666666666666668</v>
      </c>
      <c r="O528" s="10"/>
      <c r="P528" s="7"/>
    </row>
    <row r="529" spans="1:16">
      <c r="A529" s="6">
        <v>33543</v>
      </c>
      <c r="B529" s="11">
        <v>7</v>
      </c>
      <c r="C529" s="11">
        <f>IF(Tabela1610[[#This Row],[Unemployment Rate]]="",#N/A,AVERAGE(B517:B529))</f>
        <v>6.7230769230769232</v>
      </c>
      <c r="D529" s="10">
        <v>8931</v>
      </c>
      <c r="E529" s="11">
        <v>66.099999999999994</v>
      </c>
      <c r="F529" s="11"/>
      <c r="G529" s="11"/>
      <c r="H529" s="55">
        <v>7338.4</v>
      </c>
      <c r="I529" s="56">
        <f>IF(Tabela1610[[#This Row],[Real Disposable Income (RDI)]]="",#N/A,((Tabela1610[[#This Row],[Real Disposable Income (RDI)]]*1)/H528)-1)</f>
        <v>1.4192139737991827E-3</v>
      </c>
      <c r="J529" s="56">
        <f>IF(Tabela1610[[#This Row],[Real Disposable Income (RDI)]]="",#N/A,((Tabela1610[[#This Row],[Real Disposable Income (RDI)]]*1)/H517)-1)</f>
        <v>2.1790890989849432E-2</v>
      </c>
      <c r="K529" s="10">
        <v>444000</v>
      </c>
      <c r="L529" s="11">
        <v>14.8</v>
      </c>
      <c r="M529" s="10">
        <v>-60</v>
      </c>
      <c r="N529" s="10">
        <f>IF(Tabela1610[[#This Row],[Payroll]]="",#N/A,AVERAGE(M527:M529))</f>
        <v>0</v>
      </c>
      <c r="O529" s="10"/>
      <c r="P529" s="7"/>
    </row>
    <row r="530" spans="1:16">
      <c r="A530" s="6">
        <v>33573</v>
      </c>
      <c r="B530" s="11">
        <v>7.3</v>
      </c>
      <c r="C530" s="11">
        <f>IF(Tabela1610[[#This Row],[Unemployment Rate]]="",#N/A,AVERAGE(B518:B530))</f>
        <v>6.8076923076923066</v>
      </c>
      <c r="D530" s="10">
        <v>9198</v>
      </c>
      <c r="E530" s="11">
        <v>66</v>
      </c>
      <c r="F530" s="11"/>
      <c r="G530" s="11"/>
      <c r="H530" s="55">
        <v>7403.6</v>
      </c>
      <c r="I530" s="56">
        <f>IF(Tabela1610[[#This Row],[Real Disposable Income (RDI)]]="",#N/A,((Tabela1610[[#This Row],[Real Disposable Income (RDI)]]*1)/H529)-1)</f>
        <v>8.8847705221848372E-3</v>
      </c>
      <c r="J530" s="56">
        <f>IF(Tabela1610[[#This Row],[Real Disposable Income (RDI)]]="",#N/A,((Tabela1610[[#This Row],[Real Disposable Income (RDI)]]*1)/H518)-1)</f>
        <v>2.4762273866042905E-2</v>
      </c>
      <c r="K530" s="10">
        <v>441000</v>
      </c>
      <c r="L530" s="11">
        <v>15.4</v>
      </c>
      <c r="M530" s="10">
        <v>32</v>
      </c>
      <c r="N530" s="10">
        <f>IF(Tabela1610[[#This Row],[Payroll]]="",#N/A,AVERAGE(M528:M530))</f>
        <v>-0.33333333333333331</v>
      </c>
      <c r="O530" s="10"/>
      <c r="P530" s="7"/>
    </row>
    <row r="531" spans="1:16">
      <c r="A531" s="6">
        <v>33604</v>
      </c>
      <c r="B531" s="11">
        <v>7.3</v>
      </c>
      <c r="C531" s="11">
        <f>IF(Tabela1610[[#This Row],[Unemployment Rate]]="",#N/A,AVERAGE(B519:B531))</f>
        <v>6.8846153846153832</v>
      </c>
      <c r="D531" s="10">
        <v>9283</v>
      </c>
      <c r="E531" s="11">
        <v>66.3</v>
      </c>
      <c r="F531" s="11"/>
      <c r="G531" s="11"/>
      <c r="H531" s="55">
        <v>7474.8</v>
      </c>
      <c r="I531" s="56">
        <f>IF(Tabela1610[[#This Row],[Real Disposable Income (RDI)]]="",#N/A,((Tabela1610[[#This Row],[Real Disposable Income (RDI)]]*1)/H530)-1)</f>
        <v>9.616943108757825E-3</v>
      </c>
      <c r="J531" s="56">
        <f>IF(Tabela1610[[#This Row],[Real Disposable Income (RDI)]]="",#N/A,((Tabela1610[[#This Row],[Real Disposable Income (RDI)]]*1)/H519)-1)</f>
        <v>3.7345434864066052E-2</v>
      </c>
      <c r="K531" s="10">
        <v>441000</v>
      </c>
      <c r="L531" s="11">
        <v>16.100000000000001</v>
      </c>
      <c r="M531" s="10">
        <v>34</v>
      </c>
      <c r="N531" s="10">
        <f>IF(Tabela1610[[#This Row],[Payroll]]="",#N/A,AVERAGE(M529:M531))</f>
        <v>2</v>
      </c>
      <c r="O531" s="10"/>
      <c r="P531" s="7"/>
    </row>
    <row r="532" spans="1:16">
      <c r="A532" s="6">
        <v>33635</v>
      </c>
      <c r="B532" s="11">
        <v>7.4</v>
      </c>
      <c r="C532" s="11">
        <f>IF(Tabela1610[[#This Row],[Unemployment Rate]]="",#N/A,AVERAGE(B520:B532))</f>
        <v>6.9615384615384617</v>
      </c>
      <c r="D532" s="10">
        <v>9454</v>
      </c>
      <c r="E532" s="11">
        <v>66.2</v>
      </c>
      <c r="F532" s="11"/>
      <c r="G532" s="11"/>
      <c r="H532" s="55">
        <v>7507.2</v>
      </c>
      <c r="I532" s="56">
        <f>IF(Tabela1610[[#This Row],[Real Disposable Income (RDI)]]="",#N/A,((Tabela1610[[#This Row],[Real Disposable Income (RDI)]]*1)/H531)-1)</f>
        <v>4.3345641354952669E-3</v>
      </c>
      <c r="J532" s="56">
        <f>IF(Tabela1610[[#This Row],[Real Disposable Income (RDI)]]="",#N/A,((Tabela1610[[#This Row],[Real Disposable Income (RDI)]]*1)/H520)-1)</f>
        <v>4.023944130362489E-2</v>
      </c>
      <c r="K532" s="10">
        <v>444000</v>
      </c>
      <c r="L532" s="11">
        <v>16.7</v>
      </c>
      <c r="M532" s="10">
        <v>-54</v>
      </c>
      <c r="N532" s="10">
        <f>IF(Tabela1610[[#This Row],[Payroll]]="",#N/A,AVERAGE(M530:M532))</f>
        <v>4</v>
      </c>
      <c r="O532" s="10"/>
      <c r="P532" s="7"/>
    </row>
    <row r="533" spans="1:16">
      <c r="A533" s="6">
        <v>33664</v>
      </c>
      <c r="B533" s="11">
        <v>7.4</v>
      </c>
      <c r="C533" s="11">
        <f>IF(Tabela1610[[#This Row],[Unemployment Rate]]="",#N/A,AVERAGE(B521:B533))</f>
        <v>7.023076923076923</v>
      </c>
      <c r="D533" s="10">
        <v>9460</v>
      </c>
      <c r="E533" s="11">
        <v>66.400000000000006</v>
      </c>
      <c r="F533" s="11"/>
      <c r="G533" s="11"/>
      <c r="H533" s="55">
        <v>7513.8</v>
      </c>
      <c r="I533" s="56">
        <f>IF(Tabela1610[[#This Row],[Real Disposable Income (RDI)]]="",#N/A,((Tabela1610[[#This Row],[Real Disposable Income (RDI)]]*1)/H532)-1)</f>
        <v>8.7915601023014212E-4</v>
      </c>
      <c r="J533" s="56">
        <f>IF(Tabela1610[[#This Row],[Real Disposable Income (RDI)]]="",#N/A,((Tabela1610[[#This Row],[Real Disposable Income (RDI)]]*1)/H521)-1)</f>
        <v>3.9382495746358437E-2</v>
      </c>
      <c r="K533" s="10">
        <v>420000</v>
      </c>
      <c r="L533" s="11">
        <v>17.100000000000001</v>
      </c>
      <c r="M533" s="10">
        <v>47</v>
      </c>
      <c r="N533" s="10">
        <f>IF(Tabela1610[[#This Row],[Payroll]]="",#N/A,AVERAGE(M531:M533))</f>
        <v>9</v>
      </c>
      <c r="O533" s="10"/>
      <c r="P533" s="7"/>
    </row>
    <row r="534" spans="1:16">
      <c r="A534" s="6">
        <v>33695</v>
      </c>
      <c r="B534" s="11">
        <v>7.4</v>
      </c>
      <c r="C534" s="11">
        <f>IF(Tabela1610[[#This Row],[Unemployment Rate]]="",#N/A,AVERAGE(B522:B534))</f>
        <v>7.0692307692307708</v>
      </c>
      <c r="D534" s="10">
        <v>9415</v>
      </c>
      <c r="E534" s="11">
        <v>66.5</v>
      </c>
      <c r="F534" s="11"/>
      <c r="G534" s="11"/>
      <c r="H534" s="55">
        <v>7535</v>
      </c>
      <c r="I534" s="56">
        <f>IF(Tabela1610[[#This Row],[Real Disposable Income (RDI)]]="",#N/A,((Tabela1610[[#This Row],[Real Disposable Income (RDI)]]*1)/H533)-1)</f>
        <v>2.821475152386288E-3</v>
      </c>
      <c r="J534" s="56">
        <f>IF(Tabela1610[[#This Row],[Real Disposable Income (RDI)]]="",#N/A,((Tabela1610[[#This Row],[Real Disposable Income (RDI)]]*1)/H522)-1)</f>
        <v>3.8164783686966075E-2</v>
      </c>
      <c r="K534" s="10">
        <v>424000</v>
      </c>
      <c r="L534" s="11">
        <v>17.399999999999999</v>
      </c>
      <c r="M534" s="10">
        <v>155</v>
      </c>
      <c r="N534" s="10">
        <f>IF(Tabela1610[[#This Row],[Payroll]]="",#N/A,AVERAGE(M532:M534))</f>
        <v>49.333333333333336</v>
      </c>
      <c r="O534" s="10"/>
      <c r="P534" s="7"/>
    </row>
    <row r="535" spans="1:16">
      <c r="A535" s="6">
        <v>33725</v>
      </c>
      <c r="B535" s="11">
        <v>7.6</v>
      </c>
      <c r="C535" s="11">
        <f>IF(Tabela1610[[#This Row],[Unemployment Rate]]="",#N/A,AVERAGE(B523:B535))</f>
        <v>7.138461538461538</v>
      </c>
      <c r="D535" s="10">
        <v>9744</v>
      </c>
      <c r="E535" s="11">
        <v>66.599999999999994</v>
      </c>
      <c r="F535" s="11"/>
      <c r="G535" s="11"/>
      <c r="H535" s="55">
        <v>7570.2</v>
      </c>
      <c r="I535" s="56">
        <f>IF(Tabela1610[[#This Row],[Real Disposable Income (RDI)]]="",#N/A,((Tabela1610[[#This Row],[Real Disposable Income (RDI)]]*1)/H534)-1)</f>
        <v>4.6715328467152872E-3</v>
      </c>
      <c r="J535" s="56">
        <f>IF(Tabela1610[[#This Row],[Real Disposable Income (RDI)]]="",#N/A,((Tabela1610[[#This Row],[Real Disposable Income (RDI)]]*1)/H523)-1)</f>
        <v>4.2799090846477039E-2</v>
      </c>
      <c r="K535" s="10">
        <v>411000</v>
      </c>
      <c r="L535" s="11">
        <v>17.8</v>
      </c>
      <c r="M535" s="10">
        <v>133</v>
      </c>
      <c r="N535" s="10">
        <f>IF(Tabela1610[[#This Row],[Payroll]]="",#N/A,AVERAGE(M533:M535))</f>
        <v>111.66666666666667</v>
      </c>
      <c r="O535" s="10"/>
      <c r="P535" s="7"/>
    </row>
    <row r="536" spans="1:16">
      <c r="A536" s="6">
        <v>33756</v>
      </c>
      <c r="B536" s="11">
        <v>7.8</v>
      </c>
      <c r="C536" s="11">
        <f>IF(Tabela1610[[#This Row],[Unemployment Rate]]="",#N/A,AVERAGE(B524:B536))</f>
        <v>7.207692307692307</v>
      </c>
      <c r="D536" s="10">
        <v>10040</v>
      </c>
      <c r="E536" s="11">
        <v>66.7</v>
      </c>
      <c r="F536" s="11"/>
      <c r="G536" s="11"/>
      <c r="H536" s="55">
        <v>7601.6</v>
      </c>
      <c r="I536" s="56">
        <f>IF(Tabela1610[[#This Row],[Real Disposable Income (RDI)]]="",#N/A,((Tabela1610[[#This Row],[Real Disposable Income (RDI)]]*1)/H535)-1)</f>
        <v>4.1478428575203452E-3</v>
      </c>
      <c r="J536" s="56">
        <f>IF(Tabela1610[[#This Row],[Real Disposable Income (RDI)]]="",#N/A,((Tabela1610[[#This Row],[Real Disposable Income (RDI)]]*1)/H524)-1)</f>
        <v>4.1786012855126398E-2</v>
      </c>
      <c r="K536" s="10">
        <v>420000</v>
      </c>
      <c r="L536" s="11">
        <v>18.2</v>
      </c>
      <c r="M536" s="10">
        <v>69</v>
      </c>
      <c r="N536" s="10">
        <f>IF(Tabela1610[[#This Row],[Payroll]]="",#N/A,AVERAGE(M534:M536))</f>
        <v>119</v>
      </c>
      <c r="O536" s="10"/>
      <c r="P536" s="7"/>
    </row>
    <row r="537" spans="1:16">
      <c r="A537" s="6">
        <v>33786</v>
      </c>
      <c r="B537" s="11">
        <v>7.7</v>
      </c>
      <c r="C537" s="11">
        <f>IF(Tabela1610[[#This Row],[Unemployment Rate]]="",#N/A,AVERAGE(B525:B537))</f>
        <v>7.2692307692307683</v>
      </c>
      <c r="D537" s="10">
        <v>9850</v>
      </c>
      <c r="E537" s="11">
        <v>66.7</v>
      </c>
      <c r="F537" s="11"/>
      <c r="G537" s="11"/>
      <c r="H537" s="55">
        <v>7595.9</v>
      </c>
      <c r="I537" s="56">
        <f>IF(Tabela1610[[#This Row],[Real Disposable Income (RDI)]]="",#N/A,((Tabela1610[[#This Row],[Real Disposable Income (RDI)]]*1)/H536)-1)</f>
        <v>-7.4984213849726977E-4</v>
      </c>
      <c r="J537" s="56">
        <f>IF(Tabela1610[[#This Row],[Real Disposable Income (RDI)]]="",#N/A,((Tabela1610[[#This Row],[Real Disposable Income (RDI)]]*1)/H525)-1)</f>
        <v>4.3106289480911775E-2</v>
      </c>
      <c r="K537" s="10">
        <v>564000</v>
      </c>
      <c r="L537" s="11">
        <v>18.100000000000001</v>
      </c>
      <c r="M537" s="10">
        <v>82</v>
      </c>
      <c r="N537" s="10">
        <f>IF(Tabela1610[[#This Row],[Payroll]]="",#N/A,AVERAGE(M535:M537))</f>
        <v>94.666666666666671</v>
      </c>
      <c r="O537" s="10"/>
      <c r="P537" s="7"/>
    </row>
    <row r="538" spans="1:16">
      <c r="A538" s="6">
        <v>33817</v>
      </c>
      <c r="B538" s="11">
        <v>7.6</v>
      </c>
      <c r="C538" s="11">
        <f>IF(Tabela1610[[#This Row],[Unemployment Rate]]="",#N/A,AVERAGE(B526:B538))</f>
        <v>7.3307692307692296</v>
      </c>
      <c r="D538" s="10">
        <v>9787</v>
      </c>
      <c r="E538" s="11">
        <v>66.599999999999994</v>
      </c>
      <c r="F538" s="11"/>
      <c r="G538" s="11"/>
      <c r="H538" s="55">
        <v>7622.6</v>
      </c>
      <c r="I538" s="56">
        <f>IF(Tabela1610[[#This Row],[Real Disposable Income (RDI)]]="",#N/A,((Tabela1610[[#This Row],[Real Disposable Income (RDI)]]*1)/H537)-1)</f>
        <v>3.515054173962362E-3</v>
      </c>
      <c r="J538" s="56">
        <f>IF(Tabela1610[[#This Row],[Real Disposable Income (RDI)]]="",#N/A,((Tabela1610[[#This Row],[Real Disposable Income (RDI)]]*1)/H526)-1)</f>
        <v>4.4435005412219342E-2</v>
      </c>
      <c r="K538" s="10">
        <v>408000</v>
      </c>
      <c r="L538" s="11">
        <v>18</v>
      </c>
      <c r="M538" s="10">
        <v>123</v>
      </c>
      <c r="N538" s="10">
        <f>IF(Tabela1610[[#This Row],[Payroll]]="",#N/A,AVERAGE(M536:M538))</f>
        <v>91.333333333333329</v>
      </c>
      <c r="O538" s="10"/>
      <c r="P538" s="7"/>
    </row>
    <row r="539" spans="1:16">
      <c r="A539" s="6">
        <v>33848</v>
      </c>
      <c r="B539" s="11">
        <v>7.6</v>
      </c>
      <c r="C539" s="11">
        <f>IF(Tabela1610[[#This Row],[Unemployment Rate]]="",#N/A,AVERAGE(B527:B539))</f>
        <v>7.3846153846153832</v>
      </c>
      <c r="D539" s="10">
        <v>9781</v>
      </c>
      <c r="E539" s="11">
        <v>66.5</v>
      </c>
      <c r="F539" s="11"/>
      <c r="G539" s="11"/>
      <c r="H539" s="55">
        <v>7586.9</v>
      </c>
      <c r="I539" s="56">
        <f>IF(Tabela1610[[#This Row],[Real Disposable Income (RDI)]]="",#N/A,((Tabela1610[[#This Row],[Real Disposable Income (RDI)]]*1)/H538)-1)</f>
        <v>-4.6834413454727164E-3</v>
      </c>
      <c r="J539" s="56">
        <f>IF(Tabela1610[[#This Row],[Real Disposable Income (RDI)]]="",#N/A,((Tabela1610[[#This Row],[Real Disposable Income (RDI)]]*1)/H527)-1)</f>
        <v>3.6787515202864274E-2</v>
      </c>
      <c r="K539" s="10">
        <v>409000</v>
      </c>
      <c r="L539" s="11">
        <v>18.100000000000001</v>
      </c>
      <c r="M539" s="10">
        <v>33</v>
      </c>
      <c r="N539" s="10">
        <f>IF(Tabela1610[[#This Row],[Payroll]]="",#N/A,AVERAGE(M537:M539))</f>
        <v>79.333333333333329</v>
      </c>
      <c r="O539" s="10"/>
      <c r="P539" s="7"/>
    </row>
    <row r="540" spans="1:16">
      <c r="A540" s="6">
        <v>33878</v>
      </c>
      <c r="B540" s="11">
        <v>7.3</v>
      </c>
      <c r="C540" s="11">
        <f>IF(Tabela1610[[#This Row],[Unemployment Rate]]="",#N/A,AVERAGE(B528:B540))</f>
        <v>7.4153846153846148</v>
      </c>
      <c r="D540" s="10">
        <v>9398</v>
      </c>
      <c r="E540" s="11">
        <v>66.2</v>
      </c>
      <c r="F540" s="11"/>
      <c r="G540" s="11"/>
      <c r="H540" s="55">
        <v>7537.9</v>
      </c>
      <c r="I540" s="56">
        <f>IF(Tabela1610[[#This Row],[Real Disposable Income (RDI)]]="",#N/A,((Tabela1610[[#This Row],[Real Disposable Income (RDI)]]*1)/H539)-1)</f>
        <v>-6.4585008369689723E-3</v>
      </c>
      <c r="J540" s="56">
        <f>IF(Tabela1610[[#This Row],[Real Disposable Income (RDI)]]="",#N/A,((Tabela1610[[#This Row],[Real Disposable Income (RDI)]]*1)/H528)-1)</f>
        <v>2.8643558951964909E-2</v>
      </c>
      <c r="K540" s="10">
        <v>365000</v>
      </c>
      <c r="L540" s="11">
        <v>18.899999999999999</v>
      </c>
      <c r="M540" s="10">
        <v>180</v>
      </c>
      <c r="N540" s="10">
        <f>IF(Tabela1610[[#This Row],[Payroll]]="",#N/A,AVERAGE(M538:M540))</f>
        <v>112</v>
      </c>
      <c r="O540" s="10"/>
      <c r="P540" s="7"/>
    </row>
    <row r="541" spans="1:16">
      <c r="A541" s="6">
        <v>33909</v>
      </c>
      <c r="B541" s="11">
        <v>7.4</v>
      </c>
      <c r="C541" s="11">
        <f>IF(Tabela1610[[#This Row],[Unemployment Rate]]="",#N/A,AVERAGE(B529:B541))</f>
        <v>7.4461538461538446</v>
      </c>
      <c r="D541" s="10">
        <v>9565</v>
      </c>
      <c r="E541" s="11">
        <v>66.3</v>
      </c>
      <c r="F541" s="11"/>
      <c r="G541" s="11"/>
      <c r="H541" s="55">
        <v>7549.3</v>
      </c>
      <c r="I541" s="56">
        <f>IF(Tabela1610[[#This Row],[Real Disposable Income (RDI)]]="",#N/A,((Tabela1610[[#This Row],[Real Disposable Income (RDI)]]*1)/H540)-1)</f>
        <v>1.5123575531648115E-3</v>
      </c>
      <c r="J541" s="56">
        <f>IF(Tabela1610[[#This Row],[Real Disposable Income (RDI)]]="",#N/A,((Tabela1610[[#This Row],[Real Disposable Income (RDI)]]*1)/H529)-1)</f>
        <v>2.8739234710563721E-2</v>
      </c>
      <c r="K541" s="10">
        <v>341000</v>
      </c>
      <c r="L541" s="11">
        <v>17.899999999999999</v>
      </c>
      <c r="M541" s="10">
        <v>144</v>
      </c>
      <c r="N541" s="10">
        <f>IF(Tabela1610[[#This Row],[Payroll]]="",#N/A,AVERAGE(M539:M541))</f>
        <v>119</v>
      </c>
      <c r="O541" s="10"/>
      <c r="P541" s="7"/>
    </row>
    <row r="542" spans="1:16">
      <c r="A542" s="6">
        <v>33939</v>
      </c>
      <c r="B542" s="11">
        <v>7.4</v>
      </c>
      <c r="C542" s="11">
        <f>IF(Tabela1610[[#This Row],[Unemployment Rate]]="",#N/A,AVERAGE(B530:B542))</f>
        <v>7.476923076923077</v>
      </c>
      <c r="D542" s="10">
        <v>9557</v>
      </c>
      <c r="E542" s="11">
        <v>66.3</v>
      </c>
      <c r="F542" s="11"/>
      <c r="G542" s="11"/>
      <c r="H542" s="55">
        <v>7818.6</v>
      </c>
      <c r="I542" s="56">
        <f>IF(Tabela1610[[#This Row],[Real Disposable Income (RDI)]]="",#N/A,((Tabela1610[[#This Row],[Real Disposable Income (RDI)]]*1)/H541)-1)</f>
        <v>3.5672181526763991E-2</v>
      </c>
      <c r="J542" s="56">
        <f>IF(Tabela1610[[#This Row],[Real Disposable Income (RDI)]]="",#N/A,((Tabela1610[[#This Row],[Real Disposable Income (RDI)]]*1)/H530)-1)</f>
        <v>5.6053811659192876E-2</v>
      </c>
      <c r="K542" s="10">
        <v>313000</v>
      </c>
      <c r="L542" s="11">
        <v>19</v>
      </c>
      <c r="M542" s="10">
        <v>223</v>
      </c>
      <c r="N542" s="10">
        <f>IF(Tabela1610[[#This Row],[Payroll]]="",#N/A,AVERAGE(M540:M542))</f>
        <v>182.33333333333334</v>
      </c>
      <c r="O542" s="10"/>
      <c r="P542" s="7"/>
    </row>
    <row r="543" spans="1:16">
      <c r="A543" s="6">
        <v>33970</v>
      </c>
      <c r="B543" s="11">
        <v>7.3</v>
      </c>
      <c r="C543" s="11">
        <f>IF(Tabela1610[[#This Row],[Unemployment Rate]]="",#N/A,AVERAGE(B531:B543))</f>
        <v>7.476923076923077</v>
      </c>
      <c r="D543" s="10">
        <v>9325</v>
      </c>
      <c r="E543" s="11">
        <v>66.2</v>
      </c>
      <c r="F543" s="11"/>
      <c r="G543" s="11"/>
      <c r="H543" s="55">
        <v>7648.1</v>
      </c>
      <c r="I543" s="56">
        <f>IF(Tabela1610[[#This Row],[Real Disposable Income (RDI)]]="",#N/A,((Tabela1610[[#This Row],[Real Disposable Income (RDI)]]*1)/H542)-1)</f>
        <v>-2.1806973115391481E-2</v>
      </c>
      <c r="J543" s="56">
        <f>IF(Tabela1610[[#This Row],[Real Disposable Income (RDI)]]="",#N/A,((Tabela1610[[#This Row],[Real Disposable Income (RDI)]]*1)/H531)-1)</f>
        <v>2.3184566811152107E-2</v>
      </c>
      <c r="K543" s="10">
        <v>340000</v>
      </c>
      <c r="L543" s="11">
        <v>18.3</v>
      </c>
      <c r="M543" s="10">
        <v>292</v>
      </c>
      <c r="N543" s="10">
        <f>IF(Tabela1610[[#This Row],[Payroll]]="",#N/A,AVERAGE(M541:M543))</f>
        <v>219.66666666666666</v>
      </c>
      <c r="O543" s="10"/>
      <c r="P543" s="7"/>
    </row>
    <row r="544" spans="1:16">
      <c r="A544" s="6">
        <v>34001</v>
      </c>
      <c r="B544" s="11">
        <v>7.1</v>
      </c>
      <c r="C544" s="11">
        <f>IF(Tabela1610[[#This Row],[Unemployment Rate]]="",#N/A,AVERAGE(B532:B544))</f>
        <v>7.4615384615384626</v>
      </c>
      <c r="D544" s="10">
        <v>9183</v>
      </c>
      <c r="E544" s="11">
        <v>66.2</v>
      </c>
      <c r="F544" s="11"/>
      <c r="G544" s="11"/>
      <c r="H544" s="55">
        <v>7684.5</v>
      </c>
      <c r="I544" s="56">
        <f>IF(Tabela1610[[#This Row],[Real Disposable Income (RDI)]]="",#N/A,((Tabela1610[[#This Row],[Real Disposable Income (RDI)]]*1)/H543)-1)</f>
        <v>4.759351995920591E-3</v>
      </c>
      <c r="J544" s="56">
        <f>IF(Tabela1610[[#This Row],[Real Disposable Income (RDI)]]="",#N/A,((Tabela1610[[#This Row],[Real Disposable Income (RDI)]]*1)/H532)-1)</f>
        <v>2.3617327365728968E-2</v>
      </c>
      <c r="K544" s="10">
        <v>362000</v>
      </c>
      <c r="L544" s="11">
        <v>18.2</v>
      </c>
      <c r="M544" s="10">
        <v>250</v>
      </c>
      <c r="N544" s="10">
        <f>IF(Tabela1610[[#This Row],[Payroll]]="",#N/A,AVERAGE(M542:M544))</f>
        <v>255</v>
      </c>
      <c r="O544" s="10"/>
      <c r="P544" s="7"/>
    </row>
    <row r="545" spans="1:16">
      <c r="A545" s="6">
        <v>34029</v>
      </c>
      <c r="B545" s="11">
        <v>7</v>
      </c>
      <c r="C545" s="11">
        <f>IF(Tabela1610[[#This Row],[Unemployment Rate]]="",#N/A,AVERAGE(B533:B545))</f>
        <v>7.4307692307692301</v>
      </c>
      <c r="D545" s="10">
        <v>9056</v>
      </c>
      <c r="E545" s="11">
        <v>66.2</v>
      </c>
      <c r="F545" s="11"/>
      <c r="G545" s="11"/>
      <c r="H545" s="55">
        <v>7660.8</v>
      </c>
      <c r="I545" s="56">
        <f>IF(Tabela1610[[#This Row],[Real Disposable Income (RDI)]]="",#N/A,((Tabela1610[[#This Row],[Real Disposable Income (RDI)]]*1)/H544)-1)</f>
        <v>-3.0841303923482277E-3</v>
      </c>
      <c r="J545" s="56">
        <f>IF(Tabela1610[[#This Row],[Real Disposable Income (RDI)]]="",#N/A,((Tabela1610[[#This Row],[Real Disposable Income (RDI)]]*1)/H533)-1)</f>
        <v>1.9564002235886058E-2</v>
      </c>
      <c r="K545" s="10">
        <v>366000</v>
      </c>
      <c r="L545" s="11">
        <v>17.600000000000001</v>
      </c>
      <c r="M545" s="10">
        <v>-52</v>
      </c>
      <c r="N545" s="10">
        <f>IF(Tabela1610[[#This Row],[Payroll]]="",#N/A,AVERAGE(M543:M545))</f>
        <v>163.33333333333334</v>
      </c>
      <c r="O545" s="10"/>
      <c r="P545" s="7"/>
    </row>
    <row r="546" spans="1:16">
      <c r="A546" s="6">
        <v>34060</v>
      </c>
      <c r="B546" s="11">
        <v>7.1</v>
      </c>
      <c r="C546" s="11">
        <f>IF(Tabela1610[[#This Row],[Unemployment Rate]]="",#N/A,AVERAGE(B534:B546))</f>
        <v>7.4076923076923062</v>
      </c>
      <c r="D546" s="10">
        <v>9110</v>
      </c>
      <c r="E546" s="11">
        <v>66.099999999999994</v>
      </c>
      <c r="F546" s="11"/>
      <c r="G546" s="11"/>
      <c r="H546" s="55">
        <v>7700.6</v>
      </c>
      <c r="I546" s="56">
        <f>IF(Tabela1610[[#This Row],[Real Disposable Income (RDI)]]="",#N/A,((Tabela1610[[#This Row],[Real Disposable Income (RDI)]]*1)/H545)-1)</f>
        <v>5.1952798663326138E-3</v>
      </c>
      <c r="J546" s="56">
        <f>IF(Tabela1610[[#This Row],[Real Disposable Income (RDI)]]="",#N/A,((Tabela1610[[#This Row],[Real Disposable Income (RDI)]]*1)/H534)-1)</f>
        <v>2.1977438619774414E-2</v>
      </c>
      <c r="K546" s="10">
        <v>350000</v>
      </c>
      <c r="L546" s="11">
        <v>17.600000000000001</v>
      </c>
      <c r="M546" s="10">
        <v>303</v>
      </c>
      <c r="N546" s="10">
        <f>IF(Tabela1610[[#This Row],[Payroll]]="",#N/A,AVERAGE(M544:M546))</f>
        <v>167</v>
      </c>
      <c r="O546" s="10"/>
      <c r="P546" s="7"/>
    </row>
    <row r="547" spans="1:16">
      <c r="A547" s="6">
        <v>34090</v>
      </c>
      <c r="B547" s="11">
        <v>7.1</v>
      </c>
      <c r="C547" s="11">
        <f>IF(Tabela1610[[#This Row],[Unemployment Rate]]="",#N/A,AVERAGE(B535:B547))</f>
        <v>7.3846153846153824</v>
      </c>
      <c r="D547" s="10">
        <v>9149</v>
      </c>
      <c r="E547" s="11">
        <v>66.400000000000006</v>
      </c>
      <c r="F547" s="11"/>
      <c r="G547" s="11"/>
      <c r="H547" s="55">
        <v>7689.4</v>
      </c>
      <c r="I547" s="56">
        <f>IF(Tabela1610[[#This Row],[Real Disposable Income (RDI)]]="",#N/A,((Tabela1610[[#This Row],[Real Disposable Income (RDI)]]*1)/H546)-1)</f>
        <v>-1.4544321221724443E-3</v>
      </c>
      <c r="J547" s="56">
        <f>IF(Tabela1610[[#This Row],[Real Disposable Income (RDI)]]="",#N/A,((Tabela1610[[#This Row],[Real Disposable Income (RDI)]]*1)/H535)-1)</f>
        <v>1.5745951229822142E-2</v>
      </c>
      <c r="K547" s="10">
        <v>349000</v>
      </c>
      <c r="L547" s="11">
        <v>17.5</v>
      </c>
      <c r="M547" s="10">
        <v>275</v>
      </c>
      <c r="N547" s="10">
        <f>IF(Tabela1610[[#This Row],[Payroll]]="",#N/A,AVERAGE(M545:M547))</f>
        <v>175.33333333333334</v>
      </c>
      <c r="O547" s="10"/>
      <c r="P547" s="7"/>
    </row>
    <row r="548" spans="1:16">
      <c r="A548" s="6">
        <v>34121</v>
      </c>
      <c r="B548" s="11">
        <v>7</v>
      </c>
      <c r="C548" s="11">
        <f>IF(Tabela1610[[#This Row],[Unemployment Rate]]="",#N/A,AVERAGE(B536:B548))</f>
        <v>7.3384615384615364</v>
      </c>
      <c r="D548" s="10">
        <v>9121</v>
      </c>
      <c r="E548" s="11">
        <v>66.5</v>
      </c>
      <c r="F548" s="11"/>
      <c r="G548" s="11"/>
      <c r="H548" s="55">
        <v>7675.1</v>
      </c>
      <c r="I548" s="56">
        <f>IF(Tabela1610[[#This Row],[Real Disposable Income (RDI)]]="",#N/A,((Tabela1610[[#This Row],[Real Disposable Income (RDI)]]*1)/H547)-1)</f>
        <v>-1.8597029677217547E-3</v>
      </c>
      <c r="J548" s="56">
        <f>IF(Tabela1610[[#This Row],[Real Disposable Income (RDI)]]="",#N/A,((Tabela1610[[#This Row],[Real Disposable Income (RDI)]]*1)/H536)-1)</f>
        <v>9.6690170490423277E-3</v>
      </c>
      <c r="K548" s="10">
        <v>340000</v>
      </c>
      <c r="L548" s="11">
        <v>17.8</v>
      </c>
      <c r="M548" s="10">
        <v>181</v>
      </c>
      <c r="N548" s="10">
        <f>IF(Tabela1610[[#This Row],[Payroll]]="",#N/A,AVERAGE(M546:M548))</f>
        <v>253</v>
      </c>
      <c r="O548" s="10"/>
      <c r="P548" s="7"/>
    </row>
    <row r="549" spans="1:16">
      <c r="A549" s="6">
        <v>34151</v>
      </c>
      <c r="B549" s="11">
        <v>6.9</v>
      </c>
      <c r="C549" s="11">
        <f>IF(Tabela1610[[#This Row],[Unemployment Rate]]="",#N/A,AVERAGE(B537:B549))</f>
        <v>7.2692307692307692</v>
      </c>
      <c r="D549" s="10">
        <v>8930</v>
      </c>
      <c r="E549" s="11">
        <v>66.400000000000006</v>
      </c>
      <c r="F549" s="11"/>
      <c r="G549" s="11"/>
      <c r="H549" s="55">
        <v>7694.3</v>
      </c>
      <c r="I549" s="56">
        <f>IF(Tabela1610[[#This Row],[Real Disposable Income (RDI)]]="",#N/A,((Tabela1610[[#This Row],[Real Disposable Income (RDI)]]*1)/H548)-1)</f>
        <v>2.5015960704095619E-3</v>
      </c>
      <c r="J549" s="56">
        <f>IF(Tabela1610[[#This Row],[Real Disposable Income (RDI)]]="",#N/A,((Tabela1610[[#This Row],[Real Disposable Income (RDI)]]*1)/H537)-1)</f>
        <v>1.2954356955726221E-2</v>
      </c>
      <c r="K549" s="10">
        <v>356000</v>
      </c>
      <c r="L549" s="11">
        <v>17.7</v>
      </c>
      <c r="M549" s="10">
        <v>309</v>
      </c>
      <c r="N549" s="10">
        <f>IF(Tabela1610[[#This Row],[Payroll]]="",#N/A,AVERAGE(M547:M549))</f>
        <v>255</v>
      </c>
      <c r="O549" s="10"/>
      <c r="P549" s="7"/>
    </row>
    <row r="550" spans="1:16">
      <c r="A550" s="6">
        <v>34182</v>
      </c>
      <c r="B550" s="11">
        <v>6.8</v>
      </c>
      <c r="C550" s="11">
        <f>IF(Tabela1610[[#This Row],[Unemployment Rate]]="",#N/A,AVERAGE(B538:B550))</f>
        <v>7.1999999999999993</v>
      </c>
      <c r="D550" s="10">
        <v>8763</v>
      </c>
      <c r="E550" s="11">
        <v>66.400000000000006</v>
      </c>
      <c r="F550" s="11"/>
      <c r="G550" s="11"/>
      <c r="H550" s="55">
        <v>7705.4</v>
      </c>
      <c r="I550" s="56">
        <f>IF(Tabela1610[[#This Row],[Real Disposable Income (RDI)]]="",#N/A,((Tabela1610[[#This Row],[Real Disposable Income (RDI)]]*1)/H549)-1)</f>
        <v>1.4426263597726585E-3</v>
      </c>
      <c r="J550" s="56">
        <f>IF(Tabela1610[[#This Row],[Real Disposable Income (RDI)]]="",#N/A,((Tabela1610[[#This Row],[Real Disposable Income (RDI)]]*1)/H538)-1)</f>
        <v>1.0862435389499492E-2</v>
      </c>
      <c r="K550" s="10">
        <v>337000</v>
      </c>
      <c r="L550" s="11">
        <v>18</v>
      </c>
      <c r="M550" s="10">
        <v>149</v>
      </c>
      <c r="N550" s="10">
        <f>IF(Tabela1610[[#This Row],[Payroll]]="",#N/A,AVERAGE(M548:M550))</f>
        <v>213</v>
      </c>
      <c r="O550" s="10"/>
      <c r="P550" s="7"/>
    </row>
    <row r="551" spans="1:16">
      <c r="A551" s="6">
        <v>34213</v>
      </c>
      <c r="B551" s="11">
        <v>6.7</v>
      </c>
      <c r="C551" s="11">
        <f>IF(Tabela1610[[#This Row],[Unemployment Rate]]="",#N/A,AVERAGE(B539:B551))</f>
        <v>7.1307692307692312</v>
      </c>
      <c r="D551" s="10">
        <v>8714</v>
      </c>
      <c r="E551" s="11">
        <v>66.2</v>
      </c>
      <c r="F551" s="11"/>
      <c r="G551" s="11"/>
      <c r="H551" s="55">
        <v>7684.4</v>
      </c>
      <c r="I551" s="56">
        <f>IF(Tabela1610[[#This Row],[Real Disposable Income (RDI)]]="",#N/A,((Tabela1610[[#This Row],[Real Disposable Income (RDI)]]*1)/H550)-1)</f>
        <v>-2.7253614348379251E-3</v>
      </c>
      <c r="J551" s="56">
        <f>IF(Tabela1610[[#This Row],[Real Disposable Income (RDI)]]="",#N/A,((Tabela1610[[#This Row],[Real Disposable Income (RDI)]]*1)/H539)-1)</f>
        <v>1.2851098604172995E-2</v>
      </c>
      <c r="K551" s="10">
        <v>343000</v>
      </c>
      <c r="L551" s="11">
        <v>18.100000000000001</v>
      </c>
      <c r="M551" s="10">
        <v>246</v>
      </c>
      <c r="N551" s="10">
        <f>IF(Tabela1610[[#This Row],[Payroll]]="",#N/A,AVERAGE(M549:M551))</f>
        <v>234.66666666666666</v>
      </c>
      <c r="O551" s="10"/>
      <c r="P551" s="7"/>
    </row>
    <row r="552" spans="1:16">
      <c r="A552" s="6">
        <v>34243</v>
      </c>
      <c r="B552" s="11">
        <v>6.8</v>
      </c>
      <c r="C552" s="11">
        <f>IF(Tabela1610[[#This Row],[Unemployment Rate]]="",#N/A,AVERAGE(B540:B552))</f>
        <v>7.0692307692307699</v>
      </c>
      <c r="D552" s="10">
        <v>8750</v>
      </c>
      <c r="E552" s="11">
        <v>66.3</v>
      </c>
      <c r="F552" s="11"/>
      <c r="G552" s="11"/>
      <c r="H552" s="55">
        <v>7646.9</v>
      </c>
      <c r="I552" s="56">
        <f>IF(Tabela1610[[#This Row],[Real Disposable Income (RDI)]]="",#N/A,((Tabela1610[[#This Row],[Real Disposable Income (RDI)]]*1)/H551)-1)</f>
        <v>-4.8800166571235648E-3</v>
      </c>
      <c r="J552" s="56">
        <f>IF(Tabela1610[[#This Row],[Real Disposable Income (RDI)]]="",#N/A,((Tabela1610[[#This Row],[Real Disposable Income (RDI)]]*1)/H540)-1)</f>
        <v>1.4460260815346349E-2</v>
      </c>
      <c r="K552" s="10">
        <v>348000</v>
      </c>
      <c r="L552" s="11">
        <v>18.100000000000001</v>
      </c>
      <c r="M552" s="10">
        <v>278</v>
      </c>
      <c r="N552" s="10">
        <f>IF(Tabela1610[[#This Row],[Payroll]]="",#N/A,AVERAGE(M550:M552))</f>
        <v>224.33333333333334</v>
      </c>
      <c r="O552" s="10"/>
      <c r="P552" s="7"/>
    </row>
    <row r="553" spans="1:16">
      <c r="A553" s="6">
        <v>34274</v>
      </c>
      <c r="B553" s="11">
        <v>6.6</v>
      </c>
      <c r="C553" s="11">
        <f>IF(Tabela1610[[#This Row],[Unemployment Rate]]="",#N/A,AVERAGE(B541:B553))</f>
        <v>7.0153846153846153</v>
      </c>
      <c r="D553" s="10">
        <v>8542</v>
      </c>
      <c r="E553" s="11">
        <v>66.3</v>
      </c>
      <c r="F553" s="11"/>
      <c r="G553" s="11"/>
      <c r="H553" s="55">
        <v>7668.1</v>
      </c>
      <c r="I553" s="56">
        <f>IF(Tabela1610[[#This Row],[Real Disposable Income (RDI)]]="",#N/A,((Tabela1610[[#This Row],[Real Disposable Income (RDI)]]*1)/H552)-1)</f>
        <v>2.7723652722018155E-3</v>
      </c>
      <c r="J553" s="56">
        <f>IF(Tabela1610[[#This Row],[Real Disposable Income (RDI)]]="",#N/A,((Tabela1610[[#This Row],[Real Disposable Income (RDI)]]*1)/H541)-1)</f>
        <v>1.5736558356403973E-2</v>
      </c>
      <c r="K553" s="10">
        <v>337000</v>
      </c>
      <c r="L553" s="11">
        <v>18.600000000000001</v>
      </c>
      <c r="M553" s="10">
        <v>256</v>
      </c>
      <c r="N553" s="10">
        <f>IF(Tabela1610[[#This Row],[Payroll]]="",#N/A,AVERAGE(M551:M553))</f>
        <v>260</v>
      </c>
      <c r="O553" s="10"/>
      <c r="P553" s="7"/>
    </row>
    <row r="554" spans="1:16">
      <c r="A554" s="6">
        <v>34304</v>
      </c>
      <c r="B554" s="11">
        <v>6.5</v>
      </c>
      <c r="C554" s="11">
        <f>IF(Tabela1610[[#This Row],[Unemployment Rate]]="",#N/A,AVERAGE(B542:B554))</f>
        <v>6.9461538461538446</v>
      </c>
      <c r="D554" s="10">
        <v>8477</v>
      </c>
      <c r="E554" s="11">
        <v>66.400000000000006</v>
      </c>
      <c r="F554" s="11"/>
      <c r="G554" s="11"/>
      <c r="H554" s="55">
        <v>7929.4</v>
      </c>
      <c r="I554" s="56">
        <f>IF(Tabela1610[[#This Row],[Real Disposable Income (RDI)]]="",#N/A,((Tabela1610[[#This Row],[Real Disposable Income (RDI)]]*1)/H553)-1)</f>
        <v>3.4076237920736441E-2</v>
      </c>
      <c r="J554" s="56">
        <f>IF(Tabela1610[[#This Row],[Real Disposable Income (RDI)]]="",#N/A,((Tabela1610[[#This Row],[Real Disposable Income (RDI)]]*1)/H542)-1)</f>
        <v>1.417133502161505E-2</v>
      </c>
      <c r="K554" s="10">
        <v>290000</v>
      </c>
      <c r="L554" s="11">
        <v>18.3</v>
      </c>
      <c r="M554" s="10">
        <v>334</v>
      </c>
      <c r="N554" s="10">
        <f>IF(Tabela1610[[#This Row],[Payroll]]="",#N/A,AVERAGE(M552:M554))</f>
        <v>289.33333333333331</v>
      </c>
      <c r="O554" s="10"/>
      <c r="P554" s="7"/>
    </row>
    <row r="555" spans="1:16">
      <c r="A555" s="6">
        <v>34335</v>
      </c>
      <c r="B555" s="11">
        <v>6.6</v>
      </c>
      <c r="C555" s="11">
        <f>IF(Tabela1610[[#This Row],[Unemployment Rate]]="",#N/A,AVERAGE(B543:B555))</f>
        <v>6.8846153846153832</v>
      </c>
      <c r="D555" s="10">
        <v>8630</v>
      </c>
      <c r="E555" s="11">
        <v>66.599999999999994</v>
      </c>
      <c r="F555" s="11"/>
      <c r="G555" s="11"/>
      <c r="H555" s="55">
        <v>7780.4</v>
      </c>
      <c r="I555" s="56">
        <f>IF(Tabela1610[[#This Row],[Real Disposable Income (RDI)]]="",#N/A,((Tabela1610[[#This Row],[Real Disposable Income (RDI)]]*1)/H554)-1)</f>
        <v>-1.8790829066511971E-2</v>
      </c>
      <c r="J555" s="56">
        <f>IF(Tabela1610[[#This Row],[Real Disposable Income (RDI)]]="",#N/A,((Tabela1610[[#This Row],[Real Disposable Income (RDI)]]*1)/H543)-1)</f>
        <v>1.7298413985172623E-2</v>
      </c>
      <c r="K555" s="10">
        <v>406000</v>
      </c>
      <c r="L555" s="11">
        <v>18.600000000000001</v>
      </c>
      <c r="M555" s="10">
        <v>275</v>
      </c>
      <c r="N555" s="10">
        <f>IF(Tabela1610[[#This Row],[Payroll]]="",#N/A,AVERAGE(M553:M555))</f>
        <v>288.33333333333331</v>
      </c>
      <c r="O555" s="10"/>
      <c r="P555" s="7"/>
    </row>
    <row r="556" spans="1:16">
      <c r="A556" s="6">
        <v>34366</v>
      </c>
      <c r="B556" s="11">
        <v>6.6</v>
      </c>
      <c r="C556" s="11">
        <f>IF(Tabela1610[[#This Row],[Unemployment Rate]]="",#N/A,AVERAGE(B544:B556))</f>
        <v>6.8307692307692296</v>
      </c>
      <c r="D556" s="10">
        <v>8583</v>
      </c>
      <c r="E556" s="11">
        <v>66.599999999999994</v>
      </c>
      <c r="F556" s="11"/>
      <c r="G556" s="11"/>
      <c r="H556" s="55">
        <v>7795</v>
      </c>
      <c r="I556" s="56">
        <f>IF(Tabela1610[[#This Row],[Real Disposable Income (RDI)]]="",#N/A,((Tabela1610[[#This Row],[Real Disposable Income (RDI)]]*1)/H555)-1)</f>
        <v>1.8765102051307991E-3</v>
      </c>
      <c r="J556" s="56">
        <f>IF(Tabela1610[[#This Row],[Real Disposable Income (RDI)]]="",#N/A,((Tabela1610[[#This Row],[Real Disposable Income (RDI)]]*1)/H544)-1)</f>
        <v>1.4379595289218505E-2</v>
      </c>
      <c r="K556" s="10">
        <v>327000</v>
      </c>
      <c r="L556" s="11">
        <v>19</v>
      </c>
      <c r="M556" s="10">
        <v>181</v>
      </c>
      <c r="N556" s="10">
        <f>IF(Tabela1610[[#This Row],[Payroll]]="",#N/A,AVERAGE(M554:M556))</f>
        <v>263.33333333333331</v>
      </c>
      <c r="O556" s="10"/>
      <c r="P556" s="7"/>
    </row>
    <row r="557" spans="1:16">
      <c r="A557" s="6">
        <v>34394</v>
      </c>
      <c r="B557" s="11">
        <v>6.5</v>
      </c>
      <c r="C557" s="11">
        <f>IF(Tabela1610[[#This Row],[Unemployment Rate]]="",#N/A,AVERAGE(B545:B557))</f>
        <v>6.7846153846153836</v>
      </c>
      <c r="D557" s="10">
        <v>8470</v>
      </c>
      <c r="E557" s="11">
        <v>66.5</v>
      </c>
      <c r="F557" s="11"/>
      <c r="G557" s="11"/>
      <c r="H557" s="55">
        <v>7820.5</v>
      </c>
      <c r="I557" s="56">
        <f>IF(Tabela1610[[#This Row],[Real Disposable Income (RDI)]]="",#N/A,((Tabela1610[[#This Row],[Real Disposable Income (RDI)]]*1)/H556)-1)</f>
        <v>3.2713277742142388E-3</v>
      </c>
      <c r="J557" s="56">
        <f>IF(Tabela1610[[#This Row],[Real Disposable Income (RDI)]]="",#N/A,((Tabela1610[[#This Row],[Real Disposable Income (RDI)]]*1)/H545)-1)</f>
        <v>2.0846386800334127E-2</v>
      </c>
      <c r="K557" s="10">
        <v>322000</v>
      </c>
      <c r="L557" s="11">
        <v>19</v>
      </c>
      <c r="M557" s="10">
        <v>461</v>
      </c>
      <c r="N557" s="10">
        <f>IF(Tabela1610[[#This Row],[Payroll]]="",#N/A,AVERAGE(M555:M557))</f>
        <v>305.66666666666669</v>
      </c>
      <c r="O557" s="10"/>
      <c r="P557" s="7"/>
    </row>
    <row r="558" spans="1:16">
      <c r="A558" s="6">
        <v>34425</v>
      </c>
      <c r="B558" s="11">
        <v>6.4</v>
      </c>
      <c r="C558" s="11">
        <f>IF(Tabela1610[[#This Row],[Unemployment Rate]]="",#N/A,AVERAGE(B546:B558))</f>
        <v>6.7384615384615376</v>
      </c>
      <c r="D558" s="10">
        <v>8331</v>
      </c>
      <c r="E558" s="11">
        <v>66.5</v>
      </c>
      <c r="F558" s="11"/>
      <c r="G558" s="11"/>
      <c r="H558" s="55">
        <v>7820.4</v>
      </c>
      <c r="I558" s="56">
        <f>IF(Tabela1610[[#This Row],[Real Disposable Income (RDI)]]="",#N/A,((Tabela1610[[#This Row],[Real Disposable Income (RDI)]]*1)/H557)-1)</f>
        <v>-1.2786906208095417E-5</v>
      </c>
      <c r="J558" s="56">
        <f>IF(Tabela1610[[#This Row],[Real Disposable Income (RDI)]]="",#N/A,((Tabela1610[[#This Row],[Real Disposable Income (RDI)]]*1)/H546)-1)</f>
        <v>1.5557229306807141E-2</v>
      </c>
      <c r="K558" s="10">
        <v>344000</v>
      </c>
      <c r="L558" s="11">
        <v>19</v>
      </c>
      <c r="M558" s="10">
        <v>347</v>
      </c>
      <c r="N558" s="10">
        <f>IF(Tabela1610[[#This Row],[Payroll]]="",#N/A,AVERAGE(M556:M558))</f>
        <v>329.66666666666669</v>
      </c>
      <c r="O558" s="10"/>
      <c r="P558" s="7"/>
    </row>
    <row r="559" spans="1:16">
      <c r="A559" s="6">
        <v>34455</v>
      </c>
      <c r="B559" s="11">
        <v>6.1</v>
      </c>
      <c r="C559" s="11">
        <f>IF(Tabela1610[[#This Row],[Unemployment Rate]]="",#N/A,AVERAGE(B547:B559))</f>
        <v>6.661538461538461</v>
      </c>
      <c r="D559" s="10">
        <v>7915</v>
      </c>
      <c r="E559" s="11">
        <v>66.599999999999994</v>
      </c>
      <c r="F559" s="11"/>
      <c r="G559" s="11"/>
      <c r="H559" s="55">
        <v>7910.6</v>
      </c>
      <c r="I559" s="56">
        <f>IF(Tabela1610[[#This Row],[Real Disposable Income (RDI)]]="",#N/A,((Tabela1610[[#This Row],[Real Disposable Income (RDI)]]*1)/H558)-1)</f>
        <v>1.1533936883024065E-2</v>
      </c>
      <c r="J559" s="56">
        <f>IF(Tabela1610[[#This Row],[Real Disposable Income (RDI)]]="",#N/A,((Tabela1610[[#This Row],[Real Disposable Income (RDI)]]*1)/H547)-1)</f>
        <v>2.8766873878325994E-2</v>
      </c>
      <c r="K559" s="10">
        <v>348000</v>
      </c>
      <c r="L559" s="11">
        <v>19.5</v>
      </c>
      <c r="M559" s="10">
        <v>336</v>
      </c>
      <c r="N559" s="10">
        <f>IF(Tabela1610[[#This Row],[Payroll]]="",#N/A,AVERAGE(M557:M559))</f>
        <v>381.33333333333331</v>
      </c>
      <c r="O559" s="10"/>
      <c r="P559" s="7"/>
    </row>
    <row r="560" spans="1:16">
      <c r="A560" s="6">
        <v>34486</v>
      </c>
      <c r="B560" s="11">
        <v>6.1</v>
      </c>
      <c r="C560" s="11">
        <f>IF(Tabela1610[[#This Row],[Unemployment Rate]]="",#N/A,AVERAGE(B548:B560))</f>
        <v>6.5846153846153843</v>
      </c>
      <c r="D560" s="10">
        <v>7927</v>
      </c>
      <c r="E560" s="11">
        <v>66.400000000000006</v>
      </c>
      <c r="F560" s="11"/>
      <c r="G560" s="11"/>
      <c r="H560" s="55">
        <v>7898.1</v>
      </c>
      <c r="I560" s="56">
        <f>IF(Tabela1610[[#This Row],[Real Disposable Income (RDI)]]="",#N/A,((Tabela1610[[#This Row],[Real Disposable Income (RDI)]]*1)/H559)-1)</f>
        <v>-1.5801582686522098E-3</v>
      </c>
      <c r="J560" s="56">
        <f>IF(Tabela1610[[#This Row],[Real Disposable Income (RDI)]]="",#N/A,((Tabela1610[[#This Row],[Real Disposable Income (RDI)]]*1)/H548)-1)</f>
        <v>2.9054996026110391E-2</v>
      </c>
      <c r="K560" s="10">
        <v>341000</v>
      </c>
      <c r="L560" s="11">
        <v>18.8</v>
      </c>
      <c r="M560" s="10">
        <v>314</v>
      </c>
      <c r="N560" s="10">
        <f>IF(Tabela1610[[#This Row],[Payroll]]="",#N/A,AVERAGE(M558:M560))</f>
        <v>332.33333333333331</v>
      </c>
      <c r="O560" s="10"/>
      <c r="P560" s="7"/>
    </row>
    <row r="561" spans="1:16">
      <c r="A561" s="6">
        <v>34516</v>
      </c>
      <c r="B561" s="11">
        <v>6.1</v>
      </c>
      <c r="C561" s="11">
        <f>IF(Tabela1610[[#This Row],[Unemployment Rate]]="",#N/A,AVERAGE(B549:B561))</f>
        <v>6.5153846153846144</v>
      </c>
      <c r="D561" s="10">
        <v>7946</v>
      </c>
      <c r="E561" s="11">
        <v>66.400000000000006</v>
      </c>
      <c r="F561" s="11"/>
      <c r="G561" s="11"/>
      <c r="H561" s="55">
        <v>7905</v>
      </c>
      <c r="I561" s="56">
        <f>IF(Tabela1610[[#This Row],[Real Disposable Income (RDI)]]="",#N/A,((Tabela1610[[#This Row],[Real Disposable Income (RDI)]]*1)/H560)-1)</f>
        <v>8.7362783454247861E-4</v>
      </c>
      <c r="J561" s="56">
        <f>IF(Tabela1610[[#This Row],[Real Disposable Income (RDI)]]="",#N/A,((Tabela1610[[#This Row],[Real Disposable Income (RDI)]]*1)/H549)-1)</f>
        <v>2.7383907567939847E-2</v>
      </c>
      <c r="K561" s="10">
        <v>332000</v>
      </c>
      <c r="L561" s="11">
        <v>19</v>
      </c>
      <c r="M561" s="10">
        <v>370</v>
      </c>
      <c r="N561" s="10">
        <f>IF(Tabela1610[[#This Row],[Payroll]]="",#N/A,AVERAGE(M559:M561))</f>
        <v>340</v>
      </c>
      <c r="O561" s="10"/>
      <c r="P561" s="7"/>
    </row>
    <row r="562" spans="1:16">
      <c r="A562" s="6">
        <v>34547</v>
      </c>
      <c r="B562" s="11">
        <v>6</v>
      </c>
      <c r="C562" s="11">
        <f>IF(Tabela1610[[#This Row],[Unemployment Rate]]="",#N/A,AVERAGE(B550:B562))</f>
        <v>6.4461538461538446</v>
      </c>
      <c r="D562" s="10">
        <v>7933</v>
      </c>
      <c r="E562" s="11">
        <v>66.599999999999994</v>
      </c>
      <c r="F562" s="11"/>
      <c r="G562" s="11"/>
      <c r="H562" s="55">
        <v>7914.4</v>
      </c>
      <c r="I562" s="56">
        <f>IF(Tabela1610[[#This Row],[Real Disposable Income (RDI)]]="",#N/A,((Tabela1610[[#This Row],[Real Disposable Income (RDI)]]*1)/H561)-1)</f>
        <v>1.189120809614197E-3</v>
      </c>
      <c r="J562" s="56">
        <f>IF(Tabela1610[[#This Row],[Real Disposable Income (RDI)]]="",#N/A,((Tabela1610[[#This Row],[Real Disposable Income (RDI)]]*1)/H550)-1)</f>
        <v>2.7123835232434335E-2</v>
      </c>
      <c r="K562" s="10">
        <v>341000</v>
      </c>
      <c r="L562" s="11">
        <v>18.8</v>
      </c>
      <c r="M562" s="10">
        <v>292</v>
      </c>
      <c r="N562" s="10">
        <f>IF(Tabela1610[[#This Row],[Payroll]]="",#N/A,AVERAGE(M560:M562))</f>
        <v>325.33333333333331</v>
      </c>
      <c r="O562" s="10"/>
      <c r="P562" s="7"/>
    </row>
    <row r="563" spans="1:16">
      <c r="A563" s="6">
        <v>34578</v>
      </c>
      <c r="B563" s="11">
        <v>5.9</v>
      </c>
      <c r="C563" s="11">
        <f>IF(Tabela1610[[#This Row],[Unemployment Rate]]="",#N/A,AVERAGE(B551:B563))</f>
        <v>6.3769230769230774</v>
      </c>
      <c r="D563" s="10">
        <v>7734</v>
      </c>
      <c r="E563" s="11">
        <v>66.599999999999994</v>
      </c>
      <c r="F563" s="11"/>
      <c r="G563" s="11"/>
      <c r="H563" s="55">
        <v>7949</v>
      </c>
      <c r="I563" s="56">
        <f>IF(Tabela1610[[#This Row],[Real Disposable Income (RDI)]]="",#N/A,((Tabela1610[[#This Row],[Real Disposable Income (RDI)]]*1)/H562)-1)</f>
        <v>4.371778024866213E-3</v>
      </c>
      <c r="J563" s="56">
        <f>IF(Tabela1610[[#This Row],[Real Disposable Income (RDI)]]="",#N/A,((Tabela1610[[#This Row],[Real Disposable Income (RDI)]]*1)/H551)-1)</f>
        <v>3.4433397532663612E-2</v>
      </c>
      <c r="K563" s="10">
        <v>325000</v>
      </c>
      <c r="L563" s="11">
        <v>18.7</v>
      </c>
      <c r="M563" s="10">
        <v>355</v>
      </c>
      <c r="N563" s="10">
        <f>IF(Tabela1610[[#This Row],[Payroll]]="",#N/A,AVERAGE(M561:M563))</f>
        <v>339</v>
      </c>
      <c r="O563" s="10"/>
      <c r="P563" s="7"/>
    </row>
    <row r="564" spans="1:16">
      <c r="A564" s="6">
        <v>34608</v>
      </c>
      <c r="B564" s="11">
        <v>5.8</v>
      </c>
      <c r="C564" s="11">
        <f>IF(Tabela1610[[#This Row],[Unemployment Rate]]="",#N/A,AVERAGE(B552:B564))</f>
        <v>6.3076923076923075</v>
      </c>
      <c r="D564" s="10">
        <v>7632</v>
      </c>
      <c r="E564" s="11">
        <v>66.7</v>
      </c>
      <c r="F564" s="11"/>
      <c r="G564" s="11"/>
      <c r="H564" s="55">
        <v>8024.4</v>
      </c>
      <c r="I564" s="56">
        <f>IF(Tabela1610[[#This Row],[Real Disposable Income (RDI)]]="",#N/A,((Tabela1610[[#This Row],[Real Disposable Income (RDI)]]*1)/H563)-1)</f>
        <v>9.4854698704238682E-3</v>
      </c>
      <c r="J564" s="56">
        <f>IF(Tabela1610[[#This Row],[Real Disposable Income (RDI)]]="",#N/A,((Tabela1610[[#This Row],[Real Disposable Income (RDI)]]*1)/H552)-1)</f>
        <v>4.9366409917744436E-2</v>
      </c>
      <c r="K564" s="10">
        <v>331000</v>
      </c>
      <c r="L564" s="11">
        <v>19.3</v>
      </c>
      <c r="M564" s="10">
        <v>203</v>
      </c>
      <c r="N564" s="10">
        <f>IF(Tabela1610[[#This Row],[Payroll]]="",#N/A,AVERAGE(M562:M564))</f>
        <v>283.33333333333331</v>
      </c>
      <c r="O564" s="10"/>
      <c r="P564" s="7"/>
    </row>
    <row r="565" spans="1:16">
      <c r="A565" s="6">
        <v>34639</v>
      </c>
      <c r="B565" s="11">
        <v>5.6</v>
      </c>
      <c r="C565" s="11">
        <f>IF(Tabela1610[[#This Row],[Unemployment Rate]]="",#N/A,AVERAGE(B553:B565))</f>
        <v>6.2153846153846155</v>
      </c>
      <c r="D565" s="10">
        <v>7375</v>
      </c>
      <c r="E565" s="11">
        <v>66.7</v>
      </c>
      <c r="F565" s="11"/>
      <c r="G565" s="11"/>
      <c r="H565" s="55">
        <v>8023.9</v>
      </c>
      <c r="I565" s="56">
        <f>IF(Tabela1610[[#This Row],[Real Disposable Income (RDI)]]="",#N/A,((Tabela1610[[#This Row],[Real Disposable Income (RDI)]]*1)/H564)-1)</f>
        <v>-6.2309954638406495E-5</v>
      </c>
      <c r="J565" s="56">
        <f>IF(Tabela1610[[#This Row],[Real Disposable Income (RDI)]]="",#N/A,((Tabela1610[[#This Row],[Real Disposable Income (RDI)]]*1)/H553)-1)</f>
        <v>4.6400020865664082E-2</v>
      </c>
      <c r="K565" s="10">
        <v>329000</v>
      </c>
      <c r="L565" s="11">
        <v>18</v>
      </c>
      <c r="M565" s="10">
        <v>415</v>
      </c>
      <c r="N565" s="10">
        <f>IF(Tabela1610[[#This Row],[Payroll]]="",#N/A,AVERAGE(M563:M565))</f>
        <v>324.33333333333331</v>
      </c>
      <c r="O565" s="10"/>
      <c r="P565" s="7"/>
    </row>
    <row r="566" spans="1:16">
      <c r="A566" s="6">
        <v>34669</v>
      </c>
      <c r="B566" s="11">
        <v>5.5</v>
      </c>
      <c r="C566" s="11">
        <f>IF(Tabela1610[[#This Row],[Unemployment Rate]]="",#N/A,AVERAGE(B554:B566))</f>
        <v>6.1307692307692312</v>
      </c>
      <c r="D566" s="10">
        <v>7230</v>
      </c>
      <c r="E566" s="11">
        <v>66.7</v>
      </c>
      <c r="F566" s="11"/>
      <c r="G566" s="11"/>
      <c r="H566" s="55">
        <v>8060.2</v>
      </c>
      <c r="I566" s="56">
        <f>IF(Tabela1610[[#This Row],[Real Disposable Income (RDI)]]="",#N/A,((Tabela1610[[#This Row],[Real Disposable Income (RDI)]]*1)/H565)-1)</f>
        <v>4.5239845960194369E-3</v>
      </c>
      <c r="J566" s="56">
        <f>IF(Tabela1610[[#This Row],[Real Disposable Income (RDI)]]="",#N/A,((Tabela1610[[#This Row],[Real Disposable Income (RDI)]]*1)/H554)-1)</f>
        <v>1.6495573435568955E-2</v>
      </c>
      <c r="K566" s="10">
        <v>319000</v>
      </c>
      <c r="L566" s="11">
        <v>17.8</v>
      </c>
      <c r="M566" s="10">
        <v>302</v>
      </c>
      <c r="N566" s="10">
        <f>IF(Tabela1610[[#This Row],[Payroll]]="",#N/A,AVERAGE(M564:M566))</f>
        <v>306.66666666666669</v>
      </c>
      <c r="O566" s="10"/>
      <c r="P566" s="7"/>
    </row>
    <row r="567" spans="1:16">
      <c r="A567" s="6">
        <v>34700</v>
      </c>
      <c r="B567" s="11">
        <v>5.6</v>
      </c>
      <c r="C567" s="11">
        <f>IF(Tabela1610[[#This Row],[Unemployment Rate]]="",#N/A,AVERAGE(B555:B567))</f>
        <v>6.0615384615384613</v>
      </c>
      <c r="D567" s="10">
        <v>7375</v>
      </c>
      <c r="E567" s="11">
        <v>66.8</v>
      </c>
      <c r="F567" s="11"/>
      <c r="G567" s="11"/>
      <c r="H567" s="55">
        <v>8086</v>
      </c>
      <c r="I567" s="56">
        <f>IF(Tabela1610[[#This Row],[Real Disposable Income (RDI)]]="",#N/A,((Tabela1610[[#This Row],[Real Disposable Income (RDI)]]*1)/H566)-1)</f>
        <v>3.2009131287065173E-3</v>
      </c>
      <c r="J567" s="56">
        <f>IF(Tabela1610[[#This Row],[Real Disposable Income (RDI)]]="",#N/A,((Tabela1610[[#This Row],[Real Disposable Income (RDI)]]*1)/H555)-1)</f>
        <v>3.9278186211505917E-2</v>
      </c>
      <c r="K567" s="10">
        <v>324000</v>
      </c>
      <c r="L567" s="11">
        <v>17.100000000000001</v>
      </c>
      <c r="M567" s="10">
        <v>330</v>
      </c>
      <c r="N567" s="10">
        <f>IF(Tabela1610[[#This Row],[Payroll]]="",#N/A,AVERAGE(M565:M567))</f>
        <v>349</v>
      </c>
      <c r="O567" s="10"/>
      <c r="P567" s="7"/>
    </row>
    <row r="568" spans="1:16">
      <c r="A568" s="6">
        <v>34731</v>
      </c>
      <c r="B568" s="11">
        <v>5.4</v>
      </c>
      <c r="C568" s="11">
        <f>IF(Tabela1610[[#This Row],[Unemployment Rate]]="",#N/A,AVERAGE(B556:B568))</f>
        <v>5.9692307692307685</v>
      </c>
      <c r="D568" s="10">
        <v>7187</v>
      </c>
      <c r="E568" s="11">
        <v>66.8</v>
      </c>
      <c r="F568" s="11"/>
      <c r="G568" s="11"/>
      <c r="H568" s="55">
        <v>8102</v>
      </c>
      <c r="I568" s="56">
        <f>IF(Tabela1610[[#This Row],[Real Disposable Income (RDI)]]="",#N/A,((Tabela1610[[#This Row],[Real Disposable Income (RDI)]]*1)/H567)-1)</f>
        <v>1.9787286668315751E-3</v>
      </c>
      <c r="J568" s="56">
        <f>IF(Tabela1610[[#This Row],[Real Disposable Income (RDI)]]="",#N/A,((Tabela1610[[#This Row],[Real Disposable Income (RDI)]]*1)/H556)-1)</f>
        <v>3.9384220654265611E-2</v>
      </c>
      <c r="K568" s="10">
        <v>336000</v>
      </c>
      <c r="L568" s="11">
        <v>17</v>
      </c>
      <c r="M568" s="10">
        <v>188</v>
      </c>
      <c r="N568" s="10">
        <f>IF(Tabela1610[[#This Row],[Payroll]]="",#N/A,AVERAGE(M566:M568))</f>
        <v>273.33333333333331</v>
      </c>
      <c r="O568" s="10"/>
      <c r="P568" s="7"/>
    </row>
    <row r="569" spans="1:16">
      <c r="A569" s="6">
        <v>34759</v>
      </c>
      <c r="B569" s="11">
        <v>5.4</v>
      </c>
      <c r="C569" s="11">
        <f>IF(Tabela1610[[#This Row],[Unemployment Rate]]="",#N/A,AVERAGE(B557:B569))</f>
        <v>5.8769230769230774</v>
      </c>
      <c r="D569" s="10">
        <v>7153</v>
      </c>
      <c r="E569" s="11">
        <v>66.7</v>
      </c>
      <c r="F569" s="11"/>
      <c r="G569" s="11"/>
      <c r="H569" s="55">
        <v>8124.2</v>
      </c>
      <c r="I569" s="56">
        <f>IF(Tabela1610[[#This Row],[Real Disposable Income (RDI)]]="",#N/A,((Tabela1610[[#This Row],[Real Disposable Income (RDI)]]*1)/H568)-1)</f>
        <v>2.7400641816834881E-3</v>
      </c>
      <c r="J569" s="56">
        <f>IF(Tabela1610[[#This Row],[Real Disposable Income (RDI)]]="",#N/A,((Tabela1610[[#This Row],[Real Disposable Income (RDI)]]*1)/H557)-1)</f>
        <v>3.8833834153826352E-2</v>
      </c>
      <c r="K569" s="10">
        <v>332000</v>
      </c>
      <c r="L569" s="11">
        <v>17.3</v>
      </c>
      <c r="M569" s="10">
        <v>215</v>
      </c>
      <c r="N569" s="10">
        <f>IF(Tabela1610[[#This Row],[Payroll]]="",#N/A,AVERAGE(M567:M569))</f>
        <v>244.33333333333334</v>
      </c>
      <c r="O569" s="10"/>
      <c r="P569" s="7"/>
    </row>
    <row r="570" spans="1:16">
      <c r="A570" s="6">
        <v>34790</v>
      </c>
      <c r="B570" s="11">
        <v>5.8</v>
      </c>
      <c r="C570" s="11">
        <f>IF(Tabela1610[[#This Row],[Unemployment Rate]]="",#N/A,AVERAGE(B558:B570))</f>
        <v>5.8230769230769237</v>
      </c>
      <c r="D570" s="10">
        <v>7645</v>
      </c>
      <c r="E570" s="11">
        <v>66.900000000000006</v>
      </c>
      <c r="F570" s="11"/>
      <c r="G570" s="11"/>
      <c r="H570" s="55">
        <v>8064</v>
      </c>
      <c r="I570" s="56">
        <f>IF(Tabela1610[[#This Row],[Real Disposable Income (RDI)]]="",#N/A,((Tabela1610[[#This Row],[Real Disposable Income (RDI)]]*1)/H569)-1)</f>
        <v>-7.4099603653282609E-3</v>
      </c>
      <c r="J570" s="56">
        <f>IF(Tabela1610[[#This Row],[Real Disposable Income (RDI)]]="",#N/A,((Tabela1610[[#This Row],[Real Disposable Income (RDI)]]*1)/H558)-1)</f>
        <v>3.1149301825993625E-2</v>
      </c>
      <c r="K570" s="10">
        <v>365000</v>
      </c>
      <c r="L570" s="11">
        <v>17.600000000000001</v>
      </c>
      <c r="M570" s="10">
        <v>158</v>
      </c>
      <c r="N570" s="10">
        <f>IF(Tabela1610[[#This Row],[Payroll]]="",#N/A,AVERAGE(M568:M570))</f>
        <v>187</v>
      </c>
      <c r="O570" s="10"/>
      <c r="P570" s="7"/>
    </row>
    <row r="571" spans="1:16">
      <c r="A571" s="6">
        <v>34820</v>
      </c>
      <c r="B571" s="11">
        <v>5.6</v>
      </c>
      <c r="C571" s="11">
        <f>IF(Tabela1610[[#This Row],[Unemployment Rate]]="",#N/A,AVERAGE(B559:B571))</f>
        <v>5.7615384615384606</v>
      </c>
      <c r="D571" s="10">
        <v>7430</v>
      </c>
      <c r="E571" s="11">
        <v>66.5</v>
      </c>
      <c r="F571" s="11"/>
      <c r="G571" s="11"/>
      <c r="H571" s="55">
        <v>8145.6</v>
      </c>
      <c r="I571" s="56">
        <f>IF(Tabela1610[[#This Row],[Real Disposable Income (RDI)]]="",#N/A,((Tabela1610[[#This Row],[Real Disposable Income (RDI)]]*1)/H570)-1)</f>
        <v>1.0119047619047583E-2</v>
      </c>
      <c r="J571" s="56">
        <f>IF(Tabela1610[[#This Row],[Real Disposable Income (RDI)]]="",#N/A,((Tabela1610[[#This Row],[Real Disposable Income (RDI)]]*1)/H559)-1)</f>
        <v>2.9706975450661144E-2</v>
      </c>
      <c r="K571" s="10">
        <v>374000</v>
      </c>
      <c r="L571" s="11">
        <v>17</v>
      </c>
      <c r="M571" s="10">
        <v>-15</v>
      </c>
      <c r="N571" s="10">
        <f>IF(Tabela1610[[#This Row],[Payroll]]="",#N/A,AVERAGE(M569:M571))</f>
        <v>119.33333333333333</v>
      </c>
      <c r="O571" s="10"/>
      <c r="P571" s="7"/>
    </row>
    <row r="572" spans="1:16">
      <c r="A572" s="6">
        <v>34851</v>
      </c>
      <c r="B572" s="11">
        <v>5.6</v>
      </c>
      <c r="C572" s="11">
        <f>IF(Tabela1610[[#This Row],[Unemployment Rate]]="",#N/A,AVERAGE(B560:B572))</f>
        <v>5.7230769230769223</v>
      </c>
      <c r="D572" s="10">
        <v>7427</v>
      </c>
      <c r="E572" s="11">
        <v>66.5</v>
      </c>
      <c r="F572" s="11"/>
      <c r="G572" s="11"/>
      <c r="H572" s="55">
        <v>8169.8</v>
      </c>
      <c r="I572" s="56">
        <f>IF(Tabela1610[[#This Row],[Real Disposable Income (RDI)]]="",#N/A,((Tabela1610[[#This Row],[Real Disposable Income (RDI)]]*1)/H571)-1)</f>
        <v>2.9709290905519659E-3</v>
      </c>
      <c r="J572" s="56">
        <f>IF(Tabela1610[[#This Row],[Real Disposable Income (RDI)]]="",#N/A,((Tabela1610[[#This Row],[Real Disposable Income (RDI)]]*1)/H560)-1)</f>
        <v>3.4400678644230798E-2</v>
      </c>
      <c r="K572" s="10">
        <v>358000</v>
      </c>
      <c r="L572" s="11">
        <v>15.9</v>
      </c>
      <c r="M572" s="10">
        <v>235</v>
      </c>
      <c r="N572" s="10">
        <f>IF(Tabela1610[[#This Row],[Payroll]]="",#N/A,AVERAGE(M570:M572))</f>
        <v>126</v>
      </c>
      <c r="O572" s="10"/>
      <c r="P572" s="7"/>
    </row>
    <row r="573" spans="1:16">
      <c r="A573" s="6">
        <v>34881</v>
      </c>
      <c r="B573" s="11">
        <v>5.7</v>
      </c>
      <c r="C573" s="11">
        <f>IF(Tabela1610[[#This Row],[Unemployment Rate]]="",#N/A,AVERAGE(B561:B573))</f>
        <v>5.6923076923076925</v>
      </c>
      <c r="D573" s="10">
        <v>7527</v>
      </c>
      <c r="E573" s="11">
        <v>66.599999999999994</v>
      </c>
      <c r="F573" s="11"/>
      <c r="G573" s="11"/>
      <c r="H573" s="55">
        <v>8187.8</v>
      </c>
      <c r="I573" s="56">
        <f>IF(Tabela1610[[#This Row],[Real Disposable Income (RDI)]]="",#N/A,((Tabela1610[[#This Row],[Real Disposable Income (RDI)]]*1)/H572)-1)</f>
        <v>2.2032363093342777E-3</v>
      </c>
      <c r="J573" s="56">
        <f>IF(Tabela1610[[#This Row],[Real Disposable Income (RDI)]]="",#N/A,((Tabela1610[[#This Row],[Real Disposable Income (RDI)]]*1)/H561)-1)</f>
        <v>3.5774826059456144E-2</v>
      </c>
      <c r="K573" s="10">
        <v>351000</v>
      </c>
      <c r="L573" s="11">
        <v>16.5</v>
      </c>
      <c r="M573" s="10">
        <v>92</v>
      </c>
      <c r="N573" s="10">
        <f>IF(Tabela1610[[#This Row],[Payroll]]="",#N/A,AVERAGE(M571:M573))</f>
        <v>104</v>
      </c>
      <c r="O573" s="10"/>
      <c r="P573" s="7"/>
    </row>
    <row r="574" spans="1:16">
      <c r="A574" s="6">
        <v>34912</v>
      </c>
      <c r="B574" s="11">
        <v>5.7</v>
      </c>
      <c r="C574" s="11">
        <f>IF(Tabela1610[[#This Row],[Unemployment Rate]]="",#N/A,AVERAGE(B562:B574))</f>
        <v>5.661538461538461</v>
      </c>
      <c r="D574" s="10">
        <v>7484</v>
      </c>
      <c r="E574" s="11">
        <v>66.599999999999994</v>
      </c>
      <c r="F574" s="11"/>
      <c r="G574" s="11"/>
      <c r="H574" s="55">
        <v>8193</v>
      </c>
      <c r="I574" s="56">
        <f>IF(Tabela1610[[#This Row],[Real Disposable Income (RDI)]]="",#N/A,((Tabela1610[[#This Row],[Real Disposable Income (RDI)]]*1)/H573)-1)</f>
        <v>6.3509123329819062E-4</v>
      </c>
      <c r="J574" s="56">
        <f>IF(Tabela1610[[#This Row],[Real Disposable Income (RDI)]]="",#N/A,((Tabela1610[[#This Row],[Real Disposable Income (RDI)]]*1)/H562)-1)</f>
        <v>3.5201657737794489E-2</v>
      </c>
      <c r="K574" s="10">
        <v>359000</v>
      </c>
      <c r="L574" s="11">
        <v>16.2</v>
      </c>
      <c r="M574" s="10">
        <v>262</v>
      </c>
      <c r="N574" s="10">
        <f>IF(Tabela1610[[#This Row],[Payroll]]="",#N/A,AVERAGE(M572:M574))</f>
        <v>196.33333333333334</v>
      </c>
      <c r="O574" s="10"/>
      <c r="P574" s="7"/>
    </row>
    <row r="575" spans="1:16">
      <c r="A575" s="6">
        <v>34943</v>
      </c>
      <c r="B575" s="11">
        <v>5.6</v>
      </c>
      <c r="C575" s="11">
        <f>IF(Tabela1610[[#This Row],[Unemployment Rate]]="",#N/A,AVERAGE(B563:B575))</f>
        <v>5.6307692307692303</v>
      </c>
      <c r="D575" s="10">
        <v>7478</v>
      </c>
      <c r="E575" s="11">
        <v>66.599999999999994</v>
      </c>
      <c r="F575" s="11"/>
      <c r="G575" s="11"/>
      <c r="H575" s="55">
        <v>8219.4</v>
      </c>
      <c r="I575" s="56">
        <f>IF(Tabela1610[[#This Row],[Real Disposable Income (RDI)]]="",#N/A,((Tabela1610[[#This Row],[Real Disposable Income (RDI)]]*1)/H574)-1)</f>
        <v>3.2222629073599407E-3</v>
      </c>
      <c r="J575" s="56">
        <f>IF(Tabela1610[[#This Row],[Real Disposable Income (RDI)]]="",#N/A,((Tabela1610[[#This Row],[Real Disposable Income (RDI)]]*1)/H563)-1)</f>
        <v>3.4016857466347972E-2</v>
      </c>
      <c r="K575" s="10">
        <v>355000</v>
      </c>
      <c r="L575" s="11">
        <v>16.2</v>
      </c>
      <c r="M575" s="10">
        <v>241</v>
      </c>
      <c r="N575" s="10">
        <f>IF(Tabela1610[[#This Row],[Payroll]]="",#N/A,AVERAGE(M573:M575))</f>
        <v>198.33333333333334</v>
      </c>
      <c r="O575" s="10"/>
      <c r="P575" s="7"/>
    </row>
    <row r="576" spans="1:16">
      <c r="A576" s="6">
        <v>34973</v>
      </c>
      <c r="B576" s="11">
        <v>5.5</v>
      </c>
      <c r="C576" s="11">
        <f>IF(Tabela1610[[#This Row],[Unemployment Rate]]="",#N/A,AVERAGE(B564:B576))</f>
        <v>5.6</v>
      </c>
      <c r="D576" s="10">
        <v>7328</v>
      </c>
      <c r="E576" s="11">
        <v>66.599999999999994</v>
      </c>
      <c r="F576" s="11"/>
      <c r="G576" s="11"/>
      <c r="H576" s="55">
        <v>8228.4</v>
      </c>
      <c r="I576" s="56">
        <f>IF(Tabela1610[[#This Row],[Real Disposable Income (RDI)]]="",#N/A,((Tabela1610[[#This Row],[Real Disposable Income (RDI)]]*1)/H575)-1)</f>
        <v>1.0949704357983148E-3</v>
      </c>
      <c r="J576" s="56">
        <f>IF(Tabela1610[[#This Row],[Real Disposable Income (RDI)]]="",#N/A,((Tabela1610[[#This Row],[Real Disposable Income (RDI)]]*1)/H564)-1)</f>
        <v>2.542246149244809E-2</v>
      </c>
      <c r="K576" s="10">
        <v>377000</v>
      </c>
      <c r="L576" s="11">
        <v>16</v>
      </c>
      <c r="M576" s="10">
        <v>149</v>
      </c>
      <c r="N576" s="10">
        <f>IF(Tabela1610[[#This Row],[Payroll]]="",#N/A,AVERAGE(M574:M576))</f>
        <v>217.33333333333334</v>
      </c>
      <c r="O576" s="10"/>
      <c r="P576" s="7"/>
    </row>
    <row r="577" spans="1:16">
      <c r="A577" s="6">
        <v>35004</v>
      </c>
      <c r="B577" s="11">
        <v>5.6</v>
      </c>
      <c r="C577" s="11">
        <f>IF(Tabela1610[[#This Row],[Unemployment Rate]]="",#N/A,AVERAGE(B565:B577))</f>
        <v>5.5846153846153843</v>
      </c>
      <c r="D577" s="10">
        <v>7426</v>
      </c>
      <c r="E577" s="11">
        <v>66.5</v>
      </c>
      <c r="F577" s="11"/>
      <c r="G577" s="11"/>
      <c r="H577" s="55">
        <v>8250.5</v>
      </c>
      <c r="I577" s="56">
        <f>IF(Tabela1610[[#This Row],[Real Disposable Income (RDI)]]="",#N/A,((Tabela1610[[#This Row],[Real Disposable Income (RDI)]]*1)/H576)-1)</f>
        <v>2.6858198434689395E-3</v>
      </c>
      <c r="J577" s="56">
        <f>IF(Tabela1610[[#This Row],[Real Disposable Income (RDI)]]="",#N/A,((Tabela1610[[#This Row],[Real Disposable Income (RDI)]]*1)/H565)-1)</f>
        <v>2.8240631114545334E-2</v>
      </c>
      <c r="K577" s="10">
        <v>379000</v>
      </c>
      <c r="L577" s="11">
        <v>16.399999999999999</v>
      </c>
      <c r="M577" s="10">
        <v>139</v>
      </c>
      <c r="N577" s="10">
        <f>IF(Tabela1610[[#This Row],[Payroll]]="",#N/A,AVERAGE(M575:M577))</f>
        <v>176.33333333333334</v>
      </c>
      <c r="O577" s="10"/>
      <c r="P577" s="7"/>
    </row>
    <row r="578" spans="1:16">
      <c r="A578" s="6">
        <v>35034</v>
      </c>
      <c r="B578" s="11">
        <v>5.6</v>
      </c>
      <c r="C578" s="11">
        <f>IF(Tabela1610[[#This Row],[Unemployment Rate]]="",#N/A,AVERAGE(B566:B578))</f>
        <v>5.5846153846153843</v>
      </c>
      <c r="D578" s="10">
        <v>7423</v>
      </c>
      <c r="E578" s="11">
        <v>66.400000000000006</v>
      </c>
      <c r="F578" s="11"/>
      <c r="G578" s="11"/>
      <c r="H578" s="55">
        <v>8261.2999999999993</v>
      </c>
      <c r="I578" s="56">
        <f>IF(Tabela1610[[#This Row],[Real Disposable Income (RDI)]]="",#N/A,((Tabela1610[[#This Row],[Real Disposable Income (RDI)]]*1)/H577)-1)</f>
        <v>1.3090115750560294E-3</v>
      </c>
      <c r="J578" s="56">
        <f>IF(Tabela1610[[#This Row],[Real Disposable Income (RDI)]]="",#N/A,((Tabela1610[[#This Row],[Real Disposable Income (RDI)]]*1)/H566)-1)</f>
        <v>2.4949753107863293E-2</v>
      </c>
      <c r="K578" s="10">
        <v>359000</v>
      </c>
      <c r="L578" s="11">
        <v>16.3</v>
      </c>
      <c r="M578" s="10">
        <v>157</v>
      </c>
      <c r="N578" s="10">
        <f>IF(Tabela1610[[#This Row],[Payroll]]="",#N/A,AVERAGE(M576:M578))</f>
        <v>148.33333333333334</v>
      </c>
      <c r="O578" s="10"/>
      <c r="P578" s="7"/>
    </row>
    <row r="579" spans="1:16">
      <c r="A579" s="6">
        <v>35065</v>
      </c>
      <c r="B579" s="11">
        <v>5.6</v>
      </c>
      <c r="C579" s="11">
        <f>IF(Tabela1610[[#This Row],[Unemployment Rate]]="",#N/A,AVERAGE(B567:B579))</f>
        <v>5.5923076923076929</v>
      </c>
      <c r="D579" s="10">
        <v>7491</v>
      </c>
      <c r="E579" s="11">
        <v>66.400000000000006</v>
      </c>
      <c r="F579" s="11"/>
      <c r="G579" s="11"/>
      <c r="H579" s="55">
        <v>8272.1</v>
      </c>
      <c r="I579" s="56">
        <f>IF(Tabela1610[[#This Row],[Real Disposable Income (RDI)]]="",#N/A,((Tabela1610[[#This Row],[Real Disposable Income (RDI)]]*1)/H578)-1)</f>
        <v>1.3073003038264197E-3</v>
      </c>
      <c r="J579" s="56">
        <f>IF(Tabela1610[[#This Row],[Real Disposable Income (RDI)]]="",#N/A,((Tabela1610[[#This Row],[Real Disposable Income (RDI)]]*1)/H567)-1)</f>
        <v>2.3015087806084633E-2</v>
      </c>
      <c r="K579" s="10">
        <v>387000</v>
      </c>
      <c r="L579" s="11">
        <v>16.100000000000001</v>
      </c>
      <c r="M579" s="10">
        <v>-7</v>
      </c>
      <c r="N579" s="10">
        <f>IF(Tabela1610[[#This Row],[Payroll]]="",#N/A,AVERAGE(M577:M579))</f>
        <v>96.333333333333329</v>
      </c>
      <c r="O579" s="10"/>
      <c r="P579" s="7"/>
    </row>
    <row r="580" spans="1:16">
      <c r="A580" s="6">
        <v>35096</v>
      </c>
      <c r="B580" s="11">
        <v>5.5</v>
      </c>
      <c r="C580" s="11">
        <f>IF(Tabela1610[[#This Row],[Unemployment Rate]]="",#N/A,AVERAGE(B568:B580))</f>
        <v>5.5846153846153852</v>
      </c>
      <c r="D580" s="10">
        <v>7313</v>
      </c>
      <c r="E580" s="11">
        <v>66.599999999999994</v>
      </c>
      <c r="F580" s="11"/>
      <c r="G580" s="11"/>
      <c r="H580" s="55">
        <v>8335.7999999999993</v>
      </c>
      <c r="I580" s="56">
        <f>IF(Tabela1610[[#This Row],[Real Disposable Income (RDI)]]="",#N/A,((Tabela1610[[#This Row],[Real Disposable Income (RDI)]]*1)/H579)-1)</f>
        <v>7.7005838904267154E-3</v>
      </c>
      <c r="J580" s="56">
        <f>IF(Tabela1610[[#This Row],[Real Disposable Income (RDI)]]="",#N/A,((Tabela1610[[#This Row],[Real Disposable Income (RDI)]]*1)/H568)-1)</f>
        <v>2.885707232782031E-2</v>
      </c>
      <c r="K580" s="10">
        <v>365000</v>
      </c>
      <c r="L580" s="11">
        <v>16.399999999999999</v>
      </c>
      <c r="M580" s="10">
        <v>416</v>
      </c>
      <c r="N580" s="10">
        <f>IF(Tabela1610[[#This Row],[Payroll]]="",#N/A,AVERAGE(M578:M580))</f>
        <v>188.66666666666666</v>
      </c>
      <c r="O580" s="10"/>
      <c r="P580" s="7"/>
    </row>
    <row r="581" spans="1:16">
      <c r="A581" s="6">
        <v>35125</v>
      </c>
      <c r="B581" s="11">
        <v>5.5</v>
      </c>
      <c r="C581" s="11">
        <f>IF(Tabela1610[[#This Row],[Unemployment Rate]]="",#N/A,AVERAGE(B569:B581))</f>
        <v>5.5923076923076929</v>
      </c>
      <c r="D581" s="10">
        <v>7318</v>
      </c>
      <c r="E581" s="11">
        <v>66.599999999999994</v>
      </c>
      <c r="F581" s="11"/>
      <c r="G581" s="11"/>
      <c r="H581" s="55">
        <v>8362.4</v>
      </c>
      <c r="I581" s="56">
        <f>IF(Tabela1610[[#This Row],[Real Disposable Income (RDI)]]="",#N/A,((Tabela1610[[#This Row],[Real Disposable Income (RDI)]]*1)/H580)-1)</f>
        <v>3.1910554475875763E-3</v>
      </c>
      <c r="J581" s="56">
        <f>IF(Tabela1610[[#This Row],[Real Disposable Income (RDI)]]="",#N/A,((Tabela1610[[#This Row],[Real Disposable Income (RDI)]]*1)/H569)-1)</f>
        <v>2.9319809950518083E-2</v>
      </c>
      <c r="K581" s="10">
        <v>393000</v>
      </c>
      <c r="L581" s="11">
        <v>17.3</v>
      </c>
      <c r="M581" s="10">
        <v>256</v>
      </c>
      <c r="N581" s="10">
        <f>IF(Tabela1610[[#This Row],[Payroll]]="",#N/A,AVERAGE(M579:M581))</f>
        <v>221.66666666666666</v>
      </c>
      <c r="O581" s="10"/>
      <c r="P581" s="7"/>
    </row>
    <row r="582" spans="1:16">
      <c r="A582" s="6">
        <v>35156</v>
      </c>
      <c r="B582" s="11">
        <v>5.6</v>
      </c>
      <c r="C582" s="11">
        <f>IF(Tabela1610[[#This Row],[Unemployment Rate]]="",#N/A,AVERAGE(B570:B582))</f>
        <v>5.6076923076923082</v>
      </c>
      <c r="D582" s="10">
        <v>7415</v>
      </c>
      <c r="E582" s="11">
        <v>66.7</v>
      </c>
      <c r="F582" s="11"/>
      <c r="G582" s="11"/>
      <c r="H582" s="55">
        <v>8311.7999999999993</v>
      </c>
      <c r="I582" s="56">
        <f>IF(Tabela1610[[#This Row],[Real Disposable Income (RDI)]]="",#N/A,((Tabela1610[[#This Row],[Real Disposable Income (RDI)]]*1)/H581)-1)</f>
        <v>-6.0508944800535813E-3</v>
      </c>
      <c r="J582" s="56">
        <f>IF(Tabela1610[[#This Row],[Real Disposable Income (RDI)]]="",#N/A,((Tabela1610[[#This Row],[Real Disposable Income (RDI)]]*1)/H570)-1)</f>
        <v>3.0729166666666474E-2</v>
      </c>
      <c r="K582" s="10">
        <v>343000</v>
      </c>
      <c r="L582" s="11">
        <v>17.600000000000001</v>
      </c>
      <c r="M582" s="10">
        <v>166</v>
      </c>
      <c r="N582" s="10">
        <f>IF(Tabela1610[[#This Row],[Payroll]]="",#N/A,AVERAGE(M580:M582))</f>
        <v>279.33333333333331</v>
      </c>
      <c r="O582" s="10"/>
      <c r="P582" s="7"/>
    </row>
    <row r="583" spans="1:16">
      <c r="A583" s="6">
        <v>35186</v>
      </c>
      <c r="B583" s="11">
        <v>5.6</v>
      </c>
      <c r="C583" s="11">
        <f>IF(Tabela1610[[#This Row],[Unemployment Rate]]="",#N/A,AVERAGE(B571:B583))</f>
        <v>5.5923076923076911</v>
      </c>
      <c r="D583" s="10">
        <v>7423</v>
      </c>
      <c r="E583" s="11">
        <v>66.7</v>
      </c>
      <c r="F583" s="11"/>
      <c r="G583" s="11"/>
      <c r="H583" s="55">
        <v>8416.7999999999993</v>
      </c>
      <c r="I583" s="56">
        <f>IF(Tabela1610[[#This Row],[Real Disposable Income (RDI)]]="",#N/A,((Tabela1610[[#This Row],[Real Disposable Income (RDI)]]*1)/H582)-1)</f>
        <v>1.2632642748862999E-2</v>
      </c>
      <c r="J583" s="56">
        <f>IF(Tabela1610[[#This Row],[Real Disposable Income (RDI)]]="",#N/A,((Tabela1610[[#This Row],[Real Disposable Income (RDI)]]*1)/H571)-1)</f>
        <v>3.3294048320565484E-2</v>
      </c>
      <c r="K583" s="10">
        <v>343000</v>
      </c>
      <c r="L583" s="11">
        <v>17</v>
      </c>
      <c r="M583" s="10">
        <v>333</v>
      </c>
      <c r="N583" s="10">
        <f>IF(Tabela1610[[#This Row],[Payroll]]="",#N/A,AVERAGE(M581:M583))</f>
        <v>251.66666666666666</v>
      </c>
      <c r="O583" s="10"/>
      <c r="P583" s="7"/>
    </row>
    <row r="584" spans="1:16">
      <c r="A584" s="6">
        <v>35217</v>
      </c>
      <c r="B584" s="11">
        <v>5.3</v>
      </c>
      <c r="C584" s="11">
        <f>IF(Tabela1610[[#This Row],[Unemployment Rate]]="",#N/A,AVERAGE(B572:B584))</f>
        <v>5.5692307692307699</v>
      </c>
      <c r="D584" s="10">
        <v>7095</v>
      </c>
      <c r="E584" s="11">
        <v>66.7</v>
      </c>
      <c r="F584" s="11"/>
      <c r="G584" s="11"/>
      <c r="H584" s="55">
        <v>8467.1</v>
      </c>
      <c r="I584" s="56">
        <f>IF(Tabela1610[[#This Row],[Real Disposable Income (RDI)]]="",#N/A,((Tabela1610[[#This Row],[Real Disposable Income (RDI)]]*1)/H583)-1)</f>
        <v>5.9761429521909548E-3</v>
      </c>
      <c r="J584" s="56">
        <f>IF(Tabela1610[[#This Row],[Real Disposable Income (RDI)]]="",#N/A,((Tabela1610[[#This Row],[Real Disposable Income (RDI)]]*1)/H572)-1)</f>
        <v>3.6390119709172719E-2</v>
      </c>
      <c r="K584" s="10">
        <v>337000</v>
      </c>
      <c r="L584" s="11">
        <v>17.600000000000001</v>
      </c>
      <c r="M584" s="10">
        <v>281</v>
      </c>
      <c r="N584" s="10">
        <f>IF(Tabela1610[[#This Row],[Payroll]]="",#N/A,AVERAGE(M582:M584))</f>
        <v>260</v>
      </c>
      <c r="O584" s="10"/>
      <c r="P584" s="7"/>
    </row>
    <row r="585" spans="1:16">
      <c r="A585" s="6">
        <v>35247</v>
      </c>
      <c r="B585" s="11">
        <v>5.5</v>
      </c>
      <c r="C585" s="11">
        <f>IF(Tabela1610[[#This Row],[Unemployment Rate]]="",#N/A,AVERAGE(B573:B585))</f>
        <v>5.5615384615384622</v>
      </c>
      <c r="D585" s="10">
        <v>7337</v>
      </c>
      <c r="E585" s="11">
        <v>66.900000000000006</v>
      </c>
      <c r="F585" s="11"/>
      <c r="G585" s="11"/>
      <c r="H585" s="55">
        <v>8444</v>
      </c>
      <c r="I585" s="56">
        <f>IF(Tabela1610[[#This Row],[Real Disposable Income (RDI)]]="",#N/A,((Tabela1610[[#This Row],[Real Disposable Income (RDI)]]*1)/H584)-1)</f>
        <v>-2.7282068240602753E-3</v>
      </c>
      <c r="J585" s="56">
        <f>IF(Tabela1610[[#This Row],[Real Disposable Income (RDI)]]="",#N/A,((Tabela1610[[#This Row],[Real Disposable Income (RDI)]]*1)/H573)-1)</f>
        <v>3.1290456532890421E-2</v>
      </c>
      <c r="K585" s="10">
        <v>327000</v>
      </c>
      <c r="L585" s="11">
        <v>16.7</v>
      </c>
      <c r="M585" s="10">
        <v>245</v>
      </c>
      <c r="N585" s="10">
        <f>IF(Tabela1610[[#This Row],[Payroll]]="",#N/A,AVERAGE(M583:M585))</f>
        <v>286.33333333333331</v>
      </c>
      <c r="O585" s="10"/>
      <c r="P585" s="7"/>
    </row>
    <row r="586" spans="1:16">
      <c r="A586" s="6">
        <v>35278</v>
      </c>
      <c r="B586" s="11">
        <v>5.0999999999999996</v>
      </c>
      <c r="C586" s="11">
        <f>IF(Tabela1610[[#This Row],[Unemployment Rate]]="",#N/A,AVERAGE(B574:B586))</f>
        <v>5.5153846153846144</v>
      </c>
      <c r="D586" s="10">
        <v>6882</v>
      </c>
      <c r="E586" s="11">
        <v>66.7</v>
      </c>
      <c r="F586" s="11"/>
      <c r="G586" s="11"/>
      <c r="H586" s="55">
        <v>8464.7000000000007</v>
      </c>
      <c r="I586" s="56">
        <f>IF(Tabela1610[[#This Row],[Real Disposable Income (RDI)]]="",#N/A,((Tabela1610[[#This Row],[Real Disposable Income (RDI)]]*1)/H585)-1)</f>
        <v>2.4514448128849509E-3</v>
      </c>
      <c r="J586" s="56">
        <f>IF(Tabela1610[[#This Row],[Real Disposable Income (RDI)]]="",#N/A,((Tabela1610[[#This Row],[Real Disposable Income (RDI)]]*1)/H574)-1)</f>
        <v>3.3162455754912834E-2</v>
      </c>
      <c r="K586" s="10">
        <v>329000</v>
      </c>
      <c r="L586" s="11">
        <v>17.3</v>
      </c>
      <c r="M586" s="10">
        <v>186</v>
      </c>
      <c r="N586" s="10">
        <f>IF(Tabela1610[[#This Row],[Payroll]]="",#N/A,AVERAGE(M584:M586))</f>
        <v>237.33333333333334</v>
      </c>
      <c r="O586" s="10"/>
      <c r="P586" s="7"/>
    </row>
    <row r="587" spans="1:16">
      <c r="A587" s="6">
        <v>35309</v>
      </c>
      <c r="B587" s="11">
        <v>5.2</v>
      </c>
      <c r="C587" s="11">
        <f>IF(Tabela1610[[#This Row],[Unemployment Rate]]="",#N/A,AVERAGE(B575:B587))</f>
        <v>5.476923076923077</v>
      </c>
      <c r="D587" s="10">
        <v>6979</v>
      </c>
      <c r="E587" s="11">
        <v>66.900000000000006</v>
      </c>
      <c r="F587" s="11"/>
      <c r="G587" s="11"/>
      <c r="H587" s="55">
        <v>8483.9</v>
      </c>
      <c r="I587" s="56">
        <f>IF(Tabela1610[[#This Row],[Real Disposable Income (RDI)]]="",#N/A,((Tabela1610[[#This Row],[Real Disposable Income (RDI)]]*1)/H586)-1)</f>
        <v>2.2682434108709515E-3</v>
      </c>
      <c r="J587" s="56">
        <f>IF(Tabela1610[[#This Row],[Real Disposable Income (RDI)]]="",#N/A,((Tabela1610[[#This Row],[Real Disposable Income (RDI)]]*1)/H575)-1)</f>
        <v>3.2179964474292611E-2</v>
      </c>
      <c r="K587" s="10">
        <v>348000</v>
      </c>
      <c r="L587" s="11">
        <v>16.8</v>
      </c>
      <c r="M587" s="10">
        <v>201</v>
      </c>
      <c r="N587" s="10">
        <f>IF(Tabela1610[[#This Row],[Payroll]]="",#N/A,AVERAGE(M585:M587))</f>
        <v>210.66666666666666</v>
      </c>
      <c r="O587" s="10"/>
      <c r="P587" s="7"/>
    </row>
    <row r="588" spans="1:16">
      <c r="A588" s="6">
        <v>35339</v>
      </c>
      <c r="B588" s="11">
        <v>5.2</v>
      </c>
      <c r="C588" s="11">
        <f>IF(Tabela1610[[#This Row],[Unemployment Rate]]="",#N/A,AVERAGE(B576:B588))</f>
        <v>5.4461538461538463</v>
      </c>
      <c r="D588" s="10">
        <v>7031</v>
      </c>
      <c r="E588" s="11">
        <v>67</v>
      </c>
      <c r="F588" s="11"/>
      <c r="G588" s="11"/>
      <c r="H588" s="55">
        <v>8482.7000000000007</v>
      </c>
      <c r="I588" s="56">
        <f>IF(Tabela1610[[#This Row],[Real Disposable Income (RDI)]]="",#N/A,((Tabela1610[[#This Row],[Real Disposable Income (RDI)]]*1)/H587)-1)</f>
        <v>-1.4144438288976602E-4</v>
      </c>
      <c r="J588" s="56">
        <f>IF(Tabela1610[[#This Row],[Real Disposable Income (RDI)]]="",#N/A,((Tabela1610[[#This Row],[Real Disposable Income (RDI)]]*1)/H576)-1)</f>
        <v>3.0905157746342171E-2</v>
      </c>
      <c r="K588" s="10">
        <v>352000</v>
      </c>
      <c r="L588" s="11">
        <v>16.3</v>
      </c>
      <c r="M588" s="10">
        <v>261</v>
      </c>
      <c r="N588" s="10">
        <f>IF(Tabela1610[[#This Row],[Payroll]]="",#N/A,AVERAGE(M586:M588))</f>
        <v>216</v>
      </c>
      <c r="O588" s="10"/>
      <c r="P588" s="7"/>
    </row>
    <row r="589" spans="1:16">
      <c r="A589" s="6">
        <v>35370</v>
      </c>
      <c r="B589" s="11">
        <v>5.4</v>
      </c>
      <c r="C589" s="11">
        <f>IF(Tabela1610[[#This Row],[Unemployment Rate]]="",#N/A,AVERAGE(B577:B589))</f>
        <v>5.4384615384615387</v>
      </c>
      <c r="D589" s="10">
        <v>7236</v>
      </c>
      <c r="E589" s="11">
        <v>67</v>
      </c>
      <c r="F589" s="11"/>
      <c r="G589" s="11"/>
      <c r="H589" s="55">
        <v>8505.1</v>
      </c>
      <c r="I589" s="56">
        <f>IF(Tabela1610[[#This Row],[Real Disposable Income (RDI)]]="",#N/A,((Tabela1610[[#This Row],[Real Disposable Income (RDI)]]*1)/H588)-1)</f>
        <v>2.6406686550273228E-3</v>
      </c>
      <c r="J589" s="56">
        <f>IF(Tabela1610[[#This Row],[Real Disposable Income (RDI)]]="",#N/A,((Tabela1610[[#This Row],[Real Disposable Income (RDI)]]*1)/H577)-1)</f>
        <v>3.0858735834191853E-2</v>
      </c>
      <c r="K589" s="10">
        <v>332000</v>
      </c>
      <c r="L589" s="11">
        <v>15.9</v>
      </c>
      <c r="M589" s="10">
        <v>286</v>
      </c>
      <c r="N589" s="10">
        <f>IF(Tabela1610[[#This Row],[Payroll]]="",#N/A,AVERAGE(M587:M589))</f>
        <v>249.33333333333334</v>
      </c>
      <c r="O589" s="10"/>
      <c r="P589" s="7"/>
    </row>
    <row r="590" spans="1:16">
      <c r="A590" s="6">
        <v>35400</v>
      </c>
      <c r="B590" s="11">
        <v>5.4</v>
      </c>
      <c r="C590" s="11">
        <f>IF(Tabela1610[[#This Row],[Unemployment Rate]]="",#N/A,AVERAGE(B578:B590))</f>
        <v>5.4230769230769242</v>
      </c>
      <c r="D590" s="10">
        <v>7253</v>
      </c>
      <c r="E590" s="11">
        <v>67</v>
      </c>
      <c r="F590" s="11"/>
      <c r="G590" s="11"/>
      <c r="H590" s="55">
        <v>8533.1</v>
      </c>
      <c r="I590" s="56">
        <f>IF(Tabela1610[[#This Row],[Real Disposable Income (RDI)]]="",#N/A,((Tabela1610[[#This Row],[Real Disposable Income (RDI)]]*1)/H589)-1)</f>
        <v>3.292142361641881E-3</v>
      </c>
      <c r="J590" s="56">
        <f>IF(Tabela1610[[#This Row],[Real Disposable Income (RDI)]]="",#N/A,((Tabela1610[[#This Row],[Real Disposable Income (RDI)]]*1)/H578)-1)</f>
        <v>3.2900390979627936E-2</v>
      </c>
      <c r="K590" s="10">
        <v>357000</v>
      </c>
      <c r="L590" s="11">
        <v>15.6</v>
      </c>
      <c r="M590" s="10">
        <v>196</v>
      </c>
      <c r="N590" s="10">
        <f>IF(Tabela1610[[#This Row],[Payroll]]="",#N/A,AVERAGE(M588:M590))</f>
        <v>247.66666666666666</v>
      </c>
      <c r="O590" s="10"/>
      <c r="P590" s="7"/>
    </row>
    <row r="591" spans="1:16">
      <c r="A591" s="6">
        <v>35431</v>
      </c>
      <c r="B591" s="11">
        <v>5.3</v>
      </c>
      <c r="C591" s="11">
        <f>IF(Tabela1610[[#This Row],[Unemployment Rate]]="",#N/A,AVERAGE(B579:B591))</f>
        <v>5.4</v>
      </c>
      <c r="D591" s="10">
        <v>7158</v>
      </c>
      <c r="E591" s="11">
        <v>67</v>
      </c>
      <c r="F591" s="11"/>
      <c r="G591" s="11"/>
      <c r="H591" s="55">
        <v>8556.4</v>
      </c>
      <c r="I591" s="56">
        <f>IF(Tabela1610[[#This Row],[Real Disposable Income (RDI)]]="",#N/A,((Tabela1610[[#This Row],[Real Disposable Income (RDI)]]*1)/H590)-1)</f>
        <v>2.7305434132964823E-3</v>
      </c>
      <c r="J591" s="56">
        <f>IF(Tabela1610[[#This Row],[Real Disposable Income (RDI)]]="",#N/A,((Tabela1610[[#This Row],[Real Disposable Income (RDI)]]*1)/H579)-1)</f>
        <v>3.4368540032156281E-2</v>
      </c>
      <c r="K591" s="10">
        <v>340000</v>
      </c>
      <c r="L591" s="11">
        <v>16</v>
      </c>
      <c r="M591" s="10">
        <v>218</v>
      </c>
      <c r="N591" s="10">
        <f>IF(Tabela1610[[#This Row],[Payroll]]="",#N/A,AVERAGE(M589:M591))</f>
        <v>233.33333333333334</v>
      </c>
      <c r="O591" s="10"/>
      <c r="P591" s="7"/>
    </row>
    <row r="592" spans="1:16">
      <c r="A592" s="6">
        <v>35462</v>
      </c>
      <c r="B592" s="11">
        <v>5.2</v>
      </c>
      <c r="C592" s="11">
        <f>IF(Tabela1610[[#This Row],[Unemployment Rate]]="",#N/A,AVERAGE(B580:B592))</f>
        <v>5.3692307692307697</v>
      </c>
      <c r="D592" s="10">
        <v>7102</v>
      </c>
      <c r="E592" s="11">
        <v>66.900000000000006</v>
      </c>
      <c r="F592" s="11"/>
      <c r="G592" s="11"/>
      <c r="H592" s="55">
        <v>8579.2000000000007</v>
      </c>
      <c r="I592" s="56">
        <f>IF(Tabela1610[[#This Row],[Real Disposable Income (RDI)]]="",#N/A,((Tabela1610[[#This Row],[Real Disposable Income (RDI)]]*1)/H591)-1)</f>
        <v>2.6646720583425321E-3</v>
      </c>
      <c r="J592" s="56">
        <f>IF(Tabela1610[[#This Row],[Real Disposable Income (RDI)]]="",#N/A,((Tabela1610[[#This Row],[Real Disposable Income (RDI)]]*1)/H580)-1)</f>
        <v>2.9199356990331049E-2</v>
      </c>
      <c r="K592" s="10">
        <v>322000</v>
      </c>
      <c r="L592" s="11">
        <v>15.8</v>
      </c>
      <c r="M592" s="10">
        <v>312</v>
      </c>
      <c r="N592" s="10">
        <f>IF(Tabela1610[[#This Row],[Payroll]]="",#N/A,AVERAGE(M590:M592))</f>
        <v>242</v>
      </c>
      <c r="O592" s="10"/>
      <c r="P592" s="7"/>
    </row>
    <row r="593" spans="1:16">
      <c r="A593" s="6">
        <v>35490</v>
      </c>
      <c r="B593" s="11">
        <v>5.2</v>
      </c>
      <c r="C593" s="11">
        <f>IF(Tabela1610[[#This Row],[Unemployment Rate]]="",#N/A,AVERAGE(B581:B593))</f>
        <v>5.3461538461538458</v>
      </c>
      <c r="D593" s="10">
        <v>7000</v>
      </c>
      <c r="E593" s="11">
        <v>67.099999999999994</v>
      </c>
      <c r="F593" s="11"/>
      <c r="G593" s="11">
        <v>4.5</v>
      </c>
      <c r="H593" s="55">
        <v>8619</v>
      </c>
      <c r="I593" s="56">
        <f>IF(Tabela1610[[#This Row],[Real Disposable Income (RDI)]]="",#N/A,((Tabela1610[[#This Row],[Real Disposable Income (RDI)]]*1)/H592)-1)</f>
        <v>4.6391271913464038E-3</v>
      </c>
      <c r="J593" s="56">
        <f>IF(Tabela1610[[#This Row],[Real Disposable Income (RDI)]]="",#N/A,((Tabela1610[[#This Row],[Real Disposable Income (RDI)]]*1)/H581)-1)</f>
        <v>3.0684970821773794E-2</v>
      </c>
      <c r="K593" s="10">
        <v>325000</v>
      </c>
      <c r="L593" s="11">
        <v>15.5</v>
      </c>
      <c r="M593" s="10">
        <v>314</v>
      </c>
      <c r="N593" s="10">
        <f>IF(Tabela1610[[#This Row],[Payroll]]="",#N/A,AVERAGE(M591:M593))</f>
        <v>281.33333333333331</v>
      </c>
      <c r="O593" s="10"/>
      <c r="P593" s="7"/>
    </row>
    <row r="594" spans="1:16">
      <c r="A594" s="6">
        <v>35521</v>
      </c>
      <c r="B594" s="11">
        <v>5.0999999999999996</v>
      </c>
      <c r="C594" s="11">
        <f>IF(Tabela1610[[#This Row],[Unemployment Rate]]="",#N/A,AVERAGE(B582:B594))</f>
        <v>5.3153846153846152</v>
      </c>
      <c r="D594" s="10">
        <v>6873</v>
      </c>
      <c r="E594" s="11">
        <v>67.099999999999994</v>
      </c>
      <c r="F594" s="11"/>
      <c r="G594" s="11">
        <v>4.5999999999999996</v>
      </c>
      <c r="H594" s="55">
        <v>8624.5</v>
      </c>
      <c r="I594" s="56">
        <f>IF(Tabela1610[[#This Row],[Real Disposable Income (RDI)]]="",#N/A,((Tabela1610[[#This Row],[Real Disposable Income (RDI)]]*1)/H593)-1)</f>
        <v>6.3812507251426176E-4</v>
      </c>
      <c r="J594" s="56">
        <f>IF(Tabela1610[[#This Row],[Real Disposable Income (RDI)]]="",#N/A,((Tabela1610[[#This Row],[Real Disposable Income (RDI)]]*1)/H582)-1)</f>
        <v>3.7621213214947602E-2</v>
      </c>
      <c r="K594" s="10">
        <v>337000</v>
      </c>
      <c r="L594" s="11">
        <v>15.6</v>
      </c>
      <c r="M594" s="10">
        <v>295</v>
      </c>
      <c r="N594" s="10">
        <f>IF(Tabela1610[[#This Row],[Payroll]]="",#N/A,AVERAGE(M592:M594))</f>
        <v>307</v>
      </c>
      <c r="O594" s="10"/>
      <c r="P594" s="7"/>
    </row>
    <row r="595" spans="1:16">
      <c r="A595" s="6">
        <v>35551</v>
      </c>
      <c r="B595" s="11">
        <v>4.9000000000000004</v>
      </c>
      <c r="C595" s="11">
        <f>IF(Tabela1610[[#This Row],[Unemployment Rate]]="",#N/A,AVERAGE(B583:B595))</f>
        <v>5.2615384615384624</v>
      </c>
      <c r="D595" s="10">
        <v>6655</v>
      </c>
      <c r="E595" s="11">
        <v>67.099999999999994</v>
      </c>
      <c r="F595" s="11"/>
      <c r="G595" s="11">
        <v>4.5</v>
      </c>
      <c r="H595" s="55">
        <v>8661.9</v>
      </c>
      <c r="I595" s="56">
        <f>IF(Tabela1610[[#This Row],[Real Disposable Income (RDI)]]="",#N/A,((Tabela1610[[#This Row],[Real Disposable Income (RDI)]]*1)/H594)-1)</f>
        <v>4.3364832743926218E-3</v>
      </c>
      <c r="J595" s="56">
        <f>IF(Tabela1610[[#This Row],[Real Disposable Income (RDI)]]="",#N/A,((Tabela1610[[#This Row],[Real Disposable Income (RDI)]]*1)/H583)-1)</f>
        <v>2.912033076703735E-2</v>
      </c>
      <c r="K595" s="10">
        <v>321000</v>
      </c>
      <c r="L595" s="11">
        <v>15.4</v>
      </c>
      <c r="M595" s="10">
        <v>267</v>
      </c>
      <c r="N595" s="10">
        <f>IF(Tabela1610[[#This Row],[Payroll]]="",#N/A,AVERAGE(M593:M595))</f>
        <v>292</v>
      </c>
      <c r="O595" s="10"/>
      <c r="P595" s="7"/>
    </row>
    <row r="596" spans="1:16">
      <c r="A596" s="6">
        <v>35582</v>
      </c>
      <c r="B596" s="11">
        <v>5</v>
      </c>
      <c r="C596" s="11">
        <f>IF(Tabela1610[[#This Row],[Unemployment Rate]]="",#N/A,AVERAGE(B584:B596))</f>
        <v>5.2153846153846164</v>
      </c>
      <c r="D596" s="10">
        <v>6799</v>
      </c>
      <c r="E596" s="11">
        <v>67.099999999999994</v>
      </c>
      <c r="F596" s="11"/>
      <c r="G596" s="11">
        <v>4.5999999999999996</v>
      </c>
      <c r="H596" s="55">
        <v>8689.7000000000007</v>
      </c>
      <c r="I596" s="56">
        <f>IF(Tabela1610[[#This Row],[Real Disposable Income (RDI)]]="",#N/A,((Tabela1610[[#This Row],[Real Disposable Income (RDI)]]*1)/H595)-1)</f>
        <v>3.2094575093226663E-3</v>
      </c>
      <c r="J596" s="56">
        <f>IF(Tabela1610[[#This Row],[Real Disposable Income (RDI)]]="",#N/A,((Tabela1610[[#This Row],[Real Disposable Income (RDI)]]*1)/H584)-1)</f>
        <v>2.6289993031852754E-2</v>
      </c>
      <c r="K596" s="10">
        <v>322000</v>
      </c>
      <c r="L596" s="11">
        <v>15.5</v>
      </c>
      <c r="M596" s="10">
        <v>265</v>
      </c>
      <c r="N596" s="10">
        <f>IF(Tabela1610[[#This Row],[Payroll]]="",#N/A,AVERAGE(M594:M596))</f>
        <v>275.66666666666669</v>
      </c>
      <c r="O596" s="10"/>
      <c r="P596" s="7"/>
    </row>
    <row r="597" spans="1:16">
      <c r="A597" s="6">
        <v>35612</v>
      </c>
      <c r="B597" s="11">
        <v>4.9000000000000004</v>
      </c>
      <c r="C597" s="11">
        <f>IF(Tabela1610[[#This Row],[Unemployment Rate]]="",#N/A,AVERAGE(B585:B597))</f>
        <v>5.1846153846153848</v>
      </c>
      <c r="D597" s="10">
        <v>6655</v>
      </c>
      <c r="E597" s="11">
        <v>67.2</v>
      </c>
      <c r="F597" s="11"/>
      <c r="G597" s="11">
        <v>4.8</v>
      </c>
      <c r="H597" s="55">
        <v>8723.1</v>
      </c>
      <c r="I597" s="56">
        <f>IF(Tabela1610[[#This Row],[Real Disposable Income (RDI)]]="",#N/A,((Tabela1610[[#This Row],[Real Disposable Income (RDI)]]*1)/H596)-1)</f>
        <v>3.8436309653957501E-3</v>
      </c>
      <c r="J597" s="56">
        <f>IF(Tabela1610[[#This Row],[Real Disposable Income (RDI)]]="",#N/A,((Tabela1610[[#This Row],[Real Disposable Income (RDI)]]*1)/H585)-1)</f>
        <v>3.3053055423969635E-2</v>
      </c>
      <c r="K597" s="10">
        <v>306000</v>
      </c>
      <c r="L597" s="11">
        <v>16.399999999999999</v>
      </c>
      <c r="M597" s="10">
        <v>296</v>
      </c>
      <c r="N597" s="10">
        <f>IF(Tabela1610[[#This Row],[Payroll]]="",#N/A,AVERAGE(M595:M597))</f>
        <v>276</v>
      </c>
      <c r="O597" s="10"/>
      <c r="P597" s="7"/>
    </row>
    <row r="598" spans="1:16">
      <c r="A598" s="6">
        <v>35643</v>
      </c>
      <c r="B598" s="11">
        <v>4.8</v>
      </c>
      <c r="C598" s="11">
        <f>IF(Tabela1610[[#This Row],[Unemployment Rate]]="",#N/A,AVERAGE(B586:B598))</f>
        <v>5.1307692307692312</v>
      </c>
      <c r="D598" s="10">
        <v>6608</v>
      </c>
      <c r="E598" s="11">
        <v>67.2</v>
      </c>
      <c r="F598" s="11"/>
      <c r="G598" s="11">
        <v>4.9000000000000004</v>
      </c>
      <c r="H598" s="55">
        <v>8768.6</v>
      </c>
      <c r="I598" s="56">
        <f>IF(Tabela1610[[#This Row],[Real Disposable Income (RDI)]]="",#N/A,((Tabela1610[[#This Row],[Real Disposable Income (RDI)]]*1)/H597)-1)</f>
        <v>5.216035583680112E-3</v>
      </c>
      <c r="J598" s="56">
        <f>IF(Tabela1610[[#This Row],[Real Disposable Income (RDI)]]="",#N/A,((Tabela1610[[#This Row],[Real Disposable Income (RDI)]]*1)/H586)-1)</f>
        <v>3.5902040237693056E-2</v>
      </c>
      <c r="K598" s="10">
        <v>332000</v>
      </c>
      <c r="L598" s="11">
        <v>16</v>
      </c>
      <c r="M598" s="10">
        <v>-20</v>
      </c>
      <c r="N598" s="10">
        <f>IF(Tabela1610[[#This Row],[Payroll]]="",#N/A,AVERAGE(M596:M598))</f>
        <v>180.33333333333334</v>
      </c>
      <c r="O598" s="10"/>
      <c r="P598" s="7"/>
    </row>
    <row r="599" spans="1:16">
      <c r="A599" s="6">
        <v>35674</v>
      </c>
      <c r="B599" s="11">
        <v>4.9000000000000004</v>
      </c>
      <c r="C599" s="11">
        <f>IF(Tabela1610[[#This Row],[Unemployment Rate]]="",#N/A,AVERAGE(B587:B599))</f>
        <v>5.115384615384615</v>
      </c>
      <c r="D599" s="10">
        <v>6656</v>
      </c>
      <c r="E599" s="11">
        <v>67.099999999999994</v>
      </c>
      <c r="F599" s="11"/>
      <c r="G599" s="11">
        <v>4.8</v>
      </c>
      <c r="H599" s="55">
        <v>8791.5</v>
      </c>
      <c r="I599" s="56">
        <f>IF(Tabela1610[[#This Row],[Real Disposable Income (RDI)]]="",#N/A,((Tabela1610[[#This Row],[Real Disposable Income (RDI)]]*1)/H598)-1)</f>
        <v>2.6115913600801566E-3</v>
      </c>
      <c r="J599" s="56">
        <f>IF(Tabela1610[[#This Row],[Real Disposable Income (RDI)]]="",#N/A,((Tabela1610[[#This Row],[Real Disposable Income (RDI)]]*1)/H587)-1)</f>
        <v>3.6256910147455912E-2</v>
      </c>
      <c r="K599" s="10">
        <v>317000</v>
      </c>
      <c r="L599" s="11">
        <v>15.9</v>
      </c>
      <c r="M599" s="10">
        <v>485</v>
      </c>
      <c r="N599" s="10">
        <f>IF(Tabela1610[[#This Row],[Payroll]]="",#N/A,AVERAGE(M597:M599))</f>
        <v>253.66666666666666</v>
      </c>
      <c r="O599" s="10"/>
      <c r="P599" s="7"/>
    </row>
    <row r="600" spans="1:16">
      <c r="A600" s="6">
        <v>35704</v>
      </c>
      <c r="B600" s="11">
        <v>4.7</v>
      </c>
      <c r="C600" s="11">
        <f>IF(Tabela1610[[#This Row],[Unemployment Rate]]="",#N/A,AVERAGE(B588:B600))</f>
        <v>5.0769230769230758</v>
      </c>
      <c r="D600" s="10">
        <v>6454</v>
      </c>
      <c r="E600" s="11">
        <v>67.099999999999994</v>
      </c>
      <c r="F600" s="11"/>
      <c r="G600" s="11">
        <v>4.8</v>
      </c>
      <c r="H600" s="55">
        <v>8834.7999999999993</v>
      </c>
      <c r="I600" s="56">
        <f>IF(Tabela1610[[#This Row],[Real Disposable Income (RDI)]]="",#N/A,((Tabela1610[[#This Row],[Real Disposable Income (RDI)]]*1)/H599)-1)</f>
        <v>4.9252118523572808E-3</v>
      </c>
      <c r="J600" s="56">
        <f>IF(Tabela1610[[#This Row],[Real Disposable Income (RDI)]]="",#N/A,((Tabela1610[[#This Row],[Real Disposable Income (RDI)]]*1)/H588)-1)</f>
        <v>4.1508010421209995E-2</v>
      </c>
      <c r="K600" s="10">
        <v>306000</v>
      </c>
      <c r="L600" s="11">
        <v>16.100000000000001</v>
      </c>
      <c r="M600" s="10">
        <v>347</v>
      </c>
      <c r="N600" s="10">
        <f>IF(Tabela1610[[#This Row],[Payroll]]="",#N/A,AVERAGE(M598:M600))</f>
        <v>270.66666666666669</v>
      </c>
      <c r="O600" s="10"/>
      <c r="P600" s="7"/>
    </row>
    <row r="601" spans="1:16">
      <c r="A601" s="6">
        <v>35735</v>
      </c>
      <c r="B601" s="11">
        <v>4.5999999999999996</v>
      </c>
      <c r="C601" s="11">
        <f>IF(Tabela1610[[#This Row],[Unemployment Rate]]="",#N/A,AVERAGE(B589:B601))</f>
        <v>5.0307692307692298</v>
      </c>
      <c r="D601" s="10">
        <v>6308</v>
      </c>
      <c r="E601" s="11">
        <v>67.2</v>
      </c>
      <c r="F601" s="11"/>
      <c r="G601" s="11">
        <v>4.8</v>
      </c>
      <c r="H601" s="55">
        <v>8892.2000000000007</v>
      </c>
      <c r="I601" s="56">
        <f>IF(Tabela1610[[#This Row],[Real Disposable Income (RDI)]]="",#N/A,((Tabela1610[[#This Row],[Real Disposable Income (RDI)]]*1)/H600)-1)</f>
        <v>6.4970344546566583E-3</v>
      </c>
      <c r="J601" s="56">
        <f>IF(Tabela1610[[#This Row],[Real Disposable Income (RDI)]]="",#N/A,((Tabela1610[[#This Row],[Real Disposable Income (RDI)]]*1)/H589)-1)</f>
        <v>4.5513868149698489E-2</v>
      </c>
      <c r="K601" s="10">
        <v>318000</v>
      </c>
      <c r="L601" s="11">
        <v>15.4</v>
      </c>
      <c r="M601" s="10">
        <v>305</v>
      </c>
      <c r="N601" s="10">
        <f>IF(Tabela1610[[#This Row],[Payroll]]="",#N/A,AVERAGE(M599:M601))</f>
        <v>379</v>
      </c>
      <c r="O601" s="10"/>
      <c r="P601" s="7"/>
    </row>
    <row r="602" spans="1:16">
      <c r="A602" s="6">
        <v>35765</v>
      </c>
      <c r="B602" s="11">
        <v>4.7</v>
      </c>
      <c r="C602" s="11">
        <f>IF(Tabela1610[[#This Row],[Unemployment Rate]]="",#N/A,AVERAGE(B590:B602))</f>
        <v>4.9769230769230761</v>
      </c>
      <c r="D602" s="10">
        <v>6476</v>
      </c>
      <c r="E602" s="11">
        <v>67.2</v>
      </c>
      <c r="F602" s="11"/>
      <c r="G602" s="11">
        <v>4.9000000000000004</v>
      </c>
      <c r="H602" s="55">
        <v>8944.2999999999993</v>
      </c>
      <c r="I602" s="56">
        <f>IF(Tabela1610[[#This Row],[Real Disposable Income (RDI)]]="",#N/A,((Tabela1610[[#This Row],[Real Disposable Income (RDI)]]*1)/H601)-1)</f>
        <v>5.8590674973570955E-3</v>
      </c>
      <c r="J602" s="56">
        <f>IF(Tabela1610[[#This Row],[Real Disposable Income (RDI)]]="",#N/A,((Tabela1610[[#This Row],[Real Disposable Income (RDI)]]*1)/H590)-1)</f>
        <v>4.8188817662982775E-2</v>
      </c>
      <c r="K602" s="10">
        <v>303000</v>
      </c>
      <c r="L602" s="11">
        <v>15.9</v>
      </c>
      <c r="M602" s="10">
        <v>322</v>
      </c>
      <c r="N602" s="10">
        <f>IF(Tabela1610[[#This Row],[Payroll]]="",#N/A,AVERAGE(M600:M602))</f>
        <v>324.66666666666669</v>
      </c>
      <c r="O602" s="10"/>
      <c r="P602" s="7"/>
    </row>
    <row r="603" spans="1:16">
      <c r="A603" s="6">
        <v>35796</v>
      </c>
      <c r="B603" s="11">
        <v>4.5999999999999996</v>
      </c>
      <c r="C603" s="11">
        <f>IF(Tabela1610[[#This Row],[Unemployment Rate]]="",#N/A,AVERAGE(B591:B603))</f>
        <v>4.9153846153846157</v>
      </c>
      <c r="D603" s="10">
        <v>6368</v>
      </c>
      <c r="E603" s="11">
        <v>67.099999999999994</v>
      </c>
      <c r="F603" s="11"/>
      <c r="G603" s="11">
        <v>4.9000000000000004</v>
      </c>
      <c r="H603" s="55">
        <v>9022.9</v>
      </c>
      <c r="I603" s="56">
        <f>IF(Tabela1610[[#This Row],[Real Disposable Income (RDI)]]="",#N/A,((Tabela1610[[#This Row],[Real Disposable Income (RDI)]]*1)/H602)-1)</f>
        <v>8.787719553235096E-3</v>
      </c>
      <c r="J603" s="56">
        <f>IF(Tabela1610[[#This Row],[Real Disposable Income (RDI)]]="",#N/A,((Tabela1610[[#This Row],[Real Disposable Income (RDI)]]*1)/H591)-1)</f>
        <v>5.4520592772661303E-2</v>
      </c>
      <c r="K603" s="10">
        <v>315000</v>
      </c>
      <c r="L603" s="11">
        <v>15.6</v>
      </c>
      <c r="M603" s="10">
        <v>262</v>
      </c>
      <c r="N603" s="10">
        <f>IF(Tabela1610[[#This Row],[Payroll]]="",#N/A,AVERAGE(M601:M603))</f>
        <v>296.33333333333331</v>
      </c>
      <c r="O603" s="10"/>
      <c r="P603" s="7"/>
    </row>
    <row r="604" spans="1:16">
      <c r="A604" s="6">
        <v>35827</v>
      </c>
      <c r="B604" s="11">
        <v>4.5999999999999996</v>
      </c>
      <c r="C604" s="11">
        <f>IF(Tabela1610[[#This Row],[Unemployment Rate]]="",#N/A,AVERAGE(B592:B604))</f>
        <v>4.861538461538462</v>
      </c>
      <c r="D604" s="10">
        <v>6306</v>
      </c>
      <c r="E604" s="11">
        <v>67.099999999999994</v>
      </c>
      <c r="F604" s="11"/>
      <c r="G604" s="11">
        <v>4.8</v>
      </c>
      <c r="H604" s="55">
        <v>9081.2000000000007</v>
      </c>
      <c r="I604" s="56">
        <f>IF(Tabela1610[[#This Row],[Real Disposable Income (RDI)]]="",#N/A,((Tabela1610[[#This Row],[Real Disposable Income (RDI)]]*1)/H603)-1)</f>
        <v>6.4613372640727196E-3</v>
      </c>
      <c r="J604" s="56">
        <f>IF(Tabela1610[[#This Row],[Real Disposable Income (RDI)]]="",#N/A,((Tabela1610[[#This Row],[Real Disposable Income (RDI)]]*1)/H592)-1)</f>
        <v>5.8513614323013829E-2</v>
      </c>
      <c r="K604" s="10">
        <v>317000</v>
      </c>
      <c r="L604" s="11">
        <v>15.4</v>
      </c>
      <c r="M604" s="10">
        <v>206</v>
      </c>
      <c r="N604" s="10">
        <f>IF(Tabela1610[[#This Row],[Payroll]]="",#N/A,AVERAGE(M602:M604))</f>
        <v>263.33333333333331</v>
      </c>
      <c r="O604" s="10"/>
      <c r="P604" s="7"/>
    </row>
    <row r="605" spans="1:16">
      <c r="A605" s="6">
        <v>35855</v>
      </c>
      <c r="B605" s="11">
        <v>4.7</v>
      </c>
      <c r="C605" s="11">
        <f>IF(Tabela1610[[#This Row],[Unemployment Rate]]="",#N/A,AVERAGE(B593:B605))</f>
        <v>4.8230769230769246</v>
      </c>
      <c r="D605" s="10">
        <v>6422</v>
      </c>
      <c r="E605" s="11">
        <v>67.099999999999994</v>
      </c>
      <c r="F605" s="11"/>
      <c r="G605" s="11">
        <v>4.5999999999999996</v>
      </c>
      <c r="H605" s="55">
        <v>9134.4</v>
      </c>
      <c r="I605" s="56">
        <f>IF(Tabela1610[[#This Row],[Real Disposable Income (RDI)]]="",#N/A,((Tabela1610[[#This Row],[Real Disposable Income (RDI)]]*1)/H604)-1)</f>
        <v>5.8582566180680473E-3</v>
      </c>
      <c r="J605" s="56">
        <f>IF(Tabela1610[[#This Row],[Real Disposable Income (RDI)]]="",#N/A,((Tabela1610[[#This Row],[Real Disposable Income (RDI)]]*1)/H593)-1)</f>
        <v>5.9798120431604485E-2</v>
      </c>
      <c r="K605" s="10">
        <v>312000</v>
      </c>
      <c r="L605" s="11">
        <v>14.5</v>
      </c>
      <c r="M605" s="10">
        <v>145</v>
      </c>
      <c r="N605" s="10">
        <f>IF(Tabela1610[[#This Row],[Payroll]]="",#N/A,AVERAGE(M603:M605))</f>
        <v>204.33333333333334</v>
      </c>
      <c r="O605" s="10"/>
      <c r="P605" s="7"/>
    </row>
    <row r="606" spans="1:16">
      <c r="A606" s="6">
        <v>35886</v>
      </c>
      <c r="B606" s="11">
        <v>4.3</v>
      </c>
      <c r="C606" s="11">
        <f>IF(Tabela1610[[#This Row],[Unemployment Rate]]="",#N/A,AVERAGE(B594:B606))</f>
        <v>4.7538461538461547</v>
      </c>
      <c r="D606" s="10">
        <v>5941</v>
      </c>
      <c r="E606" s="11">
        <v>67</v>
      </c>
      <c r="F606" s="11"/>
      <c r="G606" s="11">
        <v>4.9000000000000004</v>
      </c>
      <c r="H606" s="55">
        <v>9164.1</v>
      </c>
      <c r="I606" s="56">
        <f>IF(Tabela1610[[#This Row],[Real Disposable Income (RDI)]]="",#N/A,((Tabela1610[[#This Row],[Real Disposable Income (RDI)]]*1)/H605)-1)</f>
        <v>3.2514450867053846E-3</v>
      </c>
      <c r="J606" s="56">
        <f>IF(Tabela1610[[#This Row],[Real Disposable Income (RDI)]]="",#N/A,((Tabela1610[[#This Row],[Real Disposable Income (RDI)]]*1)/H594)-1)</f>
        <v>6.2565945851933424E-2</v>
      </c>
      <c r="K606" s="10">
        <v>311000</v>
      </c>
      <c r="L606" s="11">
        <v>14.7</v>
      </c>
      <c r="M606" s="10">
        <v>283</v>
      </c>
      <c r="N606" s="10">
        <f>IF(Tabela1610[[#This Row],[Payroll]]="",#N/A,AVERAGE(M604:M606))</f>
        <v>211.33333333333334</v>
      </c>
      <c r="O606" s="10"/>
      <c r="P606" s="7"/>
    </row>
    <row r="607" spans="1:16">
      <c r="A607" s="6">
        <v>35916</v>
      </c>
      <c r="B607" s="11">
        <v>4.4000000000000004</v>
      </c>
      <c r="C607" s="11">
        <f>IF(Tabela1610[[#This Row],[Unemployment Rate]]="",#N/A,AVERAGE(B595:B607))</f>
        <v>4.7</v>
      </c>
      <c r="D607" s="10">
        <v>6047</v>
      </c>
      <c r="E607" s="11">
        <v>67</v>
      </c>
      <c r="F607" s="11"/>
      <c r="G607" s="11">
        <v>5.2</v>
      </c>
      <c r="H607" s="55">
        <v>9202</v>
      </c>
      <c r="I607" s="56">
        <f>IF(Tabela1610[[#This Row],[Real Disposable Income (RDI)]]="",#N/A,((Tabela1610[[#This Row],[Real Disposable Income (RDI)]]*1)/H606)-1)</f>
        <v>4.1357034515119295E-3</v>
      </c>
      <c r="J607" s="56">
        <f>IF(Tabela1610[[#This Row],[Real Disposable Income (RDI)]]="",#N/A,((Tabela1610[[#This Row],[Real Disposable Income (RDI)]]*1)/H595)-1)</f>
        <v>6.2353525208095339E-2</v>
      </c>
      <c r="K607" s="10">
        <v>322000</v>
      </c>
      <c r="L607" s="11">
        <v>14.7</v>
      </c>
      <c r="M607" s="10">
        <v>400</v>
      </c>
      <c r="N607" s="10">
        <f>IF(Tabela1610[[#This Row],[Payroll]]="",#N/A,AVERAGE(M605:M607))</f>
        <v>276</v>
      </c>
      <c r="O607" s="10"/>
      <c r="P607" s="7"/>
    </row>
    <row r="608" spans="1:16">
      <c r="A608" s="6">
        <v>35947</v>
      </c>
      <c r="B608" s="11">
        <v>4.5</v>
      </c>
      <c r="C608" s="11">
        <f>IF(Tabela1610[[#This Row],[Unemployment Rate]]="",#N/A,AVERAGE(B596:B608))</f>
        <v>4.6692307692307695</v>
      </c>
      <c r="D608" s="10">
        <v>6212</v>
      </c>
      <c r="E608" s="11">
        <v>67</v>
      </c>
      <c r="F608" s="11"/>
      <c r="G608" s="11">
        <v>5.4</v>
      </c>
      <c r="H608" s="55">
        <v>9254.2000000000007</v>
      </c>
      <c r="I608" s="56">
        <f>IF(Tabela1610[[#This Row],[Real Disposable Income (RDI)]]="",#N/A,((Tabela1610[[#This Row],[Real Disposable Income (RDI)]]*1)/H607)-1)</f>
        <v>5.6726798522062083E-3</v>
      </c>
      <c r="J608" s="56">
        <f>IF(Tabela1610[[#This Row],[Real Disposable Income (RDI)]]="",#N/A,((Tabela1610[[#This Row],[Real Disposable Income (RDI)]]*1)/H596)-1)</f>
        <v>6.4961966466045906E-2</v>
      </c>
      <c r="K608" s="10">
        <v>376000</v>
      </c>
      <c r="L608" s="11">
        <v>14.1</v>
      </c>
      <c r="M608" s="10">
        <v>231</v>
      </c>
      <c r="N608" s="10">
        <f>IF(Tabela1610[[#This Row],[Payroll]]="",#N/A,AVERAGE(M606:M608))</f>
        <v>304.66666666666669</v>
      </c>
      <c r="O608" s="10"/>
      <c r="P608" s="7"/>
    </row>
    <row r="609" spans="1:16">
      <c r="A609" s="6">
        <v>35977</v>
      </c>
      <c r="B609" s="11">
        <v>4.5</v>
      </c>
      <c r="C609" s="11">
        <f>IF(Tabela1610[[#This Row],[Unemployment Rate]]="",#N/A,AVERAGE(B597:B609))</f>
        <v>4.6307692307692303</v>
      </c>
      <c r="D609" s="10">
        <v>6259</v>
      </c>
      <c r="E609" s="11">
        <v>67</v>
      </c>
      <c r="F609" s="11"/>
      <c r="G609" s="11">
        <v>5.4</v>
      </c>
      <c r="H609" s="55">
        <v>9270</v>
      </c>
      <c r="I609" s="56">
        <f>IF(Tabela1610[[#This Row],[Real Disposable Income (RDI)]]="",#N/A,((Tabela1610[[#This Row],[Real Disposable Income (RDI)]]*1)/H608)-1)</f>
        <v>1.7073328866892279E-3</v>
      </c>
      <c r="J609" s="56">
        <f>IF(Tabela1610[[#This Row],[Real Disposable Income (RDI)]]="",#N/A,((Tabela1610[[#This Row],[Real Disposable Income (RDI)]]*1)/H597)-1)</f>
        <v>6.2695601334388007E-2</v>
      </c>
      <c r="K609" s="10">
        <v>335000</v>
      </c>
      <c r="L609" s="11">
        <v>14.1</v>
      </c>
      <c r="M609" s="10">
        <v>130</v>
      </c>
      <c r="N609" s="10">
        <f>IF(Tabela1610[[#This Row],[Payroll]]="",#N/A,AVERAGE(M607:M609))</f>
        <v>253.66666666666666</v>
      </c>
      <c r="O609" s="10"/>
      <c r="P609" s="7"/>
    </row>
    <row r="610" spans="1:16">
      <c r="A610" s="6">
        <v>36008</v>
      </c>
      <c r="B610" s="11">
        <v>4.5</v>
      </c>
      <c r="C610" s="11">
        <f>IF(Tabela1610[[#This Row],[Unemployment Rate]]="",#N/A,AVERAGE(B598:B610))</f>
        <v>4.5999999999999996</v>
      </c>
      <c r="D610" s="10">
        <v>6179</v>
      </c>
      <c r="E610" s="11">
        <v>67</v>
      </c>
      <c r="F610" s="11"/>
      <c r="G610" s="11">
        <v>5.3</v>
      </c>
      <c r="H610" s="55">
        <v>9299.2999999999993</v>
      </c>
      <c r="I610" s="56">
        <f>IF(Tabela1610[[#This Row],[Real Disposable Income (RDI)]]="",#N/A,((Tabela1610[[#This Row],[Real Disposable Income (RDI)]]*1)/H609)-1)</f>
        <v>3.1607335490830835E-3</v>
      </c>
      <c r="J610" s="56">
        <f>IF(Tabela1610[[#This Row],[Real Disposable Income (RDI)]]="",#N/A,((Tabela1610[[#This Row],[Real Disposable Income (RDI)]]*1)/H598)-1)</f>
        <v>6.0522774445179284E-2</v>
      </c>
      <c r="K610" s="10">
        <v>310000</v>
      </c>
      <c r="L610" s="11">
        <v>13.7</v>
      </c>
      <c r="M610" s="10">
        <v>339</v>
      </c>
      <c r="N610" s="10">
        <f>IF(Tabela1610[[#This Row],[Payroll]]="",#N/A,AVERAGE(M608:M610))</f>
        <v>233.33333333333334</v>
      </c>
      <c r="O610" s="10"/>
      <c r="P610" s="7"/>
    </row>
    <row r="611" spans="1:16">
      <c r="A611" s="6">
        <v>36039</v>
      </c>
      <c r="B611" s="11">
        <v>4.5999999999999996</v>
      </c>
      <c r="C611" s="11">
        <f>IF(Tabela1610[[#This Row],[Unemployment Rate]]="",#N/A,AVERAGE(B599:B611))</f>
        <v>4.5846153846153843</v>
      </c>
      <c r="D611" s="10">
        <v>6300</v>
      </c>
      <c r="E611" s="11">
        <v>67.2</v>
      </c>
      <c r="F611" s="11"/>
      <c r="G611" s="11">
        <v>5.0999999999999996</v>
      </c>
      <c r="H611" s="55">
        <v>9325.5</v>
      </c>
      <c r="I611" s="56">
        <f>IF(Tabela1610[[#This Row],[Real Disposable Income (RDI)]]="",#N/A,((Tabela1610[[#This Row],[Real Disposable Income (RDI)]]*1)/H610)-1)</f>
        <v>2.8174163646725869E-3</v>
      </c>
      <c r="J611" s="56">
        <f>IF(Tabela1610[[#This Row],[Real Disposable Income (RDI)]]="",#N/A,((Tabela1610[[#This Row],[Real Disposable Income (RDI)]]*1)/H599)-1)</f>
        <v>6.0740487971336021E-2</v>
      </c>
      <c r="K611" s="10">
        <v>294000</v>
      </c>
      <c r="L611" s="11">
        <v>14.4</v>
      </c>
      <c r="M611" s="10">
        <v>198</v>
      </c>
      <c r="N611" s="10">
        <f>IF(Tabela1610[[#This Row],[Payroll]]="",#N/A,AVERAGE(M609:M611))</f>
        <v>222.33333333333334</v>
      </c>
      <c r="O611" s="10"/>
      <c r="P611" s="7"/>
    </row>
    <row r="612" spans="1:16">
      <c r="A612" s="6">
        <v>36069</v>
      </c>
      <c r="B612" s="11">
        <v>4.5</v>
      </c>
      <c r="C612" s="11">
        <f>IF(Tabela1610[[#This Row],[Unemployment Rate]]="",#N/A,AVERAGE(B600:B612))</f>
        <v>4.5538461538461537</v>
      </c>
      <c r="D612" s="10">
        <v>6280</v>
      </c>
      <c r="E612" s="11">
        <v>67.2</v>
      </c>
      <c r="F612" s="11"/>
      <c r="G612" s="11">
        <v>5</v>
      </c>
      <c r="H612" s="55">
        <v>9337.5</v>
      </c>
      <c r="I612" s="56">
        <f>IF(Tabela1610[[#This Row],[Real Disposable Income (RDI)]]="",#N/A,((Tabela1610[[#This Row],[Real Disposable Income (RDI)]]*1)/H611)-1)</f>
        <v>1.2867942737655458E-3</v>
      </c>
      <c r="J612" s="56">
        <f>IF(Tabela1610[[#This Row],[Real Disposable Income (RDI)]]="",#N/A,((Tabela1610[[#This Row],[Real Disposable Income (RDI)]]*1)/H600)-1)</f>
        <v>5.6899986417349613E-2</v>
      </c>
      <c r="K612" s="10">
        <v>308000</v>
      </c>
      <c r="L612" s="11">
        <v>14.1</v>
      </c>
      <c r="M612" s="10">
        <v>205</v>
      </c>
      <c r="N612" s="10">
        <f>IF(Tabela1610[[#This Row],[Payroll]]="",#N/A,AVERAGE(M610:M612))</f>
        <v>247.33333333333334</v>
      </c>
      <c r="O612" s="10"/>
      <c r="P612" s="7"/>
    </row>
    <row r="613" spans="1:16">
      <c r="A613" s="6">
        <v>36100</v>
      </c>
      <c r="B613" s="11">
        <v>4.4000000000000004</v>
      </c>
      <c r="C613" s="11">
        <f>IF(Tabela1610[[#This Row],[Unemployment Rate]]="",#N/A,AVERAGE(B601:B613))</f>
        <v>4.5307692307692307</v>
      </c>
      <c r="D613" s="10">
        <v>6100</v>
      </c>
      <c r="E613" s="11">
        <v>67.099999999999994</v>
      </c>
      <c r="F613" s="11"/>
      <c r="G613" s="11">
        <v>4.9000000000000004</v>
      </c>
      <c r="H613" s="55">
        <v>9374.6</v>
      </c>
      <c r="I613" s="56">
        <f>IF(Tabela1610[[#This Row],[Real Disposable Income (RDI)]]="",#N/A,((Tabela1610[[#This Row],[Real Disposable Income (RDI)]]*1)/H612)-1)</f>
        <v>3.9732262382865535E-3</v>
      </c>
      <c r="J613" s="56">
        <f>IF(Tabela1610[[#This Row],[Real Disposable Income (RDI)]]="",#N/A,((Tabela1610[[#This Row],[Real Disposable Income (RDI)]]*1)/H601)-1)</f>
        <v>5.4249791952497572E-2</v>
      </c>
      <c r="K613" s="10">
        <v>310000</v>
      </c>
      <c r="L613" s="11">
        <v>14.5</v>
      </c>
      <c r="M613" s="10">
        <v>274</v>
      </c>
      <c r="N613" s="10">
        <f>IF(Tabela1610[[#This Row],[Payroll]]="",#N/A,AVERAGE(M611:M613))</f>
        <v>225.66666666666666</v>
      </c>
      <c r="O613" s="10"/>
      <c r="P613" s="7"/>
    </row>
    <row r="614" spans="1:16">
      <c r="A614" s="6">
        <v>36130</v>
      </c>
      <c r="B614" s="11">
        <v>4.4000000000000004</v>
      </c>
      <c r="C614" s="11">
        <f>IF(Tabela1610[[#This Row],[Unemployment Rate]]="",#N/A,AVERAGE(B602:B614))</f>
        <v>4.5153846153846153</v>
      </c>
      <c r="D614" s="10">
        <v>6032</v>
      </c>
      <c r="E614" s="11">
        <v>67.2</v>
      </c>
      <c r="F614" s="11"/>
      <c r="G614" s="11">
        <v>5</v>
      </c>
      <c r="H614" s="55">
        <v>9391.7000000000007</v>
      </c>
      <c r="I614" s="56">
        <f>IF(Tabela1610[[#This Row],[Real Disposable Income (RDI)]]="",#N/A,((Tabela1610[[#This Row],[Real Disposable Income (RDI)]]*1)/H613)-1)</f>
        <v>1.8240778273206359E-3</v>
      </c>
      <c r="J614" s="56">
        <f>IF(Tabela1610[[#This Row],[Real Disposable Income (RDI)]]="",#N/A,((Tabela1610[[#This Row],[Real Disposable Income (RDI)]]*1)/H602)-1)</f>
        <v>5.0020683563834156E-2</v>
      </c>
      <c r="K614" s="10">
        <v>336000</v>
      </c>
      <c r="L614" s="11">
        <v>14</v>
      </c>
      <c r="M614" s="10">
        <v>375</v>
      </c>
      <c r="N614" s="10">
        <f>IF(Tabela1610[[#This Row],[Payroll]]="",#N/A,AVERAGE(M612:M614))</f>
        <v>284.66666666666669</v>
      </c>
      <c r="O614" s="10"/>
      <c r="P614" s="7"/>
    </row>
    <row r="615" spans="1:16">
      <c r="A615" s="6">
        <v>36161</v>
      </c>
      <c r="B615" s="11">
        <v>4.3</v>
      </c>
      <c r="C615" s="11">
        <f>IF(Tabela1610[[#This Row],[Unemployment Rate]]="",#N/A,AVERAGE(B603:B615))</f>
        <v>4.4846153846153847</v>
      </c>
      <c r="D615" s="10">
        <v>5976</v>
      </c>
      <c r="E615" s="11">
        <v>67.2</v>
      </c>
      <c r="F615" s="11"/>
      <c r="G615" s="11">
        <v>5</v>
      </c>
      <c r="H615" s="55">
        <v>9444.1</v>
      </c>
      <c r="I615" s="56">
        <f>IF(Tabela1610[[#This Row],[Real Disposable Income (RDI)]]="",#N/A,((Tabela1610[[#This Row],[Real Disposable Income (RDI)]]*1)/H614)-1)</f>
        <v>5.5793945718027871E-3</v>
      </c>
      <c r="J615" s="56">
        <f>IF(Tabela1610[[#This Row],[Real Disposable Income (RDI)]]="",#N/A,((Tabela1610[[#This Row],[Real Disposable Income (RDI)]]*1)/H603)-1)</f>
        <v>4.6681222223453833E-2</v>
      </c>
      <c r="K615" s="10">
        <v>305000</v>
      </c>
      <c r="L615" s="11">
        <v>13.4</v>
      </c>
      <c r="M615" s="10">
        <v>105</v>
      </c>
      <c r="N615" s="10">
        <f>IF(Tabela1610[[#This Row],[Payroll]]="",#N/A,AVERAGE(M613:M615))</f>
        <v>251.33333333333334</v>
      </c>
      <c r="O615" s="10"/>
      <c r="P615" s="7"/>
    </row>
    <row r="616" spans="1:16">
      <c r="A616" s="6">
        <v>36192</v>
      </c>
      <c r="B616" s="11">
        <v>4.4000000000000004</v>
      </c>
      <c r="C616" s="11">
        <f>IF(Tabela1610[[#This Row],[Unemployment Rate]]="",#N/A,AVERAGE(B604:B616))</f>
        <v>4.4692307692307685</v>
      </c>
      <c r="D616" s="10">
        <v>6111</v>
      </c>
      <c r="E616" s="11">
        <v>67.2</v>
      </c>
      <c r="F616" s="11"/>
      <c r="G616" s="11">
        <v>5</v>
      </c>
      <c r="H616" s="55">
        <v>9476.2000000000007</v>
      </c>
      <c r="I616" s="56">
        <f>IF(Tabela1610[[#This Row],[Real Disposable Income (RDI)]]="",#N/A,((Tabela1610[[#This Row],[Real Disposable Income (RDI)]]*1)/H615)-1)</f>
        <v>3.3989474910260942E-3</v>
      </c>
      <c r="J616" s="56">
        <f>IF(Tabela1610[[#This Row],[Real Disposable Income (RDI)]]="",#N/A,((Tabela1610[[#This Row],[Real Disposable Income (RDI)]]*1)/H604)-1)</f>
        <v>4.3496454213099556E-2</v>
      </c>
      <c r="K616" s="10">
        <v>301000</v>
      </c>
      <c r="L616" s="11">
        <v>13.8</v>
      </c>
      <c r="M616" s="10">
        <v>414</v>
      </c>
      <c r="N616" s="10">
        <f>IF(Tabela1610[[#This Row],[Payroll]]="",#N/A,AVERAGE(M614:M616))</f>
        <v>298</v>
      </c>
      <c r="O616" s="10"/>
      <c r="P616" s="7"/>
    </row>
    <row r="617" spans="1:16">
      <c r="A617" s="6">
        <v>36220</v>
      </c>
      <c r="B617" s="11">
        <v>4.2</v>
      </c>
      <c r="C617" s="11">
        <f>IF(Tabela1610[[#This Row],[Unemployment Rate]]="",#N/A,AVERAGE(B605:B617))</f>
        <v>4.4384615384615378</v>
      </c>
      <c r="D617" s="10">
        <v>5783</v>
      </c>
      <c r="E617" s="11">
        <v>67</v>
      </c>
      <c r="F617" s="11"/>
      <c r="G617" s="11">
        <v>5.2</v>
      </c>
      <c r="H617" s="55">
        <v>9484.1</v>
      </c>
      <c r="I617" s="56">
        <f>IF(Tabela1610[[#This Row],[Real Disposable Income (RDI)]]="",#N/A,((Tabela1610[[#This Row],[Real Disposable Income (RDI)]]*1)/H616)-1)</f>
        <v>8.3366750385160948E-4</v>
      </c>
      <c r="J617" s="56">
        <f>IF(Tabela1610[[#This Row],[Real Disposable Income (RDI)]]="",#N/A,((Tabela1610[[#This Row],[Real Disposable Income (RDI)]]*1)/H605)-1)</f>
        <v>3.8283850061306746E-2</v>
      </c>
      <c r="K617" s="10">
        <v>298000</v>
      </c>
      <c r="L617" s="11">
        <v>13.4</v>
      </c>
      <c r="M617" s="10">
        <v>116</v>
      </c>
      <c r="N617" s="10">
        <f>IF(Tabela1610[[#This Row],[Payroll]]="",#N/A,AVERAGE(M615:M617))</f>
        <v>211.66666666666666</v>
      </c>
      <c r="O617" s="10"/>
      <c r="P617" s="7"/>
    </row>
    <row r="618" spans="1:16">
      <c r="A618" s="6">
        <v>36251</v>
      </c>
      <c r="B618" s="11">
        <v>4.3</v>
      </c>
      <c r="C618" s="11">
        <f>IF(Tabela1610[[#This Row],[Unemployment Rate]]="",#N/A,AVERAGE(B606:B618))</f>
        <v>4.4076923076923071</v>
      </c>
      <c r="D618" s="10">
        <v>6004</v>
      </c>
      <c r="E618" s="11">
        <v>67.099999999999994</v>
      </c>
      <c r="F618" s="11"/>
      <c r="G618" s="11">
        <v>5.2</v>
      </c>
      <c r="H618" s="55">
        <v>9453</v>
      </c>
      <c r="I618" s="56">
        <f>IF(Tabela1610[[#This Row],[Real Disposable Income (RDI)]]="",#N/A,((Tabela1610[[#This Row],[Real Disposable Income (RDI)]]*1)/H617)-1)</f>
        <v>-3.2791725097796043E-3</v>
      </c>
      <c r="J618" s="56">
        <f>IF(Tabela1610[[#This Row],[Real Disposable Income (RDI)]]="",#N/A,((Tabela1610[[#This Row],[Real Disposable Income (RDI)]]*1)/H606)-1)</f>
        <v>3.1525190689756677E-2</v>
      </c>
      <c r="K618" s="10">
        <v>291000</v>
      </c>
      <c r="L618" s="11">
        <v>13.3</v>
      </c>
      <c r="M618" s="10">
        <v>364</v>
      </c>
      <c r="N618" s="10">
        <f>IF(Tabela1610[[#This Row],[Payroll]]="",#N/A,AVERAGE(M616:M618))</f>
        <v>298</v>
      </c>
      <c r="O618" s="10"/>
      <c r="P618" s="7"/>
    </row>
    <row r="619" spans="1:16">
      <c r="A619" s="6">
        <v>36281</v>
      </c>
      <c r="B619" s="11">
        <v>4.2</v>
      </c>
      <c r="C619" s="11">
        <f>IF(Tabela1610[[#This Row],[Unemployment Rate]]="",#N/A,AVERAGE(B607:B619))</f>
        <v>4.3999999999999995</v>
      </c>
      <c r="D619" s="10">
        <v>5796</v>
      </c>
      <c r="E619" s="11">
        <v>67.099999999999994</v>
      </c>
      <c r="F619" s="11"/>
      <c r="G619" s="11">
        <v>5.2</v>
      </c>
      <c r="H619" s="55">
        <v>9469.2999999999993</v>
      </c>
      <c r="I619" s="56">
        <f>IF(Tabela1610[[#This Row],[Real Disposable Income (RDI)]]="",#N/A,((Tabela1610[[#This Row],[Real Disposable Income (RDI)]]*1)/H618)-1)</f>
        <v>1.7243203215908665E-3</v>
      </c>
      <c r="J619" s="56">
        <f>IF(Tabela1610[[#This Row],[Real Disposable Income (RDI)]]="",#N/A,((Tabela1610[[#This Row],[Real Disposable Income (RDI)]]*1)/H607)-1)</f>
        <v>2.9048033036296328E-2</v>
      </c>
      <c r="K619" s="10">
        <v>303000</v>
      </c>
      <c r="L619" s="11">
        <v>13.4</v>
      </c>
      <c r="M619" s="10">
        <v>212</v>
      </c>
      <c r="N619" s="10">
        <f>IF(Tabela1610[[#This Row],[Payroll]]="",#N/A,AVERAGE(M617:M619))</f>
        <v>230.66666666666666</v>
      </c>
      <c r="O619" s="10"/>
      <c r="P619" s="7"/>
    </row>
    <row r="620" spans="1:16">
      <c r="A620" s="6">
        <v>36312</v>
      </c>
      <c r="B620" s="11">
        <v>4.3</v>
      </c>
      <c r="C620" s="11">
        <f>IF(Tabela1610[[#This Row],[Unemployment Rate]]="",#N/A,AVERAGE(B608:B620))</f>
        <v>4.3923076923076918</v>
      </c>
      <c r="D620" s="10">
        <v>5951</v>
      </c>
      <c r="E620" s="11">
        <v>67.099999999999994</v>
      </c>
      <c r="F620" s="11"/>
      <c r="G620" s="11">
        <v>4.9000000000000004</v>
      </c>
      <c r="H620" s="55">
        <v>9501.2999999999993</v>
      </c>
      <c r="I620" s="56">
        <f>IF(Tabela1610[[#This Row],[Real Disposable Income (RDI)]]="",#N/A,((Tabela1610[[#This Row],[Real Disposable Income (RDI)]]*1)/H619)-1)</f>
        <v>3.3793416620024885E-3</v>
      </c>
      <c r="J620" s="56">
        <f>IF(Tabela1610[[#This Row],[Real Disposable Income (RDI)]]="",#N/A,((Tabela1610[[#This Row],[Real Disposable Income (RDI)]]*1)/H608)-1)</f>
        <v>2.6701389639298689E-2</v>
      </c>
      <c r="K620" s="10">
        <v>291000</v>
      </c>
      <c r="L620" s="11">
        <v>14.3</v>
      </c>
      <c r="M620" s="10">
        <v>278</v>
      </c>
      <c r="N620" s="10">
        <f>IF(Tabela1610[[#This Row],[Payroll]]="",#N/A,AVERAGE(M618:M620))</f>
        <v>284.66666666666669</v>
      </c>
      <c r="O620" s="10"/>
      <c r="P620" s="7"/>
    </row>
    <row r="621" spans="1:16">
      <c r="A621" s="6">
        <v>36342</v>
      </c>
      <c r="B621" s="11">
        <v>4.3</v>
      </c>
      <c r="C621" s="11">
        <f>IF(Tabela1610[[#This Row],[Unemployment Rate]]="",#N/A,AVERAGE(B609:B621))</f>
        <v>4.3769230769230765</v>
      </c>
      <c r="D621" s="10">
        <v>6025</v>
      </c>
      <c r="E621" s="11">
        <v>67.099999999999994</v>
      </c>
      <c r="F621" s="11"/>
      <c r="G621" s="11">
        <v>5</v>
      </c>
      <c r="H621" s="55">
        <v>9519</v>
      </c>
      <c r="I621" s="56">
        <f>IF(Tabela1610[[#This Row],[Real Disposable Income (RDI)]]="",#N/A,((Tabela1610[[#This Row],[Real Disposable Income (RDI)]]*1)/H620)-1)</f>
        <v>1.8629029711725309E-3</v>
      </c>
      <c r="J621" s="56">
        <f>IF(Tabela1610[[#This Row],[Real Disposable Income (RDI)]]="",#N/A,((Tabela1610[[#This Row],[Real Disposable Income (RDI)]]*1)/H609)-1)</f>
        <v>2.6860841423948179E-2</v>
      </c>
      <c r="K621" s="10">
        <v>300000</v>
      </c>
      <c r="L621" s="11">
        <v>13.6</v>
      </c>
      <c r="M621" s="10">
        <v>334</v>
      </c>
      <c r="N621" s="10">
        <f>IF(Tabela1610[[#This Row],[Payroll]]="",#N/A,AVERAGE(M619:M621))</f>
        <v>274.66666666666669</v>
      </c>
      <c r="O621" s="10"/>
      <c r="P621" s="7"/>
    </row>
    <row r="622" spans="1:16">
      <c r="A622" s="6">
        <v>36373</v>
      </c>
      <c r="B622" s="11">
        <v>4.2</v>
      </c>
      <c r="C622" s="11">
        <f>IF(Tabela1610[[#This Row],[Unemployment Rate]]="",#N/A,AVERAGE(B610:B622))</f>
        <v>4.3538461538461544</v>
      </c>
      <c r="D622" s="10">
        <v>5838</v>
      </c>
      <c r="E622" s="11">
        <v>67</v>
      </c>
      <c r="F622" s="11"/>
      <c r="G622" s="11">
        <v>4.8</v>
      </c>
      <c r="H622" s="55">
        <v>9559.1</v>
      </c>
      <c r="I622" s="56">
        <f>IF(Tabela1610[[#This Row],[Real Disposable Income (RDI)]]="",#N/A,((Tabela1610[[#This Row],[Real Disposable Income (RDI)]]*1)/H621)-1)</f>
        <v>4.212627376825262E-3</v>
      </c>
      <c r="J622" s="56">
        <f>IF(Tabela1610[[#This Row],[Real Disposable Income (RDI)]]="",#N/A,((Tabela1610[[#This Row],[Real Disposable Income (RDI)]]*1)/H610)-1)</f>
        <v>2.7937586700074402E-2</v>
      </c>
      <c r="K622" s="10">
        <v>290000</v>
      </c>
      <c r="L622" s="11">
        <v>13.1</v>
      </c>
      <c r="M622" s="10">
        <v>147</v>
      </c>
      <c r="N622" s="10">
        <f>IF(Tabela1610[[#This Row],[Payroll]]="",#N/A,AVERAGE(M620:M622))</f>
        <v>253</v>
      </c>
      <c r="O622" s="10"/>
      <c r="P622" s="7"/>
    </row>
    <row r="623" spans="1:16">
      <c r="A623" s="6">
        <v>36404</v>
      </c>
      <c r="B623" s="11">
        <v>4.2</v>
      </c>
      <c r="C623" s="11">
        <f>IF(Tabela1610[[#This Row],[Unemployment Rate]]="",#N/A,AVERAGE(B611:B623))</f>
        <v>4.3307692307692314</v>
      </c>
      <c r="D623" s="10">
        <v>5915</v>
      </c>
      <c r="E623" s="11">
        <v>67</v>
      </c>
      <c r="F623" s="11"/>
      <c r="G623" s="11">
        <v>5</v>
      </c>
      <c r="H623" s="55">
        <v>9546.7000000000007</v>
      </c>
      <c r="I623" s="56">
        <f>IF(Tabela1610[[#This Row],[Real Disposable Income (RDI)]]="",#N/A,((Tabela1610[[#This Row],[Real Disposable Income (RDI)]]*1)/H622)-1)</f>
        <v>-1.2971932504105554E-3</v>
      </c>
      <c r="J623" s="56">
        <f>IF(Tabela1610[[#This Row],[Real Disposable Income (RDI)]]="",#N/A,((Tabela1610[[#This Row],[Real Disposable Income (RDI)]]*1)/H611)-1)</f>
        <v>2.3719907779743865E-2</v>
      </c>
      <c r="K623" s="10">
        <v>306000</v>
      </c>
      <c r="L623" s="11">
        <v>13.1</v>
      </c>
      <c r="M623" s="10">
        <v>212</v>
      </c>
      <c r="N623" s="10">
        <f>IF(Tabela1610[[#This Row],[Payroll]]="",#N/A,AVERAGE(M621:M623))</f>
        <v>231</v>
      </c>
      <c r="O623" s="10"/>
      <c r="P623" s="7"/>
    </row>
    <row r="624" spans="1:16">
      <c r="A624" s="6">
        <v>36434</v>
      </c>
      <c r="B624" s="11">
        <v>4.0999999999999996</v>
      </c>
      <c r="C624" s="11">
        <f>IF(Tabela1610[[#This Row],[Unemployment Rate]]="",#N/A,AVERAGE(B612:B624))</f>
        <v>4.292307692307693</v>
      </c>
      <c r="D624" s="10">
        <v>5778</v>
      </c>
      <c r="E624" s="11">
        <v>67</v>
      </c>
      <c r="F624" s="11"/>
      <c r="G624" s="11">
        <v>5.0999999999999996</v>
      </c>
      <c r="H624" s="55">
        <v>9598.7000000000007</v>
      </c>
      <c r="I624" s="56">
        <f>IF(Tabela1610[[#This Row],[Real Disposable Income (RDI)]]="",#N/A,((Tabela1610[[#This Row],[Real Disposable Income (RDI)]]*1)/H623)-1)</f>
        <v>5.4469083557668885E-3</v>
      </c>
      <c r="J624" s="56">
        <f>IF(Tabela1610[[#This Row],[Real Disposable Income (RDI)]]="",#N/A,((Tabela1610[[#This Row],[Real Disposable Income (RDI)]]*1)/H612)-1)</f>
        <v>2.7973226238286575E-2</v>
      </c>
      <c r="K624" s="10">
        <v>285000</v>
      </c>
      <c r="L624" s="11">
        <v>13.3</v>
      </c>
      <c r="M624" s="10">
        <v>398</v>
      </c>
      <c r="N624" s="10">
        <f>IF(Tabela1610[[#This Row],[Payroll]]="",#N/A,AVERAGE(M622:M624))</f>
        <v>252.33333333333334</v>
      </c>
      <c r="O624" s="10"/>
      <c r="P624" s="7"/>
    </row>
    <row r="625" spans="1:16">
      <c r="A625" s="6">
        <v>36465</v>
      </c>
      <c r="B625" s="11">
        <v>4.0999999999999996</v>
      </c>
      <c r="C625" s="11">
        <f>IF(Tabela1610[[#This Row],[Unemployment Rate]]="",#N/A,AVERAGE(B613:B625))</f>
        <v>4.2615384615384624</v>
      </c>
      <c r="D625" s="10">
        <v>5716</v>
      </c>
      <c r="E625" s="11">
        <v>67.099999999999994</v>
      </c>
      <c r="F625" s="11"/>
      <c r="G625" s="11">
        <v>5.2</v>
      </c>
      <c r="H625" s="55">
        <v>9660.9</v>
      </c>
      <c r="I625" s="56">
        <f>IF(Tabela1610[[#This Row],[Real Disposable Income (RDI)]]="",#N/A,((Tabela1610[[#This Row],[Real Disposable Income (RDI)]]*1)/H624)-1)</f>
        <v>6.4800441726482472E-3</v>
      </c>
      <c r="J625" s="56">
        <f>IF(Tabela1610[[#This Row],[Real Disposable Income (RDI)]]="",#N/A,((Tabela1610[[#This Row],[Real Disposable Income (RDI)]]*1)/H613)-1)</f>
        <v>3.0539969705374093E-2</v>
      </c>
      <c r="K625" s="10">
        <v>288000</v>
      </c>
      <c r="L625" s="11">
        <v>12.9</v>
      </c>
      <c r="M625" s="10">
        <v>287</v>
      </c>
      <c r="N625" s="10">
        <f>IF(Tabela1610[[#This Row],[Payroll]]="",#N/A,AVERAGE(M623:M625))</f>
        <v>299</v>
      </c>
      <c r="O625" s="10"/>
      <c r="P625" s="7"/>
    </row>
    <row r="626" spans="1:16">
      <c r="A626" s="6">
        <v>36495</v>
      </c>
      <c r="B626" s="11">
        <v>4</v>
      </c>
      <c r="C626" s="11">
        <f>IF(Tabela1610[[#This Row],[Unemployment Rate]]="",#N/A,AVERAGE(B614:B626))</f>
        <v>4.2307692307692317</v>
      </c>
      <c r="D626" s="10">
        <v>5653</v>
      </c>
      <c r="E626" s="11">
        <v>67.099999999999994</v>
      </c>
      <c r="F626" s="11"/>
      <c r="G626" s="11">
        <v>5</v>
      </c>
      <c r="H626" s="55">
        <v>9735.9</v>
      </c>
      <c r="I626" s="56">
        <f>IF(Tabela1610[[#This Row],[Real Disposable Income (RDI)]]="",#N/A,((Tabela1610[[#This Row],[Real Disposable Income (RDI)]]*1)/H625)-1)</f>
        <v>7.7632518709436216E-3</v>
      </c>
      <c r="J626" s="56">
        <f>IF(Tabela1610[[#This Row],[Real Disposable Income (RDI)]]="",#N/A,((Tabela1610[[#This Row],[Real Disposable Income (RDI)]]*1)/H614)-1)</f>
        <v>3.6649381901040057E-2</v>
      </c>
      <c r="K626" s="10">
        <v>268000</v>
      </c>
      <c r="L626" s="11">
        <v>12.9</v>
      </c>
      <c r="M626" s="10">
        <v>314</v>
      </c>
      <c r="N626" s="10">
        <f>IF(Tabela1610[[#This Row],[Payroll]]="",#N/A,AVERAGE(M624:M626))</f>
        <v>333</v>
      </c>
      <c r="O626" s="10"/>
      <c r="P626" s="7"/>
    </row>
    <row r="627" spans="1:16">
      <c r="A627" s="6">
        <v>36526</v>
      </c>
      <c r="B627" s="11">
        <v>4</v>
      </c>
      <c r="C627" s="11">
        <f>IF(Tabela1610[[#This Row],[Unemployment Rate]]="",#N/A,AVERAGE(B615:B627))</f>
        <v>4.2000000000000011</v>
      </c>
      <c r="D627" s="10">
        <v>5708</v>
      </c>
      <c r="E627" s="11">
        <v>67.3</v>
      </c>
      <c r="F627" s="11"/>
      <c r="G627" s="11">
        <v>4.9000000000000004</v>
      </c>
      <c r="H627" s="55">
        <v>9799.9</v>
      </c>
      <c r="I627" s="56">
        <f>IF(Tabela1610[[#This Row],[Real Disposable Income (RDI)]]="",#N/A,((Tabela1610[[#This Row],[Real Disposable Income (RDI)]]*1)/H626)-1)</f>
        <v>6.5736090140613435E-3</v>
      </c>
      <c r="J627" s="56">
        <f>IF(Tabela1610[[#This Row],[Real Disposable Income (RDI)]]="",#N/A,((Tabela1610[[#This Row],[Real Disposable Income (RDI)]]*1)/H615)-1)</f>
        <v>3.767431518090647E-2</v>
      </c>
      <c r="K627" s="10">
        <v>285000</v>
      </c>
      <c r="L627" s="11">
        <v>13.1</v>
      </c>
      <c r="M627" s="10">
        <v>229</v>
      </c>
      <c r="N627" s="10">
        <f>IF(Tabela1610[[#This Row],[Payroll]]="",#N/A,AVERAGE(M625:M627))</f>
        <v>276.66666666666669</v>
      </c>
      <c r="O627" s="10"/>
      <c r="P627" s="7"/>
    </row>
    <row r="628" spans="1:16">
      <c r="A628" s="6">
        <v>36557</v>
      </c>
      <c r="B628" s="11">
        <v>4.0999999999999996</v>
      </c>
      <c r="C628" s="11">
        <f>IF(Tabela1610[[#This Row],[Unemployment Rate]]="",#N/A,AVERAGE(B616:B628))</f>
        <v>4.1846153846153848</v>
      </c>
      <c r="D628" s="10">
        <v>5858</v>
      </c>
      <c r="E628" s="11">
        <v>67.3</v>
      </c>
      <c r="F628" s="11"/>
      <c r="G628" s="11">
        <v>4.8</v>
      </c>
      <c r="H628" s="55">
        <v>9837.9</v>
      </c>
      <c r="I628" s="56">
        <f>IF(Tabela1610[[#This Row],[Real Disposable Income (RDI)]]="",#N/A,((Tabela1610[[#This Row],[Real Disposable Income (RDI)]]*1)/H627)-1)</f>
        <v>3.8775905876591299E-3</v>
      </c>
      <c r="J628" s="56">
        <f>IF(Tabela1610[[#This Row],[Real Disposable Income (RDI)]]="",#N/A,((Tabela1610[[#This Row],[Real Disposable Income (RDI)]]*1)/H616)-1)</f>
        <v>3.8169308372554278E-2</v>
      </c>
      <c r="K628" s="10">
        <v>280000</v>
      </c>
      <c r="L628" s="11">
        <v>12.6</v>
      </c>
      <c r="M628" s="10">
        <v>111</v>
      </c>
      <c r="N628" s="10">
        <f>IF(Tabela1610[[#This Row],[Payroll]]="",#N/A,AVERAGE(M626:M628))</f>
        <v>218</v>
      </c>
      <c r="O628" s="10"/>
      <c r="P628" s="7"/>
    </row>
    <row r="629" spans="1:16">
      <c r="A629" s="6">
        <v>36586</v>
      </c>
      <c r="B629" s="11">
        <v>4</v>
      </c>
      <c r="C629" s="11">
        <f>IF(Tabela1610[[#This Row],[Unemployment Rate]]="",#N/A,AVERAGE(B617:B629))</f>
        <v>4.1538461538461542</v>
      </c>
      <c r="D629" s="10">
        <v>5733</v>
      </c>
      <c r="E629" s="11">
        <v>67.3</v>
      </c>
      <c r="F629" s="11"/>
      <c r="G629" s="11">
        <v>4.8</v>
      </c>
      <c r="H629" s="55">
        <v>9864</v>
      </c>
      <c r="I629" s="56">
        <f>IF(Tabela1610[[#This Row],[Real Disposable Income (RDI)]]="",#N/A,((Tabela1610[[#This Row],[Real Disposable Income (RDI)]]*1)/H628)-1)</f>
        <v>2.6530052145274929E-3</v>
      </c>
      <c r="J629" s="56">
        <f>IF(Tabela1610[[#This Row],[Real Disposable Income (RDI)]]="",#N/A,((Tabela1610[[#This Row],[Real Disposable Income (RDI)]]*1)/H617)-1)</f>
        <v>4.0056515641969215E-2</v>
      </c>
      <c r="K629" s="10">
        <v>272000</v>
      </c>
      <c r="L629" s="11">
        <v>12.7</v>
      </c>
      <c r="M629" s="10">
        <v>485</v>
      </c>
      <c r="N629" s="10">
        <f>IF(Tabela1610[[#This Row],[Payroll]]="",#N/A,AVERAGE(M627:M629))</f>
        <v>275</v>
      </c>
      <c r="O629" s="10"/>
      <c r="P629" s="7"/>
    </row>
    <row r="630" spans="1:16">
      <c r="A630" s="6">
        <v>36617</v>
      </c>
      <c r="B630" s="11">
        <v>3.8</v>
      </c>
      <c r="C630" s="11">
        <f>IF(Tabela1610[[#This Row],[Unemployment Rate]]="",#N/A,AVERAGE(B618:B630))</f>
        <v>4.1230769230769235</v>
      </c>
      <c r="D630" s="10">
        <v>5481</v>
      </c>
      <c r="E630" s="11">
        <v>67.3</v>
      </c>
      <c r="F630" s="11"/>
      <c r="G630" s="11">
        <v>4.9000000000000004</v>
      </c>
      <c r="H630" s="55">
        <v>9913.7000000000007</v>
      </c>
      <c r="I630" s="56">
        <f>IF(Tabela1610[[#This Row],[Real Disposable Income (RDI)]]="",#N/A,((Tabela1610[[#This Row],[Real Disposable Income (RDI)]]*1)/H629)-1)</f>
        <v>5.0385239253853964E-3</v>
      </c>
      <c r="J630" s="56">
        <f>IF(Tabela1610[[#This Row],[Real Disposable Income (RDI)]]="",#N/A,((Tabela1610[[#This Row],[Real Disposable Income (RDI)]]*1)/H618)-1)</f>
        <v>4.873585105257594E-2</v>
      </c>
      <c r="K630" s="10">
        <v>291000</v>
      </c>
      <c r="L630" s="11">
        <v>12.4</v>
      </c>
      <c r="M630" s="10">
        <v>279</v>
      </c>
      <c r="N630" s="10">
        <f>IF(Tabela1610[[#This Row],[Payroll]]="",#N/A,AVERAGE(M628:M630))</f>
        <v>291.66666666666669</v>
      </c>
      <c r="O630" s="10"/>
      <c r="P630" s="7"/>
    </row>
    <row r="631" spans="1:16">
      <c r="A631" s="6">
        <v>36647</v>
      </c>
      <c r="B631" s="11">
        <v>4</v>
      </c>
      <c r="C631" s="11">
        <f>IF(Tabela1610[[#This Row],[Unemployment Rate]]="",#N/A,AVERAGE(B619:B631))</f>
        <v>4.0999999999999996</v>
      </c>
      <c r="D631" s="10">
        <v>5758</v>
      </c>
      <c r="E631" s="11">
        <v>67.099999999999994</v>
      </c>
      <c r="F631" s="11"/>
      <c r="G631" s="11">
        <v>4.9000000000000004</v>
      </c>
      <c r="H631" s="55">
        <v>9954.5</v>
      </c>
      <c r="I631" s="56">
        <f>IF(Tabela1610[[#This Row],[Real Disposable Income (RDI)]]="",#N/A,((Tabela1610[[#This Row],[Real Disposable Income (RDI)]]*1)/H630)-1)</f>
        <v>4.1155169109412526E-3</v>
      </c>
      <c r="J631" s="56">
        <f>IF(Tabela1610[[#This Row],[Real Disposable Income (RDI)]]="",#N/A,((Tabela1610[[#This Row],[Real Disposable Income (RDI)]]*1)/H619)-1)</f>
        <v>5.1239267950112577E-2</v>
      </c>
      <c r="K631" s="10">
        <v>280000</v>
      </c>
      <c r="L631" s="11">
        <v>12.6</v>
      </c>
      <c r="M631" s="10">
        <v>222</v>
      </c>
      <c r="N631" s="10">
        <f>IF(Tabela1610[[#This Row],[Payroll]]="",#N/A,AVERAGE(M629:M631))</f>
        <v>328.66666666666669</v>
      </c>
      <c r="O631" s="10"/>
      <c r="P631" s="7"/>
    </row>
    <row r="632" spans="1:16">
      <c r="A632" s="6">
        <v>36678</v>
      </c>
      <c r="B632" s="11">
        <v>4</v>
      </c>
      <c r="C632" s="11">
        <f>IF(Tabela1610[[#This Row],[Unemployment Rate]]="",#N/A,AVERAGE(B620:B632))</f>
        <v>4.0846153846153843</v>
      </c>
      <c r="D632" s="10">
        <v>5651</v>
      </c>
      <c r="E632" s="11">
        <v>67.099999999999994</v>
      </c>
      <c r="F632" s="11"/>
      <c r="G632" s="11">
        <v>5</v>
      </c>
      <c r="H632" s="55">
        <v>9982.2999999999993</v>
      </c>
      <c r="I632" s="56">
        <f>IF(Tabela1610[[#This Row],[Real Disposable Income (RDI)]]="",#N/A,((Tabela1610[[#This Row],[Real Disposable Income (RDI)]]*1)/H631)-1)</f>
        <v>2.7927068160127355E-3</v>
      </c>
      <c r="J632" s="56">
        <f>IF(Tabela1610[[#This Row],[Real Disposable Income (RDI)]]="",#N/A,((Tabela1610[[#This Row],[Real Disposable Income (RDI)]]*1)/H620)-1)</f>
        <v>5.0624651363497586E-2</v>
      </c>
      <c r="K632" s="10">
        <v>296000</v>
      </c>
      <c r="L632" s="11">
        <v>12.3</v>
      </c>
      <c r="M632" s="10">
        <v>-46</v>
      </c>
      <c r="N632" s="10">
        <f>IF(Tabela1610[[#This Row],[Payroll]]="",#N/A,AVERAGE(M630:M632))</f>
        <v>151.66666666666666</v>
      </c>
      <c r="O632" s="10"/>
      <c r="P632" s="7"/>
    </row>
    <row r="633" spans="1:16">
      <c r="A633" s="6">
        <v>36708</v>
      </c>
      <c r="B633" s="11">
        <v>4</v>
      </c>
      <c r="C633" s="11">
        <f>IF(Tabela1610[[#This Row],[Unemployment Rate]]="",#N/A,AVERAGE(B621:B633))</f>
        <v>4.0615384615384613</v>
      </c>
      <c r="D633" s="10">
        <v>5747</v>
      </c>
      <c r="E633" s="11">
        <v>66.900000000000006</v>
      </c>
      <c r="F633" s="11"/>
      <c r="G633" s="11">
        <v>5.0999999999999996</v>
      </c>
      <c r="H633" s="55">
        <v>10035.9</v>
      </c>
      <c r="I633" s="56">
        <f>IF(Tabela1610[[#This Row],[Real Disposable Income (RDI)]]="",#N/A,((Tabela1610[[#This Row],[Real Disposable Income (RDI)]]*1)/H632)-1)</f>
        <v>5.3695040221191093E-3</v>
      </c>
      <c r="J633" s="56">
        <f>IF(Tabela1610[[#This Row],[Real Disposable Income (RDI)]]="",#N/A,((Tabela1610[[#This Row],[Real Disposable Income (RDI)]]*1)/H621)-1)</f>
        <v>5.4301922470847641E-2</v>
      </c>
      <c r="K633" s="10">
        <v>298000</v>
      </c>
      <c r="L633" s="11">
        <v>13.4</v>
      </c>
      <c r="M633" s="10">
        <v>166</v>
      </c>
      <c r="N633" s="10">
        <f>IF(Tabela1610[[#This Row],[Payroll]]="",#N/A,AVERAGE(M631:M633))</f>
        <v>114</v>
      </c>
      <c r="O633" s="10"/>
      <c r="P633" s="7"/>
    </row>
    <row r="634" spans="1:16">
      <c r="A634" s="6">
        <v>36739</v>
      </c>
      <c r="B634" s="11">
        <v>4.0999999999999996</v>
      </c>
      <c r="C634" s="11">
        <f>IF(Tabela1610[[#This Row],[Unemployment Rate]]="",#N/A,AVERAGE(B622:B634))</f>
        <v>4.046153846153846</v>
      </c>
      <c r="D634" s="10">
        <v>5853</v>
      </c>
      <c r="E634" s="11">
        <v>66.900000000000006</v>
      </c>
      <c r="F634" s="11"/>
      <c r="G634" s="11">
        <v>5.0999999999999996</v>
      </c>
      <c r="H634" s="55">
        <v>10098.299999999999</v>
      </c>
      <c r="I634" s="56">
        <f>IF(Tabela1610[[#This Row],[Real Disposable Income (RDI)]]="",#N/A,((Tabela1610[[#This Row],[Real Disposable Income (RDI)]]*1)/H633)-1)</f>
        <v>6.2176785340626317E-3</v>
      </c>
      <c r="J634" s="56">
        <f>IF(Tabela1610[[#This Row],[Real Disposable Income (RDI)]]="",#N/A,((Tabela1610[[#This Row],[Real Disposable Income (RDI)]]*1)/H622)-1)</f>
        <v>5.6406983921080345E-2</v>
      </c>
      <c r="K634" s="10">
        <v>312000</v>
      </c>
      <c r="L634" s="11">
        <v>12.9</v>
      </c>
      <c r="M634" s="10">
        <v>5</v>
      </c>
      <c r="N634" s="10">
        <f>IF(Tabela1610[[#This Row],[Payroll]]="",#N/A,AVERAGE(M632:M634))</f>
        <v>41.666666666666664</v>
      </c>
      <c r="O634" s="10"/>
      <c r="P634" s="7"/>
    </row>
    <row r="635" spans="1:16">
      <c r="A635" s="6">
        <v>36770</v>
      </c>
      <c r="B635" s="11">
        <v>3.9</v>
      </c>
      <c r="C635" s="11">
        <f>IF(Tabela1610[[#This Row],[Unemployment Rate]]="",#N/A,AVERAGE(B623:B635))</f>
        <v>4.023076923076923</v>
      </c>
      <c r="D635" s="10">
        <v>5625</v>
      </c>
      <c r="E635" s="11">
        <v>66.900000000000006</v>
      </c>
      <c r="F635" s="11"/>
      <c r="G635" s="11">
        <v>5.2</v>
      </c>
      <c r="H635" s="55">
        <v>10110.299999999999</v>
      </c>
      <c r="I635" s="56">
        <f>IF(Tabela1610[[#This Row],[Real Disposable Income (RDI)]]="",#N/A,((Tabela1610[[#This Row],[Real Disposable Income (RDI)]]*1)/H634)-1)</f>
        <v>1.1883188259409483E-3</v>
      </c>
      <c r="J635" s="56">
        <f>IF(Tabela1610[[#This Row],[Real Disposable Income (RDI)]]="",#N/A,((Tabela1610[[#This Row],[Real Disposable Income (RDI)]]*1)/H623)-1)</f>
        <v>5.9036106717504255E-2</v>
      </c>
      <c r="K635" s="10">
        <v>292000</v>
      </c>
      <c r="L635" s="11">
        <v>12.2</v>
      </c>
      <c r="M635" s="10">
        <v>125</v>
      </c>
      <c r="N635" s="10">
        <f>IF(Tabela1610[[#This Row],[Payroll]]="",#N/A,AVERAGE(M633:M635))</f>
        <v>98.666666666666671</v>
      </c>
      <c r="O635" s="10"/>
      <c r="P635" s="7"/>
    </row>
    <row r="636" spans="1:16">
      <c r="A636" s="6">
        <v>36800</v>
      </c>
      <c r="B636" s="11">
        <v>3.9</v>
      </c>
      <c r="C636" s="11">
        <f>IF(Tabela1610[[#This Row],[Unemployment Rate]]="",#N/A,AVERAGE(B624:B636))</f>
        <v>3.9999999999999996</v>
      </c>
      <c r="D636" s="10">
        <v>5534</v>
      </c>
      <c r="E636" s="11">
        <v>66.8</v>
      </c>
      <c r="F636" s="11"/>
      <c r="G636" s="11">
        <v>5.2</v>
      </c>
      <c r="H636" s="55">
        <v>10139.200000000001</v>
      </c>
      <c r="I636" s="56">
        <f>IF(Tabela1610[[#This Row],[Real Disposable Income (RDI)]]="",#N/A,((Tabela1610[[#This Row],[Real Disposable Income (RDI)]]*1)/H635)-1)</f>
        <v>2.8584710641623712E-3</v>
      </c>
      <c r="J636" s="56">
        <f>IF(Tabela1610[[#This Row],[Real Disposable Income (RDI)]]="",#N/A,((Tabela1610[[#This Row],[Real Disposable Income (RDI)]]*1)/H624)-1)</f>
        <v>5.6309708606373743E-2</v>
      </c>
      <c r="K636" s="10">
        <v>301000</v>
      </c>
      <c r="L636" s="11">
        <v>12.7</v>
      </c>
      <c r="M636" s="10">
        <v>-4</v>
      </c>
      <c r="N636" s="10">
        <f>IF(Tabela1610[[#This Row],[Payroll]]="",#N/A,AVERAGE(M634:M636))</f>
        <v>42</v>
      </c>
      <c r="O636" s="10"/>
      <c r="P636" s="7"/>
    </row>
    <row r="637" spans="1:16">
      <c r="A637" s="6">
        <v>36831</v>
      </c>
      <c r="B637" s="11">
        <v>3.9</v>
      </c>
      <c r="C637" s="11">
        <f>IF(Tabela1610[[#This Row],[Unemployment Rate]]="",#N/A,AVERAGE(B625:B637))</f>
        <v>3.9846153846153842</v>
      </c>
      <c r="D637" s="10">
        <v>5639</v>
      </c>
      <c r="E637" s="11">
        <v>66.900000000000006</v>
      </c>
      <c r="F637" s="11"/>
      <c r="G637" s="11">
        <v>5.4</v>
      </c>
      <c r="H637" s="55">
        <v>10143.5</v>
      </c>
      <c r="I637" s="56">
        <f>IF(Tabela1610[[#This Row],[Real Disposable Income (RDI)]]="",#N/A,((Tabela1610[[#This Row],[Real Disposable Income (RDI)]]*1)/H636)-1)</f>
        <v>4.240965756665549E-4</v>
      </c>
      <c r="J637" s="56">
        <f>IF(Tabela1610[[#This Row],[Real Disposable Income (RDI)]]="",#N/A,((Tabela1610[[#This Row],[Real Disposable Income (RDI)]]*1)/H625)-1)</f>
        <v>4.9953938038899137E-2</v>
      </c>
      <c r="K637" s="10">
        <v>356000</v>
      </c>
      <c r="L637" s="11">
        <v>12.4</v>
      </c>
      <c r="M637" s="10">
        <v>201</v>
      </c>
      <c r="N637" s="10">
        <f>IF(Tabela1610[[#This Row],[Payroll]]="",#N/A,AVERAGE(M635:M637))</f>
        <v>107.33333333333333</v>
      </c>
      <c r="O637" s="10"/>
      <c r="P637" s="7"/>
    </row>
    <row r="638" spans="1:16">
      <c r="A638" s="6">
        <v>36861</v>
      </c>
      <c r="B638" s="11">
        <v>3.9</v>
      </c>
      <c r="C638" s="11">
        <f>IF(Tabela1610[[#This Row],[Unemployment Rate]]="",#N/A,AVERAGE(B626:B638))</f>
        <v>3.9692307692307689</v>
      </c>
      <c r="D638" s="10">
        <v>5634</v>
      </c>
      <c r="E638" s="11">
        <v>67</v>
      </c>
      <c r="F638" s="11"/>
      <c r="G638" s="11">
        <v>5.4</v>
      </c>
      <c r="H638" s="55">
        <v>10164.299999999999</v>
      </c>
      <c r="I638" s="56">
        <f>IF(Tabela1610[[#This Row],[Real Disposable Income (RDI)]]="",#N/A,((Tabela1610[[#This Row],[Real Disposable Income (RDI)]]*1)/H637)-1)</f>
        <v>2.0505742593779352E-3</v>
      </c>
      <c r="J638" s="56">
        <f>IF(Tabela1610[[#This Row],[Real Disposable Income (RDI)]]="",#N/A,((Tabela1610[[#This Row],[Real Disposable Income (RDI)]]*1)/H626)-1)</f>
        <v>4.4002095337873248E-2</v>
      </c>
      <c r="K638" s="10">
        <v>353000</v>
      </c>
      <c r="L638" s="11">
        <v>12.5</v>
      </c>
      <c r="M638" s="10">
        <v>165</v>
      </c>
      <c r="N638" s="10">
        <f>IF(Tabela1610[[#This Row],[Payroll]]="",#N/A,AVERAGE(M636:M638))</f>
        <v>120.66666666666667</v>
      </c>
      <c r="O638" s="10">
        <v>5088</v>
      </c>
      <c r="P638" s="7">
        <f>IF(Tabela1610[[#This Row],[JOLTS]]="",#N/A,Tabela1610[[#This Row],[JOLTS]]/Tabela1610[[#This Row],[Unemployment Level]])</f>
        <v>0.90308839190628332</v>
      </c>
    </row>
    <row r="639" spans="1:16">
      <c r="A639" s="6">
        <v>36892</v>
      </c>
      <c r="B639" s="11">
        <v>4.2</v>
      </c>
      <c r="C639" s="11">
        <f>IF(Tabela1610[[#This Row],[Unemployment Rate]]="",#N/A,AVERAGE(B627:B639))</f>
        <v>3.9846153846153842</v>
      </c>
      <c r="D639" s="10">
        <v>6023</v>
      </c>
      <c r="E639" s="11">
        <v>67.2</v>
      </c>
      <c r="F639" s="11"/>
      <c r="G639" s="11">
        <v>5.4</v>
      </c>
      <c r="H639" s="55">
        <v>10211.700000000001</v>
      </c>
      <c r="I639" s="56">
        <f>IF(Tabela1610[[#This Row],[Real Disposable Income (RDI)]]="",#N/A,((Tabela1610[[#This Row],[Real Disposable Income (RDI)]]*1)/H638)-1)</f>
        <v>4.6633806558249447E-3</v>
      </c>
      <c r="J639" s="56">
        <f>IF(Tabela1610[[#This Row],[Real Disposable Income (RDI)]]="",#N/A,((Tabela1610[[#This Row],[Real Disposable Income (RDI)]]*1)/H627)-1)</f>
        <v>4.2020836947315843E-2</v>
      </c>
      <c r="K639" s="10">
        <v>362000</v>
      </c>
      <c r="L639" s="11">
        <v>12.7</v>
      </c>
      <c r="M639" s="10">
        <v>-20</v>
      </c>
      <c r="N639" s="10">
        <f>IF(Tabela1610[[#This Row],[Payroll]]="",#N/A,AVERAGE(M637:M639))</f>
        <v>115.33333333333333</v>
      </c>
      <c r="O639" s="10">
        <v>5234</v>
      </c>
      <c r="P639" s="7">
        <f>IF(Tabela1610[[#This Row],[JOLTS]]="",#N/A,Tabela1610[[#This Row],[JOLTS]]/Tabela1610[[#This Row],[Unemployment Level]])</f>
        <v>0.86900215839282746</v>
      </c>
    </row>
    <row r="640" spans="1:16">
      <c r="A640" s="6">
        <v>36923</v>
      </c>
      <c r="B640" s="11">
        <v>4.2</v>
      </c>
      <c r="C640" s="11">
        <f>IF(Tabela1610[[#This Row],[Unemployment Rate]]="",#N/A,AVERAGE(B628:B640))</f>
        <v>4</v>
      </c>
      <c r="D640" s="10">
        <v>6089</v>
      </c>
      <c r="E640" s="11">
        <v>67.099999999999994</v>
      </c>
      <c r="F640" s="11"/>
      <c r="G640" s="11">
        <v>5.3</v>
      </c>
      <c r="H640" s="55">
        <v>10223.4</v>
      </c>
      <c r="I640" s="56">
        <f>IF(Tabela1610[[#This Row],[Real Disposable Income (RDI)]]="",#N/A,((Tabela1610[[#This Row],[Real Disposable Income (RDI)]]*1)/H639)-1)</f>
        <v>1.1457445870912686E-3</v>
      </c>
      <c r="J640" s="56">
        <f>IF(Tabela1610[[#This Row],[Real Disposable Income (RDI)]]="",#N/A,((Tabela1610[[#This Row],[Real Disposable Income (RDI)]]*1)/H628)-1)</f>
        <v>3.9185191961699228E-2</v>
      </c>
      <c r="K640" s="10">
        <v>386000</v>
      </c>
      <c r="L640" s="11">
        <v>12.8</v>
      </c>
      <c r="M640" s="10">
        <v>87</v>
      </c>
      <c r="N640" s="10">
        <f>IF(Tabela1610[[#This Row],[Payroll]]="",#N/A,AVERAGE(M638:M640))</f>
        <v>77.333333333333329</v>
      </c>
      <c r="O640" s="10">
        <v>5097</v>
      </c>
      <c r="P640" s="7">
        <f>IF(Tabela1610[[#This Row],[JOLTS]]="",#N/A,Tabela1610[[#This Row],[JOLTS]]/Tabela1610[[#This Row],[Unemployment Level]])</f>
        <v>0.83708326490392515</v>
      </c>
    </row>
    <row r="641" spans="1:16">
      <c r="A641" s="6">
        <v>36951</v>
      </c>
      <c r="B641" s="11">
        <v>4.3</v>
      </c>
      <c r="C641" s="11">
        <f>IF(Tabela1610[[#This Row],[Unemployment Rate]]="",#N/A,AVERAGE(B629:B641))</f>
        <v>4.0153846153846153</v>
      </c>
      <c r="D641" s="10">
        <v>6141</v>
      </c>
      <c r="E641" s="11">
        <v>67.2</v>
      </c>
      <c r="F641" s="11"/>
      <c r="G641" s="11">
        <v>5.3</v>
      </c>
      <c r="H641" s="55">
        <v>10254.4</v>
      </c>
      <c r="I641" s="56">
        <f>IF(Tabela1610[[#This Row],[Real Disposable Income (RDI)]]="",#N/A,((Tabela1610[[#This Row],[Real Disposable Income (RDI)]]*1)/H640)-1)</f>
        <v>3.03225932664275E-3</v>
      </c>
      <c r="J641" s="56">
        <f>IF(Tabela1610[[#This Row],[Real Disposable Income (RDI)]]="",#N/A,((Tabela1610[[#This Row],[Real Disposable Income (RDI)]]*1)/H629)-1)</f>
        <v>3.9578264395782714E-2</v>
      </c>
      <c r="K641" s="10">
        <v>388000</v>
      </c>
      <c r="L641" s="11">
        <v>12.8</v>
      </c>
      <c r="M641" s="10">
        <v>-32</v>
      </c>
      <c r="N641" s="10">
        <f>IF(Tabela1610[[#This Row],[Payroll]]="",#N/A,AVERAGE(M639:M641))</f>
        <v>11.666666666666666</v>
      </c>
      <c r="O641" s="10">
        <v>4762</v>
      </c>
      <c r="P641" s="7">
        <f>IF(Tabela1610[[#This Row],[JOLTS]]="",#N/A,Tabela1610[[#This Row],[JOLTS]]/Tabela1610[[#This Row],[Unemployment Level]])</f>
        <v>0.77544373880475492</v>
      </c>
    </row>
    <row r="642" spans="1:16">
      <c r="A642" s="6">
        <v>36982</v>
      </c>
      <c r="B642" s="11">
        <v>4.4000000000000004</v>
      </c>
      <c r="C642" s="11">
        <f>IF(Tabela1610[[#This Row],[Unemployment Rate]]="",#N/A,AVERAGE(B630:B642))</f>
        <v>4.046153846153846</v>
      </c>
      <c r="D642" s="10">
        <v>6271</v>
      </c>
      <c r="E642" s="11">
        <v>66.900000000000006</v>
      </c>
      <c r="F642" s="11"/>
      <c r="G642" s="11">
        <v>5.3</v>
      </c>
      <c r="H642" s="55">
        <v>10233.1</v>
      </c>
      <c r="I642" s="56">
        <f>IF(Tabela1610[[#This Row],[Real Disposable Income (RDI)]]="",#N/A,((Tabela1610[[#This Row],[Real Disposable Income (RDI)]]*1)/H641)-1)</f>
        <v>-2.0771571227959917E-3</v>
      </c>
      <c r="J642" s="56">
        <f>IF(Tabela1610[[#This Row],[Real Disposable Income (RDI)]]="",#N/A,((Tabela1610[[#This Row],[Real Disposable Income (RDI)]]*1)/H630)-1)</f>
        <v>3.2218041699869859E-2</v>
      </c>
      <c r="K642" s="10">
        <v>406000</v>
      </c>
      <c r="L642" s="11">
        <v>12.4</v>
      </c>
      <c r="M642" s="10">
        <v>-297</v>
      </c>
      <c r="N642" s="10">
        <f>IF(Tabela1610[[#This Row],[Payroll]]="",#N/A,AVERAGE(M640:M642))</f>
        <v>-80.666666666666671</v>
      </c>
      <c r="O642" s="10">
        <v>4615</v>
      </c>
      <c r="P642" s="7">
        <f>IF(Tabela1610[[#This Row],[JOLTS]]="",#N/A,Tabela1610[[#This Row],[JOLTS]]/Tabela1610[[#This Row],[Unemployment Level]])</f>
        <v>0.73592728432466914</v>
      </c>
    </row>
    <row r="643" spans="1:16">
      <c r="A643" s="6">
        <v>37012</v>
      </c>
      <c r="B643" s="11">
        <v>4.3</v>
      </c>
      <c r="C643" s="11">
        <f>IF(Tabela1610[[#This Row],[Unemployment Rate]]="",#N/A,AVERAGE(B631:B643))</f>
        <v>4.0846153846153843</v>
      </c>
      <c r="D643" s="10">
        <v>6226</v>
      </c>
      <c r="E643" s="11">
        <v>66.7</v>
      </c>
      <c r="F643" s="11"/>
      <c r="G643" s="11">
        <v>5.0999999999999996</v>
      </c>
      <c r="H643" s="55">
        <v>10214.700000000001</v>
      </c>
      <c r="I643" s="56">
        <f>IF(Tabela1610[[#This Row],[Real Disposable Income (RDI)]]="",#N/A,((Tabela1610[[#This Row],[Real Disposable Income (RDI)]]*1)/H642)-1)</f>
        <v>-1.798086601323079E-3</v>
      </c>
      <c r="J643" s="56">
        <f>IF(Tabela1610[[#This Row],[Real Disposable Income (RDI)]]="",#N/A,((Tabela1610[[#This Row],[Real Disposable Income (RDI)]]*1)/H631)-1)</f>
        <v>2.6138932141242632E-2</v>
      </c>
      <c r="K643" s="10">
        <v>405000</v>
      </c>
      <c r="L643" s="11">
        <v>12.1</v>
      </c>
      <c r="M643" s="10">
        <v>-44</v>
      </c>
      <c r="N643" s="10">
        <f>IF(Tabela1610[[#This Row],[Payroll]]="",#N/A,AVERAGE(M641:M643))</f>
        <v>-124.33333333333333</v>
      </c>
      <c r="O643" s="10">
        <v>4425</v>
      </c>
      <c r="P643" s="7">
        <f>IF(Tabela1610[[#This Row],[JOLTS]]="",#N/A,Tabela1610[[#This Row],[JOLTS]]/Tabela1610[[#This Row],[Unemployment Level]])</f>
        <v>0.71072920012849339</v>
      </c>
    </row>
    <row r="644" spans="1:16">
      <c r="A644" s="6">
        <v>37043</v>
      </c>
      <c r="B644" s="11">
        <v>4.5</v>
      </c>
      <c r="C644" s="11">
        <f>IF(Tabela1610[[#This Row],[Unemployment Rate]]="",#N/A,AVERAGE(B632:B644))</f>
        <v>4.1230769230769218</v>
      </c>
      <c r="D644" s="10">
        <v>6484</v>
      </c>
      <c r="E644" s="11">
        <v>66.7</v>
      </c>
      <c r="F644" s="11"/>
      <c r="G644" s="11">
        <v>5.2</v>
      </c>
      <c r="H644" s="55">
        <v>10218.1</v>
      </c>
      <c r="I644" s="56">
        <f>IF(Tabela1610[[#This Row],[Real Disposable Income (RDI)]]="",#N/A,((Tabela1610[[#This Row],[Real Disposable Income (RDI)]]*1)/H643)-1)</f>
        <v>3.3285363251001066E-4</v>
      </c>
      <c r="J644" s="56">
        <f>IF(Tabela1610[[#This Row],[Real Disposable Income (RDI)]]="",#N/A,((Tabela1610[[#This Row],[Real Disposable Income (RDI)]]*1)/H632)-1)</f>
        <v>2.3621810604770532E-2</v>
      </c>
      <c r="K644" s="10">
        <v>394000</v>
      </c>
      <c r="L644" s="11">
        <v>12.7</v>
      </c>
      <c r="M644" s="10">
        <v>-116</v>
      </c>
      <c r="N644" s="10">
        <f>IF(Tabela1610[[#This Row],[Payroll]]="",#N/A,AVERAGE(M642:M644))</f>
        <v>-152.33333333333334</v>
      </c>
      <c r="O644" s="10">
        <v>4361</v>
      </c>
      <c r="P644" s="7">
        <f>IF(Tabela1610[[#This Row],[JOLTS]]="",#N/A,Tabela1610[[#This Row],[JOLTS]]/Tabela1610[[#This Row],[Unemployment Level]])</f>
        <v>0.67257865515114124</v>
      </c>
    </row>
    <row r="645" spans="1:16">
      <c r="A645" s="6">
        <v>37073</v>
      </c>
      <c r="B645" s="11">
        <v>4.5999999999999996</v>
      </c>
      <c r="C645" s="11">
        <f>IF(Tabela1610[[#This Row],[Unemployment Rate]]="",#N/A,AVERAGE(B633:B645))</f>
        <v>4.1692307692307686</v>
      </c>
      <c r="D645" s="10">
        <v>6583</v>
      </c>
      <c r="E645" s="11">
        <v>66.8</v>
      </c>
      <c r="F645" s="11"/>
      <c r="G645" s="11">
        <v>5.0999999999999996</v>
      </c>
      <c r="H645" s="55">
        <v>10370.700000000001</v>
      </c>
      <c r="I645" s="56">
        <f>IF(Tabela1610[[#This Row],[Real Disposable Income (RDI)]]="",#N/A,((Tabela1610[[#This Row],[Real Disposable Income (RDI)]]*1)/H644)-1)</f>
        <v>1.4934283281627714E-2</v>
      </c>
      <c r="J645" s="56">
        <f>IF(Tabela1610[[#This Row],[Real Disposable Income (RDI)]]="",#N/A,((Tabela1610[[#This Row],[Real Disposable Income (RDI)]]*1)/H633)-1)</f>
        <v>3.3360236750067385E-2</v>
      </c>
      <c r="K645" s="10">
        <v>388000</v>
      </c>
      <c r="L645" s="11">
        <v>12.9</v>
      </c>
      <c r="M645" s="10">
        <v>-125</v>
      </c>
      <c r="N645" s="10">
        <f>IF(Tabela1610[[#This Row],[Payroll]]="",#N/A,AVERAGE(M643:M645))</f>
        <v>-95</v>
      </c>
      <c r="O645" s="10">
        <v>4447</v>
      </c>
      <c r="P645" s="7">
        <f>IF(Tabela1610[[#This Row],[JOLTS]]="",#N/A,Tabela1610[[#This Row],[JOLTS]]/Tabela1610[[#This Row],[Unemployment Level]])</f>
        <v>0.67552787482910526</v>
      </c>
    </row>
    <row r="646" spans="1:16">
      <c r="A646" s="6">
        <v>37104</v>
      </c>
      <c r="B646" s="11">
        <v>4.9000000000000004</v>
      </c>
      <c r="C646" s="11">
        <f>IF(Tabela1610[[#This Row],[Unemployment Rate]]="",#N/A,AVERAGE(B634:B646))</f>
        <v>4.2384615384615376</v>
      </c>
      <c r="D646" s="10">
        <v>7042</v>
      </c>
      <c r="E646" s="11">
        <v>66.5</v>
      </c>
      <c r="F646" s="11"/>
      <c r="G646" s="11">
        <v>5.2</v>
      </c>
      <c r="H646" s="55">
        <v>10543.1</v>
      </c>
      <c r="I646" s="56">
        <f>IF(Tabela1610[[#This Row],[Real Disposable Income (RDI)]]="",#N/A,((Tabela1610[[#This Row],[Real Disposable Income (RDI)]]*1)/H645)-1)</f>
        <v>1.6623757316285293E-2</v>
      </c>
      <c r="J646" s="56">
        <f>IF(Tabela1610[[#This Row],[Real Disposable Income (RDI)]]="",#N/A,((Tabela1610[[#This Row],[Real Disposable Income (RDI)]]*1)/H634)-1)</f>
        <v>4.4047017814879741E-2</v>
      </c>
      <c r="K646" s="10">
        <v>395000</v>
      </c>
      <c r="L646" s="11">
        <v>13.3</v>
      </c>
      <c r="M646" s="10">
        <v>-147</v>
      </c>
      <c r="N646" s="10">
        <f>IF(Tabela1610[[#This Row],[Payroll]]="",#N/A,AVERAGE(M644:M646))</f>
        <v>-129.33333333333334</v>
      </c>
      <c r="O646" s="10">
        <v>4024</v>
      </c>
      <c r="P646" s="7">
        <f>IF(Tabela1610[[#This Row],[JOLTS]]="",#N/A,Tabela1610[[#This Row],[JOLTS]]/Tabela1610[[#This Row],[Unemployment Level]])</f>
        <v>0.5714285714285714</v>
      </c>
    </row>
    <row r="647" spans="1:16">
      <c r="A647" s="6">
        <v>37135</v>
      </c>
      <c r="B647" s="11">
        <v>5</v>
      </c>
      <c r="C647" s="11">
        <f>IF(Tabela1610[[#This Row],[Unemployment Rate]]="",#N/A,AVERAGE(B635:B647))</f>
        <v>4.3076923076923075</v>
      </c>
      <c r="D647" s="10">
        <v>7142</v>
      </c>
      <c r="E647" s="11">
        <v>66.8</v>
      </c>
      <c r="F647" s="11"/>
      <c r="G647" s="11">
        <v>5</v>
      </c>
      <c r="H647" s="55">
        <v>10452.799999999999</v>
      </c>
      <c r="I647" s="56">
        <f>IF(Tabela1610[[#This Row],[Real Disposable Income (RDI)]]="",#N/A,((Tabela1610[[#This Row],[Real Disposable Income (RDI)]]*1)/H646)-1)</f>
        <v>-8.5648433572669269E-3</v>
      </c>
      <c r="J647" s="56">
        <f>IF(Tabela1610[[#This Row],[Real Disposable Income (RDI)]]="",#N/A,((Tabela1610[[#This Row],[Real Disposable Income (RDI)]]*1)/H635)-1)</f>
        <v>3.3876343926490859E-2</v>
      </c>
      <c r="K647" s="10">
        <v>517000</v>
      </c>
      <c r="L647" s="11">
        <v>13.2</v>
      </c>
      <c r="M647" s="10">
        <v>-259</v>
      </c>
      <c r="N647" s="10">
        <f>IF(Tabela1610[[#This Row],[Payroll]]="",#N/A,AVERAGE(M645:M647))</f>
        <v>-177</v>
      </c>
      <c r="O647" s="10">
        <v>4071</v>
      </c>
      <c r="P647" s="7">
        <f>IF(Tabela1610[[#This Row],[JOLTS]]="",#N/A,Tabela1610[[#This Row],[JOLTS]]/Tabela1610[[#This Row],[Unemployment Level]])</f>
        <v>0.570008401008121</v>
      </c>
    </row>
    <row r="648" spans="1:16">
      <c r="A648" s="6">
        <v>37165</v>
      </c>
      <c r="B648" s="11">
        <v>5.3</v>
      </c>
      <c r="C648" s="11">
        <f>IF(Tabela1610[[#This Row],[Unemployment Rate]]="",#N/A,AVERAGE(B636:B648))</f>
        <v>4.4153846153846148</v>
      </c>
      <c r="D648" s="10">
        <v>7694</v>
      </c>
      <c r="E648" s="11">
        <v>66.7</v>
      </c>
      <c r="F648" s="11"/>
      <c r="G648" s="11">
        <v>5</v>
      </c>
      <c r="H648" s="55">
        <v>10267.700000000001</v>
      </c>
      <c r="I648" s="56">
        <f>IF(Tabela1610[[#This Row],[Real Disposable Income (RDI)]]="",#N/A,((Tabela1610[[#This Row],[Real Disposable Income (RDI)]]*1)/H647)-1)</f>
        <v>-1.7708173886422651E-2</v>
      </c>
      <c r="J648" s="56">
        <f>IF(Tabela1610[[#This Row],[Real Disposable Income (RDI)]]="",#N/A,((Tabela1610[[#This Row],[Real Disposable Income (RDI)]]*1)/H636)-1)</f>
        <v>1.2673583714691405E-2</v>
      </c>
      <c r="K648" s="10">
        <v>483000</v>
      </c>
      <c r="L648" s="11">
        <v>13.3</v>
      </c>
      <c r="M648" s="10">
        <v>-313</v>
      </c>
      <c r="N648" s="10">
        <f>IF(Tabela1610[[#This Row],[Payroll]]="",#N/A,AVERAGE(M646:M648))</f>
        <v>-239.66666666666666</v>
      </c>
      <c r="O648" s="10">
        <v>3707</v>
      </c>
      <c r="P648" s="7">
        <f>IF(Tabela1610[[#This Row],[JOLTS]]="",#N/A,Tabela1610[[#This Row],[JOLTS]]/Tabela1610[[#This Row],[Unemployment Level]])</f>
        <v>0.48180400311931376</v>
      </c>
    </row>
    <row r="649" spans="1:16">
      <c r="A649" s="6">
        <v>37196</v>
      </c>
      <c r="B649" s="11">
        <v>5.5</v>
      </c>
      <c r="C649" s="11">
        <f>IF(Tabela1610[[#This Row],[Unemployment Rate]]="",#N/A,AVERAGE(B637:B649))</f>
        <v>4.5384615384615383</v>
      </c>
      <c r="D649" s="10">
        <v>8003</v>
      </c>
      <c r="E649" s="11">
        <v>66.7</v>
      </c>
      <c r="F649" s="11"/>
      <c r="G649" s="11">
        <v>5</v>
      </c>
      <c r="H649" s="55">
        <v>10279.700000000001</v>
      </c>
      <c r="I649" s="56">
        <f>IF(Tabela1610[[#This Row],[Real Disposable Income (RDI)]]="",#N/A,((Tabela1610[[#This Row],[Real Disposable Income (RDI)]]*1)/H648)-1)</f>
        <v>1.1687135385725078E-3</v>
      </c>
      <c r="J649" s="56">
        <f>IF(Tabela1610[[#This Row],[Real Disposable Income (RDI)]]="",#N/A,((Tabela1610[[#This Row],[Real Disposable Income (RDI)]]*1)/H637)-1)</f>
        <v>1.3427317986888232E-2</v>
      </c>
      <c r="K649" s="10">
        <v>491000</v>
      </c>
      <c r="L649" s="11">
        <v>14.3</v>
      </c>
      <c r="M649" s="10">
        <v>-310</v>
      </c>
      <c r="N649" s="10">
        <f>IF(Tabela1610[[#This Row],[Payroll]]="",#N/A,AVERAGE(M647:M649))</f>
        <v>-294</v>
      </c>
      <c r="O649" s="10">
        <v>3775</v>
      </c>
      <c r="P649" s="7">
        <f>IF(Tabela1610[[#This Row],[JOLTS]]="",#N/A,Tabela1610[[#This Row],[JOLTS]]/Tabela1610[[#This Row],[Unemployment Level]])</f>
        <v>0.47169811320754718</v>
      </c>
    </row>
    <row r="650" spans="1:16">
      <c r="A650" s="6">
        <v>37226</v>
      </c>
      <c r="B650" s="11">
        <v>5.7</v>
      </c>
      <c r="C650" s="11">
        <f>IF(Tabela1610[[#This Row],[Unemployment Rate]]="",#N/A,AVERAGE(B638:B650))</f>
        <v>4.6769230769230763</v>
      </c>
      <c r="D650" s="10">
        <v>8258</v>
      </c>
      <c r="E650" s="11">
        <v>66.7</v>
      </c>
      <c r="F650" s="11"/>
      <c r="G650" s="11">
        <v>5</v>
      </c>
      <c r="H650" s="55">
        <v>10298.9</v>
      </c>
      <c r="I650" s="56">
        <f>IF(Tabela1610[[#This Row],[Real Disposable Income (RDI)]]="",#N/A,((Tabela1610[[#This Row],[Real Disposable Income (RDI)]]*1)/H649)-1)</f>
        <v>1.8677587867348411E-3</v>
      </c>
      <c r="J650" s="56">
        <f>IF(Tabela1610[[#This Row],[Real Disposable Income (RDI)]]="",#N/A,((Tabela1610[[#This Row],[Real Disposable Income (RDI)]]*1)/H638)-1)</f>
        <v>1.3242426925612172E-2</v>
      </c>
      <c r="K650" s="10">
        <v>421000</v>
      </c>
      <c r="L650" s="11">
        <v>14.5</v>
      </c>
      <c r="M650" s="10">
        <v>-157</v>
      </c>
      <c r="N650" s="10">
        <f>IF(Tabela1610[[#This Row],[Payroll]]="",#N/A,AVERAGE(M648:M650))</f>
        <v>-260</v>
      </c>
      <c r="O650" s="10">
        <v>3677</v>
      </c>
      <c r="P650" s="7">
        <f>IF(Tabela1610[[#This Row],[JOLTS]]="",#N/A,Tabela1610[[#This Row],[JOLTS]]/Tabela1610[[#This Row],[Unemployment Level]])</f>
        <v>0.44526519738435455</v>
      </c>
    </row>
    <row r="651" spans="1:16">
      <c r="A651" s="6">
        <v>37257</v>
      </c>
      <c r="B651" s="11">
        <v>5.7</v>
      </c>
      <c r="C651" s="11">
        <f>IF(Tabela1610[[#This Row],[Unemployment Rate]]="",#N/A,AVERAGE(B639:B651))</f>
        <v>4.8153846153846152</v>
      </c>
      <c r="D651" s="10">
        <v>8182</v>
      </c>
      <c r="E651" s="11">
        <v>66.5</v>
      </c>
      <c r="F651" s="11"/>
      <c r="G651" s="11">
        <v>4.9000000000000004</v>
      </c>
      <c r="H651" s="55">
        <v>10514.7</v>
      </c>
      <c r="I651" s="56">
        <f>IF(Tabela1610[[#This Row],[Real Disposable Income (RDI)]]="",#N/A,((Tabela1610[[#This Row],[Real Disposable Income (RDI)]]*1)/H650)-1)</f>
        <v>2.0953694083834407E-2</v>
      </c>
      <c r="J651" s="56">
        <f>IF(Tabela1610[[#This Row],[Real Disposable Income (RDI)]]="",#N/A,((Tabela1610[[#This Row],[Real Disposable Income (RDI)]]*1)/H639)-1)</f>
        <v>2.9671846999030471E-2</v>
      </c>
      <c r="K651" s="10">
        <v>414000</v>
      </c>
      <c r="L651" s="11">
        <v>14.7</v>
      </c>
      <c r="M651" s="10">
        <v>-133</v>
      </c>
      <c r="N651" s="10">
        <f>IF(Tabela1610[[#This Row],[Payroll]]="",#N/A,AVERAGE(M649:M651))</f>
        <v>-200</v>
      </c>
      <c r="O651" s="10">
        <v>3699</v>
      </c>
      <c r="P651" s="7">
        <f>IF(Tabela1610[[#This Row],[JOLTS]]="",#N/A,Tabela1610[[#This Row],[JOLTS]]/Tabela1610[[#This Row],[Unemployment Level]])</f>
        <v>0.45208995355658765</v>
      </c>
    </row>
    <row r="652" spans="1:16">
      <c r="A652" s="6">
        <v>37288</v>
      </c>
      <c r="B652" s="11">
        <v>5.7</v>
      </c>
      <c r="C652" s="11">
        <f>IF(Tabela1610[[#This Row],[Unemployment Rate]]="",#N/A,AVERAGE(B640:B652))</f>
        <v>4.9307692307692301</v>
      </c>
      <c r="D652" s="10">
        <v>8215</v>
      </c>
      <c r="E652" s="11">
        <v>66.8</v>
      </c>
      <c r="F652" s="11"/>
      <c r="G652" s="11">
        <v>4.7</v>
      </c>
      <c r="H652" s="55">
        <v>10531.6</v>
      </c>
      <c r="I652" s="56">
        <f>IF(Tabela1610[[#This Row],[Real Disposable Income (RDI)]]="",#N/A,((Tabela1610[[#This Row],[Real Disposable Income (RDI)]]*1)/H651)-1)</f>
        <v>1.607273626446748E-3</v>
      </c>
      <c r="J652" s="56">
        <f>IF(Tabela1610[[#This Row],[Real Disposable Income (RDI)]]="",#N/A,((Tabela1610[[#This Row],[Real Disposable Income (RDI)]]*1)/H640)-1)</f>
        <v>3.0146526595848711E-2</v>
      </c>
      <c r="K652" s="10">
        <v>398000</v>
      </c>
      <c r="L652" s="11">
        <v>15</v>
      </c>
      <c r="M652" s="10">
        <v>-120</v>
      </c>
      <c r="N652" s="10">
        <f>IF(Tabela1610[[#This Row],[Payroll]]="",#N/A,AVERAGE(M650:M652))</f>
        <v>-136.66666666666666</v>
      </c>
      <c r="O652" s="10">
        <v>3436</v>
      </c>
      <c r="P652" s="7">
        <f>IF(Tabela1610[[#This Row],[JOLTS]]="",#N/A,Tabela1610[[#This Row],[JOLTS]]/Tabela1610[[#This Row],[Unemployment Level]])</f>
        <v>0.41825928180158245</v>
      </c>
    </row>
    <row r="653" spans="1:16">
      <c r="A653" s="6">
        <v>37316</v>
      </c>
      <c r="B653" s="11">
        <v>5.7</v>
      </c>
      <c r="C653" s="11">
        <f>IF(Tabela1610[[#This Row],[Unemployment Rate]]="",#N/A,AVERAGE(B641:B653))</f>
        <v>5.0461538461538469</v>
      </c>
      <c r="D653" s="10">
        <v>8304</v>
      </c>
      <c r="E653" s="11">
        <v>66.599999999999994</v>
      </c>
      <c r="F653" s="11"/>
      <c r="G653" s="11">
        <v>4.5999999999999996</v>
      </c>
      <c r="H653" s="55">
        <v>10539</v>
      </c>
      <c r="I653" s="56">
        <f>IF(Tabela1610[[#This Row],[Real Disposable Income (RDI)]]="",#N/A,((Tabela1610[[#This Row],[Real Disposable Income (RDI)]]*1)/H652)-1)</f>
        <v>7.0264727106983393E-4</v>
      </c>
      <c r="J653" s="56">
        <f>IF(Tabela1610[[#This Row],[Real Disposable Income (RDI)]]="",#N/A,((Tabela1610[[#This Row],[Real Disposable Income (RDI)]]*1)/H641)-1)</f>
        <v>2.7753939772195313E-2</v>
      </c>
      <c r="K653" s="10">
        <v>479000</v>
      </c>
      <c r="L653" s="11">
        <v>15.4</v>
      </c>
      <c r="M653" s="10">
        <v>-11</v>
      </c>
      <c r="N653" s="10">
        <f>IF(Tabela1610[[#This Row],[Payroll]]="",#N/A,AVERAGE(M651:M653))</f>
        <v>-88</v>
      </c>
      <c r="O653" s="10">
        <v>3612</v>
      </c>
      <c r="P653" s="7">
        <f>IF(Tabela1610[[#This Row],[JOLTS]]="",#N/A,Tabela1610[[#This Row],[JOLTS]]/Tabela1610[[#This Row],[Unemployment Level]])</f>
        <v>0.43497109826589597</v>
      </c>
    </row>
    <row r="654" spans="1:16">
      <c r="A654" s="6">
        <v>37347</v>
      </c>
      <c r="B654" s="11">
        <v>5.9</v>
      </c>
      <c r="C654" s="11">
        <f>IF(Tabela1610[[#This Row],[Unemployment Rate]]="",#N/A,AVERAGE(B642:B654))</f>
        <v>5.1692307692307695</v>
      </c>
      <c r="D654" s="10">
        <v>8599</v>
      </c>
      <c r="E654" s="11">
        <v>66.7</v>
      </c>
      <c r="F654" s="11"/>
      <c r="G654" s="11">
        <v>4.3</v>
      </c>
      <c r="H654" s="55">
        <v>10574.2</v>
      </c>
      <c r="I654" s="56">
        <f>IF(Tabela1610[[#This Row],[Real Disposable Income (RDI)]]="",#N/A,((Tabela1610[[#This Row],[Real Disposable Income (RDI)]]*1)/H653)-1)</f>
        <v>3.3399753297278512E-3</v>
      </c>
      <c r="J654" s="56">
        <f>IF(Tabela1610[[#This Row],[Real Disposable Income (RDI)]]="",#N/A,((Tabela1610[[#This Row],[Real Disposable Income (RDI)]]*1)/H642)-1)</f>
        <v>3.3333007593006947E-2</v>
      </c>
      <c r="K654" s="10">
        <v>414000</v>
      </c>
      <c r="L654" s="11">
        <v>16.3</v>
      </c>
      <c r="M654" s="10">
        <v>-104</v>
      </c>
      <c r="N654" s="10">
        <f>IF(Tabela1610[[#This Row],[Payroll]]="",#N/A,AVERAGE(M652:M654))</f>
        <v>-78.333333333333329</v>
      </c>
      <c r="O654" s="10">
        <v>3471</v>
      </c>
      <c r="P654" s="7">
        <f>IF(Tabela1610[[#This Row],[JOLTS]]="",#N/A,Tabela1610[[#This Row],[JOLTS]]/Tabela1610[[#This Row],[Unemployment Level]])</f>
        <v>0.40365158739388302</v>
      </c>
    </row>
    <row r="655" spans="1:16">
      <c r="A655" s="6">
        <v>37377</v>
      </c>
      <c r="B655" s="11">
        <v>5.8</v>
      </c>
      <c r="C655" s="11">
        <f>IF(Tabela1610[[#This Row],[Unemployment Rate]]="",#N/A,AVERAGE(B643:B655))</f>
        <v>5.2769230769230777</v>
      </c>
      <c r="D655" s="10">
        <v>8399</v>
      </c>
      <c r="E655" s="11">
        <v>66.7</v>
      </c>
      <c r="F655" s="11"/>
      <c r="G655" s="11">
        <v>4.4000000000000004</v>
      </c>
      <c r="H655" s="55">
        <v>10616.5</v>
      </c>
      <c r="I655" s="56">
        <f>IF(Tabela1610[[#This Row],[Real Disposable Income (RDI)]]="",#N/A,((Tabela1610[[#This Row],[Real Disposable Income (RDI)]]*1)/H654)-1)</f>
        <v>4.0003026233661476E-3</v>
      </c>
      <c r="J655" s="56">
        <f>IF(Tabela1610[[#This Row],[Real Disposable Income (RDI)]]="",#N/A,((Tabela1610[[#This Row],[Real Disposable Income (RDI)]]*1)/H643)-1)</f>
        <v>3.9335467512506384E-2</v>
      </c>
      <c r="K655" s="10">
        <v>403000</v>
      </c>
      <c r="L655" s="11">
        <v>16.8</v>
      </c>
      <c r="M655" s="10">
        <v>16</v>
      </c>
      <c r="N655" s="10">
        <f>IF(Tabela1610[[#This Row],[Payroll]]="",#N/A,AVERAGE(M653:M655))</f>
        <v>-33</v>
      </c>
      <c r="O655" s="10">
        <v>3457</v>
      </c>
      <c r="P655" s="7">
        <f>IF(Tabela1610[[#This Row],[JOLTS]]="",#N/A,Tabela1610[[#This Row],[JOLTS]]/Tabela1610[[#This Row],[Unemployment Level]])</f>
        <v>0.41159661864507679</v>
      </c>
    </row>
    <row r="656" spans="1:16">
      <c r="A656" s="6">
        <v>37408</v>
      </c>
      <c r="B656" s="11">
        <v>5.8</v>
      </c>
      <c r="C656" s="11">
        <f>IF(Tabela1610[[#This Row],[Unemployment Rate]]="",#N/A,AVERAGE(B644:B656))</f>
        <v>5.3923076923076927</v>
      </c>
      <c r="D656" s="10">
        <v>8393</v>
      </c>
      <c r="E656" s="11">
        <v>66.599999999999994</v>
      </c>
      <c r="F656" s="11"/>
      <c r="G656" s="11">
        <v>4.2</v>
      </c>
      <c r="H656" s="55">
        <v>10648.2</v>
      </c>
      <c r="I656" s="56">
        <f>IF(Tabela1610[[#This Row],[Real Disposable Income (RDI)]]="",#N/A,((Tabela1610[[#This Row],[Real Disposable Income (RDI)]]*1)/H655)-1)</f>
        <v>2.9859181462819073E-3</v>
      </c>
      <c r="J656" s="56">
        <f>IF(Tabela1610[[#This Row],[Real Disposable Income (RDI)]]="",#N/A,((Tabela1610[[#This Row],[Real Disposable Income (RDI)]]*1)/H644)-1)</f>
        <v>4.2091974046055469E-2</v>
      </c>
      <c r="K656" s="10">
        <v>386000</v>
      </c>
      <c r="L656" s="11">
        <v>16.899999999999999</v>
      </c>
      <c r="M656" s="10">
        <v>50</v>
      </c>
      <c r="N656" s="10">
        <f>IF(Tabela1610[[#This Row],[Payroll]]="",#N/A,AVERAGE(M654:M656))</f>
        <v>-12.666666666666666</v>
      </c>
      <c r="O656" s="10">
        <v>3412</v>
      </c>
      <c r="P656" s="7">
        <f>IF(Tabela1610[[#This Row],[JOLTS]]="",#N/A,Tabela1610[[#This Row],[JOLTS]]/Tabela1610[[#This Row],[Unemployment Level]])</f>
        <v>0.4065292505659478</v>
      </c>
    </row>
    <row r="657" spans="1:16">
      <c r="A657" s="6">
        <v>37438</v>
      </c>
      <c r="B657" s="11">
        <v>5.8</v>
      </c>
      <c r="C657" s="11">
        <f>IF(Tabela1610[[#This Row],[Unemployment Rate]]="",#N/A,AVERAGE(B645:B657))</f>
        <v>5.4923076923076923</v>
      </c>
      <c r="D657" s="10">
        <v>8390</v>
      </c>
      <c r="E657" s="11">
        <v>66.5</v>
      </c>
      <c r="F657" s="11"/>
      <c r="G657" s="11">
        <v>4.0999999999999996</v>
      </c>
      <c r="H657" s="55">
        <v>10621</v>
      </c>
      <c r="I657" s="56">
        <f>IF(Tabela1610[[#This Row],[Real Disposable Income (RDI)]]="",#N/A,((Tabela1610[[#This Row],[Real Disposable Income (RDI)]]*1)/H656)-1)</f>
        <v>-2.5544223436825275E-3</v>
      </c>
      <c r="J657" s="56">
        <f>IF(Tabela1610[[#This Row],[Real Disposable Income (RDI)]]="",#N/A,((Tabela1610[[#This Row],[Real Disposable Income (RDI)]]*1)/H645)-1)</f>
        <v>2.4135304270685554E-2</v>
      </c>
      <c r="K657" s="10">
        <v>390000</v>
      </c>
      <c r="L657" s="11">
        <v>16.899999999999999</v>
      </c>
      <c r="M657" s="10">
        <v>-100</v>
      </c>
      <c r="N657" s="10">
        <f>IF(Tabela1610[[#This Row],[Payroll]]="",#N/A,AVERAGE(M655:M657))</f>
        <v>-11.333333333333334</v>
      </c>
      <c r="O657" s="10">
        <v>3367</v>
      </c>
      <c r="P657" s="7">
        <f>IF(Tabela1610[[#This Row],[JOLTS]]="",#N/A,Tabela1610[[#This Row],[JOLTS]]/Tabela1610[[#This Row],[Unemployment Level]])</f>
        <v>0.40131108462455306</v>
      </c>
    </row>
    <row r="658" spans="1:16">
      <c r="A658" s="6">
        <v>37469</v>
      </c>
      <c r="B658" s="11">
        <v>5.7</v>
      </c>
      <c r="C658" s="11">
        <f>IF(Tabela1610[[#This Row],[Unemployment Rate]]="",#N/A,AVERAGE(B646:B658))</f>
        <v>5.5769230769230766</v>
      </c>
      <c r="D658" s="10">
        <v>8304</v>
      </c>
      <c r="E658" s="11">
        <v>66.599999999999994</v>
      </c>
      <c r="F658" s="11"/>
      <c r="G658" s="11">
        <v>4</v>
      </c>
      <c r="H658" s="55">
        <v>10623</v>
      </c>
      <c r="I658" s="56">
        <f>IF(Tabela1610[[#This Row],[Real Disposable Income (RDI)]]="",#N/A,((Tabela1610[[#This Row],[Real Disposable Income (RDI)]]*1)/H657)-1)</f>
        <v>1.8830618585830017E-4</v>
      </c>
      <c r="J658" s="56">
        <f>IF(Tabela1610[[#This Row],[Real Disposable Income (RDI)]]="",#N/A,((Tabela1610[[#This Row],[Real Disposable Income (RDI)]]*1)/H646)-1)</f>
        <v>7.5784162153444967E-3</v>
      </c>
      <c r="K658" s="10">
        <v>394000</v>
      </c>
      <c r="L658" s="11">
        <v>16.5</v>
      </c>
      <c r="M658" s="10">
        <v>4</v>
      </c>
      <c r="N658" s="10">
        <f>IF(Tabela1610[[#This Row],[Payroll]]="",#N/A,AVERAGE(M656:M658))</f>
        <v>-15.333333333333334</v>
      </c>
      <c r="O658" s="10">
        <v>3517</v>
      </c>
      <c r="P658" s="7">
        <f>IF(Tabela1610[[#This Row],[JOLTS]]="",#N/A,Tabela1610[[#This Row],[JOLTS]]/Tabela1610[[#This Row],[Unemployment Level]])</f>
        <v>0.42353082851637763</v>
      </c>
    </row>
    <row r="659" spans="1:16">
      <c r="A659" s="6">
        <v>37500</v>
      </c>
      <c r="B659" s="11">
        <v>5.7</v>
      </c>
      <c r="C659" s="11">
        <f>IF(Tabela1610[[#This Row],[Unemployment Rate]]="",#N/A,AVERAGE(B647:B659))</f>
        <v>5.638461538461538</v>
      </c>
      <c r="D659" s="10">
        <v>8251</v>
      </c>
      <c r="E659" s="11">
        <v>66.7</v>
      </c>
      <c r="F659" s="11"/>
      <c r="G659" s="11">
        <v>3.9</v>
      </c>
      <c r="H659" s="55">
        <v>10633.6</v>
      </c>
      <c r="I659" s="56">
        <f>IF(Tabela1610[[#This Row],[Real Disposable Income (RDI)]]="",#N/A,((Tabela1610[[#This Row],[Real Disposable Income (RDI)]]*1)/H658)-1)</f>
        <v>9.9783488656690622E-4</v>
      </c>
      <c r="J659" s="56">
        <f>IF(Tabela1610[[#This Row],[Real Disposable Income (RDI)]]="",#N/A,((Tabela1610[[#This Row],[Real Disposable Income (RDI)]]*1)/H647)-1)</f>
        <v>1.7296800857186767E-2</v>
      </c>
      <c r="K659" s="10">
        <v>409000</v>
      </c>
      <c r="L659" s="11">
        <v>17.600000000000001</v>
      </c>
      <c r="M659" s="10">
        <v>-89</v>
      </c>
      <c r="N659" s="10">
        <f>IF(Tabela1610[[#This Row],[Payroll]]="",#N/A,AVERAGE(M657:M659))</f>
        <v>-61.666666666666664</v>
      </c>
      <c r="O659" s="10">
        <v>3301</v>
      </c>
      <c r="P659" s="7">
        <f>IF(Tabela1610[[#This Row],[JOLTS]]="",#N/A,Tabela1610[[#This Row],[JOLTS]]/Tabela1610[[#This Row],[Unemployment Level]])</f>
        <v>0.40007271845836867</v>
      </c>
    </row>
    <row r="660" spans="1:16">
      <c r="A660" s="6">
        <v>37530</v>
      </c>
      <c r="B660" s="11">
        <v>5.7</v>
      </c>
      <c r="C660" s="11">
        <f>IF(Tabela1610[[#This Row],[Unemployment Rate]]="",#N/A,AVERAGE(B648:B660))</f>
        <v>5.6923076923076925</v>
      </c>
      <c r="D660" s="10">
        <v>8307</v>
      </c>
      <c r="E660" s="11">
        <v>66.599999999999994</v>
      </c>
      <c r="F660" s="11"/>
      <c r="G660" s="11">
        <v>3.8</v>
      </c>
      <c r="H660" s="55">
        <v>10661.8</v>
      </c>
      <c r="I660" s="56">
        <f>IF(Tabela1610[[#This Row],[Real Disposable Income (RDI)]]="",#N/A,((Tabela1610[[#This Row],[Real Disposable Income (RDI)]]*1)/H659)-1)</f>
        <v>2.6519711104422417E-3</v>
      </c>
      <c r="J660" s="56">
        <f>IF(Tabela1610[[#This Row],[Real Disposable Income (RDI)]]="",#N/A,((Tabela1610[[#This Row],[Real Disposable Income (RDI)]]*1)/H648)-1)</f>
        <v>3.838250046261571E-2</v>
      </c>
      <c r="K660" s="10">
        <v>409000</v>
      </c>
      <c r="L660" s="11">
        <v>17.8</v>
      </c>
      <c r="M660" s="10">
        <v>123</v>
      </c>
      <c r="N660" s="10">
        <f>IF(Tabela1610[[#This Row],[Payroll]]="",#N/A,AVERAGE(M658:M660))</f>
        <v>12.666666666666666</v>
      </c>
      <c r="O660" s="10">
        <v>3479</v>
      </c>
      <c r="P660" s="7">
        <f>IF(Tabela1610[[#This Row],[JOLTS]]="",#N/A,Tabela1610[[#This Row],[JOLTS]]/Tabela1610[[#This Row],[Unemployment Level]])</f>
        <v>0.41880341880341881</v>
      </c>
    </row>
    <row r="661" spans="1:16">
      <c r="A661" s="6">
        <v>37561</v>
      </c>
      <c r="B661" s="11">
        <v>5.9</v>
      </c>
      <c r="C661" s="11">
        <f>IF(Tabela1610[[#This Row],[Unemployment Rate]]="",#N/A,AVERAGE(B649:B661))</f>
        <v>5.7384615384615376</v>
      </c>
      <c r="D661" s="10">
        <v>8520</v>
      </c>
      <c r="E661" s="11">
        <v>66.400000000000006</v>
      </c>
      <c r="F661" s="11"/>
      <c r="G661" s="11">
        <v>3.5</v>
      </c>
      <c r="H661" s="55">
        <v>10690.9</v>
      </c>
      <c r="I661" s="56">
        <f>IF(Tabela1610[[#This Row],[Real Disposable Income (RDI)]]="",#N/A,((Tabela1610[[#This Row],[Real Disposable Income (RDI)]]*1)/H660)-1)</f>
        <v>2.7293702751880478E-3</v>
      </c>
      <c r="J661" s="56">
        <f>IF(Tabela1610[[#This Row],[Real Disposable Income (RDI)]]="",#N/A,((Tabela1610[[#This Row],[Real Disposable Income (RDI)]]*1)/H649)-1)</f>
        <v>4.0001167349241529E-2</v>
      </c>
      <c r="K661" s="10">
        <v>377000</v>
      </c>
      <c r="L661" s="11">
        <v>17.600000000000001</v>
      </c>
      <c r="M661" s="10">
        <v>-3</v>
      </c>
      <c r="N661" s="10">
        <f>IF(Tabela1610[[#This Row],[Payroll]]="",#N/A,AVERAGE(M659:M661))</f>
        <v>10.333333333333334</v>
      </c>
      <c r="O661" s="10">
        <v>3514</v>
      </c>
      <c r="P661" s="7">
        <f>IF(Tabela1610[[#This Row],[JOLTS]]="",#N/A,Tabela1610[[#This Row],[JOLTS]]/Tabela1610[[#This Row],[Unemployment Level]])</f>
        <v>0.41244131455399063</v>
      </c>
    </row>
    <row r="662" spans="1:16">
      <c r="A662" s="6">
        <v>37591</v>
      </c>
      <c r="B662" s="11">
        <v>6</v>
      </c>
      <c r="C662" s="11">
        <f>IF(Tabela1610[[#This Row],[Unemployment Rate]]="",#N/A,AVERAGE(B650:B662))</f>
        <v>5.7769230769230777</v>
      </c>
      <c r="D662" s="10">
        <v>8640</v>
      </c>
      <c r="E662" s="11">
        <v>66.3</v>
      </c>
      <c r="F662" s="11"/>
      <c r="G662" s="11">
        <v>3.6</v>
      </c>
      <c r="H662" s="55">
        <v>10719.9</v>
      </c>
      <c r="I662" s="56">
        <f>IF(Tabela1610[[#This Row],[Real Disposable Income (RDI)]]="",#N/A,((Tabela1610[[#This Row],[Real Disposable Income (RDI)]]*1)/H661)-1)</f>
        <v>2.7125873406355083E-3</v>
      </c>
      <c r="J662" s="56">
        <f>IF(Tabela1610[[#This Row],[Real Disposable Income (RDI)]]="",#N/A,((Tabela1610[[#This Row],[Real Disposable Income (RDI)]]*1)/H650)-1)</f>
        <v>4.0878152035654258E-2</v>
      </c>
      <c r="K662" s="10">
        <v>409000</v>
      </c>
      <c r="L662" s="11">
        <v>18.5</v>
      </c>
      <c r="M662" s="10">
        <v>-148</v>
      </c>
      <c r="N662" s="10">
        <f>IF(Tabela1610[[#This Row],[Payroll]]="",#N/A,AVERAGE(M660:M662))</f>
        <v>-9.3333333333333339</v>
      </c>
      <c r="O662" s="10">
        <v>3169</v>
      </c>
      <c r="P662" s="7">
        <f>IF(Tabela1610[[#This Row],[JOLTS]]="",#N/A,Tabela1610[[#This Row],[JOLTS]]/Tabela1610[[#This Row],[Unemployment Level]])</f>
        <v>0.36678240740740742</v>
      </c>
    </row>
    <row r="663" spans="1:16">
      <c r="A663" s="6">
        <v>37622</v>
      </c>
      <c r="B663" s="11">
        <v>5.8</v>
      </c>
      <c r="C663" s="11">
        <f>IF(Tabela1610[[#This Row],[Unemployment Rate]]="",#N/A,AVERAGE(B651:B663))</f>
        <v>5.7846153846153845</v>
      </c>
      <c r="D663" s="10">
        <v>8520</v>
      </c>
      <c r="E663" s="11">
        <v>66.400000000000006</v>
      </c>
      <c r="F663" s="11"/>
      <c r="G663" s="11">
        <v>3.7</v>
      </c>
      <c r="H663" s="55">
        <v>10710.4</v>
      </c>
      <c r="I663" s="56">
        <f>IF(Tabela1610[[#This Row],[Real Disposable Income (RDI)]]="",#N/A,((Tabela1610[[#This Row],[Real Disposable Income (RDI)]]*1)/H662)-1)</f>
        <v>-8.8620229666325212E-4</v>
      </c>
      <c r="J663" s="56">
        <f>IF(Tabela1610[[#This Row],[Real Disposable Income (RDI)]]="",#N/A,((Tabela1610[[#This Row],[Real Disposable Income (RDI)]]*1)/H651)-1)</f>
        <v>1.8612038384357099E-2</v>
      </c>
      <c r="K663" s="10">
        <v>407000</v>
      </c>
      <c r="L663" s="11">
        <v>18.5</v>
      </c>
      <c r="M663" s="10">
        <v>109</v>
      </c>
      <c r="N663" s="10">
        <f>IF(Tabela1610[[#This Row],[Payroll]]="",#N/A,AVERAGE(M661:M663))</f>
        <v>-14</v>
      </c>
      <c r="O663" s="10">
        <v>3441</v>
      </c>
      <c r="P663" s="7">
        <f>IF(Tabela1610[[#This Row],[JOLTS]]="",#N/A,Tabela1610[[#This Row],[JOLTS]]/Tabela1610[[#This Row],[Unemployment Level]])</f>
        <v>0.40387323943661974</v>
      </c>
    </row>
    <row r="664" spans="1:16">
      <c r="A664" s="6">
        <v>37653</v>
      </c>
      <c r="B664" s="11">
        <v>5.9</v>
      </c>
      <c r="C664" s="11">
        <f>IF(Tabela1610[[#This Row],[Unemployment Rate]]="",#N/A,AVERAGE(B652:B664))</f>
        <v>5.8000000000000016</v>
      </c>
      <c r="D664" s="10">
        <v>8618</v>
      </c>
      <c r="E664" s="11">
        <v>66.400000000000006</v>
      </c>
      <c r="F664" s="11"/>
      <c r="G664" s="11">
        <v>3.9</v>
      </c>
      <c r="H664" s="55">
        <v>10674</v>
      </c>
      <c r="I664" s="56">
        <f>IF(Tabela1610[[#This Row],[Real Disposable Income (RDI)]]="",#N/A,((Tabela1610[[#This Row],[Real Disposable Income (RDI)]]*1)/H663)-1)</f>
        <v>-3.3985658798924012E-3</v>
      </c>
      <c r="J664" s="56">
        <f>IF(Tabela1610[[#This Row],[Real Disposable Income (RDI)]]="",#N/A,((Tabela1610[[#This Row],[Real Disposable Income (RDI)]]*1)/H652)-1)</f>
        <v>1.352121235139947E-2</v>
      </c>
      <c r="K664" s="10">
        <v>421000</v>
      </c>
      <c r="L664" s="11">
        <v>18.5</v>
      </c>
      <c r="M664" s="10">
        <v>-136</v>
      </c>
      <c r="N664" s="10">
        <f>IF(Tabela1610[[#This Row],[Payroll]]="",#N/A,AVERAGE(M662:M664))</f>
        <v>-58.333333333333336</v>
      </c>
      <c r="O664" s="10">
        <v>3229</v>
      </c>
      <c r="P664" s="7">
        <f>IF(Tabela1610[[#This Row],[JOLTS]]="",#N/A,Tabela1610[[#This Row],[JOLTS]]/Tabela1610[[#This Row],[Unemployment Level]])</f>
        <v>0.37468090044093755</v>
      </c>
    </row>
    <row r="665" spans="1:16">
      <c r="A665" s="6">
        <v>37681</v>
      </c>
      <c r="B665" s="11">
        <v>5.9</v>
      </c>
      <c r="C665" s="11">
        <f>IF(Tabela1610[[#This Row],[Unemployment Rate]]="",#N/A,AVERAGE(B653:B665))</f>
        <v>5.815384615384616</v>
      </c>
      <c r="D665" s="10">
        <v>8588</v>
      </c>
      <c r="E665" s="11">
        <v>66.3</v>
      </c>
      <c r="F665" s="11"/>
      <c r="G665" s="11">
        <v>3.7</v>
      </c>
      <c r="H665" s="55">
        <v>10696.5</v>
      </c>
      <c r="I665" s="56">
        <f>IF(Tabela1610[[#This Row],[Real Disposable Income (RDI)]]="",#N/A,((Tabela1610[[#This Row],[Real Disposable Income (RDI)]]*1)/H664)-1)</f>
        <v>2.1079258010117119E-3</v>
      </c>
      <c r="J665" s="56">
        <f>IF(Tabela1610[[#This Row],[Real Disposable Income (RDI)]]="",#N/A,((Tabela1610[[#This Row],[Real Disposable Income (RDI)]]*1)/H653)-1)</f>
        <v>1.4944491887275868E-2</v>
      </c>
      <c r="K665" s="10">
        <v>436000</v>
      </c>
      <c r="L665" s="11">
        <v>18.100000000000001</v>
      </c>
      <c r="M665" s="10">
        <v>-210</v>
      </c>
      <c r="N665" s="10">
        <f>IF(Tabela1610[[#This Row],[Payroll]]="",#N/A,AVERAGE(M663:M665))</f>
        <v>-79</v>
      </c>
      <c r="O665" s="10">
        <v>3099</v>
      </c>
      <c r="P665" s="7">
        <f>IF(Tabela1610[[#This Row],[JOLTS]]="",#N/A,Tabela1610[[#This Row],[JOLTS]]/Tabela1610[[#This Row],[Unemployment Level]])</f>
        <v>0.36085235211923616</v>
      </c>
    </row>
    <row r="666" spans="1:16">
      <c r="A666" s="6">
        <v>37712</v>
      </c>
      <c r="B666" s="11">
        <v>6</v>
      </c>
      <c r="C666" s="11">
        <f>IF(Tabela1610[[#This Row],[Unemployment Rate]]="",#N/A,AVERAGE(B654:B666))</f>
        <v>5.838461538461539</v>
      </c>
      <c r="D666" s="10">
        <v>8842</v>
      </c>
      <c r="E666" s="11">
        <v>66.400000000000006</v>
      </c>
      <c r="F666" s="11"/>
      <c r="G666" s="11">
        <v>3.5</v>
      </c>
      <c r="H666" s="55">
        <v>10752.7</v>
      </c>
      <c r="I666" s="56">
        <f>IF(Tabela1610[[#This Row],[Real Disposable Income (RDI)]]="",#N/A,((Tabela1610[[#This Row],[Real Disposable Income (RDI)]]*1)/H665)-1)</f>
        <v>5.254055064740859E-3</v>
      </c>
      <c r="J666" s="56">
        <f>IF(Tabela1610[[#This Row],[Real Disposable Income (RDI)]]="",#N/A,((Tabela1610[[#This Row],[Real Disposable Income (RDI)]]*1)/H654)-1)</f>
        <v>1.6880709651794001E-2</v>
      </c>
      <c r="K666" s="10">
        <v>444000</v>
      </c>
      <c r="L666" s="11">
        <v>19.399999999999999</v>
      </c>
      <c r="M666" s="10">
        <v>-57</v>
      </c>
      <c r="N666" s="10">
        <f>IF(Tabela1610[[#This Row],[Payroll]]="",#N/A,AVERAGE(M664:M666))</f>
        <v>-134.33333333333334</v>
      </c>
      <c r="O666" s="10">
        <v>3108</v>
      </c>
      <c r="P666" s="7">
        <f>IF(Tabela1610[[#This Row],[JOLTS]]="",#N/A,Tabela1610[[#This Row],[JOLTS]]/Tabela1610[[#This Row],[Unemployment Level]])</f>
        <v>0.35150418457362587</v>
      </c>
    </row>
    <row r="667" spans="1:16">
      <c r="A667" s="6">
        <v>37742</v>
      </c>
      <c r="B667" s="11">
        <v>6.1</v>
      </c>
      <c r="C667" s="11">
        <f>IF(Tabela1610[[#This Row],[Unemployment Rate]]="",#N/A,AVERAGE(B655:B667))</f>
        <v>5.8538461538461535</v>
      </c>
      <c r="D667" s="10">
        <v>8957</v>
      </c>
      <c r="E667" s="11">
        <v>66.400000000000006</v>
      </c>
      <c r="F667" s="11"/>
      <c r="G667" s="11">
        <v>3.5</v>
      </c>
      <c r="H667" s="55">
        <v>10832</v>
      </c>
      <c r="I667" s="56">
        <f>IF(Tabela1610[[#This Row],[Real Disposable Income (RDI)]]="",#N/A,((Tabela1610[[#This Row],[Real Disposable Income (RDI)]]*1)/H666)-1)</f>
        <v>7.3748918876188618E-3</v>
      </c>
      <c r="J667" s="56">
        <f>IF(Tabela1610[[#This Row],[Real Disposable Income (RDI)]]="",#N/A,((Tabela1610[[#This Row],[Real Disposable Income (RDI)]]*1)/H655)-1)</f>
        <v>2.029859181462812E-2</v>
      </c>
      <c r="K667" s="10">
        <v>431000</v>
      </c>
      <c r="L667" s="11">
        <v>19</v>
      </c>
      <c r="M667" s="10">
        <v>21</v>
      </c>
      <c r="N667" s="10">
        <f>IF(Tabela1610[[#This Row],[Payroll]]="",#N/A,AVERAGE(M665:M667))</f>
        <v>-82</v>
      </c>
      <c r="O667" s="10">
        <v>3289</v>
      </c>
      <c r="P667" s="7">
        <f>IF(Tabela1610[[#This Row],[JOLTS]]="",#N/A,Tabela1610[[#This Row],[JOLTS]]/Tabela1610[[#This Row],[Unemployment Level]])</f>
        <v>0.3671988388969521</v>
      </c>
    </row>
    <row r="668" spans="1:16">
      <c r="A668" s="6">
        <v>37773</v>
      </c>
      <c r="B668" s="11">
        <v>6.3</v>
      </c>
      <c r="C668" s="11">
        <f>IF(Tabela1610[[#This Row],[Unemployment Rate]]="",#N/A,AVERAGE(B656:B668))</f>
        <v>5.8923076923076909</v>
      </c>
      <c r="D668" s="10">
        <v>9266</v>
      </c>
      <c r="E668" s="11">
        <v>66.5</v>
      </c>
      <c r="F668" s="11"/>
      <c r="G668" s="11">
        <v>3.6</v>
      </c>
      <c r="H668" s="55">
        <v>10860.6</v>
      </c>
      <c r="I668" s="56">
        <f>IF(Tabela1610[[#This Row],[Real Disposable Income (RDI)]]="",#N/A,((Tabela1610[[#This Row],[Real Disposable Income (RDI)]]*1)/H667)-1)</f>
        <v>2.6403249630724268E-3</v>
      </c>
      <c r="J668" s="56">
        <f>IF(Tabela1610[[#This Row],[Real Disposable Income (RDI)]]="",#N/A,((Tabela1610[[#This Row],[Real Disposable Income (RDI)]]*1)/H656)-1)</f>
        <v>1.9947033301403128E-2</v>
      </c>
      <c r="K668" s="10">
        <v>429000</v>
      </c>
      <c r="L668" s="11">
        <v>19.899999999999999</v>
      </c>
      <c r="M668" s="10">
        <v>-5</v>
      </c>
      <c r="N668" s="10">
        <f>IF(Tabela1610[[#This Row],[Payroll]]="",#N/A,AVERAGE(M666:M668))</f>
        <v>-13.666666666666666</v>
      </c>
      <c r="O668" s="10">
        <v>3390</v>
      </c>
      <c r="P668" s="7">
        <f>IF(Tabela1610[[#This Row],[JOLTS]]="",#N/A,Tabela1610[[#This Row],[JOLTS]]/Tabela1610[[#This Row],[Unemployment Level]])</f>
        <v>0.36585365853658536</v>
      </c>
    </row>
    <row r="669" spans="1:16">
      <c r="A669" s="6">
        <v>37803</v>
      </c>
      <c r="B669" s="11">
        <v>6.2</v>
      </c>
      <c r="C669" s="11">
        <f>IF(Tabela1610[[#This Row],[Unemployment Rate]]="",#N/A,AVERAGE(B657:B669))</f>
        <v>5.9230769230769216</v>
      </c>
      <c r="D669" s="10">
        <v>9011</v>
      </c>
      <c r="E669" s="11">
        <v>66.2</v>
      </c>
      <c r="F669" s="11"/>
      <c r="G669" s="11">
        <v>3.7</v>
      </c>
      <c r="H669" s="55">
        <v>10991.1</v>
      </c>
      <c r="I669" s="56">
        <f>IF(Tabela1610[[#This Row],[Real Disposable Income (RDI)]]="",#N/A,((Tabela1610[[#This Row],[Real Disposable Income (RDI)]]*1)/H668)-1)</f>
        <v>1.2015910723164547E-2</v>
      </c>
      <c r="J669" s="56">
        <f>IF(Tabela1610[[#This Row],[Real Disposable Income (RDI)]]="",#N/A,((Tabela1610[[#This Row],[Real Disposable Income (RDI)]]*1)/H657)-1)</f>
        <v>3.4846059693060871E-2</v>
      </c>
      <c r="K669" s="10">
        <v>398000</v>
      </c>
      <c r="L669" s="11">
        <v>19.7</v>
      </c>
      <c r="M669" s="10">
        <v>-9</v>
      </c>
      <c r="N669" s="10">
        <f>IF(Tabela1610[[#This Row],[Payroll]]="",#N/A,AVERAGE(M667:M669))</f>
        <v>2.3333333333333335</v>
      </c>
      <c r="O669" s="10">
        <v>2981</v>
      </c>
      <c r="P669" s="7">
        <f>IF(Tabela1610[[#This Row],[JOLTS]]="",#N/A,Tabela1610[[#This Row],[JOLTS]]/Tabela1610[[#This Row],[Unemployment Level]])</f>
        <v>0.33081788924647654</v>
      </c>
    </row>
    <row r="670" spans="1:16">
      <c r="A670" s="6">
        <v>37834</v>
      </c>
      <c r="B670" s="11">
        <v>6.1</v>
      </c>
      <c r="C670" s="11">
        <f>IF(Tabela1610[[#This Row],[Unemployment Rate]]="",#N/A,AVERAGE(B658:B670))</f>
        <v>5.9461538461538463</v>
      </c>
      <c r="D670" s="10">
        <v>8896</v>
      </c>
      <c r="E670" s="11">
        <v>66.099999999999994</v>
      </c>
      <c r="F670" s="11"/>
      <c r="G670" s="11">
        <v>3.5</v>
      </c>
      <c r="H670" s="55">
        <v>11066.7</v>
      </c>
      <c r="I670" s="56">
        <f>IF(Tabela1610[[#This Row],[Real Disposable Income (RDI)]]="",#N/A,((Tabela1610[[#This Row],[Real Disposable Income (RDI)]]*1)/H669)-1)</f>
        <v>6.878292436607758E-3</v>
      </c>
      <c r="J670" s="56">
        <f>IF(Tabela1610[[#This Row],[Real Disposable Income (RDI)]]="",#N/A,((Tabela1610[[#This Row],[Real Disposable Income (RDI)]]*1)/H658)-1)</f>
        <v>4.176786218582329E-2</v>
      </c>
      <c r="K670" s="10">
        <v>407000</v>
      </c>
      <c r="L670" s="11">
        <v>19.2</v>
      </c>
      <c r="M670" s="10">
        <v>-30</v>
      </c>
      <c r="N670" s="10">
        <f>IF(Tabela1610[[#This Row],[Payroll]]="",#N/A,AVERAGE(M668:M670))</f>
        <v>-14.666666666666666</v>
      </c>
      <c r="O670" s="10">
        <v>3190</v>
      </c>
      <c r="P670" s="7">
        <f>IF(Tabela1610[[#This Row],[JOLTS]]="",#N/A,Tabela1610[[#This Row],[JOLTS]]/Tabela1610[[#This Row],[Unemployment Level]])</f>
        <v>0.3585881294964029</v>
      </c>
    </row>
    <row r="671" spans="1:16">
      <c r="A671" s="6">
        <v>37865</v>
      </c>
      <c r="B671" s="11">
        <v>6.1</v>
      </c>
      <c r="C671" s="11">
        <f>IF(Tabela1610[[#This Row],[Unemployment Rate]]="",#N/A,AVERAGE(B659:B671))</f>
        <v>5.9769230769230761</v>
      </c>
      <c r="D671" s="10">
        <v>8921</v>
      </c>
      <c r="E671" s="11">
        <v>66.099999999999994</v>
      </c>
      <c r="F671" s="11"/>
      <c r="G671" s="11">
        <v>3.5</v>
      </c>
      <c r="H671" s="55">
        <v>10940.8</v>
      </c>
      <c r="I671" s="56">
        <f>IF(Tabela1610[[#This Row],[Real Disposable Income (RDI)]]="",#N/A,((Tabela1610[[#This Row],[Real Disposable Income (RDI)]]*1)/H670)-1)</f>
        <v>-1.1376471757615358E-2</v>
      </c>
      <c r="J671" s="56">
        <f>IF(Tabela1610[[#This Row],[Real Disposable Income (RDI)]]="",#N/A,((Tabela1610[[#This Row],[Real Disposable Income (RDI)]]*1)/H659)-1)</f>
        <v>2.8889557628648754E-2</v>
      </c>
      <c r="K671" s="10">
        <v>387000</v>
      </c>
      <c r="L671" s="11">
        <v>19.5</v>
      </c>
      <c r="M671" s="10">
        <v>99</v>
      </c>
      <c r="N671" s="10">
        <f>IF(Tabela1610[[#This Row],[Payroll]]="",#N/A,AVERAGE(M669:M671))</f>
        <v>20</v>
      </c>
      <c r="O671" s="10">
        <v>3091</v>
      </c>
      <c r="P671" s="7">
        <f>IF(Tabela1610[[#This Row],[JOLTS]]="",#N/A,Tabela1610[[#This Row],[JOLTS]]/Tabela1610[[#This Row],[Unemployment Level]])</f>
        <v>0.34648581997533906</v>
      </c>
    </row>
    <row r="672" spans="1:16">
      <c r="A672" s="6">
        <v>37895</v>
      </c>
      <c r="B672" s="11">
        <v>6</v>
      </c>
      <c r="C672" s="11">
        <f>IF(Tabela1610[[#This Row],[Unemployment Rate]]="",#N/A,AVERAGE(B660:B672))</f>
        <v>6</v>
      </c>
      <c r="D672" s="10">
        <v>8732</v>
      </c>
      <c r="E672" s="11">
        <v>66.099999999999994</v>
      </c>
      <c r="F672" s="11"/>
      <c r="G672" s="11">
        <v>3.4</v>
      </c>
      <c r="H672" s="55">
        <v>10982.3</v>
      </c>
      <c r="I672" s="56">
        <f>IF(Tabela1610[[#This Row],[Real Disposable Income (RDI)]]="",#N/A,((Tabela1610[[#This Row],[Real Disposable Income (RDI)]]*1)/H671)-1)</f>
        <v>3.7931412693770206E-3</v>
      </c>
      <c r="J672" s="56">
        <f>IF(Tabela1610[[#This Row],[Real Disposable Income (RDI)]]="",#N/A,((Tabela1610[[#This Row],[Real Disposable Income (RDI)]]*1)/H660)-1)</f>
        <v>3.0060590144253219E-2</v>
      </c>
      <c r="K672" s="10">
        <v>379000</v>
      </c>
      <c r="L672" s="11">
        <v>19.3</v>
      </c>
      <c r="M672" s="10">
        <v>187</v>
      </c>
      <c r="N672" s="10">
        <f>IF(Tabela1610[[#This Row],[Payroll]]="",#N/A,AVERAGE(M670:M672))</f>
        <v>85.333333333333329</v>
      </c>
      <c r="O672" s="10">
        <v>3305</v>
      </c>
      <c r="P672" s="7">
        <f>IF(Tabela1610[[#This Row],[JOLTS]]="",#N/A,Tabela1610[[#This Row],[JOLTS]]/Tabela1610[[#This Row],[Unemployment Level]])</f>
        <v>0.37849289967934036</v>
      </c>
    </row>
    <row r="673" spans="1:16">
      <c r="A673" s="6">
        <v>37926</v>
      </c>
      <c r="B673" s="11">
        <v>5.8</v>
      </c>
      <c r="C673" s="11">
        <f>IF(Tabela1610[[#This Row],[Unemployment Rate]]="",#N/A,AVERAGE(B661:B673))</f>
        <v>6.0076923076923077</v>
      </c>
      <c r="D673" s="10">
        <v>8576</v>
      </c>
      <c r="E673" s="11">
        <v>66.099999999999994</v>
      </c>
      <c r="F673" s="11"/>
      <c r="G673" s="11">
        <v>3.4</v>
      </c>
      <c r="H673" s="55">
        <v>11048.4</v>
      </c>
      <c r="I673" s="56">
        <f>IF(Tabela1610[[#This Row],[Real Disposable Income (RDI)]]="",#N/A,((Tabela1610[[#This Row],[Real Disposable Income (RDI)]]*1)/H672)-1)</f>
        <v>6.0187756662994918E-3</v>
      </c>
      <c r="J673" s="56">
        <f>IF(Tabela1610[[#This Row],[Real Disposable Income (RDI)]]="",#N/A,((Tabela1610[[#This Row],[Real Disposable Income (RDI)]]*1)/H661)-1)</f>
        <v>3.3439654285420284E-2</v>
      </c>
      <c r="K673" s="10">
        <v>357000</v>
      </c>
      <c r="L673" s="11">
        <v>19.899999999999999</v>
      </c>
      <c r="M673" s="10">
        <v>43</v>
      </c>
      <c r="N673" s="10">
        <f>IF(Tabela1610[[#This Row],[Payroll]]="",#N/A,AVERAGE(M671:M673))</f>
        <v>109.66666666666667</v>
      </c>
      <c r="O673" s="10">
        <v>3324</v>
      </c>
      <c r="P673" s="7">
        <f>IF(Tabela1610[[#This Row],[JOLTS]]="",#N/A,Tabela1610[[#This Row],[JOLTS]]/Tabela1610[[#This Row],[Unemployment Level]])</f>
        <v>0.38759328358208955</v>
      </c>
    </row>
    <row r="674" spans="1:16">
      <c r="A674" s="6">
        <v>37956</v>
      </c>
      <c r="B674" s="11">
        <v>5.7</v>
      </c>
      <c r="C674" s="11">
        <f>IF(Tabela1610[[#This Row],[Unemployment Rate]]="",#N/A,AVERAGE(B662:B674))</f>
        <v>5.9923076923076923</v>
      </c>
      <c r="D674" s="10">
        <v>8317</v>
      </c>
      <c r="E674" s="11">
        <v>65.900000000000006</v>
      </c>
      <c r="F674" s="11"/>
      <c r="G674" s="11">
        <v>3.3</v>
      </c>
      <c r="H674" s="55">
        <v>11057.2</v>
      </c>
      <c r="I674" s="56">
        <f>IF(Tabela1610[[#This Row],[Real Disposable Income (RDI)]]="",#N/A,((Tabela1610[[#This Row],[Real Disposable Income (RDI)]]*1)/H673)-1)</f>
        <v>7.9649542015136632E-4</v>
      </c>
      <c r="J674" s="56">
        <f>IF(Tabela1610[[#This Row],[Real Disposable Income (RDI)]]="",#N/A,((Tabela1610[[#This Row],[Real Disposable Income (RDI)]]*1)/H662)-1)</f>
        <v>3.1464845754158199E-2</v>
      </c>
      <c r="K674" s="10">
        <v>349000</v>
      </c>
      <c r="L674" s="11">
        <v>19.8</v>
      </c>
      <c r="M674" s="10">
        <v>113</v>
      </c>
      <c r="N674" s="10">
        <f>IF(Tabela1610[[#This Row],[Payroll]]="",#N/A,AVERAGE(M672:M674))</f>
        <v>114.33333333333333</v>
      </c>
      <c r="O674" s="10">
        <v>3414</v>
      </c>
      <c r="P674" s="7">
        <f>IF(Tabela1610[[#This Row],[JOLTS]]="",#N/A,Tabela1610[[#This Row],[JOLTS]]/Tabela1610[[#This Row],[Unemployment Level]])</f>
        <v>0.41048454971744619</v>
      </c>
    </row>
    <row r="675" spans="1:16">
      <c r="A675" s="6">
        <v>37987</v>
      </c>
      <c r="B675" s="11">
        <v>5.7</v>
      </c>
      <c r="C675" s="11">
        <f>IF(Tabela1610[[#This Row],[Unemployment Rate]]="",#N/A,AVERAGE(B663:B675))</f>
        <v>5.9692307692307702</v>
      </c>
      <c r="D675" s="10">
        <v>8370</v>
      </c>
      <c r="E675" s="11">
        <v>66.099999999999994</v>
      </c>
      <c r="F675" s="11"/>
      <c r="G675" s="11">
        <v>3.3</v>
      </c>
      <c r="H675" s="55">
        <v>11051.2</v>
      </c>
      <c r="I675" s="56">
        <f>IF(Tabela1610[[#This Row],[Real Disposable Income (RDI)]]="",#N/A,((Tabela1610[[#This Row],[Real Disposable Income (RDI)]]*1)/H674)-1)</f>
        <v>-5.4263285461053634E-4</v>
      </c>
      <c r="J675" s="56">
        <f>IF(Tabela1610[[#This Row],[Real Disposable Income (RDI)]]="",#N/A,((Tabela1610[[#This Row],[Real Disposable Income (RDI)]]*1)/H663)-1)</f>
        <v>3.1819539886465575E-2</v>
      </c>
      <c r="K675" s="10">
        <v>376000</v>
      </c>
      <c r="L675" s="11">
        <v>19.899999999999999</v>
      </c>
      <c r="M675" s="10">
        <v>170</v>
      </c>
      <c r="N675" s="10">
        <f>IF(Tabela1610[[#This Row],[Payroll]]="",#N/A,AVERAGE(M673:M675))</f>
        <v>108.66666666666667</v>
      </c>
      <c r="O675" s="10">
        <v>3424</v>
      </c>
      <c r="P675" s="7">
        <f>IF(Tabela1610[[#This Row],[JOLTS]]="",#N/A,Tabela1610[[#This Row],[JOLTS]]/Tabela1610[[#This Row],[Unemployment Level]])</f>
        <v>0.40908004778972523</v>
      </c>
    </row>
    <row r="676" spans="1:16">
      <c r="A676" s="6">
        <v>38018</v>
      </c>
      <c r="B676" s="11">
        <v>5.6</v>
      </c>
      <c r="C676" s="11">
        <f>IF(Tabela1610[[#This Row],[Unemployment Rate]]="",#N/A,AVERAGE(B664:B676))</f>
        <v>5.9538461538461531</v>
      </c>
      <c r="D676" s="10">
        <v>8167</v>
      </c>
      <c r="E676" s="11">
        <v>66</v>
      </c>
      <c r="F676" s="11"/>
      <c r="G676" s="11">
        <v>3.4</v>
      </c>
      <c r="H676" s="55">
        <v>11071</v>
      </c>
      <c r="I676" s="56">
        <f>IF(Tabela1610[[#This Row],[Real Disposable Income (RDI)]]="",#N/A,((Tabela1610[[#This Row],[Real Disposable Income (RDI)]]*1)/H675)-1)</f>
        <v>1.7916606341392693E-3</v>
      </c>
      <c r="J676" s="56">
        <f>IF(Tabela1610[[#This Row],[Real Disposable Income (RDI)]]="",#N/A,((Tabela1610[[#This Row],[Real Disposable Income (RDI)]]*1)/H664)-1)</f>
        <v>3.719317968896374E-2</v>
      </c>
      <c r="K676" s="10">
        <v>348000</v>
      </c>
      <c r="L676" s="11">
        <v>20.100000000000001</v>
      </c>
      <c r="M676" s="10">
        <v>57</v>
      </c>
      <c r="N676" s="10">
        <f>IF(Tabela1610[[#This Row],[Payroll]]="",#N/A,AVERAGE(M674:M676))</f>
        <v>113.33333333333333</v>
      </c>
      <c r="O676" s="10">
        <v>3532</v>
      </c>
      <c r="P676" s="7">
        <f>IF(Tabela1610[[#This Row],[JOLTS]]="",#N/A,Tabela1610[[#This Row],[JOLTS]]/Tabela1610[[#This Row],[Unemployment Level]])</f>
        <v>0.4324721439941227</v>
      </c>
    </row>
    <row r="677" spans="1:16">
      <c r="A677" s="6">
        <v>38047</v>
      </c>
      <c r="B677" s="11">
        <v>5.8</v>
      </c>
      <c r="C677" s="11">
        <f>IF(Tabela1610[[#This Row],[Unemployment Rate]]="",#N/A,AVERAGE(B665:B677))</f>
        <v>5.9461538461538463</v>
      </c>
      <c r="D677" s="10">
        <v>8491</v>
      </c>
      <c r="E677" s="11">
        <v>66</v>
      </c>
      <c r="F677" s="11"/>
      <c r="G677" s="11">
        <v>3.4</v>
      </c>
      <c r="H677" s="55">
        <v>11115.6</v>
      </c>
      <c r="I677" s="56">
        <f>IF(Tabela1610[[#This Row],[Real Disposable Income (RDI)]]="",#N/A,((Tabela1610[[#This Row],[Real Disposable Income (RDI)]]*1)/H676)-1)</f>
        <v>4.0285430403756983E-3</v>
      </c>
      <c r="J677" s="56">
        <f>IF(Tabela1610[[#This Row],[Real Disposable Income (RDI)]]="",#N/A,((Tabela1610[[#This Row],[Real Disposable Income (RDI)]]*1)/H665)-1)</f>
        <v>3.9181040527275224E-2</v>
      </c>
      <c r="K677" s="10">
        <v>340000</v>
      </c>
      <c r="L677" s="11">
        <v>19.8</v>
      </c>
      <c r="M677" s="10">
        <v>317</v>
      </c>
      <c r="N677" s="10">
        <f>IF(Tabela1610[[#This Row],[Payroll]]="",#N/A,AVERAGE(M675:M677))</f>
        <v>181.33333333333334</v>
      </c>
      <c r="O677" s="10">
        <v>3525</v>
      </c>
      <c r="P677" s="7">
        <f>IF(Tabela1610[[#This Row],[JOLTS]]="",#N/A,Tabela1610[[#This Row],[JOLTS]]/Tabela1610[[#This Row],[Unemployment Level]])</f>
        <v>0.41514544812154047</v>
      </c>
    </row>
    <row r="678" spans="1:16">
      <c r="A678" s="6">
        <v>38078</v>
      </c>
      <c r="B678" s="11">
        <v>5.6</v>
      </c>
      <c r="C678" s="11">
        <f>IF(Tabela1610[[#This Row],[Unemployment Rate]]="",#N/A,AVERAGE(B666:B678))</f>
        <v>5.9230769230769216</v>
      </c>
      <c r="D678" s="10">
        <v>8170</v>
      </c>
      <c r="E678" s="11">
        <v>65.900000000000006</v>
      </c>
      <c r="F678" s="11"/>
      <c r="G678" s="11">
        <v>3.4</v>
      </c>
      <c r="H678" s="55">
        <v>11153.3</v>
      </c>
      <c r="I678" s="56">
        <f>IF(Tabela1610[[#This Row],[Real Disposable Income (RDI)]]="",#N/A,((Tabela1610[[#This Row],[Real Disposable Income (RDI)]]*1)/H677)-1)</f>
        <v>3.3916297815681506E-3</v>
      </c>
      <c r="J678" s="56">
        <f>IF(Tabela1610[[#This Row],[Real Disposable Income (RDI)]]="",#N/A,((Tabela1610[[#This Row],[Real Disposable Income (RDI)]]*1)/H666)-1)</f>
        <v>3.7255759018664847E-2</v>
      </c>
      <c r="K678" s="10">
        <v>339000</v>
      </c>
      <c r="L678" s="11">
        <v>19.600000000000001</v>
      </c>
      <c r="M678" s="10">
        <v>271</v>
      </c>
      <c r="N678" s="10">
        <f>IF(Tabela1610[[#This Row],[Payroll]]="",#N/A,AVERAGE(M676:M678))</f>
        <v>215</v>
      </c>
      <c r="O678" s="10">
        <v>3511</v>
      </c>
      <c r="P678" s="7">
        <f>IF(Tabela1610[[#This Row],[JOLTS]]="",#N/A,Tabela1610[[#This Row],[JOLTS]]/Tabela1610[[#This Row],[Unemployment Level]])</f>
        <v>0.42974296205630352</v>
      </c>
    </row>
    <row r="679" spans="1:16">
      <c r="A679" s="6">
        <v>38108</v>
      </c>
      <c r="B679" s="11">
        <v>5.6</v>
      </c>
      <c r="C679" s="11">
        <f>IF(Tabela1610[[#This Row],[Unemployment Rate]]="",#N/A,AVERAGE(B667:B679))</f>
        <v>5.8923076923076918</v>
      </c>
      <c r="D679" s="10">
        <v>8212</v>
      </c>
      <c r="E679" s="11">
        <v>66</v>
      </c>
      <c r="F679" s="11"/>
      <c r="G679" s="11">
        <v>3.4</v>
      </c>
      <c r="H679" s="55">
        <v>11208.9</v>
      </c>
      <c r="I679" s="56">
        <f>IF(Tabela1610[[#This Row],[Real Disposable Income (RDI)]]="",#N/A,((Tabela1610[[#This Row],[Real Disposable Income (RDI)]]*1)/H678)-1)</f>
        <v>4.9850716828203634E-3</v>
      </c>
      <c r="J679" s="56">
        <f>IF(Tabela1610[[#This Row],[Real Disposable Income (RDI)]]="",#N/A,((Tabela1610[[#This Row],[Real Disposable Income (RDI)]]*1)/H667)-1)</f>
        <v>3.4795051698670587E-2</v>
      </c>
      <c r="K679" s="10">
        <v>337000</v>
      </c>
      <c r="L679" s="11">
        <v>19.8</v>
      </c>
      <c r="M679" s="10">
        <v>284</v>
      </c>
      <c r="N679" s="10">
        <f>IF(Tabela1610[[#This Row],[Payroll]]="",#N/A,AVERAGE(M677:M679))</f>
        <v>290.66666666666669</v>
      </c>
      <c r="O679" s="10">
        <v>3710</v>
      </c>
      <c r="P679" s="7">
        <f>IF(Tabela1610[[#This Row],[JOLTS]]="",#N/A,Tabela1610[[#This Row],[JOLTS]]/Tabela1610[[#This Row],[Unemployment Level]])</f>
        <v>0.45177788602045788</v>
      </c>
    </row>
    <row r="680" spans="1:16">
      <c r="A680" s="6">
        <v>38139</v>
      </c>
      <c r="B680" s="11">
        <v>5.6</v>
      </c>
      <c r="C680" s="11">
        <f>IF(Tabela1610[[#This Row],[Unemployment Rate]]="",#N/A,AVERAGE(B668:B680))</f>
        <v>5.8538461538461535</v>
      </c>
      <c r="D680" s="10">
        <v>8286</v>
      </c>
      <c r="E680" s="11">
        <v>66.099999999999994</v>
      </c>
      <c r="F680" s="11"/>
      <c r="G680" s="11">
        <v>3.3</v>
      </c>
      <c r="H680" s="55">
        <v>11215.8</v>
      </c>
      <c r="I680" s="56">
        <f>IF(Tabela1610[[#This Row],[Real Disposable Income (RDI)]]="",#N/A,((Tabela1610[[#This Row],[Real Disposable Income (RDI)]]*1)/H679)-1)</f>
        <v>6.1558226052516041E-4</v>
      </c>
      <c r="J680" s="56">
        <f>IF(Tabela1610[[#This Row],[Real Disposable Income (RDI)]]="",#N/A,((Tabela1610[[#This Row],[Real Disposable Income (RDI)]]*1)/H668)-1)</f>
        <v>3.2705375393624614E-2</v>
      </c>
      <c r="K680" s="10">
        <v>348000</v>
      </c>
      <c r="L680" s="11">
        <v>20.5</v>
      </c>
      <c r="M680" s="10">
        <v>95</v>
      </c>
      <c r="N680" s="10">
        <f>IF(Tabela1610[[#This Row],[Payroll]]="",#N/A,AVERAGE(M678:M680))</f>
        <v>216.66666666666666</v>
      </c>
      <c r="O680" s="10">
        <v>3337</v>
      </c>
      <c r="P680" s="7">
        <f>IF(Tabela1610[[#This Row],[JOLTS]]="",#N/A,Tabela1610[[#This Row],[JOLTS]]/Tabela1610[[#This Row],[Unemployment Level]])</f>
        <v>0.4027274921554429</v>
      </c>
    </row>
    <row r="681" spans="1:16">
      <c r="A681" s="6">
        <v>38169</v>
      </c>
      <c r="B681" s="11">
        <v>5.5</v>
      </c>
      <c r="C681" s="11">
        <f>IF(Tabela1610[[#This Row],[Unemployment Rate]]="",#N/A,AVERAGE(B669:B681))</f>
        <v>5.7923076923076922</v>
      </c>
      <c r="D681" s="10">
        <v>8136</v>
      </c>
      <c r="E681" s="11">
        <v>66.099999999999994</v>
      </c>
      <c r="F681" s="11"/>
      <c r="G681" s="11">
        <v>3.4</v>
      </c>
      <c r="H681" s="55">
        <v>11240.5</v>
      </c>
      <c r="I681" s="56">
        <f>IF(Tabela1610[[#This Row],[Real Disposable Income (RDI)]]="",#N/A,((Tabela1610[[#This Row],[Real Disposable Income (RDI)]]*1)/H680)-1)</f>
        <v>2.2022503967618068E-3</v>
      </c>
      <c r="J681" s="56">
        <f>IF(Tabela1610[[#This Row],[Real Disposable Income (RDI)]]="",#N/A,((Tabela1610[[#This Row],[Real Disposable Income (RDI)]]*1)/H669)-1)</f>
        <v>2.2691086424470708E-2</v>
      </c>
      <c r="K681" s="10">
        <v>341000</v>
      </c>
      <c r="L681" s="11">
        <v>18.8</v>
      </c>
      <c r="M681" s="10">
        <v>60</v>
      </c>
      <c r="N681" s="10">
        <f>IF(Tabela1610[[#This Row],[Payroll]]="",#N/A,AVERAGE(M679:M681))</f>
        <v>146.33333333333334</v>
      </c>
      <c r="O681" s="10">
        <v>3814</v>
      </c>
      <c r="P681" s="7">
        <f>IF(Tabela1610[[#This Row],[JOLTS]]="",#N/A,Tabela1610[[#This Row],[JOLTS]]/Tabela1610[[#This Row],[Unemployment Level]])</f>
        <v>0.46878072763028517</v>
      </c>
    </row>
    <row r="682" spans="1:16">
      <c r="A682" s="6">
        <v>38200</v>
      </c>
      <c r="B682" s="11">
        <v>5.4</v>
      </c>
      <c r="C682" s="11">
        <f>IF(Tabela1610[[#This Row],[Unemployment Rate]]="",#N/A,AVERAGE(B670:B682))</f>
        <v>5.7307692307692308</v>
      </c>
      <c r="D682" s="10">
        <v>7990</v>
      </c>
      <c r="E682" s="11">
        <v>66</v>
      </c>
      <c r="F682" s="11"/>
      <c r="G682" s="11">
        <v>3.5</v>
      </c>
      <c r="H682" s="55">
        <v>11274.6</v>
      </c>
      <c r="I682" s="56">
        <f>IF(Tabela1610[[#This Row],[Real Disposable Income (RDI)]]="",#N/A,((Tabela1610[[#This Row],[Real Disposable Income (RDI)]]*1)/H681)-1)</f>
        <v>3.033672879320326E-3</v>
      </c>
      <c r="J682" s="56">
        <f>IF(Tabela1610[[#This Row],[Real Disposable Income (RDI)]]="",#N/A,((Tabela1610[[#This Row],[Real Disposable Income (RDI)]]*1)/H670)-1)</f>
        <v>1.8786087993710732E-2</v>
      </c>
      <c r="K682" s="10">
        <v>352000</v>
      </c>
      <c r="L682" s="11">
        <v>18.8</v>
      </c>
      <c r="M682" s="10">
        <v>87</v>
      </c>
      <c r="N682" s="10">
        <f>IF(Tabela1610[[#This Row],[Payroll]]="",#N/A,AVERAGE(M680:M682))</f>
        <v>80.666666666666671</v>
      </c>
      <c r="O682" s="10">
        <v>3541</v>
      </c>
      <c r="P682" s="7">
        <f>IF(Tabela1610[[#This Row],[JOLTS]]="",#N/A,Tabela1610[[#This Row],[JOLTS]]/Tabela1610[[#This Row],[Unemployment Level]])</f>
        <v>0.44317897371714643</v>
      </c>
    </row>
    <row r="683" spans="1:16">
      <c r="A683" s="6">
        <v>38231</v>
      </c>
      <c r="B683" s="11">
        <v>5.4</v>
      </c>
      <c r="C683" s="11">
        <f>IF(Tabela1610[[#This Row],[Unemployment Rate]]="",#N/A,AVERAGE(B671:B683))</f>
        <v>5.6769230769230781</v>
      </c>
      <c r="D683" s="10">
        <v>7927</v>
      </c>
      <c r="E683" s="11">
        <v>65.8</v>
      </c>
      <c r="F683" s="11"/>
      <c r="G683" s="11">
        <v>3.7</v>
      </c>
      <c r="H683" s="55">
        <v>11279.6</v>
      </c>
      <c r="I683" s="56">
        <f>IF(Tabela1610[[#This Row],[Real Disposable Income (RDI)]]="",#N/A,((Tabela1610[[#This Row],[Real Disposable Income (RDI)]]*1)/H682)-1)</f>
        <v>4.4347471307193409E-4</v>
      </c>
      <c r="J683" s="56">
        <f>IF(Tabela1610[[#This Row],[Real Disposable Income (RDI)]]="",#N/A,((Tabela1610[[#This Row],[Real Disposable Income (RDI)]]*1)/H671)-1)</f>
        <v>3.0966656917227331E-2</v>
      </c>
      <c r="K683" s="10">
        <v>351000</v>
      </c>
      <c r="L683" s="11">
        <v>19.399999999999999</v>
      </c>
      <c r="M683" s="10">
        <v>146</v>
      </c>
      <c r="N683" s="10">
        <f>IF(Tabela1610[[#This Row],[Payroll]]="",#N/A,AVERAGE(M681:M683))</f>
        <v>97.666666666666671</v>
      </c>
      <c r="O683" s="10">
        <v>3821</v>
      </c>
      <c r="P683" s="7">
        <f>IF(Tabela1610[[#This Row],[JOLTS]]="",#N/A,Tabela1610[[#This Row],[JOLTS]]/Tabela1610[[#This Row],[Unemployment Level]])</f>
        <v>0.4820234641100038</v>
      </c>
    </row>
    <row r="684" spans="1:16">
      <c r="A684" s="6">
        <v>38261</v>
      </c>
      <c r="B684" s="11">
        <v>5.5</v>
      </c>
      <c r="C684" s="11">
        <f>IF(Tabela1610[[#This Row],[Unemployment Rate]]="",#N/A,AVERAGE(B672:B684))</f>
        <v>5.6307692307692312</v>
      </c>
      <c r="D684" s="10">
        <v>8061</v>
      </c>
      <c r="E684" s="11">
        <v>65.900000000000006</v>
      </c>
      <c r="F684" s="11"/>
      <c r="G684" s="11">
        <v>3.7</v>
      </c>
      <c r="H684" s="55">
        <v>11282.5</v>
      </c>
      <c r="I684" s="56">
        <f>IF(Tabela1610[[#This Row],[Real Disposable Income (RDI)]]="",#N/A,((Tabela1610[[#This Row],[Real Disposable Income (RDI)]]*1)/H683)-1)</f>
        <v>2.5710131564937733E-4</v>
      </c>
      <c r="J684" s="56">
        <f>IF(Tabela1610[[#This Row],[Real Disposable Income (RDI)]]="",#N/A,((Tabela1610[[#This Row],[Real Disposable Income (RDI)]]*1)/H672)-1)</f>
        <v>2.733489341941131E-2</v>
      </c>
      <c r="K684" s="10">
        <v>332000</v>
      </c>
      <c r="L684" s="11">
        <v>19.5</v>
      </c>
      <c r="M684" s="10">
        <v>351</v>
      </c>
      <c r="N684" s="10">
        <f>IF(Tabela1610[[#This Row],[Payroll]]="",#N/A,AVERAGE(M682:M684))</f>
        <v>194.66666666666666</v>
      </c>
      <c r="O684" s="10">
        <v>3943</v>
      </c>
      <c r="P684" s="7">
        <f>IF(Tabela1610[[#This Row],[JOLTS]]="",#N/A,Tabela1610[[#This Row],[JOLTS]]/Tabela1610[[#This Row],[Unemployment Level]])</f>
        <v>0.48914526733655872</v>
      </c>
    </row>
    <row r="685" spans="1:16">
      <c r="A685" s="6">
        <v>38292</v>
      </c>
      <c r="B685" s="11">
        <v>5.4</v>
      </c>
      <c r="C685" s="11">
        <f>IF(Tabela1610[[#This Row],[Unemployment Rate]]="",#N/A,AVERAGE(B673:B685))</f>
        <v>5.5846153846153843</v>
      </c>
      <c r="D685" s="10">
        <v>7932</v>
      </c>
      <c r="E685" s="11">
        <v>66</v>
      </c>
      <c r="F685" s="11"/>
      <c r="G685" s="11">
        <v>3.7</v>
      </c>
      <c r="H685" s="55">
        <v>11246.1</v>
      </c>
      <c r="I685" s="56">
        <f>IF(Tabela1610[[#This Row],[Real Disposable Income (RDI)]]="",#N/A,((Tabela1610[[#This Row],[Real Disposable Income (RDI)]]*1)/H684)-1)</f>
        <v>-3.2262353201860661E-3</v>
      </c>
      <c r="J685" s="56">
        <f>IF(Tabela1610[[#This Row],[Real Disposable Income (RDI)]]="",#N/A,((Tabela1610[[#This Row],[Real Disposable Income (RDI)]]*1)/H673)-1)</f>
        <v>1.7893993700445421E-2</v>
      </c>
      <c r="K685" s="10">
        <v>335000</v>
      </c>
      <c r="L685" s="11">
        <v>19.7</v>
      </c>
      <c r="M685" s="10">
        <v>76</v>
      </c>
      <c r="N685" s="10">
        <f>IF(Tabela1610[[#This Row],[Payroll]]="",#N/A,AVERAGE(M683:M685))</f>
        <v>191</v>
      </c>
      <c r="O685" s="10">
        <v>3472</v>
      </c>
      <c r="P685" s="7">
        <f>IF(Tabela1610[[#This Row],[JOLTS]]="",#N/A,Tabela1610[[#This Row],[JOLTS]]/Tabela1610[[#This Row],[Unemployment Level]])</f>
        <v>0.43772062531517902</v>
      </c>
    </row>
    <row r="686" spans="1:16">
      <c r="A686" s="6">
        <v>38322</v>
      </c>
      <c r="B686" s="11">
        <v>5.4</v>
      </c>
      <c r="C686" s="11">
        <f>IF(Tabela1610[[#This Row],[Unemployment Rate]]="",#N/A,AVERAGE(B674:B686))</f>
        <v>5.5538461538461537</v>
      </c>
      <c r="D686" s="10">
        <v>7934</v>
      </c>
      <c r="E686" s="11">
        <v>65.900000000000006</v>
      </c>
      <c r="F686" s="11"/>
      <c r="G686" s="11">
        <v>3.5</v>
      </c>
      <c r="H686" s="55">
        <v>11659</v>
      </c>
      <c r="I686" s="56">
        <f>IF(Tabela1610[[#This Row],[Real Disposable Income (RDI)]]="",#N/A,((Tabela1610[[#This Row],[Real Disposable Income (RDI)]]*1)/H685)-1)</f>
        <v>3.6714950071580432E-2</v>
      </c>
      <c r="J686" s="56">
        <f>IF(Tabela1610[[#This Row],[Real Disposable Income (RDI)]]="",#N/A,((Tabela1610[[#This Row],[Real Disposable Income (RDI)]]*1)/H674)-1)</f>
        <v>5.4426075317440148E-2</v>
      </c>
      <c r="K686" s="10">
        <v>320000</v>
      </c>
      <c r="L686" s="11">
        <v>19.399999999999999</v>
      </c>
      <c r="M686" s="10">
        <v>124</v>
      </c>
      <c r="N686" s="10">
        <f>IF(Tabela1610[[#This Row],[Payroll]]="",#N/A,AVERAGE(M684:M686))</f>
        <v>183.66666666666666</v>
      </c>
      <c r="O686" s="10">
        <v>4074</v>
      </c>
      <c r="P686" s="7">
        <f>IF(Tabela1610[[#This Row],[JOLTS]]="",#N/A,Tabela1610[[#This Row],[JOLTS]]/Tabela1610[[#This Row],[Unemployment Level]])</f>
        <v>0.51348626165868416</v>
      </c>
    </row>
    <row r="687" spans="1:16">
      <c r="A687" s="6">
        <v>38353</v>
      </c>
      <c r="B687" s="11">
        <v>5.3</v>
      </c>
      <c r="C687" s="11">
        <f>IF(Tabela1610[[#This Row],[Unemployment Rate]]="",#N/A,AVERAGE(B675:B687))</f>
        <v>5.523076923076923</v>
      </c>
      <c r="D687" s="10">
        <v>7784</v>
      </c>
      <c r="E687" s="11">
        <v>65.8</v>
      </c>
      <c r="F687" s="11"/>
      <c r="G687" s="11">
        <v>3.6</v>
      </c>
      <c r="H687" s="55">
        <v>11226.5</v>
      </c>
      <c r="I687" s="56">
        <f>IF(Tabela1610[[#This Row],[Real Disposable Income (RDI)]]="",#N/A,((Tabela1610[[#This Row],[Real Disposable Income (RDI)]]*1)/H686)-1)</f>
        <v>-3.7095805815250071E-2</v>
      </c>
      <c r="J687" s="56">
        <f>IF(Tabela1610[[#This Row],[Real Disposable Income (RDI)]]="",#N/A,((Tabela1610[[#This Row],[Real Disposable Income (RDI)]]*1)/H675)-1)</f>
        <v>1.5862530765889504E-2</v>
      </c>
      <c r="K687" s="10">
        <v>331000</v>
      </c>
      <c r="L687" s="11">
        <v>19.5</v>
      </c>
      <c r="M687" s="10">
        <v>145</v>
      </c>
      <c r="N687" s="10">
        <f>IF(Tabela1610[[#This Row],[Payroll]]="",#N/A,AVERAGE(M685:M687))</f>
        <v>115</v>
      </c>
      <c r="O687" s="10">
        <v>3804</v>
      </c>
      <c r="P687" s="7">
        <f>IF(Tabela1610[[#This Row],[JOLTS]]="",#N/A,Tabela1610[[#This Row],[JOLTS]]/Tabela1610[[#This Row],[Unemployment Level]])</f>
        <v>0.48869475847893112</v>
      </c>
    </row>
    <row r="688" spans="1:16">
      <c r="A688" s="6">
        <v>38384</v>
      </c>
      <c r="B688" s="11">
        <v>5.4</v>
      </c>
      <c r="C688" s="11">
        <f>IF(Tabela1610[[#This Row],[Unemployment Rate]]="",#N/A,AVERAGE(B676:B688))</f>
        <v>5.5</v>
      </c>
      <c r="D688" s="10">
        <v>7980</v>
      </c>
      <c r="E688" s="11">
        <v>65.900000000000006</v>
      </c>
      <c r="F688" s="11"/>
      <c r="G688" s="11">
        <v>3.5</v>
      </c>
      <c r="H688" s="55">
        <v>11229</v>
      </c>
      <c r="I688" s="56">
        <f>IF(Tabela1610[[#This Row],[Real Disposable Income (RDI)]]="",#N/A,((Tabela1610[[#This Row],[Real Disposable Income (RDI)]]*1)/H687)-1)</f>
        <v>2.2268739143993521E-4</v>
      </c>
      <c r="J688" s="56">
        <f>IF(Tabela1610[[#This Row],[Real Disposable Income (RDI)]]="",#N/A,((Tabela1610[[#This Row],[Real Disposable Income (RDI)]]*1)/H676)-1)</f>
        <v>1.427152018787825E-2</v>
      </c>
      <c r="K688" s="10">
        <v>314000</v>
      </c>
      <c r="L688" s="11">
        <v>19.100000000000001</v>
      </c>
      <c r="M688" s="10">
        <v>255</v>
      </c>
      <c r="N688" s="10">
        <f>IF(Tabela1610[[#This Row],[Payroll]]="",#N/A,AVERAGE(M686:M688))</f>
        <v>174.66666666666666</v>
      </c>
      <c r="O688" s="10">
        <v>3965</v>
      </c>
      <c r="P688" s="7">
        <f>IF(Tabela1610[[#This Row],[JOLTS]]="",#N/A,Tabela1610[[#This Row],[JOLTS]]/Tabela1610[[#This Row],[Unemployment Level]])</f>
        <v>0.49686716791979951</v>
      </c>
    </row>
    <row r="689" spans="1:16">
      <c r="A689" s="6">
        <v>38412</v>
      </c>
      <c r="B689" s="11">
        <v>5.2</v>
      </c>
      <c r="C689" s="11">
        <f>IF(Tabela1610[[#This Row],[Unemployment Rate]]="",#N/A,AVERAGE(B677:B689))</f>
        <v>5.4692307692307685</v>
      </c>
      <c r="D689" s="10">
        <v>7737</v>
      </c>
      <c r="E689" s="11">
        <v>65.900000000000006</v>
      </c>
      <c r="F689" s="11"/>
      <c r="G689" s="11">
        <v>3.6</v>
      </c>
      <c r="H689" s="55">
        <v>11268.8</v>
      </c>
      <c r="I689" s="56">
        <f>IF(Tabela1610[[#This Row],[Real Disposable Income (RDI)]]="",#N/A,((Tabela1610[[#This Row],[Real Disposable Income (RDI)]]*1)/H688)-1)</f>
        <v>3.5443939798733837E-3</v>
      </c>
      <c r="J689" s="56">
        <f>IF(Tabela1610[[#This Row],[Real Disposable Income (RDI)]]="",#N/A,((Tabela1610[[#This Row],[Real Disposable Income (RDI)]]*1)/H677)-1)</f>
        <v>1.378243189751327E-2</v>
      </c>
      <c r="K689" s="10">
        <v>342000</v>
      </c>
      <c r="L689" s="11">
        <v>19.5</v>
      </c>
      <c r="M689" s="10">
        <v>120</v>
      </c>
      <c r="N689" s="10">
        <f>IF(Tabela1610[[#This Row],[Payroll]]="",#N/A,AVERAGE(M687:M689))</f>
        <v>173.33333333333334</v>
      </c>
      <c r="O689" s="10">
        <v>4044</v>
      </c>
      <c r="P689" s="7">
        <f>IF(Tabela1610[[#This Row],[JOLTS]]="",#N/A,Tabela1610[[#This Row],[JOLTS]]/Tabela1610[[#This Row],[Unemployment Level]])</f>
        <v>0.52268321054672351</v>
      </c>
    </row>
    <row r="690" spans="1:16">
      <c r="A690" s="6">
        <v>38443</v>
      </c>
      <c r="B690" s="11">
        <v>5.2</v>
      </c>
      <c r="C690" s="11">
        <f>IF(Tabela1610[[#This Row],[Unemployment Rate]]="",#N/A,AVERAGE(B678:B690))</f>
        <v>5.4230769230769216</v>
      </c>
      <c r="D690" s="10">
        <v>7672</v>
      </c>
      <c r="E690" s="11">
        <v>66.099999999999994</v>
      </c>
      <c r="F690" s="11"/>
      <c r="G690" s="11">
        <v>3.5</v>
      </c>
      <c r="H690" s="55">
        <v>11304.2</v>
      </c>
      <c r="I690" s="56">
        <f>IF(Tabela1610[[#This Row],[Real Disposable Income (RDI)]]="",#N/A,((Tabela1610[[#This Row],[Real Disposable Income (RDI)]]*1)/H689)-1)</f>
        <v>3.1414170097971983E-3</v>
      </c>
      <c r="J690" s="56">
        <f>IF(Tabela1610[[#This Row],[Real Disposable Income (RDI)]]="",#N/A,((Tabela1610[[#This Row],[Real Disposable Income (RDI)]]*1)/H678)-1)</f>
        <v>1.3529628002474814E-2</v>
      </c>
      <c r="K690" s="10">
        <v>334000</v>
      </c>
      <c r="L690" s="11">
        <v>19.600000000000001</v>
      </c>
      <c r="M690" s="10">
        <v>363</v>
      </c>
      <c r="N690" s="10">
        <f>IF(Tabela1610[[#This Row],[Payroll]]="",#N/A,AVERAGE(M688:M690))</f>
        <v>246</v>
      </c>
      <c r="O690" s="10">
        <v>4159</v>
      </c>
      <c r="P690" s="7">
        <f>IF(Tabela1610[[#This Row],[JOLTS]]="",#N/A,Tabela1610[[#This Row],[JOLTS]]/Tabela1610[[#This Row],[Unemployment Level]])</f>
        <v>0.54210114702815437</v>
      </c>
    </row>
    <row r="691" spans="1:16">
      <c r="A691" s="6">
        <v>38473</v>
      </c>
      <c r="B691" s="11">
        <v>5.0999999999999996</v>
      </c>
      <c r="C691" s="11">
        <f>IF(Tabela1610[[#This Row],[Unemployment Rate]]="",#N/A,AVERAGE(B679:B691))</f>
        <v>5.3846153846153832</v>
      </c>
      <c r="D691" s="10">
        <v>7651</v>
      </c>
      <c r="E691" s="11">
        <v>66.099999999999994</v>
      </c>
      <c r="F691" s="11"/>
      <c r="G691" s="11">
        <v>3.6</v>
      </c>
      <c r="H691" s="55">
        <v>11352.7</v>
      </c>
      <c r="I691" s="56">
        <f>IF(Tabela1610[[#This Row],[Real Disposable Income (RDI)]]="",#N/A,((Tabela1610[[#This Row],[Real Disposable Income (RDI)]]*1)/H690)-1)</f>
        <v>4.2904407211479256E-3</v>
      </c>
      <c r="J691" s="56">
        <f>IF(Tabela1610[[#This Row],[Real Disposable Income (RDI)]]="",#N/A,((Tabela1610[[#This Row],[Real Disposable Income (RDI)]]*1)/H679)-1)</f>
        <v>1.2829091168625073E-2</v>
      </c>
      <c r="K691" s="10">
        <v>340000</v>
      </c>
      <c r="L691" s="11">
        <v>18.600000000000001</v>
      </c>
      <c r="M691" s="10">
        <v>171</v>
      </c>
      <c r="N691" s="10">
        <f>IF(Tabela1610[[#This Row],[Payroll]]="",#N/A,AVERAGE(M689:M691))</f>
        <v>218</v>
      </c>
      <c r="O691" s="10">
        <v>3797</v>
      </c>
      <c r="P691" s="7">
        <f>IF(Tabela1610[[#This Row],[JOLTS]]="",#N/A,Tabela1610[[#This Row],[JOLTS]]/Tabela1610[[#This Row],[Unemployment Level]])</f>
        <v>0.49627499673245329</v>
      </c>
    </row>
    <row r="692" spans="1:16">
      <c r="A692" s="6">
        <v>38504</v>
      </c>
      <c r="B692" s="11">
        <v>5</v>
      </c>
      <c r="C692" s="11">
        <f>IF(Tabela1610[[#This Row],[Unemployment Rate]]="",#N/A,AVERAGE(B680:B692))</f>
        <v>5.3384615384615381</v>
      </c>
      <c r="D692" s="10">
        <v>7524</v>
      </c>
      <c r="E692" s="11">
        <v>66.099999999999994</v>
      </c>
      <c r="F692" s="11"/>
      <c r="G692" s="11">
        <v>3.8</v>
      </c>
      <c r="H692" s="55">
        <v>11375.5</v>
      </c>
      <c r="I692" s="56">
        <f>IF(Tabela1610[[#This Row],[Real Disposable Income (RDI)]]="",#N/A,((Tabela1610[[#This Row],[Real Disposable Income (RDI)]]*1)/H691)-1)</f>
        <v>2.0083328195055206E-3</v>
      </c>
      <c r="J692" s="56">
        <f>IF(Tabela1610[[#This Row],[Real Disposable Income (RDI)]]="",#N/A,((Tabela1610[[#This Row],[Real Disposable Income (RDI)]]*1)/H680)-1)</f>
        <v>1.4238841634123256E-2</v>
      </c>
      <c r="K692" s="10">
        <v>311000</v>
      </c>
      <c r="L692" s="11">
        <v>17.899999999999999</v>
      </c>
      <c r="M692" s="10">
        <v>253</v>
      </c>
      <c r="N692" s="10">
        <f>IF(Tabela1610[[#This Row],[Payroll]]="",#N/A,AVERAGE(M690:M692))</f>
        <v>262.33333333333331</v>
      </c>
      <c r="O692" s="10">
        <v>4062</v>
      </c>
      <c r="P692" s="7">
        <f>IF(Tabela1610[[#This Row],[JOLTS]]="",#N/A,Tabela1610[[#This Row],[JOLTS]]/Tabela1610[[#This Row],[Unemployment Level]])</f>
        <v>0.53987240829346095</v>
      </c>
    </row>
    <row r="693" spans="1:16">
      <c r="A693" s="6">
        <v>38534</v>
      </c>
      <c r="B693" s="11">
        <v>5</v>
      </c>
      <c r="C693" s="11">
        <f>IF(Tabela1610[[#This Row],[Unemployment Rate]]="",#N/A,AVERAGE(B681:B693))</f>
        <v>5.292307692307693</v>
      </c>
      <c r="D693" s="10">
        <v>7406</v>
      </c>
      <c r="E693" s="11">
        <v>66.099999999999994</v>
      </c>
      <c r="F693" s="11"/>
      <c r="G693" s="11">
        <v>4</v>
      </c>
      <c r="H693" s="55">
        <v>11387.1</v>
      </c>
      <c r="I693" s="56">
        <f>IF(Tabela1610[[#This Row],[Real Disposable Income (RDI)]]="",#N/A,((Tabela1610[[#This Row],[Real Disposable Income (RDI)]]*1)/H692)-1)</f>
        <v>1.0197353962464462E-3</v>
      </c>
      <c r="J693" s="56">
        <f>IF(Tabela1610[[#This Row],[Real Disposable Income (RDI)]]="",#N/A,((Tabela1610[[#This Row],[Real Disposable Income (RDI)]]*1)/H681)-1)</f>
        <v>1.304212446065578E-2</v>
      </c>
      <c r="K693" s="10">
        <v>316000</v>
      </c>
      <c r="L693" s="11">
        <v>17.600000000000001</v>
      </c>
      <c r="M693" s="10">
        <v>357</v>
      </c>
      <c r="N693" s="10">
        <f>IF(Tabela1610[[#This Row],[Payroll]]="",#N/A,AVERAGE(M691:M693))</f>
        <v>260.33333333333331</v>
      </c>
      <c r="O693" s="10">
        <v>4256</v>
      </c>
      <c r="P693" s="7">
        <f>IF(Tabela1610[[#This Row],[JOLTS]]="",#N/A,Tabela1610[[#This Row],[JOLTS]]/Tabela1610[[#This Row],[Unemployment Level]])</f>
        <v>0.5746691871455577</v>
      </c>
    </row>
    <row r="694" spans="1:16">
      <c r="A694" s="6">
        <v>38565</v>
      </c>
      <c r="B694" s="11">
        <v>4.9000000000000004</v>
      </c>
      <c r="C694" s="11">
        <f>IF(Tabela1610[[#This Row],[Unemployment Rate]]="",#N/A,AVERAGE(B682:B694))</f>
        <v>5.2461538461538462</v>
      </c>
      <c r="D694" s="10">
        <v>7345</v>
      </c>
      <c r="E694" s="11">
        <v>66.2</v>
      </c>
      <c r="F694" s="11"/>
      <c r="G694" s="11">
        <v>4</v>
      </c>
      <c r="H694" s="55">
        <v>11405.3</v>
      </c>
      <c r="I694" s="56">
        <f>IF(Tabela1610[[#This Row],[Real Disposable Income (RDI)]]="",#N/A,((Tabela1610[[#This Row],[Real Disposable Income (RDI)]]*1)/H693)-1)</f>
        <v>1.5982998305099638E-3</v>
      </c>
      <c r="J694" s="56">
        <f>IF(Tabela1610[[#This Row],[Real Disposable Income (RDI)]]="",#N/A,((Tabela1610[[#This Row],[Real Disposable Income (RDI)]]*1)/H682)-1)</f>
        <v>1.1592428999698257E-2</v>
      </c>
      <c r="K694" s="10">
        <v>318000</v>
      </c>
      <c r="L694" s="11">
        <v>18.399999999999999</v>
      </c>
      <c r="M694" s="10">
        <v>198</v>
      </c>
      <c r="N694" s="10">
        <f>IF(Tabela1610[[#This Row],[Payroll]]="",#N/A,AVERAGE(M692:M694))</f>
        <v>269.33333333333331</v>
      </c>
      <c r="O694" s="10">
        <v>4142</v>
      </c>
      <c r="P694" s="7">
        <f>IF(Tabela1610[[#This Row],[JOLTS]]="",#N/A,Tabela1610[[#This Row],[JOLTS]]/Tabela1610[[#This Row],[Unemployment Level]])</f>
        <v>0.56392103471749488</v>
      </c>
    </row>
    <row r="695" spans="1:16">
      <c r="A695" s="6">
        <v>38596</v>
      </c>
      <c r="B695" s="11">
        <v>5</v>
      </c>
      <c r="C695" s="11">
        <f>IF(Tabela1610[[#This Row],[Unemployment Rate]]="",#N/A,AVERAGE(B683:B695))</f>
        <v>5.2153846153846164</v>
      </c>
      <c r="D695" s="10">
        <v>7553</v>
      </c>
      <c r="E695" s="11">
        <v>66.099999999999994</v>
      </c>
      <c r="F695" s="11"/>
      <c r="G695" s="11">
        <v>4.0999999999999996</v>
      </c>
      <c r="H695" s="55">
        <v>11365.2</v>
      </c>
      <c r="I695" s="56">
        <f>IF(Tabela1610[[#This Row],[Real Disposable Income (RDI)]]="",#N/A,((Tabela1610[[#This Row],[Real Disposable Income (RDI)]]*1)/H694)-1)</f>
        <v>-3.5159092702514716E-3</v>
      </c>
      <c r="J695" s="56">
        <f>IF(Tabela1610[[#This Row],[Real Disposable Income (RDI)]]="",#N/A,((Tabela1610[[#This Row],[Real Disposable Income (RDI)]]*1)/H683)-1)</f>
        <v>7.588921592964315E-3</v>
      </c>
      <c r="K695" s="10">
        <v>359000</v>
      </c>
      <c r="L695" s="11">
        <v>17.899999999999999</v>
      </c>
      <c r="M695" s="10">
        <v>56</v>
      </c>
      <c r="N695" s="10">
        <f>IF(Tabela1610[[#This Row],[Payroll]]="",#N/A,AVERAGE(M693:M695))</f>
        <v>203.66666666666666</v>
      </c>
      <c r="O695" s="10">
        <v>4352</v>
      </c>
      <c r="P695" s="7">
        <f>IF(Tabela1610[[#This Row],[JOLTS]]="",#N/A,Tabela1610[[#This Row],[JOLTS]]/Tabela1610[[#This Row],[Unemployment Level]])</f>
        <v>0.57619488944790154</v>
      </c>
    </row>
    <row r="696" spans="1:16">
      <c r="A696" s="6">
        <v>38626</v>
      </c>
      <c r="B696" s="11">
        <v>5</v>
      </c>
      <c r="C696" s="11">
        <f>IF(Tabela1610[[#This Row],[Unemployment Rate]]="",#N/A,AVERAGE(B684:B696))</f>
        <v>5.1846153846153848</v>
      </c>
      <c r="D696" s="10">
        <v>7453</v>
      </c>
      <c r="E696" s="11">
        <v>66.099999999999994</v>
      </c>
      <c r="F696" s="11"/>
      <c r="G696" s="11">
        <v>4</v>
      </c>
      <c r="H696" s="55">
        <v>11428.7</v>
      </c>
      <c r="I696" s="56">
        <f>IF(Tabela1610[[#This Row],[Real Disposable Income (RDI)]]="",#N/A,((Tabela1610[[#This Row],[Real Disposable Income (RDI)]]*1)/H695)-1)</f>
        <v>5.5872311969873412E-3</v>
      </c>
      <c r="J696" s="56">
        <f>IF(Tabela1610[[#This Row],[Real Disposable Income (RDI)]]="",#N/A,((Tabela1610[[#This Row],[Real Disposable Income (RDI)]]*1)/H684)-1)</f>
        <v>1.2958120983824539E-2</v>
      </c>
      <c r="K696" s="10">
        <v>322000</v>
      </c>
      <c r="L696" s="11">
        <v>17.899999999999999</v>
      </c>
      <c r="M696" s="10">
        <v>93</v>
      </c>
      <c r="N696" s="10">
        <f>IF(Tabela1610[[#This Row],[Payroll]]="",#N/A,AVERAGE(M694:M696))</f>
        <v>115.66666666666667</v>
      </c>
      <c r="O696" s="10">
        <v>4184</v>
      </c>
      <c r="P696" s="7">
        <f>IF(Tabela1610[[#This Row],[JOLTS]]="",#N/A,Tabela1610[[#This Row],[JOLTS]]/Tabela1610[[#This Row],[Unemployment Level]])</f>
        <v>0.56138467731114983</v>
      </c>
    </row>
    <row r="697" spans="1:16">
      <c r="A697" s="6">
        <v>38657</v>
      </c>
      <c r="B697" s="11">
        <v>5</v>
      </c>
      <c r="C697" s="11">
        <f>IF(Tabela1610[[#This Row],[Unemployment Rate]]="",#N/A,AVERAGE(B685:B697))</f>
        <v>5.1461538461538465</v>
      </c>
      <c r="D697" s="10">
        <v>7566</v>
      </c>
      <c r="E697" s="11">
        <v>66</v>
      </c>
      <c r="F697" s="11"/>
      <c r="G697" s="11">
        <v>4.2</v>
      </c>
      <c r="H697" s="55">
        <v>11500.1</v>
      </c>
      <c r="I697" s="56">
        <f>IF(Tabela1610[[#This Row],[Real Disposable Income (RDI)]]="",#N/A,((Tabela1610[[#This Row],[Real Disposable Income (RDI)]]*1)/H696)-1)</f>
        <v>6.2474297164156756E-3</v>
      </c>
      <c r="J697" s="56">
        <f>IF(Tabela1610[[#This Row],[Real Disposable Income (RDI)]]="",#N/A,((Tabela1610[[#This Row],[Real Disposable Income (RDI)]]*1)/H685)-1)</f>
        <v>2.25856074550288E-2</v>
      </c>
      <c r="K697" s="10">
        <v>311000</v>
      </c>
      <c r="L697" s="11">
        <v>17.5</v>
      </c>
      <c r="M697" s="10">
        <v>357</v>
      </c>
      <c r="N697" s="10">
        <f>IF(Tabela1610[[#This Row],[Payroll]]="",#N/A,AVERAGE(M695:M697))</f>
        <v>168.66666666666666</v>
      </c>
      <c r="O697" s="10">
        <v>4248</v>
      </c>
      <c r="P697" s="7">
        <f>IF(Tabela1610[[#This Row],[JOLTS]]="",#N/A,Tabela1610[[#This Row],[JOLTS]]/Tabela1610[[#This Row],[Unemployment Level]])</f>
        <v>0.56145915939730373</v>
      </c>
    </row>
    <row r="698" spans="1:16">
      <c r="A698" s="6">
        <v>38687</v>
      </c>
      <c r="B698" s="11">
        <v>4.9000000000000004</v>
      </c>
      <c r="C698" s="11">
        <f>IF(Tabela1610[[#This Row],[Unemployment Rate]]="",#N/A,AVERAGE(B686:B698))</f>
        <v>5.1076923076923082</v>
      </c>
      <c r="D698" s="10">
        <v>7279</v>
      </c>
      <c r="E698" s="11">
        <v>66</v>
      </c>
      <c r="F698" s="11"/>
      <c r="G698" s="11">
        <v>4.0999999999999996</v>
      </c>
      <c r="H698" s="55">
        <v>11535.2</v>
      </c>
      <c r="I698" s="56">
        <f>IF(Tabela1610[[#This Row],[Real Disposable Income (RDI)]]="",#N/A,((Tabela1610[[#This Row],[Real Disposable Income (RDI)]]*1)/H697)-1)</f>
        <v>3.0521473726314863E-3</v>
      </c>
      <c r="J698" s="56">
        <f>IF(Tabela1610[[#This Row],[Real Disposable Income (RDI)]]="",#N/A,((Tabela1610[[#This Row],[Real Disposable Income (RDI)]]*1)/H686)-1)</f>
        <v>-1.0618406381336265E-2</v>
      </c>
      <c r="K698" s="10">
        <v>302000</v>
      </c>
      <c r="L698" s="11">
        <v>17.5</v>
      </c>
      <c r="M698" s="10">
        <v>160</v>
      </c>
      <c r="N698" s="10">
        <f>IF(Tabela1610[[#This Row],[Payroll]]="",#N/A,AVERAGE(M696:M698))</f>
        <v>203.33333333333334</v>
      </c>
      <c r="O698" s="10">
        <v>4282</v>
      </c>
      <c r="P698" s="7">
        <f>IF(Tabela1610[[#This Row],[JOLTS]]="",#N/A,Tabela1610[[#This Row],[JOLTS]]/Tabela1610[[#This Row],[Unemployment Level]])</f>
        <v>0.5882676191784586</v>
      </c>
    </row>
    <row r="699" spans="1:16">
      <c r="A699" s="6">
        <v>38718</v>
      </c>
      <c r="B699" s="11">
        <v>4.7</v>
      </c>
      <c r="C699" s="11">
        <f>IF(Tabela1610[[#This Row],[Unemployment Rate]]="",#N/A,AVERAGE(B687:B699))</f>
        <v>5.0538461538461528</v>
      </c>
      <c r="D699" s="10">
        <v>7064</v>
      </c>
      <c r="E699" s="11">
        <v>66</v>
      </c>
      <c r="F699" s="11"/>
      <c r="G699" s="11">
        <v>4</v>
      </c>
      <c r="H699" s="55">
        <v>11651.8</v>
      </c>
      <c r="I699" s="56">
        <f>IF(Tabela1610[[#This Row],[Real Disposable Income (RDI)]]="",#N/A,((Tabela1610[[#This Row],[Real Disposable Income (RDI)]]*1)/H698)-1)</f>
        <v>1.0108190581870957E-2</v>
      </c>
      <c r="J699" s="56">
        <f>IF(Tabela1610[[#This Row],[Real Disposable Income (RDI)]]="",#N/A,((Tabela1610[[#This Row],[Real Disposable Income (RDI)]]*1)/H687)-1)</f>
        <v>3.7883579031755099E-2</v>
      </c>
      <c r="K699" s="10">
        <v>282000</v>
      </c>
      <c r="L699" s="11">
        <v>16.899999999999999</v>
      </c>
      <c r="M699" s="10">
        <v>264</v>
      </c>
      <c r="N699" s="10">
        <f>IF(Tabela1610[[#This Row],[Payroll]]="",#N/A,AVERAGE(M697:M699))</f>
        <v>260.33333333333331</v>
      </c>
      <c r="O699" s="10">
        <v>4397</v>
      </c>
      <c r="P699" s="7">
        <f>IF(Tabela1610[[#This Row],[JOLTS]]="",#N/A,Tabela1610[[#This Row],[JOLTS]]/Tabela1610[[#This Row],[Unemployment Level]])</f>
        <v>0.62245186862967161</v>
      </c>
    </row>
    <row r="700" spans="1:16">
      <c r="A700" s="6">
        <v>38749</v>
      </c>
      <c r="B700" s="11">
        <v>4.8</v>
      </c>
      <c r="C700" s="11">
        <f>IF(Tabela1610[[#This Row],[Unemployment Rate]]="",#N/A,AVERAGE(B688:B700))</f>
        <v>5.0153846153846153</v>
      </c>
      <c r="D700" s="10">
        <v>7184</v>
      </c>
      <c r="E700" s="11">
        <v>66.099999999999994</v>
      </c>
      <c r="F700" s="11"/>
      <c r="G700" s="11">
        <v>3.8</v>
      </c>
      <c r="H700" s="55">
        <v>11702.8</v>
      </c>
      <c r="I700" s="56">
        <f>IF(Tabela1610[[#This Row],[Real Disposable Income (RDI)]]="",#N/A,((Tabela1610[[#This Row],[Real Disposable Income (RDI)]]*1)/H699)-1)</f>
        <v>4.3770061278085581E-3</v>
      </c>
      <c r="J700" s="56">
        <f>IF(Tabela1610[[#This Row],[Real Disposable Income (RDI)]]="",#N/A,((Tabela1610[[#This Row],[Real Disposable Income (RDI)]]*1)/H688)-1)</f>
        <v>4.2194318283017118E-2</v>
      </c>
      <c r="K700" s="10">
        <v>293000</v>
      </c>
      <c r="L700" s="11">
        <v>17.8</v>
      </c>
      <c r="M700" s="10">
        <v>306</v>
      </c>
      <c r="N700" s="10">
        <f>IF(Tabela1610[[#This Row],[Payroll]]="",#N/A,AVERAGE(M698:M700))</f>
        <v>243.33333333333334</v>
      </c>
      <c r="O700" s="10">
        <v>4325</v>
      </c>
      <c r="P700" s="7">
        <f>IF(Tabela1610[[#This Row],[JOLTS]]="",#N/A,Tabela1610[[#This Row],[JOLTS]]/Tabela1610[[#This Row],[Unemployment Level]])</f>
        <v>0.60203229398663693</v>
      </c>
    </row>
    <row r="701" spans="1:16">
      <c r="A701" s="6">
        <v>38777</v>
      </c>
      <c r="B701" s="11">
        <v>4.7</v>
      </c>
      <c r="C701" s="11">
        <f>IF(Tabela1610[[#This Row],[Unemployment Rate]]="",#N/A,AVERAGE(B689:B701))</f>
        <v>4.9615384615384617</v>
      </c>
      <c r="D701" s="10">
        <v>7072</v>
      </c>
      <c r="E701" s="11">
        <v>66.2</v>
      </c>
      <c r="F701" s="11"/>
      <c r="G701" s="11">
        <v>3.8</v>
      </c>
      <c r="H701" s="55">
        <v>11747.5</v>
      </c>
      <c r="I701" s="56">
        <f>IF(Tabela1610[[#This Row],[Real Disposable Income (RDI)]]="",#N/A,((Tabela1610[[#This Row],[Real Disposable Income (RDI)]]*1)/H700)-1)</f>
        <v>3.8195987285094546E-3</v>
      </c>
      <c r="J701" s="56">
        <f>IF(Tabela1610[[#This Row],[Real Disposable Income (RDI)]]="",#N/A,((Tabela1610[[#This Row],[Real Disposable Income (RDI)]]*1)/H689)-1)</f>
        <v>4.2480122107056761E-2</v>
      </c>
      <c r="K701" s="10">
        <v>295000</v>
      </c>
      <c r="L701" s="11">
        <v>17.100000000000001</v>
      </c>
      <c r="M701" s="10">
        <v>309</v>
      </c>
      <c r="N701" s="10">
        <f>IF(Tabela1610[[#This Row],[Payroll]]="",#N/A,AVERAGE(M699:M701))</f>
        <v>293</v>
      </c>
      <c r="O701" s="10">
        <v>4732</v>
      </c>
      <c r="P701" s="7">
        <f>IF(Tabela1610[[#This Row],[JOLTS]]="",#N/A,Tabela1610[[#This Row],[JOLTS]]/Tabela1610[[#This Row],[Unemployment Level]])</f>
        <v>0.66911764705882348</v>
      </c>
    </row>
    <row r="702" spans="1:16">
      <c r="A702" s="6">
        <v>38808</v>
      </c>
      <c r="B702" s="11">
        <v>4.7</v>
      </c>
      <c r="C702" s="11">
        <f>IF(Tabela1610[[#This Row],[Unemployment Rate]]="",#N/A,AVERAGE(B690:B702))</f>
        <v>4.9230769230769234</v>
      </c>
      <c r="D702" s="10">
        <v>7120</v>
      </c>
      <c r="E702" s="11">
        <v>66.099999999999994</v>
      </c>
      <c r="F702" s="11"/>
      <c r="G702" s="11">
        <v>3.8</v>
      </c>
      <c r="H702" s="55">
        <v>11744.4</v>
      </c>
      <c r="I702" s="56">
        <f>IF(Tabela1610[[#This Row],[Real Disposable Income (RDI)]]="",#N/A,((Tabela1610[[#This Row],[Real Disposable Income (RDI)]]*1)/H701)-1)</f>
        <v>-2.6388593317727693E-4</v>
      </c>
      <c r="J702" s="56">
        <f>IF(Tabela1610[[#This Row],[Real Disposable Income (RDI)]]="",#N/A,((Tabela1610[[#This Row],[Real Disposable Income (RDI)]]*1)/H690)-1)</f>
        <v>3.8941278462872209E-2</v>
      </c>
      <c r="K702" s="10">
        <v>321000</v>
      </c>
      <c r="L702" s="11">
        <v>16.7</v>
      </c>
      <c r="M702" s="10">
        <v>171</v>
      </c>
      <c r="N702" s="10">
        <f>IF(Tabela1610[[#This Row],[Payroll]]="",#N/A,AVERAGE(M700:M702))</f>
        <v>262</v>
      </c>
      <c r="O702" s="10">
        <v>4790</v>
      </c>
      <c r="P702" s="7">
        <f>IF(Tabela1610[[#This Row],[JOLTS]]="",#N/A,Tabela1610[[#This Row],[JOLTS]]/Tabela1610[[#This Row],[Unemployment Level]])</f>
        <v>0.672752808988764</v>
      </c>
    </row>
    <row r="703" spans="1:16">
      <c r="A703" s="6">
        <v>38838</v>
      </c>
      <c r="B703" s="11">
        <v>4.5999999999999996</v>
      </c>
      <c r="C703" s="11">
        <f>IF(Tabela1610[[#This Row],[Unemployment Rate]]="",#N/A,AVERAGE(B691:B703))</f>
        <v>4.8769230769230774</v>
      </c>
      <c r="D703" s="10">
        <v>6980</v>
      </c>
      <c r="E703" s="11">
        <v>66.099999999999994</v>
      </c>
      <c r="F703" s="11"/>
      <c r="G703" s="11">
        <v>3.9</v>
      </c>
      <c r="H703" s="55">
        <v>11736.8</v>
      </c>
      <c r="I703" s="56">
        <f>IF(Tabela1610[[#This Row],[Real Disposable Income (RDI)]]="",#N/A,((Tabela1610[[#This Row],[Real Disposable Income (RDI)]]*1)/H702)-1)</f>
        <v>-6.471169238104757E-4</v>
      </c>
      <c r="J703" s="56">
        <f>IF(Tabela1610[[#This Row],[Real Disposable Income (RDI)]]="",#N/A,((Tabela1610[[#This Row],[Real Disposable Income (RDI)]]*1)/H691)-1)</f>
        <v>3.383336122684466E-2</v>
      </c>
      <c r="K703" s="10">
        <v>330000</v>
      </c>
      <c r="L703" s="11">
        <v>17.100000000000001</v>
      </c>
      <c r="M703" s="10">
        <v>36</v>
      </c>
      <c r="N703" s="10">
        <f>IF(Tabela1610[[#This Row],[Payroll]]="",#N/A,AVERAGE(M701:M703))</f>
        <v>172</v>
      </c>
      <c r="O703" s="10">
        <v>4463</v>
      </c>
      <c r="P703" s="7">
        <f>IF(Tabela1610[[#This Row],[JOLTS]]="",#N/A,Tabela1610[[#This Row],[JOLTS]]/Tabela1610[[#This Row],[Unemployment Level]])</f>
        <v>0.63939828080229222</v>
      </c>
    </row>
    <row r="704" spans="1:16">
      <c r="A704" s="6">
        <v>38869</v>
      </c>
      <c r="B704" s="11">
        <v>4.5999999999999996</v>
      </c>
      <c r="C704" s="11">
        <f>IF(Tabela1610[[#This Row],[Unemployment Rate]]="",#N/A,AVERAGE(B692:B704))</f>
        <v>4.838461538461539</v>
      </c>
      <c r="D704" s="10">
        <v>7001</v>
      </c>
      <c r="E704" s="11">
        <v>66.2</v>
      </c>
      <c r="F704" s="11"/>
      <c r="G704" s="11">
        <v>3.8</v>
      </c>
      <c r="H704" s="55">
        <v>11751.9</v>
      </c>
      <c r="I704" s="56">
        <f>IF(Tabela1610[[#This Row],[Real Disposable Income (RDI)]]="",#N/A,((Tabela1610[[#This Row],[Real Disposable Income (RDI)]]*1)/H703)-1)</f>
        <v>1.2865517006339644E-3</v>
      </c>
      <c r="J704" s="56">
        <f>IF(Tabela1610[[#This Row],[Real Disposable Income (RDI)]]="",#N/A,((Tabela1610[[#This Row],[Real Disposable Income (RDI)]]*1)/H692)-1)</f>
        <v>3.3088655443716641E-2</v>
      </c>
      <c r="K704" s="10">
        <v>309000</v>
      </c>
      <c r="L704" s="11">
        <v>16.600000000000001</v>
      </c>
      <c r="M704" s="10">
        <v>81</v>
      </c>
      <c r="N704" s="10">
        <f>IF(Tabela1610[[#This Row],[Payroll]]="",#N/A,AVERAGE(M702:M704))</f>
        <v>96</v>
      </c>
      <c r="O704" s="10">
        <v>4614</v>
      </c>
      <c r="P704" s="7">
        <f>IF(Tabela1610[[#This Row],[JOLTS]]="",#N/A,Tabela1610[[#This Row],[JOLTS]]/Tabela1610[[#This Row],[Unemployment Level]])</f>
        <v>0.65904870732752463</v>
      </c>
    </row>
    <row r="705" spans="1:16">
      <c r="A705" s="6">
        <v>38899</v>
      </c>
      <c r="B705" s="11">
        <v>4.7</v>
      </c>
      <c r="C705" s="11">
        <f>IF(Tabela1610[[#This Row],[Unemployment Rate]]="",#N/A,AVERAGE(B693:B705))</f>
        <v>4.815384615384616</v>
      </c>
      <c r="D705" s="10">
        <v>7175</v>
      </c>
      <c r="E705" s="11">
        <v>66.099999999999994</v>
      </c>
      <c r="F705" s="11"/>
      <c r="G705" s="11">
        <v>3.7</v>
      </c>
      <c r="H705" s="55">
        <v>11746.9</v>
      </c>
      <c r="I705" s="56">
        <f>IF(Tabela1610[[#This Row],[Real Disposable Income (RDI)]]="",#N/A,((Tabela1610[[#This Row],[Real Disposable Income (RDI)]]*1)/H704)-1)</f>
        <v>-4.2546311660240921E-4</v>
      </c>
      <c r="J705" s="56">
        <f>IF(Tabela1610[[#This Row],[Real Disposable Income (RDI)]]="",#N/A,((Tabela1610[[#This Row],[Real Disposable Income (RDI)]]*1)/H693)-1)</f>
        <v>3.1597158187773866E-2</v>
      </c>
      <c r="K705" s="10">
        <v>311000</v>
      </c>
      <c r="L705" s="11">
        <v>17.100000000000001</v>
      </c>
      <c r="M705" s="10">
        <v>194</v>
      </c>
      <c r="N705" s="10">
        <f>IF(Tabela1610[[#This Row],[Payroll]]="",#N/A,AVERAGE(M703:M705))</f>
        <v>103.66666666666667</v>
      </c>
      <c r="O705" s="10">
        <v>4394</v>
      </c>
      <c r="P705" s="7">
        <f>IF(Tabela1610[[#This Row],[JOLTS]]="",#N/A,Tabela1610[[#This Row],[JOLTS]]/Tabela1610[[#This Row],[Unemployment Level]])</f>
        <v>0.61240418118466899</v>
      </c>
    </row>
    <row r="706" spans="1:16">
      <c r="A706" s="6">
        <v>38930</v>
      </c>
      <c r="B706" s="11">
        <v>4.7</v>
      </c>
      <c r="C706" s="11">
        <f>IF(Tabela1610[[#This Row],[Unemployment Rate]]="",#N/A,AVERAGE(B694:B706))</f>
        <v>4.792307692307693</v>
      </c>
      <c r="D706" s="10">
        <v>7091</v>
      </c>
      <c r="E706" s="11">
        <v>66.2</v>
      </c>
      <c r="F706" s="11"/>
      <c r="G706" s="11">
        <v>3.8</v>
      </c>
      <c r="H706" s="55">
        <v>11737</v>
      </c>
      <c r="I706" s="56">
        <f>IF(Tabela1610[[#This Row],[Real Disposable Income (RDI)]]="",#N/A,((Tabela1610[[#This Row],[Real Disposable Income (RDI)]]*1)/H705)-1)</f>
        <v>-8.4277554078093786E-4</v>
      </c>
      <c r="J706" s="56">
        <f>IF(Tabela1610[[#This Row],[Real Disposable Income (RDI)]]="",#N/A,((Tabela1610[[#This Row],[Real Disposable Income (RDI)]]*1)/H694)-1)</f>
        <v>2.9082970198065938E-2</v>
      </c>
      <c r="K706" s="10">
        <v>314000</v>
      </c>
      <c r="L706" s="11">
        <v>17.100000000000001</v>
      </c>
      <c r="M706" s="10">
        <v>166</v>
      </c>
      <c r="N706" s="10">
        <f>IF(Tabela1610[[#This Row],[Payroll]]="",#N/A,AVERAGE(M704:M706))</f>
        <v>147</v>
      </c>
      <c r="O706" s="10">
        <v>4710</v>
      </c>
      <c r="P706" s="7">
        <f>IF(Tabela1610[[#This Row],[JOLTS]]="",#N/A,Tabela1610[[#This Row],[JOLTS]]/Tabela1610[[#This Row],[Unemployment Level]])</f>
        <v>0.66422225356085174</v>
      </c>
    </row>
    <row r="707" spans="1:16">
      <c r="A707" s="6">
        <v>38961</v>
      </c>
      <c r="B707" s="11">
        <v>4.5</v>
      </c>
      <c r="C707" s="11">
        <f>IF(Tabela1610[[#This Row],[Unemployment Rate]]="",#N/A,AVERAGE(B695:B707))</f>
        <v>4.7615384615384624</v>
      </c>
      <c r="D707" s="10">
        <v>6847</v>
      </c>
      <c r="E707" s="11">
        <v>66.099999999999994</v>
      </c>
      <c r="F707" s="11"/>
      <c r="G707" s="11">
        <v>3.8</v>
      </c>
      <c r="H707" s="55">
        <v>11800.1</v>
      </c>
      <c r="I707" s="56">
        <f>IF(Tabela1610[[#This Row],[Real Disposable Income (RDI)]]="",#N/A,((Tabela1610[[#This Row],[Real Disposable Income (RDI)]]*1)/H706)-1)</f>
        <v>5.3761608588225318E-3</v>
      </c>
      <c r="J707" s="56">
        <f>IF(Tabela1610[[#This Row],[Real Disposable Income (RDI)]]="",#N/A,((Tabela1610[[#This Row],[Real Disposable Income (RDI)]]*1)/H695)-1)</f>
        <v>3.8265934607397911E-2</v>
      </c>
      <c r="K707" s="10">
        <v>309000</v>
      </c>
      <c r="L707" s="11">
        <v>17.100000000000001</v>
      </c>
      <c r="M707" s="10">
        <v>136</v>
      </c>
      <c r="N707" s="10">
        <f>IF(Tabela1610[[#This Row],[Payroll]]="",#N/A,AVERAGE(M705:M707))</f>
        <v>165.33333333333334</v>
      </c>
      <c r="O707" s="10">
        <v>4737</v>
      </c>
      <c r="P707" s="7">
        <f>IF(Tabela1610[[#This Row],[JOLTS]]="",#N/A,Tabela1610[[#This Row],[JOLTS]]/Tabela1610[[#This Row],[Unemployment Level]])</f>
        <v>0.69183584051409375</v>
      </c>
    </row>
    <row r="708" spans="1:16">
      <c r="A708" s="6">
        <v>38991</v>
      </c>
      <c r="B708" s="11">
        <v>4.4000000000000004</v>
      </c>
      <c r="C708" s="11">
        <f>IF(Tabela1610[[#This Row],[Unemployment Rate]]="",#N/A,AVERAGE(B696:B708))</f>
        <v>4.7153846153846164</v>
      </c>
      <c r="D708" s="10">
        <v>6727</v>
      </c>
      <c r="E708" s="11">
        <v>66.2</v>
      </c>
      <c r="F708" s="11"/>
      <c r="G708" s="11">
        <v>3.8</v>
      </c>
      <c r="H708" s="55">
        <v>11853.7</v>
      </c>
      <c r="I708" s="56">
        <f>IF(Tabela1610[[#This Row],[Real Disposable Income (RDI)]]="",#N/A,((Tabela1610[[#This Row],[Real Disposable Income (RDI)]]*1)/H707)-1)</f>
        <v>4.5423343869968047E-3</v>
      </c>
      <c r="J708" s="56">
        <f>IF(Tabela1610[[#This Row],[Real Disposable Income (RDI)]]="",#N/A,((Tabela1610[[#This Row],[Real Disposable Income (RDI)]]*1)/H696)-1)</f>
        <v>3.7187081645331466E-2</v>
      </c>
      <c r="K708" s="10">
        <v>328000</v>
      </c>
      <c r="L708" s="11">
        <v>16.3</v>
      </c>
      <c r="M708" s="10">
        <v>24</v>
      </c>
      <c r="N708" s="10">
        <f>IF(Tabela1610[[#This Row],[Payroll]]="",#N/A,AVERAGE(M706:M708))</f>
        <v>108.66666666666667</v>
      </c>
      <c r="O708" s="10">
        <v>4591</v>
      </c>
      <c r="P708" s="7">
        <f>IF(Tabela1610[[#This Row],[JOLTS]]="",#N/A,Tabela1610[[#This Row],[JOLTS]]/Tabela1610[[#This Row],[Unemployment Level]])</f>
        <v>0.68247361379515381</v>
      </c>
    </row>
    <row r="709" spans="1:16">
      <c r="A709" s="6">
        <v>39022</v>
      </c>
      <c r="B709" s="11">
        <v>4.5</v>
      </c>
      <c r="C709" s="11">
        <f>IF(Tabela1610[[#This Row],[Unemployment Rate]]="",#N/A,AVERAGE(B697:B709))</f>
        <v>4.6769230769230772</v>
      </c>
      <c r="D709" s="10">
        <v>6872</v>
      </c>
      <c r="E709" s="11">
        <v>66.3</v>
      </c>
      <c r="F709" s="11"/>
      <c r="G709" s="11">
        <v>3.9</v>
      </c>
      <c r="H709" s="55">
        <v>11901.9</v>
      </c>
      <c r="I709" s="56">
        <f>IF(Tabela1610[[#This Row],[Real Disposable Income (RDI)]]="",#N/A,((Tabela1610[[#This Row],[Real Disposable Income (RDI)]]*1)/H708)-1)</f>
        <v>4.0662409205562966E-3</v>
      </c>
      <c r="J709" s="56">
        <f>IF(Tabela1610[[#This Row],[Real Disposable Income (RDI)]]="",#N/A,((Tabela1610[[#This Row],[Real Disposable Income (RDI)]]*1)/H697)-1)</f>
        <v>3.4938826618898799E-2</v>
      </c>
      <c r="K709" s="10">
        <v>349000</v>
      </c>
      <c r="L709" s="11">
        <v>16.2</v>
      </c>
      <c r="M709" s="10">
        <v>221</v>
      </c>
      <c r="N709" s="10">
        <f>IF(Tabela1610[[#This Row],[Payroll]]="",#N/A,AVERAGE(M707:M709))</f>
        <v>127</v>
      </c>
      <c r="O709" s="10">
        <v>4645</v>
      </c>
      <c r="P709" s="7">
        <f>IF(Tabela1610[[#This Row],[JOLTS]]="",#N/A,Tabela1610[[#This Row],[JOLTS]]/Tabela1610[[#This Row],[Unemployment Level]])</f>
        <v>0.67593131548311991</v>
      </c>
    </row>
    <row r="710" spans="1:16">
      <c r="A710" s="6">
        <v>39052</v>
      </c>
      <c r="B710" s="11">
        <v>4.4000000000000004</v>
      </c>
      <c r="C710" s="11">
        <f>IF(Tabela1610[[#This Row],[Unemployment Rate]]="",#N/A,AVERAGE(B698:B710))</f>
        <v>4.6307692307692312</v>
      </c>
      <c r="D710" s="10">
        <v>6762</v>
      </c>
      <c r="E710" s="11">
        <v>66.400000000000006</v>
      </c>
      <c r="F710" s="11"/>
      <c r="G710" s="11">
        <v>4</v>
      </c>
      <c r="H710" s="55">
        <v>11958.6</v>
      </c>
      <c r="I710" s="56">
        <f>IF(Tabela1610[[#This Row],[Real Disposable Income (RDI)]]="",#N/A,((Tabela1610[[#This Row],[Real Disposable Income (RDI)]]*1)/H709)-1)</f>
        <v>4.7639452524388393E-3</v>
      </c>
      <c r="J710" s="56">
        <f>IF(Tabela1610[[#This Row],[Real Disposable Income (RDI)]]="",#N/A,((Tabela1610[[#This Row],[Real Disposable Income (RDI)]]*1)/H698)-1)</f>
        <v>3.6705041958526863E-2</v>
      </c>
      <c r="K710" s="10">
        <v>341000</v>
      </c>
      <c r="L710" s="11">
        <v>16.100000000000001</v>
      </c>
      <c r="M710" s="10">
        <v>184</v>
      </c>
      <c r="N710" s="10">
        <f>IF(Tabela1610[[#This Row],[Payroll]]="",#N/A,AVERAGE(M708:M710))</f>
        <v>143</v>
      </c>
      <c r="O710" s="10">
        <v>4620</v>
      </c>
      <c r="P710" s="7">
        <f>IF(Tabela1610[[#This Row],[JOLTS]]="",#N/A,Tabela1610[[#This Row],[JOLTS]]/Tabela1610[[#This Row],[Unemployment Level]])</f>
        <v>0.68322981366459623</v>
      </c>
    </row>
    <row r="711" spans="1:16">
      <c r="A711" s="6">
        <v>39083</v>
      </c>
      <c r="B711" s="11">
        <v>4.5999999999999996</v>
      </c>
      <c r="C711" s="11">
        <f>IF(Tabela1610[[#This Row],[Unemployment Rate]]="",#N/A,AVERAGE(B699:B711))</f>
        <v>4.6076923076923082</v>
      </c>
      <c r="D711" s="10">
        <v>7116</v>
      </c>
      <c r="E711" s="11">
        <v>66.400000000000006</v>
      </c>
      <c r="F711" s="11"/>
      <c r="G711" s="11">
        <v>4.2</v>
      </c>
      <c r="H711" s="55">
        <v>11956.6</v>
      </c>
      <c r="I711" s="56">
        <f>IF(Tabela1610[[#This Row],[Real Disposable Income (RDI)]]="",#N/A,((Tabela1610[[#This Row],[Real Disposable Income (RDI)]]*1)/H710)-1)</f>
        <v>-1.6724365728426616E-4</v>
      </c>
      <c r="J711" s="56">
        <f>IF(Tabela1610[[#This Row],[Real Disposable Income (RDI)]]="",#N/A,((Tabela1610[[#This Row],[Real Disposable Income (RDI)]]*1)/H699)-1)</f>
        <v>2.6159048387373707E-2</v>
      </c>
      <c r="K711" s="10">
        <v>308000</v>
      </c>
      <c r="L711" s="11">
        <v>16.3</v>
      </c>
      <c r="M711" s="10">
        <v>223</v>
      </c>
      <c r="N711" s="10">
        <f>IF(Tabela1610[[#This Row],[Payroll]]="",#N/A,AVERAGE(M709:M711))</f>
        <v>209.33333333333334</v>
      </c>
      <c r="O711" s="10">
        <v>4763</v>
      </c>
      <c r="P711" s="7">
        <f>IF(Tabela1610[[#This Row],[JOLTS]]="",#N/A,Tabela1610[[#This Row],[JOLTS]]/Tabela1610[[#This Row],[Unemployment Level]])</f>
        <v>0.66933670601461492</v>
      </c>
    </row>
    <row r="712" spans="1:16">
      <c r="A712" s="6">
        <v>39114</v>
      </c>
      <c r="B712" s="11">
        <v>4.5</v>
      </c>
      <c r="C712" s="11">
        <f>IF(Tabela1610[[#This Row],[Unemployment Rate]]="",#N/A,AVERAGE(B700:B712))</f>
        <v>4.592307692307692</v>
      </c>
      <c r="D712" s="10">
        <v>6927</v>
      </c>
      <c r="E712" s="11">
        <v>66.3</v>
      </c>
      <c r="F712" s="11"/>
      <c r="G712" s="11">
        <v>4.0999999999999996</v>
      </c>
      <c r="H712" s="55">
        <v>11996</v>
      </c>
      <c r="I712" s="56">
        <f>IF(Tabela1610[[#This Row],[Real Disposable Income (RDI)]]="",#N/A,((Tabela1610[[#This Row],[Real Disposable Income (RDI)]]*1)/H711)-1)</f>
        <v>3.2952511583559385E-3</v>
      </c>
      <c r="J712" s="56">
        <f>IF(Tabela1610[[#This Row],[Real Disposable Income (RDI)]]="",#N/A,((Tabela1610[[#This Row],[Real Disposable Income (RDI)]]*1)/H700)-1)</f>
        <v>2.5053833270670234E-2</v>
      </c>
      <c r="K712" s="10">
        <v>322000</v>
      </c>
      <c r="L712" s="11">
        <v>16.7</v>
      </c>
      <c r="M712" s="10">
        <v>78</v>
      </c>
      <c r="N712" s="10">
        <f>IF(Tabela1610[[#This Row],[Payroll]]="",#N/A,AVERAGE(M710:M712))</f>
        <v>161.66666666666666</v>
      </c>
      <c r="O712" s="10">
        <v>4699</v>
      </c>
      <c r="P712" s="7">
        <f>IF(Tabela1610[[#This Row],[JOLTS]]="",#N/A,Tabela1610[[#This Row],[JOLTS]]/Tabela1610[[#This Row],[Unemployment Level]])</f>
        <v>0.67836004042153886</v>
      </c>
    </row>
    <row r="713" spans="1:16">
      <c r="A713" s="6">
        <v>39142</v>
      </c>
      <c r="B713" s="11">
        <v>4.4000000000000004</v>
      </c>
      <c r="C713" s="11">
        <f>IF(Tabela1610[[#This Row],[Unemployment Rate]]="",#N/A,AVERAGE(B701:B713))</f>
        <v>4.5615384615384613</v>
      </c>
      <c r="D713" s="10">
        <v>6731</v>
      </c>
      <c r="E713" s="11">
        <v>66.2</v>
      </c>
      <c r="F713" s="11">
        <v>3.4431099999999999</v>
      </c>
      <c r="G713" s="11">
        <v>4.3</v>
      </c>
      <c r="H713" s="55">
        <v>12035.1</v>
      </c>
      <c r="I713" s="56">
        <f>IF(Tabela1610[[#This Row],[Real Disposable Income (RDI)]]="",#N/A,((Tabela1610[[#This Row],[Real Disposable Income (RDI)]]*1)/H712)-1)</f>
        <v>3.2594198066022706E-3</v>
      </c>
      <c r="J713" s="56">
        <f>IF(Tabela1610[[#This Row],[Real Disposable Income (RDI)]]="",#N/A,((Tabela1610[[#This Row],[Real Disposable Income (RDI)]]*1)/H701)-1)</f>
        <v>2.4481804639284954E-2</v>
      </c>
      <c r="K713" s="10">
        <v>307000</v>
      </c>
      <c r="L713" s="11">
        <v>17.8</v>
      </c>
      <c r="M713" s="10">
        <v>227</v>
      </c>
      <c r="N713" s="10">
        <f>IF(Tabela1610[[#This Row],[Payroll]]="",#N/A,AVERAGE(M711:M713))</f>
        <v>176</v>
      </c>
      <c r="O713" s="10">
        <v>4962</v>
      </c>
      <c r="P713" s="7">
        <f>IF(Tabela1610[[#This Row],[JOLTS]]="",#N/A,Tabela1610[[#This Row],[JOLTS]]/Tabela1610[[#This Row],[Unemployment Level]])</f>
        <v>0.73718615361759021</v>
      </c>
    </row>
    <row r="714" spans="1:16">
      <c r="A714" s="6">
        <v>39173</v>
      </c>
      <c r="B714" s="11">
        <v>4.5</v>
      </c>
      <c r="C714" s="11">
        <f>IF(Tabela1610[[#This Row],[Unemployment Rate]]="",#N/A,AVERAGE(B702:B714))</f>
        <v>4.546153846153846</v>
      </c>
      <c r="D714" s="10">
        <v>6850</v>
      </c>
      <c r="E714" s="11">
        <v>65.900000000000006</v>
      </c>
      <c r="F714" s="11">
        <v>3.1265499999999999</v>
      </c>
      <c r="G714" s="11">
        <v>4.0999999999999996</v>
      </c>
      <c r="H714" s="55">
        <v>12052.8</v>
      </c>
      <c r="I714" s="56">
        <f>IF(Tabela1610[[#This Row],[Real Disposable Income (RDI)]]="",#N/A,((Tabela1610[[#This Row],[Real Disposable Income (RDI)]]*1)/H713)-1)</f>
        <v>1.4706982077423714E-3</v>
      </c>
      <c r="J714" s="56">
        <f>IF(Tabela1610[[#This Row],[Real Disposable Income (RDI)]]="",#N/A,((Tabela1610[[#This Row],[Real Disposable Income (RDI)]]*1)/H702)-1)</f>
        <v>2.6259323592520589E-2</v>
      </c>
      <c r="K714" s="10">
        <v>301000</v>
      </c>
      <c r="L714" s="11">
        <v>16.899999999999999</v>
      </c>
      <c r="M714" s="10">
        <v>62</v>
      </c>
      <c r="N714" s="10">
        <f>IF(Tabela1610[[#This Row],[Payroll]]="",#N/A,AVERAGE(M712:M714))</f>
        <v>122.33333333333333</v>
      </c>
      <c r="O714" s="10">
        <v>4689</v>
      </c>
      <c r="P714" s="7">
        <f>IF(Tabela1610[[#This Row],[JOLTS]]="",#N/A,Tabela1610[[#This Row],[JOLTS]]/Tabela1610[[#This Row],[Unemployment Level]])</f>
        <v>0.68452554744525551</v>
      </c>
    </row>
    <row r="715" spans="1:16">
      <c r="A715" s="6">
        <v>39203</v>
      </c>
      <c r="B715" s="11">
        <v>4.4000000000000004</v>
      </c>
      <c r="C715" s="11">
        <f>IF(Tabela1610[[#This Row],[Unemployment Rate]]="",#N/A,AVERAGE(B703:B715))</f>
        <v>4.523076923076923</v>
      </c>
      <c r="D715" s="10">
        <v>6766</v>
      </c>
      <c r="E715" s="11">
        <v>66</v>
      </c>
      <c r="F715" s="11">
        <v>3.5270700000000001</v>
      </c>
      <c r="G715" s="11">
        <v>4.0999999999999996</v>
      </c>
      <c r="H715" s="55">
        <v>12059.9</v>
      </c>
      <c r="I715" s="56">
        <f>IF(Tabela1610[[#This Row],[Real Disposable Income (RDI)]]="",#N/A,((Tabela1610[[#This Row],[Real Disposable Income (RDI)]]*1)/H714)-1)</f>
        <v>5.890747378203276E-4</v>
      </c>
      <c r="J715" s="56">
        <f>IF(Tabela1610[[#This Row],[Real Disposable Income (RDI)]]="",#N/A,((Tabela1610[[#This Row],[Real Disposable Income (RDI)]]*1)/H703)-1)</f>
        <v>2.752879830959043E-2</v>
      </c>
      <c r="K715" s="10">
        <v>310000</v>
      </c>
      <c r="L715" s="11">
        <v>16.600000000000001</v>
      </c>
      <c r="M715" s="10">
        <v>150</v>
      </c>
      <c r="N715" s="10">
        <f>IF(Tabela1610[[#This Row],[Payroll]]="",#N/A,AVERAGE(M713:M715))</f>
        <v>146.33333333333334</v>
      </c>
      <c r="O715" s="10">
        <v>4657</v>
      </c>
      <c r="P715" s="7">
        <f>IF(Tabela1610[[#This Row],[JOLTS]]="",#N/A,Tabela1610[[#This Row],[JOLTS]]/Tabela1610[[#This Row],[Unemployment Level]])</f>
        <v>0.68829441324268403</v>
      </c>
    </row>
    <row r="716" spans="1:16">
      <c r="A716" s="6">
        <v>39234</v>
      </c>
      <c r="B716" s="11">
        <v>4.5999999999999996</v>
      </c>
      <c r="C716" s="11">
        <f>IF(Tabela1610[[#This Row],[Unemployment Rate]]="",#N/A,AVERAGE(B704:B716))</f>
        <v>4.523076923076923</v>
      </c>
      <c r="D716" s="10">
        <v>6979</v>
      </c>
      <c r="E716" s="11">
        <v>66</v>
      </c>
      <c r="F716" s="11">
        <v>3.5590700000000002</v>
      </c>
      <c r="G716" s="11">
        <v>4</v>
      </c>
      <c r="H716" s="55">
        <v>12053.3</v>
      </c>
      <c r="I716" s="56">
        <f>IF(Tabela1610[[#This Row],[Real Disposable Income (RDI)]]="",#N/A,((Tabela1610[[#This Row],[Real Disposable Income (RDI)]]*1)/H715)-1)</f>
        <v>-5.4726821947115312E-4</v>
      </c>
      <c r="J716" s="56">
        <f>IF(Tabela1610[[#This Row],[Real Disposable Income (RDI)]]="",#N/A,((Tabela1610[[#This Row],[Real Disposable Income (RDI)]]*1)/H704)-1)</f>
        <v>2.564691666879404E-2</v>
      </c>
      <c r="K716" s="10">
        <v>317000</v>
      </c>
      <c r="L716" s="11">
        <v>16.5</v>
      </c>
      <c r="M716" s="10">
        <v>79</v>
      </c>
      <c r="N716" s="10">
        <f>IF(Tabela1610[[#This Row],[Payroll]]="",#N/A,AVERAGE(M714:M716))</f>
        <v>97</v>
      </c>
      <c r="O716" s="10">
        <v>4859</v>
      </c>
      <c r="P716" s="7">
        <f>IF(Tabela1610[[#This Row],[JOLTS]]="",#N/A,Tabela1610[[#This Row],[JOLTS]]/Tabela1610[[#This Row],[Unemployment Level]])</f>
        <v>0.69623155179825191</v>
      </c>
    </row>
    <row r="717" spans="1:16">
      <c r="A717" s="6">
        <v>39264</v>
      </c>
      <c r="B717" s="11">
        <v>4.7</v>
      </c>
      <c r="C717" s="11">
        <f>IF(Tabela1610[[#This Row],[Unemployment Rate]]="",#N/A,AVERAGE(B705:B717))</f>
        <v>4.5307692307692315</v>
      </c>
      <c r="D717" s="10">
        <v>7149</v>
      </c>
      <c r="E717" s="11">
        <v>66</v>
      </c>
      <c r="F717" s="11">
        <v>3.2528299999999999</v>
      </c>
      <c r="G717" s="11">
        <v>4.2</v>
      </c>
      <c r="H717" s="55">
        <v>12066.4</v>
      </c>
      <c r="I717" s="56">
        <f>IF(Tabela1610[[#This Row],[Real Disposable Income (RDI)]]="",#N/A,((Tabela1610[[#This Row],[Real Disposable Income (RDI)]]*1)/H716)-1)</f>
        <v>1.0868392888254697E-3</v>
      </c>
      <c r="J717" s="56">
        <f>IF(Tabela1610[[#This Row],[Real Disposable Income (RDI)]]="",#N/A,((Tabela1610[[#This Row],[Real Disposable Income (RDI)]]*1)/H705)-1)</f>
        <v>2.7198665179749559E-2</v>
      </c>
      <c r="K717" s="10">
        <v>305000</v>
      </c>
      <c r="L717" s="11">
        <v>17.2</v>
      </c>
      <c r="M717" s="10">
        <v>-30</v>
      </c>
      <c r="N717" s="10">
        <f>IF(Tabela1610[[#This Row],[Payroll]]="",#N/A,AVERAGE(M715:M717))</f>
        <v>66.333333333333329</v>
      </c>
      <c r="O717" s="10">
        <v>4598</v>
      </c>
      <c r="P717" s="7">
        <f>IF(Tabela1610[[#This Row],[JOLTS]]="",#N/A,Tabela1610[[#This Row],[JOLTS]]/Tabela1610[[#This Row],[Unemployment Level]])</f>
        <v>0.64316687648622184</v>
      </c>
    </row>
    <row r="718" spans="1:16">
      <c r="A718" s="6">
        <v>39295</v>
      </c>
      <c r="B718" s="11">
        <v>4.5999999999999996</v>
      </c>
      <c r="C718" s="11">
        <f>IF(Tabela1610[[#This Row],[Unemployment Rate]]="",#N/A,AVERAGE(B706:B718))</f>
        <v>4.523076923076923</v>
      </c>
      <c r="D718" s="10">
        <v>7067</v>
      </c>
      <c r="E718" s="11">
        <v>65.8</v>
      </c>
      <c r="F718" s="11">
        <v>3.34646</v>
      </c>
      <c r="G718" s="11">
        <v>4.3</v>
      </c>
      <c r="H718" s="55">
        <v>12070.9</v>
      </c>
      <c r="I718" s="56">
        <f>IF(Tabela1610[[#This Row],[Real Disposable Income (RDI)]]="",#N/A,((Tabela1610[[#This Row],[Real Disposable Income (RDI)]]*1)/H717)-1)</f>
        <v>3.7293641848434866E-4</v>
      </c>
      <c r="J718" s="56">
        <f>IF(Tabela1610[[#This Row],[Real Disposable Income (RDI)]]="",#N/A,((Tabela1610[[#This Row],[Real Disposable Income (RDI)]]*1)/H706)-1)</f>
        <v>2.844849620857115E-2</v>
      </c>
      <c r="K718" s="10">
        <v>329000</v>
      </c>
      <c r="L718" s="11">
        <v>17</v>
      </c>
      <c r="M718" s="10">
        <v>-25</v>
      </c>
      <c r="N718" s="10">
        <f>IF(Tabela1610[[#This Row],[Payroll]]="",#N/A,AVERAGE(M716:M718))</f>
        <v>8</v>
      </c>
      <c r="O718" s="10">
        <v>4546</v>
      </c>
      <c r="P718" s="7">
        <f>IF(Tabela1610[[#This Row],[JOLTS]]="",#N/A,Tabela1610[[#This Row],[JOLTS]]/Tabela1610[[#This Row],[Unemployment Level]])</f>
        <v>0.64327154379510398</v>
      </c>
    </row>
    <row r="719" spans="1:16">
      <c r="A719" s="6">
        <v>39326</v>
      </c>
      <c r="B719" s="11">
        <v>4.7</v>
      </c>
      <c r="C719" s="11">
        <f>IF(Tabela1610[[#This Row],[Unemployment Rate]]="",#N/A,AVERAGE(B707:B719))</f>
        <v>4.523076923076923</v>
      </c>
      <c r="D719" s="10">
        <v>7170</v>
      </c>
      <c r="E719" s="11">
        <v>66</v>
      </c>
      <c r="F719" s="11">
        <v>3.0867200000000001</v>
      </c>
      <c r="G719" s="11">
        <v>4.4000000000000004</v>
      </c>
      <c r="H719" s="55">
        <v>12089.6</v>
      </c>
      <c r="I719" s="56">
        <f>IF(Tabela1610[[#This Row],[Real Disposable Income (RDI)]]="",#N/A,((Tabela1610[[#This Row],[Real Disposable Income (RDI)]]*1)/H718)-1)</f>
        <v>1.5491802599640891E-3</v>
      </c>
      <c r="J719" s="56">
        <f>IF(Tabela1610[[#This Row],[Real Disposable Income (RDI)]]="",#N/A,((Tabela1610[[#This Row],[Real Disposable Income (RDI)]]*1)/H707)-1)</f>
        <v>2.4533690392454233E-2</v>
      </c>
      <c r="K719" s="10">
        <v>317000</v>
      </c>
      <c r="L719" s="11">
        <v>16.3</v>
      </c>
      <c r="M719" s="10">
        <v>86</v>
      </c>
      <c r="N719" s="10">
        <f>IF(Tabela1610[[#This Row],[Payroll]]="",#N/A,AVERAGE(M717:M719))</f>
        <v>10.333333333333334</v>
      </c>
      <c r="O719" s="10">
        <v>4652</v>
      </c>
      <c r="P719" s="7">
        <f>IF(Tabela1610[[#This Row],[JOLTS]]="",#N/A,Tabela1610[[#This Row],[JOLTS]]/Tabela1610[[#This Row],[Unemployment Level]])</f>
        <v>0.64881450488145054</v>
      </c>
    </row>
    <row r="720" spans="1:16">
      <c r="A720" s="6">
        <v>39356</v>
      </c>
      <c r="B720" s="11">
        <v>4.7</v>
      </c>
      <c r="C720" s="11">
        <f>IF(Tabela1610[[#This Row],[Unemployment Rate]]="",#N/A,AVERAGE(B708:B720))</f>
        <v>4.5384615384615392</v>
      </c>
      <c r="D720" s="10">
        <v>7237</v>
      </c>
      <c r="E720" s="11">
        <v>65.8</v>
      </c>
      <c r="F720" s="11">
        <v>3.0836999999999999</v>
      </c>
      <c r="G720" s="11">
        <v>4.3</v>
      </c>
      <c r="H720" s="55">
        <v>12080.4</v>
      </c>
      <c r="I720" s="56">
        <f>IF(Tabela1610[[#This Row],[Real Disposable Income (RDI)]]="",#N/A,((Tabela1610[[#This Row],[Real Disposable Income (RDI)]]*1)/H719)-1)</f>
        <v>-7.6098464796192644E-4</v>
      </c>
      <c r="J720" s="56">
        <f>IF(Tabela1610[[#This Row],[Real Disposable Income (RDI)]]="",#N/A,((Tabela1610[[#This Row],[Real Disposable Income (RDI)]]*1)/H708)-1)</f>
        <v>1.9124830221787237E-2</v>
      </c>
      <c r="K720" s="10">
        <v>328000</v>
      </c>
      <c r="L720" s="11">
        <v>17</v>
      </c>
      <c r="M720" s="10">
        <v>71</v>
      </c>
      <c r="N720" s="10">
        <f>IF(Tabela1610[[#This Row],[Payroll]]="",#N/A,AVERAGE(M718:M720))</f>
        <v>44</v>
      </c>
      <c r="O720" s="10">
        <v>4636</v>
      </c>
      <c r="P720" s="7">
        <f>IF(Tabela1610[[#This Row],[JOLTS]]="",#N/A,Tabela1610[[#This Row],[JOLTS]]/Tabela1610[[#This Row],[Unemployment Level]])</f>
        <v>0.64059693243056515</v>
      </c>
    </row>
    <row r="721" spans="1:16">
      <c r="A721" s="6">
        <v>39387</v>
      </c>
      <c r="B721" s="11">
        <v>4.7</v>
      </c>
      <c r="C721" s="11">
        <f>IF(Tabela1610[[#This Row],[Unemployment Rate]]="",#N/A,AVERAGE(B709:B721))</f>
        <v>4.5615384615384622</v>
      </c>
      <c r="D721" s="10">
        <v>7240</v>
      </c>
      <c r="E721" s="11">
        <v>66</v>
      </c>
      <c r="F721" s="11">
        <v>3.0746699999999998</v>
      </c>
      <c r="G721" s="11">
        <v>4.3</v>
      </c>
      <c r="H721" s="55">
        <v>12070.1</v>
      </c>
      <c r="I721" s="56">
        <f>IF(Tabela1610[[#This Row],[Real Disposable Income (RDI)]]="",#N/A,((Tabela1610[[#This Row],[Real Disposable Income (RDI)]]*1)/H720)-1)</f>
        <v>-8.5262077414649529E-4</v>
      </c>
      <c r="J721" s="56">
        <f>IF(Tabela1610[[#This Row],[Real Disposable Income (RDI)]]="",#N/A,((Tabela1610[[#This Row],[Real Disposable Income (RDI)]]*1)/H709)-1)</f>
        <v>1.4132197380250178E-2</v>
      </c>
      <c r="K721" s="10">
        <v>352000</v>
      </c>
      <c r="L721" s="11">
        <v>17.3</v>
      </c>
      <c r="M721" s="10">
        <v>118</v>
      </c>
      <c r="N721" s="10">
        <f>IF(Tabela1610[[#This Row],[Payroll]]="",#N/A,AVERAGE(M719:M721))</f>
        <v>91.666666666666671</v>
      </c>
      <c r="O721" s="10">
        <v>4646</v>
      </c>
      <c r="P721" s="7">
        <f>IF(Tabela1610[[#This Row],[JOLTS]]="",#N/A,Tabela1610[[#This Row],[JOLTS]]/Tabela1610[[#This Row],[Unemployment Level]])</f>
        <v>0.64171270718232043</v>
      </c>
    </row>
    <row r="722" spans="1:16">
      <c r="A722" s="6">
        <v>39417</v>
      </c>
      <c r="B722" s="11">
        <v>5</v>
      </c>
      <c r="C722" s="11">
        <f>IF(Tabela1610[[#This Row],[Unemployment Rate]]="",#N/A,AVERAGE(B710:B722))</f>
        <v>4.6000000000000005</v>
      </c>
      <c r="D722" s="10">
        <v>7645</v>
      </c>
      <c r="E722" s="11">
        <v>66</v>
      </c>
      <c r="F722" s="11">
        <v>2.9168699999999999</v>
      </c>
      <c r="G722" s="11">
        <v>4.0999999999999996</v>
      </c>
      <c r="H722" s="55">
        <v>12120.5</v>
      </c>
      <c r="I722" s="56">
        <f>IF(Tabela1610[[#This Row],[Real Disposable Income (RDI)]]="",#N/A,((Tabela1610[[#This Row],[Real Disposable Income (RDI)]]*1)/H721)-1)</f>
        <v>4.1756074928955833E-3</v>
      </c>
      <c r="J722" s="56">
        <f>IF(Tabela1610[[#This Row],[Real Disposable Income (RDI)]]="",#N/A,((Tabela1610[[#This Row],[Real Disposable Income (RDI)]]*1)/H710)-1)</f>
        <v>1.353837405716396E-2</v>
      </c>
      <c r="K722" s="10">
        <v>360000</v>
      </c>
      <c r="L722" s="11">
        <v>16.600000000000001</v>
      </c>
      <c r="M722" s="10">
        <v>106</v>
      </c>
      <c r="N722" s="10">
        <f>IF(Tabela1610[[#This Row],[Payroll]]="",#N/A,AVERAGE(M720:M722))</f>
        <v>98.333333333333329</v>
      </c>
      <c r="O722" s="10">
        <v>4545</v>
      </c>
      <c r="P722" s="7">
        <f>IF(Tabela1610[[#This Row],[JOLTS]]="",#N/A,Tabela1610[[#This Row],[JOLTS]]/Tabela1610[[#This Row],[Unemployment Level]])</f>
        <v>0.59450621321124919</v>
      </c>
    </row>
    <row r="723" spans="1:16">
      <c r="A723" s="6">
        <v>39448</v>
      </c>
      <c r="B723" s="11">
        <v>5</v>
      </c>
      <c r="C723" s="11">
        <f>IF(Tabela1610[[#This Row],[Unemployment Rate]]="",#N/A,AVERAGE(B711:B723))</f>
        <v>4.6461538461538465</v>
      </c>
      <c r="D723" s="10">
        <v>7685</v>
      </c>
      <c r="E723" s="11">
        <v>66.2</v>
      </c>
      <c r="F723" s="11">
        <v>2.9626000000000001</v>
      </c>
      <c r="G723" s="11">
        <v>3.9</v>
      </c>
      <c r="H723" s="55">
        <v>12137.1</v>
      </c>
      <c r="I723" s="56">
        <f>IF(Tabela1610[[#This Row],[Real Disposable Income (RDI)]]="",#N/A,((Tabela1610[[#This Row],[Real Disposable Income (RDI)]]*1)/H722)-1)</f>
        <v>1.3695804628521824E-3</v>
      </c>
      <c r="J723" s="56">
        <f>IF(Tabela1610[[#This Row],[Real Disposable Income (RDI)]]="",#N/A,((Tabela1610[[#This Row],[Real Disposable Income (RDI)]]*1)/H711)-1)</f>
        <v>1.5096264824448369E-2</v>
      </c>
      <c r="K723" s="10">
        <v>366000</v>
      </c>
      <c r="L723" s="11">
        <v>17.5</v>
      </c>
      <c r="M723" s="10">
        <v>1</v>
      </c>
      <c r="N723" s="10">
        <f>IF(Tabela1610[[#This Row],[Payroll]]="",#N/A,AVERAGE(M721:M723))</f>
        <v>75</v>
      </c>
      <c r="O723" s="10">
        <v>4624</v>
      </c>
      <c r="P723" s="7">
        <f>IF(Tabela1610[[#This Row],[JOLTS]]="",#N/A,Tabela1610[[#This Row],[JOLTS]]/Tabela1610[[#This Row],[Unemployment Level]])</f>
        <v>0.60169160702667535</v>
      </c>
    </row>
    <row r="724" spans="1:16">
      <c r="A724" s="6">
        <v>39479</v>
      </c>
      <c r="B724" s="11">
        <v>4.9000000000000004</v>
      </c>
      <c r="C724" s="11">
        <f>IF(Tabela1610[[#This Row],[Unemployment Rate]]="",#N/A,AVERAGE(B712:B724))</f>
        <v>4.6692307692307695</v>
      </c>
      <c r="D724" s="10">
        <v>7497</v>
      </c>
      <c r="E724" s="11">
        <v>66</v>
      </c>
      <c r="F724" s="11">
        <v>2.80464</v>
      </c>
      <c r="G724" s="11">
        <v>3.9</v>
      </c>
      <c r="H724" s="55">
        <v>12141.8</v>
      </c>
      <c r="I724" s="56">
        <f>IF(Tabela1610[[#This Row],[Real Disposable Income (RDI)]]="",#N/A,((Tabela1610[[#This Row],[Real Disposable Income (RDI)]]*1)/H723)-1)</f>
        <v>3.8724242199528192E-4</v>
      </c>
      <c r="J724" s="56">
        <f>IF(Tabela1610[[#This Row],[Real Disposable Income (RDI)]]="",#N/A,((Tabela1610[[#This Row],[Real Disposable Income (RDI)]]*1)/H712)-1)</f>
        <v>1.2154051350450112E-2</v>
      </c>
      <c r="K724" s="10">
        <v>354000</v>
      </c>
      <c r="L724" s="11">
        <v>16.899999999999999</v>
      </c>
      <c r="M724" s="10">
        <v>-76</v>
      </c>
      <c r="N724" s="10">
        <f>IF(Tabela1610[[#This Row],[Payroll]]="",#N/A,AVERAGE(M722:M724))</f>
        <v>10.333333333333334</v>
      </c>
      <c r="O724" s="10">
        <v>4279</v>
      </c>
      <c r="P724" s="7">
        <f>IF(Tabela1610[[#This Row],[JOLTS]]="",#N/A,Tabela1610[[#This Row],[JOLTS]]/Tabela1610[[#This Row],[Unemployment Level]])</f>
        <v>0.57076163798852875</v>
      </c>
    </row>
    <row r="725" spans="1:16">
      <c r="A725" s="6">
        <v>39508</v>
      </c>
      <c r="B725" s="11">
        <v>5.0999999999999996</v>
      </c>
      <c r="C725" s="11">
        <f>IF(Tabela1610[[#This Row],[Unemployment Rate]]="",#N/A,AVERAGE(B713:B725))</f>
        <v>4.7153846153846155</v>
      </c>
      <c r="D725" s="10">
        <v>7822</v>
      </c>
      <c r="E725" s="11">
        <v>66.099999999999994</v>
      </c>
      <c r="F725" s="11">
        <v>3.0390700000000002</v>
      </c>
      <c r="G725" s="11">
        <v>4</v>
      </c>
      <c r="H725" s="55">
        <v>12145.9</v>
      </c>
      <c r="I725" s="56">
        <f>IF(Tabela1610[[#This Row],[Real Disposable Income (RDI)]]="",#N/A,((Tabela1610[[#This Row],[Real Disposable Income (RDI)]]*1)/H724)-1)</f>
        <v>3.3767645653859368E-4</v>
      </c>
      <c r="J725" s="56">
        <f>IF(Tabela1610[[#This Row],[Real Disposable Income (RDI)]]="",#N/A,((Tabela1610[[#This Row],[Real Disposable Income (RDI)]]*1)/H713)-1)</f>
        <v>9.2064045998785371E-3</v>
      </c>
      <c r="K725" s="10">
        <v>387000</v>
      </c>
      <c r="L725" s="11">
        <v>16.5</v>
      </c>
      <c r="M725" s="10">
        <v>-68</v>
      </c>
      <c r="N725" s="10">
        <f>IF(Tabela1610[[#This Row],[Payroll]]="",#N/A,AVERAGE(M723:M725))</f>
        <v>-47.666666666666664</v>
      </c>
      <c r="O725" s="10">
        <v>4225</v>
      </c>
      <c r="P725" s="7">
        <f>IF(Tabela1610[[#This Row],[JOLTS]]="",#N/A,Tabela1610[[#This Row],[JOLTS]]/Tabela1610[[#This Row],[Unemployment Level]])</f>
        <v>0.54014318588596266</v>
      </c>
    </row>
    <row r="726" spans="1:16">
      <c r="A726" s="6">
        <v>39539</v>
      </c>
      <c r="B726" s="11">
        <v>5</v>
      </c>
      <c r="C726" s="11">
        <f>IF(Tabela1610[[#This Row],[Unemployment Rate]]="",#N/A,AVERAGE(B714:B726))</f>
        <v>4.7615384615384615</v>
      </c>
      <c r="D726" s="10">
        <v>7637</v>
      </c>
      <c r="E726" s="11">
        <v>65.900000000000006</v>
      </c>
      <c r="F726" s="11">
        <v>2.8873899999999999</v>
      </c>
      <c r="G726" s="11">
        <v>4.0999999999999996</v>
      </c>
      <c r="H726" s="55">
        <v>12100.8</v>
      </c>
      <c r="I726" s="56">
        <f>IF(Tabela1610[[#This Row],[Real Disposable Income (RDI)]]="",#N/A,((Tabela1610[[#This Row],[Real Disposable Income (RDI)]]*1)/H725)-1)</f>
        <v>-3.7131871660396332E-3</v>
      </c>
      <c r="J726" s="56">
        <f>IF(Tabela1610[[#This Row],[Real Disposable Income (RDI)]]="",#N/A,((Tabela1610[[#This Row],[Real Disposable Income (RDI)]]*1)/H714)-1)</f>
        <v>3.9824771007566095E-3</v>
      </c>
      <c r="K726" s="10">
        <v>370000</v>
      </c>
      <c r="L726" s="11">
        <v>16.899999999999999</v>
      </c>
      <c r="M726" s="10">
        <v>-217</v>
      </c>
      <c r="N726" s="10">
        <f>IF(Tabela1610[[#This Row],[Payroll]]="",#N/A,AVERAGE(M724:M726))</f>
        <v>-120.33333333333333</v>
      </c>
      <c r="O726" s="10">
        <v>4035</v>
      </c>
      <c r="P726" s="7">
        <f>IF(Tabela1610[[#This Row],[JOLTS]]="",#N/A,Tabela1610[[#This Row],[JOLTS]]/Tabela1610[[#This Row],[Unemployment Level]])</f>
        <v>0.52834882807385097</v>
      </c>
    </row>
    <row r="727" spans="1:16">
      <c r="A727" s="6">
        <v>39569</v>
      </c>
      <c r="B727" s="11">
        <v>5.4</v>
      </c>
      <c r="C727" s="11">
        <f>IF(Tabela1610[[#This Row],[Unemployment Rate]]="",#N/A,AVERAGE(B715:B727))</f>
        <v>4.8307692307692305</v>
      </c>
      <c r="D727" s="10">
        <v>8395</v>
      </c>
      <c r="E727" s="11">
        <v>66.099999999999994</v>
      </c>
      <c r="F727" s="11">
        <v>3.0230299999999999</v>
      </c>
      <c r="G727" s="11">
        <v>4.0999999999999996</v>
      </c>
      <c r="H727" s="55">
        <v>12696.2</v>
      </c>
      <c r="I727" s="56">
        <f>IF(Tabela1610[[#This Row],[Real Disposable Income (RDI)]]="",#N/A,((Tabela1610[[#This Row],[Real Disposable Income (RDI)]]*1)/H726)-1)</f>
        <v>4.9203358455639501E-2</v>
      </c>
      <c r="J727" s="56">
        <f>IF(Tabela1610[[#This Row],[Real Disposable Income (RDI)]]="",#N/A,((Tabela1610[[#This Row],[Real Disposable Income (RDI)]]*1)/H715)-1)</f>
        <v>5.2761631522649566E-2</v>
      </c>
      <c r="K727" s="10">
        <v>362000</v>
      </c>
      <c r="L727" s="11">
        <v>16.600000000000001</v>
      </c>
      <c r="M727" s="10">
        <v>-191</v>
      </c>
      <c r="N727" s="10">
        <f>IF(Tabela1610[[#This Row],[Payroll]]="",#N/A,AVERAGE(M725:M727))</f>
        <v>-158.66666666666666</v>
      </c>
      <c r="O727" s="10">
        <v>4194</v>
      </c>
      <c r="P727" s="7">
        <f>IF(Tabela1610[[#This Row],[JOLTS]]="",#N/A,Tabela1610[[#This Row],[JOLTS]]/Tabela1610[[#This Row],[Unemployment Level]])</f>
        <v>0.49958308516974387</v>
      </c>
    </row>
    <row r="728" spans="1:16">
      <c r="A728" s="6">
        <v>39600</v>
      </c>
      <c r="B728" s="11">
        <v>5.6</v>
      </c>
      <c r="C728" s="11">
        <f>IF(Tabela1610[[#This Row],[Unemployment Rate]]="",#N/A,AVERAGE(B716:B728))</f>
        <v>4.9230769230769234</v>
      </c>
      <c r="D728" s="10">
        <v>8575</v>
      </c>
      <c r="E728" s="11">
        <v>66.099999999999994</v>
      </c>
      <c r="F728" s="11">
        <v>2.6730299999999998</v>
      </c>
      <c r="G728" s="11">
        <v>4.0999999999999996</v>
      </c>
      <c r="H728" s="55">
        <v>12376.6</v>
      </c>
      <c r="I728" s="56">
        <f>IF(Tabela1610[[#This Row],[Real Disposable Income (RDI)]]="",#N/A,((Tabela1610[[#This Row],[Real Disposable Income (RDI)]]*1)/H727)-1)</f>
        <v>-2.5172886375450898E-2</v>
      </c>
      <c r="J728" s="56">
        <f>IF(Tabela1610[[#This Row],[Real Disposable Income (RDI)]]="",#N/A,((Tabela1610[[#This Row],[Real Disposable Income (RDI)]]*1)/H716)-1)</f>
        <v>2.6822529929563022E-2</v>
      </c>
      <c r="K728" s="10">
        <v>392000</v>
      </c>
      <c r="L728" s="11">
        <v>17.100000000000001</v>
      </c>
      <c r="M728" s="10">
        <v>-158</v>
      </c>
      <c r="N728" s="10">
        <f>IF(Tabela1610[[#This Row],[Payroll]]="",#N/A,AVERAGE(M726:M728))</f>
        <v>-188.66666666666666</v>
      </c>
      <c r="O728" s="10">
        <v>3830</v>
      </c>
      <c r="P728" s="7">
        <f>IF(Tabela1610[[#This Row],[JOLTS]]="",#N/A,Tabela1610[[#This Row],[JOLTS]]/Tabela1610[[#This Row],[Unemployment Level]])</f>
        <v>0.4466472303206997</v>
      </c>
    </row>
    <row r="729" spans="1:16">
      <c r="A729" s="6">
        <v>39630</v>
      </c>
      <c r="B729" s="11">
        <v>5.8</v>
      </c>
      <c r="C729" s="11">
        <f>IF(Tabela1610[[#This Row],[Unemployment Rate]]="",#N/A,AVERAGE(B717:B729))</f>
        <v>5.0153846153846153</v>
      </c>
      <c r="D729" s="10">
        <v>8937</v>
      </c>
      <c r="E729" s="11">
        <v>66.099999999999994</v>
      </c>
      <c r="F729" s="11">
        <v>3.10263</v>
      </c>
      <c r="G729" s="11">
        <v>4.0999999999999996</v>
      </c>
      <c r="H729" s="55">
        <v>12188.7</v>
      </c>
      <c r="I729" s="56">
        <f>IF(Tabela1610[[#This Row],[Real Disposable Income (RDI)]]="",#N/A,((Tabela1610[[#This Row],[Real Disposable Income (RDI)]]*1)/H728)-1)</f>
        <v>-1.518187547468608E-2</v>
      </c>
      <c r="J729" s="56">
        <f>IF(Tabela1610[[#This Row],[Real Disposable Income (RDI)]]="",#N/A,((Tabela1610[[#This Row],[Real Disposable Income (RDI)]]*1)/H717)-1)</f>
        <v>1.0135583106809065E-2</v>
      </c>
      <c r="K729" s="10">
        <v>434000</v>
      </c>
      <c r="L729" s="11">
        <v>17</v>
      </c>
      <c r="M729" s="10">
        <v>-197</v>
      </c>
      <c r="N729" s="10">
        <f>IF(Tabela1610[[#This Row],[Payroll]]="",#N/A,AVERAGE(M727:M729))</f>
        <v>-182</v>
      </c>
      <c r="O729" s="10">
        <v>3749</v>
      </c>
      <c r="P729" s="7">
        <f>IF(Tabela1610[[#This Row],[JOLTS]]="",#N/A,Tabela1610[[#This Row],[JOLTS]]/Tabela1610[[#This Row],[Unemployment Level]])</f>
        <v>0.4194919995524225</v>
      </c>
    </row>
    <row r="730" spans="1:16">
      <c r="A730" s="6">
        <v>39661</v>
      </c>
      <c r="B730" s="11">
        <v>6.1</v>
      </c>
      <c r="C730" s="11">
        <f>IF(Tabela1610[[#This Row],[Unemployment Rate]]="",#N/A,AVERAGE(B718:B730))</f>
        <v>5.1230769230769226</v>
      </c>
      <c r="D730" s="10">
        <v>9438</v>
      </c>
      <c r="E730" s="11">
        <v>66.099999999999994</v>
      </c>
      <c r="F730" s="11">
        <v>3.3333300000000001</v>
      </c>
      <c r="G730" s="11">
        <v>4</v>
      </c>
      <c r="H730" s="55">
        <v>12120.6</v>
      </c>
      <c r="I730" s="56">
        <f>IF(Tabela1610[[#This Row],[Real Disposable Income (RDI)]]="",#N/A,((Tabela1610[[#This Row],[Real Disposable Income (RDI)]]*1)/H729)-1)</f>
        <v>-5.5871421890767436E-3</v>
      </c>
      <c r="J730" s="56">
        <f>IF(Tabela1610[[#This Row],[Real Disposable Income (RDI)]]="",#N/A,((Tabela1610[[#This Row],[Real Disposable Income (RDI)]]*1)/H718)-1)</f>
        <v>4.1173400492093837E-3</v>
      </c>
      <c r="K730" s="10">
        <v>442000</v>
      </c>
      <c r="L730" s="11">
        <v>17.7</v>
      </c>
      <c r="M730" s="10">
        <v>-283</v>
      </c>
      <c r="N730" s="10">
        <f>IF(Tabela1610[[#This Row],[Payroll]]="",#N/A,AVERAGE(M728:M730))</f>
        <v>-212.66666666666666</v>
      </c>
      <c r="O730" s="10">
        <v>3674</v>
      </c>
      <c r="P730" s="7">
        <f>IF(Tabela1610[[#This Row],[JOLTS]]="",#N/A,Tabela1610[[#This Row],[JOLTS]]/Tabela1610[[#This Row],[Unemployment Level]])</f>
        <v>0.38927738927738925</v>
      </c>
    </row>
    <row r="731" spans="1:16">
      <c r="A731" s="6">
        <v>39692</v>
      </c>
      <c r="B731" s="11">
        <v>6.1</v>
      </c>
      <c r="C731" s="11">
        <f>IF(Tabela1610[[#This Row],[Unemployment Rate]]="",#N/A,AVERAGE(B719:B731))</f>
        <v>5.2384615384615376</v>
      </c>
      <c r="D731" s="10">
        <v>9494</v>
      </c>
      <c r="E731" s="11">
        <v>66</v>
      </c>
      <c r="F731" s="11">
        <v>3.2319399999999998</v>
      </c>
      <c r="G731" s="11">
        <v>4</v>
      </c>
      <c r="H731" s="55">
        <v>12149</v>
      </c>
      <c r="I731" s="56">
        <f>IF(Tabela1610[[#This Row],[Real Disposable Income (RDI)]]="",#N/A,((Tabela1610[[#This Row],[Real Disposable Income (RDI)]]*1)/H730)-1)</f>
        <v>2.3431183274755796E-3</v>
      </c>
      <c r="J731" s="56">
        <f>IF(Tabela1610[[#This Row],[Real Disposable Income (RDI)]]="",#N/A,((Tabela1610[[#This Row],[Real Disposable Income (RDI)]]*1)/H719)-1)</f>
        <v>4.9133139227104383E-3</v>
      </c>
      <c r="K731" s="10">
        <v>483000</v>
      </c>
      <c r="L731" s="11">
        <v>18.600000000000001</v>
      </c>
      <c r="M731" s="10">
        <v>-451</v>
      </c>
      <c r="N731" s="10">
        <f>IF(Tabela1610[[#This Row],[Payroll]]="",#N/A,AVERAGE(M729:M731))</f>
        <v>-310.33333333333331</v>
      </c>
      <c r="O731" s="10">
        <v>3222</v>
      </c>
      <c r="P731" s="7">
        <f>IF(Tabela1610[[#This Row],[JOLTS]]="",#N/A,Tabela1610[[#This Row],[JOLTS]]/Tabela1610[[#This Row],[Unemployment Level]])</f>
        <v>0.33937223509585002</v>
      </c>
    </row>
    <row r="732" spans="1:16">
      <c r="A732" s="6">
        <v>39722</v>
      </c>
      <c r="B732" s="11">
        <v>6.5</v>
      </c>
      <c r="C732" s="11">
        <f>IF(Tabela1610[[#This Row],[Unemployment Rate]]="",#N/A,AVERAGE(B720:B732))</f>
        <v>5.3769230769230774</v>
      </c>
      <c r="D732" s="10">
        <v>10074</v>
      </c>
      <c r="E732" s="11">
        <v>66</v>
      </c>
      <c r="F732" s="11">
        <v>3.3238400000000001</v>
      </c>
      <c r="G732" s="11">
        <v>4</v>
      </c>
      <c r="H732" s="55">
        <v>12240.5</v>
      </c>
      <c r="I732" s="56">
        <f>IF(Tabela1610[[#This Row],[Real Disposable Income (RDI)]]="",#N/A,((Tabela1610[[#This Row],[Real Disposable Income (RDI)]]*1)/H731)-1)</f>
        <v>7.5314840727631616E-3</v>
      </c>
      <c r="J732" s="56">
        <f>IF(Tabela1610[[#This Row],[Real Disposable Income (RDI)]]="",#N/A,((Tabela1610[[#This Row],[Real Disposable Income (RDI)]]*1)/H720)-1)</f>
        <v>1.3252872421443129E-2</v>
      </c>
      <c r="K732" s="10">
        <v>480000</v>
      </c>
      <c r="L732" s="11">
        <v>19.899999999999999</v>
      </c>
      <c r="M732" s="10">
        <v>-464</v>
      </c>
      <c r="N732" s="10">
        <f>IF(Tabela1610[[#This Row],[Payroll]]="",#N/A,AVERAGE(M730:M732))</f>
        <v>-399.33333333333331</v>
      </c>
      <c r="O732" s="10">
        <v>3377</v>
      </c>
      <c r="P732" s="7">
        <f>IF(Tabela1610[[#This Row],[JOLTS]]="",#N/A,Tabela1610[[#This Row],[JOLTS]]/Tabela1610[[#This Row],[Unemployment Level]])</f>
        <v>0.33521937661306334</v>
      </c>
    </row>
    <row r="733" spans="1:16">
      <c r="A733" s="6">
        <v>39753</v>
      </c>
      <c r="B733" s="11">
        <v>6.8</v>
      </c>
      <c r="C733" s="11">
        <f>IF(Tabela1610[[#This Row],[Unemployment Rate]]="",#N/A,AVERAGE(B721:B733))</f>
        <v>5.5384615384615383</v>
      </c>
      <c r="D733" s="10">
        <v>10538</v>
      </c>
      <c r="E733" s="11">
        <v>65.900000000000006</v>
      </c>
      <c r="F733" s="11">
        <v>3.5511400000000002</v>
      </c>
      <c r="G733" s="11">
        <v>4</v>
      </c>
      <c r="H733" s="55">
        <v>12345.9</v>
      </c>
      <c r="I733" s="56">
        <f>IF(Tabela1610[[#This Row],[Real Disposable Income (RDI)]]="",#N/A,((Tabela1610[[#This Row],[Real Disposable Income (RDI)]]*1)/H732)-1)</f>
        <v>8.6107593644049185E-3</v>
      </c>
      <c r="J733" s="56">
        <f>IF(Tabela1610[[#This Row],[Real Disposable Income (RDI)]]="",#N/A,((Tabela1610[[#This Row],[Real Disposable Income (RDI)]]*1)/H721)-1)</f>
        <v>2.2849852113901337E-2</v>
      </c>
      <c r="K733" s="10">
        <v>529000</v>
      </c>
      <c r="L733" s="11">
        <v>18.899999999999999</v>
      </c>
      <c r="M733" s="10">
        <v>-748</v>
      </c>
      <c r="N733" s="10">
        <f>IF(Tabela1610[[#This Row],[Payroll]]="",#N/A,AVERAGE(M731:M733))</f>
        <v>-554.33333333333337</v>
      </c>
      <c r="O733" s="10">
        <v>3231</v>
      </c>
      <c r="P733" s="7">
        <f>IF(Tabela1610[[#This Row],[JOLTS]]="",#N/A,Tabela1610[[#This Row],[JOLTS]]/Tabela1610[[#This Row],[Unemployment Level]])</f>
        <v>0.30660466881761245</v>
      </c>
    </row>
    <row r="734" spans="1:16">
      <c r="A734" s="6">
        <v>39783</v>
      </c>
      <c r="B734" s="11">
        <v>7.3</v>
      </c>
      <c r="C734" s="11">
        <f>IF(Tabela1610[[#This Row],[Unemployment Rate]]="",#N/A,AVERAGE(B722:B734))</f>
        <v>5.7384615384615376</v>
      </c>
      <c r="D734" s="10">
        <v>11286</v>
      </c>
      <c r="E734" s="11">
        <v>65.8</v>
      </c>
      <c r="F734" s="11">
        <v>3.6372200000000001</v>
      </c>
      <c r="G734" s="11">
        <v>3.8</v>
      </c>
      <c r="H734" s="55">
        <v>12288.8</v>
      </c>
      <c r="I734" s="56">
        <f>IF(Tabela1610[[#This Row],[Real Disposable Income (RDI)]]="",#N/A,((Tabela1610[[#This Row],[Real Disposable Income (RDI)]]*1)/H733)-1)</f>
        <v>-4.6250172121918842E-3</v>
      </c>
      <c r="J734" s="56">
        <f>IF(Tabela1610[[#This Row],[Real Disposable Income (RDI)]]="",#N/A,((Tabela1610[[#This Row],[Real Disposable Income (RDI)]]*1)/H722)-1)</f>
        <v>1.3885565776989406E-2</v>
      </c>
      <c r="K734" s="10">
        <v>533000</v>
      </c>
      <c r="L734" s="11">
        <v>19.899999999999999</v>
      </c>
      <c r="M734" s="10">
        <v>-697</v>
      </c>
      <c r="N734" s="10">
        <f>IF(Tabela1610[[#This Row],[Payroll]]="",#N/A,AVERAGE(M732:M734))</f>
        <v>-636.33333333333337</v>
      </c>
      <c r="O734" s="10">
        <v>3146</v>
      </c>
      <c r="P734" s="7">
        <f>IF(Tabela1610[[#This Row],[JOLTS]]="",#N/A,Tabela1610[[#This Row],[JOLTS]]/Tabela1610[[#This Row],[Unemployment Level]])</f>
        <v>0.27875243664717347</v>
      </c>
    </row>
    <row r="735" spans="1:16">
      <c r="A735" s="6">
        <v>39814</v>
      </c>
      <c r="B735" s="11">
        <v>7.8</v>
      </c>
      <c r="C735" s="11">
        <f>IF(Tabela1610[[#This Row],[Unemployment Rate]]="",#N/A,AVERAGE(B723:B735))</f>
        <v>5.9538461538461531</v>
      </c>
      <c r="D735" s="10">
        <v>12058</v>
      </c>
      <c r="E735" s="11">
        <v>65.7</v>
      </c>
      <c r="F735" s="11">
        <v>3.5849099999999998</v>
      </c>
      <c r="G735" s="11">
        <v>3.7</v>
      </c>
      <c r="H735" s="55">
        <v>12361.5</v>
      </c>
      <c r="I735" s="56">
        <f>IF(Tabela1610[[#This Row],[Real Disposable Income (RDI)]]="",#N/A,((Tabela1610[[#This Row],[Real Disposable Income (RDI)]]*1)/H734)-1)</f>
        <v>5.9159559924484295E-3</v>
      </c>
      <c r="J735" s="56">
        <f>IF(Tabela1610[[#This Row],[Real Disposable Income (RDI)]]="",#N/A,((Tabela1610[[#This Row],[Real Disposable Income (RDI)]]*1)/H723)-1)</f>
        <v>1.8488765850161792E-2</v>
      </c>
      <c r="K735" s="10">
        <v>629000</v>
      </c>
      <c r="L735" s="11">
        <v>19.8</v>
      </c>
      <c r="M735" s="10">
        <v>-780</v>
      </c>
      <c r="N735" s="10">
        <f>IF(Tabela1610[[#This Row],[Payroll]]="",#N/A,AVERAGE(M733:M735))</f>
        <v>-741.66666666666663</v>
      </c>
      <c r="O735" s="10">
        <v>2738</v>
      </c>
      <c r="P735" s="7">
        <f>IF(Tabela1610[[#This Row],[JOLTS]]="",#N/A,Tabela1610[[#This Row],[JOLTS]]/Tabela1610[[#This Row],[Unemployment Level]])</f>
        <v>0.22706916569912092</v>
      </c>
    </row>
    <row r="736" spans="1:16">
      <c r="A736" s="6">
        <v>39845</v>
      </c>
      <c r="B736" s="11">
        <v>8.3000000000000007</v>
      </c>
      <c r="C736" s="11">
        <f>IF(Tabela1610[[#This Row],[Unemployment Rate]]="",#N/A,AVERAGE(B724:B736))</f>
        <v>6.207692307692307</v>
      </c>
      <c r="D736" s="10">
        <v>12898</v>
      </c>
      <c r="E736" s="11">
        <v>65.8</v>
      </c>
      <c r="F736" s="11">
        <v>3.4336799999999998</v>
      </c>
      <c r="G736" s="11">
        <v>3.4</v>
      </c>
      <c r="H736" s="55">
        <v>12241.9</v>
      </c>
      <c r="I736" s="56">
        <f>IF(Tabela1610[[#This Row],[Real Disposable Income (RDI)]]="",#N/A,((Tabela1610[[#This Row],[Real Disposable Income (RDI)]]*1)/H735)-1)</f>
        <v>-9.6752012296242862E-3</v>
      </c>
      <c r="J736" s="56">
        <f>IF(Tabela1610[[#This Row],[Real Disposable Income (RDI)]]="",#N/A,((Tabela1610[[#This Row],[Real Disposable Income (RDI)]]*1)/H724)-1)</f>
        <v>8.2442471462220723E-3</v>
      </c>
      <c r="K736" s="10">
        <v>652000</v>
      </c>
      <c r="L736" s="11">
        <v>20.2</v>
      </c>
      <c r="M736" s="10">
        <v>-758</v>
      </c>
      <c r="N736" s="10">
        <f>IF(Tabela1610[[#This Row],[Payroll]]="",#N/A,AVERAGE(M734:M736))</f>
        <v>-745</v>
      </c>
      <c r="O736" s="10">
        <v>2864</v>
      </c>
      <c r="P736" s="7">
        <f>IF(Tabela1610[[#This Row],[JOLTS]]="",#N/A,Tabela1610[[#This Row],[JOLTS]]/Tabela1610[[#This Row],[Unemployment Level]])</f>
        <v>0.2220499302217398</v>
      </c>
    </row>
    <row r="737" spans="1:16">
      <c r="A737" s="6">
        <v>39873</v>
      </c>
      <c r="B737" s="11">
        <v>8.6999999999999993</v>
      </c>
      <c r="C737" s="11">
        <f>IF(Tabela1610[[#This Row],[Unemployment Rate]]="",#N/A,AVERAGE(B725:B737))</f>
        <v>6.5</v>
      </c>
      <c r="D737" s="10">
        <v>13426</v>
      </c>
      <c r="E737" s="11">
        <v>65.599999999999994</v>
      </c>
      <c r="F737" s="11">
        <v>3.2771499999999998</v>
      </c>
      <c r="G737" s="11">
        <v>3.3</v>
      </c>
      <c r="H737" s="55">
        <v>12242.7</v>
      </c>
      <c r="I737" s="56">
        <f>IF(Tabela1610[[#This Row],[Real Disposable Income (RDI)]]="",#N/A,((Tabela1610[[#This Row],[Real Disposable Income (RDI)]]*1)/H736)-1)</f>
        <v>6.5349333028486001E-5</v>
      </c>
      <c r="J737" s="56">
        <f>IF(Tabela1610[[#This Row],[Real Disposable Income (RDI)]]="",#N/A,((Tabela1610[[#This Row],[Real Disposable Income (RDI)]]*1)/H725)-1)</f>
        <v>7.9697675758898523E-3</v>
      </c>
      <c r="K737" s="10">
        <v>665000</v>
      </c>
      <c r="L737" s="11">
        <v>20.9</v>
      </c>
      <c r="M737" s="10">
        <v>-818</v>
      </c>
      <c r="N737" s="10">
        <f>IF(Tabela1610[[#This Row],[Payroll]]="",#N/A,AVERAGE(M735:M737))</f>
        <v>-785.33333333333337</v>
      </c>
      <c r="O737" s="10">
        <v>2534</v>
      </c>
      <c r="P737" s="7">
        <f>IF(Tabela1610[[#This Row],[JOLTS]]="",#N/A,Tabela1610[[#This Row],[JOLTS]]/Tabela1610[[#This Row],[Unemployment Level]])</f>
        <v>0.18873826903023982</v>
      </c>
    </row>
    <row r="738" spans="1:16">
      <c r="A738" s="6">
        <v>39904</v>
      </c>
      <c r="B738" s="11">
        <v>9</v>
      </c>
      <c r="C738" s="11">
        <f>IF(Tabela1610[[#This Row],[Unemployment Rate]]="",#N/A,AVERAGE(B726:B738))</f>
        <v>6.7999999999999989</v>
      </c>
      <c r="D738" s="10">
        <v>13853</v>
      </c>
      <c r="E738" s="11">
        <v>65.7</v>
      </c>
      <c r="F738" s="11">
        <v>3.3208600000000001</v>
      </c>
      <c r="G738" s="11">
        <v>3.2</v>
      </c>
      <c r="H738" s="55">
        <v>12320</v>
      </c>
      <c r="I738" s="56">
        <f>IF(Tabela1610[[#This Row],[Real Disposable Income (RDI)]]="",#N/A,((Tabela1610[[#This Row],[Real Disposable Income (RDI)]]*1)/H737)-1)</f>
        <v>6.3139666903542224E-3</v>
      </c>
      <c r="J738" s="56">
        <f>IF(Tabela1610[[#This Row],[Real Disposable Income (RDI)]]="",#N/A,((Tabela1610[[#This Row],[Real Disposable Income (RDI)]]*1)/H726)-1)</f>
        <v>1.8114504826127309E-2</v>
      </c>
      <c r="K738" s="10">
        <v>620000</v>
      </c>
      <c r="L738" s="11">
        <v>21.7</v>
      </c>
      <c r="M738" s="10">
        <v>-668</v>
      </c>
      <c r="N738" s="10">
        <f>IF(Tabela1610[[#This Row],[Payroll]]="",#N/A,AVERAGE(M736:M738))</f>
        <v>-748</v>
      </c>
      <c r="O738" s="10">
        <v>2295</v>
      </c>
      <c r="P738" s="7">
        <f>IF(Tabela1610[[#This Row],[JOLTS]]="",#N/A,Tabela1610[[#This Row],[JOLTS]]/Tabela1610[[#This Row],[Unemployment Level]])</f>
        <v>0.16566808633508986</v>
      </c>
    </row>
    <row r="739" spans="1:16">
      <c r="A739" s="6">
        <v>39934</v>
      </c>
      <c r="B739" s="11">
        <v>9.4</v>
      </c>
      <c r="C739" s="11">
        <f>IF(Tabela1610[[#This Row],[Unemployment Rate]]="",#N/A,AVERAGE(B727:B739))</f>
        <v>7.138461538461538</v>
      </c>
      <c r="D739" s="10">
        <v>14499</v>
      </c>
      <c r="E739" s="11">
        <v>65.7</v>
      </c>
      <c r="F739" s="11">
        <v>2.9809000000000001</v>
      </c>
      <c r="G739" s="11">
        <v>3.3</v>
      </c>
      <c r="H739" s="55">
        <v>12500.1</v>
      </c>
      <c r="I739" s="56">
        <f>IF(Tabela1610[[#This Row],[Real Disposable Income (RDI)]]="",#N/A,((Tabela1610[[#This Row],[Real Disposable Income (RDI)]]*1)/H738)-1)</f>
        <v>1.4618506493506489E-2</v>
      </c>
      <c r="J739" s="56">
        <f>IF(Tabela1610[[#This Row],[Real Disposable Income (RDI)]]="",#N/A,((Tabela1610[[#This Row],[Real Disposable Income (RDI)]]*1)/H727)-1)</f>
        <v>-1.5445566389943433E-2</v>
      </c>
      <c r="K739" s="10">
        <v>607000</v>
      </c>
      <c r="L739" s="11">
        <v>22.4</v>
      </c>
      <c r="M739" s="10">
        <v>-355</v>
      </c>
      <c r="N739" s="10">
        <f>IF(Tabela1610[[#This Row],[Payroll]]="",#N/A,AVERAGE(M737:M739))</f>
        <v>-613.66666666666663</v>
      </c>
      <c r="O739" s="10">
        <v>2549</v>
      </c>
      <c r="P739" s="7">
        <f>IF(Tabela1610[[#This Row],[JOLTS]]="",#N/A,Tabela1610[[#This Row],[JOLTS]]/Tabela1610[[#This Row],[Unemployment Level]])</f>
        <v>0.17580522794675496</v>
      </c>
    </row>
    <row r="740" spans="1:16">
      <c r="A740" s="6">
        <v>39965</v>
      </c>
      <c r="B740" s="11">
        <v>9.5</v>
      </c>
      <c r="C740" s="11">
        <f>IF(Tabela1610[[#This Row],[Unemployment Rate]]="",#N/A,AVERAGE(B728:B740))</f>
        <v>7.453846153846154</v>
      </c>
      <c r="D740" s="10">
        <v>14707</v>
      </c>
      <c r="E740" s="11">
        <v>65.7</v>
      </c>
      <c r="F740" s="11">
        <v>2.9288699999999999</v>
      </c>
      <c r="G740" s="11">
        <v>3.1</v>
      </c>
      <c r="H740" s="55">
        <v>12273.2</v>
      </c>
      <c r="I740" s="56">
        <f>IF(Tabela1610[[#This Row],[Real Disposable Income (RDI)]]="",#N/A,((Tabela1610[[#This Row],[Real Disposable Income (RDI)]]*1)/H739)-1)</f>
        <v>-1.8151854785161681E-2</v>
      </c>
      <c r="J740" s="56">
        <f>IF(Tabela1610[[#This Row],[Real Disposable Income (RDI)]]="",#N/A,((Tabela1610[[#This Row],[Real Disposable Income (RDI)]]*1)/H728)-1)</f>
        <v>-8.3544753809607908E-3</v>
      </c>
      <c r="K740" s="10">
        <v>594000</v>
      </c>
      <c r="L740" s="11">
        <v>23.9</v>
      </c>
      <c r="M740" s="10">
        <v>-468</v>
      </c>
      <c r="N740" s="10">
        <f>IF(Tabela1610[[#This Row],[Payroll]]="",#N/A,AVERAGE(M738:M740))</f>
        <v>-497</v>
      </c>
      <c r="O740" s="10">
        <v>2503</v>
      </c>
      <c r="P740" s="7">
        <f>IF(Tabela1610[[#This Row],[JOLTS]]="",#N/A,Tabela1610[[#This Row],[JOLTS]]/Tabela1610[[#This Row],[Unemployment Level]])</f>
        <v>0.1701910654790236</v>
      </c>
    </row>
    <row r="741" spans="1:16">
      <c r="A741" s="6">
        <v>39995</v>
      </c>
      <c r="B741" s="11">
        <v>9.5</v>
      </c>
      <c r="C741" s="11">
        <f>IF(Tabela1610[[#This Row],[Unemployment Rate]]="",#N/A,AVERAGE(B729:B741))</f>
        <v>7.7538461538461547</v>
      </c>
      <c r="D741" s="10">
        <v>14601</v>
      </c>
      <c r="E741" s="11">
        <v>65.5</v>
      </c>
      <c r="F741" s="11">
        <v>2.68519</v>
      </c>
      <c r="G741" s="11">
        <v>3</v>
      </c>
      <c r="H741" s="55">
        <v>12218.7</v>
      </c>
      <c r="I741" s="56">
        <f>IF(Tabela1610[[#This Row],[Real Disposable Income (RDI)]]="",#N/A,((Tabela1610[[#This Row],[Real Disposable Income (RDI)]]*1)/H740)-1)</f>
        <v>-4.4405696965746921E-3</v>
      </c>
      <c r="J741" s="56">
        <f>IF(Tabela1610[[#This Row],[Real Disposable Income (RDI)]]="",#N/A,((Tabela1610[[#This Row],[Real Disposable Income (RDI)]]*1)/H729)-1)</f>
        <v>2.4612961185359605E-3</v>
      </c>
      <c r="K741" s="10">
        <v>587000</v>
      </c>
      <c r="L741" s="11">
        <v>25.1</v>
      </c>
      <c r="M741" s="10">
        <v>-341</v>
      </c>
      <c r="N741" s="10">
        <f>IF(Tabela1610[[#This Row],[Payroll]]="",#N/A,AVERAGE(M739:M741))</f>
        <v>-388</v>
      </c>
      <c r="O741" s="10">
        <v>2232</v>
      </c>
      <c r="P741" s="7">
        <f>IF(Tabela1610[[#This Row],[JOLTS]]="",#N/A,Tabela1610[[#This Row],[JOLTS]]/Tabela1610[[#This Row],[Unemployment Level]])</f>
        <v>0.15286624203821655</v>
      </c>
    </row>
    <row r="742" spans="1:16">
      <c r="A742" s="6">
        <v>40026</v>
      </c>
      <c r="B742" s="11">
        <v>9.6</v>
      </c>
      <c r="C742" s="11">
        <f>IF(Tabela1610[[#This Row],[Unemployment Rate]]="",#N/A,AVERAGE(B730:B742))</f>
        <v>8.046153846153846</v>
      </c>
      <c r="D742" s="10">
        <v>14814</v>
      </c>
      <c r="E742" s="11">
        <v>65.400000000000006</v>
      </c>
      <c r="F742" s="11">
        <v>2.4424000000000001</v>
      </c>
      <c r="G742" s="11">
        <v>2.5</v>
      </c>
      <c r="H742" s="55">
        <v>12194.8</v>
      </c>
      <c r="I742" s="56">
        <f>IF(Tabela1610[[#This Row],[Real Disposable Income (RDI)]]="",#N/A,((Tabela1610[[#This Row],[Real Disposable Income (RDI)]]*1)/H741)-1)</f>
        <v>-1.9560182343458798E-3</v>
      </c>
      <c r="J742" s="56">
        <f>IF(Tabela1610[[#This Row],[Real Disposable Income (RDI)]]="",#N/A,((Tabela1610[[#This Row],[Real Disposable Income (RDI)]]*1)/H730)-1)</f>
        <v>6.1218091513619566E-3</v>
      </c>
      <c r="K742" s="10">
        <v>564000</v>
      </c>
      <c r="L742" s="11">
        <v>25.3</v>
      </c>
      <c r="M742" s="10">
        <v>-181</v>
      </c>
      <c r="N742" s="10">
        <f>IF(Tabela1610[[#This Row],[Payroll]]="",#N/A,AVERAGE(M740:M742))</f>
        <v>-330</v>
      </c>
      <c r="O742" s="10">
        <v>2338</v>
      </c>
      <c r="P742" s="7">
        <f>IF(Tabela1610[[#This Row],[JOLTS]]="",#N/A,Tabela1610[[#This Row],[JOLTS]]/Tabela1610[[#This Row],[Unemployment Level]])</f>
        <v>0.15782368030241664</v>
      </c>
    </row>
    <row r="743" spans="1:16">
      <c r="A743" s="6">
        <v>40057</v>
      </c>
      <c r="B743" s="11">
        <v>9.8000000000000007</v>
      </c>
      <c r="C743" s="11">
        <f>IF(Tabela1610[[#This Row],[Unemployment Rate]]="",#N/A,AVERAGE(B731:B743))</f>
        <v>8.3307692307692314</v>
      </c>
      <c r="D743" s="10">
        <v>15009</v>
      </c>
      <c r="E743" s="11">
        <v>65.099999999999994</v>
      </c>
      <c r="F743" s="11">
        <v>2.4861900000000001</v>
      </c>
      <c r="G743" s="11">
        <v>2.2999999999999998</v>
      </c>
      <c r="H743" s="55">
        <v>12230.6</v>
      </c>
      <c r="I743" s="56">
        <f>IF(Tabela1610[[#This Row],[Real Disposable Income (RDI)]]="",#N/A,((Tabela1610[[#This Row],[Real Disposable Income (RDI)]]*1)/H742)-1)</f>
        <v>2.9356775018860581E-3</v>
      </c>
      <c r="J743" s="56">
        <f>IF(Tabela1610[[#This Row],[Real Disposable Income (RDI)]]="",#N/A,((Tabela1610[[#This Row],[Real Disposable Income (RDI)]]*1)/H731)-1)</f>
        <v>6.7166021894806693E-3</v>
      </c>
      <c r="K743" s="10">
        <v>554000</v>
      </c>
      <c r="L743" s="11">
        <v>26.6</v>
      </c>
      <c r="M743" s="10">
        <v>-240</v>
      </c>
      <c r="N743" s="10">
        <f>IF(Tabela1610[[#This Row],[Payroll]]="",#N/A,AVERAGE(M741:M743))</f>
        <v>-254</v>
      </c>
      <c r="O743" s="10">
        <v>2487</v>
      </c>
      <c r="P743" s="7">
        <f>IF(Tabela1610[[#This Row],[JOLTS]]="",#N/A,Tabela1610[[#This Row],[JOLTS]]/Tabela1610[[#This Row],[Unemployment Level]])</f>
        <v>0.16570057965220866</v>
      </c>
    </row>
    <row r="744" spans="1:16">
      <c r="A744" s="6">
        <v>40087</v>
      </c>
      <c r="B744" s="11">
        <v>10</v>
      </c>
      <c r="C744" s="11">
        <f>IF(Tabela1610[[#This Row],[Unemployment Rate]]="",#N/A,AVERAGE(B732:B744))</f>
        <v>8.6307692307692303</v>
      </c>
      <c r="D744" s="10">
        <v>15352</v>
      </c>
      <c r="E744" s="11">
        <v>65</v>
      </c>
      <c r="F744" s="11">
        <v>2.4816199999999999</v>
      </c>
      <c r="G744" s="11">
        <v>2.1</v>
      </c>
      <c r="H744" s="55">
        <v>12193.2</v>
      </c>
      <c r="I744" s="56">
        <f>IF(Tabela1610[[#This Row],[Real Disposable Income (RDI)]]="",#N/A,((Tabela1610[[#This Row],[Real Disposable Income (RDI)]]*1)/H743)-1)</f>
        <v>-3.057903945840712E-3</v>
      </c>
      <c r="J744" s="56">
        <f>IF(Tabela1610[[#This Row],[Real Disposable Income (RDI)]]="",#N/A,((Tabela1610[[#This Row],[Real Disposable Income (RDI)]]*1)/H732)-1)</f>
        <v>-3.8642212327927306E-3</v>
      </c>
      <c r="K744" s="10">
        <v>522000</v>
      </c>
      <c r="L744" s="11">
        <v>27.5</v>
      </c>
      <c r="M744" s="10">
        <v>-178</v>
      </c>
      <c r="N744" s="10">
        <f>IF(Tabela1610[[#This Row],[Payroll]]="",#N/A,AVERAGE(M742:M744))</f>
        <v>-199.66666666666666</v>
      </c>
      <c r="O744" s="10">
        <v>2406</v>
      </c>
      <c r="P744" s="7">
        <f>IF(Tabela1610[[#This Row],[JOLTS]]="",#N/A,Tabela1610[[#This Row],[JOLTS]]/Tabela1610[[#This Row],[Unemployment Level]])</f>
        <v>0.15672225117248567</v>
      </c>
    </row>
    <row r="745" spans="1:16">
      <c r="A745" s="6">
        <v>40118</v>
      </c>
      <c r="B745" s="11">
        <v>9.9</v>
      </c>
      <c r="C745" s="11">
        <f>IF(Tabela1610[[#This Row],[Unemployment Rate]]="",#N/A,AVERAGE(B733:B745))</f>
        <v>8.8923076923076927</v>
      </c>
      <c r="D745" s="10">
        <v>15219</v>
      </c>
      <c r="E745" s="11">
        <v>65</v>
      </c>
      <c r="F745" s="11">
        <v>2.1947899999999998</v>
      </c>
      <c r="G745" s="11">
        <v>2.1</v>
      </c>
      <c r="H745" s="55">
        <v>12224.4</v>
      </c>
      <c r="I745" s="56">
        <f>IF(Tabela1610[[#This Row],[Real Disposable Income (RDI)]]="",#N/A,((Tabela1610[[#This Row],[Real Disposable Income (RDI)]]*1)/H744)-1)</f>
        <v>2.5588032673948824E-3</v>
      </c>
      <c r="J745" s="56">
        <f>IF(Tabela1610[[#This Row],[Real Disposable Income (RDI)]]="",#N/A,((Tabela1610[[#This Row],[Real Disposable Income (RDI)]]*1)/H733)-1)</f>
        <v>-9.8413238403032288E-3</v>
      </c>
      <c r="K745" s="10">
        <v>475000</v>
      </c>
      <c r="L745" s="11">
        <v>28.9</v>
      </c>
      <c r="M745" s="10">
        <v>-3</v>
      </c>
      <c r="N745" s="10">
        <f>IF(Tabela1610[[#This Row],[Payroll]]="",#N/A,AVERAGE(M743:M745))</f>
        <v>-140.33333333333334</v>
      </c>
      <c r="O745" s="10">
        <v>2503</v>
      </c>
      <c r="P745" s="7">
        <f>IF(Tabela1610[[#This Row],[JOLTS]]="",#N/A,Tabela1610[[#This Row],[JOLTS]]/Tabela1610[[#This Row],[Unemployment Level]])</f>
        <v>0.1644654707930876</v>
      </c>
    </row>
    <row r="746" spans="1:16">
      <c r="A746" s="6">
        <v>40148</v>
      </c>
      <c r="B746" s="11">
        <v>9.9</v>
      </c>
      <c r="C746" s="11">
        <f>IF(Tabela1610[[#This Row],[Unemployment Rate]]="",#N/A,AVERAGE(B734:B746))</f>
        <v>9.1307692307692303</v>
      </c>
      <c r="D746" s="10">
        <v>15098</v>
      </c>
      <c r="E746" s="11">
        <v>64.599999999999994</v>
      </c>
      <c r="F746" s="11">
        <v>1.91431</v>
      </c>
      <c r="G746" s="11">
        <v>1.7</v>
      </c>
      <c r="H746" s="55">
        <v>12280.2</v>
      </c>
      <c r="I746" s="56">
        <f>IF(Tabela1610[[#This Row],[Real Disposable Income (RDI)]]="",#N/A,((Tabela1610[[#This Row],[Real Disposable Income (RDI)]]*1)/H745)-1)</f>
        <v>4.5646412093844901E-3</v>
      </c>
      <c r="J746" s="56">
        <f>IF(Tabela1610[[#This Row],[Real Disposable Income (RDI)]]="",#N/A,((Tabela1610[[#This Row],[Real Disposable Income (RDI)]]*1)/H734)-1)</f>
        <v>-6.9982423019321338E-4</v>
      </c>
      <c r="K746" s="10">
        <v>468000</v>
      </c>
      <c r="L746" s="11">
        <v>29.7</v>
      </c>
      <c r="M746" s="10">
        <v>-251</v>
      </c>
      <c r="N746" s="10">
        <f>IF(Tabela1610[[#This Row],[Payroll]]="",#N/A,AVERAGE(M744:M746))</f>
        <v>-144</v>
      </c>
      <c r="O746" s="10">
        <v>2568</v>
      </c>
      <c r="P746" s="7">
        <f>IF(Tabela1610[[#This Row],[JOLTS]]="",#N/A,Tabela1610[[#This Row],[JOLTS]]/Tabela1610[[#This Row],[Unemployment Level]])</f>
        <v>0.17008875347728175</v>
      </c>
    </row>
    <row r="747" spans="1:16">
      <c r="A747" s="6">
        <v>40179</v>
      </c>
      <c r="B747" s="11">
        <v>9.8000000000000007</v>
      </c>
      <c r="C747" s="11">
        <f>IF(Tabela1610[[#This Row],[Unemployment Rate]]="",#N/A,AVERAGE(B735:B747))</f>
        <v>9.3230769230769237</v>
      </c>
      <c r="D747" s="10">
        <v>15046</v>
      </c>
      <c r="E747" s="11">
        <v>64.8</v>
      </c>
      <c r="F747" s="11">
        <v>2.0491799999999998</v>
      </c>
      <c r="G747" s="11">
        <v>1.6</v>
      </c>
      <c r="H747" s="55">
        <v>12285.8</v>
      </c>
      <c r="I747" s="56">
        <f>IF(Tabela1610[[#This Row],[Real Disposable Income (RDI)]]="",#N/A,((Tabela1610[[#This Row],[Real Disposable Income (RDI)]]*1)/H746)-1)</f>
        <v>4.5601863161826017E-4</v>
      </c>
      <c r="J747" s="56">
        <f>IF(Tabela1610[[#This Row],[Real Disposable Income (RDI)]]="",#N/A,((Tabela1610[[#This Row],[Real Disposable Income (RDI)]]*1)/H735)-1)</f>
        <v>-6.1238522832990361E-3</v>
      </c>
      <c r="K747" s="10">
        <v>496000</v>
      </c>
      <c r="L747" s="11">
        <v>30.3</v>
      </c>
      <c r="M747" s="10">
        <v>-10</v>
      </c>
      <c r="N747" s="10">
        <f>IF(Tabela1610[[#This Row],[Payroll]]="",#N/A,AVERAGE(M745:M747))</f>
        <v>-88</v>
      </c>
      <c r="O747" s="10">
        <v>2837</v>
      </c>
      <c r="P747" s="7">
        <f>IF(Tabela1610[[#This Row],[JOLTS]]="",#N/A,Tabela1610[[#This Row],[JOLTS]]/Tabela1610[[#This Row],[Unemployment Level]])</f>
        <v>0.18855509770038548</v>
      </c>
    </row>
    <row r="748" spans="1:16">
      <c r="A748" s="6">
        <v>40210</v>
      </c>
      <c r="B748" s="11">
        <v>9.8000000000000007</v>
      </c>
      <c r="C748" s="11">
        <f>IF(Tabela1610[[#This Row],[Unemployment Rate]]="",#N/A,AVERAGE(B736:B748))</f>
        <v>9.476923076923077</v>
      </c>
      <c r="D748" s="10">
        <v>15113</v>
      </c>
      <c r="E748" s="11">
        <v>64.900000000000006</v>
      </c>
      <c r="F748" s="11">
        <v>2.0918600000000001</v>
      </c>
      <c r="G748" s="11">
        <v>1.7</v>
      </c>
      <c r="H748" s="55">
        <v>12292</v>
      </c>
      <c r="I748" s="56">
        <f>IF(Tabela1610[[#This Row],[Real Disposable Income (RDI)]]="",#N/A,((Tabela1610[[#This Row],[Real Disposable Income (RDI)]]*1)/H747)-1)</f>
        <v>5.0464764199320555E-4</v>
      </c>
      <c r="J748" s="56">
        <f>IF(Tabela1610[[#This Row],[Real Disposable Income (RDI)]]="",#N/A,((Tabela1610[[#This Row],[Real Disposable Income (RDI)]]*1)/H736)-1)</f>
        <v>4.0925019809017193E-3</v>
      </c>
      <c r="K748" s="10">
        <v>488000</v>
      </c>
      <c r="L748" s="11">
        <v>29.8</v>
      </c>
      <c r="M748" s="10">
        <v>-98</v>
      </c>
      <c r="N748" s="10">
        <f>IF(Tabela1610[[#This Row],[Payroll]]="",#N/A,AVERAGE(M746:M748))</f>
        <v>-119.66666666666667</v>
      </c>
      <c r="O748" s="10">
        <v>2666</v>
      </c>
      <c r="P748" s="7">
        <f>IF(Tabela1610[[#This Row],[JOLTS]]="",#N/A,Tabela1610[[#This Row],[JOLTS]]/Tabela1610[[#This Row],[Unemployment Level]])</f>
        <v>0.17640442003573084</v>
      </c>
    </row>
    <row r="749" spans="1:16">
      <c r="A749" s="6">
        <v>40238</v>
      </c>
      <c r="B749" s="11">
        <v>9.9</v>
      </c>
      <c r="C749" s="11">
        <f>IF(Tabela1610[[#This Row],[Unemployment Rate]]="",#N/A,AVERAGE(B737:B749))</f>
        <v>9.6000000000000014</v>
      </c>
      <c r="D749" s="10">
        <v>15202</v>
      </c>
      <c r="E749" s="11">
        <v>64.900000000000006</v>
      </c>
      <c r="F749" s="11">
        <v>1.81324</v>
      </c>
      <c r="G749" s="11">
        <v>1.9</v>
      </c>
      <c r="H749" s="55">
        <v>12340.3</v>
      </c>
      <c r="I749" s="56">
        <f>IF(Tabela1610[[#This Row],[Real Disposable Income (RDI)]]="",#N/A,((Tabela1610[[#This Row],[Real Disposable Income (RDI)]]*1)/H748)-1)</f>
        <v>3.929384965831284E-3</v>
      </c>
      <c r="J749" s="56">
        <f>IF(Tabela1610[[#This Row],[Real Disposable Income (RDI)]]="",#N/A,((Tabela1610[[#This Row],[Real Disposable Income (RDI)]]*1)/H737)-1)</f>
        <v>7.9720976581962866E-3</v>
      </c>
      <c r="K749" s="10">
        <v>459000</v>
      </c>
      <c r="L749" s="11">
        <v>31.6</v>
      </c>
      <c r="M749" s="10">
        <v>164</v>
      </c>
      <c r="N749" s="10">
        <f>IF(Tabela1610[[#This Row],[Payroll]]="",#N/A,AVERAGE(M747:M749))</f>
        <v>18.666666666666668</v>
      </c>
      <c r="O749" s="10">
        <v>2679</v>
      </c>
      <c r="P749" s="7">
        <f>IF(Tabela1610[[#This Row],[JOLTS]]="",#N/A,Tabela1610[[#This Row],[JOLTS]]/Tabela1610[[#This Row],[Unemployment Level]])</f>
        <v>0.17622681226154455</v>
      </c>
    </row>
    <row r="750" spans="1:16">
      <c r="A750" s="6">
        <v>40269</v>
      </c>
      <c r="B750" s="11">
        <v>9.9</v>
      </c>
      <c r="C750" s="11">
        <f>IF(Tabela1610[[#This Row],[Unemployment Rate]]="",#N/A,AVERAGE(B738:B750))</f>
        <v>9.6923076923076934</v>
      </c>
      <c r="D750" s="10">
        <v>15325</v>
      </c>
      <c r="E750" s="11">
        <v>65.2</v>
      </c>
      <c r="F750" s="11">
        <v>1.81077</v>
      </c>
      <c r="G750" s="11">
        <v>1.9</v>
      </c>
      <c r="H750" s="55">
        <v>12447.1</v>
      </c>
      <c r="I750" s="56">
        <f>IF(Tabela1610[[#This Row],[Real Disposable Income (RDI)]]="",#N/A,((Tabela1610[[#This Row],[Real Disposable Income (RDI)]]*1)/H749)-1)</f>
        <v>8.6545707964962304E-3</v>
      </c>
      <c r="J750" s="56">
        <f>IF(Tabela1610[[#This Row],[Real Disposable Income (RDI)]]="",#N/A,((Tabela1610[[#This Row],[Real Disposable Income (RDI)]]*1)/H738)-1)</f>
        <v>1.0316558441558543E-2</v>
      </c>
      <c r="K750" s="10">
        <v>449000</v>
      </c>
      <c r="L750" s="11">
        <v>33.299999999999997</v>
      </c>
      <c r="M750" s="10">
        <v>251</v>
      </c>
      <c r="N750" s="10">
        <f>IF(Tabela1610[[#This Row],[Payroll]]="",#N/A,AVERAGE(M748:M750))</f>
        <v>105.66666666666667</v>
      </c>
      <c r="O750" s="10">
        <v>3153</v>
      </c>
      <c r="P750" s="7">
        <f>IF(Tabela1610[[#This Row],[JOLTS]]="",#N/A,Tabela1610[[#This Row],[JOLTS]]/Tabela1610[[#This Row],[Unemployment Level]])</f>
        <v>0.20574225122349102</v>
      </c>
    </row>
    <row r="751" spans="1:16">
      <c r="A751" s="6">
        <v>40299</v>
      </c>
      <c r="B751" s="11">
        <v>9.6</v>
      </c>
      <c r="C751" s="11">
        <f>IF(Tabela1610[[#This Row],[Unemployment Rate]]="",#N/A,AVERAGE(B739:B751))</f>
        <v>9.7384615384615394</v>
      </c>
      <c r="D751" s="10">
        <v>14849</v>
      </c>
      <c r="E751" s="11">
        <v>64.900000000000006</v>
      </c>
      <c r="F751" s="11">
        <v>1.8995899999999999</v>
      </c>
      <c r="G751" s="11">
        <v>1.6</v>
      </c>
      <c r="H751" s="55">
        <v>12540.3</v>
      </c>
      <c r="I751" s="56">
        <f>IF(Tabela1610[[#This Row],[Real Disposable Income (RDI)]]="",#N/A,((Tabela1610[[#This Row],[Real Disposable Income (RDI)]]*1)/H750)-1)</f>
        <v>7.4876878951721793E-3</v>
      </c>
      <c r="J751" s="56">
        <f>IF(Tabela1610[[#This Row],[Real Disposable Income (RDI)]]="",#N/A,((Tabela1610[[#This Row],[Real Disposable Income (RDI)]]*1)/H739)-1)</f>
        <v>3.2159742722057683E-3</v>
      </c>
      <c r="K751" s="10">
        <v>458000</v>
      </c>
      <c r="L751" s="11">
        <v>34</v>
      </c>
      <c r="M751" s="10">
        <v>530</v>
      </c>
      <c r="N751" s="10">
        <f>IF(Tabela1610[[#This Row],[Payroll]]="",#N/A,AVERAGE(M749:M751))</f>
        <v>315</v>
      </c>
      <c r="O751" s="10">
        <v>2988</v>
      </c>
      <c r="P751" s="7">
        <f>IF(Tabela1610[[#This Row],[JOLTS]]="",#N/A,Tabela1610[[#This Row],[JOLTS]]/Tabela1610[[#This Row],[Unemployment Level]])</f>
        <v>0.20122567176240824</v>
      </c>
    </row>
    <row r="752" spans="1:16">
      <c r="A752" s="6">
        <v>40330</v>
      </c>
      <c r="B752" s="11">
        <v>9.4</v>
      </c>
      <c r="C752" s="11">
        <f>IF(Tabela1610[[#This Row],[Unemployment Rate]]="",#N/A,AVERAGE(B740:B752))</f>
        <v>9.7384615384615394</v>
      </c>
      <c r="D752" s="10">
        <v>14474</v>
      </c>
      <c r="E752" s="11">
        <v>64.599999999999994</v>
      </c>
      <c r="F752" s="11">
        <v>1.76152</v>
      </c>
      <c r="G752" s="11">
        <v>1.7</v>
      </c>
      <c r="H752" s="55">
        <v>12544.3</v>
      </c>
      <c r="I752" s="56">
        <f>IF(Tabela1610[[#This Row],[Real Disposable Income (RDI)]]="",#N/A,((Tabela1610[[#This Row],[Real Disposable Income (RDI)]]*1)/H751)-1)</f>
        <v>3.189716354472516E-4</v>
      </c>
      <c r="J752" s="56">
        <f>IF(Tabela1610[[#This Row],[Real Disposable Income (RDI)]]="",#N/A,((Tabela1610[[#This Row],[Real Disposable Income (RDI)]]*1)/H740)-1)</f>
        <v>2.2088778802594078E-2</v>
      </c>
      <c r="K752" s="10">
        <v>464000</v>
      </c>
      <c r="L752" s="11">
        <v>34.5</v>
      </c>
      <c r="M752" s="10">
        <v>-144</v>
      </c>
      <c r="N752" s="10">
        <f>IF(Tabela1610[[#This Row],[Payroll]]="",#N/A,AVERAGE(M750:M752))</f>
        <v>212.33333333333334</v>
      </c>
      <c r="O752" s="10">
        <v>2801</v>
      </c>
      <c r="P752" s="7">
        <f>IF(Tabela1610[[#This Row],[JOLTS]]="",#N/A,Tabela1610[[#This Row],[JOLTS]]/Tabela1610[[#This Row],[Unemployment Level]])</f>
        <v>0.19351941412187371</v>
      </c>
    </row>
    <row r="753" spans="1:16">
      <c r="A753" s="6">
        <v>40360</v>
      </c>
      <c r="B753" s="11">
        <v>9.4</v>
      </c>
      <c r="C753" s="11">
        <f>IF(Tabela1610[[#This Row],[Unemployment Rate]]="",#N/A,AVERAGE(B741:B753))</f>
        <v>9.7307692307692317</v>
      </c>
      <c r="D753" s="10">
        <v>14512</v>
      </c>
      <c r="E753" s="11">
        <v>64.599999999999994</v>
      </c>
      <c r="F753" s="11">
        <v>1.8485100000000001</v>
      </c>
      <c r="G753" s="11">
        <v>1.8</v>
      </c>
      <c r="H753" s="55">
        <v>12554.2</v>
      </c>
      <c r="I753" s="56">
        <f>IF(Tabela1610[[#This Row],[Real Disposable Income (RDI)]]="",#N/A,((Tabela1610[[#This Row],[Real Disposable Income (RDI)]]*1)/H752)-1)</f>
        <v>7.8920306434016041E-4</v>
      </c>
      <c r="J753" s="56">
        <f>IF(Tabela1610[[#This Row],[Real Disposable Income (RDI)]]="",#N/A,((Tabela1610[[#This Row],[Real Disposable Income (RDI)]]*1)/H741)-1)</f>
        <v>2.7457912871254653E-2</v>
      </c>
      <c r="K753" s="10">
        <v>476000</v>
      </c>
      <c r="L753" s="11">
        <v>33.9</v>
      </c>
      <c r="M753" s="10">
        <v>-81</v>
      </c>
      <c r="N753" s="10">
        <f>IF(Tabela1610[[#This Row],[Payroll]]="",#N/A,AVERAGE(M751:M753))</f>
        <v>101.66666666666667</v>
      </c>
      <c r="O753" s="10">
        <v>3082</v>
      </c>
      <c r="P753" s="7">
        <f>IF(Tabela1610[[#This Row],[JOLTS]]="",#N/A,Tabela1610[[#This Row],[JOLTS]]/Tabela1610[[#This Row],[Unemployment Level]])</f>
        <v>0.21237596471885337</v>
      </c>
    </row>
    <row r="754" spans="1:16">
      <c r="A754" s="6">
        <v>40391</v>
      </c>
      <c r="B754" s="11">
        <v>9.5</v>
      </c>
      <c r="C754" s="11">
        <f>IF(Tabela1610[[#This Row],[Unemployment Rate]]="",#N/A,AVERAGE(B742:B754))</f>
        <v>9.7307692307692317</v>
      </c>
      <c r="D754" s="10">
        <v>14648</v>
      </c>
      <c r="E754" s="11">
        <v>64.7</v>
      </c>
      <c r="F754" s="11">
        <v>1.7543899999999999</v>
      </c>
      <c r="G754" s="11">
        <v>2</v>
      </c>
      <c r="H754" s="55">
        <v>12591.4</v>
      </c>
      <c r="I754" s="56">
        <f>IF(Tabela1610[[#This Row],[Real Disposable Income (RDI)]]="",#N/A,((Tabela1610[[#This Row],[Real Disposable Income (RDI)]]*1)/H753)-1)</f>
        <v>2.963151773908157E-3</v>
      </c>
      <c r="J754" s="56">
        <f>IF(Tabela1610[[#This Row],[Real Disposable Income (RDI)]]="",#N/A,((Tabela1610[[#This Row],[Real Disposable Income (RDI)]]*1)/H742)-1)</f>
        <v>3.2522058582346691E-2</v>
      </c>
      <c r="K754" s="10">
        <v>467000</v>
      </c>
      <c r="L754" s="11">
        <v>33.700000000000003</v>
      </c>
      <c r="M754" s="10">
        <v>4</v>
      </c>
      <c r="N754" s="10">
        <f>IF(Tabela1610[[#This Row],[Payroll]]="",#N/A,AVERAGE(M752:M754))</f>
        <v>-73.666666666666671</v>
      </c>
      <c r="O754" s="10">
        <v>2999</v>
      </c>
      <c r="P754" s="7">
        <f>IF(Tabela1610[[#This Row],[JOLTS]]="",#N/A,Tabela1610[[#This Row],[JOLTS]]/Tabela1610[[#This Row],[Unemployment Level]])</f>
        <v>0.2047378481703987</v>
      </c>
    </row>
    <row r="755" spans="1:16">
      <c r="A755" s="6">
        <v>40422</v>
      </c>
      <c r="B755" s="11">
        <v>9.5</v>
      </c>
      <c r="C755" s="11">
        <f>IF(Tabela1610[[#This Row],[Unemployment Rate]]="",#N/A,AVERAGE(B743:B755))</f>
        <v>9.7230769230769241</v>
      </c>
      <c r="D755" s="10">
        <v>14579</v>
      </c>
      <c r="E755" s="11">
        <v>64.599999999999994</v>
      </c>
      <c r="F755" s="11">
        <v>1.8418699999999999</v>
      </c>
      <c r="G755" s="11">
        <v>1.9</v>
      </c>
      <c r="H755" s="55">
        <v>12589.9</v>
      </c>
      <c r="I755" s="56">
        <f>IF(Tabela1610[[#This Row],[Real Disposable Income (RDI)]]="",#N/A,((Tabela1610[[#This Row],[Real Disposable Income (RDI)]]*1)/H754)-1)</f>
        <v>-1.1912892926912999E-4</v>
      </c>
      <c r="J755" s="56">
        <f>IF(Tabela1610[[#This Row],[Real Disposable Income (RDI)]]="",#N/A,((Tabela1610[[#This Row],[Real Disposable Income (RDI)]]*1)/H743)-1)</f>
        <v>2.9377136035844353E-2</v>
      </c>
      <c r="K755" s="10">
        <v>459000</v>
      </c>
      <c r="L755" s="11">
        <v>33.4</v>
      </c>
      <c r="M755" s="10">
        <v>-85</v>
      </c>
      <c r="N755" s="10">
        <f>IF(Tabela1610[[#This Row],[Payroll]]="",#N/A,AVERAGE(M753:M755))</f>
        <v>-54</v>
      </c>
      <c r="O755" s="10">
        <v>2918</v>
      </c>
      <c r="P755" s="7">
        <f>IF(Tabela1610[[#This Row],[JOLTS]]="",#N/A,Tabela1610[[#This Row],[JOLTS]]/Tabela1610[[#This Row],[Unemployment Level]])</f>
        <v>0.20015090198230331</v>
      </c>
    </row>
    <row r="756" spans="1:16">
      <c r="A756" s="6">
        <v>40452</v>
      </c>
      <c r="B756" s="11">
        <v>9.4</v>
      </c>
      <c r="C756" s="11">
        <f>IF(Tabela1610[[#This Row],[Unemployment Rate]]="",#N/A,AVERAGE(B744:B756))</f>
        <v>9.6923076923076916</v>
      </c>
      <c r="D756" s="10">
        <v>14516</v>
      </c>
      <c r="E756" s="11">
        <v>64.400000000000006</v>
      </c>
      <c r="F756" s="11">
        <v>1.97309</v>
      </c>
      <c r="G756" s="11">
        <v>1.7</v>
      </c>
      <c r="H756" s="55">
        <v>12592.5</v>
      </c>
      <c r="I756" s="56">
        <f>IF(Tabela1610[[#This Row],[Real Disposable Income (RDI)]]="",#N/A,((Tabela1610[[#This Row],[Real Disposable Income (RDI)]]*1)/H755)-1)</f>
        <v>2.0651474594712838E-4</v>
      </c>
      <c r="J756" s="56">
        <f>IF(Tabela1610[[#This Row],[Real Disposable Income (RDI)]]="",#N/A,((Tabela1610[[#This Row],[Real Disposable Income (RDI)]]*1)/H744)-1)</f>
        <v>3.2747761047140944E-2</v>
      </c>
      <c r="K756" s="10">
        <v>453000</v>
      </c>
      <c r="L756" s="11">
        <v>34</v>
      </c>
      <c r="M756" s="10">
        <v>281</v>
      </c>
      <c r="N756" s="10">
        <f>IF(Tabela1610[[#This Row],[Payroll]]="",#N/A,AVERAGE(M754:M756))</f>
        <v>66.666666666666671</v>
      </c>
      <c r="O756" s="10">
        <v>3235</v>
      </c>
      <c r="P756" s="7">
        <f>IF(Tabela1610[[#This Row],[JOLTS]]="",#N/A,Tabela1610[[#This Row],[JOLTS]]/Tabela1610[[#This Row],[Unemployment Level]])</f>
        <v>0.22285753651143567</v>
      </c>
    </row>
    <row r="757" spans="1:16">
      <c r="A757" s="6">
        <v>40483</v>
      </c>
      <c r="B757" s="11">
        <v>9.8000000000000007</v>
      </c>
      <c r="C757" s="11">
        <f>IF(Tabela1610[[#This Row],[Unemployment Rate]]="",#N/A,AVERAGE(B745:B757))</f>
        <v>9.6769230769230781</v>
      </c>
      <c r="D757" s="10">
        <v>15081</v>
      </c>
      <c r="E757" s="11">
        <v>64.599999999999994</v>
      </c>
      <c r="F757" s="11">
        <v>1.7002200000000001</v>
      </c>
      <c r="G757" s="11">
        <v>1.7</v>
      </c>
      <c r="H757" s="55">
        <v>12605.1</v>
      </c>
      <c r="I757" s="56">
        <f>IF(Tabela1610[[#This Row],[Real Disposable Income (RDI)]]="",#N/A,((Tabela1610[[#This Row],[Real Disposable Income (RDI)]]*1)/H756)-1)</f>
        <v>1.0005955926146726E-3</v>
      </c>
      <c r="J757" s="56">
        <f>IF(Tabela1610[[#This Row],[Real Disposable Income (RDI)]]="",#N/A,((Tabela1610[[#This Row],[Real Disposable Income (RDI)]]*1)/H745)-1)</f>
        <v>3.1142632767252376E-2</v>
      </c>
      <c r="K757" s="10">
        <v>432000</v>
      </c>
      <c r="L757" s="11">
        <v>33.9</v>
      </c>
      <c r="M757" s="10">
        <v>134</v>
      </c>
      <c r="N757" s="10">
        <f>IF(Tabela1610[[#This Row],[Payroll]]="",#N/A,AVERAGE(M755:M757))</f>
        <v>110</v>
      </c>
      <c r="O757" s="10">
        <v>3211</v>
      </c>
      <c r="P757" s="7">
        <f>IF(Tabela1610[[#This Row],[JOLTS]]="",#N/A,Tabela1610[[#This Row],[JOLTS]]/Tabela1610[[#This Row],[Unemployment Level]])</f>
        <v>0.21291691532391752</v>
      </c>
    </row>
    <row r="758" spans="1:16">
      <c r="A758" s="6">
        <v>40513</v>
      </c>
      <c r="B758" s="11">
        <v>9.3000000000000007</v>
      </c>
      <c r="C758" s="11">
        <f>IF(Tabela1610[[#This Row],[Unemployment Rate]]="",#N/A,AVERAGE(B746:B758))</f>
        <v>9.6307692307692321</v>
      </c>
      <c r="D758" s="10">
        <v>14348</v>
      </c>
      <c r="E758" s="11">
        <v>64.3</v>
      </c>
      <c r="F758" s="11">
        <v>1.78891</v>
      </c>
      <c r="G758" s="11">
        <v>1.7</v>
      </c>
      <c r="H758" s="55">
        <v>12680.6</v>
      </c>
      <c r="I758" s="56">
        <f>IF(Tabela1610[[#This Row],[Real Disposable Income (RDI)]]="",#N/A,((Tabela1610[[#This Row],[Real Disposable Income (RDI)]]*1)/H757)-1)</f>
        <v>5.9896391143268168E-3</v>
      </c>
      <c r="J758" s="56">
        <f>IF(Tabela1610[[#This Row],[Real Disposable Income (RDI)]]="",#N/A,((Tabela1610[[#This Row],[Real Disposable Income (RDI)]]*1)/H746)-1)</f>
        <v>3.260533216071404E-2</v>
      </c>
      <c r="K758" s="10">
        <v>404000</v>
      </c>
      <c r="L758" s="11">
        <v>34.700000000000003</v>
      </c>
      <c r="M758" s="10">
        <v>81</v>
      </c>
      <c r="N758" s="10">
        <f>IF(Tabela1610[[#This Row],[Payroll]]="",#N/A,AVERAGE(M756:M758))</f>
        <v>165.33333333333334</v>
      </c>
      <c r="O758" s="10">
        <v>3058</v>
      </c>
      <c r="P758" s="7">
        <f>IF(Tabela1610[[#This Row],[JOLTS]]="",#N/A,Tabela1610[[#This Row],[JOLTS]]/Tabela1610[[#This Row],[Unemployment Level]])</f>
        <v>0.21313074993030387</v>
      </c>
    </row>
    <row r="759" spans="1:16">
      <c r="A759" s="6">
        <v>40544</v>
      </c>
      <c r="B759" s="11">
        <v>9.1</v>
      </c>
      <c r="C759" s="11">
        <f>IF(Tabela1610[[#This Row],[Unemployment Rate]]="",#N/A,AVERAGE(B747:B759))</f>
        <v>9.569230769230769</v>
      </c>
      <c r="D759" s="10">
        <v>14013</v>
      </c>
      <c r="E759" s="11">
        <v>64.2</v>
      </c>
      <c r="F759" s="11">
        <v>2.0080300000000002</v>
      </c>
      <c r="G759" s="11">
        <v>1.9</v>
      </c>
      <c r="H759" s="55">
        <v>12740.1</v>
      </c>
      <c r="I759" s="56">
        <f>IF(Tabela1610[[#This Row],[Real Disposable Income (RDI)]]="",#N/A,((Tabela1610[[#This Row],[Real Disposable Income (RDI)]]*1)/H758)-1)</f>
        <v>4.6922069933599264E-3</v>
      </c>
      <c r="J759" s="56">
        <f>IF(Tabela1610[[#This Row],[Real Disposable Income (RDI)]]="",#N/A,((Tabela1610[[#This Row],[Real Disposable Income (RDI)]]*1)/H747)-1)</f>
        <v>3.6977648993146595E-2</v>
      </c>
      <c r="K759" s="10">
        <v>420000</v>
      </c>
      <c r="L759" s="11">
        <v>37.200000000000003</v>
      </c>
      <c r="M759" s="10">
        <v>7</v>
      </c>
      <c r="N759" s="10">
        <f>IF(Tabela1610[[#This Row],[Payroll]]="",#N/A,AVERAGE(M757:M759))</f>
        <v>74</v>
      </c>
      <c r="O759" s="10">
        <v>3104</v>
      </c>
      <c r="P759" s="7">
        <f>IF(Tabela1610[[#This Row],[JOLTS]]="",#N/A,Tabela1610[[#This Row],[JOLTS]]/Tabela1610[[#This Row],[Unemployment Level]])</f>
        <v>0.22150859915792478</v>
      </c>
    </row>
    <row r="760" spans="1:16">
      <c r="A760" s="6">
        <v>40575</v>
      </c>
      <c r="B760" s="11">
        <v>9</v>
      </c>
      <c r="C760" s="11">
        <f>IF(Tabela1610[[#This Row],[Unemployment Rate]]="",#N/A,AVERAGE(B748:B760))</f>
        <v>9.5076923076923077</v>
      </c>
      <c r="D760" s="10">
        <v>13820</v>
      </c>
      <c r="E760" s="11">
        <v>64.099999999999994</v>
      </c>
      <c r="F760" s="11">
        <v>1.8708199999999999</v>
      </c>
      <c r="G760" s="11">
        <v>1.9</v>
      </c>
      <c r="H760" s="55">
        <v>12776.6</v>
      </c>
      <c r="I760" s="56">
        <f>IF(Tabela1610[[#This Row],[Real Disposable Income (RDI)]]="",#N/A,((Tabela1610[[#This Row],[Real Disposable Income (RDI)]]*1)/H759)-1)</f>
        <v>2.8649696627185417E-3</v>
      </c>
      <c r="J760" s="56">
        <f>IF(Tabela1610[[#This Row],[Real Disposable Income (RDI)]]="",#N/A,((Tabela1610[[#This Row],[Real Disposable Income (RDI)]]*1)/H748)-1)</f>
        <v>3.9424015619915487E-2</v>
      </c>
      <c r="K760" s="10">
        <v>385000</v>
      </c>
      <c r="L760" s="11">
        <v>37.4</v>
      </c>
      <c r="M760" s="10">
        <v>210</v>
      </c>
      <c r="N760" s="10">
        <f>IF(Tabela1610[[#This Row],[Payroll]]="",#N/A,AVERAGE(M758:M760))</f>
        <v>99.333333333333329</v>
      </c>
      <c r="O760" s="10">
        <v>3226</v>
      </c>
      <c r="P760" s="7">
        <f>IF(Tabela1610[[#This Row],[JOLTS]]="",#N/A,Tabela1610[[#This Row],[JOLTS]]/Tabela1610[[#This Row],[Unemployment Level]])</f>
        <v>0.23342981186685963</v>
      </c>
    </row>
    <row r="761" spans="1:16">
      <c r="A761" s="6">
        <v>40603</v>
      </c>
      <c r="B761" s="11">
        <v>9</v>
      </c>
      <c r="C761" s="11">
        <f>IF(Tabela1610[[#This Row],[Unemployment Rate]]="",#N/A,AVERAGE(B749:B761))</f>
        <v>9.4461538461538446</v>
      </c>
      <c r="D761" s="10">
        <v>13737</v>
      </c>
      <c r="E761" s="11">
        <v>64.2</v>
      </c>
      <c r="F761" s="11">
        <v>1.8254699999999999</v>
      </c>
      <c r="G761" s="11">
        <v>1.9</v>
      </c>
      <c r="H761" s="55">
        <v>12742.7</v>
      </c>
      <c r="I761" s="56">
        <f>IF(Tabela1610[[#This Row],[Real Disposable Income (RDI)]]="",#N/A,((Tabela1610[[#This Row],[Real Disposable Income (RDI)]]*1)/H760)-1)</f>
        <v>-2.6532880422021066E-3</v>
      </c>
      <c r="J761" s="56">
        <f>IF(Tabela1610[[#This Row],[Real Disposable Income (RDI)]]="",#N/A,((Tabela1610[[#This Row],[Real Disposable Income (RDI)]]*1)/H749)-1)</f>
        <v>3.2608607570318471E-2</v>
      </c>
      <c r="K761" s="10">
        <v>399000</v>
      </c>
      <c r="L761" s="11">
        <v>39.1</v>
      </c>
      <c r="M761" s="10">
        <v>225</v>
      </c>
      <c r="N761" s="10">
        <f>IF(Tabela1610[[#This Row],[Payroll]]="",#N/A,AVERAGE(M759:M761))</f>
        <v>147.33333333333334</v>
      </c>
      <c r="O761" s="10">
        <v>3261</v>
      </c>
      <c r="P761" s="7">
        <f>IF(Tabela1610[[#This Row],[JOLTS]]="",#N/A,Tabela1610[[#This Row],[JOLTS]]/Tabela1610[[#This Row],[Unemployment Level]])</f>
        <v>0.23738807599912645</v>
      </c>
    </row>
    <row r="762" spans="1:16">
      <c r="A762" s="6">
        <v>40634</v>
      </c>
      <c r="B762" s="11">
        <v>9.1</v>
      </c>
      <c r="C762" s="11">
        <f>IF(Tabela1610[[#This Row],[Unemployment Rate]]="",#N/A,AVERAGE(B750:B762))</f>
        <v>9.3846153846153832</v>
      </c>
      <c r="D762" s="10">
        <v>13957</v>
      </c>
      <c r="E762" s="11">
        <v>64.2</v>
      </c>
      <c r="F762" s="11">
        <v>1.8674999999999999</v>
      </c>
      <c r="G762" s="11">
        <v>1.9</v>
      </c>
      <c r="H762" s="55">
        <v>12721.3</v>
      </c>
      <c r="I762" s="56">
        <f>IF(Tabela1610[[#This Row],[Real Disposable Income (RDI)]]="",#N/A,((Tabela1610[[#This Row],[Real Disposable Income (RDI)]]*1)/H761)-1)</f>
        <v>-1.679392907311783E-3</v>
      </c>
      <c r="J762" s="56">
        <f>IF(Tabela1610[[#This Row],[Real Disposable Income (RDI)]]="",#N/A,((Tabela1610[[#This Row],[Real Disposable Income (RDI)]]*1)/H750)-1)</f>
        <v>2.2029227691590769E-2</v>
      </c>
      <c r="K762" s="10">
        <v>468000</v>
      </c>
      <c r="L762" s="11">
        <v>38.700000000000003</v>
      </c>
      <c r="M762" s="10">
        <v>327</v>
      </c>
      <c r="N762" s="10">
        <f>IF(Tabela1610[[#This Row],[Payroll]]="",#N/A,AVERAGE(M760:M762))</f>
        <v>254</v>
      </c>
      <c r="O762" s="10">
        <v>3259</v>
      </c>
      <c r="P762" s="7">
        <f>IF(Tabela1610[[#This Row],[JOLTS]]="",#N/A,Tabela1610[[#This Row],[JOLTS]]/Tabela1610[[#This Row],[Unemployment Level]])</f>
        <v>0.2335029017697213</v>
      </c>
    </row>
    <row r="763" spans="1:16">
      <c r="A763" s="6">
        <v>40664</v>
      </c>
      <c r="B763" s="11">
        <v>9</v>
      </c>
      <c r="C763" s="11">
        <f>IF(Tabela1610[[#This Row],[Unemployment Rate]]="",#N/A,AVERAGE(B751:B763))</f>
        <v>9.3153846153846143</v>
      </c>
      <c r="D763" s="10">
        <v>13855</v>
      </c>
      <c r="E763" s="11">
        <v>64.099999999999994</v>
      </c>
      <c r="F763" s="11">
        <v>1.9973399999999999</v>
      </c>
      <c r="G763" s="11">
        <v>2</v>
      </c>
      <c r="H763" s="55">
        <v>12705.3</v>
      </c>
      <c r="I763" s="56">
        <f>IF(Tabela1610[[#This Row],[Real Disposable Income (RDI)]]="",#N/A,((Tabela1610[[#This Row],[Real Disposable Income (RDI)]]*1)/H762)-1)</f>
        <v>-1.2577330933158937E-3</v>
      </c>
      <c r="J763" s="56">
        <f>IF(Tabela1610[[#This Row],[Real Disposable Income (RDI)]]="",#N/A,((Tabela1610[[#This Row],[Real Disposable Income (RDI)]]*1)/H751)-1)</f>
        <v>1.3157579962201904E-2</v>
      </c>
      <c r="K763" s="10">
        <v>418000</v>
      </c>
      <c r="L763" s="11">
        <v>39.6</v>
      </c>
      <c r="M763" s="10">
        <v>100</v>
      </c>
      <c r="N763" s="10">
        <f>IF(Tabela1610[[#This Row],[Payroll]]="",#N/A,AVERAGE(M761:M763))</f>
        <v>217.33333333333334</v>
      </c>
      <c r="O763" s="10">
        <v>3179</v>
      </c>
      <c r="P763" s="7">
        <f>IF(Tabela1610[[#This Row],[JOLTS]]="",#N/A,Tabela1610[[#This Row],[JOLTS]]/Tabela1610[[#This Row],[Unemployment Level]])</f>
        <v>0.2294478527607362</v>
      </c>
    </row>
    <row r="764" spans="1:16">
      <c r="A764" s="6">
        <v>40695</v>
      </c>
      <c r="B764" s="11">
        <v>9.1</v>
      </c>
      <c r="C764" s="11">
        <f>IF(Tabela1610[[#This Row],[Unemployment Rate]]="",#N/A,AVERAGE(B752:B764))</f>
        <v>9.2769230769230759</v>
      </c>
      <c r="D764" s="10">
        <v>13962</v>
      </c>
      <c r="E764" s="11">
        <v>64</v>
      </c>
      <c r="F764" s="11">
        <v>2.13049</v>
      </c>
      <c r="G764" s="11">
        <v>2</v>
      </c>
      <c r="H764" s="55">
        <v>12756.9</v>
      </c>
      <c r="I764" s="56">
        <f>IF(Tabela1610[[#This Row],[Real Disposable Income (RDI)]]="",#N/A,((Tabela1610[[#This Row],[Real Disposable Income (RDI)]]*1)/H763)-1)</f>
        <v>4.0612972539020298E-3</v>
      </c>
      <c r="J764" s="56">
        <f>IF(Tabela1610[[#This Row],[Real Disposable Income (RDI)]]="",#N/A,((Tabela1610[[#This Row],[Real Disposable Income (RDI)]]*1)/H752)-1)</f>
        <v>1.6947936512997863E-2</v>
      </c>
      <c r="K764" s="10">
        <v>421000</v>
      </c>
      <c r="L764" s="11">
        <v>39.9</v>
      </c>
      <c r="M764" s="10">
        <v>232</v>
      </c>
      <c r="N764" s="10">
        <f>IF(Tabela1610[[#This Row],[Payroll]]="",#N/A,AVERAGE(M762:M764))</f>
        <v>219.66666666666666</v>
      </c>
      <c r="O764" s="10">
        <v>3455</v>
      </c>
      <c r="P764" s="7">
        <f>IF(Tabela1610[[#This Row],[JOLTS]]="",#N/A,Tabela1610[[#This Row],[JOLTS]]/Tabela1610[[#This Row],[Unemployment Level]])</f>
        <v>0.24745738432889272</v>
      </c>
    </row>
    <row r="765" spans="1:16">
      <c r="A765" s="6">
        <v>40725</v>
      </c>
      <c r="B765" s="11">
        <v>9</v>
      </c>
      <c r="C765" s="11">
        <f>IF(Tabela1610[[#This Row],[Unemployment Rate]]="",#N/A,AVERAGE(B753:B765))</f>
        <v>9.2461538461538435</v>
      </c>
      <c r="D765" s="10">
        <v>13763</v>
      </c>
      <c r="E765" s="11">
        <v>64</v>
      </c>
      <c r="F765" s="11">
        <v>2.2576399999999999</v>
      </c>
      <c r="G765" s="11">
        <v>2.1</v>
      </c>
      <c r="H765" s="55">
        <v>12805.6</v>
      </c>
      <c r="I765" s="56">
        <f>IF(Tabela1610[[#This Row],[Real Disposable Income (RDI)]]="",#N/A,((Tabela1610[[#This Row],[Real Disposable Income (RDI)]]*1)/H764)-1)</f>
        <v>3.8175418792967264E-3</v>
      </c>
      <c r="J765" s="56">
        <f>IF(Tabela1610[[#This Row],[Real Disposable Income (RDI)]]="",#N/A,((Tabela1610[[#This Row],[Real Disposable Income (RDI)]]*1)/H753)-1)</f>
        <v>2.0025170859154784E-2</v>
      </c>
      <c r="K765" s="10">
        <v>406000</v>
      </c>
      <c r="L765" s="11">
        <v>40.700000000000003</v>
      </c>
      <c r="M765" s="10">
        <v>55</v>
      </c>
      <c r="N765" s="10">
        <f>IF(Tabela1610[[#This Row],[Payroll]]="",#N/A,AVERAGE(M763:M765))</f>
        <v>129</v>
      </c>
      <c r="O765" s="10">
        <v>3623</v>
      </c>
      <c r="P765" s="7">
        <f>IF(Tabela1610[[#This Row],[JOLTS]]="",#N/A,Tabela1610[[#This Row],[JOLTS]]/Tabela1610[[#This Row],[Unemployment Level]])</f>
        <v>0.26324202572113636</v>
      </c>
    </row>
    <row r="766" spans="1:16">
      <c r="A766" s="6">
        <v>40756</v>
      </c>
      <c r="B766" s="11">
        <v>9</v>
      </c>
      <c r="C766" s="11">
        <f>IF(Tabela1610[[#This Row],[Unemployment Rate]]="",#N/A,AVERAGE(B754:B766))</f>
        <v>9.2153846153846146</v>
      </c>
      <c r="D766" s="10">
        <v>13818</v>
      </c>
      <c r="E766" s="11">
        <v>64.099999999999994</v>
      </c>
      <c r="F766" s="11">
        <v>1.98939</v>
      </c>
      <c r="G766" s="11">
        <v>2.2000000000000002</v>
      </c>
      <c r="H766" s="55">
        <v>12799.7</v>
      </c>
      <c r="I766" s="56">
        <f>IF(Tabela1610[[#This Row],[Real Disposable Income (RDI)]]="",#N/A,((Tabela1610[[#This Row],[Real Disposable Income (RDI)]]*1)/H765)-1)</f>
        <v>-4.6073592803141938E-4</v>
      </c>
      <c r="J766" s="56">
        <f>IF(Tabela1610[[#This Row],[Real Disposable Income (RDI)]]="",#N/A,((Tabela1610[[#This Row],[Real Disposable Income (RDI)]]*1)/H754)-1)</f>
        <v>1.6543037311180786E-2</v>
      </c>
      <c r="K766" s="10">
        <v>409000</v>
      </c>
      <c r="L766" s="11">
        <v>40.5</v>
      </c>
      <c r="M766" s="10">
        <v>133</v>
      </c>
      <c r="N766" s="10">
        <f>IF(Tabela1610[[#This Row],[Payroll]]="",#N/A,AVERAGE(M764:M766))</f>
        <v>140</v>
      </c>
      <c r="O766" s="10">
        <v>3329</v>
      </c>
      <c r="P766" s="7">
        <f>IF(Tabela1610[[#This Row],[JOLTS]]="",#N/A,Tabela1610[[#This Row],[JOLTS]]/Tabela1610[[#This Row],[Unemployment Level]])</f>
        <v>0.24091764365320598</v>
      </c>
    </row>
    <row r="767" spans="1:16">
      <c r="A767" s="6">
        <v>40787</v>
      </c>
      <c r="B767" s="11">
        <v>9</v>
      </c>
      <c r="C767" s="11">
        <f>IF(Tabela1610[[#This Row],[Unemployment Rate]]="",#N/A,AVERAGE(B755:B767))</f>
        <v>9.1769230769230763</v>
      </c>
      <c r="D767" s="10">
        <v>13948</v>
      </c>
      <c r="E767" s="11">
        <v>64.2</v>
      </c>
      <c r="F767" s="11">
        <v>1.9850000000000001</v>
      </c>
      <c r="G767" s="11">
        <v>2.1</v>
      </c>
      <c r="H767" s="55">
        <v>12781.7</v>
      </c>
      <c r="I767" s="56">
        <f>IF(Tabela1610[[#This Row],[Real Disposable Income (RDI)]]="",#N/A,((Tabela1610[[#This Row],[Real Disposable Income (RDI)]]*1)/H766)-1)</f>
        <v>-1.406282959756866E-3</v>
      </c>
      <c r="J767" s="56">
        <f>IF(Tabela1610[[#This Row],[Real Disposable Income (RDI)]]="",#N/A,((Tabela1610[[#This Row],[Real Disposable Income (RDI)]]*1)/H755)-1)</f>
        <v>1.5234433951024418E-2</v>
      </c>
      <c r="K767" s="10">
        <v>406000</v>
      </c>
      <c r="L767" s="11">
        <v>40.4</v>
      </c>
      <c r="M767" s="10">
        <v>221</v>
      </c>
      <c r="N767" s="10">
        <f>IF(Tabela1610[[#This Row],[Payroll]]="",#N/A,AVERAGE(M765:M767))</f>
        <v>136.33333333333334</v>
      </c>
      <c r="O767" s="10">
        <v>3774</v>
      </c>
      <c r="P767" s="7">
        <f>IF(Tabela1610[[#This Row],[JOLTS]]="",#N/A,Tabela1610[[#This Row],[JOLTS]]/Tabela1610[[#This Row],[Unemployment Level]])</f>
        <v>0.27057642672784626</v>
      </c>
    </row>
    <row r="768" spans="1:16">
      <c r="A768" s="6">
        <v>40817</v>
      </c>
      <c r="B768" s="11">
        <v>8.8000000000000007</v>
      </c>
      <c r="C768" s="11">
        <f>IF(Tabela1610[[#This Row],[Unemployment Rate]]="",#N/A,AVERAGE(B756:B768))</f>
        <v>9.1230769230769226</v>
      </c>
      <c r="D768" s="10">
        <v>13594</v>
      </c>
      <c r="E768" s="11">
        <v>64.099999999999994</v>
      </c>
      <c r="F768" s="11">
        <v>2.0228700000000002</v>
      </c>
      <c r="G768" s="11">
        <v>2.2000000000000002</v>
      </c>
      <c r="H768" s="55">
        <v>12791.9</v>
      </c>
      <c r="I768" s="56">
        <f>IF(Tabela1610[[#This Row],[Real Disposable Income (RDI)]]="",#N/A,((Tabela1610[[#This Row],[Real Disposable Income (RDI)]]*1)/H767)-1)</f>
        <v>7.9801591337602673E-4</v>
      </c>
      <c r="J768" s="56">
        <f>IF(Tabela1610[[#This Row],[Real Disposable Income (RDI)]]="",#N/A,((Tabela1610[[#This Row],[Real Disposable Income (RDI)]]*1)/H756)-1)</f>
        <v>1.5834822314869879E-2</v>
      </c>
      <c r="K768" s="10">
        <v>399000</v>
      </c>
      <c r="L768" s="11">
        <v>38.700000000000003</v>
      </c>
      <c r="M768" s="10">
        <v>212</v>
      </c>
      <c r="N768" s="10">
        <f>IF(Tabela1610[[#This Row],[Payroll]]="",#N/A,AVERAGE(M766:M768))</f>
        <v>188.66666666666666</v>
      </c>
      <c r="O768" s="10">
        <v>3619</v>
      </c>
      <c r="P768" s="7">
        <f>IF(Tabela1610[[#This Row],[JOLTS]]="",#N/A,Tabela1610[[#This Row],[JOLTS]]/Tabela1610[[#This Row],[Unemployment Level]])</f>
        <v>0.26622039134912462</v>
      </c>
    </row>
    <row r="769" spans="1:16">
      <c r="A769" s="6">
        <v>40848</v>
      </c>
      <c r="B769" s="11">
        <v>8.6</v>
      </c>
      <c r="C769" s="11">
        <f>IF(Tabela1610[[#This Row],[Unemployment Rate]]="",#N/A,AVERAGE(B757:B769))</f>
        <v>9.0615384615384613</v>
      </c>
      <c r="D769" s="10">
        <v>13302</v>
      </c>
      <c r="E769" s="11">
        <v>64.099999999999994</v>
      </c>
      <c r="F769" s="11">
        <v>2.0237599999999998</v>
      </c>
      <c r="G769" s="11">
        <v>2</v>
      </c>
      <c r="H769" s="55">
        <v>12782.7</v>
      </c>
      <c r="I769" s="56">
        <f>IF(Tabela1610[[#This Row],[Real Disposable Income (RDI)]]="",#N/A,((Tabela1610[[#This Row],[Real Disposable Income (RDI)]]*1)/H768)-1)</f>
        <v>-7.1920512199119546E-4</v>
      </c>
      <c r="J769" s="56">
        <f>IF(Tabela1610[[#This Row],[Real Disposable Income (RDI)]]="",#N/A,((Tabela1610[[#This Row],[Real Disposable Income (RDI)]]*1)/H757)-1)</f>
        <v>1.4089535188138269E-2</v>
      </c>
      <c r="K769" s="10">
        <v>397000</v>
      </c>
      <c r="L769" s="11">
        <v>40.200000000000003</v>
      </c>
      <c r="M769" s="10">
        <v>144</v>
      </c>
      <c r="N769" s="10">
        <f>IF(Tabela1610[[#This Row],[Payroll]]="",#N/A,AVERAGE(M767:M769))</f>
        <v>192.33333333333334</v>
      </c>
      <c r="O769" s="10">
        <v>3565</v>
      </c>
      <c r="P769" s="7">
        <f>IF(Tabela1610[[#This Row],[JOLTS]]="",#N/A,Tabela1610[[#This Row],[JOLTS]]/Tabela1610[[#This Row],[Unemployment Level]])</f>
        <v>0.26800481130657045</v>
      </c>
    </row>
    <row r="770" spans="1:16">
      <c r="A770" s="6">
        <v>40878</v>
      </c>
      <c r="B770" s="11">
        <v>8.5</v>
      </c>
      <c r="C770" s="11">
        <f>IF(Tabela1610[[#This Row],[Unemployment Rate]]="",#N/A,AVERAGE(B758:B770))</f>
        <v>8.9615384615384599</v>
      </c>
      <c r="D770" s="10">
        <v>13093</v>
      </c>
      <c r="E770" s="11">
        <v>64</v>
      </c>
      <c r="F770" s="11">
        <v>2.0210900000000001</v>
      </c>
      <c r="G770" s="11">
        <v>2</v>
      </c>
      <c r="H770" s="55">
        <v>12898.5</v>
      </c>
      <c r="I770" s="56">
        <f>IF(Tabela1610[[#This Row],[Real Disposable Income (RDI)]]="",#N/A,((Tabela1610[[#This Row],[Real Disposable Income (RDI)]]*1)/H769)-1)</f>
        <v>9.0591189654767312E-3</v>
      </c>
      <c r="J770" s="56">
        <f>IF(Tabela1610[[#This Row],[Real Disposable Income (RDI)]]="",#N/A,((Tabela1610[[#This Row],[Real Disposable Income (RDI)]]*1)/H758)-1)</f>
        <v>1.7183729476523135E-2</v>
      </c>
      <c r="K770" s="10">
        <v>376000</v>
      </c>
      <c r="L770" s="11">
        <v>40.4</v>
      </c>
      <c r="M770" s="10">
        <v>200</v>
      </c>
      <c r="N770" s="10">
        <f>IF(Tabela1610[[#This Row],[Payroll]]="",#N/A,AVERAGE(M768:M770))</f>
        <v>185.33333333333334</v>
      </c>
      <c r="O770" s="10">
        <v>3768</v>
      </c>
      <c r="P770" s="7">
        <f>IF(Tabela1610[[#This Row],[JOLTS]]="",#N/A,Tabela1610[[#This Row],[JOLTS]]/Tabela1610[[#This Row],[Unemployment Level]])</f>
        <v>0.28778736729550142</v>
      </c>
    </row>
    <row r="771" spans="1:16">
      <c r="A771" s="6">
        <v>40909</v>
      </c>
      <c r="B771" s="11">
        <v>8.3000000000000007</v>
      </c>
      <c r="C771" s="11">
        <f>IF(Tabela1610[[#This Row],[Unemployment Rate]]="",#N/A,AVERAGE(B759:B771))</f>
        <v>8.884615384615385</v>
      </c>
      <c r="D771" s="10">
        <v>12797</v>
      </c>
      <c r="E771" s="11">
        <v>63.7</v>
      </c>
      <c r="F771" s="11">
        <v>1.70604</v>
      </c>
      <c r="G771" s="11">
        <v>1.9</v>
      </c>
      <c r="H771" s="55">
        <v>12967.5</v>
      </c>
      <c r="I771" s="56">
        <f>IF(Tabela1610[[#This Row],[Real Disposable Income (RDI)]]="",#N/A,((Tabela1610[[#This Row],[Real Disposable Income (RDI)]]*1)/H770)-1)</f>
        <v>5.349459239446519E-3</v>
      </c>
      <c r="J771" s="56">
        <f>IF(Tabela1610[[#This Row],[Real Disposable Income (RDI)]]="",#N/A,((Tabela1610[[#This Row],[Real Disposable Income (RDI)]]*1)/H759)-1)</f>
        <v>1.7849153460333778E-2</v>
      </c>
      <c r="K771" s="10">
        <v>372000</v>
      </c>
      <c r="L771" s="11">
        <v>40.200000000000003</v>
      </c>
      <c r="M771" s="10">
        <v>345</v>
      </c>
      <c r="N771" s="10">
        <f>IF(Tabela1610[[#This Row],[Payroll]]="",#N/A,AVERAGE(M769:M771))</f>
        <v>229.66666666666666</v>
      </c>
      <c r="O771" s="10">
        <v>3909</v>
      </c>
      <c r="P771" s="7">
        <f>IF(Tabela1610[[#This Row],[JOLTS]]="",#N/A,Tabela1610[[#This Row],[JOLTS]]/Tabela1610[[#This Row],[Unemployment Level]])</f>
        <v>0.30546221770727516</v>
      </c>
    </row>
    <row r="772" spans="1:16">
      <c r="A772" s="6">
        <v>40940</v>
      </c>
      <c r="B772" s="11">
        <v>8.3000000000000007</v>
      </c>
      <c r="C772" s="11">
        <f>IF(Tabela1610[[#This Row],[Unemployment Rate]]="",#N/A,AVERAGE(B760:B772))</f>
        <v>8.8230769230769219</v>
      </c>
      <c r="D772" s="10">
        <v>12813</v>
      </c>
      <c r="E772" s="11">
        <v>63.8</v>
      </c>
      <c r="F772" s="11">
        <v>1.79274</v>
      </c>
      <c r="G772" s="11">
        <v>1.9</v>
      </c>
      <c r="H772" s="55">
        <v>13029.6</v>
      </c>
      <c r="I772" s="56">
        <f>IF(Tabela1610[[#This Row],[Real Disposable Income (RDI)]]="",#N/A,((Tabela1610[[#This Row],[Real Disposable Income (RDI)]]*1)/H771)-1)</f>
        <v>4.7888953152110947E-3</v>
      </c>
      <c r="J772" s="56">
        <f>IF(Tabela1610[[#This Row],[Real Disposable Income (RDI)]]="",#N/A,((Tabela1610[[#This Row],[Real Disposable Income (RDI)]]*1)/H760)-1)</f>
        <v>1.9801825211715141E-2</v>
      </c>
      <c r="K772" s="10">
        <v>365000</v>
      </c>
      <c r="L772" s="11">
        <v>39.700000000000003</v>
      </c>
      <c r="M772" s="10">
        <v>272</v>
      </c>
      <c r="N772" s="10">
        <f>IF(Tabela1610[[#This Row],[Payroll]]="",#N/A,AVERAGE(M770:M772))</f>
        <v>272.33333333333331</v>
      </c>
      <c r="O772" s="10">
        <v>3616</v>
      </c>
      <c r="P772" s="7">
        <f>IF(Tabela1610[[#This Row],[JOLTS]]="",#N/A,Tabela1610[[#This Row],[JOLTS]]/Tabela1610[[#This Row],[Unemployment Level]])</f>
        <v>0.28221337703894483</v>
      </c>
    </row>
    <row r="773" spans="1:16">
      <c r="A773" s="6">
        <v>40969</v>
      </c>
      <c r="B773" s="11">
        <v>8.1999999999999993</v>
      </c>
      <c r="C773" s="11">
        <f>IF(Tabela1610[[#This Row],[Unemployment Rate]]="",#N/A,AVERAGE(B761:B773))</f>
        <v>8.7615384615384606</v>
      </c>
      <c r="D773" s="10">
        <v>12713</v>
      </c>
      <c r="E773" s="11">
        <v>63.8</v>
      </c>
      <c r="F773" s="11">
        <v>2.1425399999999999</v>
      </c>
      <c r="G773" s="11">
        <v>2</v>
      </c>
      <c r="H773" s="55">
        <v>13066.4</v>
      </c>
      <c r="I773" s="56">
        <f>IF(Tabela1610[[#This Row],[Real Disposable Income (RDI)]]="",#N/A,((Tabela1610[[#This Row],[Real Disposable Income (RDI)]]*1)/H772)-1)</f>
        <v>2.8243384294222018E-3</v>
      </c>
      <c r="J773" s="56">
        <f>IF(Tabela1610[[#This Row],[Real Disposable Income (RDI)]]="",#N/A,((Tabela1610[[#This Row],[Real Disposable Income (RDI)]]*1)/H761)-1)</f>
        <v>2.5402779630690375E-2</v>
      </c>
      <c r="K773" s="10">
        <v>358000</v>
      </c>
      <c r="L773" s="11">
        <v>39.299999999999997</v>
      </c>
      <c r="M773" s="10">
        <v>226</v>
      </c>
      <c r="N773" s="10">
        <f>IF(Tabela1610[[#This Row],[Payroll]]="",#N/A,AVERAGE(M771:M773))</f>
        <v>281</v>
      </c>
      <c r="O773" s="10">
        <v>3979</v>
      </c>
      <c r="P773" s="7">
        <f>IF(Tabela1610[[#This Row],[JOLTS]]="",#N/A,Tabela1610[[#This Row],[JOLTS]]/Tabela1610[[#This Row],[Unemployment Level]])</f>
        <v>0.31298670652088412</v>
      </c>
    </row>
    <row r="774" spans="1:16">
      <c r="A774" s="6">
        <v>41000</v>
      </c>
      <c r="B774" s="11">
        <v>8.1999999999999993</v>
      </c>
      <c r="C774" s="11">
        <f>IF(Tabela1610[[#This Row],[Unemployment Rate]]="",#N/A,AVERAGE(B762:B774))</f>
        <v>8.6999999999999993</v>
      </c>
      <c r="D774" s="10">
        <v>12646</v>
      </c>
      <c r="E774" s="11">
        <v>63.7</v>
      </c>
      <c r="F774" s="11">
        <v>2.0951499999999998</v>
      </c>
      <c r="G774" s="11">
        <v>2.2000000000000002</v>
      </c>
      <c r="H774" s="55">
        <v>13116.5</v>
      </c>
      <c r="I774" s="56">
        <f>IF(Tabela1610[[#This Row],[Real Disposable Income (RDI)]]="",#N/A,((Tabela1610[[#This Row],[Real Disposable Income (RDI)]]*1)/H773)-1)</f>
        <v>3.8342619237128339E-3</v>
      </c>
      <c r="J774" s="56">
        <f>IF(Tabela1610[[#This Row],[Real Disposable Income (RDI)]]="",#N/A,((Tabela1610[[#This Row],[Real Disposable Income (RDI)]]*1)/H762)-1)</f>
        <v>3.1066007404903617E-2</v>
      </c>
      <c r="K774" s="10">
        <v>372000</v>
      </c>
      <c r="L774" s="11">
        <v>39.200000000000003</v>
      </c>
      <c r="M774" s="10">
        <v>83</v>
      </c>
      <c r="N774" s="10">
        <f>IF(Tabela1610[[#This Row],[Payroll]]="",#N/A,AVERAGE(M772:M774))</f>
        <v>193.66666666666666</v>
      </c>
      <c r="O774" s="10">
        <v>3793</v>
      </c>
      <c r="P774" s="7">
        <f>IF(Tabela1610[[#This Row],[JOLTS]]="",#N/A,Tabela1610[[#This Row],[JOLTS]]/Tabela1610[[#This Row],[Unemployment Level]])</f>
        <v>0.29993673888976752</v>
      </c>
    </row>
    <row r="775" spans="1:16">
      <c r="A775" s="6">
        <v>41030</v>
      </c>
      <c r="B775" s="11">
        <v>8.1999999999999993</v>
      </c>
      <c r="C775" s="11">
        <f>IF(Tabela1610[[#This Row],[Unemployment Rate]]="",#N/A,AVERAGE(B763:B775))</f>
        <v>8.6307692307692303</v>
      </c>
      <c r="D775" s="10">
        <v>12660</v>
      </c>
      <c r="E775" s="11">
        <v>63.7</v>
      </c>
      <c r="F775" s="11">
        <v>1.82768</v>
      </c>
      <c r="G775" s="11">
        <v>2.1</v>
      </c>
      <c r="H775" s="55">
        <v>13112.5</v>
      </c>
      <c r="I775" s="56">
        <f>IF(Tabela1610[[#This Row],[Real Disposable Income (RDI)]]="",#N/A,((Tabela1610[[#This Row],[Real Disposable Income (RDI)]]*1)/H774)-1)</f>
        <v>-3.0495940227959206E-4</v>
      </c>
      <c r="J775" s="56">
        <f>IF(Tabela1610[[#This Row],[Real Disposable Income (RDI)]]="",#N/A,((Tabela1610[[#This Row],[Real Disposable Income (RDI)]]*1)/H763)-1)</f>
        <v>3.2049617088931504E-2</v>
      </c>
      <c r="K775" s="10">
        <v>381000</v>
      </c>
      <c r="L775" s="11">
        <v>39.6</v>
      </c>
      <c r="M775" s="10">
        <v>108</v>
      </c>
      <c r="N775" s="10">
        <f>IF(Tabela1610[[#This Row],[Payroll]]="",#N/A,AVERAGE(M773:M775))</f>
        <v>139</v>
      </c>
      <c r="O775" s="10">
        <v>3835</v>
      </c>
      <c r="P775" s="7">
        <f>IF(Tabela1610[[#This Row],[JOLTS]]="",#N/A,Tabela1610[[#This Row],[JOLTS]]/Tabela1610[[#This Row],[Unemployment Level]])</f>
        <v>0.30292259083728279</v>
      </c>
    </row>
    <row r="776" spans="1:16">
      <c r="A776" s="6">
        <v>41061</v>
      </c>
      <c r="B776" s="11">
        <v>8.1999999999999993</v>
      </c>
      <c r="C776" s="11">
        <f>IF(Tabela1610[[#This Row],[Unemployment Rate]]="",#N/A,AVERAGE(B764:B776))</f>
        <v>8.5692307692307708</v>
      </c>
      <c r="D776" s="10">
        <v>12692</v>
      </c>
      <c r="E776" s="11">
        <v>63.8</v>
      </c>
      <c r="F776" s="11">
        <v>1.95567</v>
      </c>
      <c r="G776" s="11">
        <v>2.2999999999999998</v>
      </c>
      <c r="H776" s="55">
        <v>13097.2</v>
      </c>
      <c r="I776" s="56">
        <f>IF(Tabela1610[[#This Row],[Real Disposable Income (RDI)]]="",#N/A,((Tabela1610[[#This Row],[Real Disposable Income (RDI)]]*1)/H775)-1)</f>
        <v>-1.1668255481410705E-3</v>
      </c>
      <c r="J776" s="56">
        <f>IF(Tabela1610[[#This Row],[Real Disposable Income (RDI)]]="",#N/A,((Tabela1610[[#This Row],[Real Disposable Income (RDI)]]*1)/H764)-1)</f>
        <v>2.6675759784900777E-2</v>
      </c>
      <c r="K776" s="10">
        <v>372000</v>
      </c>
      <c r="L776" s="11">
        <v>40.299999999999997</v>
      </c>
      <c r="M776" s="10">
        <v>72</v>
      </c>
      <c r="N776" s="10">
        <f>IF(Tabela1610[[#This Row],[Payroll]]="",#N/A,AVERAGE(M774:M776))</f>
        <v>87.666666666666671</v>
      </c>
      <c r="O776" s="10">
        <v>3911</v>
      </c>
      <c r="P776" s="7">
        <f>IF(Tabela1610[[#This Row],[JOLTS]]="",#N/A,Tabela1610[[#This Row],[JOLTS]]/Tabela1610[[#This Row],[Unemployment Level]])</f>
        <v>0.30814686416640402</v>
      </c>
    </row>
    <row r="777" spans="1:16">
      <c r="A777" s="6">
        <v>41091</v>
      </c>
      <c r="B777" s="11">
        <v>8.1999999999999993</v>
      </c>
      <c r="C777" s="11">
        <f>IF(Tabela1610[[#This Row],[Unemployment Rate]]="",#N/A,AVERAGE(B765:B777))</f>
        <v>8.5000000000000018</v>
      </c>
      <c r="D777" s="10">
        <v>12656</v>
      </c>
      <c r="E777" s="11">
        <v>63.7</v>
      </c>
      <c r="F777" s="11">
        <v>1.7316</v>
      </c>
      <c r="G777" s="11">
        <v>2.1</v>
      </c>
      <c r="H777" s="55">
        <v>12999.8</v>
      </c>
      <c r="I777" s="56">
        <f>IF(Tabela1610[[#This Row],[Real Disposable Income (RDI)]]="",#N/A,((Tabela1610[[#This Row],[Real Disposable Income (RDI)]]*1)/H776)-1)</f>
        <v>-7.4367040283420671E-3</v>
      </c>
      <c r="J777" s="56">
        <f>IF(Tabela1610[[#This Row],[Real Disposable Income (RDI)]]="",#N/A,((Tabela1610[[#This Row],[Real Disposable Income (RDI)]]*1)/H765)-1)</f>
        <v>1.516524020740917E-2</v>
      </c>
      <c r="K777" s="10">
        <v>372000</v>
      </c>
      <c r="L777" s="11">
        <v>39.299999999999997</v>
      </c>
      <c r="M777" s="10">
        <v>146</v>
      </c>
      <c r="N777" s="10">
        <f>IF(Tabela1610[[#This Row],[Payroll]]="",#N/A,AVERAGE(M775:M777))</f>
        <v>108.66666666666667</v>
      </c>
      <c r="O777" s="10">
        <v>3735</v>
      </c>
      <c r="P777" s="7">
        <f>IF(Tabela1610[[#This Row],[JOLTS]]="",#N/A,Tabela1610[[#This Row],[JOLTS]]/Tabela1610[[#This Row],[Unemployment Level]])</f>
        <v>0.29511694058154236</v>
      </c>
    </row>
    <row r="778" spans="1:16">
      <c r="A778" s="6">
        <v>41122</v>
      </c>
      <c r="B778" s="11">
        <v>8.1</v>
      </c>
      <c r="C778" s="11">
        <f>IF(Tabela1610[[#This Row],[Unemployment Rate]]="",#N/A,AVERAGE(B766:B778))</f>
        <v>8.430769230769231</v>
      </c>
      <c r="D778" s="10">
        <v>12471</v>
      </c>
      <c r="E778" s="11">
        <v>63.5</v>
      </c>
      <c r="F778" s="11">
        <v>1.8205499999999999</v>
      </c>
      <c r="G778" s="11">
        <v>2.1</v>
      </c>
      <c r="H778" s="55">
        <v>12961.6</v>
      </c>
      <c r="I778" s="56">
        <f>IF(Tabela1610[[#This Row],[Real Disposable Income (RDI)]]="",#N/A,((Tabela1610[[#This Row],[Real Disposable Income (RDI)]]*1)/H777)-1)</f>
        <v>-2.9385067462575076E-3</v>
      </c>
      <c r="J778" s="56">
        <f>IF(Tabela1610[[#This Row],[Real Disposable Income (RDI)]]="",#N/A,((Tabela1610[[#This Row],[Real Disposable Income (RDI)]]*1)/H766)-1)</f>
        <v>1.2648733954702118E-2</v>
      </c>
      <c r="K778" s="10">
        <v>377000</v>
      </c>
      <c r="L778" s="11">
        <v>39.6</v>
      </c>
      <c r="M778" s="10">
        <v>177</v>
      </c>
      <c r="N778" s="10">
        <f>IF(Tabela1610[[#This Row],[Payroll]]="",#N/A,AVERAGE(M776:M778))</f>
        <v>131.66666666666666</v>
      </c>
      <c r="O778" s="10">
        <v>3809</v>
      </c>
      <c r="P778" s="7">
        <f>IF(Tabela1610[[#This Row],[JOLTS]]="",#N/A,Tabela1610[[#This Row],[JOLTS]]/Tabela1610[[#This Row],[Unemployment Level]])</f>
        <v>0.30542859433886616</v>
      </c>
    </row>
    <row r="779" spans="1:16">
      <c r="A779" s="6">
        <v>41153</v>
      </c>
      <c r="B779" s="11">
        <v>7.8</v>
      </c>
      <c r="C779" s="11">
        <f>IF(Tabela1610[[#This Row],[Unemployment Rate]]="",#N/A,AVERAGE(B767:B779))</f>
        <v>8.338461538461539</v>
      </c>
      <c r="D779" s="10">
        <v>12115</v>
      </c>
      <c r="E779" s="11">
        <v>63.6</v>
      </c>
      <c r="F779" s="11">
        <v>1.9463699999999999</v>
      </c>
      <c r="G779" s="11">
        <v>2.1</v>
      </c>
      <c r="H779" s="55">
        <v>13053.1</v>
      </c>
      <c r="I779" s="56">
        <f>IF(Tabela1610[[#This Row],[Real Disposable Income (RDI)]]="",#N/A,((Tabela1610[[#This Row],[Real Disposable Income (RDI)]]*1)/H778)-1)</f>
        <v>7.0593136649796939E-3</v>
      </c>
      <c r="J779" s="56">
        <f>IF(Tabela1610[[#This Row],[Real Disposable Income (RDI)]]="",#N/A,((Tabela1610[[#This Row],[Real Disposable Income (RDI)]]*1)/H767)-1)</f>
        <v>2.1233482244146007E-2</v>
      </c>
      <c r="K779" s="10">
        <v>376000</v>
      </c>
      <c r="L779" s="11">
        <v>39.799999999999997</v>
      </c>
      <c r="M779" s="10">
        <v>182</v>
      </c>
      <c r="N779" s="10">
        <f>IF(Tabela1610[[#This Row],[Payroll]]="",#N/A,AVERAGE(M777:M779))</f>
        <v>168.33333333333334</v>
      </c>
      <c r="O779" s="10">
        <v>3882</v>
      </c>
      <c r="P779" s="7">
        <f>IF(Tabela1610[[#This Row],[JOLTS]]="",#N/A,Tabela1610[[#This Row],[JOLTS]]/Tabela1610[[#This Row],[Unemployment Level]])</f>
        <v>0.32042921997523732</v>
      </c>
    </row>
    <row r="780" spans="1:16">
      <c r="A780" s="6">
        <v>41183</v>
      </c>
      <c r="B780" s="11">
        <v>7.8</v>
      </c>
      <c r="C780" s="11">
        <f>IF(Tabela1610[[#This Row],[Unemployment Rate]]="",#N/A,AVERAGE(B768:B780))</f>
        <v>8.2461538461538471</v>
      </c>
      <c r="D780" s="10">
        <v>12124</v>
      </c>
      <c r="E780" s="11">
        <v>63.8</v>
      </c>
      <c r="F780" s="11">
        <v>1.55172</v>
      </c>
      <c r="G780" s="11">
        <v>2.1</v>
      </c>
      <c r="H780" s="55">
        <v>13142</v>
      </c>
      <c r="I780" s="56">
        <f>IF(Tabela1610[[#This Row],[Real Disposable Income (RDI)]]="",#N/A,((Tabela1610[[#This Row],[Real Disposable Income (RDI)]]*1)/H779)-1)</f>
        <v>6.8106426825811361E-3</v>
      </c>
      <c r="J780" s="56">
        <f>IF(Tabela1610[[#This Row],[Real Disposable Income (RDI)]]="",#N/A,((Tabela1610[[#This Row],[Real Disposable Income (RDI)]]*1)/H768)-1)</f>
        <v>2.7368881870558637E-2</v>
      </c>
      <c r="K780" s="10">
        <v>364000</v>
      </c>
      <c r="L780" s="11">
        <v>39.6</v>
      </c>
      <c r="M780" s="10">
        <v>159</v>
      </c>
      <c r="N780" s="10">
        <f>IF(Tabela1610[[#This Row],[Payroll]]="",#N/A,AVERAGE(M778:M780))</f>
        <v>172.66666666666666</v>
      </c>
      <c r="O780" s="10">
        <v>3775</v>
      </c>
      <c r="P780" s="7">
        <f>IF(Tabela1610[[#This Row],[JOLTS]]="",#N/A,Tabela1610[[#This Row],[JOLTS]]/Tabela1610[[#This Row],[Unemployment Level]])</f>
        <v>0.31136588584625535</v>
      </c>
    </row>
    <row r="781" spans="1:16">
      <c r="A781" s="6">
        <v>41214</v>
      </c>
      <c r="B781" s="11">
        <v>7.7</v>
      </c>
      <c r="C781" s="11">
        <f>IF(Tabela1610[[#This Row],[Unemployment Rate]]="",#N/A,AVERAGE(B769:B781))</f>
        <v>8.1615384615384627</v>
      </c>
      <c r="D781" s="10">
        <v>12005</v>
      </c>
      <c r="E781" s="11">
        <v>63.6</v>
      </c>
      <c r="F781" s="11">
        <v>1.89737</v>
      </c>
      <c r="G781" s="11">
        <v>2.2999999999999998</v>
      </c>
      <c r="H781" s="55">
        <v>13315.7</v>
      </c>
      <c r="I781" s="56">
        <f>IF(Tabela1610[[#This Row],[Real Disposable Income (RDI)]]="",#N/A,((Tabela1610[[#This Row],[Real Disposable Income (RDI)]]*1)/H780)-1)</f>
        <v>1.3217166336935149E-2</v>
      </c>
      <c r="J781" s="56">
        <f>IF(Tabela1610[[#This Row],[Real Disposable Income (RDI)]]="",#N/A,((Tabela1610[[#This Row],[Real Disposable Income (RDI)]]*1)/H769)-1)</f>
        <v>4.1696981075985518E-2</v>
      </c>
      <c r="K781" s="10">
        <v>388000</v>
      </c>
      <c r="L781" s="11">
        <v>39</v>
      </c>
      <c r="M781" s="10">
        <v>163</v>
      </c>
      <c r="N781" s="10">
        <f>IF(Tabela1610[[#This Row],[Payroll]]="",#N/A,AVERAGE(M779:M781))</f>
        <v>168</v>
      </c>
      <c r="O781" s="10">
        <v>3878</v>
      </c>
      <c r="P781" s="7">
        <f>IF(Tabela1610[[#This Row],[JOLTS]]="",#N/A,Tabela1610[[#This Row],[JOLTS]]/Tabela1610[[#This Row],[Unemployment Level]])</f>
        <v>0.32303206997084549</v>
      </c>
    </row>
    <row r="782" spans="1:16">
      <c r="A782" s="6">
        <v>41244</v>
      </c>
      <c r="B782" s="11">
        <v>7.9</v>
      </c>
      <c r="C782" s="11">
        <f>IF(Tabela1610[[#This Row],[Unemployment Rate]]="",#N/A,AVERAGE(B770:B782))</f>
        <v>8.1076923076923073</v>
      </c>
      <c r="D782" s="10">
        <v>12298</v>
      </c>
      <c r="E782" s="11">
        <v>63.7</v>
      </c>
      <c r="F782" s="11">
        <v>2.19638</v>
      </c>
      <c r="G782" s="11">
        <v>2.2999999999999998</v>
      </c>
      <c r="H782" s="55">
        <v>13642.7</v>
      </c>
      <c r="I782" s="56">
        <f>IF(Tabela1610[[#This Row],[Real Disposable Income (RDI)]]="",#N/A,((Tabela1610[[#This Row],[Real Disposable Income (RDI)]]*1)/H781)-1)</f>
        <v>2.4557477263681182E-2</v>
      </c>
      <c r="J782" s="56">
        <f>IF(Tabela1610[[#This Row],[Real Disposable Income (RDI)]]="",#N/A,((Tabela1610[[#This Row],[Real Disposable Income (RDI)]]*1)/H770)-1)</f>
        <v>5.7696631391247033E-2</v>
      </c>
      <c r="K782" s="10">
        <v>362000</v>
      </c>
      <c r="L782" s="11">
        <v>37.6</v>
      </c>
      <c r="M782" s="10">
        <v>241</v>
      </c>
      <c r="N782" s="10">
        <f>IF(Tabela1610[[#This Row],[Payroll]]="",#N/A,AVERAGE(M780:M782))</f>
        <v>187.66666666666666</v>
      </c>
      <c r="O782" s="10">
        <v>3970</v>
      </c>
      <c r="P782" s="7">
        <f>IF(Tabela1610[[#This Row],[JOLTS]]="",#N/A,Tabela1610[[#This Row],[JOLTS]]/Tabela1610[[#This Row],[Unemployment Level]])</f>
        <v>0.32281671816555535</v>
      </c>
    </row>
    <row r="783" spans="1:16">
      <c r="A783" s="6">
        <v>41275</v>
      </c>
      <c r="B783" s="11">
        <v>8</v>
      </c>
      <c r="C783" s="11">
        <f>IF(Tabela1610[[#This Row],[Unemployment Rate]]="",#N/A,AVERAGE(B771:B783))</f>
        <v>8.069230769230769</v>
      </c>
      <c r="D783" s="10">
        <v>12471</v>
      </c>
      <c r="E783" s="11">
        <v>63.7</v>
      </c>
      <c r="F783" s="11">
        <v>2.1505399999999999</v>
      </c>
      <c r="G783" s="11">
        <v>2.2999999999999998</v>
      </c>
      <c r="H783" s="55">
        <v>12845.5</v>
      </c>
      <c r="I783" s="56">
        <f>IF(Tabela1610[[#This Row],[Real Disposable Income (RDI)]]="",#N/A,((Tabela1610[[#This Row],[Real Disposable Income (RDI)]]*1)/H782)-1)</f>
        <v>-5.8434180917267153E-2</v>
      </c>
      <c r="J783" s="56">
        <f>IF(Tabela1610[[#This Row],[Real Disposable Income (RDI)]]="",#N/A,((Tabela1610[[#This Row],[Real Disposable Income (RDI)]]*1)/H771)-1)</f>
        <v>-9.4081357239251817E-3</v>
      </c>
      <c r="K783" s="10">
        <v>366000</v>
      </c>
      <c r="L783" s="11">
        <v>35.6</v>
      </c>
      <c r="M783" s="10">
        <v>190</v>
      </c>
      <c r="N783" s="10">
        <f>IF(Tabela1610[[#This Row],[Payroll]]="",#N/A,AVERAGE(M781:M783))</f>
        <v>198</v>
      </c>
      <c r="O783" s="10">
        <v>3923</v>
      </c>
      <c r="P783" s="7">
        <f>IF(Tabela1610[[#This Row],[JOLTS]]="",#N/A,Tabela1610[[#This Row],[JOLTS]]/Tabela1610[[#This Row],[Unemployment Level]])</f>
        <v>0.31456980194050199</v>
      </c>
    </row>
    <row r="784" spans="1:16">
      <c r="A784" s="6">
        <v>41306</v>
      </c>
      <c r="B784" s="11">
        <v>7.7</v>
      </c>
      <c r="C784" s="11">
        <f>IF(Tabela1610[[#This Row],[Unemployment Rate]]="",#N/A,AVERAGE(B772:B784))</f>
        <v>8.0230769230769248</v>
      </c>
      <c r="D784" s="10">
        <v>11950</v>
      </c>
      <c r="E784" s="11">
        <v>63.4</v>
      </c>
      <c r="F784" s="11">
        <v>2.14777</v>
      </c>
      <c r="G784" s="11">
        <v>2.2999999999999998</v>
      </c>
      <c r="H784" s="55">
        <v>12813.9</v>
      </c>
      <c r="I784" s="56">
        <f>IF(Tabela1610[[#This Row],[Real Disposable Income (RDI)]]="",#N/A,((Tabela1610[[#This Row],[Real Disposable Income (RDI)]]*1)/H783)-1)</f>
        <v>-2.4600054493791879E-3</v>
      </c>
      <c r="J784" s="56">
        <f>IF(Tabela1610[[#This Row],[Real Disposable Income (RDI)]]="",#N/A,((Tabela1610[[#This Row],[Real Disposable Income (RDI)]]*1)/H772)-1)</f>
        <v>-1.6554614109412502E-2</v>
      </c>
      <c r="K784" s="10">
        <v>342000</v>
      </c>
      <c r="L784" s="11">
        <v>36.4</v>
      </c>
      <c r="M784" s="10">
        <v>279</v>
      </c>
      <c r="N784" s="10">
        <f>IF(Tabela1610[[#This Row],[Payroll]]="",#N/A,AVERAGE(M782:M784))</f>
        <v>236.66666666666666</v>
      </c>
      <c r="O784" s="10">
        <v>4004</v>
      </c>
      <c r="P784" s="7">
        <f>IF(Tabela1610[[#This Row],[JOLTS]]="",#N/A,Tabela1610[[#This Row],[JOLTS]]/Tabela1610[[#This Row],[Unemployment Level]])</f>
        <v>0.33506276150627617</v>
      </c>
    </row>
    <row r="785" spans="1:16">
      <c r="A785" s="6">
        <v>41334</v>
      </c>
      <c r="B785" s="11">
        <v>7.5</v>
      </c>
      <c r="C785" s="11">
        <f>IF(Tabela1610[[#This Row],[Unemployment Rate]]="",#N/A,AVERAGE(B773:B785))</f>
        <v>7.9615384615384626</v>
      </c>
      <c r="D785" s="10">
        <v>11689</v>
      </c>
      <c r="E785" s="11">
        <v>63.3</v>
      </c>
      <c r="F785" s="11">
        <v>1.8835599999999999</v>
      </c>
      <c r="G785" s="11">
        <v>2.2000000000000002</v>
      </c>
      <c r="H785" s="55">
        <v>12852.1</v>
      </c>
      <c r="I785" s="56">
        <f>IF(Tabela1610[[#This Row],[Real Disposable Income (RDI)]]="",#N/A,((Tabela1610[[#This Row],[Real Disposable Income (RDI)]]*1)/H784)-1)</f>
        <v>2.9811376708106518E-3</v>
      </c>
      <c r="J785" s="56">
        <f>IF(Tabela1610[[#This Row],[Real Disposable Income (RDI)]]="",#N/A,((Tabela1610[[#This Row],[Real Disposable Income (RDI)]]*1)/H773)-1)</f>
        <v>-1.6400844915202328E-2</v>
      </c>
      <c r="K785" s="10">
        <v>375000</v>
      </c>
      <c r="L785" s="11">
        <v>37</v>
      </c>
      <c r="M785" s="10">
        <v>145</v>
      </c>
      <c r="N785" s="10">
        <f>IF(Tabela1610[[#This Row],[Payroll]]="",#N/A,AVERAGE(M783:M785))</f>
        <v>204.66666666666666</v>
      </c>
      <c r="O785" s="10">
        <v>4076</v>
      </c>
      <c r="P785" s="7">
        <f>IF(Tabela1610[[#This Row],[JOLTS]]="",#N/A,Tabela1610[[#This Row],[JOLTS]]/Tabela1610[[#This Row],[Unemployment Level]])</f>
        <v>0.34870390965865344</v>
      </c>
    </row>
    <row r="786" spans="1:16">
      <c r="A786" s="6">
        <v>41365</v>
      </c>
      <c r="B786" s="11">
        <v>7.6</v>
      </c>
      <c r="C786" s="11">
        <f>IF(Tabela1610[[#This Row],[Unemployment Rate]]="",#N/A,AVERAGE(B774:B786))</f>
        <v>7.9153846153846148</v>
      </c>
      <c r="D786" s="10">
        <v>11760</v>
      </c>
      <c r="E786" s="11">
        <v>63.4</v>
      </c>
      <c r="F786" s="11">
        <v>2.0521600000000002</v>
      </c>
      <c r="G786" s="11">
        <v>2.2000000000000002</v>
      </c>
      <c r="H786" s="55">
        <v>12893.4</v>
      </c>
      <c r="I786" s="56">
        <f>IF(Tabela1610[[#This Row],[Real Disposable Income (RDI)]]="",#N/A,((Tabela1610[[#This Row],[Real Disposable Income (RDI)]]*1)/H785)-1)</f>
        <v>3.2134826215171053E-3</v>
      </c>
      <c r="J786" s="56">
        <f>IF(Tabela1610[[#This Row],[Real Disposable Income (RDI)]]="",#N/A,((Tabela1610[[#This Row],[Real Disposable Income (RDI)]]*1)/H774)-1)</f>
        <v>-1.7009110662143168E-2</v>
      </c>
      <c r="K786" s="10">
        <v>331000</v>
      </c>
      <c r="L786" s="11">
        <v>36.5</v>
      </c>
      <c r="M786" s="10">
        <v>187</v>
      </c>
      <c r="N786" s="10">
        <f>IF(Tabela1610[[#This Row],[Payroll]]="",#N/A,AVERAGE(M784:M786))</f>
        <v>203.66666666666666</v>
      </c>
      <c r="O786" s="10">
        <v>3988</v>
      </c>
      <c r="P786" s="7">
        <f>IF(Tabela1610[[#This Row],[JOLTS]]="",#N/A,Tabela1610[[#This Row],[JOLTS]]/Tabela1610[[#This Row],[Unemployment Level]])</f>
        <v>0.33911564625850338</v>
      </c>
    </row>
    <row r="787" spans="1:16">
      <c r="A787" s="6">
        <v>41395</v>
      </c>
      <c r="B787" s="11">
        <v>7.5</v>
      </c>
      <c r="C787" s="11">
        <f>IF(Tabela1610[[#This Row],[Unemployment Rate]]="",#N/A,AVERAGE(B775:B787))</f>
        <v>7.8615384615384603</v>
      </c>
      <c r="D787" s="10">
        <v>11654</v>
      </c>
      <c r="E787" s="11">
        <v>63.4</v>
      </c>
      <c r="F787" s="11">
        <v>2.09402</v>
      </c>
      <c r="G787" s="11">
        <v>2.2000000000000002</v>
      </c>
      <c r="H787" s="55">
        <v>12954.2</v>
      </c>
      <c r="I787" s="56">
        <f>IF(Tabela1610[[#This Row],[Real Disposable Income (RDI)]]="",#N/A,((Tabela1610[[#This Row],[Real Disposable Income (RDI)]]*1)/H786)-1)</f>
        <v>4.7155909224876336E-3</v>
      </c>
      <c r="J787" s="56">
        <f>IF(Tabela1610[[#This Row],[Real Disposable Income (RDI)]]="",#N/A,((Tabela1610[[#This Row],[Real Disposable Income (RDI)]]*1)/H775)-1)</f>
        <v>-1.2072449952335473E-2</v>
      </c>
      <c r="K787" s="10">
        <v>353000</v>
      </c>
      <c r="L787" s="11">
        <v>36.799999999999997</v>
      </c>
      <c r="M787" s="10">
        <v>215</v>
      </c>
      <c r="N787" s="10">
        <f>IF(Tabela1610[[#This Row],[Payroll]]="",#N/A,AVERAGE(M785:M787))</f>
        <v>182.33333333333334</v>
      </c>
      <c r="O787" s="10">
        <v>4145</v>
      </c>
      <c r="P787" s="7">
        <f>IF(Tabela1610[[#This Row],[JOLTS]]="",#N/A,Tabela1610[[#This Row],[JOLTS]]/Tabela1610[[#This Row],[Unemployment Level]])</f>
        <v>0.35567187231851727</v>
      </c>
    </row>
    <row r="788" spans="1:16">
      <c r="A788" s="6">
        <v>41426</v>
      </c>
      <c r="B788" s="11">
        <v>7.5</v>
      </c>
      <c r="C788" s="11">
        <f>IF(Tabela1610[[#This Row],[Unemployment Rate]]="",#N/A,AVERAGE(B776:B788))</f>
        <v>7.8076923076923066</v>
      </c>
      <c r="D788" s="10">
        <v>11751</v>
      </c>
      <c r="E788" s="11">
        <v>63.4</v>
      </c>
      <c r="F788" s="11">
        <v>2.1312899999999999</v>
      </c>
      <c r="G788" s="11">
        <v>2.1</v>
      </c>
      <c r="H788" s="55">
        <v>12955.7</v>
      </c>
      <c r="I788" s="56">
        <f>IF(Tabela1610[[#This Row],[Real Disposable Income (RDI)]]="",#N/A,((Tabela1610[[#This Row],[Real Disposable Income (RDI)]]*1)/H787)-1)</f>
        <v>1.1579256148586126E-4</v>
      </c>
      <c r="J788" s="56">
        <f>IF(Tabela1610[[#This Row],[Real Disposable Income (RDI)]]="",#N/A,((Tabela1610[[#This Row],[Real Disposable Income (RDI)]]*1)/H776)-1)</f>
        <v>-1.0803835934398154E-2</v>
      </c>
      <c r="K788" s="10">
        <v>340000</v>
      </c>
      <c r="L788" s="11">
        <v>36.4</v>
      </c>
      <c r="M788" s="10">
        <v>178</v>
      </c>
      <c r="N788" s="10">
        <f>IF(Tabela1610[[#This Row],[Payroll]]="",#N/A,AVERAGE(M786:M788))</f>
        <v>193.33333333333334</v>
      </c>
      <c r="O788" s="10">
        <v>4150</v>
      </c>
      <c r="P788" s="7">
        <f>IF(Tabela1610[[#This Row],[JOLTS]]="",#N/A,Tabela1610[[#This Row],[JOLTS]]/Tabela1610[[#This Row],[Unemployment Level]])</f>
        <v>0.35316143306952602</v>
      </c>
    </row>
    <row r="789" spans="1:16">
      <c r="A789" s="6">
        <v>41456</v>
      </c>
      <c r="B789" s="11">
        <v>7.3</v>
      </c>
      <c r="C789" s="11">
        <f>IF(Tabela1610[[#This Row],[Unemployment Rate]]="",#N/A,AVERAGE(B777:B789))</f>
        <v>7.7384615384615376</v>
      </c>
      <c r="D789" s="10">
        <v>11335</v>
      </c>
      <c r="E789" s="11">
        <v>63.3</v>
      </c>
      <c r="F789" s="11">
        <v>2.0425499999999999</v>
      </c>
      <c r="G789" s="11">
        <v>2.2999999999999998</v>
      </c>
      <c r="H789" s="55">
        <v>12941.8</v>
      </c>
      <c r="I789" s="56">
        <f>IF(Tabela1610[[#This Row],[Real Disposable Income (RDI)]]="",#N/A,((Tabela1610[[#This Row],[Real Disposable Income (RDI)]]*1)/H788)-1)</f>
        <v>-1.0728868374538791E-3</v>
      </c>
      <c r="J789" s="56">
        <f>IF(Tabela1610[[#This Row],[Real Disposable Income (RDI)]]="",#N/A,((Tabela1610[[#This Row],[Real Disposable Income (RDI)]]*1)/H777)-1)</f>
        <v>-4.4616071016476688E-3</v>
      </c>
      <c r="K789" s="10">
        <v>334000</v>
      </c>
      <c r="L789" s="11">
        <v>37.299999999999997</v>
      </c>
      <c r="M789" s="10">
        <v>122</v>
      </c>
      <c r="N789" s="10">
        <f>IF(Tabela1610[[#This Row],[Payroll]]="",#N/A,AVERAGE(M787:M789))</f>
        <v>171.66666666666666</v>
      </c>
      <c r="O789" s="10">
        <v>3885</v>
      </c>
      <c r="P789" s="7">
        <f>IF(Tabela1610[[#This Row],[JOLTS]]="",#N/A,Tabela1610[[#This Row],[JOLTS]]/Tabela1610[[#This Row],[Unemployment Level]])</f>
        <v>0.34274371415968241</v>
      </c>
    </row>
    <row r="790" spans="1:16">
      <c r="A790" s="6">
        <v>41487</v>
      </c>
      <c r="B790" s="11">
        <v>7.2</v>
      </c>
      <c r="C790" s="11">
        <f>IF(Tabela1610[[#This Row],[Unemployment Rate]]="",#N/A,AVERAGE(B778:B790))</f>
        <v>7.661538461538461</v>
      </c>
      <c r="D790" s="10">
        <v>11279</v>
      </c>
      <c r="E790" s="11">
        <v>63.3</v>
      </c>
      <c r="F790" s="11">
        <v>2.2562799999999998</v>
      </c>
      <c r="G790" s="11">
        <v>2.2999999999999998</v>
      </c>
      <c r="H790" s="55">
        <v>12969.6</v>
      </c>
      <c r="I790" s="56">
        <f>IF(Tabela1610[[#This Row],[Real Disposable Income (RDI)]]="",#N/A,((Tabela1610[[#This Row],[Real Disposable Income (RDI)]]*1)/H789)-1)</f>
        <v>2.1480783198628561E-3</v>
      </c>
      <c r="J790" s="56">
        <f>IF(Tabela1610[[#This Row],[Real Disposable Income (RDI)]]="",#N/A,((Tabela1610[[#This Row],[Real Disposable Income (RDI)]]*1)/H778)-1)</f>
        <v>6.1720775212936729E-4</v>
      </c>
      <c r="K790" s="10">
        <v>325000</v>
      </c>
      <c r="L790" s="11">
        <v>37.6</v>
      </c>
      <c r="M790" s="10">
        <v>244</v>
      </c>
      <c r="N790" s="10">
        <f>IF(Tabela1610[[#This Row],[Payroll]]="",#N/A,AVERAGE(M788:M790))</f>
        <v>181.33333333333334</v>
      </c>
      <c r="O790" s="10">
        <v>4085</v>
      </c>
      <c r="P790" s="7">
        <f>IF(Tabela1610[[#This Row],[JOLTS]]="",#N/A,Tabela1610[[#This Row],[JOLTS]]/Tabela1610[[#This Row],[Unemployment Level]])</f>
        <v>0.36217749800514232</v>
      </c>
    </row>
    <row r="791" spans="1:16">
      <c r="A791" s="6">
        <v>41518</v>
      </c>
      <c r="B791" s="11">
        <v>7.2</v>
      </c>
      <c r="C791" s="11">
        <f>IF(Tabela1610[[#This Row],[Unemployment Rate]]="",#N/A,AVERAGE(B779:B791))</f>
        <v>7.5923076923076929</v>
      </c>
      <c r="D791" s="10">
        <v>11270</v>
      </c>
      <c r="E791" s="11">
        <v>63.2</v>
      </c>
      <c r="F791" s="11">
        <v>2.07891</v>
      </c>
      <c r="G791" s="11">
        <v>2.4</v>
      </c>
      <c r="H791" s="55">
        <v>13027.5</v>
      </c>
      <c r="I791" s="56">
        <f>IF(Tabela1610[[#This Row],[Real Disposable Income (RDI)]]="",#N/A,((Tabela1610[[#This Row],[Real Disposable Income (RDI)]]*1)/H790)-1)</f>
        <v>4.4642857142855874E-3</v>
      </c>
      <c r="J791" s="56">
        <f>IF(Tabela1610[[#This Row],[Real Disposable Income (RDI)]]="",#N/A,((Tabela1610[[#This Row],[Real Disposable Income (RDI)]]*1)/H779)-1)</f>
        <v>-1.9612199400909081E-3</v>
      </c>
      <c r="K791" s="10">
        <v>319000</v>
      </c>
      <c r="L791" s="11">
        <v>37.4</v>
      </c>
      <c r="M791" s="10">
        <v>184</v>
      </c>
      <c r="N791" s="10">
        <f>IF(Tabela1610[[#This Row],[Payroll]]="",#N/A,AVERAGE(M789:M791))</f>
        <v>183.33333333333334</v>
      </c>
      <c r="O791" s="10">
        <v>4128</v>
      </c>
      <c r="P791" s="7">
        <f>IF(Tabela1610[[#This Row],[JOLTS]]="",#N/A,Tabela1610[[#This Row],[JOLTS]]/Tabela1610[[#This Row],[Unemployment Level]])</f>
        <v>0.366282165039929</v>
      </c>
    </row>
    <row r="792" spans="1:16">
      <c r="A792" s="6">
        <v>41548</v>
      </c>
      <c r="B792" s="11">
        <v>7.2</v>
      </c>
      <c r="C792" s="11">
        <f>IF(Tabela1610[[#This Row],[Unemployment Rate]]="",#N/A,AVERAGE(B780:B792))</f>
        <v>7.5461538461538469</v>
      </c>
      <c r="D792" s="10">
        <v>11136</v>
      </c>
      <c r="E792" s="11">
        <v>62.8</v>
      </c>
      <c r="F792" s="11">
        <v>2.2495799999999999</v>
      </c>
      <c r="G792" s="11">
        <v>2.2000000000000002</v>
      </c>
      <c r="H792" s="55">
        <v>12974.6</v>
      </c>
      <c r="I792" s="56">
        <f>IF(Tabela1610[[#This Row],[Real Disposable Income (RDI)]]="",#N/A,((Tabela1610[[#This Row],[Real Disposable Income (RDI)]]*1)/H791)-1)</f>
        <v>-4.0606409518326725E-3</v>
      </c>
      <c r="J792" s="56">
        <f>IF(Tabela1610[[#This Row],[Real Disposable Income (RDI)]]="",#N/A,((Tabela1610[[#This Row],[Real Disposable Income (RDI)]]*1)/H780)-1)</f>
        <v>-1.273778724699437E-2</v>
      </c>
      <c r="K792" s="10">
        <v>347000</v>
      </c>
      <c r="L792" s="11">
        <v>35.1</v>
      </c>
      <c r="M792" s="10">
        <v>220</v>
      </c>
      <c r="N792" s="10">
        <f>IF(Tabela1610[[#This Row],[Payroll]]="",#N/A,AVERAGE(M790:M792))</f>
        <v>216</v>
      </c>
      <c r="O792" s="10">
        <v>4222</v>
      </c>
      <c r="P792" s="7">
        <f>IF(Tabela1610[[#This Row],[JOLTS]]="",#N/A,Tabela1610[[#This Row],[JOLTS]]/Tabela1610[[#This Row],[Unemployment Level]])</f>
        <v>0.3791307471264368</v>
      </c>
    </row>
    <row r="793" spans="1:16">
      <c r="A793" s="6">
        <v>41579</v>
      </c>
      <c r="B793" s="11">
        <v>6.9</v>
      </c>
      <c r="C793" s="11">
        <f>IF(Tabela1610[[#This Row],[Unemployment Rate]]="",#N/A,AVERAGE(B781:B793))</f>
        <v>7.4769230769230779</v>
      </c>
      <c r="D793" s="10">
        <v>10787</v>
      </c>
      <c r="E793" s="11">
        <v>63</v>
      </c>
      <c r="F793" s="11">
        <v>2.2429100000000002</v>
      </c>
      <c r="G793" s="11">
        <v>2</v>
      </c>
      <c r="H793" s="55">
        <v>12998.9</v>
      </c>
      <c r="I793" s="56">
        <f>IF(Tabela1610[[#This Row],[Real Disposable Income (RDI)]]="",#N/A,((Tabela1610[[#This Row],[Real Disposable Income (RDI)]]*1)/H792)-1)</f>
        <v>1.8728901083655547E-3</v>
      </c>
      <c r="J793" s="56">
        <f>IF(Tabela1610[[#This Row],[Real Disposable Income (RDI)]]="",#N/A,((Tabela1610[[#This Row],[Real Disposable Income (RDI)]]*1)/H781)-1)</f>
        <v>-2.3791464211419644E-2</v>
      </c>
      <c r="K793" s="10">
        <v>312000</v>
      </c>
      <c r="L793" s="11">
        <v>36.6</v>
      </c>
      <c r="M793" s="10">
        <v>275</v>
      </c>
      <c r="N793" s="10">
        <f>IF(Tabela1610[[#This Row],[Payroll]]="",#N/A,AVERAGE(M791:M793))</f>
        <v>226.33333333333334</v>
      </c>
      <c r="O793" s="10">
        <v>4119</v>
      </c>
      <c r="P793" s="7">
        <f>IF(Tabela1610[[#This Row],[JOLTS]]="",#N/A,Tabela1610[[#This Row],[JOLTS]]/Tabela1610[[#This Row],[Unemployment Level]])</f>
        <v>0.38184852136831371</v>
      </c>
    </row>
    <row r="794" spans="1:16">
      <c r="A794" s="6">
        <v>41609</v>
      </c>
      <c r="B794" s="11">
        <v>6.7</v>
      </c>
      <c r="C794" s="11">
        <f>IF(Tabela1610[[#This Row],[Unemployment Rate]]="",#N/A,AVERAGE(B782:B794))</f>
        <v>7.4000000000000012</v>
      </c>
      <c r="D794" s="10">
        <v>10404</v>
      </c>
      <c r="E794" s="11">
        <v>62.9</v>
      </c>
      <c r="F794" s="11">
        <v>1.8963300000000001</v>
      </c>
      <c r="G794" s="11">
        <v>2.2000000000000002</v>
      </c>
      <c r="H794" s="55">
        <v>13019.1</v>
      </c>
      <c r="I794" s="56">
        <f>IF(Tabela1610[[#This Row],[Real Disposable Income (RDI)]]="",#N/A,((Tabela1610[[#This Row],[Real Disposable Income (RDI)]]*1)/H793)-1)</f>
        <v>1.5539776442623499E-3</v>
      </c>
      <c r="J794" s="56">
        <f>IF(Tabela1610[[#This Row],[Real Disposable Income (RDI)]]="",#N/A,((Tabela1610[[#This Row],[Real Disposable Income (RDI)]]*1)/H782)-1)</f>
        <v>-4.5709427019578253E-2</v>
      </c>
      <c r="K794" s="10">
        <v>332000</v>
      </c>
      <c r="L794" s="11">
        <v>36.5</v>
      </c>
      <c r="M794" s="10">
        <v>54</v>
      </c>
      <c r="N794" s="10">
        <f>IF(Tabela1610[[#This Row],[Payroll]]="",#N/A,AVERAGE(M792:M794))</f>
        <v>183</v>
      </c>
      <c r="O794" s="10">
        <v>4121</v>
      </c>
      <c r="P794" s="7">
        <f>IF(Tabela1610[[#This Row],[JOLTS]]="",#N/A,Tabela1610[[#This Row],[JOLTS]]/Tabela1610[[#This Row],[Unemployment Level]])</f>
        <v>0.39609765474817377</v>
      </c>
    </row>
    <row r="795" spans="1:16">
      <c r="A795" s="6">
        <v>41640</v>
      </c>
      <c r="B795" s="11">
        <v>6.6</v>
      </c>
      <c r="C795" s="11">
        <f>IF(Tabela1610[[#This Row],[Unemployment Rate]]="",#N/A,AVERAGE(B783:B795))</f>
        <v>7.3000000000000007</v>
      </c>
      <c r="D795" s="10">
        <v>10202</v>
      </c>
      <c r="E795" s="11">
        <v>62.9</v>
      </c>
      <c r="F795" s="11">
        <v>2.0210499999999998</v>
      </c>
      <c r="G795" s="11">
        <v>2.2999999999999998</v>
      </c>
      <c r="H795" s="55">
        <v>13079.5</v>
      </c>
      <c r="I795" s="56">
        <f>IF(Tabela1610[[#This Row],[Real Disposable Income (RDI)]]="",#N/A,((Tabela1610[[#This Row],[Real Disposable Income (RDI)]]*1)/H794)-1)</f>
        <v>4.6393375886197852E-3</v>
      </c>
      <c r="J795" s="56">
        <f>IF(Tabela1610[[#This Row],[Real Disposable Income (RDI)]]="",#N/A,((Tabela1610[[#This Row],[Real Disposable Income (RDI)]]*1)/H783)-1)</f>
        <v>1.821649604920017E-2</v>
      </c>
      <c r="K795" s="10">
        <v>340000</v>
      </c>
      <c r="L795" s="11">
        <v>35.1</v>
      </c>
      <c r="M795" s="10">
        <v>184</v>
      </c>
      <c r="N795" s="10">
        <f>IF(Tabela1610[[#This Row],[Payroll]]="",#N/A,AVERAGE(M793:M795))</f>
        <v>171</v>
      </c>
      <c r="O795" s="10">
        <v>4127</v>
      </c>
      <c r="P795" s="7">
        <f>IF(Tabela1610[[#This Row],[JOLTS]]="",#N/A,Tabela1610[[#This Row],[JOLTS]]/Tabela1610[[#This Row],[Unemployment Level]])</f>
        <v>0.40452852381885906</v>
      </c>
    </row>
    <row r="796" spans="1:16">
      <c r="A796" s="6">
        <v>41671</v>
      </c>
      <c r="B796" s="11">
        <v>6.7</v>
      </c>
      <c r="C796" s="11">
        <f>IF(Tabela1610[[#This Row],[Unemployment Rate]]="",#N/A,AVERAGE(B784:B796))</f>
        <v>7.2000000000000011</v>
      </c>
      <c r="D796" s="10">
        <v>10349</v>
      </c>
      <c r="E796" s="11">
        <v>62.9</v>
      </c>
      <c r="F796" s="11">
        <v>2.3128700000000002</v>
      </c>
      <c r="G796" s="11">
        <v>2.5</v>
      </c>
      <c r="H796" s="55">
        <v>13148</v>
      </c>
      <c r="I796" s="56">
        <f>IF(Tabela1610[[#This Row],[Real Disposable Income (RDI)]]="",#N/A,((Tabela1610[[#This Row],[Real Disposable Income (RDI)]]*1)/H795)-1)</f>
        <v>5.237203257005163E-3</v>
      </c>
      <c r="J796" s="56">
        <f>IF(Tabela1610[[#This Row],[Real Disposable Income (RDI)]]="",#N/A,((Tabela1610[[#This Row],[Real Disposable Income (RDI)]]*1)/H784)-1)</f>
        <v>2.6073248581618413E-2</v>
      </c>
      <c r="K796" s="10">
        <v>341000</v>
      </c>
      <c r="L796" s="11">
        <v>36.5</v>
      </c>
      <c r="M796" s="10">
        <v>155</v>
      </c>
      <c r="N796" s="10">
        <f>IF(Tabela1610[[#This Row],[Payroll]]="",#N/A,AVERAGE(M794:M796))</f>
        <v>131</v>
      </c>
      <c r="O796" s="10">
        <v>4373</v>
      </c>
      <c r="P796" s="7">
        <f>IF(Tabela1610[[#This Row],[JOLTS]]="",#N/A,Tabela1610[[#This Row],[JOLTS]]/Tabela1610[[#This Row],[Unemployment Level]])</f>
        <v>0.42255290366218956</v>
      </c>
    </row>
    <row r="797" spans="1:16">
      <c r="A797" s="6">
        <v>41699</v>
      </c>
      <c r="B797" s="11">
        <v>6.7</v>
      </c>
      <c r="C797" s="11">
        <f>IF(Tabela1610[[#This Row],[Unemployment Rate]]="",#N/A,AVERAGE(B785:B797))</f>
        <v>7.1230769230769235</v>
      </c>
      <c r="D797" s="10">
        <v>10380</v>
      </c>
      <c r="E797" s="11">
        <v>63.1</v>
      </c>
      <c r="F797" s="11">
        <v>2.1848700000000001</v>
      </c>
      <c r="G797" s="11">
        <v>2.4</v>
      </c>
      <c r="H797" s="55">
        <v>13219.9</v>
      </c>
      <c r="I797" s="56">
        <f>IF(Tabela1610[[#This Row],[Real Disposable Income (RDI)]]="",#N/A,((Tabela1610[[#This Row],[Real Disposable Income (RDI)]]*1)/H796)-1)</f>
        <v>5.4685123212656617E-3</v>
      </c>
      <c r="J797" s="56">
        <f>IF(Tabela1610[[#This Row],[Real Disposable Income (RDI)]]="",#N/A,((Tabela1610[[#This Row],[Real Disposable Income (RDI)]]*1)/H785)-1)</f>
        <v>2.861789123956382E-2</v>
      </c>
      <c r="K797" s="10">
        <v>330000</v>
      </c>
      <c r="L797" s="11">
        <v>35.299999999999997</v>
      </c>
      <c r="M797" s="10">
        <v>279</v>
      </c>
      <c r="N797" s="10">
        <f>IF(Tabela1610[[#This Row],[Payroll]]="",#N/A,AVERAGE(M795:M797))</f>
        <v>206</v>
      </c>
      <c r="O797" s="10">
        <v>4388</v>
      </c>
      <c r="P797" s="7">
        <f>IF(Tabela1610[[#This Row],[JOLTS]]="",#N/A,Tabela1610[[#This Row],[JOLTS]]/Tabela1610[[#This Row],[Unemployment Level]])</f>
        <v>0.42273603082851635</v>
      </c>
    </row>
    <row r="798" spans="1:16">
      <c r="A798" s="6">
        <v>41730</v>
      </c>
      <c r="B798" s="11">
        <v>6.2</v>
      </c>
      <c r="C798" s="11">
        <f>IF(Tabela1610[[#This Row],[Unemployment Rate]]="",#N/A,AVERAGE(B786:B798))</f>
        <v>7.0230769230769239</v>
      </c>
      <c r="D798" s="10">
        <v>9702</v>
      </c>
      <c r="E798" s="11">
        <v>62.8</v>
      </c>
      <c r="F798" s="11">
        <v>1.9690000000000001</v>
      </c>
      <c r="G798" s="11">
        <v>2.2999999999999998</v>
      </c>
      <c r="H798" s="55">
        <v>13270.2</v>
      </c>
      <c r="I798" s="56">
        <f>IF(Tabela1610[[#This Row],[Real Disposable Income (RDI)]]="",#N/A,((Tabela1610[[#This Row],[Real Disposable Income (RDI)]]*1)/H797)-1)</f>
        <v>3.8048699309374268E-3</v>
      </c>
      <c r="J798" s="56">
        <f>IF(Tabela1610[[#This Row],[Real Disposable Income (RDI)]]="",#N/A,((Tabela1610[[#This Row],[Real Disposable Income (RDI)]]*1)/H786)-1)</f>
        <v>2.9224254269626382E-2</v>
      </c>
      <c r="K798" s="10">
        <v>345000</v>
      </c>
      <c r="L798" s="11">
        <v>34.9</v>
      </c>
      <c r="M798" s="10">
        <v>312</v>
      </c>
      <c r="N798" s="10">
        <f>IF(Tabela1610[[#This Row],[Payroll]]="",#N/A,AVERAGE(M796:M798))</f>
        <v>248.66666666666666</v>
      </c>
      <c r="O798" s="10">
        <v>4566</v>
      </c>
      <c r="P798" s="7">
        <f>IF(Tabela1610[[#This Row],[JOLTS]]="",#N/A,Tabela1610[[#This Row],[JOLTS]]/Tabela1610[[#This Row],[Unemployment Level]])</f>
        <v>0.47062461348175633</v>
      </c>
    </row>
    <row r="799" spans="1:16">
      <c r="A799" s="6">
        <v>41760</v>
      </c>
      <c r="B799" s="11">
        <v>6.3</v>
      </c>
      <c r="C799" s="11">
        <f>IF(Tabela1610[[#This Row],[Unemployment Rate]]="",#N/A,AVERAGE(B787:B799))</f>
        <v>6.9230769230769242</v>
      </c>
      <c r="D799" s="10">
        <v>9859</v>
      </c>
      <c r="E799" s="11">
        <v>62.9</v>
      </c>
      <c r="F799" s="11">
        <v>2.1347800000000001</v>
      </c>
      <c r="G799" s="11">
        <v>2.2999999999999998</v>
      </c>
      <c r="H799" s="55">
        <v>13312.9</v>
      </c>
      <c r="I799" s="56">
        <f>IF(Tabela1610[[#This Row],[Real Disposable Income (RDI)]]="",#N/A,((Tabela1610[[#This Row],[Real Disposable Income (RDI)]]*1)/H798)-1)</f>
        <v>3.2177359798646332E-3</v>
      </c>
      <c r="J799" s="56">
        <f>IF(Tabela1610[[#This Row],[Real Disposable Income (RDI)]]="",#N/A,((Tabela1610[[#This Row],[Real Disposable Income (RDI)]]*1)/H787)-1)</f>
        <v>2.7689861203316291E-2</v>
      </c>
      <c r="K799" s="10">
        <v>312000</v>
      </c>
      <c r="L799" s="11">
        <v>34.4</v>
      </c>
      <c r="M799" s="10">
        <v>203</v>
      </c>
      <c r="N799" s="10">
        <f>IF(Tabela1610[[#This Row],[Payroll]]="",#N/A,AVERAGE(M797:M799))</f>
        <v>264.66666666666669</v>
      </c>
      <c r="O799" s="10">
        <v>4747</v>
      </c>
      <c r="P799" s="7">
        <f>IF(Tabela1610[[#This Row],[JOLTS]]="",#N/A,Tabela1610[[#This Row],[JOLTS]]/Tabela1610[[#This Row],[Unemployment Level]])</f>
        <v>0.48148899482706159</v>
      </c>
    </row>
    <row r="800" spans="1:16">
      <c r="A800" s="6">
        <v>41791</v>
      </c>
      <c r="B800" s="11">
        <v>6.1</v>
      </c>
      <c r="C800" s="11">
        <f>IF(Tabela1610[[#This Row],[Unemployment Rate]]="",#N/A,AVERAGE(B788:B800))</f>
        <v>6.8153846153846152</v>
      </c>
      <c r="D800" s="10">
        <v>9460</v>
      </c>
      <c r="E800" s="11">
        <v>62.8</v>
      </c>
      <c r="F800" s="11">
        <v>2.0868099999999998</v>
      </c>
      <c r="G800" s="11">
        <v>2.2999999999999998</v>
      </c>
      <c r="H800" s="55">
        <v>13360.4</v>
      </c>
      <c r="I800" s="56">
        <f>IF(Tabela1610[[#This Row],[Real Disposable Income (RDI)]]="",#N/A,((Tabela1610[[#This Row],[Real Disposable Income (RDI)]]*1)/H799)-1)</f>
        <v>3.5679679108233664E-3</v>
      </c>
      <c r="J800" s="56">
        <f>IF(Tabela1610[[#This Row],[Real Disposable Income (RDI)]]="",#N/A,((Tabela1610[[#This Row],[Real Disposable Income (RDI)]]*1)/H788)-1)</f>
        <v>3.1237216051621886E-2</v>
      </c>
      <c r="K800" s="10">
        <v>308000</v>
      </c>
      <c r="L800" s="11">
        <v>33.9</v>
      </c>
      <c r="M800" s="10">
        <v>332</v>
      </c>
      <c r="N800" s="10">
        <f>IF(Tabela1610[[#This Row],[Payroll]]="",#N/A,AVERAGE(M798:M800))</f>
        <v>282.33333333333331</v>
      </c>
      <c r="O800" s="10">
        <v>4982</v>
      </c>
      <c r="P800" s="7">
        <f>IF(Tabela1610[[#This Row],[JOLTS]]="",#N/A,Tabela1610[[#This Row],[JOLTS]]/Tabela1610[[#This Row],[Unemployment Level]])</f>
        <v>0.52663847780126849</v>
      </c>
    </row>
    <row r="801" spans="1:16">
      <c r="A801" s="6">
        <v>41821</v>
      </c>
      <c r="B801" s="11">
        <v>6.2</v>
      </c>
      <c r="C801" s="11">
        <f>IF(Tabela1610[[#This Row],[Unemployment Rate]]="",#N/A,AVERAGE(B789:B801))</f>
        <v>6.7153846153846155</v>
      </c>
      <c r="D801" s="10">
        <v>9608</v>
      </c>
      <c r="E801" s="11">
        <v>62.9</v>
      </c>
      <c r="F801" s="11">
        <v>2.08507</v>
      </c>
      <c r="G801" s="11">
        <v>2.4</v>
      </c>
      <c r="H801" s="55">
        <v>13386.8</v>
      </c>
      <c r="I801" s="56">
        <f>IF(Tabela1610[[#This Row],[Real Disposable Income (RDI)]]="",#N/A,((Tabela1610[[#This Row],[Real Disposable Income (RDI)]]*1)/H800)-1)</f>
        <v>1.9759887428518752E-3</v>
      </c>
      <c r="J801" s="56">
        <f>IF(Tabela1610[[#This Row],[Real Disposable Income (RDI)]]="",#N/A,((Tabela1610[[#This Row],[Real Disposable Income (RDI)]]*1)/H789)-1)</f>
        <v>3.4384706918666685E-2</v>
      </c>
      <c r="K801" s="10">
        <v>303000</v>
      </c>
      <c r="L801" s="11">
        <v>32.700000000000003</v>
      </c>
      <c r="M801" s="10">
        <v>243</v>
      </c>
      <c r="N801" s="10">
        <f>IF(Tabela1610[[#This Row],[Payroll]]="",#N/A,AVERAGE(M799:M801))</f>
        <v>259.33333333333331</v>
      </c>
      <c r="O801" s="10">
        <v>4846</v>
      </c>
      <c r="P801" s="7">
        <f>IF(Tabela1610[[#This Row],[JOLTS]]="",#N/A,Tabela1610[[#This Row],[JOLTS]]/Tabela1610[[#This Row],[Unemployment Level]])</f>
        <v>0.50437135720233139</v>
      </c>
    </row>
    <row r="802" spans="1:16">
      <c r="A802" s="6">
        <v>41852</v>
      </c>
      <c r="B802" s="11">
        <v>6.1</v>
      </c>
      <c r="C802" s="11">
        <f>IF(Tabela1610[[#This Row],[Unemployment Rate]]="",#N/A,AVERAGE(B790:B802))</f>
        <v>6.6230769230769235</v>
      </c>
      <c r="D802" s="10">
        <v>9599</v>
      </c>
      <c r="E802" s="11">
        <v>62.9</v>
      </c>
      <c r="F802" s="11">
        <v>2.16486</v>
      </c>
      <c r="G802" s="11">
        <v>2.4</v>
      </c>
      <c r="H802" s="55">
        <v>13445.9</v>
      </c>
      <c r="I802" s="56">
        <f>IF(Tabela1610[[#This Row],[Real Disposable Income (RDI)]]="",#N/A,((Tabela1610[[#This Row],[Real Disposable Income (RDI)]]*1)/H801)-1)</f>
        <v>4.4147966653718118E-3</v>
      </c>
      <c r="J802" s="56">
        <f>IF(Tabela1610[[#This Row],[Real Disposable Income (RDI)]]="",#N/A,((Tabela1610[[#This Row],[Real Disposable Income (RDI)]]*1)/H790)-1)</f>
        <v>3.6724339995065414E-2</v>
      </c>
      <c r="K802" s="10">
        <v>303000</v>
      </c>
      <c r="L802" s="11">
        <v>32</v>
      </c>
      <c r="M802" s="10">
        <v>182</v>
      </c>
      <c r="N802" s="10">
        <f>IF(Tabela1610[[#This Row],[Payroll]]="",#N/A,AVERAGE(M800:M802))</f>
        <v>252.33333333333334</v>
      </c>
      <c r="O802" s="10">
        <v>5349</v>
      </c>
      <c r="P802" s="7">
        <f>IF(Tabela1610[[#This Row],[JOLTS]]="",#N/A,Tabela1610[[#This Row],[JOLTS]]/Tabela1610[[#This Row],[Unemployment Level]])</f>
        <v>0.55724554641108448</v>
      </c>
    </row>
    <row r="803" spans="1:16">
      <c r="A803" s="6">
        <v>41883</v>
      </c>
      <c r="B803" s="11">
        <v>5.9</v>
      </c>
      <c r="C803" s="11">
        <f>IF(Tabela1610[[#This Row],[Unemployment Rate]]="",#N/A,AVERAGE(B791:B803))</f>
        <v>6.5230769230769239</v>
      </c>
      <c r="D803" s="10">
        <v>9262</v>
      </c>
      <c r="E803" s="11">
        <v>62.8</v>
      </c>
      <c r="F803" s="11">
        <v>2.0365799999999998</v>
      </c>
      <c r="G803" s="11">
        <v>2.6</v>
      </c>
      <c r="H803" s="55">
        <v>13486.3</v>
      </c>
      <c r="I803" s="56">
        <f>IF(Tabela1610[[#This Row],[Real Disposable Income (RDI)]]="",#N/A,((Tabela1610[[#This Row],[Real Disposable Income (RDI)]]*1)/H802)-1)</f>
        <v>3.0046333826667659E-3</v>
      </c>
      <c r="J803" s="56">
        <f>IF(Tabela1610[[#This Row],[Real Disposable Income (RDI)]]="",#N/A,((Tabela1610[[#This Row],[Real Disposable Income (RDI)]]*1)/H791)-1)</f>
        <v>3.5217808482057134E-2</v>
      </c>
      <c r="K803" s="10">
        <v>290000</v>
      </c>
      <c r="L803" s="11">
        <v>31.9</v>
      </c>
      <c r="M803" s="10">
        <v>305</v>
      </c>
      <c r="N803" s="10">
        <f>IF(Tabela1610[[#This Row],[Payroll]]="",#N/A,AVERAGE(M801:M803))</f>
        <v>243.33333333333334</v>
      </c>
      <c r="O803" s="10">
        <v>4914</v>
      </c>
      <c r="P803" s="7">
        <f>IF(Tabela1610[[#This Row],[JOLTS]]="",#N/A,Tabela1610[[#This Row],[JOLTS]]/Tabela1610[[#This Row],[Unemployment Level]])</f>
        <v>0.53055495573310296</v>
      </c>
    </row>
    <row r="804" spans="1:16">
      <c r="A804" s="6">
        <v>41913</v>
      </c>
      <c r="B804" s="11">
        <v>5.7</v>
      </c>
      <c r="C804" s="11">
        <f>IF(Tabela1610[[#This Row],[Unemployment Rate]]="",#N/A,AVERAGE(B792:B804))</f>
        <v>6.4076923076923089</v>
      </c>
      <c r="D804" s="10">
        <v>8990</v>
      </c>
      <c r="E804" s="11">
        <v>62.9</v>
      </c>
      <c r="F804" s="11">
        <v>2.0340400000000001</v>
      </c>
      <c r="G804" s="11">
        <v>2.8</v>
      </c>
      <c r="H804" s="55">
        <v>13550.7</v>
      </c>
      <c r="I804" s="56">
        <f>IF(Tabela1610[[#This Row],[Real Disposable Income (RDI)]]="",#N/A,((Tabela1610[[#This Row],[Real Disposable Income (RDI)]]*1)/H803)-1)</f>
        <v>4.7752163306467033E-3</v>
      </c>
      <c r="J804" s="56">
        <f>IF(Tabela1610[[#This Row],[Real Disposable Income (RDI)]]="",#N/A,((Tabela1610[[#This Row],[Real Disposable Income (RDI)]]*1)/H792)-1)</f>
        <v>4.4402139564996279E-2</v>
      </c>
      <c r="K804" s="10">
        <v>291000</v>
      </c>
      <c r="L804" s="11">
        <v>32.299999999999997</v>
      </c>
      <c r="M804" s="10">
        <v>242</v>
      </c>
      <c r="N804" s="10">
        <f>IF(Tabela1610[[#This Row],[Payroll]]="",#N/A,AVERAGE(M802:M804))</f>
        <v>243</v>
      </c>
      <c r="O804" s="10">
        <v>5012</v>
      </c>
      <c r="P804" s="7">
        <f>IF(Tabela1610[[#This Row],[JOLTS]]="",#N/A,Tabela1610[[#This Row],[JOLTS]]/Tabela1610[[#This Row],[Unemployment Level]])</f>
        <v>0.55750834260289206</v>
      </c>
    </row>
    <row r="805" spans="1:16">
      <c r="A805" s="6">
        <v>41944</v>
      </c>
      <c r="B805" s="11">
        <v>5.8</v>
      </c>
      <c r="C805" s="11">
        <f>IF(Tabela1610[[#This Row],[Unemployment Rate]]="",#N/A,AVERAGE(B793:B805))</f>
        <v>6.3000000000000007</v>
      </c>
      <c r="D805" s="10">
        <v>9090</v>
      </c>
      <c r="E805" s="11">
        <v>62.9</v>
      </c>
      <c r="F805" s="11">
        <v>2.0695399999999999</v>
      </c>
      <c r="G805" s="11">
        <v>2.9</v>
      </c>
      <c r="H805" s="55">
        <v>13624.4</v>
      </c>
      <c r="I805" s="56">
        <f>IF(Tabela1610[[#This Row],[Real Disposable Income (RDI)]]="",#N/A,((Tabela1610[[#This Row],[Real Disposable Income (RDI)]]*1)/H804)-1)</f>
        <v>5.4388334181996179E-3</v>
      </c>
      <c r="J805" s="56">
        <f>IF(Tabela1610[[#This Row],[Real Disposable Income (RDI)]]="",#N/A,((Tabela1610[[#This Row],[Real Disposable Income (RDI)]]*1)/H793)-1)</f>
        <v>4.8119456261683791E-2</v>
      </c>
      <c r="K805" s="10">
        <v>291000</v>
      </c>
      <c r="L805" s="11">
        <v>32.700000000000003</v>
      </c>
      <c r="M805" s="10">
        <v>284</v>
      </c>
      <c r="N805" s="10">
        <f>IF(Tabela1610[[#This Row],[Payroll]]="",#N/A,AVERAGE(M803:M805))</f>
        <v>277</v>
      </c>
      <c r="O805" s="10">
        <v>4843</v>
      </c>
      <c r="P805" s="7">
        <f>IF(Tabela1610[[#This Row],[JOLTS]]="",#N/A,Tabela1610[[#This Row],[JOLTS]]/Tabela1610[[#This Row],[Unemployment Level]])</f>
        <v>0.53278327832783279</v>
      </c>
    </row>
    <row r="806" spans="1:16">
      <c r="A806" s="6">
        <v>41974</v>
      </c>
      <c r="B806" s="11">
        <v>5.6</v>
      </c>
      <c r="C806" s="11">
        <f>IF(Tabela1610[[#This Row],[Unemployment Rate]]="",#N/A,AVERAGE(B794:B806))</f>
        <v>6.1999999999999993</v>
      </c>
      <c r="D806" s="10">
        <v>8717</v>
      </c>
      <c r="E806" s="11">
        <v>62.8</v>
      </c>
      <c r="F806" s="11">
        <v>1.81969</v>
      </c>
      <c r="G806" s="11">
        <v>2.9</v>
      </c>
      <c r="H806" s="55">
        <v>13719.1</v>
      </c>
      <c r="I806" s="56">
        <f>IF(Tabela1610[[#This Row],[Real Disposable Income (RDI)]]="",#N/A,((Tabela1610[[#This Row],[Real Disposable Income (RDI)]]*1)/H805)-1)</f>
        <v>6.950764804321663E-3</v>
      </c>
      <c r="J806" s="56">
        <f>IF(Tabela1610[[#This Row],[Real Disposable Income (RDI)]]="",#N/A,((Tabela1610[[#This Row],[Real Disposable Income (RDI)]]*1)/H794)-1)</f>
        <v>5.376715748400418E-2</v>
      </c>
      <c r="K806" s="10">
        <v>285000</v>
      </c>
      <c r="L806" s="11">
        <v>32.700000000000003</v>
      </c>
      <c r="M806" s="10">
        <v>277</v>
      </c>
      <c r="N806" s="10">
        <f>IF(Tabela1610[[#This Row],[Payroll]]="",#N/A,AVERAGE(M804:M806))</f>
        <v>267.66666666666669</v>
      </c>
      <c r="O806" s="10">
        <v>5130</v>
      </c>
      <c r="P806" s="7">
        <f>IF(Tabela1610[[#This Row],[JOLTS]]="",#N/A,Tabela1610[[#This Row],[JOLTS]]/Tabela1610[[#This Row],[Unemployment Level]])</f>
        <v>0.58850521968567171</v>
      </c>
    </row>
    <row r="807" spans="1:16">
      <c r="A807" s="6">
        <v>42005</v>
      </c>
      <c r="B807" s="11">
        <v>5.7</v>
      </c>
      <c r="C807" s="11">
        <f>IF(Tabela1610[[#This Row],[Unemployment Rate]]="",#N/A,AVERAGE(B795:B807))</f>
        <v>6.1230769230769235</v>
      </c>
      <c r="D807" s="10">
        <v>8885</v>
      </c>
      <c r="E807" s="11">
        <v>62.9</v>
      </c>
      <c r="F807" s="11">
        <v>2.1461000000000001</v>
      </c>
      <c r="G807" s="11">
        <v>3</v>
      </c>
      <c r="H807" s="55">
        <v>13797.7</v>
      </c>
      <c r="I807" s="56">
        <f>IF(Tabela1610[[#This Row],[Real Disposable Income (RDI)]]="",#N/A,((Tabela1610[[#This Row],[Real Disposable Income (RDI)]]*1)/H806)-1)</f>
        <v>5.7292387984635429E-3</v>
      </c>
      <c r="J807" s="56">
        <f>IF(Tabela1610[[#This Row],[Real Disposable Income (RDI)]]="",#N/A,((Tabela1610[[#This Row],[Real Disposable Income (RDI)]]*1)/H795)-1)</f>
        <v>5.4910355900454899E-2</v>
      </c>
      <c r="K807" s="10">
        <v>281000</v>
      </c>
      <c r="L807" s="11">
        <v>32</v>
      </c>
      <c r="M807" s="10">
        <v>196</v>
      </c>
      <c r="N807" s="10">
        <f>IF(Tabela1610[[#This Row],[Payroll]]="",#N/A,AVERAGE(M805:M807))</f>
        <v>252.33333333333334</v>
      </c>
      <c r="O807" s="10">
        <v>5344</v>
      </c>
      <c r="P807" s="7">
        <f>IF(Tabela1610[[#This Row],[JOLTS]]="",#N/A,Tabela1610[[#This Row],[JOLTS]]/Tabela1610[[#This Row],[Unemployment Level]])</f>
        <v>0.6014631401238042</v>
      </c>
    </row>
    <row r="808" spans="1:16">
      <c r="A808" s="6">
        <v>42036</v>
      </c>
      <c r="B808" s="11">
        <v>5.5</v>
      </c>
      <c r="C808" s="11">
        <f>IF(Tabela1610[[#This Row],[Unemployment Rate]]="",#N/A,AVERAGE(B796:B808))</f>
        <v>6.0384615384615383</v>
      </c>
      <c r="D808" s="10">
        <v>8599</v>
      </c>
      <c r="E808" s="11">
        <v>62.7</v>
      </c>
      <c r="F808" s="11">
        <v>1.8906700000000001</v>
      </c>
      <c r="G808" s="11">
        <v>3</v>
      </c>
      <c r="H808" s="55">
        <v>13848</v>
      </c>
      <c r="I808" s="56">
        <f>IF(Tabela1610[[#This Row],[Real Disposable Income (RDI)]]="",#N/A,((Tabela1610[[#This Row],[Real Disposable Income (RDI)]]*1)/H807)-1)</f>
        <v>3.6455351254194301E-3</v>
      </c>
      <c r="J808" s="56">
        <f>IF(Tabela1610[[#This Row],[Real Disposable Income (RDI)]]="",#N/A,((Tabela1610[[#This Row],[Real Disposable Income (RDI)]]*1)/H796)-1)</f>
        <v>5.3240036507453681E-2</v>
      </c>
      <c r="K808" s="10">
        <v>317000</v>
      </c>
      <c r="L808" s="11">
        <v>31.2</v>
      </c>
      <c r="M808" s="10">
        <v>267</v>
      </c>
      <c r="N808" s="10">
        <f>IF(Tabela1610[[#This Row],[Payroll]]="",#N/A,AVERAGE(M806:M808))</f>
        <v>246.66666666666666</v>
      </c>
      <c r="O808" s="10">
        <v>5466</v>
      </c>
      <c r="P808" s="7">
        <f>IF(Tabela1610[[#This Row],[JOLTS]]="",#N/A,Tabela1610[[#This Row],[JOLTS]]/Tabela1610[[#This Row],[Unemployment Level]])</f>
        <v>0.63565530875683218</v>
      </c>
    </row>
    <row r="809" spans="1:16">
      <c r="A809" s="6">
        <v>42064</v>
      </c>
      <c r="B809" s="11">
        <v>5.4</v>
      </c>
      <c r="C809" s="11">
        <f>IF(Tabela1610[[#This Row],[Unemployment Rate]]="",#N/A,AVERAGE(B797:B809))</f>
        <v>5.9384615384615387</v>
      </c>
      <c r="D809" s="10">
        <v>8515</v>
      </c>
      <c r="E809" s="11">
        <v>62.6</v>
      </c>
      <c r="F809" s="11">
        <v>2.2203900000000001</v>
      </c>
      <c r="G809" s="11">
        <v>3.2</v>
      </c>
      <c r="H809" s="55">
        <v>13811.3</v>
      </c>
      <c r="I809" s="56">
        <f>IF(Tabela1610[[#This Row],[Real Disposable Income (RDI)]]="",#N/A,((Tabela1610[[#This Row],[Real Disposable Income (RDI)]]*1)/H808)-1)</f>
        <v>-2.6502021952629073E-3</v>
      </c>
      <c r="J809" s="56">
        <f>IF(Tabela1610[[#This Row],[Real Disposable Income (RDI)]]="",#N/A,((Tabela1610[[#This Row],[Real Disposable Income (RDI)]]*1)/H797)-1)</f>
        <v>4.4735588015037964E-2</v>
      </c>
      <c r="K809" s="10">
        <v>269000</v>
      </c>
      <c r="L809" s="11">
        <v>30.5</v>
      </c>
      <c r="M809" s="10">
        <v>95</v>
      </c>
      <c r="N809" s="10">
        <f>IF(Tabela1610[[#This Row],[Payroll]]="",#N/A,AVERAGE(M807:M809))</f>
        <v>186</v>
      </c>
      <c r="O809" s="10">
        <v>5210</v>
      </c>
      <c r="P809" s="7">
        <f>IF(Tabela1610[[#This Row],[JOLTS]]="",#N/A,Tabela1610[[#This Row],[JOLTS]]/Tabela1610[[#This Row],[Unemployment Level]])</f>
        <v>0.61186142102172636</v>
      </c>
    </row>
    <row r="810" spans="1:16">
      <c r="A810" s="6">
        <v>42095</v>
      </c>
      <c r="B810" s="11">
        <v>5.4</v>
      </c>
      <c r="C810" s="11">
        <f>IF(Tabela1610[[#This Row],[Unemployment Rate]]="",#N/A,AVERAGE(B798:B810))</f>
        <v>5.838461538461539</v>
      </c>
      <c r="D810" s="10">
        <v>8550</v>
      </c>
      <c r="E810" s="11">
        <v>62.8</v>
      </c>
      <c r="F810" s="11">
        <v>2.2596500000000002</v>
      </c>
      <c r="G810" s="11">
        <v>3.3</v>
      </c>
      <c r="H810" s="55">
        <v>13842</v>
      </c>
      <c r="I810" s="56">
        <f>IF(Tabela1610[[#This Row],[Real Disposable Income (RDI)]]="",#N/A,((Tabela1610[[#This Row],[Real Disposable Income (RDI)]]*1)/H809)-1)</f>
        <v>2.2228175479499512E-3</v>
      </c>
      <c r="J810" s="56">
        <f>IF(Tabela1610[[#This Row],[Real Disposable Income (RDI)]]="",#N/A,((Tabela1610[[#This Row],[Real Disposable Income (RDI)]]*1)/H798)-1)</f>
        <v>4.3089026540670039E-2</v>
      </c>
      <c r="K810" s="10">
        <v>269000</v>
      </c>
      <c r="L810" s="11">
        <v>30.9</v>
      </c>
      <c r="M810" s="10">
        <v>278</v>
      </c>
      <c r="N810" s="10">
        <f>IF(Tabela1610[[#This Row],[Payroll]]="",#N/A,AVERAGE(M808:M810))</f>
        <v>213.33333333333334</v>
      </c>
      <c r="O810" s="10">
        <v>5598</v>
      </c>
      <c r="P810" s="7">
        <f>IF(Tabela1610[[#This Row],[JOLTS]]="",#N/A,Tabela1610[[#This Row],[JOLTS]]/Tabela1610[[#This Row],[Unemployment Level]])</f>
        <v>0.65473684210526317</v>
      </c>
    </row>
    <row r="811" spans="1:16">
      <c r="A811" s="6">
        <v>42125</v>
      </c>
      <c r="B811" s="11">
        <v>5.6</v>
      </c>
      <c r="C811" s="11">
        <f>IF(Tabela1610[[#This Row],[Unemployment Rate]]="",#N/A,AVERAGE(B799:B811))</f>
        <v>5.7923076923076922</v>
      </c>
      <c r="D811" s="10">
        <v>8834</v>
      </c>
      <c r="E811" s="11">
        <v>62.9</v>
      </c>
      <c r="F811" s="11">
        <v>2.3360699999999999</v>
      </c>
      <c r="G811" s="11">
        <v>3.3</v>
      </c>
      <c r="H811" s="55">
        <v>13865.6</v>
      </c>
      <c r="I811" s="56">
        <f>IF(Tabela1610[[#This Row],[Real Disposable Income (RDI)]]="",#N/A,((Tabela1610[[#This Row],[Real Disposable Income (RDI)]]*1)/H810)-1)</f>
        <v>1.7049559312238838E-3</v>
      </c>
      <c r="J811" s="56">
        <f>IF(Tabela1610[[#This Row],[Real Disposable Income (RDI)]]="",#N/A,((Tabela1610[[#This Row],[Real Disposable Income (RDI)]]*1)/H799)-1)</f>
        <v>4.1516123459201193E-2</v>
      </c>
      <c r="K811" s="10">
        <v>275000</v>
      </c>
      <c r="L811" s="11">
        <v>30.7</v>
      </c>
      <c r="M811" s="10">
        <v>338</v>
      </c>
      <c r="N811" s="10">
        <f>IF(Tabela1610[[#This Row],[Payroll]]="",#N/A,AVERAGE(M809:M811))</f>
        <v>237</v>
      </c>
      <c r="O811" s="10">
        <v>5563</v>
      </c>
      <c r="P811" s="7">
        <f>IF(Tabela1610[[#This Row],[JOLTS]]="",#N/A,Tabela1610[[#This Row],[JOLTS]]/Tabela1610[[#This Row],[Unemployment Level]])</f>
        <v>0.62972605841068596</v>
      </c>
    </row>
    <row r="812" spans="1:16">
      <c r="A812" s="6">
        <v>42156</v>
      </c>
      <c r="B812" s="11">
        <v>5.3</v>
      </c>
      <c r="C812" s="11">
        <f>IF(Tabela1610[[#This Row],[Unemployment Rate]]="",#N/A,AVERAGE(B800:B812))</f>
        <v>5.7153846153846155</v>
      </c>
      <c r="D812" s="10">
        <v>8247</v>
      </c>
      <c r="E812" s="11">
        <v>62.7</v>
      </c>
      <c r="F812" s="11">
        <v>2.0850399999999998</v>
      </c>
      <c r="G812" s="11">
        <v>3.2</v>
      </c>
      <c r="H812" s="55">
        <v>13874.1</v>
      </c>
      <c r="I812" s="56">
        <f>IF(Tabela1610[[#This Row],[Real Disposable Income (RDI)]]="",#N/A,((Tabela1610[[#This Row],[Real Disposable Income (RDI)]]*1)/H811)-1)</f>
        <v>6.1302792522499594E-4</v>
      </c>
      <c r="J812" s="56">
        <f>IF(Tabela1610[[#This Row],[Real Disposable Income (RDI)]]="",#N/A,((Tabela1610[[#This Row],[Real Disposable Income (RDI)]]*1)/H800)-1)</f>
        <v>3.8449447621328847E-2</v>
      </c>
      <c r="K812" s="10">
        <v>275000</v>
      </c>
      <c r="L812" s="11">
        <v>28.4</v>
      </c>
      <c r="M812" s="10">
        <v>155</v>
      </c>
      <c r="N812" s="10">
        <f>IF(Tabela1610[[#This Row],[Payroll]]="",#N/A,AVERAGE(M810:M812))</f>
        <v>257</v>
      </c>
      <c r="O812" s="10">
        <v>5248</v>
      </c>
      <c r="P812" s="7">
        <f>IF(Tabela1610[[#This Row],[JOLTS]]="",#N/A,Tabela1610[[#This Row],[JOLTS]]/Tabela1610[[#This Row],[Unemployment Level]])</f>
        <v>0.63635261307141988</v>
      </c>
    </row>
    <row r="813" spans="1:16">
      <c r="A813" s="6">
        <v>42186</v>
      </c>
      <c r="B813" s="11">
        <v>5.2</v>
      </c>
      <c r="C813" s="11">
        <f>IF(Tabela1610[[#This Row],[Unemployment Rate]]="",#N/A,AVERAGE(B801:B813))</f>
        <v>5.6461538461538465</v>
      </c>
      <c r="D813" s="10">
        <v>8167</v>
      </c>
      <c r="E813" s="11">
        <v>62.6</v>
      </c>
      <c r="F813" s="11">
        <v>2.12418</v>
      </c>
      <c r="G813" s="11">
        <v>3.1</v>
      </c>
      <c r="H813" s="55">
        <v>13905.7</v>
      </c>
      <c r="I813" s="56">
        <f>IF(Tabela1610[[#This Row],[Real Disposable Income (RDI)]]="",#N/A,((Tabela1610[[#This Row],[Real Disposable Income (RDI)]]*1)/H812)-1)</f>
        <v>2.2776252153293708E-3</v>
      </c>
      <c r="J813" s="56">
        <f>IF(Tabela1610[[#This Row],[Real Disposable Income (RDI)]]="",#N/A,((Tabela1610[[#This Row],[Real Disposable Income (RDI)]]*1)/H801)-1)</f>
        <v>3.8762064122867423E-2</v>
      </c>
      <c r="K813" s="10">
        <v>269000</v>
      </c>
      <c r="L813" s="11">
        <v>28.1</v>
      </c>
      <c r="M813" s="10">
        <v>294</v>
      </c>
      <c r="N813" s="10">
        <f>IF(Tabela1610[[#This Row],[Payroll]]="",#N/A,AVERAGE(M811:M813))</f>
        <v>262.33333333333331</v>
      </c>
      <c r="O813" s="10">
        <v>6056</v>
      </c>
      <c r="P813" s="7">
        <f>IF(Tabela1610[[#This Row],[JOLTS]]="",#N/A,Tabela1610[[#This Row],[JOLTS]]/Tabela1610[[#This Row],[Unemployment Level]])</f>
        <v>0.74152075425492836</v>
      </c>
    </row>
    <row r="814" spans="1:16">
      <c r="A814" s="6">
        <v>42217</v>
      </c>
      <c r="B814" s="11">
        <v>5.0999999999999996</v>
      </c>
      <c r="C814" s="11">
        <f>IF(Tabela1610[[#This Row],[Unemployment Rate]]="",#N/A,AVERAGE(B802:B814))</f>
        <v>5.5615384615384613</v>
      </c>
      <c r="D814" s="10">
        <v>7992</v>
      </c>
      <c r="E814" s="11">
        <v>62.6</v>
      </c>
      <c r="F814" s="11">
        <v>2.2412399999999999</v>
      </c>
      <c r="G814" s="11">
        <v>3.1</v>
      </c>
      <c r="H814" s="55">
        <v>13935.8</v>
      </c>
      <c r="I814" s="56">
        <f>IF(Tabela1610[[#This Row],[Real Disposable Income (RDI)]]="",#N/A,((Tabela1610[[#This Row],[Real Disposable Income (RDI)]]*1)/H813)-1)</f>
        <v>2.1645799923770692E-3</v>
      </c>
      <c r="J814" s="56">
        <f>IF(Tabela1610[[#This Row],[Real Disposable Income (RDI)]]="",#N/A,((Tabela1610[[#This Row],[Real Disposable Income (RDI)]]*1)/H802)-1)</f>
        <v>3.6434898370506952E-2</v>
      </c>
      <c r="K814" s="10">
        <v>279000</v>
      </c>
      <c r="L814" s="11">
        <v>28.4</v>
      </c>
      <c r="M814" s="10">
        <v>141</v>
      </c>
      <c r="N814" s="10">
        <f>IF(Tabela1610[[#This Row],[Payroll]]="",#N/A,AVERAGE(M812:M814))</f>
        <v>196.66666666666666</v>
      </c>
      <c r="O814" s="10">
        <v>5467</v>
      </c>
      <c r="P814" s="7">
        <f>IF(Tabela1610[[#This Row],[JOLTS]]="",#N/A,Tabela1610[[#This Row],[JOLTS]]/Tabela1610[[#This Row],[Unemployment Level]])</f>
        <v>0.68405905905905906</v>
      </c>
    </row>
    <row r="815" spans="1:16">
      <c r="A815" s="6">
        <v>42248</v>
      </c>
      <c r="B815" s="11">
        <v>5</v>
      </c>
      <c r="C815" s="11">
        <f>IF(Tabela1610[[#This Row],[Unemployment Rate]]="",#N/A,AVERAGE(B803:B815))</f>
        <v>5.476923076923077</v>
      </c>
      <c r="D815" s="10">
        <v>7907</v>
      </c>
      <c r="E815" s="11">
        <v>62.4</v>
      </c>
      <c r="F815" s="11">
        <v>2.2810600000000001</v>
      </c>
      <c r="G815" s="11">
        <v>3</v>
      </c>
      <c r="H815" s="55">
        <v>13972.2</v>
      </c>
      <c r="I815" s="56">
        <f>IF(Tabela1610[[#This Row],[Real Disposable Income (RDI)]]="",#N/A,((Tabela1610[[#This Row],[Real Disposable Income (RDI)]]*1)/H814)-1)</f>
        <v>2.6119777838373714E-3</v>
      </c>
      <c r="J815" s="56">
        <f>IF(Tabela1610[[#This Row],[Real Disposable Income (RDI)]]="",#N/A,((Tabela1610[[#This Row],[Real Disposable Income (RDI)]]*1)/H803)-1)</f>
        <v>3.6029155513372935E-2</v>
      </c>
      <c r="K815" s="10">
        <v>272000</v>
      </c>
      <c r="L815" s="11">
        <v>25.7</v>
      </c>
      <c r="M815" s="10">
        <v>135</v>
      </c>
      <c r="N815" s="10">
        <f>IF(Tabela1610[[#This Row],[Payroll]]="",#N/A,AVERAGE(M813:M815))</f>
        <v>190</v>
      </c>
      <c r="O815" s="10">
        <v>5488</v>
      </c>
      <c r="P815" s="7">
        <f>IF(Tabela1610[[#This Row],[JOLTS]]="",#N/A,Tabela1610[[#This Row],[JOLTS]]/Tabela1610[[#This Row],[Unemployment Level]])</f>
        <v>0.69406854685721509</v>
      </c>
    </row>
    <row r="816" spans="1:16">
      <c r="A816" s="6">
        <v>42278</v>
      </c>
      <c r="B816" s="11">
        <v>5</v>
      </c>
      <c r="C816" s="11">
        <f>IF(Tabela1610[[#This Row],[Unemployment Rate]]="",#N/A,AVERAGE(B804:B816))</f>
        <v>5.4076923076923089</v>
      </c>
      <c r="D816" s="10">
        <v>7922</v>
      </c>
      <c r="E816" s="11">
        <v>62.5</v>
      </c>
      <c r="F816" s="11">
        <v>2.48169</v>
      </c>
      <c r="G816" s="11">
        <v>2.9</v>
      </c>
      <c r="H816" s="55">
        <v>13996.9</v>
      </c>
      <c r="I816" s="56">
        <f>IF(Tabela1610[[#This Row],[Real Disposable Income (RDI)]]="",#N/A,((Tabela1610[[#This Row],[Real Disposable Income (RDI)]]*1)/H815)-1)</f>
        <v>1.7677960521607083E-3</v>
      </c>
      <c r="J816" s="56">
        <f>IF(Tabela1610[[#This Row],[Real Disposable Income (RDI)]]="",#N/A,((Tabela1610[[#This Row],[Real Disposable Income (RDI)]]*1)/H804)-1)</f>
        <v>3.2928188211678977E-2</v>
      </c>
      <c r="K816" s="10">
        <v>275000</v>
      </c>
      <c r="L816" s="11">
        <v>27.5</v>
      </c>
      <c r="M816" s="10">
        <v>320</v>
      </c>
      <c r="N816" s="10">
        <f>IF(Tabela1610[[#This Row],[Payroll]]="",#N/A,AVERAGE(M814:M816))</f>
        <v>198.66666666666666</v>
      </c>
      <c r="O816" s="10">
        <v>5773</v>
      </c>
      <c r="P816" s="7">
        <f>IF(Tabela1610[[#This Row],[JOLTS]]="",#N/A,Tabela1610[[#This Row],[JOLTS]]/Tabela1610[[#This Row],[Unemployment Level]])</f>
        <v>0.72873011865690485</v>
      </c>
    </row>
    <row r="817" spans="1:16">
      <c r="A817" s="6">
        <v>42309</v>
      </c>
      <c r="B817" s="11">
        <v>5.0999999999999996</v>
      </c>
      <c r="C817" s="11">
        <f>IF(Tabela1610[[#This Row],[Unemployment Rate]]="",#N/A,AVERAGE(B805:B817))</f>
        <v>5.3615384615384603</v>
      </c>
      <c r="D817" s="10">
        <v>8000</v>
      </c>
      <c r="E817" s="11">
        <v>62.5</v>
      </c>
      <c r="F817" s="11">
        <v>2.3925399999999999</v>
      </c>
      <c r="G817" s="11">
        <v>3.1</v>
      </c>
      <c r="H817" s="55">
        <v>13993.4</v>
      </c>
      <c r="I817" s="56">
        <f>IF(Tabela1610[[#This Row],[Real Disposable Income (RDI)]]="",#N/A,((Tabela1610[[#This Row],[Real Disposable Income (RDI)]]*1)/H816)-1)</f>
        <v>-2.5005536940325701E-4</v>
      </c>
      <c r="J817" s="56">
        <f>IF(Tabela1610[[#This Row],[Real Disposable Income (RDI)]]="",#N/A,((Tabela1610[[#This Row],[Real Disposable Income (RDI)]]*1)/H805)-1)</f>
        <v>2.7083761486744296E-2</v>
      </c>
      <c r="K817" s="10">
        <v>265000</v>
      </c>
      <c r="L817" s="11">
        <v>27.9</v>
      </c>
      <c r="M817" s="10">
        <v>225</v>
      </c>
      <c r="N817" s="10">
        <f>IF(Tabela1610[[#This Row],[Payroll]]="",#N/A,AVERAGE(M815:M817))</f>
        <v>226.66666666666666</v>
      </c>
      <c r="O817" s="10">
        <v>5708</v>
      </c>
      <c r="P817" s="7">
        <f>IF(Tabela1610[[#This Row],[JOLTS]]="",#N/A,Tabela1610[[#This Row],[JOLTS]]/Tabela1610[[#This Row],[Unemployment Level]])</f>
        <v>0.71350000000000002</v>
      </c>
    </row>
    <row r="818" spans="1:16">
      <c r="A818" s="6">
        <v>42339</v>
      </c>
      <c r="B818" s="11">
        <v>5</v>
      </c>
      <c r="C818" s="11">
        <f>IF(Tabela1610[[#This Row],[Unemployment Rate]]="",#N/A,AVERAGE(B806:B818))</f>
        <v>5.3000000000000007</v>
      </c>
      <c r="D818" s="10">
        <v>7907</v>
      </c>
      <c r="E818" s="11">
        <v>62.7</v>
      </c>
      <c r="F818" s="11">
        <v>2.5182799999999999</v>
      </c>
      <c r="G818" s="11">
        <v>3.1</v>
      </c>
      <c r="H818" s="55">
        <v>14060.2</v>
      </c>
      <c r="I818" s="56">
        <f>IF(Tabela1610[[#This Row],[Real Disposable Income (RDI)]]="",#N/A,((Tabela1610[[#This Row],[Real Disposable Income (RDI)]]*1)/H817)-1)</f>
        <v>4.7736790201096113E-3</v>
      </c>
      <c r="J818" s="56">
        <f>IF(Tabela1610[[#This Row],[Real Disposable Income (RDI)]]="",#N/A,((Tabela1610[[#This Row],[Real Disposable Income (RDI)]]*1)/H806)-1)</f>
        <v>2.4863146999438701E-2</v>
      </c>
      <c r="K818" s="10">
        <v>276000</v>
      </c>
      <c r="L818" s="11">
        <v>27.9</v>
      </c>
      <c r="M818" s="10">
        <v>273</v>
      </c>
      <c r="N818" s="10">
        <f>IF(Tabela1610[[#This Row],[Payroll]]="",#N/A,AVERAGE(M816:M818))</f>
        <v>272.66666666666669</v>
      </c>
      <c r="O818" s="10">
        <v>5845</v>
      </c>
      <c r="P818" s="7">
        <f>IF(Tabela1610[[#This Row],[JOLTS]]="",#N/A,Tabela1610[[#This Row],[JOLTS]]/Tabela1610[[#This Row],[Unemployment Level]])</f>
        <v>0.73921841406348809</v>
      </c>
    </row>
    <row r="819" spans="1:16">
      <c r="A819" s="6">
        <v>42370</v>
      </c>
      <c r="B819" s="11">
        <v>4.8</v>
      </c>
      <c r="C819" s="11">
        <f>IF(Tabela1610[[#This Row],[Unemployment Rate]]="",#N/A,AVERAGE(B807:B819))</f>
        <v>5.2384615384615394</v>
      </c>
      <c r="D819" s="10">
        <v>7627</v>
      </c>
      <c r="E819" s="11">
        <v>62.7</v>
      </c>
      <c r="F819" s="11">
        <v>2.5454500000000002</v>
      </c>
      <c r="G819" s="11">
        <v>3.1</v>
      </c>
      <c r="H819" s="55">
        <v>14121.1</v>
      </c>
      <c r="I819" s="56">
        <f>IF(Tabela1610[[#This Row],[Real Disposable Income (RDI)]]="",#N/A,((Tabela1610[[#This Row],[Real Disposable Income (RDI)]]*1)/H818)-1)</f>
        <v>4.3313750871254442E-3</v>
      </c>
      <c r="J819" s="56">
        <f>IF(Tabela1610[[#This Row],[Real Disposable Income (RDI)]]="",#N/A,((Tabela1610[[#This Row],[Real Disposable Income (RDI)]]*1)/H807)-1)</f>
        <v>2.3438689056871853E-2</v>
      </c>
      <c r="K819" s="10">
        <v>282000</v>
      </c>
      <c r="L819" s="11">
        <v>29.1</v>
      </c>
      <c r="M819" s="10">
        <v>115</v>
      </c>
      <c r="N819" s="10">
        <f>IF(Tabela1610[[#This Row],[Payroll]]="",#N/A,AVERAGE(M817:M819))</f>
        <v>204.33333333333334</v>
      </c>
      <c r="O819" s="10">
        <v>6012</v>
      </c>
      <c r="P819" s="7">
        <f>IF(Tabela1610[[#This Row],[JOLTS]]="",#N/A,Tabela1610[[#This Row],[JOLTS]]/Tabela1610[[#This Row],[Unemployment Level]])</f>
        <v>0.7882522617018487</v>
      </c>
    </row>
    <row r="820" spans="1:16">
      <c r="A820" s="6">
        <v>42401</v>
      </c>
      <c r="B820" s="11">
        <v>4.9000000000000004</v>
      </c>
      <c r="C820" s="11">
        <f>IF(Tabela1610[[#This Row],[Unemployment Rate]]="",#N/A,AVERAGE(B808:B820))</f>
        <v>5.1769230769230763</v>
      </c>
      <c r="D820" s="10">
        <v>7702</v>
      </c>
      <c r="E820" s="11">
        <v>62.8</v>
      </c>
      <c r="F820" s="11">
        <v>2.3799899999999998</v>
      </c>
      <c r="G820" s="11">
        <v>3.2</v>
      </c>
      <c r="H820" s="55">
        <v>14135.3</v>
      </c>
      <c r="I820" s="56">
        <f>IF(Tabela1610[[#This Row],[Real Disposable Income (RDI)]]="",#N/A,((Tabela1610[[#This Row],[Real Disposable Income (RDI)]]*1)/H819)-1)</f>
        <v>1.0055873834191598E-3</v>
      </c>
      <c r="J820" s="56">
        <f>IF(Tabela1610[[#This Row],[Real Disposable Income (RDI)]]="",#N/A,((Tabela1610[[#This Row],[Real Disposable Income (RDI)]]*1)/H808)-1)</f>
        <v>2.0746678220681547E-2</v>
      </c>
      <c r="K820" s="10">
        <v>269000</v>
      </c>
      <c r="L820" s="11">
        <v>29.4</v>
      </c>
      <c r="M820" s="10">
        <v>212</v>
      </c>
      <c r="N820" s="10">
        <f>IF(Tabela1610[[#This Row],[Payroll]]="",#N/A,AVERAGE(M818:M820))</f>
        <v>200</v>
      </c>
      <c r="O820" s="10">
        <v>5770</v>
      </c>
      <c r="P820" s="7">
        <f>IF(Tabela1610[[#This Row],[JOLTS]]="",#N/A,Tabela1610[[#This Row],[JOLTS]]/Tabela1610[[#This Row],[Unemployment Level]])</f>
        <v>0.74915606336016616</v>
      </c>
    </row>
    <row r="821" spans="1:16">
      <c r="A821" s="6">
        <v>42430</v>
      </c>
      <c r="B821" s="11">
        <v>5</v>
      </c>
      <c r="C821" s="11">
        <f>IF(Tabela1610[[#This Row],[Unemployment Rate]]="",#N/A,AVERAGE(B809:B821))</f>
        <v>5.138461538461538</v>
      </c>
      <c r="D821" s="10">
        <v>7961</v>
      </c>
      <c r="E821" s="11">
        <v>63</v>
      </c>
      <c r="F821" s="11">
        <v>2.3732899999999999</v>
      </c>
      <c r="G821" s="11">
        <v>3.2</v>
      </c>
      <c r="H821" s="55">
        <v>14135.4</v>
      </c>
      <c r="I821" s="56">
        <f>IF(Tabela1610[[#This Row],[Real Disposable Income (RDI)]]="",#N/A,((Tabela1610[[#This Row],[Real Disposable Income (RDI)]]*1)/H820)-1)</f>
        <v>7.0744872766592692E-6</v>
      </c>
      <c r="J821" s="56">
        <f>IF(Tabela1610[[#This Row],[Real Disposable Income (RDI)]]="",#N/A,((Tabela1610[[#This Row],[Real Disposable Income (RDI)]]*1)/H809)-1)</f>
        <v>2.346629209415485E-2</v>
      </c>
      <c r="K821" s="10">
        <v>271000</v>
      </c>
      <c r="L821" s="11">
        <v>28.3</v>
      </c>
      <c r="M821" s="10">
        <v>256</v>
      </c>
      <c r="N821" s="10">
        <f>IF(Tabela1610[[#This Row],[Payroll]]="",#N/A,AVERAGE(M819:M821))</f>
        <v>194.33333333333334</v>
      </c>
      <c r="O821" s="10">
        <v>6129</v>
      </c>
      <c r="P821" s="7">
        <f>IF(Tabela1610[[#This Row],[JOLTS]]="",#N/A,Tabela1610[[#This Row],[JOLTS]]/Tabela1610[[#This Row],[Unemployment Level]])</f>
        <v>0.76987815601055143</v>
      </c>
    </row>
    <row r="822" spans="1:16">
      <c r="A822" s="6">
        <v>42461</v>
      </c>
      <c r="B822" s="11">
        <v>5.0999999999999996</v>
      </c>
      <c r="C822" s="11">
        <f>IF(Tabela1610[[#This Row],[Unemployment Rate]]="",#N/A,AVERAGE(B810:B822))</f>
        <v>5.115384615384615</v>
      </c>
      <c r="D822" s="10">
        <v>8067</v>
      </c>
      <c r="E822" s="11">
        <v>62.9</v>
      </c>
      <c r="F822" s="11">
        <v>2.57131</v>
      </c>
      <c r="G822" s="11">
        <v>3.4</v>
      </c>
      <c r="H822" s="55">
        <v>14106.2</v>
      </c>
      <c r="I822" s="56">
        <f>IF(Tabela1610[[#This Row],[Real Disposable Income (RDI)]]="",#N/A,((Tabela1610[[#This Row],[Real Disposable Income (RDI)]]*1)/H821)-1)</f>
        <v>-2.06573567072732E-3</v>
      </c>
      <c r="J822" s="56">
        <f>IF(Tabela1610[[#This Row],[Real Disposable Income (RDI)]]="",#N/A,((Tabela1610[[#This Row],[Real Disposable Income (RDI)]]*1)/H810)-1)</f>
        <v>1.9086837162259895E-2</v>
      </c>
      <c r="K822" s="10">
        <v>278000</v>
      </c>
      <c r="L822" s="11">
        <v>27.9</v>
      </c>
      <c r="M822" s="10">
        <v>190</v>
      </c>
      <c r="N822" s="10">
        <f>IF(Tabela1610[[#This Row],[Payroll]]="",#N/A,AVERAGE(M820:M822))</f>
        <v>219.33333333333334</v>
      </c>
      <c r="O822" s="10">
        <v>5803</v>
      </c>
      <c r="P822" s="7">
        <f>IF(Tabela1610[[#This Row],[JOLTS]]="",#N/A,Tabela1610[[#This Row],[JOLTS]]/Tabela1610[[#This Row],[Unemployment Level]])</f>
        <v>0.71935044006446014</v>
      </c>
    </row>
    <row r="823" spans="1:16">
      <c r="A823" s="6">
        <v>42491</v>
      </c>
      <c r="B823" s="11">
        <v>4.8</v>
      </c>
      <c r="C823" s="11">
        <f>IF(Tabela1610[[#This Row],[Unemployment Rate]]="",#N/A,AVERAGE(B811:B823))</f>
        <v>5.069230769230769</v>
      </c>
      <c r="D823" s="10">
        <v>7652</v>
      </c>
      <c r="E823" s="11">
        <v>62.7</v>
      </c>
      <c r="F823" s="11">
        <v>2.44293</v>
      </c>
      <c r="G823" s="11">
        <v>3.5</v>
      </c>
      <c r="H823" s="55">
        <v>14095.5</v>
      </c>
      <c r="I823" s="56">
        <f>IF(Tabela1610[[#This Row],[Real Disposable Income (RDI)]]="",#N/A,((Tabela1610[[#This Row],[Real Disposable Income (RDI)]]*1)/H822)-1)</f>
        <v>-7.5853170946116322E-4</v>
      </c>
      <c r="J823" s="56">
        <f>IF(Tabela1610[[#This Row],[Real Disposable Income (RDI)]]="",#N/A,((Tabela1610[[#This Row],[Real Disposable Income (RDI)]]*1)/H811)-1)</f>
        <v>1.6580602354027141E-2</v>
      </c>
      <c r="K823" s="10">
        <v>263000</v>
      </c>
      <c r="L823" s="11">
        <v>26.9</v>
      </c>
      <c r="M823" s="10">
        <v>45</v>
      </c>
      <c r="N823" s="10">
        <f>IF(Tabela1610[[#This Row],[Payroll]]="",#N/A,AVERAGE(M821:M823))</f>
        <v>163.66666666666666</v>
      </c>
      <c r="O823" s="10">
        <v>5777</v>
      </c>
      <c r="P823" s="7">
        <f>IF(Tabela1610[[#This Row],[JOLTS]]="",#N/A,Tabela1610[[#This Row],[JOLTS]]/Tabela1610[[#This Row],[Unemployment Level]])</f>
        <v>0.75496602195504448</v>
      </c>
    </row>
    <row r="824" spans="1:16">
      <c r="A824" s="6">
        <v>42522</v>
      </c>
      <c r="B824" s="11">
        <v>4.9000000000000004</v>
      </c>
      <c r="C824" s="11">
        <f>IF(Tabela1610[[#This Row],[Unemployment Rate]]="",#N/A,AVERAGE(B812:B824))</f>
        <v>5.0153846153846153</v>
      </c>
      <c r="D824" s="10">
        <v>7744</v>
      </c>
      <c r="E824" s="11">
        <v>62.7</v>
      </c>
      <c r="F824" s="11">
        <v>2.6031200000000001</v>
      </c>
      <c r="G824" s="11">
        <v>3.6</v>
      </c>
      <c r="H824" s="55">
        <v>14104.9</v>
      </c>
      <c r="I824" s="56">
        <f>IF(Tabela1610[[#This Row],[Real Disposable Income (RDI)]]="",#N/A,((Tabela1610[[#This Row],[Real Disposable Income (RDI)]]*1)/H823)-1)</f>
        <v>6.668795005497774E-4</v>
      </c>
      <c r="J824" s="56">
        <f>IF(Tabela1610[[#This Row],[Real Disposable Income (RDI)]]="",#N/A,((Tabela1610[[#This Row],[Real Disposable Income (RDI)]]*1)/H812)-1)</f>
        <v>1.6635313281582187E-2</v>
      </c>
      <c r="K824" s="10">
        <v>262000</v>
      </c>
      <c r="L824" s="11">
        <v>28</v>
      </c>
      <c r="M824" s="10">
        <v>251</v>
      </c>
      <c r="N824" s="10">
        <f>IF(Tabela1610[[#This Row],[Payroll]]="",#N/A,AVERAGE(M822:M824))</f>
        <v>162</v>
      </c>
      <c r="O824" s="10">
        <v>5742</v>
      </c>
      <c r="P824" s="7">
        <f>IF(Tabela1610[[#This Row],[JOLTS]]="",#N/A,Tabela1610[[#This Row],[JOLTS]]/Tabela1610[[#This Row],[Unemployment Level]])</f>
        <v>0.74147727272727271</v>
      </c>
    </row>
    <row r="825" spans="1:16">
      <c r="A825" s="6">
        <v>42552</v>
      </c>
      <c r="B825" s="11">
        <v>4.8</v>
      </c>
      <c r="C825" s="11">
        <f>IF(Tabela1610[[#This Row],[Unemployment Rate]]="",#N/A,AVERAGE(B813:B825))</f>
        <v>4.9769230769230761</v>
      </c>
      <c r="D825" s="10">
        <v>7641</v>
      </c>
      <c r="E825" s="11">
        <v>62.8</v>
      </c>
      <c r="F825" s="11">
        <v>2.76</v>
      </c>
      <c r="G825" s="11">
        <v>3.4</v>
      </c>
      <c r="H825" s="55">
        <v>14160.1</v>
      </c>
      <c r="I825" s="56">
        <f>IF(Tabela1610[[#This Row],[Real Disposable Income (RDI)]]="",#N/A,((Tabela1610[[#This Row],[Real Disposable Income (RDI)]]*1)/H824)-1)</f>
        <v>3.9135335947082517E-3</v>
      </c>
      <c r="J825" s="56">
        <f>IF(Tabela1610[[#This Row],[Real Disposable Income (RDI)]]="",#N/A,((Tabela1610[[#This Row],[Real Disposable Income (RDI)]]*1)/H813)-1)</f>
        <v>1.8294656148198252E-2</v>
      </c>
      <c r="K825" s="10">
        <v>266000</v>
      </c>
      <c r="L825" s="11">
        <v>27.8</v>
      </c>
      <c r="M825" s="10">
        <v>363</v>
      </c>
      <c r="N825" s="10">
        <f>IF(Tabela1610[[#This Row],[Payroll]]="",#N/A,AVERAGE(M823:M825))</f>
        <v>219.66666666666666</v>
      </c>
      <c r="O825" s="10">
        <v>5962</v>
      </c>
      <c r="P825" s="7">
        <f>IF(Tabela1610[[#This Row],[JOLTS]]="",#N/A,Tabela1610[[#This Row],[JOLTS]]/Tabela1610[[#This Row],[Unemployment Level]])</f>
        <v>0.78026436330323257</v>
      </c>
    </row>
    <row r="826" spans="1:16">
      <c r="A826" s="6">
        <v>42583</v>
      </c>
      <c r="B826" s="11">
        <v>4.9000000000000004</v>
      </c>
      <c r="C826" s="11">
        <f>IF(Tabela1610[[#This Row],[Unemployment Rate]]="",#N/A,AVERAGE(B814:B826))</f>
        <v>4.9538461538461531</v>
      </c>
      <c r="D826" s="10">
        <v>7784</v>
      </c>
      <c r="E826" s="11">
        <v>62.9</v>
      </c>
      <c r="F826" s="11">
        <v>2.5109599999999999</v>
      </c>
      <c r="G826" s="11">
        <v>3.3</v>
      </c>
      <c r="H826" s="55">
        <v>14176.7</v>
      </c>
      <c r="I826" s="56">
        <f>IF(Tabela1610[[#This Row],[Real Disposable Income (RDI)]]="",#N/A,((Tabela1610[[#This Row],[Real Disposable Income (RDI)]]*1)/H825)-1)</f>
        <v>1.1723081051688844E-3</v>
      </c>
      <c r="J826" s="56">
        <f>IF(Tabela1610[[#This Row],[Real Disposable Income (RDI)]]="",#N/A,((Tabela1610[[#This Row],[Real Disposable Income (RDI)]]*1)/H814)-1)</f>
        <v>1.7286413410066315E-2</v>
      </c>
      <c r="K826" s="10">
        <v>261000</v>
      </c>
      <c r="L826" s="11">
        <v>27.2</v>
      </c>
      <c r="M826" s="10">
        <v>149</v>
      </c>
      <c r="N826" s="10">
        <f>IF(Tabela1610[[#This Row],[Payroll]]="",#N/A,AVERAGE(M824:M826))</f>
        <v>254.33333333333334</v>
      </c>
      <c r="O826" s="10">
        <v>5677</v>
      </c>
      <c r="P826" s="7">
        <f>IF(Tabela1610[[#This Row],[JOLTS]]="",#N/A,Tabela1610[[#This Row],[JOLTS]]/Tabela1610[[#This Row],[Unemployment Level]])</f>
        <v>0.72931654676258995</v>
      </c>
    </row>
    <row r="827" spans="1:16">
      <c r="A827" s="6">
        <v>42614</v>
      </c>
      <c r="B827" s="11">
        <v>5</v>
      </c>
      <c r="C827" s="11">
        <f>IF(Tabela1610[[#This Row],[Unemployment Rate]]="",#N/A,AVERAGE(B815:B827))</f>
        <v>4.9461538461538463</v>
      </c>
      <c r="D827" s="10">
        <v>7953</v>
      </c>
      <c r="E827" s="11">
        <v>62.9</v>
      </c>
      <c r="F827" s="11">
        <v>2.6284299999999998</v>
      </c>
      <c r="G827" s="11">
        <v>3.6</v>
      </c>
      <c r="H827" s="55">
        <v>14209.1</v>
      </c>
      <c r="I827" s="56">
        <f>IF(Tabela1610[[#This Row],[Real Disposable Income (RDI)]]="",#N/A,((Tabela1610[[#This Row],[Real Disposable Income (RDI)]]*1)/H826)-1)</f>
        <v>2.2854401941212465E-3</v>
      </c>
      <c r="J827" s="56">
        <f>IF(Tabela1610[[#This Row],[Real Disposable Income (RDI)]]="",#N/A,((Tabela1610[[#This Row],[Real Disposable Income (RDI)]]*1)/H815)-1)</f>
        <v>1.6955096548861182E-2</v>
      </c>
      <c r="K827" s="10">
        <v>247000</v>
      </c>
      <c r="L827" s="11">
        <v>26.5</v>
      </c>
      <c r="M827" s="10">
        <v>297</v>
      </c>
      <c r="N827" s="10">
        <f>IF(Tabela1610[[#This Row],[Payroll]]="",#N/A,AVERAGE(M825:M827))</f>
        <v>269.66666666666669</v>
      </c>
      <c r="O827" s="10">
        <v>5868</v>
      </c>
      <c r="P827" s="7">
        <f>IF(Tabela1610[[#This Row],[JOLTS]]="",#N/A,Tabela1610[[#This Row],[JOLTS]]/Tabela1610[[#This Row],[Unemployment Level]])</f>
        <v>0.73783477932855523</v>
      </c>
    </row>
    <row r="828" spans="1:16">
      <c r="A828" s="6">
        <v>42644</v>
      </c>
      <c r="B828" s="11">
        <v>4.9000000000000004</v>
      </c>
      <c r="C828" s="11">
        <f>IF(Tabela1610[[#This Row],[Unemployment Rate]]="",#N/A,AVERAGE(B816:B828))</f>
        <v>4.9384615384615378</v>
      </c>
      <c r="D828" s="10">
        <v>7811</v>
      </c>
      <c r="E828" s="11">
        <v>62.8</v>
      </c>
      <c r="F828" s="11">
        <v>2.77888</v>
      </c>
      <c r="G828" s="11">
        <v>3.9</v>
      </c>
      <c r="H828" s="55">
        <v>14235.4</v>
      </c>
      <c r="I828" s="56">
        <f>IF(Tabela1610[[#This Row],[Real Disposable Income (RDI)]]="",#N/A,((Tabela1610[[#This Row],[Real Disposable Income (RDI)]]*1)/H827)-1)</f>
        <v>1.8509265189208257E-3</v>
      </c>
      <c r="J828" s="56">
        <f>IF(Tabela1610[[#This Row],[Real Disposable Income (RDI)]]="",#N/A,((Tabela1610[[#This Row],[Real Disposable Income (RDI)]]*1)/H816)-1)</f>
        <v>1.7039487315048341E-2</v>
      </c>
      <c r="K828" s="10">
        <v>265000</v>
      </c>
      <c r="L828" s="11">
        <v>26.6</v>
      </c>
      <c r="M828" s="10">
        <v>108</v>
      </c>
      <c r="N828" s="10">
        <f>IF(Tabela1610[[#This Row],[Payroll]]="",#N/A,AVERAGE(M826:M828))</f>
        <v>184.66666666666666</v>
      </c>
      <c r="O828" s="10">
        <v>5591</v>
      </c>
      <c r="P828" s="7">
        <f>IF(Tabela1610[[#This Row],[JOLTS]]="",#N/A,Tabela1610[[#This Row],[JOLTS]]/Tabela1610[[#This Row],[Unemployment Level]])</f>
        <v>0.71578543080271417</v>
      </c>
    </row>
    <row r="829" spans="1:16">
      <c r="A829" s="6">
        <v>42675</v>
      </c>
      <c r="B829" s="11">
        <v>4.7</v>
      </c>
      <c r="C829" s="11">
        <f>IF(Tabela1610[[#This Row],[Unemployment Rate]]="",#N/A,AVERAGE(B817:B829))</f>
        <v>4.9153846153846148</v>
      </c>
      <c r="D829" s="10">
        <v>7553</v>
      </c>
      <c r="E829" s="11">
        <v>62.7</v>
      </c>
      <c r="F829" s="11">
        <v>2.5742600000000002</v>
      </c>
      <c r="G829" s="11">
        <v>3.9</v>
      </c>
      <c r="H829" s="55">
        <v>14273.6</v>
      </c>
      <c r="I829" s="56">
        <f>IF(Tabela1610[[#This Row],[Real Disposable Income (RDI)]]="",#N/A,((Tabela1610[[#This Row],[Real Disposable Income (RDI)]]*1)/H828)-1)</f>
        <v>2.683451114826374E-3</v>
      </c>
      <c r="J829" s="56">
        <f>IF(Tabela1610[[#This Row],[Real Disposable Income (RDI)]]="",#N/A,((Tabela1610[[#This Row],[Real Disposable Income (RDI)]]*1)/H817)-1)</f>
        <v>2.0023725470579068E-2</v>
      </c>
      <c r="K829" s="10">
        <v>255000</v>
      </c>
      <c r="L829" s="11">
        <v>25.9</v>
      </c>
      <c r="M829" s="10">
        <v>120</v>
      </c>
      <c r="N829" s="10">
        <f>IF(Tabela1610[[#This Row],[Payroll]]="",#N/A,AVERAGE(M827:M829))</f>
        <v>175</v>
      </c>
      <c r="O829" s="10">
        <v>5971</v>
      </c>
      <c r="P829" s="7">
        <f>IF(Tabela1610[[#This Row],[JOLTS]]="",#N/A,Tabela1610[[#This Row],[JOLTS]]/Tabela1610[[#This Row],[Unemployment Level]])</f>
        <v>0.79054680259499532</v>
      </c>
    </row>
    <row r="830" spans="1:16">
      <c r="A830" s="6">
        <v>42705</v>
      </c>
      <c r="B830" s="11">
        <v>4.7</v>
      </c>
      <c r="C830" s="11">
        <f>IF(Tabela1610[[#This Row],[Unemployment Rate]]="",#N/A,AVERAGE(B818:B830))</f>
        <v>4.884615384615385</v>
      </c>
      <c r="D830" s="10">
        <v>7521</v>
      </c>
      <c r="E830" s="11">
        <v>62.7</v>
      </c>
      <c r="F830" s="11">
        <v>2.69414</v>
      </c>
      <c r="G830" s="11">
        <v>3.5</v>
      </c>
      <c r="H830" s="55">
        <v>14313.7</v>
      </c>
      <c r="I830" s="56">
        <f>IF(Tabela1610[[#This Row],[Real Disposable Income (RDI)]]="",#N/A,((Tabela1610[[#This Row],[Real Disposable Income (RDI)]]*1)/H829)-1)</f>
        <v>2.809382356238066E-3</v>
      </c>
      <c r="J830" s="56">
        <f>IF(Tabela1610[[#This Row],[Real Disposable Income (RDI)]]="",#N/A,((Tabela1610[[#This Row],[Real Disposable Income (RDI)]]*1)/H818)-1)</f>
        <v>1.8029615510448016E-2</v>
      </c>
      <c r="K830" s="10">
        <v>244000</v>
      </c>
      <c r="L830" s="11">
        <v>26.3</v>
      </c>
      <c r="M830" s="10">
        <v>219</v>
      </c>
      <c r="N830" s="10">
        <f>IF(Tabela1610[[#This Row],[Payroll]]="",#N/A,AVERAGE(M828:M830))</f>
        <v>149</v>
      </c>
      <c r="O830" s="10">
        <v>5964</v>
      </c>
      <c r="P830" s="7">
        <f>IF(Tabela1610[[#This Row],[JOLTS]]="",#N/A,Tabela1610[[#This Row],[JOLTS]]/Tabela1610[[#This Row],[Unemployment Level]])</f>
        <v>0.79297965696051054</v>
      </c>
    </row>
    <row r="831" spans="1:16">
      <c r="A831" s="6">
        <v>42736</v>
      </c>
      <c r="B831" s="11">
        <v>4.7</v>
      </c>
      <c r="C831" s="11">
        <f>IF(Tabela1610[[#This Row],[Unemployment Rate]]="",#N/A,AVERAGE(B819:B831))</f>
        <v>4.861538461538462</v>
      </c>
      <c r="D831" s="10">
        <v>7468</v>
      </c>
      <c r="E831" s="11">
        <v>62.8</v>
      </c>
      <c r="F831" s="11">
        <v>2.4428700000000001</v>
      </c>
      <c r="G831" s="11">
        <v>3.2</v>
      </c>
      <c r="H831" s="55">
        <v>14373.7</v>
      </c>
      <c r="I831" s="56">
        <f>IF(Tabela1610[[#This Row],[Real Disposable Income (RDI)]]="",#N/A,((Tabela1610[[#This Row],[Real Disposable Income (RDI)]]*1)/H830)-1)</f>
        <v>4.1917882867461564E-3</v>
      </c>
      <c r="J831" s="56">
        <f>IF(Tabela1610[[#This Row],[Real Disposable Income (RDI)]]="",#N/A,((Tabela1610[[#This Row],[Real Disposable Income (RDI)]]*1)/H819)-1)</f>
        <v>1.7888124862794008E-2</v>
      </c>
      <c r="K831" s="10">
        <v>241000</v>
      </c>
      <c r="L831" s="11">
        <v>25.3</v>
      </c>
      <c r="M831" s="10">
        <v>231</v>
      </c>
      <c r="N831" s="10">
        <f>IF(Tabela1610[[#This Row],[Payroll]]="",#N/A,AVERAGE(M829:M831))</f>
        <v>190</v>
      </c>
      <c r="O831" s="10">
        <v>5617</v>
      </c>
      <c r="P831" s="7">
        <f>IF(Tabela1610[[#This Row],[JOLTS]]="",#N/A,Tabela1610[[#This Row],[JOLTS]]/Tabela1610[[#This Row],[Unemployment Level]])</f>
        <v>0.75214247455811467</v>
      </c>
    </row>
    <row r="832" spans="1:16">
      <c r="A832" s="6">
        <v>42767</v>
      </c>
      <c r="B832" s="11">
        <v>4.5999999999999996</v>
      </c>
      <c r="C832" s="11">
        <f>IF(Tabela1610[[#This Row],[Unemployment Rate]]="",#N/A,AVERAGE(B820:B832))</f>
        <v>4.8461538461538476</v>
      </c>
      <c r="D832" s="10">
        <v>7379</v>
      </c>
      <c r="E832" s="11">
        <v>62.9</v>
      </c>
      <c r="F832" s="11">
        <v>2.6792799999999999</v>
      </c>
      <c r="G832" s="11">
        <v>3.2</v>
      </c>
      <c r="H832" s="55">
        <v>14416.8</v>
      </c>
      <c r="I832" s="56">
        <f>IF(Tabela1610[[#This Row],[Real Disposable Income (RDI)]]="",#N/A,((Tabela1610[[#This Row],[Real Disposable Income (RDI)]]*1)/H831)-1)</f>
        <v>2.9985320411582972E-3</v>
      </c>
      <c r="J832" s="56">
        <f>IF(Tabela1610[[#This Row],[Real Disposable Income (RDI)]]="",#N/A,((Tabela1610[[#This Row],[Real Disposable Income (RDI)]]*1)/H820)-1)</f>
        <v>1.9914681683445012E-2</v>
      </c>
      <c r="K832" s="10">
        <v>221000</v>
      </c>
      <c r="L832" s="11">
        <v>25.5</v>
      </c>
      <c r="M832" s="10">
        <v>206</v>
      </c>
      <c r="N832" s="10">
        <f>IF(Tabela1610[[#This Row],[Payroll]]="",#N/A,AVERAGE(M830:M832))</f>
        <v>218.66666666666666</v>
      </c>
      <c r="O832" s="10">
        <v>5923</v>
      </c>
      <c r="P832" s="7">
        <f>IF(Tabela1610[[#This Row],[JOLTS]]="",#N/A,Tabela1610[[#This Row],[JOLTS]]/Tabela1610[[#This Row],[Unemployment Level]])</f>
        <v>0.80268329041875597</v>
      </c>
    </row>
    <row r="833" spans="1:16">
      <c r="A833" s="6">
        <v>42795</v>
      </c>
      <c r="B833" s="11">
        <v>4.4000000000000004</v>
      </c>
      <c r="C833" s="11">
        <f>IF(Tabela1610[[#This Row],[Unemployment Rate]]="",#N/A,AVERAGE(B821:B833))</f>
        <v>4.8076923076923084</v>
      </c>
      <c r="D833" s="10">
        <v>7073</v>
      </c>
      <c r="E833" s="11">
        <v>62.9</v>
      </c>
      <c r="F833" s="11">
        <v>2.5933199999999998</v>
      </c>
      <c r="G833" s="11">
        <v>3.4</v>
      </c>
      <c r="H833" s="55">
        <v>14476.3</v>
      </c>
      <c r="I833" s="56">
        <f>IF(Tabela1610[[#This Row],[Real Disposable Income (RDI)]]="",#N/A,((Tabela1610[[#This Row],[Real Disposable Income (RDI)]]*1)/H832)-1)</f>
        <v>4.1271294600744302E-3</v>
      </c>
      <c r="J833" s="56">
        <f>IF(Tabela1610[[#This Row],[Real Disposable Income (RDI)]]="",#N/A,((Tabela1610[[#This Row],[Real Disposable Income (RDI)]]*1)/H821)-1)</f>
        <v>2.4116756512019499E-2</v>
      </c>
      <c r="K833" s="10">
        <v>236000</v>
      </c>
      <c r="L833" s="11">
        <v>25.1</v>
      </c>
      <c r="M833" s="10">
        <v>130</v>
      </c>
      <c r="N833" s="10">
        <f>IF(Tabela1610[[#This Row],[Payroll]]="",#N/A,AVERAGE(M831:M833))</f>
        <v>189</v>
      </c>
      <c r="O833" s="10">
        <v>5811</v>
      </c>
      <c r="P833" s="7">
        <f>IF(Tabela1610[[#This Row],[JOLTS]]="",#N/A,Tabela1610[[#This Row],[JOLTS]]/Tabela1610[[#This Row],[Unemployment Level]])</f>
        <v>0.82157500353456803</v>
      </c>
    </row>
    <row r="834" spans="1:16">
      <c r="A834" s="6">
        <v>42826</v>
      </c>
      <c r="B834" s="11">
        <v>4.4000000000000004</v>
      </c>
      <c r="C834" s="11">
        <f>IF(Tabela1610[[#This Row],[Unemployment Rate]]="",#N/A,AVERAGE(B822:B834))</f>
        <v>4.7615384615384624</v>
      </c>
      <c r="D834" s="10">
        <v>7089</v>
      </c>
      <c r="E834" s="11">
        <v>63</v>
      </c>
      <c r="F834" s="11">
        <v>2.50685</v>
      </c>
      <c r="G834" s="11">
        <v>3.5</v>
      </c>
      <c r="H834" s="55">
        <v>14509.3</v>
      </c>
      <c r="I834" s="56">
        <f>IF(Tabela1610[[#This Row],[Real Disposable Income (RDI)]]="",#N/A,((Tabela1610[[#This Row],[Real Disposable Income (RDI)]]*1)/H833)-1)</f>
        <v>2.2795880162749249E-3</v>
      </c>
      <c r="J834" s="56">
        <f>IF(Tabela1610[[#This Row],[Real Disposable Income (RDI)]]="",#N/A,((Tabela1610[[#This Row],[Real Disposable Income (RDI)]]*1)/H822)-1)</f>
        <v>2.8576087110632198E-2</v>
      </c>
      <c r="K834" s="10">
        <v>232000</v>
      </c>
      <c r="L834" s="11">
        <v>24.1</v>
      </c>
      <c r="M834" s="10">
        <v>197</v>
      </c>
      <c r="N834" s="10">
        <f>IF(Tabela1610[[#This Row],[Payroll]]="",#N/A,AVERAGE(M832:M834))</f>
        <v>177.66666666666666</v>
      </c>
      <c r="O834" s="10">
        <v>6091</v>
      </c>
      <c r="P834" s="7">
        <f>IF(Tabela1610[[#This Row],[JOLTS]]="",#N/A,Tabela1610[[#This Row],[JOLTS]]/Tabela1610[[#This Row],[Unemployment Level]])</f>
        <v>0.85921850754690365</v>
      </c>
    </row>
    <row r="835" spans="1:16">
      <c r="A835" s="6">
        <v>42856</v>
      </c>
      <c r="B835" s="11">
        <v>4.4000000000000004</v>
      </c>
      <c r="C835" s="11">
        <f>IF(Tabela1610[[#This Row],[Unemployment Rate]]="",#N/A,AVERAGE(B823:B835))</f>
        <v>4.7076923076923078</v>
      </c>
      <c r="D835" s="10">
        <v>7000</v>
      </c>
      <c r="E835" s="11">
        <v>62.8</v>
      </c>
      <c r="F835" s="11">
        <v>2.46286</v>
      </c>
      <c r="G835" s="11">
        <v>3.4</v>
      </c>
      <c r="H835" s="55">
        <v>14610.7</v>
      </c>
      <c r="I835" s="56">
        <f>IF(Tabela1610[[#This Row],[Real Disposable Income (RDI)]]="",#N/A,((Tabela1610[[#This Row],[Real Disposable Income (RDI)]]*1)/H834)-1)</f>
        <v>6.9886210913001623E-3</v>
      </c>
      <c r="J835" s="56">
        <f>IF(Tabela1610[[#This Row],[Real Disposable Income (RDI)]]="",#N/A,((Tabela1610[[#This Row],[Real Disposable Income (RDI)]]*1)/H823)-1)</f>
        <v>3.6550672200347689E-2</v>
      </c>
      <c r="K835" s="10">
        <v>253000</v>
      </c>
      <c r="L835" s="11">
        <v>24.7</v>
      </c>
      <c r="M835" s="10">
        <v>217</v>
      </c>
      <c r="N835" s="10">
        <f>IF(Tabela1610[[#This Row],[Payroll]]="",#N/A,AVERAGE(M833:M835))</f>
        <v>181.33333333333334</v>
      </c>
      <c r="O835" s="10">
        <v>5826</v>
      </c>
      <c r="P835" s="7">
        <f>IF(Tabela1610[[#This Row],[JOLTS]]="",#N/A,Tabela1610[[#This Row],[JOLTS]]/Tabela1610[[#This Row],[Unemployment Level]])</f>
        <v>0.8322857142857143</v>
      </c>
    </row>
    <row r="836" spans="1:16">
      <c r="A836" s="6">
        <v>42887</v>
      </c>
      <c r="B836" s="11">
        <v>4.3</v>
      </c>
      <c r="C836" s="11">
        <f>IF(Tabela1610[[#This Row],[Unemployment Rate]]="",#N/A,AVERAGE(B824:B836))</f>
        <v>4.6692307692307686</v>
      </c>
      <c r="D836" s="10">
        <v>6873</v>
      </c>
      <c r="E836" s="11">
        <v>62.8</v>
      </c>
      <c r="F836" s="11">
        <v>2.4980500000000001</v>
      </c>
      <c r="G836" s="11">
        <v>3.2</v>
      </c>
      <c r="H836" s="55">
        <v>14618.7</v>
      </c>
      <c r="I836" s="56">
        <f>IF(Tabela1610[[#This Row],[Real Disposable Income (RDI)]]="",#N/A,((Tabela1610[[#This Row],[Real Disposable Income (RDI)]]*1)/H835)-1)</f>
        <v>5.4754392328915102E-4</v>
      </c>
      <c r="J836" s="56">
        <f>IF(Tabela1610[[#This Row],[Real Disposable Income (RDI)]]="",#N/A,((Tabela1610[[#This Row],[Real Disposable Income (RDI)]]*1)/H824)-1)</f>
        <v>3.6427057263787921E-2</v>
      </c>
      <c r="K836" s="10">
        <v>247000</v>
      </c>
      <c r="L836" s="11">
        <v>24.6</v>
      </c>
      <c r="M836" s="10">
        <v>199</v>
      </c>
      <c r="N836" s="10">
        <f>IF(Tabela1610[[#This Row],[Payroll]]="",#N/A,AVERAGE(M834:M836))</f>
        <v>204.33333333333334</v>
      </c>
      <c r="O836" s="10">
        <v>6305</v>
      </c>
      <c r="P836" s="7">
        <f>IF(Tabela1610[[#This Row],[JOLTS]]="",#N/A,Tabela1610[[#This Row],[JOLTS]]/Tabela1610[[#This Row],[Unemployment Level]])</f>
        <v>0.91735777680779862</v>
      </c>
    </row>
    <row r="837" spans="1:16">
      <c r="A837" s="6">
        <v>42917</v>
      </c>
      <c r="B837" s="11">
        <v>4.3</v>
      </c>
      <c r="C837" s="11">
        <f>IF(Tabela1610[[#This Row],[Unemployment Rate]]="",#N/A,AVERAGE(B825:B837))</f>
        <v>4.6230769230769226</v>
      </c>
      <c r="D837" s="10">
        <v>6892</v>
      </c>
      <c r="E837" s="11">
        <v>62.9</v>
      </c>
      <c r="F837" s="11">
        <v>2.6080199999999998</v>
      </c>
      <c r="G837" s="11">
        <v>3.3</v>
      </c>
      <c r="H837" s="55">
        <v>14660.2</v>
      </c>
      <c r="I837" s="56">
        <f>IF(Tabela1610[[#This Row],[Real Disposable Income (RDI)]]="",#N/A,((Tabela1610[[#This Row],[Real Disposable Income (RDI)]]*1)/H836)-1)</f>
        <v>2.8388297181007882E-3</v>
      </c>
      <c r="J837" s="56">
        <f>IF(Tabela1610[[#This Row],[Real Disposable Income (RDI)]]="",#N/A,((Tabela1610[[#This Row],[Real Disposable Income (RDI)]]*1)/H825)-1)</f>
        <v>3.5317547192463383E-2</v>
      </c>
      <c r="K837" s="10">
        <v>245000</v>
      </c>
      <c r="L837" s="11">
        <v>24.6</v>
      </c>
      <c r="M837" s="10">
        <v>184</v>
      </c>
      <c r="N837" s="10">
        <f>IF(Tabela1610[[#This Row],[Payroll]]="",#N/A,AVERAGE(M835:M837))</f>
        <v>200</v>
      </c>
      <c r="O837" s="10">
        <v>6238</v>
      </c>
      <c r="P837" s="7">
        <f>IF(Tabela1610[[#This Row],[JOLTS]]="",#N/A,Tabela1610[[#This Row],[JOLTS]]/Tabela1610[[#This Row],[Unemployment Level]])</f>
        <v>0.90510737086477078</v>
      </c>
    </row>
    <row r="838" spans="1:16">
      <c r="A838" s="6">
        <v>42948</v>
      </c>
      <c r="B838" s="11">
        <v>4.4000000000000004</v>
      </c>
      <c r="C838" s="11">
        <f>IF(Tabela1610[[#This Row],[Unemployment Rate]]="",#N/A,AVERAGE(B826:B838))</f>
        <v>4.5923076923076911</v>
      </c>
      <c r="D838" s="10">
        <v>7082</v>
      </c>
      <c r="E838" s="11">
        <v>62.9</v>
      </c>
      <c r="F838" s="11">
        <v>2.5661</v>
      </c>
      <c r="G838" s="11">
        <v>3.4</v>
      </c>
      <c r="H838" s="55">
        <v>14678.3</v>
      </c>
      <c r="I838" s="56">
        <f>IF(Tabela1610[[#This Row],[Real Disposable Income (RDI)]]="",#N/A,((Tabela1610[[#This Row],[Real Disposable Income (RDI)]]*1)/H837)-1)</f>
        <v>1.2346352710057573E-3</v>
      </c>
      <c r="J838" s="56">
        <f>IF(Tabela1610[[#This Row],[Real Disposable Income (RDI)]]="",#N/A,((Tabela1610[[#This Row],[Real Disposable Income (RDI)]]*1)/H826)-1)</f>
        <v>3.5382000042322836E-2</v>
      </c>
      <c r="K838" s="10">
        <v>247000</v>
      </c>
      <c r="L838" s="11">
        <v>24</v>
      </c>
      <c r="M838" s="10">
        <v>135</v>
      </c>
      <c r="N838" s="10">
        <f>IF(Tabela1610[[#This Row],[Payroll]]="",#N/A,AVERAGE(M836:M838))</f>
        <v>172.66666666666666</v>
      </c>
      <c r="O838" s="10">
        <v>6276</v>
      </c>
      <c r="P838" s="7">
        <f>IF(Tabela1610[[#This Row],[JOLTS]]="",#N/A,Tabela1610[[#This Row],[JOLTS]]/Tabela1610[[#This Row],[Unemployment Level]])</f>
        <v>0.886190341711381</v>
      </c>
    </row>
    <row r="839" spans="1:16">
      <c r="A839" s="6">
        <v>42979</v>
      </c>
      <c r="B839" s="11">
        <v>4.3</v>
      </c>
      <c r="C839" s="11">
        <f>IF(Tabela1610[[#This Row],[Unemployment Rate]]="",#N/A,AVERAGE(B827:B839))</f>
        <v>4.5461538461538451</v>
      </c>
      <c r="D839" s="10">
        <v>6854</v>
      </c>
      <c r="E839" s="11">
        <v>63.1</v>
      </c>
      <c r="F839" s="11">
        <v>2.7939500000000002</v>
      </c>
      <c r="G839" s="11">
        <v>3.6</v>
      </c>
      <c r="H839" s="55">
        <v>14706</v>
      </c>
      <c r="I839" s="56">
        <f>IF(Tabela1610[[#This Row],[Real Disposable Income (RDI)]]="",#N/A,((Tabela1610[[#This Row],[Real Disposable Income (RDI)]]*1)/H838)-1)</f>
        <v>1.887139518881753E-3</v>
      </c>
      <c r="J839" s="56">
        <f>IF(Tabela1610[[#This Row],[Real Disposable Income (RDI)]]="",#N/A,((Tabela1610[[#This Row],[Real Disposable Income (RDI)]]*1)/H827)-1)</f>
        <v>3.4970547043795763E-2</v>
      </c>
      <c r="K839" s="10">
        <v>260000</v>
      </c>
      <c r="L839" s="11">
        <v>26.1</v>
      </c>
      <c r="M839" s="10">
        <v>92</v>
      </c>
      <c r="N839" s="10">
        <f>IF(Tabela1610[[#This Row],[Payroll]]="",#N/A,AVERAGE(M837:M839))</f>
        <v>137</v>
      </c>
      <c r="O839" s="10">
        <v>6320</v>
      </c>
      <c r="P839" s="7">
        <f>IF(Tabela1610[[#This Row],[JOLTS]]="",#N/A,Tabela1610[[#This Row],[JOLTS]]/Tabela1610[[#This Row],[Unemployment Level]])</f>
        <v>0.92208929092500724</v>
      </c>
    </row>
    <row r="840" spans="1:16">
      <c r="A840" s="6">
        <v>43009</v>
      </c>
      <c r="B840" s="11">
        <v>4.2</v>
      </c>
      <c r="C840" s="11">
        <f>IF(Tabela1610[[#This Row],[Unemployment Rate]]="",#N/A,AVERAGE(B828:B840))</f>
        <v>4.4846153846153838</v>
      </c>
      <c r="D840" s="10">
        <v>6700</v>
      </c>
      <c r="E840" s="11">
        <v>62.7</v>
      </c>
      <c r="F840" s="11">
        <v>2.3174999999999999</v>
      </c>
      <c r="G840" s="11">
        <v>3.4</v>
      </c>
      <c r="H840" s="55">
        <v>14748.6</v>
      </c>
      <c r="I840" s="56">
        <f>IF(Tabela1610[[#This Row],[Real Disposable Income (RDI)]]="",#N/A,((Tabela1610[[#This Row],[Real Disposable Income (RDI)]]*1)/H839)-1)</f>
        <v>2.8967768257854853E-3</v>
      </c>
      <c r="J840" s="56">
        <f>IF(Tabela1610[[#This Row],[Real Disposable Income (RDI)]]="",#N/A,((Tabela1610[[#This Row],[Real Disposable Income (RDI)]]*1)/H828)-1)</f>
        <v>3.6050971521699449E-2</v>
      </c>
      <c r="K840" s="10">
        <v>241000</v>
      </c>
      <c r="L840" s="11">
        <v>26.2</v>
      </c>
      <c r="M840" s="10">
        <v>148</v>
      </c>
      <c r="N840" s="10">
        <f>IF(Tabela1610[[#This Row],[Payroll]]="",#N/A,AVERAGE(M838:M840))</f>
        <v>125</v>
      </c>
      <c r="O840" s="10">
        <v>6408</v>
      </c>
      <c r="P840" s="7">
        <f>IF(Tabela1610[[#This Row],[JOLTS]]="",#N/A,Tabela1610[[#This Row],[JOLTS]]/Tabela1610[[#This Row],[Unemployment Level]])</f>
        <v>0.95641791044776114</v>
      </c>
    </row>
    <row r="841" spans="1:16">
      <c r="A841" s="6">
        <v>43040</v>
      </c>
      <c r="B841" s="11">
        <v>4.2</v>
      </c>
      <c r="C841" s="11">
        <f>IF(Tabela1610[[#This Row],[Unemployment Rate]]="",#N/A,AVERAGE(B829:B841))</f>
        <v>4.4307692307692301</v>
      </c>
      <c r="D841" s="10">
        <v>6774</v>
      </c>
      <c r="E841" s="11">
        <v>62.7</v>
      </c>
      <c r="F841" s="11">
        <v>2.3938199999999998</v>
      </c>
      <c r="G841" s="11">
        <v>3.2</v>
      </c>
      <c r="H841" s="55">
        <v>14771.1</v>
      </c>
      <c r="I841" s="56">
        <f>IF(Tabela1610[[#This Row],[Real Disposable Income (RDI)]]="",#N/A,((Tabela1610[[#This Row],[Real Disposable Income (RDI)]]*1)/H840)-1)</f>
        <v>1.5255685285382459E-3</v>
      </c>
      <c r="J841" s="56">
        <f>IF(Tabela1610[[#This Row],[Real Disposable Income (RDI)]]="",#N/A,((Tabela1610[[#This Row],[Real Disposable Income (RDI)]]*1)/H829)-1)</f>
        <v>3.4854556664051017E-2</v>
      </c>
      <c r="K841" s="10">
        <v>243000</v>
      </c>
      <c r="L841" s="11">
        <v>25.7</v>
      </c>
      <c r="M841" s="10">
        <v>230</v>
      </c>
      <c r="N841" s="10">
        <f>IF(Tabela1610[[#This Row],[Payroll]]="",#N/A,AVERAGE(M839:M841))</f>
        <v>156.66666666666666</v>
      </c>
      <c r="O841" s="10">
        <v>6271</v>
      </c>
      <c r="P841" s="7">
        <f>IF(Tabela1610[[#This Row],[JOLTS]]="",#N/A,Tabela1610[[#This Row],[JOLTS]]/Tabela1610[[#This Row],[Unemployment Level]])</f>
        <v>0.92574549749040447</v>
      </c>
    </row>
    <row r="842" spans="1:16">
      <c r="A842" s="6">
        <v>43070</v>
      </c>
      <c r="B842" s="11">
        <v>4.0999999999999996</v>
      </c>
      <c r="C842" s="11">
        <f>IF(Tabela1610[[#This Row],[Unemployment Rate]]="",#N/A,AVERAGE(B830:B842))</f>
        <v>4.384615384615385</v>
      </c>
      <c r="D842" s="10">
        <v>6632</v>
      </c>
      <c r="E842" s="11">
        <v>62.7</v>
      </c>
      <c r="F842" s="11">
        <v>2.6620400000000002</v>
      </c>
      <c r="G842" s="11">
        <v>2.9</v>
      </c>
      <c r="H842" s="55">
        <v>14797.9</v>
      </c>
      <c r="I842" s="56">
        <f>IF(Tabela1610[[#This Row],[Real Disposable Income (RDI)]]="",#N/A,((Tabela1610[[#This Row],[Real Disposable Income (RDI)]]*1)/H841)-1)</f>
        <v>1.8143537041925839E-3</v>
      </c>
      <c r="J842" s="56">
        <f>IF(Tabela1610[[#This Row],[Real Disposable Income (RDI)]]="",#N/A,((Tabela1610[[#This Row],[Real Disposable Income (RDI)]]*1)/H830)-1)</f>
        <v>3.3827731474042277E-2</v>
      </c>
      <c r="K842" s="10">
        <v>248000</v>
      </c>
      <c r="L842" s="11">
        <v>24.2</v>
      </c>
      <c r="M842" s="10">
        <v>144</v>
      </c>
      <c r="N842" s="10">
        <f>IF(Tabela1610[[#This Row],[Payroll]]="",#N/A,AVERAGE(M840:M842))</f>
        <v>174</v>
      </c>
      <c r="O842" s="10">
        <v>6336</v>
      </c>
      <c r="P842" s="7">
        <f>IF(Tabela1610[[#This Row],[JOLTS]]="",#N/A,Tabela1610[[#This Row],[JOLTS]]/Tabela1610[[#This Row],[Unemployment Level]])</f>
        <v>0.95536791314837155</v>
      </c>
    </row>
    <row r="843" spans="1:16">
      <c r="A843" s="6">
        <v>43101</v>
      </c>
      <c r="B843" s="11">
        <v>4</v>
      </c>
      <c r="C843" s="11">
        <f>IF(Tabela1610[[#This Row],[Unemployment Rate]]="",#N/A,AVERAGE(B831:B843))</f>
        <v>4.3307692307692314</v>
      </c>
      <c r="D843" s="10">
        <v>6489</v>
      </c>
      <c r="E843" s="11">
        <v>62.7</v>
      </c>
      <c r="F843" s="11">
        <v>2.80769</v>
      </c>
      <c r="G843" s="11">
        <v>3</v>
      </c>
      <c r="H843" s="55">
        <v>14886.6</v>
      </c>
      <c r="I843" s="56">
        <f>IF(Tabela1610[[#This Row],[Real Disposable Income (RDI)]]="",#N/A,((Tabela1610[[#This Row],[Real Disposable Income (RDI)]]*1)/H842)-1)</f>
        <v>5.9940937565465813E-3</v>
      </c>
      <c r="J843" s="56">
        <f>IF(Tabela1610[[#This Row],[Real Disposable Income (RDI)]]="",#N/A,((Tabela1610[[#This Row],[Real Disposable Income (RDI)]]*1)/H831)-1)</f>
        <v>3.5683227004877027E-2</v>
      </c>
      <c r="K843" s="10">
        <v>228000</v>
      </c>
      <c r="L843" s="11">
        <v>24.2</v>
      </c>
      <c r="M843" s="10">
        <v>149</v>
      </c>
      <c r="N843" s="10">
        <f>IF(Tabela1610[[#This Row],[Payroll]]="",#N/A,AVERAGE(M841:M843))</f>
        <v>174.33333333333334</v>
      </c>
      <c r="O843" s="10">
        <v>6621</v>
      </c>
      <c r="P843" s="7">
        <f>IF(Tabela1610[[#This Row],[JOLTS]]="",#N/A,Tabela1610[[#This Row],[JOLTS]]/Tabela1610[[#This Row],[Unemployment Level]])</f>
        <v>1.020342117429496</v>
      </c>
    </row>
    <row r="844" spans="1:16">
      <c r="A844" s="6">
        <v>43132</v>
      </c>
      <c r="B844" s="11">
        <v>4.0999999999999996</v>
      </c>
      <c r="C844" s="11">
        <f>IF(Tabela1610[[#This Row],[Unemployment Rate]]="",#N/A,AVERAGE(B832:B844))</f>
        <v>4.2846153846153854</v>
      </c>
      <c r="D844" s="10">
        <v>6581</v>
      </c>
      <c r="E844" s="11">
        <v>63</v>
      </c>
      <c r="F844" s="11">
        <v>2.6477400000000002</v>
      </c>
      <c r="G844" s="11">
        <v>2.9</v>
      </c>
      <c r="H844" s="55">
        <v>14921.1</v>
      </c>
      <c r="I844" s="56">
        <f>IF(Tabela1610[[#This Row],[Real Disposable Income (RDI)]]="",#N/A,((Tabela1610[[#This Row],[Real Disposable Income (RDI)]]*1)/H843)-1)</f>
        <v>2.3175204546370676E-3</v>
      </c>
      <c r="J844" s="56">
        <f>IF(Tabela1610[[#This Row],[Real Disposable Income (RDI)]]="",#N/A,((Tabela1610[[#This Row],[Real Disposable Income (RDI)]]*1)/H832)-1)</f>
        <v>3.4980023306142805E-2</v>
      </c>
      <c r="K844" s="10">
        <v>216000</v>
      </c>
      <c r="L844" s="11">
        <v>22.9</v>
      </c>
      <c r="M844" s="10">
        <v>388</v>
      </c>
      <c r="N844" s="10">
        <f>IF(Tabela1610[[#This Row],[Payroll]]="",#N/A,AVERAGE(M842:M844))</f>
        <v>227</v>
      </c>
      <c r="O844" s="10">
        <v>6552</v>
      </c>
      <c r="P844" s="7">
        <f>IF(Tabela1610[[#This Row],[JOLTS]]="",#N/A,Tabela1610[[#This Row],[JOLTS]]/Tabela1610[[#This Row],[Unemployment Level]])</f>
        <v>0.99559337486704147</v>
      </c>
    </row>
    <row r="845" spans="1:16">
      <c r="A845" s="6">
        <v>43160</v>
      </c>
      <c r="B845" s="11">
        <v>4</v>
      </c>
      <c r="C845" s="11">
        <f>IF(Tabela1610[[#This Row],[Unemployment Rate]]="",#N/A,AVERAGE(B833:B845))</f>
        <v>4.2384615384615394</v>
      </c>
      <c r="D845" s="10">
        <v>6472</v>
      </c>
      <c r="E845" s="11">
        <v>62.9</v>
      </c>
      <c r="F845" s="11">
        <v>2.8724599999999998</v>
      </c>
      <c r="G845" s="11">
        <v>3.3</v>
      </c>
      <c r="H845" s="55">
        <v>14974.8</v>
      </c>
      <c r="I845" s="56">
        <f>IF(Tabela1610[[#This Row],[Real Disposable Income (RDI)]]="",#N/A,((Tabela1610[[#This Row],[Real Disposable Income (RDI)]]*1)/H844)-1)</f>
        <v>3.5989303737660183E-3</v>
      </c>
      <c r="J845" s="56">
        <f>IF(Tabela1610[[#This Row],[Real Disposable Income (RDI)]]="",#N/A,((Tabela1610[[#This Row],[Real Disposable Income (RDI)]]*1)/H833)-1)</f>
        <v>3.4435594730697794E-2</v>
      </c>
      <c r="K845" s="10">
        <v>232000</v>
      </c>
      <c r="L845" s="11">
        <v>24</v>
      </c>
      <c r="M845" s="10">
        <v>223</v>
      </c>
      <c r="N845" s="10">
        <f>IF(Tabela1610[[#This Row],[Payroll]]="",#N/A,AVERAGE(M843:M845))</f>
        <v>253.33333333333334</v>
      </c>
      <c r="O845" s="10">
        <v>6818</v>
      </c>
      <c r="P845" s="7">
        <f>IF(Tabela1610[[#This Row],[JOLTS]]="",#N/A,Tabela1610[[#This Row],[JOLTS]]/Tabela1610[[#This Row],[Unemployment Level]])</f>
        <v>1.053461063040791</v>
      </c>
    </row>
    <row r="846" spans="1:16">
      <c r="A846" s="6">
        <v>43191</v>
      </c>
      <c r="B846" s="11">
        <v>4</v>
      </c>
      <c r="C846" s="11">
        <f>IF(Tabela1610[[#This Row],[Unemployment Rate]]="",#N/A,AVERAGE(B834:B846))</f>
        <v>4.2076923076923087</v>
      </c>
      <c r="D846" s="10">
        <v>6459</v>
      </c>
      <c r="E846" s="11">
        <v>62.9</v>
      </c>
      <c r="F846" s="11">
        <v>2.8658800000000002</v>
      </c>
      <c r="G846" s="11">
        <v>3.3</v>
      </c>
      <c r="H846" s="55">
        <v>15007.2</v>
      </c>
      <c r="I846" s="56">
        <f>IF(Tabela1610[[#This Row],[Real Disposable Income (RDI)]]="",#N/A,((Tabela1610[[#This Row],[Real Disposable Income (RDI)]]*1)/H845)-1)</f>
        <v>2.1636349066431748E-3</v>
      </c>
      <c r="J846" s="56">
        <f>IF(Tabela1610[[#This Row],[Real Disposable Income (RDI)]]="",#N/A,((Tabela1610[[#This Row],[Real Disposable Income (RDI)]]*1)/H834)-1)</f>
        <v>3.4315921512409364E-2</v>
      </c>
      <c r="K846" s="10">
        <v>209000</v>
      </c>
      <c r="L846" s="11">
        <v>22.5</v>
      </c>
      <c r="M846" s="10">
        <v>145</v>
      </c>
      <c r="N846" s="10">
        <f>IF(Tabela1610[[#This Row],[Payroll]]="",#N/A,AVERAGE(M844:M846))</f>
        <v>252</v>
      </c>
      <c r="O846" s="10">
        <v>6877</v>
      </c>
      <c r="P846" s="7">
        <f>IF(Tabela1610[[#This Row],[JOLTS]]="",#N/A,Tabela1610[[#This Row],[JOLTS]]/Tabela1610[[#This Row],[Unemployment Level]])</f>
        <v>1.0647159002941631</v>
      </c>
    </row>
    <row r="847" spans="1:16">
      <c r="A847" s="6">
        <v>43221</v>
      </c>
      <c r="B847" s="11">
        <v>3.8</v>
      </c>
      <c r="C847" s="11">
        <f>IF(Tabela1610[[#This Row],[Unemployment Rate]]="",#N/A,AVERAGE(B835:B847))</f>
        <v>4.161538461538461</v>
      </c>
      <c r="D847" s="10">
        <v>6196</v>
      </c>
      <c r="E847" s="11">
        <v>62.9</v>
      </c>
      <c r="F847" s="11">
        <v>2.9378099999999998</v>
      </c>
      <c r="G847" s="11">
        <v>3.2</v>
      </c>
      <c r="H847" s="55">
        <v>15057.8</v>
      </c>
      <c r="I847" s="56">
        <f>IF(Tabela1610[[#This Row],[Real Disposable Income (RDI)]]="",#N/A,((Tabela1610[[#This Row],[Real Disposable Income (RDI)]]*1)/H846)-1)</f>
        <v>3.3717149101764043E-3</v>
      </c>
      <c r="J847" s="56">
        <f>IF(Tabela1610[[#This Row],[Real Disposable Income (RDI)]]="",#N/A,((Tabela1610[[#This Row],[Real Disposable Income (RDI)]]*1)/H835)-1)</f>
        <v>3.0600861012819225E-2</v>
      </c>
      <c r="K847" s="10">
        <v>222000</v>
      </c>
      <c r="L847" s="11">
        <v>21.1</v>
      </c>
      <c r="M847" s="10">
        <v>329</v>
      </c>
      <c r="N847" s="10">
        <f>IF(Tabela1610[[#This Row],[Payroll]]="",#N/A,AVERAGE(M845:M847))</f>
        <v>232.33333333333334</v>
      </c>
      <c r="O847" s="10">
        <v>7016</v>
      </c>
      <c r="P847" s="7">
        <f>IF(Tabela1610[[#This Row],[JOLTS]]="",#N/A,Tabela1610[[#This Row],[JOLTS]]/Tabela1610[[#This Row],[Unemployment Level]])</f>
        <v>1.1323434473854099</v>
      </c>
    </row>
    <row r="848" spans="1:16">
      <c r="A848" s="6">
        <v>43252</v>
      </c>
      <c r="B848" s="11">
        <v>4</v>
      </c>
      <c r="C848" s="11">
        <f>IF(Tabela1610[[#This Row],[Unemployment Rate]]="",#N/A,AVERAGE(B836:B848))</f>
        <v>4.1307692307692303</v>
      </c>
      <c r="D848" s="10">
        <v>6447</v>
      </c>
      <c r="E848" s="11">
        <v>63</v>
      </c>
      <c r="F848" s="11">
        <v>2.93222</v>
      </c>
      <c r="G848" s="11">
        <v>3.2</v>
      </c>
      <c r="H848" s="55">
        <v>15119.3</v>
      </c>
      <c r="I848" s="56">
        <f>IF(Tabela1610[[#This Row],[Real Disposable Income (RDI)]]="",#N/A,((Tabela1610[[#This Row],[Real Disposable Income (RDI)]]*1)/H847)-1)</f>
        <v>4.0842619771812583E-3</v>
      </c>
      <c r="J848" s="56">
        <f>IF(Tabela1610[[#This Row],[Real Disposable Income (RDI)]]="",#N/A,((Tabela1610[[#This Row],[Real Disposable Income (RDI)]]*1)/H836)-1)</f>
        <v>3.424381100918672E-2</v>
      </c>
      <c r="K848" s="10">
        <v>228000</v>
      </c>
      <c r="L848" s="11">
        <v>20.8</v>
      </c>
      <c r="M848" s="10">
        <v>211</v>
      </c>
      <c r="N848" s="10">
        <f>IF(Tabela1610[[#This Row],[Payroll]]="",#N/A,AVERAGE(M846:M848))</f>
        <v>228.33333333333334</v>
      </c>
      <c r="O848" s="10">
        <v>7230</v>
      </c>
      <c r="P848" s="7">
        <f>IF(Tabela1610[[#This Row],[JOLTS]]="",#N/A,Tabela1610[[#This Row],[JOLTS]]/Tabela1610[[#This Row],[Unemployment Level]])</f>
        <v>1.121451838064216</v>
      </c>
    </row>
    <row r="849" spans="1:16">
      <c r="A849" s="6">
        <v>43282</v>
      </c>
      <c r="B849" s="11">
        <v>3.8</v>
      </c>
      <c r="C849" s="11">
        <f>IF(Tabela1610[[#This Row],[Unemployment Rate]]="",#N/A,AVERAGE(B837:B849))</f>
        <v>4.092307692307692</v>
      </c>
      <c r="D849" s="10">
        <v>6195</v>
      </c>
      <c r="E849" s="11">
        <v>63</v>
      </c>
      <c r="F849" s="11">
        <v>2.7693500000000002</v>
      </c>
      <c r="G849" s="11">
        <v>3.3</v>
      </c>
      <c r="H849" s="55">
        <v>15184.7</v>
      </c>
      <c r="I849" s="56">
        <f>IF(Tabela1610[[#This Row],[Real Disposable Income (RDI)]]="",#N/A,((Tabela1610[[#This Row],[Real Disposable Income (RDI)]]*1)/H848)-1)</f>
        <v>4.3255970845212932E-3</v>
      </c>
      <c r="J849" s="56">
        <f>IF(Tabela1610[[#This Row],[Real Disposable Income (RDI)]]="",#N/A,((Tabela1610[[#This Row],[Real Disposable Income (RDI)]]*1)/H837)-1)</f>
        <v>3.5777138101799499E-2</v>
      </c>
      <c r="K849" s="10">
        <v>207000</v>
      </c>
      <c r="L849" s="11">
        <v>23.1</v>
      </c>
      <c r="M849" s="10">
        <v>56</v>
      </c>
      <c r="N849" s="10">
        <f>IF(Tabela1610[[#This Row],[Payroll]]="",#N/A,AVERAGE(M847:M849))</f>
        <v>198.66666666666666</v>
      </c>
      <c r="O849" s="10">
        <v>7190</v>
      </c>
      <c r="P849" s="7">
        <f>IF(Tabela1610[[#This Row],[JOLTS]]="",#N/A,Tabela1610[[#This Row],[JOLTS]]/Tabela1610[[#This Row],[Unemployment Level]])</f>
        <v>1.1606133979015334</v>
      </c>
    </row>
    <row r="850" spans="1:16">
      <c r="A850" s="6">
        <v>43313</v>
      </c>
      <c r="B850" s="11">
        <v>3.8</v>
      </c>
      <c r="C850" s="11">
        <f>IF(Tabela1610[[#This Row],[Unemployment Rate]]="",#N/A,AVERAGE(B838:B850))</f>
        <v>4.0538461538461528</v>
      </c>
      <c r="D850" s="10">
        <v>6156</v>
      </c>
      <c r="E850" s="11">
        <v>62.6</v>
      </c>
      <c r="F850" s="11">
        <v>3.1084200000000002</v>
      </c>
      <c r="G850" s="11">
        <v>3.5</v>
      </c>
      <c r="H850" s="55">
        <v>15238.6</v>
      </c>
      <c r="I850" s="56">
        <f>IF(Tabela1610[[#This Row],[Real Disposable Income (RDI)]]="",#N/A,((Tabela1610[[#This Row],[Real Disposable Income (RDI)]]*1)/H849)-1)</f>
        <v>3.5496256099889489E-3</v>
      </c>
      <c r="J850" s="56">
        <f>IF(Tabela1610[[#This Row],[Real Disposable Income (RDI)]]="",#N/A,((Tabela1610[[#This Row],[Real Disposable Income (RDI)]]*1)/H838)-1)</f>
        <v>3.8171995394562064E-2</v>
      </c>
      <c r="K850" s="10">
        <v>211000</v>
      </c>
      <c r="L850" s="11">
        <v>22.4</v>
      </c>
      <c r="M850" s="10">
        <v>250</v>
      </c>
      <c r="N850" s="10">
        <f>IF(Tabela1610[[#This Row],[Payroll]]="",#N/A,AVERAGE(M848:M850))</f>
        <v>172.33333333333334</v>
      </c>
      <c r="O850" s="10">
        <v>7208</v>
      </c>
      <c r="P850" s="7">
        <f>IF(Tabela1610[[#This Row],[JOLTS]]="",#N/A,Tabela1610[[#This Row],[JOLTS]]/Tabela1610[[#This Row],[Unemployment Level]])</f>
        <v>1.1708901884340481</v>
      </c>
    </row>
    <row r="851" spans="1:16">
      <c r="A851" s="6">
        <v>43344</v>
      </c>
      <c r="B851" s="11">
        <v>3.7</v>
      </c>
      <c r="C851" s="11">
        <f>IF(Tabela1610[[#This Row],[Unemployment Rate]]="",#N/A,AVERAGE(B839:B851))</f>
        <v>3.9999999999999996</v>
      </c>
      <c r="D851" s="10">
        <v>6073</v>
      </c>
      <c r="E851" s="11">
        <v>62.8</v>
      </c>
      <c r="F851" s="11">
        <v>3.1332599999999999</v>
      </c>
      <c r="G851" s="11">
        <v>3.5</v>
      </c>
      <c r="H851" s="55">
        <v>15237.5</v>
      </c>
      <c r="I851" s="56">
        <f>IF(Tabela1610[[#This Row],[Real Disposable Income (RDI)]]="",#N/A,((Tabela1610[[#This Row],[Real Disposable Income (RDI)]]*1)/H850)-1)</f>
        <v>-7.2185108868305647E-5</v>
      </c>
      <c r="J851" s="56">
        <f>IF(Tabela1610[[#This Row],[Real Disposable Income (RDI)]]="",#N/A,((Tabela1610[[#This Row],[Real Disposable Income (RDI)]]*1)/H839)-1)</f>
        <v>3.6141710866313126E-2</v>
      </c>
      <c r="K851" s="10">
        <v>210000</v>
      </c>
      <c r="L851" s="11">
        <v>24.2</v>
      </c>
      <c r="M851" s="10">
        <v>89</v>
      </c>
      <c r="N851" s="10">
        <f>IF(Tabela1610[[#This Row],[Payroll]]="",#N/A,AVERAGE(M849:M851))</f>
        <v>131.66666666666666</v>
      </c>
      <c r="O851" s="10">
        <v>7411</v>
      </c>
      <c r="P851" s="7">
        <f>IF(Tabela1610[[#This Row],[JOLTS]]="",#N/A,Tabela1610[[#This Row],[JOLTS]]/Tabela1610[[#This Row],[Unemployment Level]])</f>
        <v>1.2203194467314342</v>
      </c>
    </row>
    <row r="852" spans="1:16">
      <c r="A852" s="6">
        <v>43374</v>
      </c>
      <c r="B852" s="11">
        <v>3.8</v>
      </c>
      <c r="C852" s="11">
        <f>IF(Tabela1610[[#This Row],[Unemployment Rate]]="",#N/A,AVERAGE(B840:B852))</f>
        <v>3.9615384615384608</v>
      </c>
      <c r="D852" s="10">
        <v>6211</v>
      </c>
      <c r="E852" s="11">
        <v>62.9</v>
      </c>
      <c r="F852" s="11">
        <v>3.2842600000000002</v>
      </c>
      <c r="G852" s="11">
        <v>3.7</v>
      </c>
      <c r="H852" s="55">
        <v>15274.1</v>
      </c>
      <c r="I852" s="56">
        <f>IF(Tabela1610[[#This Row],[Real Disposable Income (RDI)]]="",#N/A,((Tabela1610[[#This Row],[Real Disposable Income (RDI)]]*1)/H851)-1)</f>
        <v>2.4019688269072414E-3</v>
      </c>
      <c r="J852" s="56">
        <f>IF(Tabela1610[[#This Row],[Real Disposable Income (RDI)]]="",#N/A,((Tabela1610[[#This Row],[Real Disposable Income (RDI)]]*1)/H840)-1)</f>
        <v>3.5630500522083386E-2</v>
      </c>
      <c r="K852" s="10">
        <v>216000</v>
      </c>
      <c r="L852" s="11">
        <v>23.1</v>
      </c>
      <c r="M852" s="10">
        <v>165</v>
      </c>
      <c r="N852" s="10">
        <f>IF(Tabela1610[[#This Row],[Payroll]]="",#N/A,AVERAGE(M850:M852))</f>
        <v>168</v>
      </c>
      <c r="O852" s="10">
        <v>7304</v>
      </c>
      <c r="P852" s="7">
        <f>IF(Tabela1610[[#This Row],[JOLTS]]="",#N/A,Tabela1610[[#This Row],[JOLTS]]/Tabela1610[[#This Row],[Unemployment Level]])</f>
        <v>1.1759781033649976</v>
      </c>
    </row>
    <row r="853" spans="1:16">
      <c r="A853" s="6">
        <v>43405</v>
      </c>
      <c r="B853" s="11">
        <v>3.8</v>
      </c>
      <c r="C853" s="11">
        <f>IF(Tabela1610[[#This Row],[Unemployment Rate]]="",#N/A,AVERAGE(B841:B853))</f>
        <v>3.9307692307692301</v>
      </c>
      <c r="D853" s="10">
        <v>6115</v>
      </c>
      <c r="E853" s="11">
        <v>62.9</v>
      </c>
      <c r="F853" s="11">
        <v>3.4690799999999999</v>
      </c>
      <c r="G853" s="11">
        <v>3.9</v>
      </c>
      <c r="H853" s="55">
        <v>15315.2</v>
      </c>
      <c r="I853" s="56">
        <f>IF(Tabela1610[[#This Row],[Real Disposable Income (RDI)]]="",#N/A,((Tabela1610[[#This Row],[Real Disposable Income (RDI)]]*1)/H852)-1)</f>
        <v>2.6908295742467114E-3</v>
      </c>
      <c r="J853" s="56">
        <f>IF(Tabela1610[[#This Row],[Real Disposable Income (RDI)]]="",#N/A,((Tabela1610[[#This Row],[Real Disposable Income (RDI)]]*1)/H841)-1)</f>
        <v>3.6835442181015754E-2</v>
      </c>
      <c r="K853" s="10">
        <v>237000</v>
      </c>
      <c r="L853" s="11">
        <v>22.1</v>
      </c>
      <c r="M853" s="10">
        <v>96</v>
      </c>
      <c r="N853" s="10">
        <f>IF(Tabela1610[[#This Row],[Payroll]]="",#N/A,AVERAGE(M851:M853))</f>
        <v>116.66666666666667</v>
      </c>
      <c r="O853" s="10">
        <v>7594</v>
      </c>
      <c r="P853" s="7">
        <f>IF(Tabela1610[[#This Row],[JOLTS]]="",#N/A,Tabela1610[[#This Row],[JOLTS]]/Tabela1610[[#This Row],[Unemployment Level]])</f>
        <v>1.2418642681929681</v>
      </c>
    </row>
    <row r="854" spans="1:16">
      <c r="A854" s="6">
        <v>43435</v>
      </c>
      <c r="B854" s="11">
        <v>3.9</v>
      </c>
      <c r="C854" s="11">
        <f>IF(Tabela1610[[#This Row],[Unemployment Rate]]="",#N/A,AVERAGE(B842:B854))</f>
        <v>3.9076923076923076</v>
      </c>
      <c r="D854" s="10">
        <v>6389</v>
      </c>
      <c r="E854" s="11">
        <v>63</v>
      </c>
      <c r="F854" s="11">
        <v>3.57009</v>
      </c>
      <c r="G854" s="11">
        <v>3.8</v>
      </c>
      <c r="H854" s="55">
        <v>15506.5</v>
      </c>
      <c r="I854" s="56">
        <f>IF(Tabela1610[[#This Row],[Real Disposable Income (RDI)]]="",#N/A,((Tabela1610[[#This Row],[Real Disposable Income (RDI)]]*1)/H853)-1)</f>
        <v>1.249085875470124E-2</v>
      </c>
      <c r="J854" s="56">
        <f>IF(Tabela1610[[#This Row],[Real Disposable Income (RDI)]]="",#N/A,((Tabela1610[[#This Row],[Real Disposable Income (RDI)]]*1)/H842)-1)</f>
        <v>4.7885172896154238E-2</v>
      </c>
      <c r="K854" s="10">
        <v>238000</v>
      </c>
      <c r="L854" s="11">
        <v>21.9</v>
      </c>
      <c r="M854" s="10">
        <v>183</v>
      </c>
      <c r="N854" s="10">
        <f>IF(Tabela1610[[#This Row],[Payroll]]="",#N/A,AVERAGE(M852:M854))</f>
        <v>148</v>
      </c>
      <c r="O854" s="10">
        <v>7489</v>
      </c>
      <c r="P854" s="7">
        <f>IF(Tabela1610[[#This Row],[JOLTS]]="",#N/A,Tabela1610[[#This Row],[JOLTS]]/Tabela1610[[#This Row],[Unemployment Level]])</f>
        <v>1.17217091876663</v>
      </c>
    </row>
    <row r="855" spans="1:16">
      <c r="A855" s="6">
        <v>43466</v>
      </c>
      <c r="B855" s="11">
        <v>4</v>
      </c>
      <c r="C855" s="11">
        <f>IF(Tabela1610[[#This Row],[Unemployment Rate]]="",#N/A,AVERAGE(B843:B855))</f>
        <v>3.8999999999999995</v>
      </c>
      <c r="D855" s="10">
        <v>6439</v>
      </c>
      <c r="E855" s="11">
        <v>63.1</v>
      </c>
      <c r="F855" s="11">
        <v>3.2173600000000002</v>
      </c>
      <c r="G855" s="11">
        <v>3.8</v>
      </c>
      <c r="H855" s="55">
        <v>15501.7</v>
      </c>
      <c r="I855" s="56">
        <f>IF(Tabela1610[[#This Row],[Real Disposable Income (RDI)]]="",#N/A,((Tabela1610[[#This Row],[Real Disposable Income (RDI)]]*1)/H854)-1)</f>
        <v>-3.0954760906709566E-4</v>
      </c>
      <c r="J855" s="56">
        <f>IF(Tabela1610[[#This Row],[Real Disposable Income (RDI)]]="",#N/A,((Tabela1610[[#This Row],[Real Disposable Income (RDI)]]*1)/H843)-1)</f>
        <v>4.1319038598471192E-2</v>
      </c>
      <c r="K855" s="10">
        <v>235000</v>
      </c>
      <c r="L855" s="11">
        <v>20.5</v>
      </c>
      <c r="M855" s="10">
        <v>309</v>
      </c>
      <c r="N855" s="10">
        <f>IF(Tabela1610[[#This Row],[Payroll]]="",#N/A,AVERAGE(M853:M855))</f>
        <v>196</v>
      </c>
      <c r="O855" s="10">
        <v>7517</v>
      </c>
      <c r="P855" s="7">
        <f>IF(Tabela1610[[#This Row],[JOLTS]]="",#N/A,Tabela1610[[#This Row],[JOLTS]]/Tabela1610[[#This Row],[Unemployment Level]])</f>
        <v>1.1674173008231092</v>
      </c>
    </row>
    <row r="856" spans="1:16">
      <c r="A856" s="6">
        <v>43497</v>
      </c>
      <c r="B856" s="11">
        <v>3.8</v>
      </c>
      <c r="C856" s="11">
        <f>IF(Tabela1610[[#This Row],[Unemployment Rate]]="",#N/A,AVERAGE(B844:B856))</f>
        <v>3.8846153846153841</v>
      </c>
      <c r="D856" s="10">
        <v>6115</v>
      </c>
      <c r="E856" s="11">
        <v>63.1</v>
      </c>
      <c r="F856" s="11">
        <v>3.5514000000000001</v>
      </c>
      <c r="G856" s="11">
        <v>3.4</v>
      </c>
      <c r="H856" s="55">
        <v>15553.7</v>
      </c>
      <c r="I856" s="56">
        <f>IF(Tabela1610[[#This Row],[Real Disposable Income (RDI)]]="",#N/A,((Tabela1610[[#This Row],[Real Disposable Income (RDI)]]*1)/H855)-1)</f>
        <v>3.3544707999768608E-3</v>
      </c>
      <c r="J856" s="56">
        <f>IF(Tabela1610[[#This Row],[Real Disposable Income (RDI)]]="",#N/A,((Tabela1610[[#This Row],[Real Disposable Income (RDI)]]*1)/H844)-1)</f>
        <v>4.2396338071589934E-2</v>
      </c>
      <c r="K856" s="10">
        <v>225000</v>
      </c>
      <c r="L856" s="11">
        <v>21.8</v>
      </c>
      <c r="M856" s="10">
        <v>-22</v>
      </c>
      <c r="N856" s="10">
        <f>IF(Tabela1610[[#This Row],[Payroll]]="",#N/A,AVERAGE(M854:M856))</f>
        <v>156.66666666666666</v>
      </c>
      <c r="O856" s="10">
        <v>7072</v>
      </c>
      <c r="P856" s="7">
        <f>IF(Tabela1610[[#This Row],[JOLTS]]="",#N/A,Tabela1610[[#This Row],[JOLTS]]/Tabela1610[[#This Row],[Unemployment Level]])</f>
        <v>1.156500408830744</v>
      </c>
    </row>
    <row r="857" spans="1:16">
      <c r="A857" s="6">
        <v>43525</v>
      </c>
      <c r="B857" s="11">
        <v>3.8</v>
      </c>
      <c r="C857" s="11">
        <f>IF(Tabela1610[[#This Row],[Unemployment Rate]]="",#N/A,AVERAGE(B845:B857))</f>
        <v>3.8615384615384611</v>
      </c>
      <c r="D857" s="10">
        <v>6182</v>
      </c>
      <c r="E857" s="11">
        <v>63</v>
      </c>
      <c r="F857" s="11">
        <v>3.4624000000000001</v>
      </c>
      <c r="G857" s="11">
        <v>3.5</v>
      </c>
      <c r="H857" s="55">
        <v>15568.9</v>
      </c>
      <c r="I857" s="56">
        <f>IF(Tabela1610[[#This Row],[Real Disposable Income (RDI)]]="",#N/A,((Tabela1610[[#This Row],[Real Disposable Income (RDI)]]*1)/H856)-1)</f>
        <v>9.7725943023196926E-4</v>
      </c>
      <c r="J857" s="56">
        <f>IF(Tabela1610[[#This Row],[Real Disposable Income (RDI)]]="",#N/A,((Tabela1610[[#This Row],[Real Disposable Income (RDI)]]*1)/H845)-1)</f>
        <v>3.9673317840638989E-2</v>
      </c>
      <c r="K857" s="10">
        <v>206000</v>
      </c>
      <c r="L857" s="11">
        <v>22.2</v>
      </c>
      <c r="M857" s="10">
        <v>228</v>
      </c>
      <c r="N857" s="10">
        <f>IF(Tabela1610[[#This Row],[Payroll]]="",#N/A,AVERAGE(M855:M857))</f>
        <v>171.66666666666666</v>
      </c>
      <c r="O857" s="10">
        <v>7337</v>
      </c>
      <c r="P857" s="7">
        <f>IF(Tabela1610[[#This Row],[JOLTS]]="",#N/A,Tabela1610[[#This Row],[JOLTS]]/Tabela1610[[#This Row],[Unemployment Level]])</f>
        <v>1.186832740213523</v>
      </c>
    </row>
    <row r="858" spans="1:16">
      <c r="A858" s="6">
        <v>43556</v>
      </c>
      <c r="B858" s="11">
        <v>3.6</v>
      </c>
      <c r="C858" s="11">
        <f>IF(Tabela1610[[#This Row],[Unemployment Rate]]="",#N/A,AVERAGE(B846:B858))</f>
        <v>3.8307692307692305</v>
      </c>
      <c r="D858" s="10">
        <v>5911</v>
      </c>
      <c r="E858" s="11">
        <v>62.9</v>
      </c>
      <c r="F858" s="11">
        <v>3.1203599999999998</v>
      </c>
      <c r="G858" s="11">
        <v>3.6</v>
      </c>
      <c r="H858" s="55">
        <v>15524.4</v>
      </c>
      <c r="I858" s="56">
        <f>IF(Tabela1610[[#This Row],[Real Disposable Income (RDI)]]="",#N/A,((Tabela1610[[#This Row],[Real Disposable Income (RDI)]]*1)/H857)-1)</f>
        <v>-2.858262304979764E-3</v>
      </c>
      <c r="J858" s="56">
        <f>IF(Tabela1610[[#This Row],[Real Disposable Income (RDI)]]="",#N/A,((Tabela1610[[#This Row],[Real Disposable Income (RDI)]]*1)/H846)-1)</f>
        <v>3.4463457540380604E-2</v>
      </c>
      <c r="K858" s="10">
        <v>225000</v>
      </c>
      <c r="L858" s="11">
        <v>22.5</v>
      </c>
      <c r="M858" s="10">
        <v>243</v>
      </c>
      <c r="N858" s="10">
        <f>IF(Tabela1610[[#This Row],[Payroll]]="",#N/A,AVERAGE(M856:M858))</f>
        <v>149.66666666666666</v>
      </c>
      <c r="O858" s="10">
        <v>7191</v>
      </c>
      <c r="P858" s="7">
        <f>IF(Tabela1610[[#This Row],[JOLTS]]="",#N/A,Tabela1610[[#This Row],[JOLTS]]/Tabela1610[[#This Row],[Unemployment Level]])</f>
        <v>1.2165454237861615</v>
      </c>
    </row>
    <row r="859" spans="1:16">
      <c r="A859" s="6">
        <v>43586</v>
      </c>
      <c r="B859" s="11">
        <v>3.7</v>
      </c>
      <c r="C859" s="11">
        <f>IF(Tabela1610[[#This Row],[Unemployment Rate]]="",#N/A,AVERAGE(B847:B859))</f>
        <v>3.807692307692307</v>
      </c>
      <c r="D859" s="10">
        <v>5941</v>
      </c>
      <c r="E859" s="11">
        <v>62.9</v>
      </c>
      <c r="F859" s="11">
        <v>3.2616800000000001</v>
      </c>
      <c r="G859" s="11">
        <v>3.7</v>
      </c>
      <c r="H859" s="55">
        <v>15519.6</v>
      </c>
      <c r="I859" s="56">
        <f>IF(Tabela1610[[#This Row],[Real Disposable Income (RDI)]]="",#N/A,((Tabela1610[[#This Row],[Real Disposable Income (RDI)]]*1)/H858)-1)</f>
        <v>-3.0919069336010629E-4</v>
      </c>
      <c r="J859" s="56">
        <f>IF(Tabela1610[[#This Row],[Real Disposable Income (RDI)]]="",#N/A,((Tabela1610[[#This Row],[Real Disposable Income (RDI)]]*1)/H847)-1)</f>
        <v>3.0668490748980703E-2</v>
      </c>
      <c r="K859" s="10">
        <v>221000</v>
      </c>
      <c r="L859" s="11">
        <v>24</v>
      </c>
      <c r="M859" s="10">
        <v>67</v>
      </c>
      <c r="N859" s="10">
        <f>IF(Tabela1610[[#This Row],[Payroll]]="",#N/A,AVERAGE(M857:M859))</f>
        <v>179.33333333333334</v>
      </c>
      <c r="O859" s="10">
        <v>7311</v>
      </c>
      <c r="P859" s="7">
        <f>IF(Tabela1610[[#This Row],[JOLTS]]="",#N/A,Tabela1610[[#This Row],[JOLTS]]/Tabela1610[[#This Row],[Unemployment Level]])</f>
        <v>1.2306009089378893</v>
      </c>
    </row>
    <row r="860" spans="1:16">
      <c r="A860" s="6">
        <v>43617</v>
      </c>
      <c r="B860" s="11">
        <v>3.6</v>
      </c>
      <c r="C860" s="11">
        <f>IF(Tabela1610[[#This Row],[Unemployment Rate]]="",#N/A,AVERAGE(B848:B860))</f>
        <v>3.7923076923076926</v>
      </c>
      <c r="D860" s="10">
        <v>5909</v>
      </c>
      <c r="E860" s="11">
        <v>63</v>
      </c>
      <c r="F860" s="11">
        <v>3.3666299999999998</v>
      </c>
      <c r="G860" s="11">
        <v>3.9</v>
      </c>
      <c r="H860" s="55">
        <v>15546.4</v>
      </c>
      <c r="I860" s="56">
        <f>IF(Tabela1610[[#This Row],[Real Disposable Income (RDI)]]="",#N/A,((Tabela1610[[#This Row],[Real Disposable Income (RDI)]]*1)/H859)-1)</f>
        <v>1.7268486301191821E-3</v>
      </c>
      <c r="J860" s="56">
        <f>IF(Tabela1610[[#This Row],[Real Disposable Income (RDI)]]="",#N/A,((Tabela1610[[#This Row],[Real Disposable Income (RDI)]]*1)/H848)-1)</f>
        <v>2.8248662305794703E-2</v>
      </c>
      <c r="K860" s="10">
        <v>223000</v>
      </c>
      <c r="L860" s="11">
        <v>21.6</v>
      </c>
      <c r="M860" s="10">
        <v>167</v>
      </c>
      <c r="N860" s="10">
        <f>IF(Tabela1610[[#This Row],[Payroll]]="",#N/A,AVERAGE(M858:M860))</f>
        <v>159</v>
      </c>
      <c r="O860" s="10">
        <v>7139</v>
      </c>
      <c r="P860" s="7">
        <f>IF(Tabela1610[[#This Row],[JOLTS]]="",#N/A,Tabela1610[[#This Row],[JOLTS]]/Tabela1610[[#This Row],[Unemployment Level]])</f>
        <v>1.208157048569978</v>
      </c>
    </row>
    <row r="861" spans="1:16">
      <c r="A861" s="6">
        <v>43647</v>
      </c>
      <c r="B861" s="11">
        <v>3.7</v>
      </c>
      <c r="C861" s="11">
        <f>IF(Tabela1610[[#This Row],[Unemployment Rate]]="",#N/A,AVERAGE(B849:B861))</f>
        <v>3.7692307692307696</v>
      </c>
      <c r="D861" s="10">
        <v>6008</v>
      </c>
      <c r="E861" s="11">
        <v>63.1</v>
      </c>
      <c r="F861" s="11">
        <v>3.4329999999999998</v>
      </c>
      <c r="G861" s="11">
        <v>3.9</v>
      </c>
      <c r="H861" s="55">
        <v>15565.7</v>
      </c>
      <c r="I861" s="56">
        <f>IF(Tabela1610[[#This Row],[Real Disposable Income (RDI)]]="",#N/A,((Tabela1610[[#This Row],[Real Disposable Income (RDI)]]*1)/H860)-1)</f>
        <v>1.2414449647506487E-3</v>
      </c>
      <c r="J861" s="56">
        <f>IF(Tabela1610[[#This Row],[Real Disposable Income (RDI)]]="",#N/A,((Tabela1610[[#This Row],[Real Disposable Income (RDI)]]*1)/H849)-1)</f>
        <v>2.5091045591944416E-2</v>
      </c>
      <c r="K861" s="10">
        <v>200000</v>
      </c>
      <c r="L861" s="11">
        <v>19.600000000000001</v>
      </c>
      <c r="M861" s="10">
        <v>82</v>
      </c>
      <c r="N861" s="10">
        <f>IF(Tabela1610[[#This Row],[Payroll]]="",#N/A,AVERAGE(M859:M861))</f>
        <v>105.33333333333333</v>
      </c>
      <c r="O861" s="10">
        <v>7051</v>
      </c>
      <c r="P861" s="7">
        <f>IF(Tabela1610[[#This Row],[JOLTS]]="",#N/A,Tabela1610[[#This Row],[JOLTS]]/Tabela1610[[#This Row],[Unemployment Level]])</f>
        <v>1.1736018641810919</v>
      </c>
    </row>
    <row r="862" spans="1:16">
      <c r="A862" s="6">
        <v>43678</v>
      </c>
      <c r="B862" s="11">
        <v>3.7</v>
      </c>
      <c r="C862" s="11">
        <f>IF(Tabela1610[[#This Row],[Unemployment Rate]]="",#N/A,AVERAGE(B850:B862))</f>
        <v>3.7615384615384624</v>
      </c>
      <c r="D862" s="10">
        <v>5981</v>
      </c>
      <c r="E862" s="11">
        <v>63.1</v>
      </c>
      <c r="F862" s="11">
        <v>3.4191199999999999</v>
      </c>
      <c r="G862" s="11">
        <v>3.7</v>
      </c>
      <c r="H862" s="55">
        <v>15654.1</v>
      </c>
      <c r="I862" s="56">
        <f>IF(Tabela1610[[#This Row],[Real Disposable Income (RDI)]]="",#N/A,((Tabela1610[[#This Row],[Real Disposable Income (RDI)]]*1)/H861)-1)</f>
        <v>5.6791535234521628E-3</v>
      </c>
      <c r="J862" s="56">
        <f>IF(Tabela1610[[#This Row],[Real Disposable Income (RDI)]]="",#N/A,((Tabela1610[[#This Row],[Real Disposable Income (RDI)]]*1)/H850)-1)</f>
        <v>2.7266284304332311E-2</v>
      </c>
      <c r="K862" s="10">
        <v>207000</v>
      </c>
      <c r="L862" s="11">
        <v>21.9</v>
      </c>
      <c r="M862" s="10">
        <v>232</v>
      </c>
      <c r="N862" s="10">
        <f>IF(Tabela1610[[#This Row],[Payroll]]="",#N/A,AVERAGE(M860:M862))</f>
        <v>160.33333333333334</v>
      </c>
      <c r="O862" s="10">
        <v>7172</v>
      </c>
      <c r="P862" s="7">
        <f>IF(Tabela1610[[#This Row],[JOLTS]]="",#N/A,Tabela1610[[#This Row],[JOLTS]]/Tabela1610[[#This Row],[Unemployment Level]])</f>
        <v>1.1991305801705401</v>
      </c>
    </row>
    <row r="863" spans="1:16">
      <c r="A863" s="6">
        <v>43709</v>
      </c>
      <c r="B863" s="11">
        <v>3.5</v>
      </c>
      <c r="C863" s="11">
        <f>IF(Tabela1610[[#This Row],[Unemployment Rate]]="",#N/A,AVERAGE(B851:B863))</f>
        <v>3.7384615384615398</v>
      </c>
      <c r="D863" s="10">
        <v>5775</v>
      </c>
      <c r="E863" s="11">
        <v>63.2</v>
      </c>
      <c r="F863" s="11">
        <v>3.1112700000000002</v>
      </c>
      <c r="G863" s="11">
        <v>3.6</v>
      </c>
      <c r="H863" s="55">
        <v>15691.3</v>
      </c>
      <c r="I863" s="56">
        <f>IF(Tabela1610[[#This Row],[Real Disposable Income (RDI)]]="",#N/A,((Tabela1610[[#This Row],[Real Disposable Income (RDI)]]*1)/H862)-1)</f>
        <v>2.3763742406142097E-3</v>
      </c>
      <c r="J863" s="56">
        <f>IF(Tabela1610[[#This Row],[Real Disposable Income (RDI)]]="",#N/A,((Tabela1610[[#This Row],[Real Disposable Income (RDI)]]*1)/H851)-1)</f>
        <v>2.9781788351107341E-2</v>
      </c>
      <c r="K863" s="10">
        <v>209000</v>
      </c>
      <c r="L863" s="11">
        <v>22.5</v>
      </c>
      <c r="M863" s="10">
        <v>207</v>
      </c>
      <c r="N863" s="10">
        <f>IF(Tabela1610[[#This Row],[Payroll]]="",#N/A,AVERAGE(M861:M863))</f>
        <v>173.66666666666666</v>
      </c>
      <c r="O863" s="10">
        <v>7160</v>
      </c>
      <c r="P863" s="7">
        <f>IF(Tabela1610[[#This Row],[JOLTS]]="",#N/A,Tabela1610[[#This Row],[JOLTS]]/Tabela1610[[#This Row],[Unemployment Level]])</f>
        <v>1.2398268398268397</v>
      </c>
    </row>
    <row r="864" spans="1:16">
      <c r="A864" s="6">
        <v>43739</v>
      </c>
      <c r="B864" s="11">
        <v>3.6</v>
      </c>
      <c r="C864" s="11">
        <f>IF(Tabela1610[[#This Row],[Unemployment Rate]]="",#N/A,AVERAGE(B852:B864))</f>
        <v>3.7307692307692313</v>
      </c>
      <c r="D864" s="10">
        <v>5957</v>
      </c>
      <c r="E864" s="11">
        <v>63.3</v>
      </c>
      <c r="F864" s="11">
        <v>3.21637</v>
      </c>
      <c r="G864" s="11">
        <v>3.5</v>
      </c>
      <c r="H864" s="55">
        <v>15718.1</v>
      </c>
      <c r="I864" s="56">
        <f>IF(Tabela1610[[#This Row],[Real Disposable Income (RDI)]]="",#N/A,((Tabela1610[[#This Row],[Real Disposable Income (RDI)]]*1)/H863)-1)</f>
        <v>1.7079528146171086E-3</v>
      </c>
      <c r="J864" s="56">
        <f>IF(Tabela1610[[#This Row],[Real Disposable Income (RDI)]]="",#N/A,((Tabela1610[[#This Row],[Real Disposable Income (RDI)]]*1)/H852)-1)</f>
        <v>2.9068815838576345E-2</v>
      </c>
      <c r="K864" s="10">
        <v>217000</v>
      </c>
      <c r="L864" s="11">
        <v>22.4</v>
      </c>
      <c r="M864" s="10">
        <v>129</v>
      </c>
      <c r="N864" s="10">
        <f>IF(Tabela1610[[#This Row],[Payroll]]="",#N/A,AVERAGE(M862:M864))</f>
        <v>189.33333333333334</v>
      </c>
      <c r="O864" s="10">
        <v>7325</v>
      </c>
      <c r="P864" s="7">
        <f>IF(Tabela1610[[#This Row],[JOLTS]]="",#N/A,Tabela1610[[#This Row],[JOLTS]]/Tabela1610[[#This Row],[Unemployment Level]])</f>
        <v>1.2296457948631863</v>
      </c>
    </row>
    <row r="865" spans="1:16">
      <c r="A865" s="6">
        <v>43770</v>
      </c>
      <c r="B865" s="11">
        <v>3.6</v>
      </c>
      <c r="C865" s="11">
        <f>IF(Tabela1610[[#This Row],[Unemployment Rate]]="",#N/A,AVERAGE(B853:B865))</f>
        <v>3.7153846153846164</v>
      </c>
      <c r="D865" s="10">
        <v>5911</v>
      </c>
      <c r="E865" s="11">
        <v>63.3</v>
      </c>
      <c r="F865" s="11">
        <v>3.3163299999999998</v>
      </c>
      <c r="G865" s="11">
        <v>3.7</v>
      </c>
      <c r="H865" s="55">
        <v>15778.2</v>
      </c>
      <c r="I865" s="56">
        <f>IF(Tabela1610[[#This Row],[Real Disposable Income (RDI)]]="",#N/A,((Tabela1610[[#This Row],[Real Disposable Income (RDI)]]*1)/H864)-1)</f>
        <v>3.8236173583321431E-3</v>
      </c>
      <c r="J865" s="56">
        <f>IF(Tabela1610[[#This Row],[Real Disposable Income (RDI)]]="",#N/A,((Tabela1610[[#This Row],[Real Disposable Income (RDI)]]*1)/H853)-1)</f>
        <v>3.0231404095277803E-2</v>
      </c>
      <c r="K865" s="10">
        <v>229000</v>
      </c>
      <c r="L865" s="11">
        <v>20.3</v>
      </c>
      <c r="M865" s="10">
        <v>215</v>
      </c>
      <c r="N865" s="10">
        <f>IF(Tabela1610[[#This Row],[Payroll]]="",#N/A,AVERAGE(M863:M865))</f>
        <v>183.66666666666666</v>
      </c>
      <c r="O865" s="10">
        <v>6919</v>
      </c>
      <c r="P865" s="7">
        <f>IF(Tabela1610[[#This Row],[JOLTS]]="",#N/A,Tabela1610[[#This Row],[JOLTS]]/Tabela1610[[#This Row],[Unemployment Level]])</f>
        <v>1.170529521231602</v>
      </c>
    </row>
    <row r="866" spans="1:16">
      <c r="A866" s="6">
        <v>43800</v>
      </c>
      <c r="B866" s="11">
        <v>3.6</v>
      </c>
      <c r="C866" s="11">
        <f>IF(Tabela1610[[#This Row],[Unemployment Rate]]="",#N/A,AVERAGE(B854:B866))</f>
        <v>3.7000000000000006</v>
      </c>
      <c r="D866" s="10">
        <v>5870</v>
      </c>
      <c r="E866" s="11">
        <v>63.3</v>
      </c>
      <c r="F866" s="11">
        <v>2.9390399999999999</v>
      </c>
      <c r="G866" s="11">
        <v>3.7</v>
      </c>
      <c r="H866" s="55">
        <v>15684.8</v>
      </c>
      <c r="I866" s="56">
        <f>IF(Tabela1610[[#This Row],[Real Disposable Income (RDI)]]="",#N/A,((Tabela1610[[#This Row],[Real Disposable Income (RDI)]]*1)/H865)-1)</f>
        <v>-5.9195598991014231E-3</v>
      </c>
      <c r="J866" s="56">
        <f>IF(Tabela1610[[#This Row],[Real Disposable Income (RDI)]]="",#N/A,((Tabela1610[[#This Row],[Real Disposable Income (RDI)]]*1)/H854)-1)</f>
        <v>1.1498403895140674E-2</v>
      </c>
      <c r="K866" s="10">
        <v>233000</v>
      </c>
      <c r="L866" s="11">
        <v>20.7</v>
      </c>
      <c r="M866" s="10">
        <v>102</v>
      </c>
      <c r="N866" s="10">
        <f>IF(Tabela1610[[#This Row],[Payroll]]="",#N/A,AVERAGE(M864:M866))</f>
        <v>148.66666666666666</v>
      </c>
      <c r="O866" s="10">
        <v>6709</v>
      </c>
      <c r="P866" s="7">
        <f>IF(Tabela1610[[#This Row],[JOLTS]]="",#N/A,Tabela1610[[#This Row],[JOLTS]]/Tabela1610[[#This Row],[Unemployment Level]])</f>
        <v>1.1429301533219762</v>
      </c>
    </row>
    <row r="867" spans="1:16">
      <c r="A867" s="6">
        <v>43831</v>
      </c>
      <c r="B867" s="11">
        <v>3.5</v>
      </c>
      <c r="C867" s="11">
        <f>IF(Tabela1610[[#This Row],[Unemployment Rate]]="",#N/A,AVERAGE(B855:B867))</f>
        <v>3.6692307692307695</v>
      </c>
      <c r="D867" s="10">
        <v>5804</v>
      </c>
      <c r="E867" s="11">
        <v>63.3</v>
      </c>
      <c r="F867" s="11">
        <v>3.0445799999999998</v>
      </c>
      <c r="G867" s="11">
        <v>3.8</v>
      </c>
      <c r="H867" s="55">
        <v>15852.5</v>
      </c>
      <c r="I867" s="56">
        <f>IF(Tabela1610[[#This Row],[Real Disposable Income (RDI)]]="",#N/A,((Tabela1610[[#This Row],[Real Disposable Income (RDI)]]*1)/H866)-1)</f>
        <v>1.06918800367235E-2</v>
      </c>
      <c r="J867" s="56">
        <f>IF(Tabela1610[[#This Row],[Real Disposable Income (RDI)]]="",#N/A,((Tabela1610[[#This Row],[Real Disposable Income (RDI)]]*1)/H855)-1)</f>
        <v>2.2629776089074127E-2</v>
      </c>
      <c r="K867" s="10">
        <v>210000</v>
      </c>
      <c r="L867" s="11">
        <v>21.9</v>
      </c>
      <c r="M867" s="10">
        <v>334</v>
      </c>
      <c r="N867" s="10">
        <f>IF(Tabela1610[[#This Row],[Payroll]]="",#N/A,AVERAGE(M865:M867))</f>
        <v>217</v>
      </c>
      <c r="O867" s="10">
        <v>7184</v>
      </c>
      <c r="P867" s="7">
        <f>IF(Tabela1610[[#This Row],[JOLTS]]="",#N/A,Tabela1610[[#This Row],[JOLTS]]/Tabela1610[[#This Row],[Unemployment Level]])</f>
        <v>1.2377670572019297</v>
      </c>
    </row>
    <row r="868" spans="1:16">
      <c r="A868" s="6">
        <v>43862</v>
      </c>
      <c r="B868" s="11">
        <v>3.5</v>
      </c>
      <c r="C868" s="11">
        <f>IF(Tabela1610[[#This Row],[Unemployment Rate]]="",#N/A,AVERAGE(B856:B868))</f>
        <v>3.6307692307692312</v>
      </c>
      <c r="D868" s="10">
        <v>5708</v>
      </c>
      <c r="E868" s="11">
        <v>63.3</v>
      </c>
      <c r="F868" s="11">
        <v>3.0685899999999999</v>
      </c>
      <c r="G868" s="11">
        <v>3.7</v>
      </c>
      <c r="H868" s="55">
        <v>15918</v>
      </c>
      <c r="I868" s="56">
        <f>IF(Tabela1610[[#This Row],[Real Disposable Income (RDI)]]="",#N/A,((Tabela1610[[#This Row],[Real Disposable Income (RDI)]]*1)/H867)-1)</f>
        <v>4.1318404037218315E-3</v>
      </c>
      <c r="J868" s="56">
        <f>IF(Tabela1610[[#This Row],[Real Disposable Income (RDI)]]="",#N/A,((Tabela1610[[#This Row],[Real Disposable Income (RDI)]]*1)/H856)-1)</f>
        <v>2.3422079633784731E-2</v>
      </c>
      <c r="K868" s="10">
        <v>219000</v>
      </c>
      <c r="L868" s="11">
        <v>20.6</v>
      </c>
      <c r="M868" s="10">
        <v>273</v>
      </c>
      <c r="N868" s="10">
        <f>IF(Tabela1610[[#This Row],[Payroll]]="",#N/A,AVERAGE(M866:M868))</f>
        <v>236.33333333333334</v>
      </c>
      <c r="O868" s="10">
        <v>6995</v>
      </c>
      <c r="P868" s="7">
        <f>IF(Tabela1610[[#This Row],[JOLTS]]="",#N/A,Tabela1610[[#This Row],[JOLTS]]/Tabela1610[[#This Row],[Unemployment Level]])</f>
        <v>1.2254730203223545</v>
      </c>
    </row>
    <row r="869" spans="1:16">
      <c r="A869" s="6">
        <v>43891</v>
      </c>
      <c r="B869" s="11">
        <v>4.4000000000000004</v>
      </c>
      <c r="C869" s="11">
        <f>IF(Tabela1610[[#This Row],[Unemployment Rate]]="",#N/A,AVERAGE(B857:B869))</f>
        <v>3.6769230769230772</v>
      </c>
      <c r="D869" s="10">
        <v>7184</v>
      </c>
      <c r="E869" s="11">
        <v>62.6</v>
      </c>
      <c r="F869" s="11">
        <v>3.6343999999999999</v>
      </c>
      <c r="G869" s="11">
        <v>3.5</v>
      </c>
      <c r="H869" s="55">
        <v>15696.3</v>
      </c>
      <c r="I869" s="56">
        <f>IF(Tabela1610[[#This Row],[Real Disposable Income (RDI)]]="",#N/A,((Tabela1610[[#This Row],[Real Disposable Income (RDI)]]*1)/H868)-1)</f>
        <v>-1.3927629099133143E-2</v>
      </c>
      <c r="J869" s="56">
        <f>IF(Tabela1610[[#This Row],[Real Disposable Income (RDI)]]="",#N/A,((Tabela1610[[#This Row],[Real Disposable Income (RDI)]]*1)/H857)-1)</f>
        <v>8.1829801720094686E-3</v>
      </c>
      <c r="K869" s="10">
        <v>5946000</v>
      </c>
      <c r="L869" s="11">
        <v>17</v>
      </c>
      <c r="M869" s="10">
        <v>-1427</v>
      </c>
      <c r="N869" s="10">
        <f>IF(Tabela1610[[#This Row],[Payroll]]="",#N/A,AVERAGE(M867:M869))</f>
        <v>-273.33333333333331</v>
      </c>
      <c r="O869" s="10">
        <v>5794</v>
      </c>
      <c r="P869" s="7">
        <f>IF(Tabela1610[[#This Row],[JOLTS]]="",#N/A,Tabela1610[[#This Row],[JOLTS]]/Tabela1610[[#This Row],[Unemployment Level]])</f>
        <v>0.80651447661469933</v>
      </c>
    </row>
    <row r="870" spans="1:16">
      <c r="A870" s="6">
        <v>43922</v>
      </c>
      <c r="B870" s="11">
        <v>14.7</v>
      </c>
      <c r="C870" s="11">
        <f>IF(Tabela1610[[#This Row],[Unemployment Rate]]="",#N/A,AVERAGE(B858:B870))</f>
        <v>4.5153846153846153</v>
      </c>
      <c r="D870" s="10">
        <v>23050</v>
      </c>
      <c r="E870" s="11">
        <v>60.1</v>
      </c>
      <c r="F870" s="11">
        <v>8.1051900000000003</v>
      </c>
      <c r="G870" s="11">
        <v>3.3</v>
      </c>
      <c r="H870" s="55">
        <v>18020.2</v>
      </c>
      <c r="I870" s="56">
        <f>IF(Tabela1610[[#This Row],[Real Disposable Income (RDI)]]="",#N/A,((Tabela1610[[#This Row],[Real Disposable Income (RDI)]]*1)/H869)-1)</f>
        <v>0.14805399998725832</v>
      </c>
      <c r="J870" s="56">
        <f>IF(Tabela1610[[#This Row],[Real Disposable Income (RDI)]]="",#N/A,((Tabela1610[[#This Row],[Real Disposable Income (RDI)]]*1)/H858)-1)</f>
        <v>0.16076627760171092</v>
      </c>
      <c r="K870" s="10">
        <v>3446000</v>
      </c>
      <c r="L870" s="11">
        <v>7.1</v>
      </c>
      <c r="M870" s="10">
        <v>-20514</v>
      </c>
      <c r="N870" s="10">
        <f>IF(Tabela1610[[#This Row],[Payroll]]="",#N/A,AVERAGE(M868:M870))</f>
        <v>-7222.666666666667</v>
      </c>
      <c r="O870" s="10">
        <v>4686</v>
      </c>
      <c r="P870" s="7">
        <f>IF(Tabela1610[[#This Row],[JOLTS]]="",#N/A,Tabela1610[[#This Row],[JOLTS]]/Tabela1610[[#This Row],[Unemployment Level]])</f>
        <v>0.20329718004338396</v>
      </c>
    </row>
    <row r="871" spans="1:16">
      <c r="A871" s="6">
        <v>43952</v>
      </c>
      <c r="B871" s="11">
        <v>13.2</v>
      </c>
      <c r="C871" s="11">
        <f>IF(Tabela1610[[#This Row],[Unemployment Rate]]="",#N/A,AVERAGE(B859:B871))</f>
        <v>5.2538461538461538</v>
      </c>
      <c r="D871" s="10">
        <v>20939</v>
      </c>
      <c r="E871" s="11">
        <v>60.8</v>
      </c>
      <c r="F871" s="11">
        <v>6.67624</v>
      </c>
      <c r="G871" s="11">
        <v>3.5</v>
      </c>
      <c r="H871" s="55">
        <v>17104.599999999999</v>
      </c>
      <c r="I871" s="56">
        <f>IF(Tabela1610[[#This Row],[Real Disposable Income (RDI)]]="",#N/A,((Tabela1610[[#This Row],[Real Disposable Income (RDI)]]*1)/H870)-1)</f>
        <v>-5.0809646951754273E-2</v>
      </c>
      <c r="J871" s="56">
        <f>IF(Tabela1610[[#This Row],[Real Disposable Income (RDI)]]="",#N/A,((Tabela1610[[#This Row],[Real Disposable Income (RDI)]]*1)/H859)-1)</f>
        <v>0.10212892084847525</v>
      </c>
      <c r="K871" s="10">
        <v>1639000</v>
      </c>
      <c r="L871" s="11">
        <v>10.5</v>
      </c>
      <c r="M871" s="10">
        <v>2625</v>
      </c>
      <c r="N871" s="10">
        <f>IF(Tabela1610[[#This Row],[Payroll]]="",#N/A,AVERAGE(M869:M871))</f>
        <v>-6438.666666666667</v>
      </c>
      <c r="O871" s="10">
        <v>5581</v>
      </c>
      <c r="P871" s="7">
        <f>IF(Tabela1610[[#This Row],[JOLTS]]="",#N/A,Tabela1610[[#This Row],[JOLTS]]/Tabela1610[[#This Row],[Unemployment Level]])</f>
        <v>0.26653612875495486</v>
      </c>
    </row>
    <row r="872" spans="1:16">
      <c r="A872" s="6">
        <v>43983</v>
      </c>
      <c r="B872" s="11">
        <v>11</v>
      </c>
      <c r="C872" s="11">
        <f>IF(Tabela1610[[#This Row],[Unemployment Rate]]="",#N/A,AVERAGE(B860:B872))</f>
        <v>5.815384615384616</v>
      </c>
      <c r="D872" s="10">
        <v>17624</v>
      </c>
      <c r="E872" s="11">
        <v>61.5</v>
      </c>
      <c r="F872" s="11">
        <v>5.1181099999999997</v>
      </c>
      <c r="G872" s="11">
        <v>3.8</v>
      </c>
      <c r="H872" s="55">
        <v>17035</v>
      </c>
      <c r="I872" s="56">
        <f>IF(Tabela1610[[#This Row],[Real Disposable Income (RDI)]]="",#N/A,((Tabela1610[[#This Row],[Real Disposable Income (RDI)]]*1)/H871)-1)</f>
        <v>-4.069080832056815E-3</v>
      </c>
      <c r="J872" s="56">
        <f>IF(Tabela1610[[#This Row],[Real Disposable Income (RDI)]]="",#N/A,((Tabela1610[[#This Row],[Real Disposable Income (RDI)]]*1)/H860)-1)</f>
        <v>9.5752071219060486E-2</v>
      </c>
      <c r="K872" s="10">
        <v>1446000</v>
      </c>
      <c r="L872" s="11">
        <v>14.3</v>
      </c>
      <c r="M872" s="10">
        <v>4565</v>
      </c>
      <c r="N872" s="10">
        <f>IF(Tabela1610[[#This Row],[Payroll]]="",#N/A,AVERAGE(M870:M872))</f>
        <v>-4441.333333333333</v>
      </c>
      <c r="O872" s="10">
        <v>6119</v>
      </c>
      <c r="P872" s="7">
        <f>IF(Tabela1610[[#This Row],[JOLTS]]="",#N/A,Tabela1610[[#This Row],[JOLTS]]/Tabela1610[[#This Row],[Unemployment Level]])</f>
        <v>0.34719700408533816</v>
      </c>
    </row>
    <row r="873" spans="1:16">
      <c r="A873" s="6">
        <v>44013</v>
      </c>
      <c r="B873" s="11">
        <v>10.199999999999999</v>
      </c>
      <c r="C873" s="11">
        <f>IF(Tabela1610[[#This Row],[Unemployment Rate]]="",#N/A,AVERAGE(B861:B873))</f>
        <v>6.3230769230769237</v>
      </c>
      <c r="D873" s="10">
        <v>16324</v>
      </c>
      <c r="E873" s="11">
        <v>61.5</v>
      </c>
      <c r="F873" s="11">
        <v>4.8893599999999999</v>
      </c>
      <c r="G873" s="11">
        <v>3.9</v>
      </c>
      <c r="H873" s="55">
        <v>17193.2</v>
      </c>
      <c r="I873" s="56">
        <f>IF(Tabela1610[[#This Row],[Real Disposable Income (RDI)]]="",#N/A,((Tabela1610[[#This Row],[Real Disposable Income (RDI)]]*1)/H872)-1)</f>
        <v>9.2867625476960036E-3</v>
      </c>
      <c r="J873" s="56">
        <f>IF(Tabela1610[[#This Row],[Real Disposable Income (RDI)]]="",#N/A,((Tabela1610[[#This Row],[Real Disposable Income (RDI)]]*1)/H861)-1)</f>
        <v>0.10455681402057082</v>
      </c>
      <c r="K873" s="10">
        <v>1260000</v>
      </c>
      <c r="L873" s="11">
        <v>17</v>
      </c>
      <c r="M873" s="10">
        <v>1444</v>
      </c>
      <c r="N873" s="10">
        <f>IF(Tabela1610[[#This Row],[Payroll]]="",#N/A,AVERAGE(M871:M873))</f>
        <v>2878</v>
      </c>
      <c r="O873" s="10">
        <v>6514</v>
      </c>
      <c r="P873" s="7">
        <f>IF(Tabela1610[[#This Row],[JOLTS]]="",#N/A,Tabela1610[[#This Row],[JOLTS]]/Tabela1610[[#This Row],[Unemployment Level]])</f>
        <v>0.39904435187454057</v>
      </c>
    </row>
    <row r="874" spans="1:16">
      <c r="A874" s="6">
        <v>44044</v>
      </c>
      <c r="B874" s="11">
        <v>8.4</v>
      </c>
      <c r="C874" s="11">
        <f>IF(Tabela1610[[#This Row],[Unemployment Rate]]="",#N/A,AVERAGE(B862:B874))</f>
        <v>6.6846153846153848</v>
      </c>
      <c r="D874" s="10">
        <v>13521</v>
      </c>
      <c r="E874" s="11">
        <v>61.7</v>
      </c>
      <c r="F874" s="11">
        <v>4.79915</v>
      </c>
      <c r="G874" s="11">
        <v>3.5</v>
      </c>
      <c r="H874" s="55">
        <v>16525.8</v>
      </c>
      <c r="I874" s="56">
        <f>IF(Tabela1610[[#This Row],[Real Disposable Income (RDI)]]="",#N/A,((Tabela1610[[#This Row],[Real Disposable Income (RDI)]]*1)/H873)-1)</f>
        <v>-3.8817672102924528E-2</v>
      </c>
      <c r="J874" s="56">
        <f>IF(Tabela1610[[#This Row],[Real Disposable Income (RDI)]]="",#N/A,((Tabela1610[[#This Row],[Real Disposable Income (RDI)]]*1)/H862)-1)</f>
        <v>5.5685092084501786E-2</v>
      </c>
      <c r="K874" s="10">
        <v>881000</v>
      </c>
      <c r="L874" s="11">
        <v>19.899999999999999</v>
      </c>
      <c r="M874" s="10">
        <v>1735</v>
      </c>
      <c r="N874" s="10">
        <f>IF(Tabela1610[[#This Row],[Payroll]]="",#N/A,AVERAGE(M872:M874))</f>
        <v>2581.3333333333335</v>
      </c>
      <c r="O874" s="10">
        <v>6360</v>
      </c>
      <c r="P874" s="7">
        <f>IF(Tabela1610[[#This Row],[JOLTS]]="",#N/A,Tabela1610[[#This Row],[JOLTS]]/Tabela1610[[#This Row],[Unemployment Level]])</f>
        <v>0.47037940980696696</v>
      </c>
    </row>
    <row r="875" spans="1:16">
      <c r="A875" s="6">
        <v>44075</v>
      </c>
      <c r="B875" s="11">
        <v>7.9</v>
      </c>
      <c r="C875" s="11">
        <f>IF(Tabela1610[[#This Row],[Unemployment Rate]]="",#N/A,AVERAGE(B863:B875))</f>
        <v>7.0076923076923086</v>
      </c>
      <c r="D875" s="10">
        <v>12599</v>
      </c>
      <c r="E875" s="11">
        <v>61.4</v>
      </c>
      <c r="F875" s="11">
        <v>4.7923299999999998</v>
      </c>
      <c r="G875" s="11">
        <v>3.5</v>
      </c>
      <c r="H875" s="55">
        <v>16607.900000000001</v>
      </c>
      <c r="I875" s="56">
        <f>IF(Tabela1610[[#This Row],[Real Disposable Income (RDI)]]="",#N/A,((Tabela1610[[#This Row],[Real Disposable Income (RDI)]]*1)/H874)-1)</f>
        <v>4.9679894468044328E-3</v>
      </c>
      <c r="J875" s="56">
        <f>IF(Tabela1610[[#This Row],[Real Disposable Income (RDI)]]="",#N/A,((Tabela1610[[#This Row],[Real Disposable Income (RDI)]]*1)/H863)-1)</f>
        <v>5.8414535443207516E-2</v>
      </c>
      <c r="K875" s="10">
        <v>795000</v>
      </c>
      <c r="L875" s="11">
        <v>21.5</v>
      </c>
      <c r="M875" s="10">
        <v>961</v>
      </c>
      <c r="N875" s="10">
        <f>IF(Tabela1610[[#This Row],[Payroll]]="",#N/A,AVERAGE(M873:M875))</f>
        <v>1380</v>
      </c>
      <c r="O875" s="10">
        <v>6512</v>
      </c>
      <c r="P875" s="7">
        <f>IF(Tabela1610[[#This Row],[JOLTS]]="",#N/A,Tabela1610[[#This Row],[JOLTS]]/Tabela1610[[#This Row],[Unemployment Level]])</f>
        <v>0.51686641796968014</v>
      </c>
    </row>
    <row r="876" spans="1:16">
      <c r="A876" s="6">
        <v>44105</v>
      </c>
      <c r="B876" s="11">
        <v>6.9</v>
      </c>
      <c r="C876" s="11">
        <f>IF(Tabela1610[[#This Row],[Unemployment Rate]]="",#N/A,AVERAGE(B864:B876))</f>
        <v>7.2692307692307718</v>
      </c>
      <c r="D876" s="10">
        <v>11090</v>
      </c>
      <c r="E876" s="11">
        <v>61.7</v>
      </c>
      <c r="F876" s="11">
        <v>4.6033999999999997</v>
      </c>
      <c r="G876" s="11">
        <v>3.5</v>
      </c>
      <c r="H876" s="55">
        <v>16561.900000000001</v>
      </c>
      <c r="I876" s="56">
        <f>IF(Tabela1610[[#This Row],[Real Disposable Income (RDI)]]="",#N/A,((Tabela1610[[#This Row],[Real Disposable Income (RDI)]]*1)/H875)-1)</f>
        <v>-2.7697661956057607E-3</v>
      </c>
      <c r="J876" s="56">
        <f>IF(Tabela1610[[#This Row],[Real Disposable Income (RDI)]]="",#N/A,((Tabela1610[[#This Row],[Real Disposable Income (RDI)]]*1)/H864)-1)</f>
        <v>5.3683333227298569E-2</v>
      </c>
      <c r="K876" s="10">
        <v>773000</v>
      </c>
      <c r="L876" s="11">
        <v>22</v>
      </c>
      <c r="M876" s="10">
        <v>719</v>
      </c>
      <c r="N876" s="10">
        <f>IF(Tabela1610[[#This Row],[Payroll]]="",#N/A,AVERAGE(M874:M876))</f>
        <v>1138.3333333333333</v>
      </c>
      <c r="O876" s="10">
        <v>6820</v>
      </c>
      <c r="P876" s="7">
        <f>IF(Tabela1610[[#This Row],[JOLTS]]="",#N/A,Tabela1610[[#This Row],[JOLTS]]/Tabela1610[[#This Row],[Unemployment Level]])</f>
        <v>0.61496844003606854</v>
      </c>
    </row>
    <row r="877" spans="1:16">
      <c r="A877" s="6">
        <v>44136</v>
      </c>
      <c r="B877" s="11">
        <v>6.7</v>
      </c>
      <c r="C877" s="11">
        <f>IF(Tabela1610[[#This Row],[Unemployment Rate]]="",#N/A,AVERAGE(B865:B877))</f>
        <v>7.5076923076923094</v>
      </c>
      <c r="D877" s="10">
        <v>10760</v>
      </c>
      <c r="E877" s="11">
        <v>61.5</v>
      </c>
      <c r="F877" s="11">
        <v>4.5502599999999997</v>
      </c>
      <c r="G877" s="11">
        <v>3.7</v>
      </c>
      <c r="H877" s="55">
        <v>16368.1</v>
      </c>
      <c r="I877" s="56">
        <f>IF(Tabela1610[[#This Row],[Real Disposable Income (RDI)]]="",#N/A,((Tabela1610[[#This Row],[Real Disposable Income (RDI)]]*1)/H876)-1)</f>
        <v>-1.170155598089595E-2</v>
      </c>
      <c r="J877" s="56">
        <f>IF(Tabela1610[[#This Row],[Real Disposable Income (RDI)]]="",#N/A,((Tabela1610[[#This Row],[Real Disposable Income (RDI)]]*1)/H865)-1)</f>
        <v>3.7387027671090367E-2</v>
      </c>
      <c r="K877" s="10">
        <v>737000</v>
      </c>
      <c r="L877" s="11">
        <v>23.4</v>
      </c>
      <c r="M877" s="10">
        <v>264</v>
      </c>
      <c r="N877" s="10">
        <f>IF(Tabela1610[[#This Row],[Payroll]]="",#N/A,AVERAGE(M875:M877))</f>
        <v>648</v>
      </c>
      <c r="O877" s="10">
        <v>6875</v>
      </c>
      <c r="P877" s="7">
        <f>IF(Tabela1610[[#This Row],[JOLTS]]="",#N/A,Tabela1610[[#This Row],[JOLTS]]/Tabela1610[[#This Row],[Unemployment Level]])</f>
        <v>0.63894052044609662</v>
      </c>
    </row>
    <row r="878" spans="1:16">
      <c r="A878" s="6">
        <v>44166</v>
      </c>
      <c r="B878" s="11">
        <v>6.7</v>
      </c>
      <c r="C878" s="11">
        <f>IF(Tabela1610[[#This Row],[Unemployment Rate]]="",#N/A,AVERAGE(B866:B878))</f>
        <v>7.7461538461538471</v>
      </c>
      <c r="D878" s="10">
        <v>10795</v>
      </c>
      <c r="E878" s="11">
        <v>61.5</v>
      </c>
      <c r="F878" s="11">
        <v>5.4635199999999999</v>
      </c>
      <c r="G878" s="11">
        <v>3.4</v>
      </c>
      <c r="H878" s="55">
        <v>16406.099999999999</v>
      </c>
      <c r="I878" s="56">
        <f>IF(Tabela1610[[#This Row],[Real Disposable Income (RDI)]]="",#N/A,((Tabela1610[[#This Row],[Real Disposable Income (RDI)]]*1)/H877)-1)</f>
        <v>2.3215889443488624E-3</v>
      </c>
      <c r="J878" s="56">
        <f>IF(Tabela1610[[#This Row],[Real Disposable Income (RDI)]]="",#N/A,((Tabela1610[[#This Row],[Real Disposable Income (RDI)]]*1)/H866)-1)</f>
        <v>4.5987197796592882E-2</v>
      </c>
      <c r="K878" s="10">
        <v>773000</v>
      </c>
      <c r="L878" s="11">
        <v>23.3</v>
      </c>
      <c r="M878" s="10">
        <v>-268</v>
      </c>
      <c r="N878" s="10">
        <f>IF(Tabela1610[[#This Row],[Payroll]]="",#N/A,AVERAGE(M876:M878))</f>
        <v>238.33333333333334</v>
      </c>
      <c r="O878" s="10">
        <v>6854</v>
      </c>
      <c r="P878" s="7">
        <f>IF(Tabela1610[[#This Row],[JOLTS]]="",#N/A,Tabela1610[[#This Row],[JOLTS]]/Tabela1610[[#This Row],[Unemployment Level]])</f>
        <v>0.63492357572950442</v>
      </c>
    </row>
    <row r="879" spans="1:16">
      <c r="A879" s="6">
        <v>44197</v>
      </c>
      <c r="B879" s="11">
        <v>6.3</v>
      </c>
      <c r="C879" s="11">
        <f>IF(Tabela1610[[#This Row],[Unemployment Rate]]="",#N/A,AVERAGE(B867:B879))</f>
        <v>7.9538461538461558</v>
      </c>
      <c r="D879" s="10">
        <v>10155</v>
      </c>
      <c r="E879" s="11">
        <v>61.3</v>
      </c>
      <c r="F879" s="11">
        <v>5.2409400000000002</v>
      </c>
      <c r="G879" s="11">
        <v>3.4</v>
      </c>
      <c r="H879" s="55">
        <v>18107.3</v>
      </c>
      <c r="I879" s="56">
        <f>IF(Tabela1610[[#This Row],[Real Disposable Income (RDI)]]="",#N/A,((Tabela1610[[#This Row],[Real Disposable Income (RDI)]]*1)/H878)-1)</f>
        <v>0.10369313852774287</v>
      </c>
      <c r="J879" s="56">
        <f>IF(Tabela1610[[#This Row],[Real Disposable Income (RDI)]]="",#N/A,((Tabela1610[[#This Row],[Real Disposable Income (RDI)]]*1)/H867)-1)</f>
        <v>0.14223624034064031</v>
      </c>
      <c r="K879" s="10">
        <v>803000</v>
      </c>
      <c r="L879" s="11">
        <v>25.9</v>
      </c>
      <c r="M879" s="10">
        <v>494</v>
      </c>
      <c r="N879" s="10">
        <f>IF(Tabela1610[[#This Row],[Payroll]]="",#N/A,AVERAGE(M877:M879))</f>
        <v>163.33333333333334</v>
      </c>
      <c r="O879" s="10">
        <v>7175</v>
      </c>
      <c r="P879" s="7">
        <f>IF(Tabela1610[[#This Row],[JOLTS]]="",#N/A,Tabela1610[[#This Row],[JOLTS]]/Tabela1610[[#This Row],[Unemployment Level]])</f>
        <v>0.70654849827671096</v>
      </c>
    </row>
    <row r="880" spans="1:16">
      <c r="A880" s="6">
        <v>44228</v>
      </c>
      <c r="B880" s="11">
        <v>6.2</v>
      </c>
      <c r="C880" s="11">
        <f>IF(Tabela1610[[#This Row],[Unemployment Rate]]="",#N/A,AVERAGE(B868:B880))</f>
        <v>8.1615384615384627</v>
      </c>
      <c r="D880" s="10">
        <v>9982</v>
      </c>
      <c r="E880" s="11">
        <v>61.4</v>
      </c>
      <c r="F880" s="11">
        <v>5.2539400000000001</v>
      </c>
      <c r="G880" s="11">
        <v>3.4</v>
      </c>
      <c r="H880" s="55">
        <v>16604.900000000001</v>
      </c>
      <c r="I880" s="56">
        <f>IF(Tabela1610[[#This Row],[Real Disposable Income (RDI)]]="",#N/A,((Tabela1610[[#This Row],[Real Disposable Income (RDI)]]*1)/H879)-1)</f>
        <v>-8.2972060991975516E-2</v>
      </c>
      <c r="J880" s="56">
        <f>IF(Tabela1610[[#This Row],[Real Disposable Income (RDI)]]="",#N/A,((Tabela1610[[#This Row],[Real Disposable Income (RDI)]]*1)/H868)-1)</f>
        <v>4.3152406081166106E-2</v>
      </c>
      <c r="K880" s="10">
        <v>704000</v>
      </c>
      <c r="L880" s="11">
        <v>27.5</v>
      </c>
      <c r="M880" s="10">
        <v>575</v>
      </c>
      <c r="N880" s="10">
        <f>IF(Tabela1610[[#This Row],[Payroll]]="",#N/A,AVERAGE(M878:M880))</f>
        <v>267</v>
      </c>
      <c r="O880" s="10">
        <v>7760</v>
      </c>
      <c r="P880" s="7">
        <f>IF(Tabela1610[[#This Row],[JOLTS]]="",#N/A,Tabela1610[[#This Row],[JOLTS]]/Tabela1610[[#This Row],[Unemployment Level]])</f>
        <v>0.77739931877379287</v>
      </c>
    </row>
    <row r="881" spans="1:16">
      <c r="A881" s="6">
        <v>44256</v>
      </c>
      <c r="B881" s="11">
        <v>6.1</v>
      </c>
      <c r="C881" s="11">
        <f>IF(Tabela1610[[#This Row],[Unemployment Rate]]="",#N/A,AVERAGE(B869:B881))</f>
        <v>8.361538461538462</v>
      </c>
      <c r="D881" s="10">
        <v>9712</v>
      </c>
      <c r="E881" s="11">
        <v>61.5</v>
      </c>
      <c r="F881" s="11">
        <v>4.3402799999999999</v>
      </c>
      <c r="G881" s="11">
        <v>3.4</v>
      </c>
      <c r="H881" s="55">
        <v>20422.599999999999</v>
      </c>
      <c r="I881" s="56">
        <f>IF(Tabela1610[[#This Row],[Real Disposable Income (RDI)]]="",#N/A,((Tabela1610[[#This Row],[Real Disposable Income (RDI)]]*1)/H880)-1)</f>
        <v>0.22991406151196303</v>
      </c>
      <c r="J881" s="56">
        <f>IF(Tabela1610[[#This Row],[Real Disposable Income (RDI)]]="",#N/A,((Tabela1610[[#This Row],[Real Disposable Income (RDI)]]*1)/H869)-1)</f>
        <v>0.30110917859622965</v>
      </c>
      <c r="K881" s="10">
        <v>658000</v>
      </c>
      <c r="L881" s="11">
        <v>29.7</v>
      </c>
      <c r="M881" s="10">
        <v>784</v>
      </c>
      <c r="N881" s="10">
        <f>IF(Tabela1610[[#This Row],[Payroll]]="",#N/A,AVERAGE(M879:M881))</f>
        <v>617.66666666666663</v>
      </c>
      <c r="O881" s="10">
        <v>8399</v>
      </c>
      <c r="P881" s="7">
        <f>IF(Tabela1610[[#This Row],[JOLTS]]="",#N/A,Tabela1610[[#This Row],[JOLTS]]/Tabela1610[[#This Row],[Unemployment Level]])</f>
        <v>0.86480642504118621</v>
      </c>
    </row>
    <row r="882" spans="1:16">
      <c r="A882" s="6">
        <v>44287</v>
      </c>
      <c r="B882" s="11">
        <v>6.1</v>
      </c>
      <c r="C882" s="11">
        <f>IF(Tabela1610[[#This Row],[Unemployment Rate]]="",#N/A,AVERAGE(B870:B882))</f>
        <v>8.4923076923076923</v>
      </c>
      <c r="D882" s="10">
        <v>9737</v>
      </c>
      <c r="E882" s="11">
        <v>61.6</v>
      </c>
      <c r="F882" s="11">
        <v>0.63312000000000002</v>
      </c>
      <c r="G882" s="11">
        <v>3.2</v>
      </c>
      <c r="H882" s="55">
        <v>17316.599999999999</v>
      </c>
      <c r="I882" s="56">
        <f>IF(Tabela1610[[#This Row],[Real Disposable Income (RDI)]]="",#N/A,((Tabela1610[[#This Row],[Real Disposable Income (RDI)]]*1)/H881)-1)</f>
        <v>-0.15208641407068646</v>
      </c>
      <c r="J882" s="56">
        <f>IF(Tabela1610[[#This Row],[Real Disposable Income (RDI)]]="",#N/A,((Tabela1610[[#This Row],[Real Disposable Income (RDI)]]*1)/H870)-1)</f>
        <v>-3.9045071641824247E-2</v>
      </c>
      <c r="K882" s="10">
        <v>574000</v>
      </c>
      <c r="L882" s="11">
        <v>28.3</v>
      </c>
      <c r="M882" s="10">
        <v>286</v>
      </c>
      <c r="N882" s="10">
        <f>IF(Tabela1610[[#This Row],[Payroll]]="",#N/A,AVERAGE(M880:M882))</f>
        <v>548.33333333333337</v>
      </c>
      <c r="O882" s="10">
        <v>9288</v>
      </c>
      <c r="P882" s="7">
        <f>IF(Tabela1610[[#This Row],[JOLTS]]="",#N/A,Tabela1610[[#This Row],[JOLTS]]/Tabela1610[[#This Row],[Unemployment Level]])</f>
        <v>0.95388723426106603</v>
      </c>
    </row>
    <row r="883" spans="1:16">
      <c r="A883" s="6">
        <v>44317</v>
      </c>
      <c r="B883" s="11">
        <v>5.8</v>
      </c>
      <c r="C883" s="11">
        <f>IF(Tabela1610[[#This Row],[Unemployment Rate]]="",#N/A,AVERAGE(B871:B883))</f>
        <v>7.8076923076923066</v>
      </c>
      <c r="D883" s="10">
        <v>9257</v>
      </c>
      <c r="E883" s="11">
        <v>61.5</v>
      </c>
      <c r="F883" s="11">
        <v>2.2207300000000001</v>
      </c>
      <c r="G883" s="11">
        <v>3</v>
      </c>
      <c r="H883" s="55">
        <v>16819.099999999999</v>
      </c>
      <c r="I883" s="56">
        <f>IF(Tabela1610[[#This Row],[Real Disposable Income (RDI)]]="",#N/A,((Tabela1610[[#This Row],[Real Disposable Income (RDI)]]*1)/H882)-1)</f>
        <v>-2.8729658247000023E-2</v>
      </c>
      <c r="J883" s="56">
        <f>IF(Tabela1610[[#This Row],[Real Disposable Income (RDI)]]="",#N/A,((Tabela1610[[#This Row],[Real Disposable Income (RDI)]]*1)/H871)-1)</f>
        <v>-1.6691416344141397E-2</v>
      </c>
      <c r="K883" s="10">
        <v>427000</v>
      </c>
      <c r="L883" s="11">
        <v>29.6</v>
      </c>
      <c r="M883" s="10">
        <v>482</v>
      </c>
      <c r="N883" s="10">
        <f>IF(Tabela1610[[#This Row],[Payroll]]="",#N/A,AVERAGE(M881:M883))</f>
        <v>517.33333333333337</v>
      </c>
      <c r="O883" s="10">
        <v>9840</v>
      </c>
      <c r="P883" s="7">
        <f>IF(Tabela1610[[#This Row],[JOLTS]]="",#N/A,Tabela1610[[#This Row],[JOLTS]]/Tabela1610[[#This Row],[Unemployment Level]])</f>
        <v>1.0629793669655396</v>
      </c>
    </row>
    <row r="884" spans="1:16">
      <c r="A884" s="6">
        <v>44348</v>
      </c>
      <c r="B884" s="11">
        <v>5.9</v>
      </c>
      <c r="C884" s="11">
        <f>IF(Tabela1610[[#This Row],[Unemployment Rate]]="",#N/A,AVERAGE(B872:B884))</f>
        <v>7.2461538461538462</v>
      </c>
      <c r="D884" s="10">
        <v>9508</v>
      </c>
      <c r="E884" s="11">
        <v>61.7</v>
      </c>
      <c r="F884" s="11">
        <v>3.9496099999999998</v>
      </c>
      <c r="G884" s="11">
        <v>3.2</v>
      </c>
      <c r="H884" s="55">
        <v>16736.3</v>
      </c>
      <c r="I884" s="56">
        <f>IF(Tabela1610[[#This Row],[Real Disposable Income (RDI)]]="",#N/A,((Tabela1610[[#This Row],[Real Disposable Income (RDI)]]*1)/H883)-1)</f>
        <v>-4.9229744754475391E-3</v>
      </c>
      <c r="J884" s="56">
        <f>IF(Tabela1610[[#This Row],[Real Disposable Income (RDI)]]="",#N/A,((Tabela1610[[#This Row],[Real Disposable Income (RDI)]]*1)/H872)-1)</f>
        <v>-1.7534487819195865E-2</v>
      </c>
      <c r="K884" s="10">
        <v>372000</v>
      </c>
      <c r="L884" s="11">
        <v>31.9</v>
      </c>
      <c r="M884" s="10">
        <v>693</v>
      </c>
      <c r="N884" s="10">
        <f>IF(Tabela1610[[#This Row],[Payroll]]="",#N/A,AVERAGE(M882:M884))</f>
        <v>487</v>
      </c>
      <c r="O884" s="10">
        <v>10069</v>
      </c>
      <c r="P884" s="7">
        <f>IF(Tabela1610[[#This Row],[JOLTS]]="",#N/A,Tabela1610[[#This Row],[JOLTS]]/Tabela1610[[#This Row],[Unemployment Level]])</f>
        <v>1.059002944888515</v>
      </c>
    </row>
    <row r="885" spans="1:16">
      <c r="A885" s="6">
        <v>44378</v>
      </c>
      <c r="B885" s="11">
        <v>5.4</v>
      </c>
      <c r="C885" s="11">
        <f>IF(Tabela1610[[#This Row],[Unemployment Rate]]="",#N/A,AVERAGE(B873:B885))</f>
        <v>6.815384615384616</v>
      </c>
      <c r="D885" s="10">
        <v>8704</v>
      </c>
      <c r="E885" s="11">
        <v>61.8</v>
      </c>
      <c r="F885" s="11">
        <v>4.3212000000000002</v>
      </c>
      <c r="G885" s="11">
        <v>3.7</v>
      </c>
      <c r="H885" s="55">
        <v>16836.099999999999</v>
      </c>
      <c r="I885" s="56">
        <f>IF(Tabela1610[[#This Row],[Real Disposable Income (RDI)]]="",#N/A,((Tabela1610[[#This Row],[Real Disposable Income (RDI)]]*1)/H884)-1)</f>
        <v>5.9630862257487038E-3</v>
      </c>
      <c r="J885" s="56">
        <f>IF(Tabela1610[[#This Row],[Real Disposable Income (RDI)]]="",#N/A,((Tabela1610[[#This Row],[Real Disposable Income (RDI)]]*1)/H873)-1)</f>
        <v>-2.0769839238768961E-2</v>
      </c>
      <c r="K885" s="10">
        <v>365000</v>
      </c>
      <c r="L885" s="11">
        <v>29.7</v>
      </c>
      <c r="M885" s="10">
        <v>769</v>
      </c>
      <c r="N885" s="10">
        <f>IF(Tabela1610[[#This Row],[Payroll]]="",#N/A,AVERAGE(M883:M885))</f>
        <v>648</v>
      </c>
      <c r="O885" s="10">
        <v>10882</v>
      </c>
      <c r="P885" s="7">
        <f>IF(Tabela1610[[#This Row],[JOLTS]]="",#N/A,Tabela1610[[#This Row],[JOLTS]]/Tabela1610[[#This Row],[Unemployment Level]])</f>
        <v>1.2502297794117647</v>
      </c>
    </row>
    <row r="886" spans="1:16">
      <c r="A886" s="6">
        <v>44409</v>
      </c>
      <c r="B886" s="11">
        <v>5.2</v>
      </c>
      <c r="C886" s="11">
        <f>IF(Tabela1610[[#This Row],[Unemployment Rate]]="",#N/A,AVERAGE(B874:B886))</f>
        <v>6.4307692307692328</v>
      </c>
      <c r="D886" s="10">
        <v>8324</v>
      </c>
      <c r="E886" s="11">
        <v>61.7</v>
      </c>
      <c r="F886" s="11">
        <v>4.40977</v>
      </c>
      <c r="G886" s="11">
        <v>3.9</v>
      </c>
      <c r="H886" s="55">
        <v>16791.7</v>
      </c>
      <c r="I886" s="56">
        <f>IF(Tabela1610[[#This Row],[Real Disposable Income (RDI)]]="",#N/A,((Tabela1610[[#This Row],[Real Disposable Income (RDI)]]*1)/H885)-1)</f>
        <v>-2.6371903231744431E-3</v>
      </c>
      <c r="J886" s="56">
        <f>IF(Tabela1610[[#This Row],[Real Disposable Income (RDI)]]="",#N/A,((Tabela1610[[#This Row],[Real Disposable Income (RDI)]]*1)/H874)-1)</f>
        <v>1.6089992617604132E-2</v>
      </c>
      <c r="K886" s="10">
        <v>343000</v>
      </c>
      <c r="L886" s="11">
        <v>29.5</v>
      </c>
      <c r="M886" s="10">
        <v>663</v>
      </c>
      <c r="N886" s="10">
        <f>IF(Tabela1610[[#This Row],[Payroll]]="",#N/A,AVERAGE(M884:M886))</f>
        <v>708.33333333333337</v>
      </c>
      <c r="O886" s="10">
        <v>10960</v>
      </c>
      <c r="P886" s="7">
        <f>IF(Tabela1610[[#This Row],[JOLTS]]="",#N/A,Tabela1610[[#This Row],[JOLTS]]/Tabela1610[[#This Row],[Unemployment Level]])</f>
        <v>1.3166746756367131</v>
      </c>
    </row>
    <row r="887" spans="1:16">
      <c r="A887" s="6">
        <v>44440</v>
      </c>
      <c r="B887" s="11">
        <v>4.8</v>
      </c>
      <c r="C887" s="11">
        <f>IF(Tabela1610[[#This Row],[Unemployment Rate]]="",#N/A,AVERAGE(B875:B887))</f>
        <v>6.1538461538461551</v>
      </c>
      <c r="D887" s="10">
        <v>7677</v>
      </c>
      <c r="E887" s="11">
        <v>61.7</v>
      </c>
      <c r="F887" s="11">
        <v>4.87805</v>
      </c>
      <c r="G887" s="11">
        <v>4.2</v>
      </c>
      <c r="H887" s="55">
        <v>16564.3</v>
      </c>
      <c r="I887" s="56">
        <f>IF(Tabela1610[[#This Row],[Real Disposable Income (RDI)]]="",#N/A,((Tabela1610[[#This Row],[Real Disposable Income (RDI)]]*1)/H886)-1)</f>
        <v>-1.3542404878600811E-2</v>
      </c>
      <c r="J887" s="56">
        <f>IF(Tabela1610[[#This Row],[Real Disposable Income (RDI)]]="",#N/A,((Tabela1610[[#This Row],[Real Disposable Income (RDI)]]*1)/H875)-1)</f>
        <v>-2.625256654965491E-3</v>
      </c>
      <c r="K887" s="10">
        <v>356000</v>
      </c>
      <c r="L887" s="11">
        <v>28.5</v>
      </c>
      <c r="M887" s="10">
        <v>557</v>
      </c>
      <c r="N887" s="10">
        <f>IF(Tabela1610[[#This Row],[Payroll]]="",#N/A,AVERAGE(M885:M887))</f>
        <v>663</v>
      </c>
      <c r="O887" s="10">
        <v>10882</v>
      </c>
      <c r="P887" s="7">
        <f>IF(Tabela1610[[#This Row],[JOLTS]]="",#N/A,Tabela1610[[#This Row],[JOLTS]]/Tabela1610[[#This Row],[Unemployment Level]])</f>
        <v>1.4174807867656636</v>
      </c>
    </row>
    <row r="888" spans="1:16">
      <c r="A888" s="6">
        <v>44470</v>
      </c>
      <c r="B888" s="11">
        <v>4.5</v>
      </c>
      <c r="C888" s="11">
        <f>IF(Tabela1610[[#This Row],[Unemployment Rate]]="",#N/A,AVERAGE(B876:B888))</f>
        <v>5.8923076923076918</v>
      </c>
      <c r="D888" s="10">
        <v>7345</v>
      </c>
      <c r="E888" s="11">
        <v>61.8</v>
      </c>
      <c r="F888" s="11">
        <v>5.4163800000000002</v>
      </c>
      <c r="G888" s="11">
        <v>4.0999999999999996</v>
      </c>
      <c r="H888" s="55">
        <v>16547.400000000001</v>
      </c>
      <c r="I888" s="56">
        <f>IF(Tabela1610[[#This Row],[Real Disposable Income (RDI)]]="",#N/A,((Tabela1610[[#This Row],[Real Disposable Income (RDI)]]*1)/H887)-1)</f>
        <v>-1.0202664766997271E-3</v>
      </c>
      <c r="J888" s="56">
        <f>IF(Tabela1610[[#This Row],[Real Disposable Income (RDI)]]="",#N/A,((Tabela1610[[#This Row],[Real Disposable Income (RDI)]]*1)/H876)-1)</f>
        <v>-8.7550341446329671E-4</v>
      </c>
      <c r="K888" s="10">
        <v>264000</v>
      </c>
      <c r="L888" s="11">
        <v>26.8</v>
      </c>
      <c r="M888" s="10">
        <v>781</v>
      </c>
      <c r="N888" s="10">
        <f>IF(Tabela1610[[#This Row],[Payroll]]="",#N/A,AVERAGE(M886:M888))</f>
        <v>667</v>
      </c>
      <c r="O888" s="10">
        <v>11368</v>
      </c>
      <c r="P888" s="7">
        <f>IF(Tabela1610[[#This Row],[JOLTS]]="",#N/A,Tabela1610[[#This Row],[JOLTS]]/Tabela1610[[#This Row],[Unemployment Level]])</f>
        <v>1.547719537100068</v>
      </c>
    </row>
    <row r="889" spans="1:16">
      <c r="A889" s="6">
        <v>44501</v>
      </c>
      <c r="B889" s="11">
        <v>4.2</v>
      </c>
      <c r="C889" s="11">
        <f>IF(Tabela1610[[#This Row],[Unemployment Rate]]="",#N/A,AVERAGE(B877:B889))</f>
        <v>5.6846153846153848</v>
      </c>
      <c r="D889" s="10">
        <v>6780</v>
      </c>
      <c r="E889" s="11">
        <v>61.9</v>
      </c>
      <c r="F889" s="11">
        <v>5.39811</v>
      </c>
      <c r="G889" s="11">
        <v>4.3</v>
      </c>
      <c r="H889" s="55">
        <v>16499.8</v>
      </c>
      <c r="I889" s="56">
        <f>IF(Tabela1610[[#This Row],[Real Disposable Income (RDI)]]="",#N/A,((Tabela1610[[#This Row],[Real Disposable Income (RDI)]]*1)/H888)-1)</f>
        <v>-2.8765848411231865E-3</v>
      </c>
      <c r="J889" s="56">
        <f>IF(Tabela1610[[#This Row],[Real Disposable Income (RDI)]]="",#N/A,((Tabela1610[[#This Row],[Real Disposable Income (RDI)]]*1)/H877)-1)</f>
        <v>8.0461385255465867E-3</v>
      </c>
      <c r="K889" s="10">
        <v>225000</v>
      </c>
      <c r="L889" s="11">
        <v>28.9</v>
      </c>
      <c r="M889" s="10">
        <v>614</v>
      </c>
      <c r="N889" s="10">
        <f>IF(Tabela1610[[#This Row],[Payroll]]="",#N/A,AVERAGE(M887:M889))</f>
        <v>650.66666666666663</v>
      </c>
      <c r="O889" s="10">
        <v>11232</v>
      </c>
      <c r="P889" s="7">
        <f>IF(Tabela1610[[#This Row],[JOLTS]]="",#N/A,Tabela1610[[#This Row],[JOLTS]]/Tabela1610[[#This Row],[Unemployment Level]])</f>
        <v>1.656637168141593</v>
      </c>
    </row>
    <row r="890" spans="1:16">
      <c r="A890" s="6">
        <v>44531</v>
      </c>
      <c r="B890" s="11">
        <v>3.9</v>
      </c>
      <c r="C890" s="11">
        <f>IF(Tabela1610[[#This Row],[Unemployment Rate]]="",#N/A,AVERAGE(B878:B890))</f>
        <v>5.4692307692307685</v>
      </c>
      <c r="D890" s="10">
        <v>6329</v>
      </c>
      <c r="E890" s="11">
        <v>62</v>
      </c>
      <c r="F890" s="11">
        <v>5.0133700000000001</v>
      </c>
      <c r="G890" s="11">
        <v>4.5</v>
      </c>
      <c r="H890" s="55">
        <v>16418.5</v>
      </c>
      <c r="I890" s="56">
        <f>IF(Tabela1610[[#This Row],[Real Disposable Income (RDI)]]="",#N/A,((Tabela1610[[#This Row],[Real Disposable Income (RDI)]]*1)/H889)-1)</f>
        <v>-4.9273324525145323E-3</v>
      </c>
      <c r="J890" s="56">
        <f>IF(Tabela1610[[#This Row],[Real Disposable Income (RDI)]]="",#N/A,((Tabela1610[[#This Row],[Real Disposable Income (RDI)]]*1)/H878)-1)</f>
        <v>7.5581643413125121E-4</v>
      </c>
      <c r="K890" s="10">
        <v>203000</v>
      </c>
      <c r="L890" s="11">
        <v>28.1</v>
      </c>
      <c r="M890" s="10">
        <v>569</v>
      </c>
      <c r="N890" s="10">
        <f>IF(Tabela1610[[#This Row],[Payroll]]="",#N/A,AVERAGE(M888:M890))</f>
        <v>654.66666666666663</v>
      </c>
      <c r="O890" s="10">
        <v>11826</v>
      </c>
      <c r="P890" s="7">
        <f>IF(Tabela1610[[#This Row],[JOLTS]]="",#N/A,Tabela1610[[#This Row],[JOLTS]]/Tabela1610[[#This Row],[Unemployment Level]])</f>
        <v>1.8685416337494074</v>
      </c>
    </row>
    <row r="891" spans="1:16">
      <c r="A891" s="6">
        <v>44562</v>
      </c>
      <c r="B891" s="11">
        <v>4</v>
      </c>
      <c r="C891" s="11">
        <f>IF(Tabela1610[[#This Row],[Unemployment Rate]]="",#N/A,AVERAGE(B879:B891))</f>
        <v>5.2615384615384624</v>
      </c>
      <c r="D891" s="10">
        <v>6511</v>
      </c>
      <c r="E891" s="11">
        <v>62.2</v>
      </c>
      <c r="F891" s="11">
        <v>5.7152399999999997</v>
      </c>
      <c r="G891" s="11">
        <v>5.0999999999999996</v>
      </c>
      <c r="H891" s="55">
        <v>16080.8</v>
      </c>
      <c r="I891" s="56">
        <f>IF(Tabela1610[[#This Row],[Real Disposable Income (RDI)]]="",#N/A,((Tabela1610[[#This Row],[Real Disposable Income (RDI)]]*1)/H890)-1)</f>
        <v>-2.0568261412431177E-2</v>
      </c>
      <c r="J891" s="56">
        <f>IF(Tabela1610[[#This Row],[Real Disposable Income (RDI)]]="",#N/A,((Tabela1610[[#This Row],[Real Disposable Income (RDI)]]*1)/H879)-1)</f>
        <v>-0.11191618849856133</v>
      </c>
      <c r="K891" s="10">
        <v>233000</v>
      </c>
      <c r="L891" s="11">
        <v>24.5</v>
      </c>
      <c r="M891" s="10">
        <v>364</v>
      </c>
      <c r="N891" s="10">
        <f>IF(Tabela1610[[#This Row],[Payroll]]="",#N/A,AVERAGE(M889:M891))</f>
        <v>515.66666666666663</v>
      </c>
      <c r="O891" s="10">
        <v>11487</v>
      </c>
      <c r="P891" s="7">
        <f>IF(Tabela1610[[#This Row],[JOLTS]]="",#N/A,Tabela1610[[#This Row],[JOLTS]]/Tabela1610[[#This Row],[Unemployment Level]])</f>
        <v>1.7642451236369221</v>
      </c>
    </row>
    <row r="892" spans="1:16">
      <c r="A892" s="6">
        <v>44593</v>
      </c>
      <c r="B892" s="11">
        <v>3.8</v>
      </c>
      <c r="C892" s="11">
        <f>IF(Tabela1610[[#This Row],[Unemployment Rate]]="",#N/A,AVERAGE(B880:B892))</f>
        <v>5.0692307692307699</v>
      </c>
      <c r="D892" s="10">
        <v>6272</v>
      </c>
      <c r="E892" s="11">
        <v>62.2</v>
      </c>
      <c r="F892" s="11">
        <v>5.2579000000000002</v>
      </c>
      <c r="G892" s="11">
        <v>5.8</v>
      </c>
      <c r="H892" s="55">
        <v>16092.7</v>
      </c>
      <c r="I892" s="56">
        <f>IF(Tabela1610[[#This Row],[Real Disposable Income (RDI)]]="",#N/A,((Tabela1610[[#This Row],[Real Disposable Income (RDI)]]*1)/H891)-1)</f>
        <v>7.4001293467995666E-4</v>
      </c>
      <c r="J892" s="56">
        <f>IF(Tabela1610[[#This Row],[Real Disposable Income (RDI)]]="",#N/A,((Tabela1610[[#This Row],[Real Disposable Income (RDI)]]*1)/H880)-1)</f>
        <v>-3.0846316448759126E-2</v>
      </c>
      <c r="K892" s="10">
        <v>213000</v>
      </c>
      <c r="L892" s="11">
        <v>26.3</v>
      </c>
      <c r="M892" s="10">
        <v>904</v>
      </c>
      <c r="N892" s="10">
        <f>IF(Tabela1610[[#This Row],[Payroll]]="",#N/A,AVERAGE(M890:M892))</f>
        <v>612.33333333333337</v>
      </c>
      <c r="O892" s="10">
        <v>11601</v>
      </c>
      <c r="P892" s="7">
        <f>IF(Tabela1610[[#This Row],[JOLTS]]="",#N/A,Tabela1610[[#This Row],[JOLTS]]/Tabela1610[[#This Row],[Unemployment Level]])</f>
        <v>1.8496492346938775</v>
      </c>
    </row>
    <row r="893" spans="1:16">
      <c r="A893" s="6">
        <v>44621</v>
      </c>
      <c r="B893" s="11">
        <v>3.6</v>
      </c>
      <c r="C893" s="11">
        <f>IF(Tabela1610[[#This Row],[Unemployment Rate]]="",#N/A,AVERAGE(B881:B893))</f>
        <v>4.8692307692307688</v>
      </c>
      <c r="D893" s="10">
        <v>5972</v>
      </c>
      <c r="E893" s="11">
        <v>62.4</v>
      </c>
      <c r="F893" s="11">
        <v>5.9234600000000004</v>
      </c>
      <c r="G893" s="11">
        <v>6</v>
      </c>
      <c r="H893" s="55">
        <v>16028.1</v>
      </c>
      <c r="I893" s="56">
        <f>IF(Tabela1610[[#This Row],[Real Disposable Income (RDI)]]="",#N/A,((Tabela1610[[#This Row],[Real Disposable Income (RDI)]]*1)/H892)-1)</f>
        <v>-4.0142424826163925E-3</v>
      </c>
      <c r="J893" s="56">
        <f>IF(Tabela1610[[#This Row],[Real Disposable Income (RDI)]]="",#N/A,((Tabela1610[[#This Row],[Real Disposable Income (RDI)]]*1)/H881)-1)</f>
        <v>-0.2151782828826887</v>
      </c>
      <c r="K893" s="10">
        <v>214000</v>
      </c>
      <c r="L893" s="11">
        <v>24.2</v>
      </c>
      <c r="M893" s="10">
        <v>414</v>
      </c>
      <c r="N893" s="10">
        <f>IF(Tabela1610[[#This Row],[Payroll]]="",#N/A,AVERAGE(M891:M893))</f>
        <v>560.66666666666663</v>
      </c>
      <c r="O893" s="10">
        <v>12027</v>
      </c>
      <c r="P893" s="7">
        <f>IF(Tabela1610[[#This Row],[JOLTS]]="",#N/A,Tabela1610[[#This Row],[JOLTS]]/Tabela1610[[#This Row],[Unemployment Level]])</f>
        <v>2.013898191560616</v>
      </c>
    </row>
    <row r="894" spans="1:16">
      <c r="A894" s="6">
        <v>44652</v>
      </c>
      <c r="B894" s="11">
        <v>3.6</v>
      </c>
      <c r="C894" s="11">
        <f>IF(Tabela1610[[#This Row],[Unemployment Rate]]="",#N/A,AVERAGE(B882:B894))</f>
        <v>4.6769230769230763</v>
      </c>
      <c r="D894" s="10">
        <v>5968</v>
      </c>
      <c r="E894" s="11">
        <v>62.2</v>
      </c>
      <c r="F894" s="11">
        <v>5.76159</v>
      </c>
      <c r="G894" s="11">
        <v>6</v>
      </c>
      <c r="H894" s="55">
        <v>16042.6</v>
      </c>
      <c r="I894" s="56">
        <f>IF(Tabela1610[[#This Row],[Real Disposable Income (RDI)]]="",#N/A,((Tabela1610[[#This Row],[Real Disposable Income (RDI)]]*1)/H893)-1)</f>
        <v>9.046611887872924E-4</v>
      </c>
      <c r="J894" s="56">
        <f>IF(Tabela1610[[#This Row],[Real Disposable Income (RDI)]]="",#N/A,((Tabela1610[[#This Row],[Real Disposable Income (RDI)]]*1)/H882)-1)</f>
        <v>-7.3571024335031043E-2</v>
      </c>
      <c r="K894" s="10">
        <v>218000</v>
      </c>
      <c r="L894" s="11">
        <v>24.8</v>
      </c>
      <c r="M894" s="10">
        <v>254</v>
      </c>
      <c r="N894" s="10">
        <f>IF(Tabela1610[[#This Row],[Payroll]]="",#N/A,AVERAGE(M892:M894))</f>
        <v>524</v>
      </c>
      <c r="O894" s="10">
        <v>11755</v>
      </c>
      <c r="P894" s="7">
        <f>IF(Tabela1610[[#This Row],[JOLTS]]="",#N/A,Tabela1610[[#This Row],[JOLTS]]/Tabela1610[[#This Row],[Unemployment Level]])</f>
        <v>1.969671581769437</v>
      </c>
    </row>
    <row r="895" spans="1:16">
      <c r="A895" s="6">
        <v>44682</v>
      </c>
      <c r="B895" s="11">
        <v>3.6</v>
      </c>
      <c r="C895" s="11">
        <f>IF(Tabela1610[[#This Row],[Unemployment Rate]]="",#N/A,AVERAGE(B883:B895))</f>
        <v>4.4846153846153847</v>
      </c>
      <c r="D895" s="10">
        <v>5979</v>
      </c>
      <c r="E895" s="11">
        <v>62.3</v>
      </c>
      <c r="F895" s="11">
        <v>5.5299500000000004</v>
      </c>
      <c r="G895" s="11">
        <v>6.1</v>
      </c>
      <c r="H895" s="55">
        <v>16023.2</v>
      </c>
      <c r="I895" s="56">
        <f>IF(Tabela1610[[#This Row],[Real Disposable Income (RDI)]]="",#N/A,((Tabela1610[[#This Row],[Real Disposable Income (RDI)]]*1)/H894)-1)</f>
        <v>-1.2092802912245793E-3</v>
      </c>
      <c r="J895" s="56">
        <f>IF(Tabela1610[[#This Row],[Real Disposable Income (RDI)]]="",#N/A,((Tabela1610[[#This Row],[Real Disposable Income (RDI)]]*1)/H883)-1)</f>
        <v>-4.7321200302037458E-2</v>
      </c>
      <c r="K895" s="10">
        <v>202000</v>
      </c>
      <c r="L895" s="11">
        <v>22.4</v>
      </c>
      <c r="M895" s="10">
        <v>364</v>
      </c>
      <c r="N895" s="10">
        <f>IF(Tabela1610[[#This Row],[Payroll]]="",#N/A,AVERAGE(M893:M895))</f>
        <v>344</v>
      </c>
      <c r="O895" s="10">
        <v>11443</v>
      </c>
      <c r="P895" s="7">
        <f>IF(Tabela1610[[#This Row],[JOLTS]]="",#N/A,Tabela1610[[#This Row],[JOLTS]]/Tabela1610[[#This Row],[Unemployment Level]])</f>
        <v>1.9138651948486369</v>
      </c>
    </row>
    <row r="896" spans="1:16">
      <c r="A896" s="6">
        <v>44713</v>
      </c>
      <c r="B896" s="11">
        <v>3.6</v>
      </c>
      <c r="C896" s="11">
        <f>IF(Tabela1610[[#This Row],[Unemployment Rate]]="",#N/A,AVERAGE(B884:B896))</f>
        <v>4.3153846153846152</v>
      </c>
      <c r="D896" s="10">
        <v>5945</v>
      </c>
      <c r="E896" s="11">
        <v>62.2</v>
      </c>
      <c r="F896" s="11">
        <v>5.4045199999999998</v>
      </c>
      <c r="G896" s="11">
        <v>6.7</v>
      </c>
      <c r="H896" s="55">
        <v>15963.4</v>
      </c>
      <c r="I896" s="56">
        <f>IF(Tabela1610[[#This Row],[Real Disposable Income (RDI)]]="",#N/A,((Tabela1610[[#This Row],[Real Disposable Income (RDI)]]*1)/H895)-1)</f>
        <v>-3.7320884717161329E-3</v>
      </c>
      <c r="J896" s="56">
        <f>IF(Tabela1610[[#This Row],[Real Disposable Income (RDI)]]="",#N/A,((Tabela1610[[#This Row],[Real Disposable Income (RDI)]]*1)/H884)-1)</f>
        <v>-4.6181055549912475E-2</v>
      </c>
      <c r="K896" s="10">
        <v>213000</v>
      </c>
      <c r="L896" s="11">
        <v>22.3</v>
      </c>
      <c r="M896" s="10">
        <v>370</v>
      </c>
      <c r="N896" s="10">
        <f>IF(Tabela1610[[#This Row],[Payroll]]="",#N/A,AVERAGE(M894:M896))</f>
        <v>329.33333333333331</v>
      </c>
      <c r="O896" s="10">
        <v>10961</v>
      </c>
      <c r="P896" s="7">
        <f>IF(Tabela1610[[#This Row],[JOLTS]]="",#N/A,Tabela1610[[#This Row],[JOLTS]]/Tabela1610[[#This Row],[Unemployment Level]])</f>
        <v>1.8437342304457527</v>
      </c>
    </row>
    <row r="897" spans="1:16">
      <c r="A897" s="6">
        <v>44743</v>
      </c>
      <c r="B897" s="11">
        <v>3.5</v>
      </c>
      <c r="C897" s="11">
        <f>IF(Tabela1610[[#This Row],[Unemployment Rate]]="",#N/A,AVERAGE(B885:B897))</f>
        <v>4.1307692307692312</v>
      </c>
      <c r="D897" s="10">
        <v>5718</v>
      </c>
      <c r="E897" s="11">
        <v>62.1</v>
      </c>
      <c r="F897" s="11">
        <v>5.4468399999999999</v>
      </c>
      <c r="G897" s="11">
        <v>6.7</v>
      </c>
      <c r="H897" s="55">
        <v>16109.3</v>
      </c>
      <c r="I897" s="56">
        <f>IF(Tabela1610[[#This Row],[Real Disposable Income (RDI)]]="",#N/A,((Tabela1610[[#This Row],[Real Disposable Income (RDI)]]*1)/H896)-1)</f>
        <v>9.1396569653081627E-3</v>
      </c>
      <c r="J897" s="56">
        <f>IF(Tabela1610[[#This Row],[Real Disposable Income (RDI)]]="",#N/A,((Tabela1610[[#This Row],[Real Disposable Income (RDI)]]*1)/H885)-1)</f>
        <v>-4.3169142497371693E-2</v>
      </c>
      <c r="K897" s="10">
        <v>218000</v>
      </c>
      <c r="L897" s="11">
        <v>22.1</v>
      </c>
      <c r="M897" s="10">
        <v>568</v>
      </c>
      <c r="N897" s="10">
        <f>IF(Tabela1610[[#This Row],[Payroll]]="",#N/A,AVERAGE(M895:M897))</f>
        <v>434</v>
      </c>
      <c r="O897" s="10">
        <v>11380</v>
      </c>
      <c r="P897" s="7">
        <f>IF(Tabela1610[[#This Row],[JOLTS]]="",#N/A,Tabela1610[[#This Row],[JOLTS]]/Tabela1610[[#This Row],[Unemployment Level]])</f>
        <v>1.9902063658621896</v>
      </c>
    </row>
    <row r="898" spans="1:16">
      <c r="A898" s="6">
        <v>44774</v>
      </c>
      <c r="B898" s="11">
        <v>3.7</v>
      </c>
      <c r="C898" s="11">
        <f>IF(Tabela1610[[#This Row],[Unemployment Rate]]="",#N/A,AVERAGE(B886:B898))</f>
        <v>4.0000000000000009</v>
      </c>
      <c r="D898" s="10">
        <v>6021</v>
      </c>
      <c r="E898" s="11">
        <v>62.3</v>
      </c>
      <c r="F898" s="11">
        <v>5.3606199999999999</v>
      </c>
      <c r="G898" s="11">
        <v>6.7</v>
      </c>
      <c r="H898" s="55">
        <v>16161.4</v>
      </c>
      <c r="I898" s="56">
        <f>IF(Tabela1610[[#This Row],[Real Disposable Income (RDI)]]="",#N/A,((Tabela1610[[#This Row],[Real Disposable Income (RDI)]]*1)/H897)-1)</f>
        <v>3.2341566672666744E-3</v>
      </c>
      <c r="J898" s="56">
        <f>IF(Tabela1610[[#This Row],[Real Disposable Income (RDI)]]="",#N/A,((Tabela1610[[#This Row],[Real Disposable Income (RDI)]]*1)/H886)-1)</f>
        <v>-3.7536401912849904E-2</v>
      </c>
      <c r="K898" s="10">
        <v>206000</v>
      </c>
      <c r="L898" s="11">
        <v>22.3</v>
      </c>
      <c r="M898" s="10">
        <v>352</v>
      </c>
      <c r="N898" s="10">
        <f>IF(Tabela1610[[#This Row],[Payroll]]="",#N/A,AVERAGE(M896:M898))</f>
        <v>430</v>
      </c>
      <c r="O898" s="10">
        <v>10198</v>
      </c>
      <c r="P898" s="7">
        <f>IF(Tabela1610[[#This Row],[JOLTS]]="",#N/A,Tabela1610[[#This Row],[JOLTS]]/Tabela1610[[#This Row],[Unemployment Level]])</f>
        <v>1.6937385816309583</v>
      </c>
    </row>
    <row r="899" spans="1:16">
      <c r="A899" s="6">
        <v>44805</v>
      </c>
      <c r="B899" s="11">
        <v>3.5</v>
      </c>
      <c r="C899" s="11">
        <f>IF(Tabela1610[[#This Row],[Unemployment Rate]]="",#N/A,AVERAGE(B887:B899))</f>
        <v>3.8692307692307697</v>
      </c>
      <c r="D899" s="10">
        <v>5770</v>
      </c>
      <c r="E899" s="11">
        <v>62.3</v>
      </c>
      <c r="F899" s="11">
        <v>5.0710600000000001</v>
      </c>
      <c r="G899" s="11">
        <v>6.3</v>
      </c>
      <c r="H899" s="55">
        <v>16184.9</v>
      </c>
      <c r="I899" s="56">
        <f>IF(Tabela1610[[#This Row],[Real Disposable Income (RDI)]]="",#N/A,((Tabela1610[[#This Row],[Real Disposable Income (RDI)]]*1)/H898)-1)</f>
        <v>1.4540819483459533E-3</v>
      </c>
      <c r="J899" s="56">
        <f>IF(Tabela1610[[#This Row],[Real Disposable Income (RDI)]]="",#N/A,((Tabela1610[[#This Row],[Real Disposable Income (RDI)]]*1)/H887)-1)</f>
        <v>-2.2904680547925382E-2</v>
      </c>
      <c r="K899" s="10">
        <v>182000</v>
      </c>
      <c r="L899" s="11">
        <v>20.2</v>
      </c>
      <c r="M899" s="10">
        <v>350</v>
      </c>
      <c r="N899" s="10">
        <f>IF(Tabela1610[[#This Row],[Payroll]]="",#N/A,AVERAGE(M897:M899))</f>
        <v>423.33333333333331</v>
      </c>
      <c r="O899" s="10">
        <v>10854</v>
      </c>
      <c r="P899" s="7">
        <f>IF(Tabela1610[[#This Row],[JOLTS]]="",#N/A,Tabela1610[[#This Row],[JOLTS]]/Tabela1610[[#This Row],[Unemployment Level]])</f>
        <v>1.8811091854419411</v>
      </c>
    </row>
    <row r="900" spans="1:16">
      <c r="A900" s="6">
        <v>44835</v>
      </c>
      <c r="B900" s="11">
        <v>3.7</v>
      </c>
      <c r="C900" s="11">
        <f>IF(Tabela1610[[#This Row],[Unemployment Rate]]="",#N/A,AVERAGE(B888:B900))</f>
        <v>3.7846153846153854</v>
      </c>
      <c r="D900" s="10">
        <v>6053</v>
      </c>
      <c r="E900" s="11">
        <v>62.2</v>
      </c>
      <c r="F900" s="11">
        <v>4.8811799999999996</v>
      </c>
      <c r="G900" s="11">
        <v>6.4</v>
      </c>
      <c r="H900" s="55">
        <v>16223.5</v>
      </c>
      <c r="I900" s="56">
        <f>IF(Tabela1610[[#This Row],[Real Disposable Income (RDI)]]="",#N/A,((Tabela1610[[#This Row],[Real Disposable Income (RDI)]]*1)/H899)-1)</f>
        <v>2.3849390481252009E-3</v>
      </c>
      <c r="J900" s="56">
        <f>IF(Tabela1610[[#This Row],[Real Disposable Income (RDI)]]="",#N/A,((Tabela1610[[#This Row],[Real Disposable Income (RDI)]]*1)/H888)-1)</f>
        <v>-1.9574072059658998E-2</v>
      </c>
      <c r="K900" s="10">
        <v>204000</v>
      </c>
      <c r="L900" s="11">
        <v>20.8</v>
      </c>
      <c r="M900" s="10">
        <v>324</v>
      </c>
      <c r="N900" s="10">
        <f>IF(Tabela1610[[#This Row],[Payroll]]="",#N/A,AVERAGE(M898:M900))</f>
        <v>342</v>
      </c>
      <c r="O900" s="10">
        <v>10471</v>
      </c>
      <c r="P900" s="7">
        <f>IF(Tabela1610[[#This Row],[JOLTS]]="",#N/A,Tabela1610[[#This Row],[JOLTS]]/Tabela1610[[#This Row],[Unemployment Level]])</f>
        <v>1.7298860069387081</v>
      </c>
    </row>
    <row r="901" spans="1:16">
      <c r="A901" s="6">
        <v>44866</v>
      </c>
      <c r="B901" s="11">
        <v>3.6</v>
      </c>
      <c r="C901" s="11">
        <f>IF(Tabela1610[[#This Row],[Unemployment Rate]]="",#N/A,AVERAGE(B889:B901))</f>
        <v>3.7153846153846164</v>
      </c>
      <c r="D901" s="10">
        <v>6000</v>
      </c>
      <c r="E901" s="11">
        <v>62.2</v>
      </c>
      <c r="F901" s="11">
        <v>4.9935999999999998</v>
      </c>
      <c r="G901" s="11">
        <v>6.4</v>
      </c>
      <c r="H901" s="55">
        <v>16229.6</v>
      </c>
      <c r="I901" s="56">
        <f>IF(Tabela1610[[#This Row],[Real Disposable Income (RDI)]]="",#N/A,((Tabela1610[[#This Row],[Real Disposable Income (RDI)]]*1)/H900)-1)</f>
        <v>3.7599778099672854E-4</v>
      </c>
      <c r="J901" s="56">
        <f>IF(Tabela1610[[#This Row],[Real Disposable Income (RDI)]]="",#N/A,((Tabela1610[[#This Row],[Real Disposable Income (RDI)]]*1)/H889)-1)</f>
        <v>-1.6375956072194775E-2</v>
      </c>
      <c r="K901" s="10">
        <v>213000</v>
      </c>
      <c r="L901" s="11">
        <v>21.5</v>
      </c>
      <c r="M901" s="10">
        <v>290</v>
      </c>
      <c r="N901" s="10">
        <f>IF(Tabela1610[[#This Row],[Payroll]]="",#N/A,AVERAGE(M899:M901))</f>
        <v>321.33333333333331</v>
      </c>
      <c r="O901" s="10">
        <v>10746</v>
      </c>
      <c r="P901" s="7">
        <f>IF(Tabela1610[[#This Row],[JOLTS]]="",#N/A,Tabela1610[[#This Row],[JOLTS]]/Tabela1610[[#This Row],[Unemployment Level]])</f>
        <v>1.7909999999999999</v>
      </c>
    </row>
    <row r="902" spans="1:16">
      <c r="A902" s="6">
        <v>44896</v>
      </c>
      <c r="B902" s="11">
        <v>3.5</v>
      </c>
      <c r="C902" s="11">
        <f>IF(Tabela1610[[#This Row],[Unemployment Rate]]="",#N/A,AVERAGE(B890:B902))</f>
        <v>3.6615384615384623</v>
      </c>
      <c r="D902" s="10">
        <v>5722</v>
      </c>
      <c r="E902" s="11">
        <v>62.3</v>
      </c>
      <c r="F902" s="11">
        <v>4.7740299999999998</v>
      </c>
      <c r="G902" s="11">
        <v>6.1</v>
      </c>
      <c r="H902" s="55">
        <v>16265.1</v>
      </c>
      <c r="I902" s="56">
        <f>IF(Tabela1610[[#This Row],[Real Disposable Income (RDI)]]="",#N/A,((Tabela1610[[#This Row],[Real Disposable Income (RDI)]]*1)/H901)-1)</f>
        <v>2.1873613644205481E-3</v>
      </c>
      <c r="J902" s="56">
        <f>IF(Tabela1610[[#This Row],[Real Disposable Income (RDI)]]="",#N/A,((Tabela1610[[#This Row],[Real Disposable Income (RDI)]]*1)/H890)-1)</f>
        <v>-9.3431190425434796E-3</v>
      </c>
      <c r="K902" s="10">
        <v>206000</v>
      </c>
      <c r="L902" s="11">
        <v>19.5</v>
      </c>
      <c r="M902" s="10">
        <v>239</v>
      </c>
      <c r="N902" s="10">
        <f>IF(Tabela1610[[#This Row],[Payroll]]="",#N/A,AVERAGE(M900:M902))</f>
        <v>284.33333333333331</v>
      </c>
      <c r="O902" s="10">
        <v>11234</v>
      </c>
      <c r="P902" s="7">
        <f>IF(Tabela1610[[#This Row],[JOLTS]]="",#N/A,Tabela1610[[#This Row],[JOLTS]]/Tabela1610[[#This Row],[Unemployment Level]])</f>
        <v>1.9632995456134219</v>
      </c>
    </row>
    <row r="903" spans="1:16">
      <c r="A903" s="6">
        <v>44927</v>
      </c>
      <c r="B903" s="11">
        <v>3.4</v>
      </c>
      <c r="C903" s="11">
        <f>IF(Tabela1610[[#This Row],[Unemployment Rate]]="",#N/A,AVERAGE(B891:B903))</f>
        <v>3.6230769230769235</v>
      </c>
      <c r="D903" s="10">
        <v>5694</v>
      </c>
      <c r="E903" s="11">
        <v>62.4</v>
      </c>
      <c r="F903" s="11">
        <v>4.3945600000000002</v>
      </c>
      <c r="G903" s="11">
        <v>6.1</v>
      </c>
      <c r="H903" s="55">
        <v>16601.900000000001</v>
      </c>
      <c r="I903" s="56">
        <f>IF(Tabela1610[[#This Row],[Real Disposable Income (RDI)]]="",#N/A,((Tabela1610[[#This Row],[Real Disposable Income (RDI)]]*1)/H902)-1)</f>
        <v>2.0706912346066142E-2</v>
      </c>
      <c r="J903" s="56">
        <f>IF(Tabela1610[[#This Row],[Real Disposable Income (RDI)]]="",#N/A,((Tabela1610[[#This Row],[Real Disposable Income (RDI)]]*1)/H891)-1)</f>
        <v>3.24051042236706E-2</v>
      </c>
      <c r="K903" s="10">
        <v>199000</v>
      </c>
      <c r="L903" s="11">
        <v>20.399999999999999</v>
      </c>
      <c r="M903" s="10">
        <v>472</v>
      </c>
      <c r="N903" s="10">
        <f>IF(Tabela1610[[#This Row],[Payroll]]="",#N/A,AVERAGE(M901:M903))</f>
        <v>333.66666666666669</v>
      </c>
      <c r="O903" s="10">
        <v>10563</v>
      </c>
      <c r="P903" s="7">
        <f>IF(Tabela1610[[#This Row],[JOLTS]]="",#N/A,Tabela1610[[#This Row],[JOLTS]]/Tabela1610[[#This Row],[Unemployment Level]])</f>
        <v>1.8551106427818758</v>
      </c>
    </row>
    <row r="904" spans="1:16">
      <c r="A904" s="6">
        <v>44958</v>
      </c>
      <c r="B904" s="11">
        <v>3.6</v>
      </c>
      <c r="C904" s="11">
        <f>IF(Tabela1610[[#This Row],[Unemployment Rate]]="",#N/A,AVERAGE(B892:B904))</f>
        <v>3.5923076923076924</v>
      </c>
      <c r="D904" s="10">
        <v>5936</v>
      </c>
      <c r="E904" s="11">
        <v>62.5</v>
      </c>
      <c r="F904" s="11">
        <v>4.6158700000000001</v>
      </c>
      <c r="G904" s="11">
        <v>6.1</v>
      </c>
      <c r="H904" s="55">
        <v>16656.099999999999</v>
      </c>
      <c r="I904" s="56">
        <f>IF(Tabela1610[[#This Row],[Real Disposable Income (RDI)]]="",#N/A,((Tabela1610[[#This Row],[Real Disposable Income (RDI)]]*1)/H903)-1)</f>
        <v>3.2646865720187268E-3</v>
      </c>
      <c r="J904" s="56">
        <f>IF(Tabela1610[[#This Row],[Real Disposable Income (RDI)]]="",#N/A,((Tabela1610[[#This Row],[Real Disposable Income (RDI)]]*1)/H892)-1)</f>
        <v>3.5009662766347427E-2</v>
      </c>
      <c r="K904" s="10">
        <v>221000</v>
      </c>
      <c r="L904" s="11">
        <v>19.3</v>
      </c>
      <c r="M904" s="10">
        <v>326</v>
      </c>
      <c r="N904" s="10">
        <f>IF(Tabela1610[[#This Row],[Payroll]]="",#N/A,AVERAGE(M902:M904))</f>
        <v>345.66666666666669</v>
      </c>
      <c r="O904" s="10">
        <v>9931</v>
      </c>
      <c r="P904" s="7">
        <f>IF(Tabela1610[[#This Row],[JOLTS]]="",#N/A,Tabela1610[[#This Row],[JOLTS]]/Tabela1610[[#This Row],[Unemployment Level]])</f>
        <v>1.6730121293800539</v>
      </c>
    </row>
    <row r="905" spans="1:16">
      <c r="A905" s="6">
        <v>44986</v>
      </c>
      <c r="B905" s="11">
        <v>3.5</v>
      </c>
      <c r="C905" s="11">
        <f>IF(Tabela1610[[#This Row],[Unemployment Rate]]="",#N/A,AVERAGE(B893:B905))</f>
        <v>3.569230769230769</v>
      </c>
      <c r="D905" s="10">
        <v>5839</v>
      </c>
      <c r="E905" s="11">
        <v>62.6</v>
      </c>
      <c r="F905" s="11">
        <v>4.3</v>
      </c>
      <c r="G905" s="11">
        <v>6.4</v>
      </c>
      <c r="H905" s="55">
        <v>16730.2</v>
      </c>
      <c r="I905" s="56">
        <f>IF(Tabela1610[[#This Row],[Real Disposable Income (RDI)]]="",#N/A,((Tabela1610[[#This Row],[Real Disposable Income (RDI)]]*1)/H904)-1)</f>
        <v>4.4488205522301705E-3</v>
      </c>
      <c r="J905" s="56">
        <f>IF(Tabela1610[[#This Row],[Real Disposable Income (RDI)]]="",#N/A,((Tabela1610[[#This Row],[Real Disposable Income (RDI)]]*1)/H893)-1)</f>
        <v>4.3804318665344066E-2</v>
      </c>
      <c r="K905" s="10">
        <v>246000</v>
      </c>
      <c r="L905" s="11">
        <v>19.5</v>
      </c>
      <c r="M905" s="10">
        <v>165</v>
      </c>
      <c r="N905" s="10">
        <f>IF(Tabela1610[[#This Row],[Payroll]]="",#N/A,AVERAGE(M903:M905))</f>
        <v>321</v>
      </c>
      <c r="O905" s="10">
        <v>9745</v>
      </c>
      <c r="P905" s="7">
        <f>IF(Tabela1610[[#This Row],[JOLTS]]="",#N/A,Tabela1610[[#This Row],[JOLTS]]/Tabela1610[[#This Row],[Unemployment Level]])</f>
        <v>1.6689501626990924</v>
      </c>
    </row>
    <row r="906" spans="1:16">
      <c r="A906" s="6">
        <v>45017</v>
      </c>
      <c r="B906" s="11">
        <v>3.4</v>
      </c>
      <c r="C906" s="11">
        <f>IF(Tabela1610[[#This Row],[Unemployment Rate]]="",#N/A,AVERAGE(B894:B906))</f>
        <v>3.5538461538461537</v>
      </c>
      <c r="D906" s="10">
        <v>5700</v>
      </c>
      <c r="E906" s="11">
        <v>62.6</v>
      </c>
      <c r="F906" s="11">
        <v>4.4000000000000004</v>
      </c>
      <c r="G906" s="11">
        <v>6.1</v>
      </c>
      <c r="H906" s="55">
        <v>16763.900000000001</v>
      </c>
      <c r="I906" s="56">
        <f>IF(Tabela1610[[#This Row],[Real Disposable Income (RDI)]]="",#N/A,((Tabela1610[[#This Row],[Real Disposable Income (RDI)]]*1)/H905)-1)</f>
        <v>2.0143214067973592E-3</v>
      </c>
      <c r="J906" s="56">
        <f>IF(Tabela1610[[#This Row],[Real Disposable Income (RDI)]]="",#N/A,((Tabela1610[[#This Row],[Real Disposable Income (RDI)]]*1)/H894)-1)</f>
        <v>4.4961539900016279E-2</v>
      </c>
      <c r="K906" s="10">
        <v>242000</v>
      </c>
      <c r="L906" s="11">
        <v>20.8</v>
      </c>
      <c r="M906" s="10">
        <v>294</v>
      </c>
      <c r="N906" s="10">
        <f>IF(Tabela1610[[#This Row],[Payroll]]="",#N/A,AVERAGE(M904:M906))</f>
        <v>261.66666666666669</v>
      </c>
      <c r="O906" s="10">
        <v>10320</v>
      </c>
      <c r="P906" s="7">
        <f>IF(Tabela1610[[#This Row],[JOLTS]]="",#N/A,Tabela1610[[#This Row],[JOLTS]]/Tabela1610[[#This Row],[Unemployment Level]])</f>
        <v>1.8105263157894738</v>
      </c>
    </row>
    <row r="907" spans="1:16">
      <c r="A907" s="6">
        <v>45047</v>
      </c>
      <c r="B907" s="11">
        <v>3.7</v>
      </c>
      <c r="C907" s="11">
        <f>IF(Tabela1610[[#This Row],[Unemployment Rate]]="",#N/A,AVERAGE(B895:B907))</f>
        <v>3.5615384615384618</v>
      </c>
      <c r="D907" s="10">
        <v>6100</v>
      </c>
      <c r="E907" s="11">
        <v>62.6</v>
      </c>
      <c r="F907" s="11">
        <v>4.4000000000000004</v>
      </c>
      <c r="G907" s="11">
        <v>6</v>
      </c>
      <c r="H907" s="55">
        <v>16818.5</v>
      </c>
      <c r="I907" s="56">
        <f>IF(Tabela1610[[#This Row],[Real Disposable Income (RDI)]]="",#N/A,((Tabela1610[[#This Row],[Real Disposable Income (RDI)]]*1)/H906)-1)</f>
        <v>3.2569986697605913E-3</v>
      </c>
      <c r="J907" s="56">
        <f>IF(Tabela1610[[#This Row],[Real Disposable Income (RDI)]]="",#N/A,((Tabela1610[[#This Row],[Real Disposable Income (RDI)]]*1)/H895)-1)</f>
        <v>4.9634280293574307E-2</v>
      </c>
      <c r="K907" s="10">
        <v>233000</v>
      </c>
      <c r="L907" s="11">
        <v>21.2</v>
      </c>
      <c r="M907" s="10">
        <v>306</v>
      </c>
      <c r="N907" s="10">
        <f>IF(Tabela1610[[#This Row],[Payroll]]="",#N/A,AVERAGE(M905:M907))</f>
        <v>255</v>
      </c>
      <c r="O907" s="10">
        <v>9616</v>
      </c>
      <c r="P907" s="7">
        <f>IF(Tabela1610[[#This Row],[JOLTS]]="",#N/A,Tabela1610[[#This Row],[JOLTS]]/Tabela1610[[#This Row],[Unemployment Level]])</f>
        <v>1.5763934426229509</v>
      </c>
    </row>
    <row r="908" spans="1:16">
      <c r="A908" s="6">
        <v>45078</v>
      </c>
      <c r="B908" s="11">
        <v>3.6</v>
      </c>
      <c r="C908" s="11">
        <f>IF(Tabela1610[[#This Row],[Unemployment Rate]]="",#N/A,AVERAGE(B896:B908))</f>
        <v>3.5615384615384618</v>
      </c>
      <c r="D908" s="10">
        <v>5957</v>
      </c>
      <c r="E908" s="11">
        <v>62.6</v>
      </c>
      <c r="F908" s="11">
        <v>4.4000000000000004</v>
      </c>
      <c r="G908" s="11">
        <v>5.6</v>
      </c>
      <c r="H908" s="55">
        <v>16809.5</v>
      </c>
      <c r="I908" s="56">
        <f>IF(Tabela1610[[#This Row],[Real Disposable Income (RDI)]]="",#N/A,((Tabela1610[[#This Row],[Real Disposable Income (RDI)]]*1)/H907)-1)</f>
        <v>-5.3512501114838518E-4</v>
      </c>
      <c r="J908" s="56">
        <f>IF(Tabela1610[[#This Row],[Real Disposable Income (RDI)]]="",#N/A,((Tabela1610[[#This Row],[Real Disposable Income (RDI)]]*1)/H896)-1)</f>
        <v>5.3002493203202272E-2</v>
      </c>
      <c r="K908" s="10">
        <v>236000</v>
      </c>
      <c r="L908" s="11">
        <v>20.7</v>
      </c>
      <c r="M908" s="10">
        <v>185</v>
      </c>
      <c r="N908" s="10">
        <f>IF(Tabela1610[[#This Row],[Payroll]]="",#N/A,AVERAGE(M906:M908))</f>
        <v>261.66666666666669</v>
      </c>
      <c r="O908" s="10">
        <v>9165</v>
      </c>
      <c r="P908" s="7">
        <f>IF(Tabela1610[[#This Row],[JOLTS]]="",#N/A,Tabela1610[[#This Row],[JOLTS]]/Tabela1610[[#This Row],[Unemployment Level]])</f>
        <v>1.538526103743495</v>
      </c>
    </row>
    <row r="909" spans="1:16">
      <c r="A909" s="6">
        <v>45108</v>
      </c>
      <c r="B909" s="11">
        <v>3.5</v>
      </c>
      <c r="C909" s="11">
        <f>IF(Tabela1610[[#This Row],[Unemployment Rate]]="",#N/A,AVERAGE(B897:B909))</f>
        <v>3.5538461538461541</v>
      </c>
      <c r="D909" s="10">
        <v>5800</v>
      </c>
      <c r="E909" s="11">
        <v>62.6</v>
      </c>
      <c r="F909" s="11">
        <v>4.4000000000000004</v>
      </c>
      <c r="G909" s="11">
        <v>5.7</v>
      </c>
      <c r="H909" s="55">
        <v>16808.400000000001</v>
      </c>
      <c r="I909" s="56">
        <f>IF(Tabela1610[[#This Row],[Real Disposable Income (RDI)]]="",#N/A,((Tabela1610[[#This Row],[Real Disposable Income (RDI)]]*1)/H908)-1)</f>
        <v>-6.5439186174409691E-5</v>
      </c>
      <c r="J909" s="56">
        <f>IF(Tabela1610[[#This Row],[Real Disposable Income (RDI)]]="",#N/A,((Tabela1610[[#This Row],[Real Disposable Income (RDI)]]*1)/H897)-1)</f>
        <v>4.3397292247335573E-2</v>
      </c>
      <c r="K909" s="10">
        <v>227000</v>
      </c>
      <c r="L909" s="11">
        <v>20.6</v>
      </c>
      <c r="M909" s="10">
        <v>157</v>
      </c>
      <c r="N909" s="10">
        <f>IF(Tabela1610[[#This Row],[Payroll]]="",#N/A,AVERAGE(M907:M909))</f>
        <v>216</v>
      </c>
      <c r="O909" s="10">
        <v>8920</v>
      </c>
      <c r="P909" s="7">
        <f>IF(Tabela1610[[#This Row],[JOLTS]]="",#N/A,Tabela1610[[#This Row],[JOLTS]]/Tabela1610[[#This Row],[Unemployment Level]])</f>
        <v>1.5379310344827586</v>
      </c>
    </row>
    <row r="910" spans="1:16">
      <c r="A910" s="6">
        <v>45139</v>
      </c>
      <c r="B910" s="11">
        <v>3.8</v>
      </c>
      <c r="C910" s="11">
        <f>IF(Tabela1610[[#This Row],[Unemployment Rate]]="",#N/A,AVERAGE(B898:B910))</f>
        <v>3.5769230769230771</v>
      </c>
      <c r="D910" s="10">
        <v>6355</v>
      </c>
      <c r="E910" s="11">
        <v>62.8</v>
      </c>
      <c r="F910" s="11">
        <v>4.3</v>
      </c>
      <c r="G910" s="11">
        <v>5.3</v>
      </c>
      <c r="H910" s="55">
        <v>16814.599999999999</v>
      </c>
      <c r="I910" s="56">
        <f>IF(Tabela1610[[#This Row],[Real Disposable Income (RDI)]]="",#N/A,((Tabela1610[[#This Row],[Real Disposable Income (RDI)]]*1)/H909)-1)</f>
        <v>3.6886318745366076E-4</v>
      </c>
      <c r="J910" s="56">
        <f>IF(Tabela1610[[#This Row],[Real Disposable Income (RDI)]]="",#N/A,((Tabela1610[[#This Row],[Real Disposable Income (RDI)]]*1)/H898)-1)</f>
        <v>4.0417290581261422E-2</v>
      </c>
      <c r="K910" s="10">
        <v>229000</v>
      </c>
      <c r="L910" s="11">
        <v>20.399999999999999</v>
      </c>
      <c r="M910" s="10">
        <v>227</v>
      </c>
      <c r="N910" s="10">
        <f>IF(Tabela1610[[#This Row],[Payroll]]="",#N/A,AVERAGE(M908:M910))</f>
        <v>189.66666666666666</v>
      </c>
      <c r="O910" s="10">
        <v>9497</v>
      </c>
      <c r="P910" s="7">
        <f>IF(Tabela1610[[#This Row],[JOLTS]]="",#N/A,Tabela1610[[#This Row],[JOLTS]]/Tabela1610[[#This Row],[Unemployment Level]])</f>
        <v>1.4944138473642801</v>
      </c>
    </row>
    <row r="911" spans="1:16">
      <c r="A911" s="6">
        <v>45170</v>
      </c>
      <c r="B911" s="11">
        <v>3.8</v>
      </c>
      <c r="C911" s="11">
        <f>IF(Tabela1610[[#This Row],[Unemployment Rate]]="",#N/A,AVERAGE(B899:B911))</f>
        <v>3.5846153846153843</v>
      </c>
      <c r="D911" s="10">
        <v>6400</v>
      </c>
      <c r="E911" s="11">
        <v>62.8</v>
      </c>
      <c r="F911" s="11">
        <v>4.3</v>
      </c>
      <c r="G911" s="11">
        <v>5.2</v>
      </c>
      <c r="H911" s="55">
        <v>16804.5</v>
      </c>
      <c r="I911" s="56">
        <f>IF(Tabela1610[[#This Row],[Real Disposable Income (RDI)]]="",#N/A,((Tabela1610[[#This Row],[Real Disposable Income (RDI)]]*1)/H910)-1)</f>
        <v>-6.0066846668960228E-4</v>
      </c>
      <c r="J911" s="56">
        <f>IF(Tabela1610[[#This Row],[Real Disposable Income (RDI)]]="",#N/A,((Tabela1610[[#This Row],[Real Disposable Income (RDI)]]*1)/H899)-1)</f>
        <v>3.8282596741407104E-2</v>
      </c>
      <c r="K911" s="10">
        <v>209000</v>
      </c>
      <c r="L911" s="11">
        <v>21.4</v>
      </c>
      <c r="M911" s="10">
        <v>297</v>
      </c>
      <c r="N911" s="10">
        <f>IF(Tabela1610[[#This Row],[Payroll]]="",#N/A,AVERAGE(M909:M911))</f>
        <v>227</v>
      </c>
      <c r="O911" s="10">
        <v>9350</v>
      </c>
      <c r="P911" s="7">
        <f>IF(Tabela1610[[#This Row],[JOLTS]]="",#N/A,Tabela1610[[#This Row],[JOLTS]]/Tabela1610[[#This Row],[Unemployment Level]])</f>
        <v>1.4609375</v>
      </c>
    </row>
    <row r="912" spans="1:16">
      <c r="A912" s="6">
        <v>45200</v>
      </c>
      <c r="B912" s="11">
        <v>3.9</v>
      </c>
      <c r="C912" s="11">
        <f>IF(Tabela1610[[#This Row],[Unemployment Rate]]="",#N/A,AVERAGE(B900:B912))</f>
        <v>3.615384615384615</v>
      </c>
      <c r="D912" s="10">
        <v>6500</v>
      </c>
      <c r="E912" s="11">
        <v>62.7</v>
      </c>
      <c r="F912" s="11">
        <v>4.0999999999999996</v>
      </c>
      <c r="G912" s="11">
        <v>5.2</v>
      </c>
      <c r="H912" s="55">
        <v>16848.400000000001</v>
      </c>
      <c r="I912" s="56">
        <f>IF(Tabela1610[[#This Row],[Real Disposable Income (RDI)]]="",#N/A,((Tabela1610[[#This Row],[Real Disposable Income (RDI)]]*1)/H911)-1)</f>
        <v>2.6123954893035872E-3</v>
      </c>
      <c r="J912" s="56">
        <f>IF(Tabela1610[[#This Row],[Real Disposable Income (RDI)]]="",#N/A,((Tabela1610[[#This Row],[Real Disposable Income (RDI)]]*1)/H900)-1)</f>
        <v>3.851819890899022E-2</v>
      </c>
      <c r="K912" s="10">
        <v>220000</v>
      </c>
      <c r="L912" s="11">
        <v>21.6</v>
      </c>
      <c r="M912" s="10">
        <v>150</v>
      </c>
      <c r="N912" s="10">
        <f>IF(Tabela1610[[#This Row],[Payroll]]="",#N/A,AVERAGE(M910:M912))</f>
        <v>224.66666666666666</v>
      </c>
      <c r="O912" s="10">
        <v>8852</v>
      </c>
      <c r="P912" s="7">
        <f>IF(Tabela1610[[#This Row],[JOLTS]]="",#N/A,Tabela1610[[#This Row],[JOLTS]]/Tabela1610[[#This Row],[Unemployment Level]])</f>
        <v>1.3618461538461539</v>
      </c>
    </row>
    <row r="913" spans="1:16">
      <c r="A913" s="6">
        <v>45231</v>
      </c>
      <c r="B913" s="11">
        <v>3.7</v>
      </c>
      <c r="C913" s="11">
        <f>IF(Tabela1610[[#This Row],[Unemployment Rate]]="",#N/A,AVERAGE(B901:B913))</f>
        <v>3.6153846153846154</v>
      </c>
      <c r="D913" s="10">
        <v>6300</v>
      </c>
      <c r="E913" s="11">
        <v>62.8</v>
      </c>
      <c r="F913" s="11">
        <v>4</v>
      </c>
      <c r="G913" s="11">
        <v>5.2</v>
      </c>
      <c r="H913" s="55">
        <v>16919.900000000001</v>
      </c>
      <c r="I913" s="56">
        <f>IF(Tabela1610[[#This Row],[Real Disposable Income (RDI)]]="",#N/A,((Tabela1610[[#This Row],[Real Disposable Income (RDI)]]*1)/H912)-1)</f>
        <v>4.2437264072552328E-3</v>
      </c>
      <c r="J913" s="56">
        <f>IF(Tabela1610[[#This Row],[Real Disposable Income (RDI)]]="",#N/A,((Tabela1610[[#This Row],[Real Disposable Income (RDI)]]*1)/H901)-1)</f>
        <v>4.2533395770690596E-2</v>
      </c>
      <c r="K913" s="10">
        <v>219000</v>
      </c>
      <c r="L913" s="11">
        <v>19.5</v>
      </c>
      <c r="M913" s="10">
        <v>173</v>
      </c>
      <c r="N913" s="10">
        <f>IF(Tabela1610[[#This Row],[Payroll]]="",#N/A,AVERAGE(M911:M913))</f>
        <v>206.66666666666666</v>
      </c>
      <c r="O913" s="10">
        <v>8790</v>
      </c>
      <c r="P913" s="7">
        <f>IF(Tabela1610[[#This Row],[JOLTS]]="",#N/A,Tabela1610[[#This Row],[JOLTS]]/Tabela1610[[#This Row],[Unemployment Level]])</f>
        <v>1.3952380952380952</v>
      </c>
    </row>
    <row r="914" spans="1:16">
      <c r="A914" s="6">
        <v>45261</v>
      </c>
      <c r="B914" s="11">
        <v>3.7</v>
      </c>
      <c r="C914" s="11">
        <f>IF(Tabela1610[[#This Row],[Unemployment Rate]]="",#N/A,AVERAGE(B902:B914))</f>
        <v>3.6230769230769231</v>
      </c>
      <c r="D914" s="10">
        <v>6300</v>
      </c>
      <c r="E914" s="11">
        <v>62.5</v>
      </c>
      <c r="F914" s="11">
        <v>4.0999999999999996</v>
      </c>
      <c r="G914" s="11">
        <v>5.2</v>
      </c>
      <c r="H914" s="55"/>
      <c r="I914" s="56" t="e">
        <f>IF(Tabela1610[[#This Row],[Real Disposable Income (RDI)]]="",#N/A,((Tabela1610[[#This Row],[Real Disposable Income (RDI)]]*1)/H913)-1)</f>
        <v>#N/A</v>
      </c>
      <c r="J914" s="56" t="e">
        <f>IF(Tabela1610[[#This Row],[Real Disposable Income (RDI)]]="",#N/A,((Tabela1610[[#This Row],[Real Disposable Income (RDI)]]*1)/H902)-1)</f>
        <v>#N/A</v>
      </c>
      <c r="K914" s="10">
        <v>203000</v>
      </c>
      <c r="L914" s="11">
        <v>22.3</v>
      </c>
      <c r="M914" s="10">
        <v>216</v>
      </c>
      <c r="N914" s="10">
        <f>IF(Tabela1610[[#This Row],[Payroll]]="",#N/A,AVERAGE(M912:M914))</f>
        <v>179.66666666666666</v>
      </c>
      <c r="O914" s="90">
        <v>8790</v>
      </c>
      <c r="P914" s="7">
        <f>IF(Tabela1610[[#This Row],[JOLTS]]="",#N/A,Tabela1610[[#This Row],[JOLTS]]/Tabela1610[[#This Row],[Unemployment Level]])</f>
        <v>1.3952380952380952</v>
      </c>
    </row>
    <row r="915" spans="1:16">
      <c r="A915" s="6">
        <v>45292</v>
      </c>
      <c r="B915" s="11"/>
      <c r="C915" s="11" t="e">
        <f>IF(Tabela1610[[#This Row],[Unemployment Rate]]="",#N/A,AVERAGE(B903:B915))</f>
        <v>#N/A</v>
      </c>
      <c r="D915" s="10"/>
      <c r="E915" s="11"/>
      <c r="F915" s="11"/>
      <c r="G915" s="11"/>
      <c r="H915" s="55"/>
      <c r="I915" s="56" t="e">
        <f>IF(Tabela1610[[#This Row],[Real Disposable Income (RDI)]]="",#N/A,((Tabela1610[[#This Row],[Real Disposable Income (RDI)]]*1)/H914)-1)</f>
        <v>#N/A</v>
      </c>
      <c r="J915" s="56" t="e">
        <f>IF(Tabela1610[[#This Row],[Real Disposable Income (RDI)]]="",#N/A,((Tabela1610[[#This Row],[Real Disposable Income (RDI)]]*1)/H903)-1)</f>
        <v>#N/A</v>
      </c>
      <c r="K915" s="10">
        <v>187000</v>
      </c>
      <c r="L915" s="11"/>
      <c r="M915" s="10"/>
      <c r="N915" s="10" t="e">
        <f>IF(Tabela1610[[#This Row],[Payroll]]="",#N/A,AVERAGE(M913:M915))</f>
        <v>#N/A</v>
      </c>
      <c r="O915" s="10"/>
      <c r="P915" s="7" t="e">
        <f>IF(Tabela1610[[#This Row],[JOLTS]]="",#N/A,Tabela1610[[#This Row],[JOLTS]]/Tabela1610[[#This Row],[Unemployment Level]])</f>
        <v>#N/A</v>
      </c>
    </row>
    <row r="916" spans="1:16">
      <c r="A916" s="6">
        <v>45323</v>
      </c>
      <c r="B916" s="11"/>
      <c r="C916" s="11" t="e">
        <f>IF(Tabela1610[[#This Row],[Unemployment Rate]]="",#N/A,AVERAGE(B904:B916))</f>
        <v>#N/A</v>
      </c>
      <c r="D916" s="10"/>
      <c r="E916" s="11"/>
      <c r="F916" s="11"/>
      <c r="G916" s="11"/>
      <c r="H916" s="55"/>
      <c r="I916" s="56" t="e">
        <f>IF(Tabela1610[[#This Row],[Real Disposable Income (RDI)]]="",#N/A,((Tabela1610[[#This Row],[Real Disposable Income (RDI)]]*1)/H915)-1)</f>
        <v>#N/A</v>
      </c>
      <c r="J916" s="56" t="e">
        <f>IF(Tabela1610[[#This Row],[Real Disposable Income (RDI)]]="",#N/A,((Tabela1610[[#This Row],[Real Disposable Income (RDI)]]*1)/H904)-1)</f>
        <v>#N/A</v>
      </c>
      <c r="K916" s="10"/>
      <c r="L916" s="11"/>
      <c r="M916" s="10"/>
      <c r="N916" s="10" t="e">
        <f>IF(Tabela1610[[#This Row],[Payroll]]="",#N/A,AVERAGE(M914:M916))</f>
        <v>#N/A</v>
      </c>
      <c r="O916" s="10"/>
      <c r="P916" s="7" t="e">
        <f>IF(Tabela1610[[#This Row],[JOLTS]]="",#N/A,Tabela1610[[#This Row],[JOLTS]]/Tabela1610[[#This Row],[Unemployment Level]])</f>
        <v>#N/A</v>
      </c>
    </row>
    <row r="917" spans="1:16">
      <c r="A917" s="6">
        <v>45352</v>
      </c>
      <c r="B917" s="11"/>
      <c r="C917" s="11" t="e">
        <f>IF(Tabela1610[[#This Row],[Unemployment Rate]]="",#N/A,AVERAGE(B905:B917))</f>
        <v>#N/A</v>
      </c>
      <c r="D917" s="10"/>
      <c r="E917" s="11"/>
      <c r="F917" s="11"/>
      <c r="G917" s="11"/>
      <c r="H917" s="55"/>
      <c r="I917" s="56" t="e">
        <f>IF(Tabela1610[[#This Row],[Real Disposable Income (RDI)]]="",#N/A,((Tabela1610[[#This Row],[Real Disposable Income (RDI)]]*1)/H916)-1)</f>
        <v>#N/A</v>
      </c>
      <c r="J917" s="56" t="e">
        <f>IF(Tabela1610[[#This Row],[Real Disposable Income (RDI)]]="",#N/A,((Tabela1610[[#This Row],[Real Disposable Income (RDI)]]*1)/H905)-1)</f>
        <v>#N/A</v>
      </c>
      <c r="K917" s="10"/>
      <c r="L917" s="11"/>
      <c r="M917" s="10"/>
      <c r="N917" s="10" t="e">
        <f>IF(Tabela1610[[#This Row],[Payroll]]="",#N/A,AVERAGE(M915:M917))</f>
        <v>#N/A</v>
      </c>
      <c r="O917" s="10"/>
      <c r="P917" s="7" t="e">
        <f>IF(Tabela1610[[#This Row],[JOLTS]]="",#N/A,Tabela1610[[#This Row],[JOLTS]]/Tabela1610[[#This Row],[Unemployment Level]])</f>
        <v>#N/A</v>
      </c>
    </row>
    <row r="918" spans="1:16">
      <c r="A918" s="6">
        <v>45383</v>
      </c>
      <c r="B918" s="11"/>
      <c r="C918" s="11" t="e">
        <f>IF(Tabela1610[[#This Row],[Unemployment Rate]]="",#N/A,AVERAGE(B906:B918))</f>
        <v>#N/A</v>
      </c>
      <c r="D918" s="10"/>
      <c r="E918" s="11"/>
      <c r="F918" s="11"/>
      <c r="G918" s="11"/>
      <c r="H918" s="55"/>
      <c r="I918" s="56" t="e">
        <f>IF(Tabela1610[[#This Row],[Real Disposable Income (RDI)]]="",#N/A,((Tabela1610[[#This Row],[Real Disposable Income (RDI)]]*1)/H917)-1)</f>
        <v>#N/A</v>
      </c>
      <c r="J918" s="56" t="e">
        <f>IF(Tabela1610[[#This Row],[Real Disposable Income (RDI)]]="",#N/A,((Tabela1610[[#This Row],[Real Disposable Income (RDI)]]*1)/H906)-1)</f>
        <v>#N/A</v>
      </c>
      <c r="K918" s="10"/>
      <c r="L918" s="11"/>
      <c r="M918" s="10"/>
      <c r="N918" s="10" t="e">
        <f>IF(Tabela1610[[#This Row],[Payroll]]="",#N/A,AVERAGE(M916:M918))</f>
        <v>#N/A</v>
      </c>
      <c r="O918" s="10"/>
      <c r="P918" s="7" t="e">
        <f>IF(Tabela1610[[#This Row],[JOLTS]]="",#N/A,Tabela1610[[#This Row],[JOLTS]]/Tabela1610[[#This Row],[Unemployment Level]])</f>
        <v>#N/A</v>
      </c>
    </row>
    <row r="919" spans="1:16">
      <c r="A919" s="6">
        <v>45413</v>
      </c>
      <c r="B919" s="11"/>
      <c r="C919" s="11" t="e">
        <f>IF(Tabela1610[[#This Row],[Unemployment Rate]]="",#N/A,AVERAGE(B907:B919))</f>
        <v>#N/A</v>
      </c>
      <c r="D919" s="10"/>
      <c r="E919" s="11"/>
      <c r="F919" s="11"/>
      <c r="G919" s="11"/>
      <c r="H919" s="55"/>
      <c r="I919" s="56" t="e">
        <f>IF(Tabela1610[[#This Row],[Real Disposable Income (RDI)]]="",#N/A,((Tabela1610[[#This Row],[Real Disposable Income (RDI)]]*1)/H918)-1)</f>
        <v>#N/A</v>
      </c>
      <c r="J919" s="56" t="e">
        <f>IF(Tabela1610[[#This Row],[Real Disposable Income (RDI)]]="",#N/A,((Tabela1610[[#This Row],[Real Disposable Income (RDI)]]*1)/H907)-1)</f>
        <v>#N/A</v>
      </c>
      <c r="K919" s="10"/>
      <c r="L919" s="11"/>
      <c r="M919" s="10"/>
      <c r="N919" s="10" t="e">
        <f>IF(Tabela1610[[#This Row],[Payroll]]="",#N/A,AVERAGE(M917:M919))</f>
        <v>#N/A</v>
      </c>
      <c r="O919" s="10"/>
      <c r="P919" s="7" t="e">
        <f>IF(Tabela1610[[#This Row],[JOLTS]]="",#N/A,Tabela1610[[#This Row],[JOLTS]]/Tabela1610[[#This Row],[Unemployment Level]])</f>
        <v>#N/A</v>
      </c>
    </row>
    <row r="920" spans="1:16">
      <c r="A920" s="6">
        <v>45444</v>
      </c>
      <c r="B920" s="11"/>
      <c r="C920" s="11" t="e">
        <f>IF(Tabela1610[[#This Row],[Unemployment Rate]]="",#N/A,AVERAGE(B908:B920))</f>
        <v>#N/A</v>
      </c>
      <c r="D920" s="10"/>
      <c r="E920" s="11"/>
      <c r="F920" s="11"/>
      <c r="G920" s="11"/>
      <c r="H920" s="55"/>
      <c r="I920" s="56" t="e">
        <f>IF(Tabela1610[[#This Row],[Real Disposable Income (RDI)]]="",#N/A,((Tabela1610[[#This Row],[Real Disposable Income (RDI)]]*1)/H919)-1)</f>
        <v>#N/A</v>
      </c>
      <c r="J920" s="56" t="e">
        <f>IF(Tabela1610[[#This Row],[Real Disposable Income (RDI)]]="",#N/A,((Tabela1610[[#This Row],[Real Disposable Income (RDI)]]*1)/H908)-1)</f>
        <v>#N/A</v>
      </c>
      <c r="K920" s="10"/>
      <c r="L920" s="11"/>
      <c r="M920" s="10"/>
      <c r="N920" s="10" t="e">
        <f>IF(Tabela1610[[#This Row],[Payroll]]="",#N/A,AVERAGE(M918:M920))</f>
        <v>#N/A</v>
      </c>
      <c r="O920" s="10"/>
      <c r="P920" s="7" t="e">
        <f>IF(Tabela1610[[#This Row],[JOLTS]]="",#N/A,Tabela1610[[#This Row],[JOLTS]]/Tabela1610[[#This Row],[Unemployment Level]])</f>
        <v>#N/A</v>
      </c>
    </row>
    <row r="921" spans="1:16">
      <c r="A921" s="6">
        <v>45474</v>
      </c>
      <c r="B921" s="11"/>
      <c r="C921" s="11" t="e">
        <f>IF(Tabela1610[[#This Row],[Unemployment Rate]]="",#N/A,AVERAGE(B909:B921))</f>
        <v>#N/A</v>
      </c>
      <c r="D921" s="10"/>
      <c r="E921" s="11"/>
      <c r="F921" s="11"/>
      <c r="G921" s="11"/>
      <c r="H921" s="55"/>
      <c r="I921" s="56" t="e">
        <f>IF(Tabela1610[[#This Row],[Real Disposable Income (RDI)]]="",#N/A,((Tabela1610[[#This Row],[Real Disposable Income (RDI)]]*1)/H920)-1)</f>
        <v>#N/A</v>
      </c>
      <c r="J921" s="56" t="e">
        <f>IF(Tabela1610[[#This Row],[Real Disposable Income (RDI)]]="",#N/A,((Tabela1610[[#This Row],[Real Disposable Income (RDI)]]*1)/H909)-1)</f>
        <v>#N/A</v>
      </c>
      <c r="K921" s="10"/>
      <c r="L921" s="11"/>
      <c r="M921" s="10"/>
      <c r="N921" s="10" t="e">
        <f>IF(Tabela1610[[#This Row],[Payroll]]="",#N/A,AVERAGE(M919:M921))</f>
        <v>#N/A</v>
      </c>
      <c r="O921" s="10"/>
      <c r="P921" s="7" t="e">
        <f>IF(Tabela1610[[#This Row],[JOLTS]]="",#N/A,Tabela1610[[#This Row],[JOLTS]]/Tabela1610[[#This Row],[Unemployment Level]])</f>
        <v>#N/A</v>
      </c>
    </row>
    <row r="922" spans="1:16">
      <c r="A922" s="6">
        <v>45505</v>
      </c>
      <c r="B922" s="11"/>
      <c r="C922" s="11" t="e">
        <f>IF(Tabela1610[[#This Row],[Unemployment Rate]]="",#N/A,AVERAGE(B910:B922))</f>
        <v>#N/A</v>
      </c>
      <c r="D922" s="10"/>
      <c r="E922" s="11"/>
      <c r="F922" s="11"/>
      <c r="G922" s="11"/>
      <c r="H922" s="55"/>
      <c r="I922" s="56" t="e">
        <f>IF(Tabela1610[[#This Row],[Real Disposable Income (RDI)]]="",#N/A,((Tabela1610[[#This Row],[Real Disposable Income (RDI)]]*1)/H921)-1)</f>
        <v>#N/A</v>
      </c>
      <c r="J922" s="56" t="e">
        <f>IF(Tabela1610[[#This Row],[Real Disposable Income (RDI)]]="",#N/A,((Tabela1610[[#This Row],[Real Disposable Income (RDI)]]*1)/H910)-1)</f>
        <v>#N/A</v>
      </c>
      <c r="K922" s="10"/>
      <c r="L922" s="11"/>
      <c r="M922" s="10"/>
      <c r="N922" s="10" t="e">
        <f>IF(Tabela1610[[#This Row],[Payroll]]="",#N/A,AVERAGE(M920:M922))</f>
        <v>#N/A</v>
      </c>
      <c r="O922" s="10"/>
      <c r="P922" s="7" t="e">
        <f>IF(Tabela1610[[#This Row],[JOLTS]]="",#N/A,Tabela1610[[#This Row],[JOLTS]]/Tabela1610[[#This Row],[Unemployment Level]])</f>
        <v>#N/A</v>
      </c>
    </row>
    <row r="923" spans="1:16">
      <c r="A923" s="6">
        <v>45536</v>
      </c>
      <c r="B923" s="11"/>
      <c r="C923" s="11" t="e">
        <f>IF(Tabela1610[[#This Row],[Unemployment Rate]]="",#N/A,AVERAGE(B911:B923))</f>
        <v>#N/A</v>
      </c>
      <c r="D923" s="10"/>
      <c r="E923" s="11"/>
      <c r="F923" s="11"/>
      <c r="G923" s="11"/>
      <c r="H923" s="55"/>
      <c r="I923" s="56" t="e">
        <f>IF(Tabela1610[[#This Row],[Real Disposable Income (RDI)]]="",#N/A,((Tabela1610[[#This Row],[Real Disposable Income (RDI)]]*1)/H922)-1)</f>
        <v>#N/A</v>
      </c>
      <c r="J923" s="56" t="e">
        <f>IF(Tabela1610[[#This Row],[Real Disposable Income (RDI)]]="",#N/A,((Tabela1610[[#This Row],[Real Disposable Income (RDI)]]*1)/H911)-1)</f>
        <v>#N/A</v>
      </c>
      <c r="K923" s="10"/>
      <c r="L923" s="11"/>
      <c r="M923" s="10"/>
      <c r="N923" s="10" t="e">
        <f>IF(Tabela1610[[#This Row],[Payroll]]="",#N/A,AVERAGE(M921:M923))</f>
        <v>#N/A</v>
      </c>
      <c r="O923" s="10"/>
      <c r="P923" s="7" t="e">
        <f>IF(Tabela1610[[#This Row],[JOLTS]]="",#N/A,Tabela1610[[#This Row],[JOLTS]]/Tabela1610[[#This Row],[Unemployment Level]])</f>
        <v>#N/A</v>
      </c>
    </row>
    <row r="924" spans="1:16">
      <c r="A924" s="6">
        <v>45566</v>
      </c>
      <c r="B924" s="11"/>
      <c r="C924" s="11" t="e">
        <f>IF(Tabela1610[[#This Row],[Unemployment Rate]]="",#N/A,AVERAGE(B912:B924))</f>
        <v>#N/A</v>
      </c>
      <c r="D924" s="10"/>
      <c r="E924" s="11"/>
      <c r="F924" s="11"/>
      <c r="G924" s="11"/>
      <c r="H924" s="55"/>
      <c r="I924" s="56" t="e">
        <f>IF(Tabela1610[[#This Row],[Real Disposable Income (RDI)]]="",#N/A,((Tabela1610[[#This Row],[Real Disposable Income (RDI)]]*1)/H923)-1)</f>
        <v>#N/A</v>
      </c>
      <c r="J924" s="56" t="e">
        <f>IF(Tabela1610[[#This Row],[Real Disposable Income (RDI)]]="",#N/A,((Tabela1610[[#This Row],[Real Disposable Income (RDI)]]*1)/H912)-1)</f>
        <v>#N/A</v>
      </c>
      <c r="K924" s="10"/>
      <c r="L924" s="11"/>
      <c r="M924" s="10"/>
      <c r="N924" s="10" t="e">
        <f>IF(Tabela1610[[#This Row],[Payroll]]="",#N/A,AVERAGE(M922:M924))</f>
        <v>#N/A</v>
      </c>
      <c r="O924" s="10"/>
      <c r="P924" s="7" t="e">
        <f>IF(Tabela1610[[#This Row],[JOLTS]]="",#N/A,Tabela1610[[#This Row],[JOLTS]]/Tabela1610[[#This Row],[Unemployment Level]])</f>
        <v>#N/A</v>
      </c>
    </row>
    <row r="925" spans="1:16">
      <c r="A925" s="6">
        <v>45597</v>
      </c>
      <c r="B925" s="11"/>
      <c r="C925" s="11" t="e">
        <f>IF(Tabela1610[[#This Row],[Unemployment Rate]]="",#N/A,AVERAGE(B913:B925))</f>
        <v>#N/A</v>
      </c>
      <c r="D925" s="10"/>
      <c r="E925" s="11"/>
      <c r="F925" s="11"/>
      <c r="G925" s="11"/>
      <c r="H925" s="55"/>
      <c r="I925" s="56" t="e">
        <f>IF(Tabela1610[[#This Row],[Real Disposable Income (RDI)]]="",#N/A,((Tabela1610[[#This Row],[Real Disposable Income (RDI)]]*1)/H924)-1)</f>
        <v>#N/A</v>
      </c>
      <c r="J925" s="56" t="e">
        <f>IF(Tabela1610[[#This Row],[Real Disposable Income (RDI)]]="",#N/A,((Tabela1610[[#This Row],[Real Disposable Income (RDI)]]*1)/H913)-1)</f>
        <v>#N/A</v>
      </c>
      <c r="K925" s="10"/>
      <c r="L925" s="11"/>
      <c r="M925" s="10"/>
      <c r="N925" s="10" t="e">
        <f>IF(Tabela1610[[#This Row],[Payroll]]="",#N/A,AVERAGE(M923:M925))</f>
        <v>#N/A</v>
      </c>
      <c r="O925" s="10"/>
      <c r="P925" s="7" t="e">
        <f>IF(Tabela1610[[#This Row],[JOLTS]]="",#N/A,Tabela1610[[#This Row],[JOLTS]]/Tabela1610[[#This Row],[Unemployment Level]])</f>
        <v>#N/A</v>
      </c>
    </row>
    <row r="926" spans="1:16">
      <c r="A926" s="6">
        <v>45627</v>
      </c>
      <c r="B926" s="11"/>
      <c r="C926" s="11" t="e">
        <f>IF(Tabela1610[[#This Row],[Unemployment Rate]]="",#N/A,AVERAGE(B914:B926))</f>
        <v>#N/A</v>
      </c>
      <c r="D926" s="10"/>
      <c r="E926" s="11"/>
      <c r="F926" s="11"/>
      <c r="G926" s="11"/>
      <c r="H926" s="55"/>
      <c r="I926" s="56" t="e">
        <f>IF(Tabela1610[[#This Row],[Real Disposable Income (RDI)]]="",#N/A,((Tabela1610[[#This Row],[Real Disposable Income (RDI)]]*1)/H925)-1)</f>
        <v>#N/A</v>
      </c>
      <c r="J926" s="56" t="e">
        <f>IF(Tabela1610[[#This Row],[Real Disposable Income (RDI)]]="",#N/A,((Tabela1610[[#This Row],[Real Disposable Income (RDI)]]*1)/H914)-1)</f>
        <v>#N/A</v>
      </c>
      <c r="K926" s="10"/>
      <c r="L926" s="11"/>
      <c r="M926" s="10"/>
      <c r="N926" s="10" t="e">
        <f>IF(Tabela1610[[#This Row],[Payroll]]="",#N/A,AVERAGE(M924:M926))</f>
        <v>#N/A</v>
      </c>
      <c r="O926" s="10"/>
      <c r="P926" s="7" t="e">
        <f>IF(Tabela1610[[#This Row],[JOLTS]]="",#N/A,Tabela1610[[#This Row],[JOLTS]]/Tabela1610[[#This Row],[Unemployment Level]])</f>
        <v>#N/A</v>
      </c>
    </row>
  </sheetData>
  <hyperlinks>
    <hyperlink ref="B1" r:id="rId1" xr:uid="{1521B975-C005-4CA2-99A2-31E68B9BD0C3}"/>
    <hyperlink ref="D1" r:id="rId2" xr:uid="{44B46BBE-0291-476D-AE88-482D56DD3620}"/>
    <hyperlink ref="E1" r:id="rId3" xr:uid="{EBC960F5-A36C-4CA1-B5FB-13DF9367ECC4}"/>
    <hyperlink ref="F1" r:id="rId4" location="0" xr:uid="{BE79F0D6-9902-4D9E-9E2F-81476767087B}"/>
    <hyperlink ref="K1" r:id="rId5" xr:uid="{A3336E30-80E5-439C-93C4-A3BE3B730A4B}"/>
    <hyperlink ref="L1" r:id="rId6" xr:uid="{B51FEA08-FE70-4406-99CA-8A76FA281DFA}"/>
    <hyperlink ref="M1" r:id="rId7" location="0" xr:uid="{DA9D0B85-6C73-4D56-8F41-893AF90E06EE}"/>
    <hyperlink ref="O1" r:id="rId8" xr:uid="{AB15577A-F5C2-4870-BA24-7A88ED093DAF}"/>
    <hyperlink ref="G1" r:id="rId9" xr:uid="{C15EEAE3-E175-4746-9FE4-EC4155B74FBE}"/>
    <hyperlink ref="H1" r:id="rId10" xr:uid="{05A77CC6-8A65-4A97-9D6C-DD1F978FCB7F}"/>
  </hyperlinks>
  <pageMargins left="0.511811024" right="0.511811024" top="0.78740157499999996" bottom="0.78740157499999996" header="0.31496062000000002" footer="0.31496062000000002"/>
  <pageSetup paperSize="9" orientation="portrait" horizontalDpi="4294967294" r:id="rId11"/>
  <tableParts count="1">
    <tablePart r:id="rId1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8131D0-7974-44E2-93B9-7A6A6526EF09}">
  <sheetPr codeName="Planilha16"/>
  <dimension ref="B1:AJ176"/>
  <sheetViews>
    <sheetView showGridLines="0" zoomScale="85" zoomScaleNormal="85" workbookViewId="0">
      <pane xSplit="6" ySplit="3" topLeftCell="G28" activePane="bottomRight" state="frozen"/>
      <selection pane="topRight" activeCell="G1" sqref="G1"/>
      <selection pane="bottomLeft" activeCell="A4" sqref="A4"/>
      <selection pane="bottomRight" activeCell="C1" sqref="C1"/>
    </sheetView>
  </sheetViews>
  <sheetFormatPr defaultRowHeight="15"/>
  <cols>
    <col min="1" max="1" width="1.7109375" customWidth="1"/>
    <col min="7" max="7" width="1.7109375" customWidth="1"/>
  </cols>
  <sheetData>
    <row r="1" spans="2:36" s="79" customFormat="1"/>
    <row r="2" spans="2:36" s="79" customFormat="1" ht="15" customHeight="1">
      <c r="B2" s="109"/>
      <c r="C2" s="80"/>
      <c r="D2" s="109" t="s">
        <v>64</v>
      </c>
      <c r="E2" s="109"/>
      <c r="F2" s="10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2:36" s="79" customFormat="1" ht="15" customHeight="1">
      <c r="B3" s="109"/>
      <c r="C3" s="80"/>
      <c r="D3" s="109"/>
      <c r="E3" s="109"/>
      <c r="F3" s="109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</row>
    <row r="4" spans="2:36">
      <c r="B4" s="91"/>
      <c r="C4" s="92"/>
      <c r="D4" s="92"/>
      <c r="E4" s="92"/>
      <c r="F4" s="93"/>
    </row>
    <row r="5" spans="2:36">
      <c r="B5" s="94"/>
      <c r="C5" s="95"/>
      <c r="D5" s="95"/>
      <c r="E5" s="95"/>
      <c r="F5" s="96"/>
    </row>
    <row r="6" spans="2:36">
      <c r="B6" s="94"/>
      <c r="C6" s="95"/>
      <c r="D6" s="95"/>
      <c r="E6" s="95"/>
      <c r="F6" s="96"/>
    </row>
    <row r="7" spans="2:36">
      <c r="B7" s="94"/>
      <c r="C7" s="95"/>
      <c r="D7" s="95"/>
      <c r="E7" s="95"/>
      <c r="F7" s="96"/>
    </row>
    <row r="8" spans="2:36">
      <c r="B8" s="94"/>
      <c r="C8" s="95"/>
      <c r="D8" s="95"/>
      <c r="E8" s="95"/>
      <c r="F8" s="96"/>
    </row>
    <row r="9" spans="2:36">
      <c r="B9" s="94"/>
      <c r="C9" s="95"/>
      <c r="D9" s="95"/>
      <c r="E9" s="95"/>
      <c r="F9" s="96"/>
    </row>
    <row r="10" spans="2:36">
      <c r="B10" s="94"/>
      <c r="C10" s="95"/>
      <c r="D10" s="95"/>
      <c r="E10" s="95"/>
      <c r="F10" s="96"/>
    </row>
    <row r="11" spans="2:36">
      <c r="B11" s="94"/>
      <c r="C11" s="95"/>
      <c r="D11" s="95"/>
      <c r="E11" s="95"/>
      <c r="F11" s="96"/>
    </row>
    <row r="12" spans="2:36">
      <c r="B12" s="94"/>
      <c r="C12" s="95"/>
      <c r="D12" s="95"/>
      <c r="E12" s="95"/>
      <c r="F12" s="96"/>
    </row>
    <row r="13" spans="2:36">
      <c r="B13" s="94"/>
      <c r="C13" s="95"/>
      <c r="D13" s="95"/>
      <c r="E13" s="95"/>
      <c r="F13" s="96"/>
    </row>
    <row r="14" spans="2:36">
      <c r="B14" s="94"/>
      <c r="C14" s="95"/>
      <c r="D14" s="95"/>
      <c r="E14" s="95"/>
      <c r="F14" s="96"/>
    </row>
    <row r="15" spans="2:36">
      <c r="B15" s="94"/>
      <c r="C15" s="95"/>
      <c r="D15" s="95"/>
      <c r="E15" s="95"/>
      <c r="F15" s="96"/>
    </row>
    <row r="16" spans="2:36">
      <c r="B16" s="94"/>
      <c r="C16" s="95"/>
      <c r="D16" s="95"/>
      <c r="E16" s="95"/>
      <c r="F16" s="96"/>
    </row>
    <row r="17" spans="2:6">
      <c r="B17" s="94"/>
      <c r="C17" s="95"/>
      <c r="D17" s="95"/>
      <c r="E17" s="95"/>
      <c r="F17" s="96"/>
    </row>
    <row r="18" spans="2:6">
      <c r="B18" s="94"/>
      <c r="C18" s="95"/>
      <c r="D18" s="95"/>
      <c r="E18" s="95"/>
      <c r="F18" s="96"/>
    </row>
    <row r="19" spans="2:6">
      <c r="B19" s="94"/>
      <c r="C19" s="95"/>
      <c r="D19" s="95"/>
      <c r="E19" s="95"/>
      <c r="F19" s="96"/>
    </row>
    <row r="20" spans="2:6">
      <c r="B20" s="94"/>
      <c r="C20" s="95"/>
      <c r="D20" s="95"/>
      <c r="E20" s="95"/>
      <c r="F20" s="96"/>
    </row>
    <row r="21" spans="2:6">
      <c r="B21" s="94"/>
      <c r="C21" s="95"/>
      <c r="D21" s="95"/>
      <c r="E21" s="95"/>
      <c r="F21" s="96"/>
    </row>
    <row r="22" spans="2:6">
      <c r="B22" s="94"/>
      <c r="C22" s="95"/>
      <c r="D22" s="95"/>
      <c r="E22" s="95"/>
      <c r="F22" s="96"/>
    </row>
    <row r="23" spans="2:6">
      <c r="B23" s="94"/>
      <c r="C23" s="95"/>
      <c r="D23" s="95"/>
      <c r="E23" s="95"/>
      <c r="F23" s="96"/>
    </row>
    <row r="24" spans="2:6">
      <c r="B24" s="94"/>
      <c r="C24" s="95"/>
      <c r="D24" s="95"/>
      <c r="E24" s="95"/>
      <c r="F24" s="96"/>
    </row>
    <row r="25" spans="2:6">
      <c r="B25" s="94"/>
      <c r="C25" s="95"/>
      <c r="D25" s="95"/>
      <c r="E25" s="95"/>
      <c r="F25" s="96"/>
    </row>
    <row r="26" spans="2:6">
      <c r="B26" s="94"/>
      <c r="C26" s="95"/>
      <c r="D26" s="95"/>
      <c r="E26" s="95"/>
      <c r="F26" s="96"/>
    </row>
    <row r="27" spans="2:6">
      <c r="B27" s="94"/>
      <c r="C27" s="95"/>
      <c r="D27" s="95"/>
      <c r="E27" s="95"/>
      <c r="F27" s="96"/>
    </row>
    <row r="28" spans="2:6">
      <c r="B28" s="94"/>
      <c r="C28" s="95"/>
      <c r="D28" s="95"/>
      <c r="E28" s="95"/>
      <c r="F28" s="96"/>
    </row>
    <row r="29" spans="2:6">
      <c r="B29" s="94"/>
      <c r="C29" s="95"/>
      <c r="D29" s="95"/>
      <c r="E29" s="95"/>
      <c r="F29" s="96"/>
    </row>
    <row r="30" spans="2:6">
      <c r="B30" s="94"/>
      <c r="C30" s="95"/>
      <c r="D30" s="95"/>
      <c r="E30" s="95"/>
      <c r="F30" s="96"/>
    </row>
    <row r="31" spans="2:6">
      <c r="B31" s="97"/>
      <c r="C31" s="98"/>
      <c r="D31" s="98"/>
      <c r="E31" s="98"/>
      <c r="F31" s="99"/>
    </row>
    <row r="33" spans="2:6" ht="15" customHeight="1">
      <c r="B33" s="91"/>
      <c r="C33" s="92"/>
      <c r="D33" s="92"/>
      <c r="E33" s="92"/>
      <c r="F33" s="93"/>
    </row>
    <row r="34" spans="2:6">
      <c r="B34" s="94"/>
      <c r="C34" s="95"/>
      <c r="D34" s="95"/>
      <c r="E34" s="95"/>
      <c r="F34" s="96"/>
    </row>
    <row r="35" spans="2:6">
      <c r="B35" s="94"/>
      <c r="C35" s="95"/>
      <c r="D35" s="95"/>
      <c r="E35" s="95"/>
      <c r="F35" s="96"/>
    </row>
    <row r="36" spans="2:6">
      <c r="B36" s="94"/>
      <c r="C36" s="95"/>
      <c r="D36" s="95"/>
      <c r="E36" s="95"/>
      <c r="F36" s="96"/>
    </row>
    <row r="37" spans="2:6">
      <c r="B37" s="94"/>
      <c r="C37" s="95"/>
      <c r="D37" s="95"/>
      <c r="E37" s="95"/>
      <c r="F37" s="96"/>
    </row>
    <row r="38" spans="2:6">
      <c r="B38" s="94"/>
      <c r="C38" s="95"/>
      <c r="D38" s="95"/>
      <c r="E38" s="95"/>
      <c r="F38" s="96"/>
    </row>
    <row r="39" spans="2:6">
      <c r="B39" s="94"/>
      <c r="C39" s="95"/>
      <c r="D39" s="95"/>
      <c r="E39" s="95"/>
      <c r="F39" s="96"/>
    </row>
    <row r="40" spans="2:6">
      <c r="B40" s="94"/>
      <c r="C40" s="95"/>
      <c r="D40" s="95"/>
      <c r="E40" s="95"/>
      <c r="F40" s="96"/>
    </row>
    <row r="41" spans="2:6">
      <c r="B41" s="94"/>
      <c r="C41" s="95"/>
      <c r="D41" s="95"/>
      <c r="E41" s="95"/>
      <c r="F41" s="96"/>
    </row>
    <row r="42" spans="2:6">
      <c r="B42" s="94"/>
      <c r="C42" s="95"/>
      <c r="D42" s="95"/>
      <c r="E42" s="95"/>
      <c r="F42" s="96"/>
    </row>
    <row r="43" spans="2:6">
      <c r="B43" s="94"/>
      <c r="C43" s="95"/>
      <c r="D43" s="95"/>
      <c r="E43" s="95"/>
      <c r="F43" s="96"/>
    </row>
    <row r="44" spans="2:6">
      <c r="B44" s="94"/>
      <c r="C44" s="95"/>
      <c r="D44" s="95"/>
      <c r="E44" s="95"/>
      <c r="F44" s="96"/>
    </row>
    <row r="45" spans="2:6">
      <c r="B45" s="94"/>
      <c r="C45" s="95"/>
      <c r="D45" s="95"/>
      <c r="E45" s="95"/>
      <c r="F45" s="96"/>
    </row>
    <row r="46" spans="2:6">
      <c r="B46" s="94"/>
      <c r="C46" s="95"/>
      <c r="D46" s="95"/>
      <c r="E46" s="95"/>
      <c r="F46" s="96"/>
    </row>
    <row r="47" spans="2:6">
      <c r="B47" s="94"/>
      <c r="C47" s="95"/>
      <c r="D47" s="95"/>
      <c r="E47" s="95"/>
      <c r="F47" s="96"/>
    </row>
    <row r="48" spans="2:6">
      <c r="B48" s="94"/>
      <c r="C48" s="95"/>
      <c r="D48" s="95"/>
      <c r="E48" s="95"/>
      <c r="F48" s="96"/>
    </row>
    <row r="49" spans="2:6">
      <c r="B49" s="94"/>
      <c r="C49" s="95"/>
      <c r="D49" s="95"/>
      <c r="E49" s="95"/>
      <c r="F49" s="96"/>
    </row>
    <row r="50" spans="2:6">
      <c r="B50" s="94"/>
      <c r="C50" s="95"/>
      <c r="D50" s="95"/>
      <c r="E50" s="95"/>
      <c r="F50" s="96"/>
    </row>
    <row r="51" spans="2:6">
      <c r="B51" s="94"/>
      <c r="C51" s="95"/>
      <c r="D51" s="95"/>
      <c r="E51" s="95"/>
      <c r="F51" s="96"/>
    </row>
    <row r="52" spans="2:6">
      <c r="B52" s="94"/>
      <c r="C52" s="95"/>
      <c r="D52" s="95"/>
      <c r="E52" s="95"/>
      <c r="F52" s="96"/>
    </row>
    <row r="53" spans="2:6">
      <c r="B53" s="94"/>
      <c r="C53" s="95"/>
      <c r="D53" s="95"/>
      <c r="E53" s="95"/>
      <c r="F53" s="96"/>
    </row>
    <row r="54" spans="2:6">
      <c r="B54" s="94"/>
      <c r="C54" s="95"/>
      <c r="D54" s="95"/>
      <c r="E54" s="95"/>
      <c r="F54" s="96"/>
    </row>
    <row r="55" spans="2:6">
      <c r="B55" s="94"/>
      <c r="C55" s="95"/>
      <c r="D55" s="95"/>
      <c r="E55" s="95"/>
      <c r="F55" s="96"/>
    </row>
    <row r="56" spans="2:6">
      <c r="B56" s="94"/>
      <c r="C56" s="95"/>
      <c r="D56" s="95"/>
      <c r="E56" s="95"/>
      <c r="F56" s="96"/>
    </row>
    <row r="57" spans="2:6">
      <c r="B57" s="94"/>
      <c r="C57" s="95"/>
      <c r="D57" s="95"/>
      <c r="E57" s="95"/>
      <c r="F57" s="96"/>
    </row>
    <row r="58" spans="2:6">
      <c r="B58" s="94"/>
      <c r="C58" s="95"/>
      <c r="D58" s="95"/>
      <c r="E58" s="95"/>
      <c r="F58" s="96"/>
    </row>
    <row r="59" spans="2:6">
      <c r="B59" s="94"/>
      <c r="C59" s="95"/>
      <c r="D59" s="95"/>
      <c r="E59" s="95"/>
      <c r="F59" s="96"/>
    </row>
    <row r="60" spans="2:6">
      <c r="B60" s="97"/>
      <c r="C60" s="98"/>
      <c r="D60" s="98"/>
      <c r="E60" s="98"/>
      <c r="F60" s="99"/>
    </row>
    <row r="62" spans="2:6" ht="15" customHeight="1">
      <c r="B62" s="91"/>
      <c r="C62" s="92"/>
      <c r="D62" s="92"/>
      <c r="E62" s="92"/>
      <c r="F62" s="93"/>
    </row>
    <row r="63" spans="2:6">
      <c r="B63" s="94"/>
      <c r="C63" s="95"/>
      <c r="D63" s="95"/>
      <c r="E63" s="95"/>
      <c r="F63" s="96"/>
    </row>
    <row r="64" spans="2:6">
      <c r="B64" s="94"/>
      <c r="C64" s="95"/>
      <c r="D64" s="95"/>
      <c r="E64" s="95"/>
      <c r="F64" s="96"/>
    </row>
    <row r="65" spans="2:6">
      <c r="B65" s="94"/>
      <c r="C65" s="95"/>
      <c r="D65" s="95"/>
      <c r="E65" s="95"/>
      <c r="F65" s="96"/>
    </row>
    <row r="66" spans="2:6">
      <c r="B66" s="94"/>
      <c r="C66" s="95"/>
      <c r="D66" s="95"/>
      <c r="E66" s="95"/>
      <c r="F66" s="96"/>
    </row>
    <row r="67" spans="2:6">
      <c r="B67" s="94"/>
      <c r="C67" s="95"/>
      <c r="D67" s="95"/>
      <c r="E67" s="95"/>
      <c r="F67" s="96"/>
    </row>
    <row r="68" spans="2:6">
      <c r="B68" s="94"/>
      <c r="C68" s="95"/>
      <c r="D68" s="95"/>
      <c r="E68" s="95"/>
      <c r="F68" s="96"/>
    </row>
    <row r="69" spans="2:6">
      <c r="B69" s="94"/>
      <c r="C69" s="95"/>
      <c r="D69" s="95"/>
      <c r="E69" s="95"/>
      <c r="F69" s="96"/>
    </row>
    <row r="70" spans="2:6">
      <c r="B70" s="94"/>
      <c r="C70" s="95"/>
      <c r="D70" s="95"/>
      <c r="E70" s="95"/>
      <c r="F70" s="96"/>
    </row>
    <row r="71" spans="2:6">
      <c r="B71" s="94"/>
      <c r="C71" s="95"/>
      <c r="D71" s="95"/>
      <c r="E71" s="95"/>
      <c r="F71" s="96"/>
    </row>
    <row r="72" spans="2:6">
      <c r="B72" s="94"/>
      <c r="C72" s="95"/>
      <c r="D72" s="95"/>
      <c r="E72" s="95"/>
      <c r="F72" s="96"/>
    </row>
    <row r="73" spans="2:6">
      <c r="B73" s="94"/>
      <c r="C73" s="95"/>
      <c r="D73" s="95"/>
      <c r="E73" s="95"/>
      <c r="F73" s="96"/>
    </row>
    <row r="74" spans="2:6">
      <c r="B74" s="94"/>
      <c r="C74" s="95"/>
      <c r="D74" s="95"/>
      <c r="E74" s="95"/>
      <c r="F74" s="96"/>
    </row>
    <row r="75" spans="2:6">
      <c r="B75" s="94"/>
      <c r="C75" s="95"/>
      <c r="D75" s="95"/>
      <c r="E75" s="95"/>
      <c r="F75" s="96"/>
    </row>
    <row r="76" spans="2:6">
      <c r="B76" s="94"/>
      <c r="C76" s="95"/>
      <c r="D76" s="95"/>
      <c r="E76" s="95"/>
      <c r="F76" s="96"/>
    </row>
    <row r="77" spans="2:6">
      <c r="B77" s="94"/>
      <c r="C77" s="95"/>
      <c r="D77" s="95"/>
      <c r="E77" s="95"/>
      <c r="F77" s="96"/>
    </row>
    <row r="78" spans="2:6">
      <c r="B78" s="94"/>
      <c r="C78" s="95"/>
      <c r="D78" s="95"/>
      <c r="E78" s="95"/>
      <c r="F78" s="96"/>
    </row>
    <row r="79" spans="2:6">
      <c r="B79" s="94"/>
      <c r="C79" s="95"/>
      <c r="D79" s="95"/>
      <c r="E79" s="95"/>
      <c r="F79" s="96"/>
    </row>
    <row r="80" spans="2:6">
      <c r="B80" s="94"/>
      <c r="C80" s="95"/>
      <c r="D80" s="95"/>
      <c r="E80" s="95"/>
      <c r="F80" s="96"/>
    </row>
    <row r="81" spans="2:6">
      <c r="B81" s="94"/>
      <c r="C81" s="95"/>
      <c r="D81" s="95"/>
      <c r="E81" s="95"/>
      <c r="F81" s="96"/>
    </row>
    <row r="82" spans="2:6">
      <c r="B82" s="94"/>
      <c r="C82" s="95"/>
      <c r="D82" s="95"/>
      <c r="E82" s="95"/>
      <c r="F82" s="96"/>
    </row>
    <row r="83" spans="2:6">
      <c r="B83" s="94"/>
      <c r="C83" s="95"/>
      <c r="D83" s="95"/>
      <c r="E83" s="95"/>
      <c r="F83" s="96"/>
    </row>
    <row r="84" spans="2:6">
      <c r="B84" s="94"/>
      <c r="C84" s="95"/>
      <c r="D84" s="95"/>
      <c r="E84" s="95"/>
      <c r="F84" s="96"/>
    </row>
    <row r="85" spans="2:6">
      <c r="B85" s="94"/>
      <c r="C85" s="95"/>
      <c r="D85" s="95"/>
      <c r="E85" s="95"/>
      <c r="F85" s="96"/>
    </row>
    <row r="86" spans="2:6">
      <c r="B86" s="94"/>
      <c r="C86" s="95"/>
      <c r="D86" s="95"/>
      <c r="E86" s="95"/>
      <c r="F86" s="96"/>
    </row>
    <row r="87" spans="2:6">
      <c r="B87" s="94"/>
      <c r="C87" s="95"/>
      <c r="D87" s="95"/>
      <c r="E87" s="95"/>
      <c r="F87" s="96"/>
    </row>
    <row r="88" spans="2:6">
      <c r="B88" s="94"/>
      <c r="C88" s="95"/>
      <c r="D88" s="95"/>
      <c r="E88" s="95"/>
      <c r="F88" s="96"/>
    </row>
    <row r="89" spans="2:6">
      <c r="B89" s="97"/>
      <c r="C89" s="98"/>
      <c r="D89" s="98"/>
      <c r="E89" s="98"/>
      <c r="F89" s="99"/>
    </row>
    <row r="91" spans="2:6">
      <c r="B91" s="91"/>
      <c r="C91" s="92"/>
      <c r="D91" s="92"/>
      <c r="E91" s="92"/>
      <c r="F91" s="93"/>
    </row>
    <row r="92" spans="2:6">
      <c r="B92" s="94"/>
      <c r="C92" s="95"/>
      <c r="D92" s="95"/>
      <c r="E92" s="95"/>
      <c r="F92" s="96"/>
    </row>
    <row r="93" spans="2:6">
      <c r="B93" s="94"/>
      <c r="C93" s="95"/>
      <c r="D93" s="95"/>
      <c r="E93" s="95"/>
      <c r="F93" s="96"/>
    </row>
    <row r="94" spans="2:6">
      <c r="B94" s="94"/>
      <c r="C94" s="95"/>
      <c r="D94" s="95"/>
      <c r="E94" s="95"/>
      <c r="F94" s="96"/>
    </row>
    <row r="95" spans="2:6">
      <c r="B95" s="94"/>
      <c r="C95" s="95"/>
      <c r="D95" s="95"/>
      <c r="E95" s="95"/>
      <c r="F95" s="96"/>
    </row>
    <row r="96" spans="2:6">
      <c r="B96" s="94"/>
      <c r="C96" s="95"/>
      <c r="D96" s="95"/>
      <c r="E96" s="95"/>
      <c r="F96" s="96"/>
    </row>
    <row r="97" spans="2:6">
      <c r="B97" s="94"/>
      <c r="C97" s="95"/>
      <c r="D97" s="95"/>
      <c r="E97" s="95"/>
      <c r="F97" s="96"/>
    </row>
    <row r="98" spans="2:6">
      <c r="B98" s="94"/>
      <c r="C98" s="95"/>
      <c r="D98" s="95"/>
      <c r="E98" s="95"/>
      <c r="F98" s="96"/>
    </row>
    <row r="99" spans="2:6">
      <c r="B99" s="94"/>
      <c r="C99" s="95"/>
      <c r="D99" s="95"/>
      <c r="E99" s="95"/>
      <c r="F99" s="96"/>
    </row>
    <row r="100" spans="2:6">
      <c r="B100" s="94"/>
      <c r="C100" s="95"/>
      <c r="D100" s="95"/>
      <c r="E100" s="95"/>
      <c r="F100" s="96"/>
    </row>
    <row r="101" spans="2:6">
      <c r="B101" s="94"/>
      <c r="C101" s="95"/>
      <c r="D101" s="95"/>
      <c r="E101" s="95"/>
      <c r="F101" s="96"/>
    </row>
    <row r="102" spans="2:6">
      <c r="B102" s="94"/>
      <c r="C102" s="95"/>
      <c r="D102" s="95"/>
      <c r="E102" s="95"/>
      <c r="F102" s="96"/>
    </row>
    <row r="103" spans="2:6">
      <c r="B103" s="94"/>
      <c r="C103" s="95"/>
      <c r="D103" s="95"/>
      <c r="E103" s="95"/>
      <c r="F103" s="96"/>
    </row>
    <row r="104" spans="2:6">
      <c r="B104" s="94"/>
      <c r="C104" s="95"/>
      <c r="D104" s="95"/>
      <c r="E104" s="95"/>
      <c r="F104" s="96"/>
    </row>
    <row r="105" spans="2:6">
      <c r="B105" s="94"/>
      <c r="C105" s="95"/>
      <c r="D105" s="95"/>
      <c r="E105" s="95"/>
      <c r="F105" s="96"/>
    </row>
    <row r="106" spans="2:6">
      <c r="B106" s="94"/>
      <c r="C106" s="95"/>
      <c r="D106" s="95"/>
      <c r="E106" s="95"/>
      <c r="F106" s="96"/>
    </row>
    <row r="107" spans="2:6">
      <c r="B107" s="94"/>
      <c r="C107" s="95"/>
      <c r="D107" s="95"/>
      <c r="E107" s="95"/>
      <c r="F107" s="96"/>
    </row>
    <row r="108" spans="2:6">
      <c r="B108" s="94"/>
      <c r="C108" s="95"/>
      <c r="D108" s="95"/>
      <c r="E108" s="95"/>
      <c r="F108" s="96"/>
    </row>
    <row r="109" spans="2:6">
      <c r="B109" s="94"/>
      <c r="C109" s="95"/>
      <c r="D109" s="95"/>
      <c r="E109" s="95"/>
      <c r="F109" s="96"/>
    </row>
    <row r="110" spans="2:6">
      <c r="B110" s="94"/>
      <c r="C110" s="95"/>
      <c r="D110" s="95"/>
      <c r="E110" s="95"/>
      <c r="F110" s="96"/>
    </row>
    <row r="111" spans="2:6">
      <c r="B111" s="94"/>
      <c r="C111" s="95"/>
      <c r="D111" s="95"/>
      <c r="E111" s="95"/>
      <c r="F111" s="96"/>
    </row>
    <row r="112" spans="2:6">
      <c r="B112" s="94"/>
      <c r="C112" s="95"/>
      <c r="D112" s="95"/>
      <c r="E112" s="95"/>
      <c r="F112" s="96"/>
    </row>
    <row r="113" spans="2:6">
      <c r="B113" s="94"/>
      <c r="C113" s="95"/>
      <c r="D113" s="95"/>
      <c r="E113" s="95"/>
      <c r="F113" s="96"/>
    </row>
    <row r="114" spans="2:6">
      <c r="B114" s="94"/>
      <c r="C114" s="95"/>
      <c r="D114" s="95"/>
      <c r="E114" s="95"/>
      <c r="F114" s="96"/>
    </row>
    <row r="115" spans="2:6">
      <c r="B115" s="94"/>
      <c r="C115" s="95"/>
      <c r="D115" s="95"/>
      <c r="E115" s="95"/>
      <c r="F115" s="96"/>
    </row>
    <row r="116" spans="2:6">
      <c r="B116" s="94"/>
      <c r="C116" s="95"/>
      <c r="D116" s="95"/>
      <c r="E116" s="95"/>
      <c r="F116" s="96"/>
    </row>
    <row r="117" spans="2:6">
      <c r="B117" s="94"/>
      <c r="C117" s="95"/>
      <c r="D117" s="95"/>
      <c r="E117" s="95"/>
      <c r="F117" s="96"/>
    </row>
    <row r="118" spans="2:6">
      <c r="B118" s="97"/>
      <c r="C118" s="98"/>
      <c r="D118" s="98"/>
      <c r="E118" s="98"/>
      <c r="F118" s="99"/>
    </row>
    <row r="120" spans="2:6">
      <c r="B120" s="91"/>
      <c r="C120" s="92"/>
      <c r="D120" s="92"/>
      <c r="E120" s="92"/>
      <c r="F120" s="93"/>
    </row>
    <row r="121" spans="2:6">
      <c r="B121" s="94"/>
      <c r="C121" s="95"/>
      <c r="D121" s="95"/>
      <c r="E121" s="95"/>
      <c r="F121" s="96"/>
    </row>
    <row r="122" spans="2:6">
      <c r="B122" s="94"/>
      <c r="C122" s="95"/>
      <c r="D122" s="95"/>
      <c r="E122" s="95"/>
      <c r="F122" s="96"/>
    </row>
    <row r="123" spans="2:6">
      <c r="B123" s="94"/>
      <c r="C123" s="95"/>
      <c r="D123" s="95"/>
      <c r="E123" s="95"/>
      <c r="F123" s="96"/>
    </row>
    <row r="124" spans="2:6">
      <c r="B124" s="94"/>
      <c r="C124" s="95"/>
      <c r="D124" s="95"/>
      <c r="E124" s="95"/>
      <c r="F124" s="96"/>
    </row>
    <row r="125" spans="2:6">
      <c r="B125" s="94"/>
      <c r="C125" s="95"/>
      <c r="D125" s="95"/>
      <c r="E125" s="95"/>
      <c r="F125" s="96"/>
    </row>
    <row r="126" spans="2:6">
      <c r="B126" s="94"/>
      <c r="C126" s="95"/>
      <c r="D126" s="95"/>
      <c r="E126" s="95"/>
      <c r="F126" s="96"/>
    </row>
    <row r="127" spans="2:6">
      <c r="B127" s="94"/>
      <c r="C127" s="95"/>
      <c r="D127" s="95"/>
      <c r="E127" s="95"/>
      <c r="F127" s="96"/>
    </row>
    <row r="128" spans="2:6">
      <c r="B128" s="94"/>
      <c r="C128" s="95"/>
      <c r="D128" s="95"/>
      <c r="E128" s="95"/>
      <c r="F128" s="96"/>
    </row>
    <row r="129" spans="2:6">
      <c r="B129" s="94"/>
      <c r="C129" s="95"/>
      <c r="D129" s="95"/>
      <c r="E129" s="95"/>
      <c r="F129" s="96"/>
    </row>
    <row r="130" spans="2:6">
      <c r="B130" s="94"/>
      <c r="C130" s="95"/>
      <c r="D130" s="95"/>
      <c r="E130" s="95"/>
      <c r="F130" s="96"/>
    </row>
    <row r="131" spans="2:6">
      <c r="B131" s="94"/>
      <c r="C131" s="95"/>
      <c r="D131" s="95"/>
      <c r="E131" s="95"/>
      <c r="F131" s="96"/>
    </row>
    <row r="132" spans="2:6">
      <c r="B132" s="94"/>
      <c r="C132" s="95"/>
      <c r="D132" s="95"/>
      <c r="E132" s="95"/>
      <c r="F132" s="96"/>
    </row>
    <row r="133" spans="2:6">
      <c r="B133" s="94"/>
      <c r="C133" s="95"/>
      <c r="D133" s="95"/>
      <c r="E133" s="95"/>
      <c r="F133" s="96"/>
    </row>
    <row r="134" spans="2:6">
      <c r="B134" s="94"/>
      <c r="C134" s="95"/>
      <c r="D134" s="95"/>
      <c r="E134" s="95"/>
      <c r="F134" s="96"/>
    </row>
    <row r="135" spans="2:6">
      <c r="B135" s="94"/>
      <c r="C135" s="95"/>
      <c r="D135" s="95"/>
      <c r="E135" s="95"/>
      <c r="F135" s="96"/>
    </row>
    <row r="136" spans="2:6">
      <c r="B136" s="94"/>
      <c r="C136" s="95"/>
      <c r="D136" s="95"/>
      <c r="E136" s="95"/>
      <c r="F136" s="96"/>
    </row>
    <row r="137" spans="2:6">
      <c r="B137" s="94"/>
      <c r="C137" s="95"/>
      <c r="D137" s="95"/>
      <c r="E137" s="95"/>
      <c r="F137" s="96"/>
    </row>
    <row r="138" spans="2:6">
      <c r="B138" s="94"/>
      <c r="C138" s="95"/>
      <c r="D138" s="95"/>
      <c r="E138" s="95"/>
      <c r="F138" s="96"/>
    </row>
    <row r="139" spans="2:6">
      <c r="B139" s="94"/>
      <c r="C139" s="95"/>
      <c r="D139" s="95"/>
      <c r="E139" s="95"/>
      <c r="F139" s="96"/>
    </row>
    <row r="140" spans="2:6">
      <c r="B140" s="94"/>
      <c r="C140" s="95"/>
      <c r="D140" s="95"/>
      <c r="E140" s="95"/>
      <c r="F140" s="96"/>
    </row>
    <row r="141" spans="2:6">
      <c r="B141" s="94"/>
      <c r="C141" s="95"/>
      <c r="D141" s="95"/>
      <c r="E141" s="95"/>
      <c r="F141" s="96"/>
    </row>
    <row r="142" spans="2:6">
      <c r="B142" s="94"/>
      <c r="C142" s="95"/>
      <c r="D142" s="95"/>
      <c r="E142" s="95"/>
      <c r="F142" s="96"/>
    </row>
    <row r="143" spans="2:6">
      <c r="B143" s="94"/>
      <c r="C143" s="95"/>
      <c r="D143" s="95"/>
      <c r="E143" s="95"/>
      <c r="F143" s="96"/>
    </row>
    <row r="144" spans="2:6">
      <c r="B144" s="94"/>
      <c r="C144" s="95"/>
      <c r="D144" s="95"/>
      <c r="E144" s="95"/>
      <c r="F144" s="96"/>
    </row>
    <row r="145" spans="2:6">
      <c r="B145" s="94"/>
      <c r="C145" s="95"/>
      <c r="D145" s="95"/>
      <c r="E145" s="95"/>
      <c r="F145" s="96"/>
    </row>
    <row r="146" spans="2:6">
      <c r="B146" s="94"/>
      <c r="C146" s="95"/>
      <c r="D146" s="95"/>
      <c r="E146" s="95"/>
      <c r="F146" s="96"/>
    </row>
    <row r="147" spans="2:6">
      <c r="B147" s="97"/>
      <c r="C147" s="98"/>
      <c r="D147" s="98"/>
      <c r="E147" s="98"/>
      <c r="F147" s="99"/>
    </row>
    <row r="149" spans="2:6">
      <c r="B149" s="91"/>
      <c r="C149" s="92"/>
      <c r="D149" s="92"/>
      <c r="E149" s="92"/>
      <c r="F149" s="93"/>
    </row>
    <row r="150" spans="2:6">
      <c r="B150" s="94"/>
      <c r="C150" s="95"/>
      <c r="D150" s="95"/>
      <c r="E150" s="95"/>
      <c r="F150" s="96"/>
    </row>
    <row r="151" spans="2:6">
      <c r="B151" s="94"/>
      <c r="C151" s="95"/>
      <c r="D151" s="95"/>
      <c r="E151" s="95"/>
      <c r="F151" s="96"/>
    </row>
    <row r="152" spans="2:6">
      <c r="B152" s="94"/>
      <c r="C152" s="95"/>
      <c r="D152" s="95"/>
      <c r="E152" s="95"/>
      <c r="F152" s="96"/>
    </row>
    <row r="153" spans="2:6">
      <c r="B153" s="94"/>
      <c r="C153" s="95"/>
      <c r="D153" s="95"/>
      <c r="E153" s="95"/>
      <c r="F153" s="96"/>
    </row>
    <row r="154" spans="2:6">
      <c r="B154" s="94"/>
      <c r="C154" s="95"/>
      <c r="D154" s="95"/>
      <c r="E154" s="95"/>
      <c r="F154" s="96"/>
    </row>
    <row r="155" spans="2:6">
      <c r="B155" s="94"/>
      <c r="C155" s="95"/>
      <c r="D155" s="95"/>
      <c r="E155" s="95"/>
      <c r="F155" s="96"/>
    </row>
    <row r="156" spans="2:6">
      <c r="B156" s="94"/>
      <c r="C156" s="95"/>
      <c r="D156" s="95"/>
      <c r="E156" s="95"/>
      <c r="F156" s="96"/>
    </row>
    <row r="157" spans="2:6">
      <c r="B157" s="94"/>
      <c r="C157" s="95"/>
      <c r="D157" s="95"/>
      <c r="E157" s="95"/>
      <c r="F157" s="96"/>
    </row>
    <row r="158" spans="2:6">
      <c r="B158" s="94"/>
      <c r="C158" s="95"/>
      <c r="D158" s="95"/>
      <c r="E158" s="95"/>
      <c r="F158" s="96"/>
    </row>
    <row r="159" spans="2:6">
      <c r="B159" s="94"/>
      <c r="C159" s="95"/>
      <c r="D159" s="95"/>
      <c r="E159" s="95"/>
      <c r="F159" s="96"/>
    </row>
    <row r="160" spans="2:6">
      <c r="B160" s="94"/>
      <c r="C160" s="95"/>
      <c r="D160" s="95"/>
      <c r="E160" s="95"/>
      <c r="F160" s="96"/>
    </row>
    <row r="161" spans="2:6">
      <c r="B161" s="94"/>
      <c r="C161" s="95"/>
      <c r="D161" s="95"/>
      <c r="E161" s="95"/>
      <c r="F161" s="96"/>
    </row>
    <row r="162" spans="2:6">
      <c r="B162" s="94"/>
      <c r="C162" s="95"/>
      <c r="D162" s="95"/>
      <c r="E162" s="95"/>
      <c r="F162" s="96"/>
    </row>
    <row r="163" spans="2:6">
      <c r="B163" s="94"/>
      <c r="C163" s="95"/>
      <c r="D163" s="95"/>
      <c r="E163" s="95"/>
      <c r="F163" s="96"/>
    </row>
    <row r="164" spans="2:6">
      <c r="B164" s="94"/>
      <c r="C164" s="95"/>
      <c r="D164" s="95"/>
      <c r="E164" s="95"/>
      <c r="F164" s="96"/>
    </row>
    <row r="165" spans="2:6">
      <c r="B165" s="94"/>
      <c r="C165" s="95"/>
      <c r="D165" s="95"/>
      <c r="E165" s="95"/>
      <c r="F165" s="96"/>
    </row>
    <row r="166" spans="2:6">
      <c r="B166" s="94"/>
      <c r="C166" s="95"/>
      <c r="D166" s="95"/>
      <c r="E166" s="95"/>
      <c r="F166" s="96"/>
    </row>
    <row r="167" spans="2:6">
      <c r="B167" s="94"/>
      <c r="C167" s="95"/>
      <c r="D167" s="95"/>
      <c r="E167" s="95"/>
      <c r="F167" s="96"/>
    </row>
    <row r="168" spans="2:6">
      <c r="B168" s="94"/>
      <c r="C168" s="95"/>
      <c r="D168" s="95"/>
      <c r="E168" s="95"/>
      <c r="F168" s="96"/>
    </row>
    <row r="169" spans="2:6">
      <c r="B169" s="94"/>
      <c r="C169" s="95"/>
      <c r="D169" s="95"/>
      <c r="E169" s="95"/>
      <c r="F169" s="96"/>
    </row>
    <row r="170" spans="2:6">
      <c r="B170" s="94"/>
      <c r="C170" s="95"/>
      <c r="D170" s="95"/>
      <c r="E170" s="95"/>
      <c r="F170" s="96"/>
    </row>
    <row r="171" spans="2:6">
      <c r="B171" s="94"/>
      <c r="C171" s="95"/>
      <c r="D171" s="95"/>
      <c r="E171" s="95"/>
      <c r="F171" s="96"/>
    </row>
    <row r="172" spans="2:6">
      <c r="B172" s="94"/>
      <c r="C172" s="95"/>
      <c r="D172" s="95"/>
      <c r="E172" s="95"/>
      <c r="F172" s="96"/>
    </row>
    <row r="173" spans="2:6">
      <c r="B173" s="94"/>
      <c r="C173" s="95"/>
      <c r="D173" s="95"/>
      <c r="E173" s="95"/>
      <c r="F173" s="96"/>
    </row>
    <row r="174" spans="2:6">
      <c r="B174" s="94"/>
      <c r="C174" s="95"/>
      <c r="D174" s="95"/>
      <c r="E174" s="95"/>
      <c r="F174" s="96"/>
    </row>
    <row r="175" spans="2:6">
      <c r="B175" s="94"/>
      <c r="C175" s="95"/>
      <c r="D175" s="95"/>
      <c r="E175" s="95"/>
      <c r="F175" s="96"/>
    </row>
    <row r="176" spans="2:6">
      <c r="B176" s="97"/>
      <c r="C176" s="98"/>
      <c r="D176" s="98"/>
      <c r="E176" s="98"/>
      <c r="F176" s="99"/>
    </row>
  </sheetData>
  <mergeCells count="8">
    <mergeCell ref="B149:F176"/>
    <mergeCell ref="B120:F147"/>
    <mergeCell ref="B91:F118"/>
    <mergeCell ref="B2:B3"/>
    <mergeCell ref="D2:F3"/>
    <mergeCell ref="B4:F31"/>
    <mergeCell ref="B33:F60"/>
    <mergeCell ref="B62:F89"/>
  </mergeCells>
  <pageMargins left="0.511811024" right="0.511811024" top="0.78740157499999996" bottom="0.78740157499999996" header="0.31496062000000002" footer="0.31496062000000002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B22BA2-5120-4C55-AE8E-F8B67D5283D6}">
  <sheetPr codeName="Planilha7">
    <tabColor rgb="FFC00000"/>
  </sheetPr>
  <dimension ref="A1:AG943"/>
  <sheetViews>
    <sheetView showGridLines="0" zoomScaleNormal="100" workbookViewId="0">
      <pane xSplit="1" ySplit="2" topLeftCell="B910" activePane="bottomRight" state="frozen"/>
      <selection activeCell="I37" sqref="I37"/>
      <selection pane="topRight" activeCell="I37" sqref="I37"/>
      <selection pane="bottomLeft" activeCell="I37" sqref="I37"/>
      <selection pane="bottomRight" activeCell="M926" sqref="M926"/>
    </sheetView>
  </sheetViews>
  <sheetFormatPr defaultRowHeight="15"/>
  <cols>
    <col min="1" max="1" width="9.85546875" style="5" customWidth="1"/>
    <col min="2" max="2" width="13.42578125" style="5" bestFit="1" customWidth="1"/>
    <col min="3" max="4" width="9" style="5" customWidth="1"/>
    <col min="5" max="5" width="13.28515625" style="5" bestFit="1" customWidth="1"/>
    <col min="6" max="7" width="9" style="5" customWidth="1"/>
    <col min="8" max="8" width="10.7109375" style="5" bestFit="1" customWidth="1"/>
    <col min="9" max="9" width="12.140625" style="5" customWidth="1"/>
    <col min="10" max="10" width="9.42578125" style="5" customWidth="1"/>
    <col min="11" max="11" width="10.42578125" style="5" customWidth="1"/>
    <col min="12" max="12" width="10.85546875" style="5" customWidth="1"/>
    <col min="13" max="13" width="10.5703125" style="5" customWidth="1"/>
    <col min="14" max="14" width="11.7109375" style="5" customWidth="1"/>
    <col min="15" max="16" width="11.42578125" style="5" customWidth="1"/>
    <col min="17" max="17" width="15.42578125" style="5" customWidth="1"/>
    <col min="18" max="18" width="15.140625" style="5" customWidth="1"/>
    <col min="19" max="19" width="10.42578125" customWidth="1"/>
    <col min="20" max="20" width="18.85546875" bestFit="1" customWidth="1"/>
    <col min="21" max="21" width="7.5703125" style="5" bestFit="1" customWidth="1"/>
    <col min="22" max="22" width="9.7109375" style="5" bestFit="1" customWidth="1"/>
    <col min="23" max="23" width="8" style="5" bestFit="1" customWidth="1"/>
    <col min="24" max="24" width="8.140625" style="5" bestFit="1" customWidth="1"/>
    <col min="25" max="25" width="7.85546875" style="5" customWidth="1"/>
    <col min="26" max="27" width="11.140625" style="5" bestFit="1" customWidth="1"/>
    <col min="28" max="28" width="8.7109375" style="5" bestFit="1" customWidth="1"/>
    <col min="29" max="29" width="12.42578125" style="5" bestFit="1" customWidth="1"/>
    <col min="30" max="31" width="12.42578125" style="5" customWidth="1"/>
    <col min="32" max="32" width="18" style="5" bestFit="1" customWidth="1"/>
    <col min="33" max="33" width="12.42578125" style="9" bestFit="1" customWidth="1"/>
    <col min="34" max="35" width="18" style="5" bestFit="1" customWidth="1"/>
    <col min="36" max="16384" width="9.140625" style="5"/>
  </cols>
  <sheetData>
    <row r="1" spans="1:33" ht="12.75">
      <c r="B1" s="20" t="s">
        <v>2</v>
      </c>
      <c r="E1" s="20" t="s">
        <v>2</v>
      </c>
      <c r="J1" s="20" t="s">
        <v>2</v>
      </c>
      <c r="M1" s="20" t="s">
        <v>2</v>
      </c>
      <c r="P1" s="20" t="s">
        <v>2</v>
      </c>
      <c r="S1" s="20" t="s">
        <v>2</v>
      </c>
      <c r="T1" s="20" t="s">
        <v>2</v>
      </c>
      <c r="W1" s="20" t="s">
        <v>2</v>
      </c>
      <c r="AB1" s="20" t="s">
        <v>2</v>
      </c>
      <c r="AC1" s="20" t="s">
        <v>2</v>
      </c>
      <c r="AD1" s="20"/>
      <c r="AE1" s="20"/>
      <c r="AF1" s="20" t="s">
        <v>2</v>
      </c>
      <c r="AG1" s="5"/>
    </row>
    <row r="2" spans="1:33" ht="30" customHeight="1">
      <c r="A2" s="18" t="s">
        <v>23</v>
      </c>
      <c r="B2" s="18" t="s">
        <v>34</v>
      </c>
      <c r="C2" s="18" t="s">
        <v>144</v>
      </c>
      <c r="D2" s="18" t="s">
        <v>145</v>
      </c>
      <c r="E2" s="18" t="s">
        <v>146</v>
      </c>
      <c r="F2" s="18" t="s">
        <v>147</v>
      </c>
      <c r="G2" s="18" t="s">
        <v>148</v>
      </c>
      <c r="H2" s="18" t="s">
        <v>142</v>
      </c>
      <c r="I2" s="18" t="s">
        <v>143</v>
      </c>
      <c r="J2" s="18" t="s">
        <v>150</v>
      </c>
      <c r="K2" s="18" t="s">
        <v>152</v>
      </c>
      <c r="L2" s="18" t="s">
        <v>153</v>
      </c>
      <c r="M2" s="18" t="s">
        <v>151</v>
      </c>
      <c r="N2" s="18" t="s">
        <v>155</v>
      </c>
      <c r="O2" s="18" t="s">
        <v>156</v>
      </c>
      <c r="P2" s="18" t="s">
        <v>154</v>
      </c>
      <c r="Q2" s="18" t="s">
        <v>157</v>
      </c>
      <c r="R2" s="18" t="s">
        <v>158</v>
      </c>
      <c r="S2" s="18" t="s">
        <v>30</v>
      </c>
      <c r="T2" s="18" t="s">
        <v>33</v>
      </c>
      <c r="U2" s="18" t="s">
        <v>132</v>
      </c>
      <c r="V2" s="18" t="s">
        <v>133</v>
      </c>
      <c r="W2" s="18" t="s">
        <v>134</v>
      </c>
      <c r="X2" s="18" t="s">
        <v>5</v>
      </c>
      <c r="Y2" s="18" t="s">
        <v>28</v>
      </c>
      <c r="Z2" s="18" t="s">
        <v>137</v>
      </c>
      <c r="AA2" s="18" t="s">
        <v>138</v>
      </c>
      <c r="AB2" s="18" t="s">
        <v>36</v>
      </c>
      <c r="AC2" s="18" t="s">
        <v>35</v>
      </c>
      <c r="AD2" s="18" t="s">
        <v>159</v>
      </c>
      <c r="AE2" s="18" t="s">
        <v>160</v>
      </c>
      <c r="AF2" s="18" t="s">
        <v>167</v>
      </c>
      <c r="AG2" s="5"/>
    </row>
    <row r="3" spans="1:33" ht="12.75">
      <c r="A3" s="6">
        <v>17198</v>
      </c>
      <c r="B3" s="7">
        <v>21.48</v>
      </c>
      <c r="C3" s="7"/>
      <c r="D3" s="7"/>
      <c r="E3" s="7"/>
      <c r="F3" s="7"/>
      <c r="G3" s="7"/>
      <c r="H3" s="8"/>
      <c r="I3" s="8"/>
      <c r="J3" s="25"/>
      <c r="K3" s="8"/>
      <c r="L3" s="8"/>
      <c r="M3" s="7"/>
      <c r="N3" s="8"/>
      <c r="O3" s="8"/>
      <c r="P3" s="7"/>
      <c r="Q3" s="8"/>
      <c r="R3" s="8"/>
      <c r="S3" s="7"/>
      <c r="T3" s="7"/>
      <c r="U3" s="7"/>
      <c r="V3" s="7"/>
      <c r="W3" s="7"/>
      <c r="X3" s="7"/>
      <c r="Y3" s="7"/>
      <c r="Z3" s="7"/>
      <c r="AA3" s="7"/>
      <c r="AB3" s="7"/>
      <c r="AC3" s="7"/>
      <c r="AD3" s="8"/>
      <c r="AE3" s="71"/>
      <c r="AF3" s="7"/>
      <c r="AG3" s="5"/>
    </row>
    <row r="4" spans="1:33" ht="12.75">
      <c r="A4" s="6">
        <v>17199</v>
      </c>
      <c r="B4" s="7">
        <v>21.62</v>
      </c>
      <c r="C4" s="8">
        <f>IF(Tabela1[[#This Row],[Consumer Price Index (CPI)]]="",#N/A,((Tabela1[[#This Row],[Consumer Price Index (CPI)]]*1)/B3)-1)</f>
        <v>6.5176908752329066E-3</v>
      </c>
      <c r="D4" s="7"/>
      <c r="E4" s="7"/>
      <c r="F4" s="7"/>
      <c r="G4" s="7"/>
      <c r="H4" s="8"/>
      <c r="I4" s="8"/>
      <c r="J4" s="25"/>
      <c r="K4" s="8"/>
      <c r="L4" s="8"/>
      <c r="M4" s="7"/>
      <c r="N4" s="8"/>
      <c r="O4" s="8"/>
      <c r="P4" s="7"/>
      <c r="Q4" s="8"/>
      <c r="R4" s="8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8"/>
      <c r="AE4" s="71"/>
      <c r="AF4" s="7"/>
      <c r="AG4" s="5"/>
    </row>
    <row r="5" spans="1:33" ht="12.75">
      <c r="A5" s="6">
        <v>17227</v>
      </c>
      <c r="B5" s="7">
        <v>22</v>
      </c>
      <c r="C5" s="8">
        <f>IF(Tabela1[[#This Row],[Consumer Price Index (CPI)]]="",#N/A,((Tabela1[[#This Row],[Consumer Price Index (CPI)]]*1)/B4)-1)</f>
        <v>1.7576318223866849E-2</v>
      </c>
      <c r="D5" s="7"/>
      <c r="E5" s="7"/>
      <c r="F5" s="7"/>
      <c r="G5" s="7"/>
      <c r="H5" s="8"/>
      <c r="I5" s="8"/>
      <c r="J5" s="25"/>
      <c r="K5" s="8"/>
      <c r="L5" s="8"/>
      <c r="M5" s="7"/>
      <c r="N5" s="8"/>
      <c r="O5" s="8"/>
      <c r="P5" s="7"/>
      <c r="Q5" s="8"/>
      <c r="R5" s="8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8"/>
      <c r="AE5" s="71"/>
      <c r="AF5" s="7"/>
      <c r="AG5" s="5"/>
    </row>
    <row r="6" spans="1:33" ht="12.75">
      <c r="A6" s="6">
        <v>17258</v>
      </c>
      <c r="B6" s="7">
        <v>22</v>
      </c>
      <c r="C6" s="8">
        <f>IF(Tabela1[[#This Row],[Consumer Price Index (CPI)]]="",#N/A,((Tabela1[[#This Row],[Consumer Price Index (CPI)]]*1)/B5)-1)</f>
        <v>0</v>
      </c>
      <c r="D6" s="7"/>
      <c r="E6" s="7"/>
      <c r="F6" s="7"/>
      <c r="G6" s="7"/>
      <c r="H6" s="8"/>
      <c r="I6" s="8"/>
      <c r="J6" s="25"/>
      <c r="K6" s="8"/>
      <c r="L6" s="8"/>
      <c r="M6" s="7"/>
      <c r="N6" s="8"/>
      <c r="O6" s="8"/>
      <c r="P6" s="7"/>
      <c r="Q6" s="8"/>
      <c r="R6" s="8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8"/>
      <c r="AE6" s="71"/>
      <c r="AF6" s="7"/>
      <c r="AG6" s="5"/>
    </row>
    <row r="7" spans="1:33" ht="12.75">
      <c r="A7" s="6">
        <v>17288</v>
      </c>
      <c r="B7" s="7">
        <v>21.95</v>
      </c>
      <c r="C7" s="8">
        <f>IF(Tabela1[[#This Row],[Consumer Price Index (CPI)]]="",#N/A,((Tabela1[[#This Row],[Consumer Price Index (CPI)]]*1)/B6)-1)</f>
        <v>-2.2727272727273151E-3</v>
      </c>
      <c r="D7" s="7"/>
      <c r="E7" s="7"/>
      <c r="F7" s="7"/>
      <c r="G7" s="7"/>
      <c r="H7" s="8"/>
      <c r="I7" s="8"/>
      <c r="J7" s="25"/>
      <c r="K7" s="8"/>
      <c r="L7" s="8"/>
      <c r="M7" s="7"/>
      <c r="N7" s="8"/>
      <c r="O7" s="8"/>
      <c r="P7" s="7"/>
      <c r="Q7" s="8"/>
      <c r="R7" s="8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8"/>
      <c r="AE7" s="71"/>
      <c r="AF7" s="7"/>
      <c r="AG7" s="5"/>
    </row>
    <row r="8" spans="1:33" ht="12.75">
      <c r="A8" s="6">
        <v>17319</v>
      </c>
      <c r="B8" s="7">
        <v>22.08</v>
      </c>
      <c r="C8" s="8">
        <f>IF(Tabela1[[#This Row],[Consumer Price Index (CPI)]]="",#N/A,((Tabela1[[#This Row],[Consumer Price Index (CPI)]]*1)/B7)-1)</f>
        <v>5.9225512528473523E-3</v>
      </c>
      <c r="D8" s="7"/>
      <c r="E8" s="7"/>
      <c r="F8" s="7"/>
      <c r="G8" s="7"/>
      <c r="H8" s="8"/>
      <c r="I8" s="8"/>
      <c r="J8" s="25"/>
      <c r="K8" s="8"/>
      <c r="L8" s="8"/>
      <c r="M8" s="7"/>
      <c r="N8" s="8"/>
      <c r="O8" s="8"/>
      <c r="P8" s="7"/>
      <c r="Q8" s="8"/>
      <c r="R8" s="8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8"/>
      <c r="AE8" s="71"/>
      <c r="AF8" s="7"/>
      <c r="AG8" s="5"/>
    </row>
    <row r="9" spans="1:33" ht="12.75">
      <c r="A9" s="6">
        <v>17349</v>
      </c>
      <c r="B9" s="7">
        <v>22.23</v>
      </c>
      <c r="C9" s="8">
        <f>IF(Tabela1[[#This Row],[Consumer Price Index (CPI)]]="",#N/A,((Tabela1[[#This Row],[Consumer Price Index (CPI)]]*1)/B8)-1)</f>
        <v>6.7934782608696231E-3</v>
      </c>
      <c r="D9" s="7"/>
      <c r="E9" s="7"/>
      <c r="F9" s="7"/>
      <c r="G9" s="7"/>
      <c r="H9" s="8"/>
      <c r="I9" s="8"/>
      <c r="J9" s="25"/>
      <c r="K9" s="8"/>
      <c r="L9" s="8"/>
      <c r="M9" s="7"/>
      <c r="N9" s="8"/>
      <c r="O9" s="8"/>
      <c r="P9" s="7"/>
      <c r="Q9" s="8"/>
      <c r="R9" s="8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8"/>
      <c r="AE9" s="71"/>
      <c r="AF9" s="7"/>
      <c r="AG9" s="5"/>
    </row>
    <row r="10" spans="1:33" ht="12.75">
      <c r="A10" s="6">
        <v>17380</v>
      </c>
      <c r="B10" s="7">
        <v>22.4</v>
      </c>
      <c r="C10" s="8">
        <f>IF(Tabela1[[#This Row],[Consumer Price Index (CPI)]]="",#N/A,((Tabela1[[#This Row],[Consumer Price Index (CPI)]]*1)/B9)-1)</f>
        <v>7.6473234367970822E-3</v>
      </c>
      <c r="D10" s="7"/>
      <c r="E10" s="7"/>
      <c r="F10" s="7"/>
      <c r="G10" s="7"/>
      <c r="H10" s="8"/>
      <c r="I10" s="8"/>
      <c r="J10" s="25"/>
      <c r="K10" s="8"/>
      <c r="L10" s="8"/>
      <c r="M10" s="7"/>
      <c r="N10" s="8"/>
      <c r="O10" s="8"/>
      <c r="P10" s="7"/>
      <c r="Q10" s="8"/>
      <c r="R10" s="8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8"/>
      <c r="AE10" s="71"/>
      <c r="AF10" s="7"/>
      <c r="AG10" s="5"/>
    </row>
    <row r="11" spans="1:33" ht="12.75">
      <c r="A11" s="6">
        <v>17411</v>
      </c>
      <c r="B11" s="7">
        <v>22.84</v>
      </c>
      <c r="C11" s="8">
        <f>IF(Tabela1[[#This Row],[Consumer Price Index (CPI)]]="",#N/A,((Tabela1[[#This Row],[Consumer Price Index (CPI)]]*1)/B10)-1)</f>
        <v>1.9642857142857295E-2</v>
      </c>
      <c r="D11" s="7"/>
      <c r="E11" s="7"/>
      <c r="F11" s="7"/>
      <c r="G11" s="7"/>
      <c r="H11" s="8"/>
      <c r="I11" s="8"/>
      <c r="J11" s="25"/>
      <c r="K11" s="8"/>
      <c r="L11" s="8"/>
      <c r="M11" s="7"/>
      <c r="N11" s="8"/>
      <c r="O11" s="8"/>
      <c r="P11" s="7"/>
      <c r="Q11" s="8"/>
      <c r="R11" s="8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8"/>
      <c r="AE11" s="71"/>
      <c r="AF11" s="7"/>
      <c r="AG11" s="5"/>
    </row>
    <row r="12" spans="1:33" ht="12.75">
      <c r="A12" s="6">
        <v>17441</v>
      </c>
      <c r="B12" s="7">
        <v>22.91</v>
      </c>
      <c r="C12" s="8">
        <f>IF(Tabela1[[#This Row],[Consumer Price Index (CPI)]]="",#N/A,((Tabela1[[#This Row],[Consumer Price Index (CPI)]]*1)/B11)-1)</f>
        <v>3.0647985989491477E-3</v>
      </c>
      <c r="D12" s="7"/>
      <c r="E12" s="7"/>
      <c r="F12" s="7"/>
      <c r="G12" s="7"/>
      <c r="H12" s="8"/>
      <c r="I12" s="8"/>
      <c r="J12" s="25"/>
      <c r="K12" s="8"/>
      <c r="L12" s="8"/>
      <c r="M12" s="7"/>
      <c r="N12" s="8"/>
      <c r="O12" s="8"/>
      <c r="P12" s="7"/>
      <c r="Q12" s="8"/>
      <c r="R12" s="8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8"/>
      <c r="AE12" s="71"/>
      <c r="AF12" s="7"/>
      <c r="AG12" s="5"/>
    </row>
    <row r="13" spans="1:33" ht="12.75">
      <c r="A13" s="6">
        <v>17472</v>
      </c>
      <c r="B13" s="7">
        <v>23.06</v>
      </c>
      <c r="C13" s="8">
        <f>IF(Tabela1[[#This Row],[Consumer Price Index (CPI)]]="",#N/A,((Tabela1[[#This Row],[Consumer Price Index (CPI)]]*1)/B12)-1)</f>
        <v>6.5473592317764062E-3</v>
      </c>
      <c r="D13" s="7"/>
      <c r="E13" s="7"/>
      <c r="F13" s="7"/>
      <c r="G13" s="7"/>
      <c r="H13" s="8"/>
      <c r="I13" s="8"/>
      <c r="J13" s="25"/>
      <c r="K13" s="8"/>
      <c r="L13" s="8"/>
      <c r="M13" s="7"/>
      <c r="N13" s="8"/>
      <c r="O13" s="8"/>
      <c r="P13" s="7"/>
      <c r="Q13" s="8"/>
      <c r="R13" s="8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8"/>
      <c r="AE13" s="71"/>
      <c r="AF13" s="7"/>
      <c r="AG13" s="5"/>
    </row>
    <row r="14" spans="1:33" ht="12.75">
      <c r="A14" s="6">
        <v>17502</v>
      </c>
      <c r="B14" s="7">
        <v>23.41</v>
      </c>
      <c r="C14" s="8">
        <f>IF(Tabela1[[#This Row],[Consumer Price Index (CPI)]]="",#N/A,((Tabela1[[#This Row],[Consumer Price Index (CPI)]]*1)/B13)-1)</f>
        <v>1.5177797051170838E-2</v>
      </c>
      <c r="D14" s="7"/>
      <c r="E14" s="7"/>
      <c r="F14" s="7"/>
      <c r="G14" s="7"/>
      <c r="H14" s="8"/>
      <c r="I14" s="8"/>
      <c r="J14" s="25"/>
      <c r="K14" s="8"/>
      <c r="L14" s="8"/>
      <c r="M14" s="7"/>
      <c r="N14" s="8"/>
      <c r="O14" s="8"/>
      <c r="P14" s="7"/>
      <c r="Q14" s="8"/>
      <c r="R14" s="8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8"/>
      <c r="AE14" s="71"/>
      <c r="AF14" s="7"/>
      <c r="AG14" s="5"/>
    </row>
    <row r="15" spans="1:33" ht="12.75">
      <c r="A15" s="6">
        <v>17533</v>
      </c>
      <c r="B15" s="7">
        <v>23.68</v>
      </c>
      <c r="C15" s="8">
        <f>IF(Tabela1[[#This Row],[Consumer Price Index (CPI)]]="",#N/A,((Tabela1[[#This Row],[Consumer Price Index (CPI)]]*1)/B14)-1)</f>
        <v>1.1533532678342562E-2</v>
      </c>
      <c r="D15" s="8">
        <f>IF(Tabela1[[#This Row],[Consumer Price Index (CPI)]]="",#N/A,((Tabela1[[#This Row],[Consumer Price Index (CPI)]]*1)/B3)-1)</f>
        <v>0.10242085661080069</v>
      </c>
      <c r="E15" s="25"/>
      <c r="F15" s="7"/>
      <c r="G15" s="7"/>
      <c r="H15" s="8"/>
      <c r="I15" s="8"/>
      <c r="J15" s="25"/>
      <c r="K15" s="8"/>
      <c r="L15" s="8"/>
      <c r="M15" s="7"/>
      <c r="N15" s="8"/>
      <c r="O15" s="8"/>
      <c r="P15" s="7"/>
      <c r="Q15" s="8"/>
      <c r="R15" s="8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8"/>
      <c r="AE15" s="71"/>
      <c r="AF15" s="7"/>
      <c r="AG15" s="5"/>
    </row>
    <row r="16" spans="1:33" ht="12.75">
      <c r="A16" s="6">
        <v>17564</v>
      </c>
      <c r="B16" s="7">
        <v>23.67</v>
      </c>
      <c r="C16" s="8">
        <f>IF(Tabela1[[#This Row],[Consumer Price Index (CPI)]]="",#N/A,((Tabela1[[#This Row],[Consumer Price Index (CPI)]]*1)/B15)-1)</f>
        <v>-4.2229729729725829E-4</v>
      </c>
      <c r="D16" s="8">
        <f>IF(Tabela1[[#This Row],[Consumer Price Index (CPI)]]="",#N/A,((Tabela1[[#This Row],[Consumer Price Index (CPI)]]*1)/B4)-1)</f>
        <v>9.4819611470860377E-2</v>
      </c>
      <c r="E16" s="25"/>
      <c r="F16" s="7"/>
      <c r="G16" s="7"/>
      <c r="H16" s="8"/>
      <c r="I16" s="8"/>
      <c r="J16" s="25"/>
      <c r="K16" s="8"/>
      <c r="L16" s="8"/>
      <c r="M16" s="7"/>
      <c r="N16" s="8"/>
      <c r="O16" s="8"/>
      <c r="P16" s="7"/>
      <c r="Q16" s="8"/>
      <c r="R16" s="8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8"/>
      <c r="AE16" s="71"/>
      <c r="AF16" s="7"/>
      <c r="AG16" s="5"/>
    </row>
    <row r="17" spans="1:33" ht="12.75">
      <c r="A17" s="6">
        <v>17593</v>
      </c>
      <c r="B17" s="7">
        <v>23.5</v>
      </c>
      <c r="C17" s="8">
        <f>IF(Tabela1[[#This Row],[Consumer Price Index (CPI)]]="",#N/A,((Tabela1[[#This Row],[Consumer Price Index (CPI)]]*1)/B16)-1)</f>
        <v>-7.1820870299958983E-3</v>
      </c>
      <c r="D17" s="8">
        <f>IF(Tabela1[[#This Row],[Consumer Price Index (CPI)]]="",#N/A,((Tabela1[[#This Row],[Consumer Price Index (CPI)]]*1)/B5)-1)</f>
        <v>6.8181818181818121E-2</v>
      </c>
      <c r="E17" s="25"/>
      <c r="F17" s="7"/>
      <c r="G17" s="7"/>
      <c r="H17" s="8"/>
      <c r="I17" s="8"/>
      <c r="J17" s="25"/>
      <c r="K17" s="8"/>
      <c r="L17" s="8"/>
      <c r="M17" s="7"/>
      <c r="N17" s="8"/>
      <c r="O17" s="8"/>
      <c r="P17" s="7"/>
      <c r="Q17" s="8"/>
      <c r="R17" s="8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8"/>
      <c r="AE17" s="71"/>
      <c r="AF17" s="7"/>
      <c r="AG17" s="5"/>
    </row>
    <row r="18" spans="1:33" ht="12.75">
      <c r="A18" s="6">
        <v>17624</v>
      </c>
      <c r="B18" s="7">
        <v>23.82</v>
      </c>
      <c r="C18" s="8">
        <f>IF(Tabela1[[#This Row],[Consumer Price Index (CPI)]]="",#N/A,((Tabela1[[#This Row],[Consumer Price Index (CPI)]]*1)/B17)-1)</f>
        <v>1.3617021276595809E-2</v>
      </c>
      <c r="D18" s="8">
        <f>IF(Tabela1[[#This Row],[Consumer Price Index (CPI)]]="",#N/A,((Tabela1[[#This Row],[Consumer Price Index (CPI)]]*1)/B6)-1)</f>
        <v>8.272727272727276E-2</v>
      </c>
      <c r="E18" s="25"/>
      <c r="F18" s="7"/>
      <c r="G18" s="7"/>
      <c r="H18" s="8"/>
      <c r="I18" s="8"/>
      <c r="J18" s="25"/>
      <c r="K18" s="8"/>
      <c r="L18" s="8"/>
      <c r="M18" s="7"/>
      <c r="N18" s="8"/>
      <c r="O18" s="8"/>
      <c r="P18" s="7"/>
      <c r="Q18" s="8"/>
      <c r="R18" s="8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8"/>
      <c r="AE18" s="71"/>
      <c r="AF18" s="7"/>
      <c r="AG18" s="5"/>
    </row>
    <row r="19" spans="1:33" ht="12.75">
      <c r="A19" s="6">
        <v>17654</v>
      </c>
      <c r="B19" s="7">
        <v>24.01</v>
      </c>
      <c r="C19" s="8">
        <f>IF(Tabela1[[#This Row],[Consumer Price Index (CPI)]]="",#N/A,((Tabela1[[#This Row],[Consumer Price Index (CPI)]]*1)/B18)-1)</f>
        <v>7.9764903442485213E-3</v>
      </c>
      <c r="D19" s="8">
        <f>IF(Tabela1[[#This Row],[Consumer Price Index (CPI)]]="",#N/A,((Tabela1[[#This Row],[Consumer Price Index (CPI)]]*1)/B7)-1)</f>
        <v>9.3849658314350881E-2</v>
      </c>
      <c r="E19" s="25"/>
      <c r="F19" s="7"/>
      <c r="G19" s="7"/>
      <c r="H19" s="8"/>
      <c r="I19" s="8"/>
      <c r="J19" s="25"/>
      <c r="K19" s="8"/>
      <c r="L19" s="8"/>
      <c r="M19" s="7"/>
      <c r="N19" s="8"/>
      <c r="O19" s="8"/>
      <c r="P19" s="7"/>
      <c r="Q19" s="8"/>
      <c r="R19" s="8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8"/>
      <c r="AE19" s="71"/>
      <c r="AF19" s="7"/>
      <c r="AG19" s="5"/>
    </row>
    <row r="20" spans="1:33" ht="12.75">
      <c r="A20" s="6">
        <v>17685</v>
      </c>
      <c r="B20" s="7">
        <v>24.15</v>
      </c>
      <c r="C20" s="8">
        <f>IF(Tabela1[[#This Row],[Consumer Price Index (CPI)]]="",#N/A,((Tabela1[[#This Row],[Consumer Price Index (CPI)]]*1)/B19)-1)</f>
        <v>5.8309037900874383E-3</v>
      </c>
      <c r="D20" s="8">
        <f>IF(Tabela1[[#This Row],[Consumer Price Index (CPI)]]="",#N/A,((Tabela1[[#This Row],[Consumer Price Index (CPI)]]*1)/B8)-1)</f>
        <v>9.375E-2</v>
      </c>
      <c r="E20" s="25"/>
      <c r="F20" s="7"/>
      <c r="G20" s="7"/>
      <c r="H20" s="8"/>
      <c r="I20" s="8"/>
      <c r="J20" s="25"/>
      <c r="K20" s="8"/>
      <c r="L20" s="8"/>
      <c r="M20" s="7"/>
      <c r="N20" s="8"/>
      <c r="O20" s="8"/>
      <c r="P20" s="7"/>
      <c r="Q20" s="8"/>
      <c r="R20" s="8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8"/>
      <c r="AE20" s="71"/>
      <c r="AF20" s="7"/>
      <c r="AG20" s="5"/>
    </row>
    <row r="21" spans="1:33" ht="12.75">
      <c r="A21" s="6">
        <v>17715</v>
      </c>
      <c r="B21" s="7">
        <v>24.4</v>
      </c>
      <c r="C21" s="8">
        <f>IF(Tabela1[[#This Row],[Consumer Price Index (CPI)]]="",#N/A,((Tabela1[[#This Row],[Consumer Price Index (CPI)]]*1)/B20)-1)</f>
        <v>1.0351966873705987E-2</v>
      </c>
      <c r="D21" s="8">
        <f>IF(Tabela1[[#This Row],[Consumer Price Index (CPI)]]="",#N/A,((Tabela1[[#This Row],[Consumer Price Index (CPI)]]*1)/B9)-1)</f>
        <v>9.7615834457939643E-2</v>
      </c>
      <c r="E21" s="25"/>
      <c r="F21" s="7"/>
      <c r="G21" s="7"/>
      <c r="H21" s="8"/>
      <c r="I21" s="8"/>
      <c r="J21" s="25"/>
      <c r="K21" s="8"/>
      <c r="L21" s="8"/>
      <c r="M21" s="7"/>
      <c r="N21" s="8"/>
      <c r="O21" s="8"/>
      <c r="P21" s="7"/>
      <c r="Q21" s="8"/>
      <c r="R21" s="8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8"/>
      <c r="AE21" s="71"/>
      <c r="AF21" s="7"/>
      <c r="AG21" s="5"/>
    </row>
    <row r="22" spans="1:33" ht="12.75">
      <c r="A22" s="6">
        <v>17746</v>
      </c>
      <c r="B22" s="7">
        <v>24.43</v>
      </c>
      <c r="C22" s="8">
        <f>IF(Tabela1[[#This Row],[Consumer Price Index (CPI)]]="",#N/A,((Tabela1[[#This Row],[Consumer Price Index (CPI)]]*1)/B21)-1)</f>
        <v>1.2295081967212962E-3</v>
      </c>
      <c r="D22" s="8">
        <f>IF(Tabela1[[#This Row],[Consumer Price Index (CPI)]]="",#N/A,((Tabela1[[#This Row],[Consumer Price Index (CPI)]]*1)/B10)-1)</f>
        <v>9.0624999999999956E-2</v>
      </c>
      <c r="E22" s="25"/>
      <c r="F22" s="7"/>
      <c r="G22" s="7"/>
      <c r="H22" s="8"/>
      <c r="I22" s="8"/>
      <c r="J22" s="25"/>
      <c r="K22" s="8"/>
      <c r="L22" s="8"/>
      <c r="M22" s="7"/>
      <c r="N22" s="8"/>
      <c r="O22" s="8"/>
      <c r="P22" s="7"/>
      <c r="Q22" s="8"/>
      <c r="R22" s="8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8"/>
      <c r="AE22" s="71"/>
      <c r="AF22" s="7"/>
      <c r="AG22" s="5"/>
    </row>
    <row r="23" spans="1:33" ht="12.75">
      <c r="A23" s="6">
        <v>17777</v>
      </c>
      <c r="B23" s="7">
        <v>24.36</v>
      </c>
      <c r="C23" s="8">
        <f>IF(Tabela1[[#This Row],[Consumer Price Index (CPI)]]="",#N/A,((Tabela1[[#This Row],[Consumer Price Index (CPI)]]*1)/B22)-1)</f>
        <v>-2.8653295128939771E-3</v>
      </c>
      <c r="D23" s="8">
        <f>IF(Tabela1[[#This Row],[Consumer Price Index (CPI)]]="",#N/A,((Tabela1[[#This Row],[Consumer Price Index (CPI)]]*1)/B11)-1)</f>
        <v>6.654991243432562E-2</v>
      </c>
      <c r="E23" s="25"/>
      <c r="F23" s="7"/>
      <c r="G23" s="7"/>
      <c r="H23" s="8"/>
      <c r="I23" s="8"/>
      <c r="J23" s="25"/>
      <c r="K23" s="8"/>
      <c r="L23" s="8"/>
      <c r="M23" s="7"/>
      <c r="N23" s="8"/>
      <c r="O23" s="8"/>
      <c r="P23" s="7"/>
      <c r="Q23" s="8"/>
      <c r="R23" s="8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8"/>
      <c r="AE23" s="71"/>
      <c r="AF23" s="7"/>
      <c r="AG23" s="5"/>
    </row>
    <row r="24" spans="1:33" ht="12.75">
      <c r="A24" s="6">
        <v>17807</v>
      </c>
      <c r="B24" s="7">
        <v>24.31</v>
      </c>
      <c r="C24" s="8">
        <f>IF(Tabela1[[#This Row],[Consumer Price Index (CPI)]]="",#N/A,((Tabela1[[#This Row],[Consumer Price Index (CPI)]]*1)/B23)-1)</f>
        <v>-2.0525451559935126E-3</v>
      </c>
      <c r="D24" s="8">
        <f>IF(Tabela1[[#This Row],[Consumer Price Index (CPI)]]="",#N/A,((Tabela1[[#This Row],[Consumer Price Index (CPI)]]*1)/B12)-1)</f>
        <v>6.1108686163247494E-2</v>
      </c>
      <c r="E24" s="25"/>
      <c r="F24" s="7"/>
      <c r="G24" s="7"/>
      <c r="H24" s="8"/>
      <c r="I24" s="8"/>
      <c r="J24" s="25"/>
      <c r="K24" s="8"/>
      <c r="L24" s="8"/>
      <c r="M24" s="7"/>
      <c r="N24" s="8"/>
      <c r="O24" s="8"/>
      <c r="P24" s="7"/>
      <c r="Q24" s="8"/>
      <c r="R24" s="8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8"/>
      <c r="AE24" s="71"/>
      <c r="AF24" s="7"/>
      <c r="AG24" s="5"/>
    </row>
    <row r="25" spans="1:33" ht="12.75">
      <c r="A25" s="6">
        <v>17838</v>
      </c>
      <c r="B25" s="7">
        <v>24.16</v>
      </c>
      <c r="C25" s="8">
        <f>IF(Tabela1[[#This Row],[Consumer Price Index (CPI)]]="",#N/A,((Tabela1[[#This Row],[Consumer Price Index (CPI)]]*1)/B24)-1)</f>
        <v>-6.1703002879472946E-3</v>
      </c>
      <c r="D25" s="8">
        <f>IF(Tabela1[[#This Row],[Consumer Price Index (CPI)]]="",#N/A,((Tabela1[[#This Row],[Consumer Price Index (CPI)]]*1)/B13)-1)</f>
        <v>4.7701647875108444E-2</v>
      </c>
      <c r="E25" s="25"/>
      <c r="F25" s="7"/>
      <c r="G25" s="7"/>
      <c r="H25" s="8"/>
      <c r="I25" s="8"/>
      <c r="J25" s="25"/>
      <c r="K25" s="8"/>
      <c r="L25" s="8"/>
      <c r="M25" s="7"/>
      <c r="N25" s="8"/>
      <c r="O25" s="8"/>
      <c r="P25" s="7"/>
      <c r="Q25" s="8"/>
      <c r="R25" s="8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8"/>
      <c r="AE25" s="71"/>
      <c r="AF25" s="7"/>
      <c r="AG25" s="5"/>
    </row>
    <row r="26" spans="1:33" ht="12.75">
      <c r="A26" s="6">
        <v>17868</v>
      </c>
      <c r="B26" s="7">
        <v>24.05</v>
      </c>
      <c r="C26" s="8">
        <f>IF(Tabela1[[#This Row],[Consumer Price Index (CPI)]]="",#N/A,((Tabela1[[#This Row],[Consumer Price Index (CPI)]]*1)/B25)-1)</f>
        <v>-4.5529801324503127E-3</v>
      </c>
      <c r="D26" s="8">
        <f>IF(Tabela1[[#This Row],[Consumer Price Index (CPI)]]="",#N/A,((Tabela1[[#This Row],[Consumer Price Index (CPI)]]*1)/B14)-1)</f>
        <v>2.7338744126441661E-2</v>
      </c>
      <c r="E26" s="25"/>
      <c r="F26" s="7"/>
      <c r="G26" s="7"/>
      <c r="H26" s="8"/>
      <c r="I26" s="8"/>
      <c r="J26" s="25"/>
      <c r="K26" s="8"/>
      <c r="L26" s="8"/>
      <c r="M26" s="7"/>
      <c r="N26" s="8"/>
      <c r="O26" s="8"/>
      <c r="P26" s="7"/>
      <c r="Q26" s="8"/>
      <c r="R26" s="8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8"/>
      <c r="AE26" s="71"/>
      <c r="AF26" s="7"/>
      <c r="AG26" s="5"/>
    </row>
    <row r="27" spans="1:33" ht="12.75">
      <c r="A27" s="6">
        <v>17899</v>
      </c>
      <c r="B27" s="7">
        <v>24.01</v>
      </c>
      <c r="C27" s="8">
        <f>IF(Tabela1[[#This Row],[Consumer Price Index (CPI)]]="",#N/A,((Tabela1[[#This Row],[Consumer Price Index (CPI)]]*1)/B26)-1)</f>
        <v>-1.6632016632016633E-3</v>
      </c>
      <c r="D27" s="8">
        <f>IF(Tabela1[[#This Row],[Consumer Price Index (CPI)]]="",#N/A,((Tabela1[[#This Row],[Consumer Price Index (CPI)]]*1)/B15)-1)</f>
        <v>1.3935810810810967E-2</v>
      </c>
      <c r="E27" s="25"/>
      <c r="F27" s="7"/>
      <c r="G27" s="7"/>
      <c r="H27" s="8"/>
      <c r="I27" s="8"/>
      <c r="J27" s="25"/>
      <c r="K27" s="8"/>
      <c r="L27" s="8"/>
      <c r="M27" s="7"/>
      <c r="N27" s="8"/>
      <c r="O27" s="8"/>
      <c r="P27" s="7"/>
      <c r="Q27" s="8"/>
      <c r="R27" s="8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8"/>
      <c r="AE27" s="71"/>
      <c r="AF27" s="7"/>
      <c r="AG27" s="5"/>
    </row>
    <row r="28" spans="1:33" ht="12.75">
      <c r="A28" s="6">
        <v>17930</v>
      </c>
      <c r="B28" s="7">
        <v>23.91</v>
      </c>
      <c r="C28" s="8">
        <f>IF(Tabela1[[#This Row],[Consumer Price Index (CPI)]]="",#N/A,((Tabela1[[#This Row],[Consumer Price Index (CPI)]]*1)/B27)-1)</f>
        <v>-4.1649312786339321E-3</v>
      </c>
      <c r="D28" s="8">
        <f>IF(Tabela1[[#This Row],[Consumer Price Index (CPI)]]="",#N/A,((Tabela1[[#This Row],[Consumer Price Index (CPI)]]*1)/B16)-1)</f>
        <v>1.0139416983523386E-2</v>
      </c>
      <c r="E28" s="25"/>
      <c r="F28" s="7"/>
      <c r="G28" s="7"/>
      <c r="H28" s="8"/>
      <c r="I28" s="8"/>
      <c r="J28" s="25"/>
      <c r="K28" s="8"/>
      <c r="L28" s="8"/>
      <c r="M28" s="7"/>
      <c r="N28" s="8"/>
      <c r="O28" s="8"/>
      <c r="P28" s="7"/>
      <c r="Q28" s="8"/>
      <c r="R28" s="8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8"/>
      <c r="AE28" s="71"/>
      <c r="AF28" s="7"/>
      <c r="AG28" s="5"/>
    </row>
    <row r="29" spans="1:33" ht="12.75">
      <c r="A29" s="6">
        <v>17958</v>
      </c>
      <c r="B29" s="7">
        <v>23.91</v>
      </c>
      <c r="C29" s="8">
        <f>IF(Tabela1[[#This Row],[Consumer Price Index (CPI)]]="",#N/A,((Tabela1[[#This Row],[Consumer Price Index (CPI)]]*1)/B28)-1)</f>
        <v>0</v>
      </c>
      <c r="D29" s="8">
        <f>IF(Tabela1[[#This Row],[Consumer Price Index (CPI)]]="",#N/A,((Tabela1[[#This Row],[Consumer Price Index (CPI)]]*1)/B17)-1)</f>
        <v>1.744680851063829E-2</v>
      </c>
      <c r="E29" s="25"/>
      <c r="F29" s="7"/>
      <c r="G29" s="7"/>
      <c r="H29" s="8"/>
      <c r="I29" s="8"/>
      <c r="J29" s="25"/>
      <c r="K29" s="8"/>
      <c r="L29" s="8"/>
      <c r="M29" s="7"/>
      <c r="N29" s="8"/>
      <c r="O29" s="8"/>
      <c r="P29" s="7"/>
      <c r="Q29" s="8"/>
      <c r="R29" s="8"/>
      <c r="S29" s="7"/>
      <c r="T29" s="7"/>
      <c r="U29" s="7"/>
      <c r="V29" s="7"/>
      <c r="W29" s="7"/>
      <c r="X29" s="7"/>
      <c r="Y29" s="7"/>
      <c r="Z29" s="7"/>
      <c r="AA29" s="7"/>
      <c r="AB29" s="7"/>
      <c r="AC29" s="7"/>
      <c r="AD29" s="8"/>
      <c r="AE29" s="71"/>
      <c r="AF29" s="7"/>
      <c r="AG29" s="5"/>
    </row>
    <row r="30" spans="1:33" ht="12.75">
      <c r="A30" s="6">
        <v>17989</v>
      </c>
      <c r="B30" s="7">
        <v>23.92</v>
      </c>
      <c r="C30" s="8">
        <f>IF(Tabela1[[#This Row],[Consumer Price Index (CPI)]]="",#N/A,((Tabela1[[#This Row],[Consumer Price Index (CPI)]]*1)/B29)-1)</f>
        <v>4.1823504809701539E-4</v>
      </c>
      <c r="D30" s="8">
        <f>IF(Tabela1[[#This Row],[Consumer Price Index (CPI)]]="",#N/A,((Tabela1[[#This Row],[Consumer Price Index (CPI)]]*1)/B18)-1)</f>
        <v>4.198152812762368E-3</v>
      </c>
      <c r="E30" s="25"/>
      <c r="F30" s="7"/>
      <c r="G30" s="7"/>
      <c r="H30" s="8"/>
      <c r="I30" s="8"/>
      <c r="J30" s="25"/>
      <c r="K30" s="8"/>
      <c r="L30" s="8"/>
      <c r="M30" s="7"/>
      <c r="N30" s="8"/>
      <c r="O30" s="8"/>
      <c r="P30" s="7"/>
      <c r="Q30" s="8"/>
      <c r="R30" s="8"/>
      <c r="S30" s="7"/>
      <c r="T30" s="7"/>
      <c r="U30" s="7"/>
      <c r="V30" s="7"/>
      <c r="W30" s="7"/>
      <c r="X30" s="7"/>
      <c r="Y30" s="7"/>
      <c r="Z30" s="7"/>
      <c r="AA30" s="7"/>
      <c r="AB30" s="7"/>
      <c r="AC30" s="7"/>
      <c r="AD30" s="8"/>
      <c r="AE30" s="71"/>
      <c r="AF30" s="7"/>
      <c r="AG30" s="5"/>
    </row>
    <row r="31" spans="1:33" ht="12.75">
      <c r="A31" s="6">
        <v>18019</v>
      </c>
      <c r="B31" s="7">
        <v>23.91</v>
      </c>
      <c r="C31" s="8">
        <f>IF(Tabela1[[#This Row],[Consumer Price Index (CPI)]]="",#N/A,((Tabela1[[#This Row],[Consumer Price Index (CPI)]]*1)/B30)-1)</f>
        <v>-4.180602006689238E-4</v>
      </c>
      <c r="D31" s="8">
        <f>IF(Tabela1[[#This Row],[Consumer Price Index (CPI)]]="",#N/A,((Tabela1[[#This Row],[Consumer Price Index (CPI)]]*1)/B19)-1)</f>
        <v>-4.1649312786339321E-3</v>
      </c>
      <c r="E31" s="25"/>
      <c r="F31" s="7"/>
      <c r="G31" s="7"/>
      <c r="H31" s="8"/>
      <c r="I31" s="8"/>
      <c r="J31" s="25"/>
      <c r="K31" s="8"/>
      <c r="L31" s="8"/>
      <c r="M31" s="7"/>
      <c r="N31" s="8"/>
      <c r="O31" s="8"/>
      <c r="P31" s="7"/>
      <c r="Q31" s="8"/>
      <c r="R31" s="8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8"/>
      <c r="AE31" s="71"/>
      <c r="AF31" s="7"/>
      <c r="AG31" s="5"/>
    </row>
    <row r="32" spans="1:33" ht="12.75">
      <c r="A32" s="6">
        <v>18050</v>
      </c>
      <c r="B32" s="7">
        <v>23.92</v>
      </c>
      <c r="C32" s="8">
        <f>IF(Tabela1[[#This Row],[Consumer Price Index (CPI)]]="",#N/A,((Tabela1[[#This Row],[Consumer Price Index (CPI)]]*1)/B31)-1)</f>
        <v>4.1823504809701539E-4</v>
      </c>
      <c r="D32" s="8">
        <f>IF(Tabela1[[#This Row],[Consumer Price Index (CPI)]]="",#N/A,((Tabela1[[#This Row],[Consumer Price Index (CPI)]]*1)/B20)-1)</f>
        <v>-9.523809523809379E-3</v>
      </c>
      <c r="E32" s="25"/>
      <c r="F32" s="7"/>
      <c r="G32" s="7"/>
      <c r="H32" s="8"/>
      <c r="I32" s="8"/>
      <c r="J32" s="25"/>
      <c r="K32" s="8"/>
      <c r="L32" s="8"/>
      <c r="M32" s="7"/>
      <c r="N32" s="8"/>
      <c r="O32" s="8"/>
      <c r="P32" s="7"/>
      <c r="Q32" s="8"/>
      <c r="R32" s="8"/>
      <c r="S32" s="7"/>
      <c r="T32" s="7"/>
      <c r="U32" s="7"/>
      <c r="V32" s="7"/>
      <c r="W32" s="7"/>
      <c r="X32" s="7"/>
      <c r="Y32" s="7"/>
      <c r="Z32" s="7"/>
      <c r="AA32" s="7"/>
      <c r="AB32" s="7"/>
      <c r="AC32" s="7"/>
      <c r="AD32" s="8"/>
      <c r="AE32" s="71"/>
      <c r="AF32" s="7"/>
      <c r="AG32" s="5"/>
    </row>
    <row r="33" spans="1:33" ht="12.75">
      <c r="A33" s="6">
        <v>18080</v>
      </c>
      <c r="B33" s="7">
        <v>23.7</v>
      </c>
      <c r="C33" s="8">
        <f>IF(Tabela1[[#This Row],[Consumer Price Index (CPI)]]="",#N/A,((Tabela1[[#This Row],[Consumer Price Index (CPI)]]*1)/B32)-1)</f>
        <v>-9.1973244147157684E-3</v>
      </c>
      <c r="D33" s="8">
        <f>IF(Tabela1[[#This Row],[Consumer Price Index (CPI)]]="",#N/A,((Tabela1[[#This Row],[Consumer Price Index (CPI)]]*1)/B21)-1)</f>
        <v>-2.8688524590163911E-2</v>
      </c>
      <c r="E33" s="25"/>
      <c r="F33" s="7"/>
      <c r="G33" s="7"/>
      <c r="H33" s="8"/>
      <c r="I33" s="8"/>
      <c r="J33" s="25"/>
      <c r="K33" s="8"/>
      <c r="L33" s="8"/>
      <c r="M33" s="7"/>
      <c r="N33" s="8"/>
      <c r="O33" s="8"/>
      <c r="P33" s="7"/>
      <c r="Q33" s="8"/>
      <c r="R33" s="8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8"/>
      <c r="AE33" s="71"/>
      <c r="AF33" s="7"/>
      <c r="AG33" s="5"/>
    </row>
    <row r="34" spans="1:33" ht="12.75">
      <c r="A34" s="6">
        <v>18111</v>
      </c>
      <c r="B34" s="7">
        <v>23.7</v>
      </c>
      <c r="C34" s="8">
        <f>IF(Tabela1[[#This Row],[Consumer Price Index (CPI)]]="",#N/A,((Tabela1[[#This Row],[Consumer Price Index (CPI)]]*1)/B33)-1)</f>
        <v>0</v>
      </c>
      <c r="D34" s="8">
        <f>IF(Tabela1[[#This Row],[Consumer Price Index (CPI)]]="",#N/A,((Tabela1[[#This Row],[Consumer Price Index (CPI)]]*1)/B22)-1)</f>
        <v>-2.9881293491608729E-2</v>
      </c>
      <c r="E34" s="25"/>
      <c r="F34" s="7"/>
      <c r="G34" s="7"/>
      <c r="H34" s="8"/>
      <c r="I34" s="8"/>
      <c r="J34" s="25"/>
      <c r="K34" s="8"/>
      <c r="L34" s="8"/>
      <c r="M34" s="7"/>
      <c r="N34" s="8"/>
      <c r="O34" s="8"/>
      <c r="P34" s="7"/>
      <c r="Q34" s="8"/>
      <c r="R34" s="8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8"/>
      <c r="AE34" s="71"/>
      <c r="AF34" s="7"/>
      <c r="AG34" s="5"/>
    </row>
    <row r="35" spans="1:33" ht="12.75">
      <c r="A35" s="6">
        <v>18142</v>
      </c>
      <c r="B35" s="7">
        <v>23.75</v>
      </c>
      <c r="C35" s="8">
        <f>IF(Tabela1[[#This Row],[Consumer Price Index (CPI)]]="",#N/A,((Tabela1[[#This Row],[Consumer Price Index (CPI)]]*1)/B34)-1)</f>
        <v>2.1097046413502962E-3</v>
      </c>
      <c r="D35" s="8">
        <f>IF(Tabela1[[#This Row],[Consumer Price Index (CPI)]]="",#N/A,((Tabela1[[#This Row],[Consumer Price Index (CPI)]]*1)/B23)-1)</f>
        <v>-2.504105090311981E-2</v>
      </c>
      <c r="E35" s="25"/>
      <c r="F35" s="7"/>
      <c r="G35" s="7"/>
      <c r="H35" s="8"/>
      <c r="I35" s="8"/>
      <c r="J35" s="25"/>
      <c r="K35" s="8"/>
      <c r="L35" s="8"/>
      <c r="M35" s="7"/>
      <c r="N35" s="8"/>
      <c r="O35" s="8"/>
      <c r="P35" s="7"/>
      <c r="Q35" s="8"/>
      <c r="R35" s="8"/>
      <c r="S35" s="7"/>
      <c r="T35" s="7"/>
      <c r="U35" s="7"/>
      <c r="V35" s="7"/>
      <c r="W35" s="7"/>
      <c r="X35" s="7"/>
      <c r="Y35" s="7"/>
      <c r="Z35" s="7"/>
      <c r="AA35" s="7"/>
      <c r="AB35" s="7"/>
      <c r="AC35" s="7"/>
      <c r="AD35" s="8"/>
      <c r="AE35" s="71"/>
      <c r="AF35" s="7"/>
      <c r="AG35" s="5"/>
    </row>
    <row r="36" spans="1:33" ht="12.75">
      <c r="A36" s="6">
        <v>18172</v>
      </c>
      <c r="B36" s="7">
        <v>23.67</v>
      </c>
      <c r="C36" s="8">
        <f>IF(Tabela1[[#This Row],[Consumer Price Index (CPI)]]="",#N/A,((Tabela1[[#This Row],[Consumer Price Index (CPI)]]*1)/B35)-1)</f>
        <v>-3.3684210526314651E-3</v>
      </c>
      <c r="D36" s="8">
        <f>IF(Tabela1[[#This Row],[Consumer Price Index (CPI)]]="",#N/A,((Tabela1[[#This Row],[Consumer Price Index (CPI)]]*1)/B24)-1)</f>
        <v>-2.6326614561908546E-2</v>
      </c>
      <c r="E36" s="25"/>
      <c r="F36" s="7"/>
      <c r="G36" s="7"/>
      <c r="H36" s="8"/>
      <c r="I36" s="8"/>
      <c r="J36" s="25"/>
      <c r="K36" s="8"/>
      <c r="L36" s="8"/>
      <c r="M36" s="7"/>
      <c r="N36" s="8"/>
      <c r="O36" s="8"/>
      <c r="P36" s="7"/>
      <c r="Q36" s="8"/>
      <c r="R36" s="8"/>
      <c r="S36" s="7"/>
      <c r="T36" s="7"/>
      <c r="U36" s="7"/>
      <c r="V36" s="7"/>
      <c r="W36" s="7"/>
      <c r="X36" s="7"/>
      <c r="Y36" s="7"/>
      <c r="Z36" s="7"/>
      <c r="AA36" s="7"/>
      <c r="AB36" s="7"/>
      <c r="AC36" s="7"/>
      <c r="AD36" s="8"/>
      <c r="AE36" s="71"/>
      <c r="AF36" s="7"/>
      <c r="AG36" s="5"/>
    </row>
    <row r="37" spans="1:33" ht="12.75">
      <c r="A37" s="6">
        <v>18203</v>
      </c>
      <c r="B37" s="7">
        <v>23.7</v>
      </c>
      <c r="C37" s="8">
        <f>IF(Tabela1[[#This Row],[Consumer Price Index (CPI)]]="",#N/A,((Tabela1[[#This Row],[Consumer Price Index (CPI)]]*1)/B36)-1)</f>
        <v>1.2674271229402567E-3</v>
      </c>
      <c r="D37" s="8">
        <f>IF(Tabela1[[#This Row],[Consumer Price Index (CPI)]]="",#N/A,((Tabela1[[#This Row],[Consumer Price Index (CPI)]]*1)/B25)-1)</f>
        <v>-1.9039735099337762E-2</v>
      </c>
      <c r="E37" s="25"/>
      <c r="F37" s="7"/>
      <c r="G37" s="7"/>
      <c r="H37" s="8"/>
      <c r="I37" s="8"/>
      <c r="J37" s="25"/>
      <c r="K37" s="8"/>
      <c r="L37" s="8"/>
      <c r="M37" s="7"/>
      <c r="N37" s="8"/>
      <c r="O37" s="8"/>
      <c r="P37" s="7"/>
      <c r="Q37" s="8"/>
      <c r="R37" s="8"/>
      <c r="S37" s="7"/>
      <c r="T37" s="7"/>
      <c r="U37" s="7"/>
      <c r="V37" s="7"/>
      <c r="W37" s="7"/>
      <c r="X37" s="7"/>
      <c r="Y37" s="7"/>
      <c r="Z37" s="7"/>
      <c r="AA37" s="7"/>
      <c r="AB37" s="7"/>
      <c r="AC37" s="7"/>
      <c r="AD37" s="8"/>
      <c r="AE37" s="71"/>
      <c r="AF37" s="7"/>
      <c r="AG37" s="5"/>
    </row>
    <row r="38" spans="1:33" ht="12.75">
      <c r="A38" s="6">
        <v>18233</v>
      </c>
      <c r="B38" s="7">
        <v>23.61</v>
      </c>
      <c r="C38" s="8">
        <f>IF(Tabela1[[#This Row],[Consumer Price Index (CPI)]]="",#N/A,((Tabela1[[#This Row],[Consumer Price Index (CPI)]]*1)/B37)-1)</f>
        <v>-3.7974683544304E-3</v>
      </c>
      <c r="D38" s="8">
        <f>IF(Tabela1[[#This Row],[Consumer Price Index (CPI)]]="",#N/A,((Tabela1[[#This Row],[Consumer Price Index (CPI)]]*1)/B26)-1)</f>
        <v>-1.8295218295218296E-2</v>
      </c>
      <c r="E38" s="25"/>
      <c r="F38" s="7"/>
      <c r="G38" s="7"/>
      <c r="H38" s="8"/>
      <c r="I38" s="8"/>
      <c r="J38" s="25"/>
      <c r="K38" s="8"/>
      <c r="L38" s="8"/>
      <c r="M38" s="7"/>
      <c r="N38" s="8"/>
      <c r="O38" s="8"/>
      <c r="P38" s="7"/>
      <c r="Q38" s="8"/>
      <c r="R38" s="8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8"/>
      <c r="AE38" s="71"/>
      <c r="AF38" s="7"/>
      <c r="AG38" s="5"/>
    </row>
    <row r="39" spans="1:33" ht="12.75">
      <c r="A39" s="6">
        <v>18264</v>
      </c>
      <c r="B39" s="7">
        <v>23.51</v>
      </c>
      <c r="C39" s="8">
        <f>IF(Tabela1[[#This Row],[Consumer Price Index (CPI)]]="",#N/A,((Tabela1[[#This Row],[Consumer Price Index (CPI)]]*1)/B38)-1)</f>
        <v>-4.2354934349850826E-3</v>
      </c>
      <c r="D39" s="8">
        <f>IF(Tabela1[[#This Row],[Consumer Price Index (CPI)]]="",#N/A,((Tabela1[[#This Row],[Consumer Price Index (CPI)]]*1)/B27)-1)</f>
        <v>-2.0824656393169549E-2</v>
      </c>
      <c r="E39" s="25"/>
      <c r="F39" s="7"/>
      <c r="G39" s="7"/>
      <c r="H39" s="8"/>
      <c r="I39" s="8"/>
      <c r="J39" s="25"/>
      <c r="K39" s="8"/>
      <c r="L39" s="8"/>
      <c r="M39" s="7"/>
      <c r="N39" s="8"/>
      <c r="O39" s="8"/>
      <c r="P39" s="7"/>
      <c r="Q39" s="8"/>
      <c r="R39" s="8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8"/>
      <c r="AE39" s="71"/>
      <c r="AF39" s="7"/>
      <c r="AG39" s="5"/>
    </row>
    <row r="40" spans="1:33" ht="12.75">
      <c r="A40" s="6">
        <v>18295</v>
      </c>
      <c r="B40" s="7">
        <v>23.61</v>
      </c>
      <c r="C40" s="8">
        <f>IF(Tabela1[[#This Row],[Consumer Price Index (CPI)]]="",#N/A,((Tabela1[[#This Row],[Consumer Price Index (CPI)]]*1)/B39)-1)</f>
        <v>4.2535091450446316E-3</v>
      </c>
      <c r="D40" s="8">
        <f>IF(Tabela1[[#This Row],[Consumer Price Index (CPI)]]="",#N/A,((Tabela1[[#This Row],[Consumer Price Index (CPI)]]*1)/B28)-1)</f>
        <v>-1.2547051442910906E-2</v>
      </c>
      <c r="E40" s="25"/>
      <c r="F40" s="7"/>
      <c r="G40" s="7"/>
      <c r="H40" s="8"/>
      <c r="I40" s="8"/>
      <c r="J40" s="25"/>
      <c r="K40" s="8"/>
      <c r="L40" s="8"/>
      <c r="M40" s="7"/>
      <c r="N40" s="8"/>
      <c r="O40" s="8"/>
      <c r="P40" s="7"/>
      <c r="Q40" s="8"/>
      <c r="R40" s="8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8"/>
      <c r="AE40" s="71"/>
      <c r="AF40" s="7"/>
      <c r="AG40" s="5"/>
    </row>
    <row r="41" spans="1:33" ht="12.75">
      <c r="A41" s="6">
        <v>18323</v>
      </c>
      <c r="B41" s="7">
        <v>23.64</v>
      </c>
      <c r="C41" s="8">
        <f>IF(Tabela1[[#This Row],[Consumer Price Index (CPI)]]="",#N/A,((Tabela1[[#This Row],[Consumer Price Index (CPI)]]*1)/B40)-1)</f>
        <v>1.2706480304955914E-3</v>
      </c>
      <c r="D41" s="8">
        <f>IF(Tabela1[[#This Row],[Consumer Price Index (CPI)]]="",#N/A,((Tabela1[[#This Row],[Consumer Price Index (CPI)]]*1)/B29)-1)</f>
        <v>-1.129234629861986E-2</v>
      </c>
      <c r="E41" s="25"/>
      <c r="F41" s="7"/>
      <c r="G41" s="7"/>
      <c r="H41" s="8"/>
      <c r="I41" s="8"/>
      <c r="J41" s="25"/>
      <c r="K41" s="8"/>
      <c r="L41" s="8"/>
      <c r="M41" s="7"/>
      <c r="N41" s="8"/>
      <c r="O41" s="8"/>
      <c r="P41" s="7"/>
      <c r="Q41" s="8"/>
      <c r="R41" s="8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8"/>
      <c r="AE41" s="71"/>
      <c r="AF41" s="7"/>
      <c r="AG41" s="5"/>
    </row>
    <row r="42" spans="1:33" ht="12.75">
      <c r="A42" s="6">
        <v>18354</v>
      </c>
      <c r="B42" s="7">
        <v>23.65</v>
      </c>
      <c r="C42" s="8">
        <f>IF(Tabela1[[#This Row],[Consumer Price Index (CPI)]]="",#N/A,((Tabela1[[#This Row],[Consumer Price Index (CPI)]]*1)/B41)-1)</f>
        <v>4.2301184433157779E-4</v>
      </c>
      <c r="D42" s="8">
        <f>IF(Tabela1[[#This Row],[Consumer Price Index (CPI)]]="",#N/A,((Tabela1[[#This Row],[Consumer Price Index (CPI)]]*1)/B30)-1)</f>
        <v>-1.1287625418060276E-2</v>
      </c>
      <c r="E42" s="25"/>
      <c r="F42" s="7"/>
      <c r="G42" s="7"/>
      <c r="H42" s="8"/>
      <c r="I42" s="8"/>
      <c r="J42" s="25"/>
      <c r="K42" s="8"/>
      <c r="L42" s="8"/>
      <c r="M42" s="7"/>
      <c r="N42" s="8"/>
      <c r="O42" s="8"/>
      <c r="P42" s="7"/>
      <c r="Q42" s="8"/>
      <c r="R42" s="8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8"/>
      <c r="AE42" s="71"/>
      <c r="AF42" s="7"/>
      <c r="AG42" s="5"/>
    </row>
    <row r="43" spans="1:33" ht="12.75">
      <c r="A43" s="6">
        <v>18384</v>
      </c>
      <c r="B43" s="7">
        <v>23.77</v>
      </c>
      <c r="C43" s="8">
        <f>IF(Tabela1[[#This Row],[Consumer Price Index (CPI)]]="",#N/A,((Tabela1[[#This Row],[Consumer Price Index (CPI)]]*1)/B42)-1)</f>
        <v>5.0739957716703366E-3</v>
      </c>
      <c r="D43" s="8">
        <f>IF(Tabela1[[#This Row],[Consumer Price Index (CPI)]]="",#N/A,((Tabela1[[#This Row],[Consumer Price Index (CPI)]]*1)/B31)-1)</f>
        <v>-5.8552906733584376E-3</v>
      </c>
      <c r="E43" s="25"/>
      <c r="F43" s="7"/>
      <c r="G43" s="7"/>
      <c r="H43" s="8"/>
      <c r="I43" s="8"/>
      <c r="J43" s="25"/>
      <c r="K43" s="8"/>
      <c r="L43" s="8"/>
      <c r="M43" s="7"/>
      <c r="N43" s="8"/>
      <c r="O43" s="8"/>
      <c r="P43" s="7"/>
      <c r="Q43" s="8"/>
      <c r="R43" s="8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8"/>
      <c r="AE43" s="71"/>
      <c r="AF43" s="7"/>
      <c r="AG43" s="5"/>
    </row>
    <row r="44" spans="1:33" ht="12.75">
      <c r="A44" s="6">
        <v>18415</v>
      </c>
      <c r="B44" s="7">
        <v>23.88</v>
      </c>
      <c r="C44" s="8">
        <f>IF(Tabela1[[#This Row],[Consumer Price Index (CPI)]]="",#N/A,((Tabela1[[#This Row],[Consumer Price Index (CPI)]]*1)/B43)-1)</f>
        <v>4.6276819520403301E-3</v>
      </c>
      <c r="D44" s="8">
        <f>IF(Tabela1[[#This Row],[Consumer Price Index (CPI)]]="",#N/A,((Tabela1[[#This Row],[Consumer Price Index (CPI)]]*1)/B32)-1)</f>
        <v>-1.6722408026756952E-3</v>
      </c>
      <c r="E44" s="25"/>
      <c r="F44" s="7"/>
      <c r="G44" s="7"/>
      <c r="H44" s="8"/>
      <c r="I44" s="8"/>
      <c r="J44" s="25"/>
      <c r="K44" s="8"/>
      <c r="L44" s="8"/>
      <c r="M44" s="7"/>
      <c r="N44" s="8"/>
      <c r="O44" s="8"/>
      <c r="P44" s="7"/>
      <c r="Q44" s="8"/>
      <c r="R44" s="8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8"/>
      <c r="AE44" s="71"/>
      <c r="AF44" s="7"/>
      <c r="AG44" s="5"/>
    </row>
    <row r="45" spans="1:33" ht="12.75">
      <c r="A45" s="6">
        <v>18445</v>
      </c>
      <c r="B45" s="7">
        <v>24.07</v>
      </c>
      <c r="C45" s="8">
        <f>IF(Tabela1[[#This Row],[Consumer Price Index (CPI)]]="",#N/A,((Tabela1[[#This Row],[Consumer Price Index (CPI)]]*1)/B44)-1)</f>
        <v>7.9564489112229353E-3</v>
      </c>
      <c r="D45" s="8">
        <f>IF(Tabela1[[#This Row],[Consumer Price Index (CPI)]]="",#N/A,((Tabela1[[#This Row],[Consumer Price Index (CPI)]]*1)/B33)-1)</f>
        <v>1.561181434599157E-2</v>
      </c>
      <c r="E45" s="25"/>
      <c r="F45" s="7"/>
      <c r="G45" s="7"/>
      <c r="H45" s="8"/>
      <c r="I45" s="8"/>
      <c r="J45" s="25"/>
      <c r="K45" s="8"/>
      <c r="L45" s="8"/>
      <c r="M45" s="7"/>
      <c r="N45" s="8"/>
      <c r="O45" s="8"/>
      <c r="P45" s="7"/>
      <c r="Q45" s="8"/>
      <c r="R45" s="8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8"/>
      <c r="AE45" s="71"/>
      <c r="AF45" s="7"/>
      <c r="AG45" s="5"/>
    </row>
    <row r="46" spans="1:33" ht="12.75">
      <c r="A46" s="6">
        <v>18476</v>
      </c>
      <c r="B46" s="7">
        <v>24.2</v>
      </c>
      <c r="C46" s="8">
        <f>IF(Tabela1[[#This Row],[Consumer Price Index (CPI)]]="",#N/A,((Tabela1[[#This Row],[Consumer Price Index (CPI)]]*1)/B45)-1)</f>
        <v>5.4009140008308698E-3</v>
      </c>
      <c r="D46" s="8">
        <f>IF(Tabela1[[#This Row],[Consumer Price Index (CPI)]]="",#N/A,((Tabela1[[#This Row],[Consumer Price Index (CPI)]]*1)/B34)-1)</f>
        <v>2.1097046413502074E-2</v>
      </c>
      <c r="E46" s="25"/>
      <c r="F46" s="7"/>
      <c r="G46" s="7"/>
      <c r="H46" s="8"/>
      <c r="I46" s="8"/>
      <c r="J46" s="25"/>
      <c r="K46" s="8"/>
      <c r="L46" s="8"/>
      <c r="M46" s="7"/>
      <c r="N46" s="8"/>
      <c r="O46" s="8"/>
      <c r="P46" s="7"/>
      <c r="Q46" s="8"/>
      <c r="R46" s="8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8"/>
      <c r="AE46" s="71"/>
      <c r="AF46" s="7"/>
      <c r="AG46" s="5"/>
    </row>
    <row r="47" spans="1:33" ht="12.75">
      <c r="A47" s="6">
        <v>18507</v>
      </c>
      <c r="B47" s="7">
        <v>24.34</v>
      </c>
      <c r="C47" s="8">
        <f>IF(Tabela1[[#This Row],[Consumer Price Index (CPI)]]="",#N/A,((Tabela1[[#This Row],[Consumer Price Index (CPI)]]*1)/B46)-1)</f>
        <v>5.7851239669421961E-3</v>
      </c>
      <c r="D47" s="8">
        <f>IF(Tabela1[[#This Row],[Consumer Price Index (CPI)]]="",#N/A,((Tabela1[[#This Row],[Consumer Price Index (CPI)]]*1)/B35)-1)</f>
        <v>2.4842105263157999E-2</v>
      </c>
      <c r="E47" s="25"/>
      <c r="F47" s="7"/>
      <c r="G47" s="7"/>
      <c r="H47" s="8"/>
      <c r="I47" s="8"/>
      <c r="J47" s="25"/>
      <c r="K47" s="8"/>
      <c r="L47" s="8"/>
      <c r="M47" s="7"/>
      <c r="N47" s="8"/>
      <c r="O47" s="8"/>
      <c r="P47" s="7"/>
      <c r="Q47" s="8"/>
      <c r="R47" s="8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8"/>
      <c r="AE47" s="71"/>
      <c r="AF47" s="7"/>
      <c r="AG47" s="5"/>
    </row>
    <row r="48" spans="1:33" ht="12.75">
      <c r="A48" s="6">
        <v>18537</v>
      </c>
      <c r="B48" s="7">
        <v>24.5</v>
      </c>
      <c r="C48" s="8">
        <f>IF(Tabela1[[#This Row],[Consumer Price Index (CPI)]]="",#N/A,((Tabela1[[#This Row],[Consumer Price Index (CPI)]]*1)/B47)-1)</f>
        <v>6.5735414954806171E-3</v>
      </c>
      <c r="D48" s="8">
        <f>IF(Tabela1[[#This Row],[Consumer Price Index (CPI)]]="",#N/A,((Tabela1[[#This Row],[Consumer Price Index (CPI)]]*1)/B36)-1)</f>
        <v>3.5065483734685099E-2</v>
      </c>
      <c r="E48" s="25"/>
      <c r="F48" s="7"/>
      <c r="G48" s="7"/>
      <c r="H48" s="8"/>
      <c r="I48" s="8"/>
      <c r="J48" s="25"/>
      <c r="K48" s="8"/>
      <c r="L48" s="8"/>
      <c r="M48" s="7"/>
      <c r="N48" s="8"/>
      <c r="O48" s="8"/>
      <c r="P48" s="7"/>
      <c r="Q48" s="8"/>
      <c r="R48" s="8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8"/>
      <c r="AE48" s="71"/>
      <c r="AF48" s="7"/>
      <c r="AG48" s="5"/>
    </row>
    <row r="49" spans="1:33" ht="12.75">
      <c r="A49" s="6">
        <v>18568</v>
      </c>
      <c r="B49" s="7">
        <v>24.6</v>
      </c>
      <c r="C49" s="8">
        <f>IF(Tabela1[[#This Row],[Consumer Price Index (CPI)]]="",#N/A,((Tabela1[[#This Row],[Consumer Price Index (CPI)]]*1)/B48)-1)</f>
        <v>4.0816326530612734E-3</v>
      </c>
      <c r="D49" s="8">
        <f>IF(Tabela1[[#This Row],[Consumer Price Index (CPI)]]="",#N/A,((Tabela1[[#This Row],[Consumer Price Index (CPI)]]*1)/B37)-1)</f>
        <v>3.7974683544303778E-2</v>
      </c>
      <c r="E49" s="25"/>
      <c r="F49" s="7"/>
      <c r="G49" s="7"/>
      <c r="H49" s="8"/>
      <c r="I49" s="8"/>
      <c r="J49" s="25"/>
      <c r="K49" s="8"/>
      <c r="L49" s="8"/>
      <c r="M49" s="7"/>
      <c r="N49" s="8"/>
      <c r="O49" s="8"/>
      <c r="P49" s="7"/>
      <c r="Q49" s="8"/>
      <c r="R49" s="8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8"/>
      <c r="AE49" s="71"/>
      <c r="AF49" s="7"/>
      <c r="AG49" s="5"/>
    </row>
    <row r="50" spans="1:33" ht="12.75">
      <c r="A50" s="6">
        <v>18598</v>
      </c>
      <c r="B50" s="7">
        <v>24.98</v>
      </c>
      <c r="C50" s="8">
        <f>IF(Tabela1[[#This Row],[Consumer Price Index (CPI)]]="",#N/A,((Tabela1[[#This Row],[Consumer Price Index (CPI)]]*1)/B49)-1)</f>
        <v>1.5447154471544655E-2</v>
      </c>
      <c r="D50" s="8">
        <f>IF(Tabela1[[#This Row],[Consumer Price Index (CPI)]]="",#N/A,((Tabela1[[#This Row],[Consumer Price Index (CPI)]]*1)/B38)-1)</f>
        <v>5.8026260059296897E-2</v>
      </c>
      <c r="E50" s="25"/>
      <c r="F50" s="7"/>
      <c r="G50" s="7"/>
      <c r="H50" s="8"/>
      <c r="I50" s="8"/>
      <c r="J50" s="25"/>
      <c r="K50" s="8"/>
      <c r="L50" s="8"/>
      <c r="M50" s="7"/>
      <c r="N50" s="8"/>
      <c r="O50" s="8"/>
      <c r="P50" s="7"/>
      <c r="Q50" s="8"/>
      <c r="R50" s="8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8"/>
      <c r="AE50" s="71"/>
      <c r="AF50" s="7"/>
      <c r="AG50" s="5"/>
    </row>
    <row r="51" spans="1:33" ht="12.75">
      <c r="A51" s="6">
        <v>18629</v>
      </c>
      <c r="B51" s="7">
        <v>25.38</v>
      </c>
      <c r="C51" s="8">
        <f>IF(Tabela1[[#This Row],[Consumer Price Index (CPI)]]="",#N/A,((Tabela1[[#This Row],[Consumer Price Index (CPI)]]*1)/B50)-1)</f>
        <v>1.601281024819845E-2</v>
      </c>
      <c r="D51" s="8">
        <f>IF(Tabela1[[#This Row],[Consumer Price Index (CPI)]]="",#N/A,((Tabela1[[#This Row],[Consumer Price Index (CPI)]]*1)/B39)-1)</f>
        <v>7.9540621012335055E-2</v>
      </c>
      <c r="E51" s="25"/>
      <c r="F51" s="7"/>
      <c r="G51" s="7"/>
      <c r="H51" s="8"/>
      <c r="I51" s="8"/>
      <c r="J51" s="25"/>
      <c r="K51" s="8"/>
      <c r="L51" s="8"/>
      <c r="M51" s="7"/>
      <c r="N51" s="8"/>
      <c r="O51" s="8"/>
      <c r="P51" s="7"/>
      <c r="Q51" s="8"/>
      <c r="R51" s="8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8"/>
      <c r="AE51" s="71"/>
      <c r="AF51" s="7"/>
      <c r="AG51" s="5"/>
    </row>
    <row r="52" spans="1:33" ht="12.75">
      <c r="A52" s="6">
        <v>18660</v>
      </c>
      <c r="B52" s="7">
        <v>25.83</v>
      </c>
      <c r="C52" s="8">
        <f>IF(Tabela1[[#This Row],[Consumer Price Index (CPI)]]="",#N/A,((Tabela1[[#This Row],[Consumer Price Index (CPI)]]*1)/B51)-1)</f>
        <v>1.7730496453900679E-2</v>
      </c>
      <c r="D52" s="8">
        <f>IF(Tabela1[[#This Row],[Consumer Price Index (CPI)]]="",#N/A,((Tabela1[[#This Row],[Consumer Price Index (CPI)]]*1)/B40)-1)</f>
        <v>9.4027954256670876E-2</v>
      </c>
      <c r="E52" s="25"/>
      <c r="F52" s="7"/>
      <c r="G52" s="7"/>
      <c r="H52" s="8"/>
      <c r="I52" s="8"/>
      <c r="J52" s="25"/>
      <c r="K52" s="8"/>
      <c r="L52" s="8"/>
      <c r="M52" s="7"/>
      <c r="N52" s="8"/>
      <c r="O52" s="8"/>
      <c r="P52" s="7"/>
      <c r="Q52" s="8"/>
      <c r="R52" s="8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8"/>
      <c r="AE52" s="71"/>
      <c r="AF52" s="7"/>
      <c r="AG52" s="5"/>
    </row>
    <row r="53" spans="1:33" ht="12.75">
      <c r="A53" s="6">
        <v>18688</v>
      </c>
      <c r="B53" s="7">
        <v>25.88</v>
      </c>
      <c r="C53" s="8">
        <f>IF(Tabela1[[#This Row],[Consumer Price Index (CPI)]]="",#N/A,((Tabela1[[#This Row],[Consumer Price Index (CPI)]]*1)/B52)-1)</f>
        <v>1.9357336430507743E-3</v>
      </c>
      <c r="D53" s="8">
        <f>IF(Tabela1[[#This Row],[Consumer Price Index (CPI)]]="",#N/A,((Tabela1[[#This Row],[Consumer Price Index (CPI)]]*1)/B41)-1)</f>
        <v>9.4754653130287636E-2</v>
      </c>
      <c r="E53" s="25"/>
      <c r="F53" s="7"/>
      <c r="G53" s="7"/>
      <c r="H53" s="8"/>
      <c r="I53" s="8"/>
      <c r="J53" s="25"/>
      <c r="K53" s="8"/>
      <c r="L53" s="8"/>
      <c r="M53" s="7"/>
      <c r="N53" s="8"/>
      <c r="O53" s="8"/>
      <c r="P53" s="7"/>
      <c r="Q53" s="8"/>
      <c r="R53" s="8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8"/>
      <c r="AE53" s="71"/>
      <c r="AF53" s="7"/>
      <c r="AG53" s="5"/>
    </row>
    <row r="54" spans="1:33" ht="12.75">
      <c r="A54" s="6">
        <v>18719</v>
      </c>
      <c r="B54" s="7">
        <v>25.92</v>
      </c>
      <c r="C54" s="8">
        <f>IF(Tabela1[[#This Row],[Consumer Price Index (CPI)]]="",#N/A,((Tabela1[[#This Row],[Consumer Price Index (CPI)]]*1)/B53)-1)</f>
        <v>1.5455950540959051E-3</v>
      </c>
      <c r="D54" s="8">
        <f>IF(Tabela1[[#This Row],[Consumer Price Index (CPI)]]="",#N/A,((Tabela1[[#This Row],[Consumer Price Index (CPI)]]*1)/B42)-1)</f>
        <v>9.5983086680761165E-2</v>
      </c>
      <c r="E54" s="25"/>
      <c r="F54" s="7"/>
      <c r="G54" s="7"/>
      <c r="H54" s="8"/>
      <c r="I54" s="8"/>
      <c r="J54" s="25"/>
      <c r="K54" s="8"/>
      <c r="L54" s="8"/>
      <c r="M54" s="7"/>
      <c r="N54" s="8"/>
      <c r="O54" s="8"/>
      <c r="P54" s="7"/>
      <c r="Q54" s="8"/>
      <c r="R54" s="8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8"/>
      <c r="AE54" s="71"/>
      <c r="AF54" s="7"/>
      <c r="AG54" s="5"/>
    </row>
    <row r="55" spans="1:33" ht="12.75">
      <c r="A55" s="6">
        <v>18749</v>
      </c>
      <c r="B55" s="7">
        <v>25.99</v>
      </c>
      <c r="C55" s="8">
        <f>IF(Tabela1[[#This Row],[Consumer Price Index (CPI)]]="",#N/A,((Tabela1[[#This Row],[Consumer Price Index (CPI)]]*1)/B54)-1)</f>
        <v>2.700617283950546E-3</v>
      </c>
      <c r="D55" s="8">
        <f>IF(Tabela1[[#This Row],[Consumer Price Index (CPI)]]="",#N/A,((Tabela1[[#This Row],[Consumer Price Index (CPI)]]*1)/B43)-1)</f>
        <v>9.3395035759360479E-2</v>
      </c>
      <c r="E55" s="25"/>
      <c r="F55" s="7"/>
      <c r="G55" s="7"/>
      <c r="H55" s="8"/>
      <c r="I55" s="8"/>
      <c r="J55" s="25"/>
      <c r="K55" s="8"/>
      <c r="L55" s="8"/>
      <c r="M55" s="7"/>
      <c r="N55" s="8"/>
      <c r="O55" s="8"/>
      <c r="P55" s="7"/>
      <c r="Q55" s="8"/>
      <c r="R55" s="8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8"/>
      <c r="AE55" s="71"/>
      <c r="AF55" s="7"/>
      <c r="AG55" s="5"/>
    </row>
    <row r="56" spans="1:33" ht="12.75">
      <c r="A56" s="6">
        <v>18780</v>
      </c>
      <c r="B56" s="7">
        <v>25.93</v>
      </c>
      <c r="C56" s="8">
        <f>IF(Tabela1[[#This Row],[Consumer Price Index (CPI)]]="",#N/A,((Tabela1[[#This Row],[Consumer Price Index (CPI)]]*1)/B55)-1)</f>
        <v>-2.3085802231627151E-3</v>
      </c>
      <c r="D56" s="8">
        <f>IF(Tabela1[[#This Row],[Consumer Price Index (CPI)]]="",#N/A,((Tabela1[[#This Row],[Consumer Price Index (CPI)]]*1)/B44)-1)</f>
        <v>8.5845896147403788E-2</v>
      </c>
      <c r="E56" s="25"/>
      <c r="F56" s="7"/>
      <c r="G56" s="7"/>
      <c r="H56" s="8"/>
      <c r="I56" s="8"/>
      <c r="J56" s="25"/>
      <c r="K56" s="8"/>
      <c r="L56" s="8"/>
      <c r="M56" s="7"/>
      <c r="N56" s="8"/>
      <c r="O56" s="8"/>
      <c r="P56" s="7"/>
      <c r="Q56" s="8"/>
      <c r="R56" s="8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8"/>
      <c r="AE56" s="71"/>
      <c r="AF56" s="7"/>
      <c r="AG56" s="5"/>
    </row>
    <row r="57" spans="1:33" ht="12.75">
      <c r="A57" s="6">
        <v>18810</v>
      </c>
      <c r="B57" s="7">
        <v>25.91</v>
      </c>
      <c r="C57" s="8">
        <f>IF(Tabela1[[#This Row],[Consumer Price Index (CPI)]]="",#N/A,((Tabela1[[#This Row],[Consumer Price Index (CPI)]]*1)/B56)-1)</f>
        <v>-7.7130736598529648E-4</v>
      </c>
      <c r="D57" s="8">
        <f>IF(Tabela1[[#This Row],[Consumer Price Index (CPI)]]="",#N/A,((Tabela1[[#This Row],[Consumer Price Index (CPI)]]*1)/B45)-1)</f>
        <v>7.6443705857914379E-2</v>
      </c>
      <c r="E57" s="25"/>
      <c r="F57" s="7"/>
      <c r="G57" s="7"/>
      <c r="H57" s="8"/>
      <c r="I57" s="8"/>
      <c r="J57" s="25"/>
      <c r="K57" s="8"/>
      <c r="L57" s="8"/>
      <c r="M57" s="7"/>
      <c r="N57" s="8"/>
      <c r="O57" s="8"/>
      <c r="P57" s="7"/>
      <c r="Q57" s="8"/>
      <c r="R57" s="8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8"/>
      <c r="AE57" s="71"/>
      <c r="AF57" s="7"/>
      <c r="AG57" s="5"/>
    </row>
    <row r="58" spans="1:33" ht="12.75">
      <c r="A58" s="6">
        <v>18841</v>
      </c>
      <c r="B58" s="7">
        <v>25.86</v>
      </c>
      <c r="C58" s="8">
        <f>IF(Tabela1[[#This Row],[Consumer Price Index (CPI)]]="",#N/A,((Tabela1[[#This Row],[Consumer Price Index (CPI)]]*1)/B57)-1)</f>
        <v>-1.9297568506368989E-3</v>
      </c>
      <c r="D58" s="8">
        <f>IF(Tabela1[[#This Row],[Consumer Price Index (CPI)]]="",#N/A,((Tabela1[[#This Row],[Consumer Price Index (CPI)]]*1)/B46)-1)</f>
        <v>6.8595041322313977E-2</v>
      </c>
      <c r="E58" s="25"/>
      <c r="F58" s="7"/>
      <c r="G58" s="7"/>
      <c r="H58" s="8"/>
      <c r="I58" s="8"/>
      <c r="J58" s="25"/>
      <c r="K58" s="8"/>
      <c r="L58" s="8"/>
      <c r="M58" s="7"/>
      <c r="N58" s="8"/>
      <c r="O58" s="8"/>
      <c r="P58" s="7"/>
      <c r="Q58" s="8"/>
      <c r="R58" s="8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8"/>
      <c r="AE58" s="71"/>
      <c r="AF58" s="7"/>
      <c r="AG58" s="5"/>
    </row>
    <row r="59" spans="1:33" ht="12.75">
      <c r="A59" s="6">
        <v>18872</v>
      </c>
      <c r="B59" s="7">
        <v>26.03</v>
      </c>
      <c r="C59" s="8">
        <f>IF(Tabela1[[#This Row],[Consumer Price Index (CPI)]]="",#N/A,((Tabela1[[#This Row],[Consumer Price Index (CPI)]]*1)/B58)-1)</f>
        <v>6.573859242072766E-3</v>
      </c>
      <c r="D59" s="8">
        <f>IF(Tabela1[[#This Row],[Consumer Price Index (CPI)]]="",#N/A,((Tabela1[[#This Row],[Consumer Price Index (CPI)]]*1)/B47)-1)</f>
        <v>6.9433032046014809E-2</v>
      </c>
      <c r="E59" s="25"/>
      <c r="F59" s="7"/>
      <c r="G59" s="7"/>
      <c r="H59" s="8"/>
      <c r="I59" s="8"/>
      <c r="J59" s="25"/>
      <c r="K59" s="8"/>
      <c r="L59" s="8"/>
      <c r="M59" s="7"/>
      <c r="N59" s="8"/>
      <c r="O59" s="8"/>
      <c r="P59" s="7"/>
      <c r="Q59" s="8"/>
      <c r="R59" s="8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8"/>
      <c r="AE59" s="71"/>
      <c r="AF59" s="7"/>
      <c r="AG59" s="5"/>
    </row>
    <row r="60" spans="1:33" ht="12.75">
      <c r="A60" s="6">
        <v>18902</v>
      </c>
      <c r="B60" s="7">
        <v>26.16</v>
      </c>
      <c r="C60" s="8">
        <f>IF(Tabela1[[#This Row],[Consumer Price Index (CPI)]]="",#N/A,((Tabela1[[#This Row],[Consumer Price Index (CPI)]]*1)/B59)-1)</f>
        <v>4.9942374183633564E-3</v>
      </c>
      <c r="D60" s="8">
        <f>IF(Tabela1[[#This Row],[Consumer Price Index (CPI)]]="",#N/A,((Tabela1[[#This Row],[Consumer Price Index (CPI)]]*1)/B48)-1)</f>
        <v>6.7755102040816251E-2</v>
      </c>
      <c r="E60" s="25"/>
      <c r="F60" s="7"/>
      <c r="G60" s="7"/>
      <c r="H60" s="8"/>
      <c r="I60" s="8"/>
      <c r="J60" s="25"/>
      <c r="K60" s="8"/>
      <c r="L60" s="8"/>
      <c r="M60" s="7"/>
      <c r="N60" s="8"/>
      <c r="O60" s="8"/>
      <c r="P60" s="7"/>
      <c r="Q60" s="8"/>
      <c r="R60" s="8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8"/>
      <c r="AE60" s="71"/>
      <c r="AF60" s="7"/>
      <c r="AG60" s="5"/>
    </row>
    <row r="61" spans="1:33" ht="12.75">
      <c r="A61" s="6">
        <v>18933</v>
      </c>
      <c r="B61" s="7">
        <v>26.32</v>
      </c>
      <c r="C61" s="8">
        <f>IF(Tabela1[[#This Row],[Consumer Price Index (CPI)]]="",#N/A,((Tabela1[[#This Row],[Consumer Price Index (CPI)]]*1)/B60)-1)</f>
        <v>6.1162079510703737E-3</v>
      </c>
      <c r="D61" s="8">
        <f>IF(Tabela1[[#This Row],[Consumer Price Index (CPI)]]="",#N/A,((Tabela1[[#This Row],[Consumer Price Index (CPI)]]*1)/B49)-1)</f>
        <v>6.9918699186991784E-2</v>
      </c>
      <c r="E61" s="25"/>
      <c r="F61" s="7"/>
      <c r="G61" s="7"/>
      <c r="H61" s="8"/>
      <c r="I61" s="8"/>
      <c r="J61" s="25"/>
      <c r="K61" s="8"/>
      <c r="L61" s="8"/>
      <c r="M61" s="7"/>
      <c r="N61" s="8"/>
      <c r="O61" s="8"/>
      <c r="P61" s="7"/>
      <c r="Q61" s="8"/>
      <c r="R61" s="8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8"/>
      <c r="AE61" s="71"/>
      <c r="AF61" s="7"/>
      <c r="AG61" s="5"/>
    </row>
    <row r="62" spans="1:33" ht="12.75">
      <c r="A62" s="6">
        <v>18963</v>
      </c>
      <c r="B62" s="7">
        <v>26.47</v>
      </c>
      <c r="C62" s="8">
        <f>IF(Tabela1[[#This Row],[Consumer Price Index (CPI)]]="",#N/A,((Tabela1[[#This Row],[Consumer Price Index (CPI)]]*1)/B61)-1)</f>
        <v>5.6990881458967024E-3</v>
      </c>
      <c r="D62" s="8">
        <f>IF(Tabela1[[#This Row],[Consumer Price Index (CPI)]]="",#N/A,((Tabela1[[#This Row],[Consumer Price Index (CPI)]]*1)/B50)-1)</f>
        <v>5.9647718174539621E-2</v>
      </c>
      <c r="E62" s="25"/>
      <c r="F62" s="7"/>
      <c r="G62" s="7"/>
      <c r="H62" s="8"/>
      <c r="I62" s="8"/>
      <c r="J62" s="25"/>
      <c r="K62" s="8"/>
      <c r="L62" s="8"/>
      <c r="M62" s="7"/>
      <c r="N62" s="8"/>
      <c r="O62" s="8"/>
      <c r="P62" s="7"/>
      <c r="Q62" s="8"/>
      <c r="R62" s="8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8"/>
      <c r="AE62" s="71"/>
      <c r="AF62" s="7"/>
      <c r="AG62" s="5"/>
    </row>
    <row r="63" spans="1:33" ht="12.75">
      <c r="A63" s="6">
        <v>18994</v>
      </c>
      <c r="B63" s="7">
        <v>26.45</v>
      </c>
      <c r="C63" s="8">
        <f>IF(Tabela1[[#This Row],[Consumer Price Index (CPI)]]="",#N/A,((Tabela1[[#This Row],[Consumer Price Index (CPI)]]*1)/B62)-1)</f>
        <v>-7.5557234605216905E-4</v>
      </c>
      <c r="D63" s="8">
        <f>IF(Tabela1[[#This Row],[Consumer Price Index (CPI)]]="",#N/A,((Tabela1[[#This Row],[Consumer Price Index (CPI)]]*1)/B51)-1)</f>
        <v>4.2159180457052914E-2</v>
      </c>
      <c r="E63" s="25"/>
      <c r="F63" s="7"/>
      <c r="G63" s="7"/>
      <c r="H63" s="8"/>
      <c r="I63" s="8"/>
      <c r="J63" s="25"/>
      <c r="K63" s="8"/>
      <c r="L63" s="8"/>
      <c r="M63" s="7"/>
      <c r="N63" s="8"/>
      <c r="O63" s="8"/>
      <c r="P63" s="7"/>
      <c r="Q63" s="8"/>
      <c r="R63" s="8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8"/>
      <c r="AE63" s="71"/>
      <c r="AF63" s="7"/>
      <c r="AG63" s="5"/>
    </row>
    <row r="64" spans="1:33" ht="12.75">
      <c r="A64" s="6">
        <v>19025</v>
      </c>
      <c r="B64" s="7">
        <v>26.41</v>
      </c>
      <c r="C64" s="8">
        <f>IF(Tabela1[[#This Row],[Consumer Price Index (CPI)]]="",#N/A,((Tabela1[[#This Row],[Consumer Price Index (CPI)]]*1)/B63)-1)</f>
        <v>-1.5122873345935206E-3</v>
      </c>
      <c r="D64" s="8">
        <f>IF(Tabela1[[#This Row],[Consumer Price Index (CPI)]]="",#N/A,((Tabela1[[#This Row],[Consumer Price Index (CPI)]]*1)/B52)-1)</f>
        <v>2.2454510259388272E-2</v>
      </c>
      <c r="E64" s="25"/>
      <c r="F64" s="7"/>
      <c r="G64" s="7"/>
      <c r="H64" s="8"/>
      <c r="I64" s="8"/>
      <c r="J64" s="25"/>
      <c r="K64" s="8"/>
      <c r="L64" s="8"/>
      <c r="M64" s="7"/>
      <c r="N64" s="8"/>
      <c r="O64" s="8"/>
      <c r="P64" s="7"/>
      <c r="Q64" s="8"/>
      <c r="R64" s="8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8"/>
      <c r="AE64" s="71"/>
      <c r="AF64" s="7"/>
      <c r="AG64" s="5"/>
    </row>
    <row r="65" spans="1:33" ht="12.75">
      <c r="A65" s="6">
        <v>19054</v>
      </c>
      <c r="B65" s="7">
        <v>26.39</v>
      </c>
      <c r="C65" s="8">
        <f>IF(Tabela1[[#This Row],[Consumer Price Index (CPI)]]="",#N/A,((Tabela1[[#This Row],[Consumer Price Index (CPI)]]*1)/B64)-1)</f>
        <v>-7.572889057174681E-4</v>
      </c>
      <c r="D65" s="8">
        <f>IF(Tabela1[[#This Row],[Consumer Price Index (CPI)]]="",#N/A,((Tabela1[[#This Row],[Consumer Price Index (CPI)]]*1)/B53)-1)</f>
        <v>1.9706336939721902E-2</v>
      </c>
      <c r="E65" s="25"/>
      <c r="F65" s="7"/>
      <c r="G65" s="7"/>
      <c r="H65" s="8"/>
      <c r="I65" s="8"/>
      <c r="J65" s="25"/>
      <c r="K65" s="8"/>
      <c r="L65" s="8"/>
      <c r="M65" s="7"/>
      <c r="N65" s="8"/>
      <c r="O65" s="8"/>
      <c r="P65" s="7"/>
      <c r="Q65" s="8"/>
      <c r="R65" s="8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8"/>
      <c r="AE65" s="71"/>
      <c r="AF65" s="7"/>
      <c r="AG65" s="5"/>
    </row>
    <row r="66" spans="1:33" ht="12.75">
      <c r="A66" s="6">
        <v>19085</v>
      </c>
      <c r="B66" s="7">
        <v>26.46</v>
      </c>
      <c r="C66" s="8">
        <f>IF(Tabela1[[#This Row],[Consumer Price Index (CPI)]]="",#N/A,((Tabela1[[#This Row],[Consumer Price Index (CPI)]]*1)/B65)-1)</f>
        <v>2.6525198938991412E-3</v>
      </c>
      <c r="D66" s="8">
        <f>IF(Tabela1[[#This Row],[Consumer Price Index (CPI)]]="",#N/A,((Tabela1[[#This Row],[Consumer Price Index (CPI)]]*1)/B54)-1)</f>
        <v>2.0833333333333259E-2</v>
      </c>
      <c r="E66" s="25"/>
      <c r="F66" s="7"/>
      <c r="G66" s="7"/>
      <c r="H66" s="8"/>
      <c r="I66" s="8"/>
      <c r="J66" s="25"/>
      <c r="K66" s="8"/>
      <c r="L66" s="8"/>
      <c r="M66" s="7"/>
      <c r="N66" s="8"/>
      <c r="O66" s="8"/>
      <c r="P66" s="7"/>
      <c r="Q66" s="8"/>
      <c r="R66" s="8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8"/>
      <c r="AE66" s="71"/>
      <c r="AF66" s="7"/>
      <c r="AG66" s="5"/>
    </row>
    <row r="67" spans="1:33" ht="12.75">
      <c r="A67" s="6">
        <v>19115</v>
      </c>
      <c r="B67" s="7">
        <v>26.47</v>
      </c>
      <c r="C67" s="8">
        <f>IF(Tabela1[[#This Row],[Consumer Price Index (CPI)]]="",#N/A,((Tabela1[[#This Row],[Consumer Price Index (CPI)]]*1)/B66)-1)</f>
        <v>3.7792894935750887E-4</v>
      </c>
      <c r="D67" s="8">
        <f>IF(Tabela1[[#This Row],[Consumer Price Index (CPI)]]="",#N/A,((Tabela1[[#This Row],[Consumer Price Index (CPI)]]*1)/B55)-1)</f>
        <v>1.8468641785302164E-2</v>
      </c>
      <c r="E67" s="25"/>
      <c r="F67" s="7"/>
      <c r="G67" s="7"/>
      <c r="H67" s="8"/>
      <c r="I67" s="8"/>
      <c r="J67" s="25"/>
      <c r="K67" s="8"/>
      <c r="L67" s="8"/>
      <c r="M67" s="7"/>
      <c r="N67" s="8"/>
      <c r="O67" s="8"/>
      <c r="P67" s="7"/>
      <c r="Q67" s="8"/>
      <c r="R67" s="8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8"/>
      <c r="AE67" s="71"/>
      <c r="AF67" s="7"/>
      <c r="AG67" s="5"/>
    </row>
    <row r="68" spans="1:33" ht="12.75">
      <c r="A68" s="6">
        <v>19146</v>
      </c>
      <c r="B68" s="7">
        <v>26.53</v>
      </c>
      <c r="C68" s="8">
        <f>IF(Tabela1[[#This Row],[Consumer Price Index (CPI)]]="",#N/A,((Tabela1[[#This Row],[Consumer Price Index (CPI)]]*1)/B67)-1)</f>
        <v>2.2667170381565072E-3</v>
      </c>
      <c r="D68" s="8">
        <f>IF(Tabela1[[#This Row],[Consumer Price Index (CPI)]]="",#N/A,((Tabela1[[#This Row],[Consumer Price Index (CPI)]]*1)/B56)-1)</f>
        <v>2.3139220979560449E-2</v>
      </c>
      <c r="E68" s="25"/>
      <c r="F68" s="7"/>
      <c r="G68" s="7"/>
      <c r="H68" s="8"/>
      <c r="I68" s="8"/>
      <c r="J68" s="25"/>
      <c r="K68" s="8"/>
      <c r="L68" s="8"/>
      <c r="M68" s="7"/>
      <c r="N68" s="8"/>
      <c r="O68" s="8"/>
      <c r="P68" s="7"/>
      <c r="Q68" s="8"/>
      <c r="R68" s="8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8"/>
      <c r="AE68" s="71"/>
      <c r="AF68" s="7"/>
      <c r="AG68" s="5"/>
    </row>
    <row r="69" spans="1:33" ht="12.75">
      <c r="A69" s="6">
        <v>19176</v>
      </c>
      <c r="B69" s="7">
        <v>26.68</v>
      </c>
      <c r="C69" s="8">
        <f>IF(Tabela1[[#This Row],[Consumer Price Index (CPI)]]="",#N/A,((Tabela1[[#This Row],[Consumer Price Index (CPI)]]*1)/B68)-1)</f>
        <v>5.6539766302299288E-3</v>
      </c>
      <c r="D69" s="8">
        <f>IF(Tabela1[[#This Row],[Consumer Price Index (CPI)]]="",#N/A,((Tabela1[[#This Row],[Consumer Price Index (CPI)]]*1)/B57)-1)</f>
        <v>2.9718255499807E-2</v>
      </c>
      <c r="E69" s="25"/>
      <c r="F69" s="7"/>
      <c r="G69" s="7"/>
      <c r="H69" s="8"/>
      <c r="I69" s="8"/>
      <c r="J69" s="25"/>
      <c r="K69" s="8"/>
      <c r="L69" s="8"/>
      <c r="M69" s="7"/>
      <c r="N69" s="8"/>
      <c r="O69" s="8"/>
      <c r="P69" s="7"/>
      <c r="Q69" s="8"/>
      <c r="R69" s="8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8"/>
      <c r="AE69" s="71"/>
      <c r="AF69" s="7"/>
      <c r="AG69" s="5"/>
    </row>
    <row r="70" spans="1:33" ht="12.75">
      <c r="A70" s="6">
        <v>19207</v>
      </c>
      <c r="B70" s="7">
        <v>26.69</v>
      </c>
      <c r="C70" s="8">
        <f>IF(Tabela1[[#This Row],[Consumer Price Index (CPI)]]="",#N/A,((Tabela1[[#This Row],[Consumer Price Index (CPI)]]*1)/B69)-1)</f>
        <v>3.7481259370331088E-4</v>
      </c>
      <c r="D70" s="8">
        <f>IF(Tabela1[[#This Row],[Consumer Price Index (CPI)]]="",#N/A,((Tabela1[[#This Row],[Consumer Price Index (CPI)]]*1)/B58)-1)</f>
        <v>3.2095901005413818E-2</v>
      </c>
      <c r="E70" s="25"/>
      <c r="F70" s="7"/>
      <c r="G70" s="7"/>
      <c r="H70" s="8"/>
      <c r="I70" s="8"/>
      <c r="J70" s="25"/>
      <c r="K70" s="8"/>
      <c r="L70" s="8"/>
      <c r="M70" s="7"/>
      <c r="N70" s="8"/>
      <c r="O70" s="8"/>
      <c r="P70" s="7"/>
      <c r="Q70" s="8"/>
      <c r="R70" s="8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8"/>
      <c r="AE70" s="71"/>
      <c r="AF70" s="7"/>
      <c r="AG70" s="5"/>
    </row>
    <row r="71" spans="1:33" ht="12.75">
      <c r="A71" s="6">
        <v>19238</v>
      </c>
      <c r="B71" s="7">
        <v>26.63</v>
      </c>
      <c r="C71" s="8">
        <f>IF(Tabela1[[#This Row],[Consumer Price Index (CPI)]]="",#N/A,((Tabela1[[#This Row],[Consumer Price Index (CPI)]]*1)/B70)-1)</f>
        <v>-2.2480329711502822E-3</v>
      </c>
      <c r="D71" s="8">
        <f>IF(Tabela1[[#This Row],[Consumer Price Index (CPI)]]="",#N/A,((Tabela1[[#This Row],[Consumer Price Index (CPI)]]*1)/B59)-1)</f>
        <v>2.3050326546292688E-2</v>
      </c>
      <c r="E71" s="25"/>
      <c r="F71" s="7"/>
      <c r="G71" s="7"/>
      <c r="H71" s="8"/>
      <c r="I71" s="8"/>
      <c r="J71" s="25"/>
      <c r="K71" s="8"/>
      <c r="L71" s="8"/>
      <c r="M71" s="7"/>
      <c r="N71" s="8"/>
      <c r="O71" s="8"/>
      <c r="P71" s="7"/>
      <c r="Q71" s="8"/>
      <c r="R71" s="8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8"/>
      <c r="AE71" s="71"/>
      <c r="AF71" s="7"/>
      <c r="AG71" s="5"/>
    </row>
    <row r="72" spans="1:33" ht="12.75">
      <c r="A72" s="6">
        <v>19268</v>
      </c>
      <c r="B72" s="7">
        <v>26.69</v>
      </c>
      <c r="C72" s="8">
        <f>IF(Tabela1[[#This Row],[Consumer Price Index (CPI)]]="",#N/A,((Tabela1[[#This Row],[Consumer Price Index (CPI)]]*1)/B71)-1)</f>
        <v>2.2530980097634767E-3</v>
      </c>
      <c r="D72" s="8">
        <f>IF(Tabela1[[#This Row],[Consumer Price Index (CPI)]]="",#N/A,((Tabela1[[#This Row],[Consumer Price Index (CPI)]]*1)/B60)-1)</f>
        <v>2.0259938837920544E-2</v>
      </c>
      <c r="E72" s="25"/>
      <c r="F72" s="7"/>
      <c r="G72" s="7"/>
      <c r="H72" s="8"/>
      <c r="I72" s="8"/>
      <c r="J72" s="25"/>
      <c r="K72" s="8"/>
      <c r="L72" s="8"/>
      <c r="M72" s="7"/>
      <c r="N72" s="8"/>
      <c r="O72" s="8"/>
      <c r="P72" s="7"/>
      <c r="Q72" s="8"/>
      <c r="R72" s="8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8"/>
      <c r="AE72" s="71"/>
      <c r="AF72" s="7"/>
      <c r="AG72" s="5"/>
    </row>
    <row r="73" spans="1:33" ht="12.75">
      <c r="A73" s="6">
        <v>19299</v>
      </c>
      <c r="B73" s="7">
        <v>26.69</v>
      </c>
      <c r="C73" s="8">
        <f>IF(Tabela1[[#This Row],[Consumer Price Index (CPI)]]="",#N/A,((Tabela1[[#This Row],[Consumer Price Index (CPI)]]*1)/B72)-1)</f>
        <v>0</v>
      </c>
      <c r="D73" s="8">
        <f>IF(Tabela1[[#This Row],[Consumer Price Index (CPI)]]="",#N/A,((Tabela1[[#This Row],[Consumer Price Index (CPI)]]*1)/B61)-1)</f>
        <v>1.4057750759878473E-2</v>
      </c>
      <c r="E73" s="25"/>
      <c r="F73" s="7"/>
      <c r="G73" s="7"/>
      <c r="H73" s="8"/>
      <c r="I73" s="8"/>
      <c r="J73" s="25"/>
      <c r="K73" s="8"/>
      <c r="L73" s="8"/>
      <c r="M73" s="7"/>
      <c r="N73" s="8"/>
      <c r="O73" s="8"/>
      <c r="P73" s="7"/>
      <c r="Q73" s="8"/>
      <c r="R73" s="8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8"/>
      <c r="AE73" s="71"/>
      <c r="AF73" s="7"/>
      <c r="AG73" s="5"/>
    </row>
    <row r="74" spans="1:33" ht="12.75">
      <c r="A74" s="6">
        <v>19329</v>
      </c>
      <c r="B74" s="7">
        <v>26.71</v>
      </c>
      <c r="C74" s="8">
        <f>IF(Tabela1[[#This Row],[Consumer Price Index (CPI)]]="",#N/A,((Tabela1[[#This Row],[Consumer Price Index (CPI)]]*1)/B73)-1)</f>
        <v>7.4934432371676074E-4</v>
      </c>
      <c r="D74" s="8">
        <f>IF(Tabela1[[#This Row],[Consumer Price Index (CPI)]]="",#N/A,((Tabela1[[#This Row],[Consumer Price Index (CPI)]]*1)/B62)-1)</f>
        <v>9.0668681526255845E-3</v>
      </c>
      <c r="E74" s="25"/>
      <c r="F74" s="7"/>
      <c r="G74" s="7"/>
      <c r="H74" s="8"/>
      <c r="I74" s="8"/>
      <c r="J74" s="25"/>
      <c r="K74" s="8"/>
      <c r="L74" s="8"/>
      <c r="M74" s="7"/>
      <c r="N74" s="8"/>
      <c r="O74" s="8"/>
      <c r="P74" s="7"/>
      <c r="Q74" s="8"/>
      <c r="R74" s="8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8"/>
      <c r="AE74" s="71"/>
      <c r="AF74" s="7"/>
      <c r="AG74" s="5"/>
    </row>
    <row r="75" spans="1:33" ht="12.75">
      <c r="A75" s="6">
        <v>19360</v>
      </c>
      <c r="B75" s="7">
        <v>26.64</v>
      </c>
      <c r="C75" s="8">
        <f>IF(Tabela1[[#This Row],[Consumer Price Index (CPI)]]="",#N/A,((Tabela1[[#This Row],[Consumer Price Index (CPI)]]*1)/B74)-1)</f>
        <v>-2.6207412953950238E-3</v>
      </c>
      <c r="D75" s="8">
        <f>IF(Tabela1[[#This Row],[Consumer Price Index (CPI)]]="",#N/A,((Tabela1[[#This Row],[Consumer Price Index (CPI)]]*1)/B63)-1)</f>
        <v>7.1833648393195837E-3</v>
      </c>
      <c r="E75" s="25"/>
      <c r="F75" s="7"/>
      <c r="G75" s="7"/>
      <c r="H75" s="8"/>
      <c r="I75" s="8"/>
      <c r="J75" s="25"/>
      <c r="K75" s="8"/>
      <c r="L75" s="8"/>
      <c r="M75" s="7"/>
      <c r="N75" s="8"/>
      <c r="O75" s="8"/>
      <c r="P75" s="7"/>
      <c r="Q75" s="8"/>
      <c r="R75" s="8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8"/>
      <c r="AE75" s="71"/>
      <c r="AF75" s="7"/>
      <c r="AG75" s="5"/>
    </row>
    <row r="76" spans="1:33" ht="12.75">
      <c r="A76" s="6">
        <v>19391</v>
      </c>
      <c r="B76" s="7">
        <v>26.59</v>
      </c>
      <c r="C76" s="8">
        <f>IF(Tabela1[[#This Row],[Consumer Price Index (CPI)]]="",#N/A,((Tabela1[[#This Row],[Consumer Price Index (CPI)]]*1)/B75)-1)</f>
        <v>-1.8768768768768762E-3</v>
      </c>
      <c r="D76" s="8">
        <f>IF(Tabela1[[#This Row],[Consumer Price Index (CPI)]]="",#N/A,((Tabela1[[#This Row],[Consumer Price Index (CPI)]]*1)/B64)-1)</f>
        <v>6.815600151457879E-3</v>
      </c>
      <c r="E76" s="25"/>
      <c r="F76" s="7"/>
      <c r="G76" s="7"/>
      <c r="H76" s="8"/>
      <c r="I76" s="8"/>
      <c r="J76" s="25"/>
      <c r="K76" s="8"/>
      <c r="L76" s="8"/>
      <c r="M76" s="7"/>
      <c r="N76" s="8"/>
      <c r="O76" s="8"/>
      <c r="P76" s="7"/>
      <c r="Q76" s="8"/>
      <c r="R76" s="8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8"/>
      <c r="AE76" s="71"/>
      <c r="AF76" s="7"/>
      <c r="AG76" s="5"/>
    </row>
    <row r="77" spans="1:33" ht="12.75">
      <c r="A77" s="6">
        <v>19419</v>
      </c>
      <c r="B77" s="7">
        <v>26.63</v>
      </c>
      <c r="C77" s="8">
        <f>IF(Tabela1[[#This Row],[Consumer Price Index (CPI)]]="",#N/A,((Tabela1[[#This Row],[Consumer Price Index (CPI)]]*1)/B76)-1)</f>
        <v>1.5043249341857301E-3</v>
      </c>
      <c r="D77" s="8">
        <f>IF(Tabela1[[#This Row],[Consumer Price Index (CPI)]]="",#N/A,((Tabela1[[#This Row],[Consumer Price Index (CPI)]]*1)/B65)-1)</f>
        <v>9.0943539219401348E-3</v>
      </c>
      <c r="E77" s="25"/>
      <c r="F77" s="7"/>
      <c r="G77" s="7"/>
      <c r="H77" s="8"/>
      <c r="I77" s="8"/>
      <c r="J77" s="25"/>
      <c r="K77" s="8"/>
      <c r="L77" s="8"/>
      <c r="M77" s="7"/>
      <c r="N77" s="8"/>
      <c r="O77" s="8"/>
      <c r="P77" s="7"/>
      <c r="Q77" s="8"/>
      <c r="R77" s="8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8"/>
      <c r="AE77" s="71"/>
      <c r="AF77" s="7"/>
      <c r="AG77" s="5"/>
    </row>
    <row r="78" spans="1:33" ht="12.75">
      <c r="A78" s="6">
        <v>19450</v>
      </c>
      <c r="B78" s="7">
        <v>26.69</v>
      </c>
      <c r="C78" s="8">
        <f>IF(Tabela1[[#This Row],[Consumer Price Index (CPI)]]="",#N/A,((Tabela1[[#This Row],[Consumer Price Index (CPI)]]*1)/B77)-1)</f>
        <v>2.2530980097634767E-3</v>
      </c>
      <c r="D78" s="8">
        <f>IF(Tabela1[[#This Row],[Consumer Price Index (CPI)]]="",#N/A,((Tabela1[[#This Row],[Consumer Price Index (CPI)]]*1)/B66)-1)</f>
        <v>8.6923658352229261E-3</v>
      </c>
      <c r="E78" s="25"/>
      <c r="F78" s="7"/>
      <c r="G78" s="7"/>
      <c r="H78" s="8"/>
      <c r="I78" s="8"/>
      <c r="J78" s="25"/>
      <c r="K78" s="8"/>
      <c r="L78" s="8"/>
      <c r="M78" s="7"/>
      <c r="N78" s="8"/>
      <c r="O78" s="8"/>
      <c r="P78" s="7"/>
      <c r="Q78" s="8"/>
      <c r="R78" s="8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8"/>
      <c r="AE78" s="71"/>
      <c r="AF78" s="7"/>
      <c r="AG78" s="5"/>
    </row>
    <row r="79" spans="1:33" ht="12.75">
      <c r="A79" s="6">
        <v>19480</v>
      </c>
      <c r="B79" s="7">
        <v>26.7</v>
      </c>
      <c r="C79" s="8">
        <f>IF(Tabela1[[#This Row],[Consumer Price Index (CPI)]]="",#N/A,((Tabela1[[#This Row],[Consumer Price Index (CPI)]]*1)/B78)-1)</f>
        <v>3.7467216185826935E-4</v>
      </c>
      <c r="D79" s="8">
        <f>IF(Tabela1[[#This Row],[Consumer Price Index (CPI)]]="",#N/A,((Tabela1[[#This Row],[Consumer Price Index (CPI)]]*1)/B67)-1)</f>
        <v>8.6890819795995E-3</v>
      </c>
      <c r="E79" s="25"/>
      <c r="F79" s="7"/>
      <c r="G79" s="7"/>
      <c r="H79" s="8"/>
      <c r="I79" s="8"/>
      <c r="J79" s="25"/>
      <c r="K79" s="8"/>
      <c r="L79" s="8"/>
      <c r="M79" s="7"/>
      <c r="N79" s="8"/>
      <c r="O79" s="8"/>
      <c r="P79" s="7"/>
      <c r="Q79" s="8"/>
      <c r="R79" s="8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8"/>
      <c r="AE79" s="71"/>
      <c r="AF79" s="7"/>
      <c r="AG79" s="5"/>
    </row>
    <row r="80" spans="1:33" ht="12.75">
      <c r="A80" s="6">
        <v>19511</v>
      </c>
      <c r="B80" s="7">
        <v>26.77</v>
      </c>
      <c r="C80" s="8">
        <f>IF(Tabela1[[#This Row],[Consumer Price Index (CPI)]]="",#N/A,((Tabela1[[#This Row],[Consumer Price Index (CPI)]]*1)/B79)-1)</f>
        <v>2.6217228464420206E-3</v>
      </c>
      <c r="D80" s="8">
        <f>IF(Tabela1[[#This Row],[Consumer Price Index (CPI)]]="",#N/A,((Tabela1[[#This Row],[Consumer Price Index (CPI)]]*1)/B68)-1)</f>
        <v>9.0463626083678861E-3</v>
      </c>
      <c r="E80" s="25"/>
      <c r="F80" s="7"/>
      <c r="G80" s="7"/>
      <c r="H80" s="8"/>
      <c r="I80" s="8"/>
      <c r="J80" s="25"/>
      <c r="K80" s="8"/>
      <c r="L80" s="8"/>
      <c r="M80" s="7"/>
      <c r="N80" s="8"/>
      <c r="O80" s="8"/>
      <c r="P80" s="7"/>
      <c r="Q80" s="8"/>
      <c r="R80" s="8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8"/>
      <c r="AE80" s="71"/>
      <c r="AF80" s="7"/>
      <c r="AG80" s="5"/>
    </row>
    <row r="81" spans="1:33" ht="12.75">
      <c r="A81" s="6">
        <v>19541</v>
      </c>
      <c r="B81" s="7">
        <v>26.79</v>
      </c>
      <c r="C81" s="8">
        <f>IF(Tabela1[[#This Row],[Consumer Price Index (CPI)]]="",#N/A,((Tabela1[[#This Row],[Consumer Price Index (CPI)]]*1)/B80)-1)</f>
        <v>7.4710496824792472E-4</v>
      </c>
      <c r="D81" s="8">
        <f>IF(Tabela1[[#This Row],[Consumer Price Index (CPI)]]="",#N/A,((Tabela1[[#This Row],[Consumer Price Index (CPI)]]*1)/B69)-1)</f>
        <v>4.1229385307346433E-3</v>
      </c>
      <c r="E81" s="25"/>
      <c r="F81" s="7"/>
      <c r="G81" s="7"/>
      <c r="H81" s="8"/>
      <c r="I81" s="8"/>
      <c r="J81" s="25"/>
      <c r="K81" s="8"/>
      <c r="L81" s="8"/>
      <c r="M81" s="7"/>
      <c r="N81" s="8"/>
      <c r="O81" s="8"/>
      <c r="P81" s="7"/>
      <c r="Q81" s="8"/>
      <c r="R81" s="8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8"/>
      <c r="AE81" s="71"/>
      <c r="AF81" s="7"/>
      <c r="AG81" s="5"/>
    </row>
    <row r="82" spans="1:33" ht="12.75">
      <c r="A82" s="6">
        <v>19572</v>
      </c>
      <c r="B82" s="7">
        <v>26.85</v>
      </c>
      <c r="C82" s="8">
        <f>IF(Tabela1[[#This Row],[Consumer Price Index (CPI)]]="",#N/A,((Tabela1[[#This Row],[Consumer Price Index (CPI)]]*1)/B81)-1)</f>
        <v>2.2396416573349232E-3</v>
      </c>
      <c r="D82" s="8">
        <f>IF(Tabela1[[#This Row],[Consumer Price Index (CPI)]]="",#N/A,((Tabela1[[#This Row],[Consumer Price Index (CPI)]]*1)/B70)-1)</f>
        <v>5.9947545897340859E-3</v>
      </c>
      <c r="E82" s="25"/>
      <c r="F82" s="7"/>
      <c r="G82" s="7"/>
      <c r="H82" s="8"/>
      <c r="I82" s="8"/>
      <c r="J82" s="25"/>
      <c r="K82" s="8"/>
      <c r="L82" s="8"/>
      <c r="M82" s="7"/>
      <c r="N82" s="8"/>
      <c r="O82" s="8"/>
      <c r="P82" s="7"/>
      <c r="Q82" s="8"/>
      <c r="R82" s="8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8"/>
      <c r="AE82" s="71"/>
      <c r="AF82" s="7"/>
      <c r="AG82" s="5"/>
    </row>
    <row r="83" spans="1:33" ht="12.75">
      <c r="A83" s="6">
        <v>19603</v>
      </c>
      <c r="B83" s="7">
        <v>26.89</v>
      </c>
      <c r="C83" s="8">
        <f>IF(Tabela1[[#This Row],[Consumer Price Index (CPI)]]="",#N/A,((Tabela1[[#This Row],[Consumer Price Index (CPI)]]*1)/B82)-1)</f>
        <v>1.4897579143389184E-3</v>
      </c>
      <c r="D83" s="8">
        <f>IF(Tabela1[[#This Row],[Consumer Price Index (CPI)]]="",#N/A,((Tabela1[[#This Row],[Consumer Price Index (CPI)]]*1)/B71)-1)</f>
        <v>9.7634247089748438E-3</v>
      </c>
      <c r="E83" s="25"/>
      <c r="F83" s="7"/>
      <c r="G83" s="7"/>
      <c r="H83" s="8"/>
      <c r="I83" s="8"/>
      <c r="J83" s="25"/>
      <c r="K83" s="8"/>
      <c r="L83" s="8"/>
      <c r="M83" s="7"/>
      <c r="N83" s="8"/>
      <c r="O83" s="8"/>
      <c r="P83" s="7"/>
      <c r="Q83" s="8"/>
      <c r="R83" s="8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8"/>
      <c r="AE83" s="71"/>
      <c r="AF83" s="7"/>
      <c r="AG83" s="5"/>
    </row>
    <row r="84" spans="1:33" ht="12.75">
      <c r="A84" s="6">
        <v>19633</v>
      </c>
      <c r="B84" s="7">
        <v>26.95</v>
      </c>
      <c r="C84" s="8">
        <f>IF(Tabela1[[#This Row],[Consumer Price Index (CPI)]]="",#N/A,((Tabela1[[#This Row],[Consumer Price Index (CPI)]]*1)/B83)-1)</f>
        <v>2.2313127556712331E-3</v>
      </c>
      <c r="D84" s="8">
        <f>IF(Tabela1[[#This Row],[Consumer Price Index (CPI)]]="",#N/A,((Tabela1[[#This Row],[Consumer Price Index (CPI)]]*1)/B72)-1)</f>
        <v>9.7414762083176676E-3</v>
      </c>
      <c r="E84" s="25"/>
      <c r="F84" s="7"/>
      <c r="G84" s="7"/>
      <c r="H84" s="8"/>
      <c r="I84" s="8"/>
      <c r="J84" s="25"/>
      <c r="K84" s="8"/>
      <c r="L84" s="8"/>
      <c r="M84" s="7"/>
      <c r="N84" s="8"/>
      <c r="O84" s="8"/>
      <c r="P84" s="7"/>
      <c r="Q84" s="8"/>
      <c r="R84" s="8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8"/>
      <c r="AE84" s="71"/>
      <c r="AF84" s="7"/>
      <c r="AG84" s="5"/>
    </row>
    <row r="85" spans="1:33" ht="12.75">
      <c r="A85" s="6">
        <v>19664</v>
      </c>
      <c r="B85" s="7">
        <v>26.85</v>
      </c>
      <c r="C85" s="8">
        <f>IF(Tabela1[[#This Row],[Consumer Price Index (CPI)]]="",#N/A,((Tabela1[[#This Row],[Consumer Price Index (CPI)]]*1)/B84)-1)</f>
        <v>-3.7105751391465214E-3</v>
      </c>
      <c r="D85" s="8">
        <f>IF(Tabela1[[#This Row],[Consumer Price Index (CPI)]]="",#N/A,((Tabela1[[#This Row],[Consumer Price Index (CPI)]]*1)/B73)-1)</f>
        <v>5.9947545897340859E-3</v>
      </c>
      <c r="E85" s="25"/>
      <c r="F85" s="7"/>
      <c r="G85" s="7"/>
      <c r="H85" s="8"/>
      <c r="I85" s="8"/>
      <c r="J85" s="25"/>
      <c r="K85" s="8"/>
      <c r="L85" s="8"/>
      <c r="M85" s="7"/>
      <c r="N85" s="8"/>
      <c r="O85" s="8"/>
      <c r="P85" s="7"/>
      <c r="Q85" s="8"/>
      <c r="R85" s="8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8"/>
      <c r="AE85" s="71"/>
      <c r="AF85" s="7"/>
      <c r="AG85" s="5"/>
    </row>
    <row r="86" spans="1:33" ht="12.75">
      <c r="A86" s="6">
        <v>19694</v>
      </c>
      <c r="B86" s="7">
        <v>26.87</v>
      </c>
      <c r="C86" s="8">
        <f>IF(Tabela1[[#This Row],[Consumer Price Index (CPI)]]="",#N/A,((Tabela1[[#This Row],[Consumer Price Index (CPI)]]*1)/B85)-1)</f>
        <v>7.4487895716934815E-4</v>
      </c>
      <c r="D86" s="8">
        <f>IF(Tabela1[[#This Row],[Consumer Price Index (CPI)]]="",#N/A,((Tabela1[[#This Row],[Consumer Price Index (CPI)]]*1)/B74)-1)</f>
        <v>5.9902658180457369E-3</v>
      </c>
      <c r="E86" s="25"/>
      <c r="F86" s="7"/>
      <c r="G86" s="7"/>
      <c r="H86" s="8"/>
      <c r="I86" s="8"/>
      <c r="J86" s="25"/>
      <c r="K86" s="8"/>
      <c r="L86" s="8"/>
      <c r="M86" s="7"/>
      <c r="N86" s="8"/>
      <c r="O86" s="8"/>
      <c r="P86" s="7"/>
      <c r="Q86" s="8"/>
      <c r="R86" s="8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8"/>
      <c r="AE86" s="71"/>
      <c r="AF86" s="7"/>
      <c r="AG86" s="5"/>
    </row>
    <row r="87" spans="1:33" ht="12.75">
      <c r="A87" s="6">
        <v>19725</v>
      </c>
      <c r="B87" s="7">
        <v>26.94</v>
      </c>
      <c r="C87" s="8">
        <f>IF(Tabela1[[#This Row],[Consumer Price Index (CPI)]]="",#N/A,((Tabela1[[#This Row],[Consumer Price Index (CPI)]]*1)/B86)-1)</f>
        <v>2.6051358392258361E-3</v>
      </c>
      <c r="D87" s="8">
        <f>IF(Tabela1[[#This Row],[Consumer Price Index (CPI)]]="",#N/A,((Tabela1[[#This Row],[Consumer Price Index (CPI)]]*1)/B75)-1)</f>
        <v>1.1261261261261257E-2</v>
      </c>
      <c r="E87" s="25"/>
      <c r="F87" s="7"/>
      <c r="G87" s="7"/>
      <c r="H87" s="8"/>
      <c r="I87" s="8"/>
      <c r="J87" s="25"/>
      <c r="K87" s="8"/>
      <c r="L87" s="8"/>
      <c r="M87" s="7"/>
      <c r="N87" s="8"/>
      <c r="O87" s="8"/>
      <c r="P87" s="7"/>
      <c r="Q87" s="8"/>
      <c r="R87" s="8"/>
      <c r="S87" s="7"/>
      <c r="T87" s="7"/>
      <c r="U87" s="7"/>
      <c r="V87" s="7"/>
      <c r="W87" s="7"/>
      <c r="X87" s="7"/>
      <c r="Y87" s="7"/>
      <c r="Z87" s="7"/>
      <c r="AA87" s="7"/>
      <c r="AB87" s="7"/>
      <c r="AC87" s="7"/>
      <c r="AD87" s="8"/>
      <c r="AE87" s="71"/>
      <c r="AF87" s="7"/>
      <c r="AG87" s="5"/>
    </row>
    <row r="88" spans="1:33" ht="12.75">
      <c r="A88" s="6">
        <v>19756</v>
      </c>
      <c r="B88" s="7">
        <v>26.99</v>
      </c>
      <c r="C88" s="8">
        <f>IF(Tabela1[[#This Row],[Consumer Price Index (CPI)]]="",#N/A,((Tabela1[[#This Row],[Consumer Price Index (CPI)]]*1)/B87)-1)</f>
        <v>1.8559762435039762E-3</v>
      </c>
      <c r="D88" s="8">
        <f>IF(Tabela1[[#This Row],[Consumer Price Index (CPI)]]="",#N/A,((Tabela1[[#This Row],[Consumer Price Index (CPI)]]*1)/B76)-1)</f>
        <v>1.5043249341857745E-2</v>
      </c>
      <c r="E88" s="25"/>
      <c r="F88" s="7"/>
      <c r="G88" s="7"/>
      <c r="H88" s="8"/>
      <c r="I88" s="8"/>
      <c r="J88" s="25"/>
      <c r="K88" s="8"/>
      <c r="L88" s="8"/>
      <c r="M88" s="7"/>
      <c r="N88" s="8"/>
      <c r="O88" s="8"/>
      <c r="P88" s="7"/>
      <c r="Q88" s="8"/>
      <c r="R88" s="8"/>
      <c r="S88" s="7"/>
      <c r="T88" s="7"/>
      <c r="U88" s="7"/>
      <c r="V88" s="7"/>
      <c r="W88" s="7"/>
      <c r="X88" s="7"/>
      <c r="Y88" s="7"/>
      <c r="Z88" s="7"/>
      <c r="AA88" s="7"/>
      <c r="AB88" s="7"/>
      <c r="AC88" s="7"/>
      <c r="AD88" s="8"/>
      <c r="AE88" s="71"/>
      <c r="AF88" s="7"/>
      <c r="AG88" s="5"/>
    </row>
    <row r="89" spans="1:33" ht="12.75">
      <c r="A89" s="6">
        <v>19784</v>
      </c>
      <c r="B89" s="7">
        <v>26.93</v>
      </c>
      <c r="C89" s="8">
        <f>IF(Tabela1[[#This Row],[Consumer Price Index (CPI)]]="",#N/A,((Tabela1[[#This Row],[Consumer Price Index (CPI)]]*1)/B88)-1)</f>
        <v>-2.2230455724341347E-3</v>
      </c>
      <c r="D89" s="8">
        <f>IF(Tabela1[[#This Row],[Consumer Price Index (CPI)]]="",#N/A,((Tabela1[[#This Row],[Consumer Price Index (CPI)]]*1)/B77)-1)</f>
        <v>1.1265490048817162E-2</v>
      </c>
      <c r="E89" s="25"/>
      <c r="F89" s="7"/>
      <c r="G89" s="7"/>
      <c r="H89" s="8"/>
      <c r="I89" s="8"/>
      <c r="J89" s="25"/>
      <c r="K89" s="8"/>
      <c r="L89" s="8"/>
      <c r="M89" s="7"/>
      <c r="N89" s="8"/>
      <c r="O89" s="8"/>
      <c r="P89" s="7"/>
      <c r="Q89" s="8"/>
      <c r="R89" s="8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8"/>
      <c r="AE89" s="71"/>
      <c r="AF89" s="7"/>
      <c r="AG89" s="5"/>
    </row>
    <row r="90" spans="1:33" ht="12.75">
      <c r="A90" s="6">
        <v>19815</v>
      </c>
      <c r="B90" s="7">
        <v>26.86</v>
      </c>
      <c r="C90" s="8">
        <f>IF(Tabela1[[#This Row],[Consumer Price Index (CPI)]]="",#N/A,((Tabela1[[#This Row],[Consumer Price Index (CPI)]]*1)/B89)-1)</f>
        <v>-2.5993316004455647E-3</v>
      </c>
      <c r="D90" s="8">
        <f>IF(Tabela1[[#This Row],[Consumer Price Index (CPI)]]="",#N/A,((Tabela1[[#This Row],[Consumer Price Index (CPI)]]*1)/B78)-1)</f>
        <v>6.3694267515923553E-3</v>
      </c>
      <c r="E90" s="25"/>
      <c r="F90" s="7"/>
      <c r="G90" s="7"/>
      <c r="H90" s="8"/>
      <c r="I90" s="8"/>
      <c r="J90" s="25"/>
      <c r="K90" s="8"/>
      <c r="L90" s="8"/>
      <c r="M90" s="7"/>
      <c r="N90" s="8"/>
      <c r="O90" s="8"/>
      <c r="P90" s="7"/>
      <c r="Q90" s="8"/>
      <c r="R90" s="8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8"/>
      <c r="AE90" s="71"/>
      <c r="AF90" s="7"/>
      <c r="AG90" s="5"/>
    </row>
    <row r="91" spans="1:33" ht="12.75">
      <c r="A91" s="6">
        <v>19845</v>
      </c>
      <c r="B91" s="7">
        <v>26.93</v>
      </c>
      <c r="C91" s="8">
        <f>IF(Tabela1[[#This Row],[Consumer Price Index (CPI)]]="",#N/A,((Tabela1[[#This Row],[Consumer Price Index (CPI)]]*1)/B90)-1)</f>
        <v>2.6061057334325621E-3</v>
      </c>
      <c r="D91" s="8">
        <f>IF(Tabela1[[#This Row],[Consumer Price Index (CPI)]]="",#N/A,((Tabela1[[#This Row],[Consumer Price Index (CPI)]]*1)/B79)-1)</f>
        <v>8.6142322097377821E-3</v>
      </c>
      <c r="E91" s="25"/>
      <c r="F91" s="7"/>
      <c r="G91" s="7"/>
      <c r="H91" s="8"/>
      <c r="I91" s="8"/>
      <c r="J91" s="25"/>
      <c r="K91" s="8"/>
      <c r="L91" s="8"/>
      <c r="M91" s="7"/>
      <c r="N91" s="8"/>
      <c r="O91" s="8"/>
      <c r="P91" s="7"/>
      <c r="Q91" s="8"/>
      <c r="R91" s="8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8"/>
      <c r="AE91" s="71"/>
      <c r="AF91" s="7"/>
      <c r="AG91" s="5"/>
    </row>
    <row r="92" spans="1:33" ht="12.75">
      <c r="A92" s="6">
        <v>19876</v>
      </c>
      <c r="B92" s="7">
        <v>26.94</v>
      </c>
      <c r="C92" s="8">
        <f>IF(Tabela1[[#This Row],[Consumer Price Index (CPI)]]="",#N/A,((Tabela1[[#This Row],[Consumer Price Index (CPI)]]*1)/B91)-1)</f>
        <v>3.7133308577796953E-4</v>
      </c>
      <c r="D92" s="8">
        <f>IF(Tabela1[[#This Row],[Consumer Price Index (CPI)]]="",#N/A,((Tabela1[[#This Row],[Consumer Price Index (CPI)]]*1)/B80)-1)</f>
        <v>6.3503922301084703E-3</v>
      </c>
      <c r="E92" s="25"/>
      <c r="F92" s="7"/>
      <c r="G92" s="7"/>
      <c r="H92" s="8"/>
      <c r="I92" s="8"/>
      <c r="J92" s="25"/>
      <c r="K92" s="8"/>
      <c r="L92" s="8"/>
      <c r="M92" s="7"/>
      <c r="N92" s="8"/>
      <c r="O92" s="8"/>
      <c r="P92" s="7"/>
      <c r="Q92" s="8"/>
      <c r="R92" s="8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8"/>
      <c r="AE92" s="71"/>
      <c r="AF92" s="7"/>
      <c r="AG92" s="5"/>
    </row>
    <row r="93" spans="1:33" ht="12.75">
      <c r="A93" s="6">
        <v>19906</v>
      </c>
      <c r="B93" s="7">
        <v>26.86</v>
      </c>
      <c r="C93" s="8">
        <f>IF(Tabela1[[#This Row],[Consumer Price Index (CPI)]]="",#N/A,((Tabela1[[#This Row],[Consumer Price Index (CPI)]]*1)/B92)-1)</f>
        <v>-2.9695619896066283E-3</v>
      </c>
      <c r="D93" s="8">
        <f>IF(Tabela1[[#This Row],[Consumer Price Index (CPI)]]="",#N/A,((Tabela1[[#This Row],[Consumer Price Index (CPI)]]*1)/B81)-1)</f>
        <v>2.6129152668905586E-3</v>
      </c>
      <c r="E93" s="25"/>
      <c r="F93" s="7"/>
      <c r="G93" s="7"/>
      <c r="H93" s="8"/>
      <c r="I93" s="8"/>
      <c r="J93" s="25"/>
      <c r="K93" s="8"/>
      <c r="L93" s="8"/>
      <c r="M93" s="7"/>
      <c r="N93" s="8"/>
      <c r="O93" s="8"/>
      <c r="P93" s="7"/>
      <c r="Q93" s="8"/>
      <c r="R93" s="8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8"/>
      <c r="AE93" s="71"/>
      <c r="AF93" s="7"/>
      <c r="AG93" s="5"/>
    </row>
    <row r="94" spans="1:33" ht="12.75">
      <c r="A94" s="6">
        <v>19937</v>
      </c>
      <c r="B94" s="7">
        <v>26.85</v>
      </c>
      <c r="C94" s="8">
        <f>IF(Tabela1[[#This Row],[Consumer Price Index (CPI)]]="",#N/A,((Tabela1[[#This Row],[Consumer Price Index (CPI)]]*1)/B93)-1)</f>
        <v>-3.7230081906169943E-4</v>
      </c>
      <c r="D94" s="8">
        <f>IF(Tabela1[[#This Row],[Consumer Price Index (CPI)]]="",#N/A,((Tabela1[[#This Row],[Consumer Price Index (CPI)]]*1)/B82)-1)</f>
        <v>0</v>
      </c>
      <c r="E94" s="25"/>
      <c r="F94" s="7"/>
      <c r="G94" s="7"/>
      <c r="H94" s="8"/>
      <c r="I94" s="8"/>
      <c r="J94" s="25"/>
      <c r="K94" s="8"/>
      <c r="L94" s="8"/>
      <c r="M94" s="7"/>
      <c r="N94" s="8"/>
      <c r="O94" s="8"/>
      <c r="P94" s="7"/>
      <c r="Q94" s="8"/>
      <c r="R94" s="8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8"/>
      <c r="AE94" s="71"/>
      <c r="AF94" s="7"/>
      <c r="AG94" s="5"/>
    </row>
    <row r="95" spans="1:33" ht="12.75">
      <c r="A95" s="6">
        <v>19968</v>
      </c>
      <c r="B95" s="7">
        <v>26.81</v>
      </c>
      <c r="C95" s="8">
        <f>IF(Tabela1[[#This Row],[Consumer Price Index (CPI)]]="",#N/A,((Tabela1[[#This Row],[Consumer Price Index (CPI)]]*1)/B94)-1)</f>
        <v>-1.4897579143390294E-3</v>
      </c>
      <c r="D95" s="8">
        <f>IF(Tabela1[[#This Row],[Consumer Price Index (CPI)]]="",#N/A,((Tabela1[[#This Row],[Consumer Price Index (CPI)]]*1)/B83)-1)</f>
        <v>-2.9750836742283848E-3</v>
      </c>
      <c r="E95" s="25"/>
      <c r="F95" s="7"/>
      <c r="G95" s="7"/>
      <c r="H95" s="8"/>
      <c r="I95" s="8"/>
      <c r="J95" s="25"/>
      <c r="K95" s="8"/>
      <c r="L95" s="8"/>
      <c r="M95" s="7"/>
      <c r="N95" s="8"/>
      <c r="O95" s="8"/>
      <c r="P95" s="7"/>
      <c r="Q95" s="8"/>
      <c r="R95" s="8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8"/>
      <c r="AE95" s="71"/>
      <c r="AF95" s="7"/>
      <c r="AG95" s="5"/>
    </row>
    <row r="96" spans="1:33" ht="12.75">
      <c r="A96" s="6">
        <v>19998</v>
      </c>
      <c r="B96" s="7">
        <v>26.72</v>
      </c>
      <c r="C96" s="8">
        <f>IF(Tabela1[[#This Row],[Consumer Price Index (CPI)]]="",#N/A,((Tabela1[[#This Row],[Consumer Price Index (CPI)]]*1)/B95)-1)</f>
        <v>-3.3569563595673424E-3</v>
      </c>
      <c r="D96" s="8">
        <f>IF(Tabela1[[#This Row],[Consumer Price Index (CPI)]]="",#N/A,((Tabela1[[#This Row],[Consumer Price Index (CPI)]]*1)/B84)-1)</f>
        <v>-8.5343228200370769E-3</v>
      </c>
      <c r="E96" s="25"/>
      <c r="F96" s="7"/>
      <c r="G96" s="7"/>
      <c r="H96" s="8"/>
      <c r="I96" s="8"/>
      <c r="J96" s="25"/>
      <c r="K96" s="8"/>
      <c r="L96" s="8"/>
      <c r="M96" s="7"/>
      <c r="N96" s="8"/>
      <c r="O96" s="8"/>
      <c r="P96" s="7"/>
      <c r="Q96" s="8"/>
      <c r="R96" s="8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8"/>
      <c r="AE96" s="71"/>
      <c r="AF96" s="7"/>
      <c r="AG96" s="5"/>
    </row>
    <row r="97" spans="1:33" ht="12.75">
      <c r="A97" s="6">
        <v>20029</v>
      </c>
      <c r="B97" s="7">
        <v>26.78</v>
      </c>
      <c r="C97" s="8">
        <f>IF(Tabela1[[#This Row],[Consumer Price Index (CPI)]]="",#N/A,((Tabela1[[#This Row],[Consumer Price Index (CPI)]]*1)/B96)-1)</f>
        <v>2.2455089820359042E-3</v>
      </c>
      <c r="D97" s="8">
        <f>IF(Tabela1[[#This Row],[Consumer Price Index (CPI)]]="",#N/A,((Tabela1[[#This Row],[Consumer Price Index (CPI)]]*1)/B85)-1)</f>
        <v>-2.6070763500931626E-3</v>
      </c>
      <c r="E97" s="25"/>
      <c r="F97" s="7"/>
      <c r="G97" s="7"/>
      <c r="H97" s="8"/>
      <c r="I97" s="8"/>
      <c r="J97" s="25"/>
      <c r="K97" s="8"/>
      <c r="L97" s="8"/>
      <c r="M97" s="7"/>
      <c r="N97" s="8"/>
      <c r="O97" s="8"/>
      <c r="P97" s="7"/>
      <c r="Q97" s="8"/>
      <c r="R97" s="8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8"/>
      <c r="AE97" s="71"/>
      <c r="AF97" s="7"/>
      <c r="AG97" s="5"/>
    </row>
    <row r="98" spans="1:33" ht="12.75">
      <c r="A98" s="6">
        <v>20059</v>
      </c>
      <c r="B98" s="7">
        <v>26.77</v>
      </c>
      <c r="C98" s="8">
        <f>IF(Tabela1[[#This Row],[Consumer Price Index (CPI)]]="",#N/A,((Tabela1[[#This Row],[Consumer Price Index (CPI)]]*1)/B97)-1)</f>
        <v>-3.7341299477222645E-4</v>
      </c>
      <c r="D98" s="8">
        <f>IF(Tabela1[[#This Row],[Consumer Price Index (CPI)]]="",#N/A,((Tabela1[[#This Row],[Consumer Price Index (CPI)]]*1)/B86)-1)</f>
        <v>-3.7216226274656705E-3</v>
      </c>
      <c r="E98" s="25"/>
      <c r="F98" s="7"/>
      <c r="G98" s="7"/>
      <c r="H98" s="8"/>
      <c r="I98" s="8"/>
      <c r="J98" s="25"/>
      <c r="K98" s="8"/>
      <c r="L98" s="8"/>
      <c r="M98" s="7"/>
      <c r="N98" s="8"/>
      <c r="O98" s="8"/>
      <c r="P98" s="7"/>
      <c r="Q98" s="8"/>
      <c r="R98" s="8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8"/>
      <c r="AE98" s="71"/>
      <c r="AF98" s="7"/>
      <c r="AG98" s="5"/>
    </row>
    <row r="99" spans="1:33" ht="12.75">
      <c r="A99" s="6">
        <v>20090</v>
      </c>
      <c r="B99" s="7">
        <v>26.77</v>
      </c>
      <c r="C99" s="8">
        <f>IF(Tabela1[[#This Row],[Consumer Price Index (CPI)]]="",#N/A,((Tabela1[[#This Row],[Consumer Price Index (CPI)]]*1)/B98)-1)</f>
        <v>0</v>
      </c>
      <c r="D99" s="8">
        <f>IF(Tabela1[[#This Row],[Consumer Price Index (CPI)]]="",#N/A,((Tabela1[[#This Row],[Consumer Price Index (CPI)]]*1)/B87)-1)</f>
        <v>-6.3103192279139186E-3</v>
      </c>
      <c r="E99" s="25"/>
      <c r="F99" s="7"/>
      <c r="G99" s="7"/>
      <c r="H99" s="8"/>
      <c r="I99" s="8"/>
      <c r="J99" s="25"/>
      <c r="K99" s="8"/>
      <c r="L99" s="8"/>
      <c r="M99" s="7"/>
      <c r="N99" s="8"/>
      <c r="O99" s="8"/>
      <c r="P99" s="7"/>
      <c r="Q99" s="8"/>
      <c r="R99" s="8"/>
      <c r="S99" s="7"/>
      <c r="T99" s="7"/>
      <c r="U99" s="7"/>
      <c r="V99" s="7"/>
      <c r="W99" s="7"/>
      <c r="X99" s="7"/>
      <c r="Y99" s="7"/>
      <c r="Z99" s="7"/>
      <c r="AA99" s="7"/>
      <c r="AB99" s="7"/>
      <c r="AC99" s="7"/>
      <c r="AD99" s="8"/>
      <c r="AE99" s="71"/>
      <c r="AF99" s="7"/>
      <c r="AG99" s="5"/>
    </row>
    <row r="100" spans="1:33" ht="12.75">
      <c r="A100" s="6">
        <v>20121</v>
      </c>
      <c r="B100" s="7">
        <v>26.82</v>
      </c>
      <c r="C100" s="8">
        <f>IF(Tabela1[[#This Row],[Consumer Price Index (CPI)]]="",#N/A,((Tabela1[[#This Row],[Consumer Price Index (CPI)]]*1)/B99)-1)</f>
        <v>1.8677624206200338E-3</v>
      </c>
      <c r="D100" s="8">
        <f>IF(Tabela1[[#This Row],[Consumer Price Index (CPI)]]="",#N/A,((Tabela1[[#This Row],[Consumer Price Index (CPI)]]*1)/B88)-1)</f>
        <v>-6.298629121896937E-3</v>
      </c>
      <c r="E100" s="25"/>
      <c r="F100" s="7"/>
      <c r="G100" s="7"/>
      <c r="H100" s="8"/>
      <c r="I100" s="8"/>
      <c r="J100" s="25"/>
      <c r="K100" s="8"/>
      <c r="L100" s="8"/>
      <c r="M100" s="7"/>
      <c r="N100" s="8"/>
      <c r="O100" s="8"/>
      <c r="P100" s="7"/>
      <c r="Q100" s="8"/>
      <c r="R100" s="8"/>
      <c r="S100" s="7"/>
      <c r="T100" s="7"/>
      <c r="U100" s="7"/>
      <c r="V100" s="7"/>
      <c r="W100" s="7"/>
      <c r="X100" s="7"/>
      <c r="Y100" s="7"/>
      <c r="Z100" s="7"/>
      <c r="AA100" s="7"/>
      <c r="AB100" s="7"/>
      <c r="AC100" s="7"/>
      <c r="AD100" s="8"/>
      <c r="AE100" s="71"/>
      <c r="AF100" s="7"/>
      <c r="AG100" s="5"/>
    </row>
    <row r="101" spans="1:33" ht="12.75">
      <c r="A101" s="6">
        <v>20149</v>
      </c>
      <c r="B101" s="7">
        <v>26.79</v>
      </c>
      <c r="C101" s="8">
        <f>IF(Tabela1[[#This Row],[Consumer Price Index (CPI)]]="",#N/A,((Tabela1[[#This Row],[Consumer Price Index (CPI)]]*1)/B100)-1)</f>
        <v>-1.1185682326622093E-3</v>
      </c>
      <c r="D101" s="8">
        <f>IF(Tabela1[[#This Row],[Consumer Price Index (CPI)]]="",#N/A,((Tabela1[[#This Row],[Consumer Price Index (CPI)]]*1)/B89)-1)</f>
        <v>-5.1986632008912403E-3</v>
      </c>
      <c r="E101" s="25"/>
      <c r="F101" s="7"/>
      <c r="G101" s="7"/>
      <c r="H101" s="8"/>
      <c r="I101" s="8"/>
      <c r="J101" s="25"/>
      <c r="K101" s="8"/>
      <c r="L101" s="8"/>
      <c r="M101" s="7"/>
      <c r="N101" s="8"/>
      <c r="O101" s="8"/>
      <c r="P101" s="7"/>
      <c r="Q101" s="8"/>
      <c r="R101" s="8"/>
      <c r="S101" s="7"/>
      <c r="T101" s="7"/>
      <c r="U101" s="7"/>
      <c r="V101" s="7"/>
      <c r="W101" s="7"/>
      <c r="X101" s="7"/>
      <c r="Y101" s="7"/>
      <c r="Z101" s="7"/>
      <c r="AA101" s="7"/>
      <c r="AB101" s="7"/>
      <c r="AC101" s="7"/>
      <c r="AD101" s="8"/>
      <c r="AE101" s="71"/>
      <c r="AF101" s="7"/>
      <c r="AG101" s="5"/>
    </row>
    <row r="102" spans="1:33" ht="12.75">
      <c r="A102" s="6">
        <v>20180</v>
      </c>
      <c r="B102" s="7">
        <v>26.79</v>
      </c>
      <c r="C102" s="8">
        <f>IF(Tabela1[[#This Row],[Consumer Price Index (CPI)]]="",#N/A,((Tabela1[[#This Row],[Consumer Price Index (CPI)]]*1)/B101)-1)</f>
        <v>0</v>
      </c>
      <c r="D102" s="8">
        <f>IF(Tabela1[[#This Row],[Consumer Price Index (CPI)]]="",#N/A,((Tabela1[[#This Row],[Consumer Price Index (CPI)]]*1)/B90)-1)</f>
        <v>-2.6061057334326732E-3</v>
      </c>
      <c r="E102" s="25"/>
      <c r="F102" s="7"/>
      <c r="G102" s="7"/>
      <c r="H102" s="8"/>
      <c r="I102" s="8"/>
      <c r="J102" s="25"/>
      <c r="K102" s="8"/>
      <c r="L102" s="8"/>
      <c r="M102" s="7"/>
      <c r="N102" s="8"/>
      <c r="O102" s="8"/>
      <c r="P102" s="7"/>
      <c r="Q102" s="8"/>
      <c r="R102" s="8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8"/>
      <c r="AE102" s="71"/>
      <c r="AF102" s="7"/>
      <c r="AG102" s="5"/>
    </row>
    <row r="103" spans="1:33" ht="12.75">
      <c r="A103" s="6">
        <v>20210</v>
      </c>
      <c r="B103" s="7">
        <v>26.77</v>
      </c>
      <c r="C103" s="8">
        <f>IF(Tabela1[[#This Row],[Consumer Price Index (CPI)]]="",#N/A,((Tabela1[[#This Row],[Consumer Price Index (CPI)]]*1)/B102)-1)</f>
        <v>-7.4654721911160404E-4</v>
      </c>
      <c r="D103" s="8">
        <f>IF(Tabela1[[#This Row],[Consumer Price Index (CPI)]]="",#N/A,((Tabela1[[#This Row],[Consumer Price Index (CPI)]]*1)/B91)-1)</f>
        <v>-5.9413293724470684E-3</v>
      </c>
      <c r="E103" s="25"/>
      <c r="F103" s="7"/>
      <c r="G103" s="7"/>
      <c r="H103" s="8"/>
      <c r="I103" s="8"/>
      <c r="J103" s="25"/>
      <c r="K103" s="8"/>
      <c r="L103" s="8"/>
      <c r="M103" s="7"/>
      <c r="N103" s="8"/>
      <c r="O103" s="8"/>
      <c r="P103" s="7"/>
      <c r="Q103" s="8"/>
      <c r="R103" s="8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8"/>
      <c r="AE103" s="71"/>
      <c r="AF103" s="7"/>
      <c r="AG103" s="5"/>
    </row>
    <row r="104" spans="1:33" ht="12.75">
      <c r="A104" s="6">
        <v>20241</v>
      </c>
      <c r="B104" s="7">
        <v>26.71</v>
      </c>
      <c r="C104" s="8">
        <f>IF(Tabela1[[#This Row],[Consumer Price Index (CPI)]]="",#N/A,((Tabela1[[#This Row],[Consumer Price Index (CPI)]]*1)/B103)-1)</f>
        <v>-2.2413149047441072E-3</v>
      </c>
      <c r="D104" s="8">
        <f>IF(Tabela1[[#This Row],[Consumer Price Index (CPI)]]="",#N/A,((Tabela1[[#This Row],[Consumer Price Index (CPI)]]*1)/B92)-1)</f>
        <v>-8.5374907201187789E-3</v>
      </c>
      <c r="E104" s="25"/>
      <c r="F104" s="7"/>
      <c r="G104" s="7"/>
      <c r="H104" s="8"/>
      <c r="I104" s="8"/>
      <c r="J104" s="25"/>
      <c r="K104" s="8"/>
      <c r="L104" s="8"/>
      <c r="M104" s="7"/>
      <c r="N104" s="8"/>
      <c r="O104" s="8"/>
      <c r="P104" s="7"/>
      <c r="Q104" s="8"/>
      <c r="R104" s="8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8"/>
      <c r="AE104" s="71"/>
      <c r="AF104" s="7"/>
      <c r="AG104" s="5"/>
    </row>
    <row r="105" spans="1:33" ht="12.75">
      <c r="A105" s="6">
        <v>20271</v>
      </c>
      <c r="B105" s="7">
        <v>26.76</v>
      </c>
      <c r="C105" s="8">
        <f>IF(Tabela1[[#This Row],[Consumer Price Index (CPI)]]="",#N/A,((Tabela1[[#This Row],[Consumer Price Index (CPI)]]*1)/B104)-1)</f>
        <v>1.8719580681392234E-3</v>
      </c>
      <c r="D105" s="8">
        <f>IF(Tabela1[[#This Row],[Consumer Price Index (CPI)]]="",#N/A,((Tabela1[[#This Row],[Consumer Price Index (CPI)]]*1)/B93)-1)</f>
        <v>-3.7230081906179935E-3</v>
      </c>
      <c r="E105" s="25"/>
      <c r="F105" s="7"/>
      <c r="G105" s="7"/>
      <c r="H105" s="8"/>
      <c r="I105" s="8"/>
      <c r="J105" s="25"/>
      <c r="K105" s="8"/>
      <c r="L105" s="8"/>
      <c r="M105" s="7"/>
      <c r="N105" s="8"/>
      <c r="O105" s="8"/>
      <c r="P105" s="7"/>
      <c r="Q105" s="8"/>
      <c r="R105" s="8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8"/>
      <c r="AE105" s="71"/>
      <c r="AF105" s="7"/>
      <c r="AG105" s="5"/>
    </row>
    <row r="106" spans="1:33" ht="12.75">
      <c r="A106" s="6">
        <v>20302</v>
      </c>
      <c r="B106" s="7">
        <v>26.72</v>
      </c>
      <c r="C106" s="8">
        <f>IF(Tabela1[[#This Row],[Consumer Price Index (CPI)]]="",#N/A,((Tabela1[[#This Row],[Consumer Price Index (CPI)]]*1)/B105)-1)</f>
        <v>-1.494768310911887E-3</v>
      </c>
      <c r="D106" s="8">
        <f>IF(Tabela1[[#This Row],[Consumer Price Index (CPI)]]="",#N/A,((Tabela1[[#This Row],[Consumer Price Index (CPI)]]*1)/B94)-1)</f>
        <v>-4.8417132216015402E-3</v>
      </c>
      <c r="E106" s="25"/>
      <c r="F106" s="7"/>
      <c r="G106" s="7"/>
      <c r="H106" s="8"/>
      <c r="I106" s="8"/>
      <c r="J106" s="25"/>
      <c r="K106" s="8"/>
      <c r="L106" s="8"/>
      <c r="M106" s="7"/>
      <c r="N106" s="8"/>
      <c r="O106" s="8"/>
      <c r="P106" s="7"/>
      <c r="Q106" s="8"/>
      <c r="R106" s="8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8"/>
      <c r="AE106" s="71"/>
      <c r="AF106" s="7"/>
      <c r="AG106" s="5"/>
    </row>
    <row r="107" spans="1:33" ht="12.75">
      <c r="A107" s="6">
        <v>20333</v>
      </c>
      <c r="B107" s="7">
        <v>26.85</v>
      </c>
      <c r="C107" s="8">
        <f>IF(Tabela1[[#This Row],[Consumer Price Index (CPI)]]="",#N/A,((Tabela1[[#This Row],[Consumer Price Index (CPI)]]*1)/B106)-1)</f>
        <v>4.8652694610780145E-3</v>
      </c>
      <c r="D107" s="8">
        <f>IF(Tabela1[[#This Row],[Consumer Price Index (CPI)]]="",#N/A,((Tabela1[[#This Row],[Consumer Price Index (CPI)]]*1)/B95)-1)</f>
        <v>1.4919806042521522E-3</v>
      </c>
      <c r="E107" s="25"/>
      <c r="F107" s="7"/>
      <c r="G107" s="7"/>
      <c r="H107" s="8"/>
      <c r="I107" s="8"/>
      <c r="J107" s="25"/>
      <c r="K107" s="8"/>
      <c r="L107" s="8"/>
      <c r="M107" s="7"/>
      <c r="N107" s="8"/>
      <c r="O107" s="8"/>
      <c r="P107" s="7"/>
      <c r="Q107" s="8"/>
      <c r="R107" s="8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8"/>
      <c r="AE107" s="71"/>
      <c r="AF107" s="7"/>
      <c r="AG107" s="5"/>
    </row>
    <row r="108" spans="1:33" ht="12.75">
      <c r="A108" s="6">
        <v>20363</v>
      </c>
      <c r="B108" s="7">
        <v>26.82</v>
      </c>
      <c r="C108" s="8">
        <f>IF(Tabela1[[#This Row],[Consumer Price Index (CPI)]]="",#N/A,((Tabela1[[#This Row],[Consumer Price Index (CPI)]]*1)/B107)-1)</f>
        <v>-1.1173184357542443E-3</v>
      </c>
      <c r="D108" s="8">
        <f>IF(Tabela1[[#This Row],[Consumer Price Index (CPI)]]="",#N/A,((Tabela1[[#This Row],[Consumer Price Index (CPI)]]*1)/B96)-1)</f>
        <v>3.7425149700598404E-3</v>
      </c>
      <c r="E108" s="25"/>
      <c r="F108" s="7"/>
      <c r="G108" s="7"/>
      <c r="H108" s="8"/>
      <c r="I108" s="8"/>
      <c r="J108" s="25"/>
      <c r="K108" s="8"/>
      <c r="L108" s="8"/>
      <c r="M108" s="7"/>
      <c r="N108" s="8"/>
      <c r="O108" s="8"/>
      <c r="P108" s="7"/>
      <c r="Q108" s="8"/>
      <c r="R108" s="8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8"/>
      <c r="AE108" s="71"/>
      <c r="AF108" s="7"/>
      <c r="AG108" s="5"/>
    </row>
    <row r="109" spans="1:33" ht="12.75">
      <c r="A109" s="6">
        <v>20394</v>
      </c>
      <c r="B109" s="7">
        <v>26.88</v>
      </c>
      <c r="C109" s="8">
        <f>IF(Tabela1[[#This Row],[Consumer Price Index (CPI)]]="",#N/A,((Tabela1[[#This Row],[Consumer Price Index (CPI)]]*1)/B108)-1)</f>
        <v>2.2371364653244186E-3</v>
      </c>
      <c r="D109" s="8">
        <f>IF(Tabela1[[#This Row],[Consumer Price Index (CPI)]]="",#N/A,((Tabela1[[#This Row],[Consumer Price Index (CPI)]]*1)/B97)-1)</f>
        <v>3.7341299477220424E-3</v>
      </c>
      <c r="E109" s="25"/>
      <c r="F109" s="7"/>
      <c r="G109" s="7"/>
      <c r="H109" s="8"/>
      <c r="I109" s="8"/>
      <c r="J109" s="25"/>
      <c r="K109" s="8"/>
      <c r="L109" s="8"/>
      <c r="M109" s="7"/>
      <c r="N109" s="8"/>
      <c r="O109" s="8"/>
      <c r="P109" s="7"/>
      <c r="Q109" s="8"/>
      <c r="R109" s="8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8"/>
      <c r="AE109" s="71"/>
      <c r="AF109" s="7"/>
      <c r="AG109" s="5"/>
    </row>
    <row r="110" spans="1:33" ht="12.75">
      <c r="A110" s="6">
        <v>20424</v>
      </c>
      <c r="B110" s="7">
        <v>26.87</v>
      </c>
      <c r="C110" s="8">
        <f>IF(Tabela1[[#This Row],[Consumer Price Index (CPI)]]="",#N/A,((Tabela1[[#This Row],[Consumer Price Index (CPI)]]*1)/B109)-1)</f>
        <v>-3.7202380952372494E-4</v>
      </c>
      <c r="D110" s="8">
        <f>IF(Tabela1[[#This Row],[Consumer Price Index (CPI)]]="",#N/A,((Tabela1[[#This Row],[Consumer Price Index (CPI)]]*1)/B98)-1)</f>
        <v>3.7355248412402897E-3</v>
      </c>
      <c r="E110" s="25"/>
      <c r="F110" s="7"/>
      <c r="G110" s="7"/>
      <c r="H110" s="8"/>
      <c r="I110" s="8"/>
      <c r="J110" s="25"/>
      <c r="K110" s="8"/>
      <c r="L110" s="8"/>
      <c r="M110" s="7"/>
      <c r="N110" s="8"/>
      <c r="O110" s="8"/>
      <c r="P110" s="7"/>
      <c r="Q110" s="8"/>
      <c r="R110" s="8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8"/>
      <c r="AE110" s="71"/>
      <c r="AF110" s="7"/>
      <c r="AG110" s="5"/>
    </row>
    <row r="111" spans="1:33" ht="12.75">
      <c r="A111" s="6">
        <v>20455</v>
      </c>
      <c r="B111" s="7">
        <v>26.83</v>
      </c>
      <c r="C111" s="8">
        <f>IF(Tabela1[[#This Row],[Consumer Price Index (CPI)]]="",#N/A,((Tabela1[[#This Row],[Consumer Price Index (CPI)]]*1)/B110)-1)</f>
        <v>-1.4886490509863348E-3</v>
      </c>
      <c r="D111" s="8">
        <f>IF(Tabela1[[#This Row],[Consumer Price Index (CPI)]]="",#N/A,((Tabela1[[#This Row],[Consumer Price Index (CPI)]]*1)/B99)-1)</f>
        <v>2.2413149047439962E-3</v>
      </c>
      <c r="E111" s="25"/>
      <c r="F111" s="7"/>
      <c r="G111" s="7"/>
      <c r="H111" s="8"/>
      <c r="I111" s="8"/>
      <c r="J111" s="25">
        <v>20.7</v>
      </c>
      <c r="K111" s="8"/>
      <c r="L111" s="8"/>
      <c r="M111" s="7"/>
      <c r="N111" s="8"/>
      <c r="O111" s="8"/>
      <c r="P111" s="7">
        <v>35.700000000000003</v>
      </c>
      <c r="Q111" s="8"/>
      <c r="R111" s="8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8"/>
      <c r="AE111" s="71"/>
      <c r="AF111" s="7"/>
      <c r="AG111" s="5"/>
    </row>
    <row r="112" spans="1:33" ht="12.75">
      <c r="A112" s="6">
        <v>20486</v>
      </c>
      <c r="B112" s="7">
        <v>26.86</v>
      </c>
      <c r="C112" s="8">
        <f>IF(Tabela1[[#This Row],[Consumer Price Index (CPI)]]="",#N/A,((Tabela1[[#This Row],[Consumer Price Index (CPI)]]*1)/B111)-1)</f>
        <v>1.1181513231457441E-3</v>
      </c>
      <c r="D112" s="8">
        <f>IF(Tabela1[[#This Row],[Consumer Price Index (CPI)]]="",#N/A,((Tabela1[[#This Row],[Consumer Price Index (CPI)]]*1)/B100)-1)</f>
        <v>1.491424310216205E-3</v>
      </c>
      <c r="E112" s="25"/>
      <c r="F112" s="7"/>
      <c r="G112" s="7"/>
      <c r="H112" s="8"/>
      <c r="I112" s="8"/>
      <c r="J112" s="25">
        <v>20.7</v>
      </c>
      <c r="K112" s="8">
        <f>IF(Tabela1[[#This Row],[Services CPI]]="",#N/A,((Tabela1[[#This Row],[Services CPI]]*1)/J111)-1)</f>
        <v>0</v>
      </c>
      <c r="L112" s="8"/>
      <c r="M112" s="7"/>
      <c r="N112" s="8"/>
      <c r="O112" s="8"/>
      <c r="P112" s="7">
        <v>35.799999999999997</v>
      </c>
      <c r="Q112" s="8">
        <f>IF(Tabela1[[#This Row],[Durable Goods CPI]]="",#N/A,((Tabela1[[#This Row],[Durable Goods CPI]]*1)/P111)-1)</f>
        <v>2.8011204481790397E-3</v>
      </c>
      <c r="R112" s="8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8"/>
      <c r="AE112" s="71"/>
      <c r="AF112" s="7"/>
      <c r="AG112" s="5"/>
    </row>
    <row r="113" spans="1:33" ht="12.75">
      <c r="A113" s="6">
        <v>20515</v>
      </c>
      <c r="B113" s="7">
        <v>26.89</v>
      </c>
      <c r="C113" s="8">
        <f>IF(Tabela1[[#This Row],[Consumer Price Index (CPI)]]="",#N/A,((Tabela1[[#This Row],[Consumer Price Index (CPI)]]*1)/B112)-1)</f>
        <v>1.1169024571855424E-3</v>
      </c>
      <c r="D113" s="8">
        <f>IF(Tabela1[[#This Row],[Consumer Price Index (CPI)]]="",#N/A,((Tabela1[[#This Row],[Consumer Price Index (CPI)]]*1)/B101)-1)</f>
        <v>3.7327360955581312E-3</v>
      </c>
      <c r="E113" s="25"/>
      <c r="F113" s="7"/>
      <c r="G113" s="7"/>
      <c r="H113" s="8"/>
      <c r="I113" s="8"/>
      <c r="J113" s="25">
        <v>20.7</v>
      </c>
      <c r="K113" s="8">
        <f>IF(Tabela1[[#This Row],[Services CPI]]="",#N/A,((Tabela1[[#This Row],[Services CPI]]*1)/J112)-1)</f>
        <v>0</v>
      </c>
      <c r="L113" s="8"/>
      <c r="M113" s="7"/>
      <c r="N113" s="8"/>
      <c r="O113" s="8"/>
      <c r="P113" s="7">
        <v>35.799999999999997</v>
      </c>
      <c r="Q113" s="8">
        <f>IF(Tabela1[[#This Row],[Durable Goods CPI]]="",#N/A,((Tabela1[[#This Row],[Durable Goods CPI]]*1)/P112)-1)</f>
        <v>0</v>
      </c>
      <c r="R113" s="8"/>
      <c r="S113" s="7"/>
      <c r="T113" s="7"/>
      <c r="U113" s="7"/>
      <c r="V113" s="7"/>
      <c r="W113" s="7"/>
      <c r="X113" s="7"/>
      <c r="Y113" s="7"/>
      <c r="Z113" s="7"/>
      <c r="AA113" s="7"/>
      <c r="AB113" s="7"/>
      <c r="AC113" s="7"/>
      <c r="AD113" s="8"/>
      <c r="AE113" s="71"/>
      <c r="AF113" s="7"/>
      <c r="AG113" s="5"/>
    </row>
    <row r="114" spans="1:33" ht="12.75">
      <c r="A114" s="6">
        <v>20546</v>
      </c>
      <c r="B114" s="7">
        <v>26.93</v>
      </c>
      <c r="C114" s="8">
        <f>IF(Tabela1[[#This Row],[Consumer Price Index (CPI)]]="",#N/A,((Tabela1[[#This Row],[Consumer Price Index (CPI)]]*1)/B113)-1)</f>
        <v>1.4875418371140814E-3</v>
      </c>
      <c r="D114" s="8">
        <f>IF(Tabela1[[#This Row],[Consumer Price Index (CPI)]]="",#N/A,((Tabela1[[#This Row],[Consumer Price Index (CPI)]]*1)/B102)-1)</f>
        <v>5.2258305337813393E-3</v>
      </c>
      <c r="E114" s="25"/>
      <c r="F114" s="7"/>
      <c r="G114" s="7"/>
      <c r="H114" s="8"/>
      <c r="I114" s="8"/>
      <c r="J114" s="25">
        <v>20.8</v>
      </c>
      <c r="K114" s="8">
        <f>IF(Tabela1[[#This Row],[Services CPI]]="",#N/A,((Tabela1[[#This Row],[Services CPI]]*1)/J113)-1)</f>
        <v>4.8309178743961567E-3</v>
      </c>
      <c r="L114" s="8"/>
      <c r="M114" s="7"/>
      <c r="N114" s="8"/>
      <c r="O114" s="8"/>
      <c r="P114" s="7">
        <v>35.700000000000003</v>
      </c>
      <c r="Q114" s="8">
        <f>IF(Tabela1[[#This Row],[Durable Goods CPI]]="",#N/A,((Tabela1[[#This Row],[Durable Goods CPI]]*1)/P113)-1)</f>
        <v>-2.7932960893852776E-3</v>
      </c>
      <c r="R114" s="8"/>
      <c r="S114" s="7"/>
      <c r="T114" s="7"/>
      <c r="U114" s="7"/>
      <c r="V114" s="7"/>
      <c r="W114" s="7"/>
      <c r="X114" s="7"/>
      <c r="Y114" s="7"/>
      <c r="Z114" s="7"/>
      <c r="AA114" s="7"/>
      <c r="AB114" s="7"/>
      <c r="AC114" s="7"/>
      <c r="AD114" s="8"/>
      <c r="AE114" s="71"/>
      <c r="AF114" s="7"/>
      <c r="AG114" s="5"/>
    </row>
    <row r="115" spans="1:33" ht="12.75">
      <c r="A115" s="6">
        <v>20576</v>
      </c>
      <c r="B115" s="7">
        <v>27.03</v>
      </c>
      <c r="C115" s="8">
        <f>IF(Tabela1[[#This Row],[Consumer Price Index (CPI)]]="",#N/A,((Tabela1[[#This Row],[Consumer Price Index (CPI)]]*1)/B114)-1)</f>
        <v>3.7133308577794732E-3</v>
      </c>
      <c r="D115" s="8">
        <f>IF(Tabela1[[#This Row],[Consumer Price Index (CPI)]]="",#N/A,((Tabela1[[#This Row],[Consumer Price Index (CPI)]]*1)/B103)-1)</f>
        <v>9.7123645872245756E-3</v>
      </c>
      <c r="E115" s="25"/>
      <c r="F115" s="7"/>
      <c r="G115" s="7"/>
      <c r="H115" s="8"/>
      <c r="I115" s="8"/>
      <c r="J115" s="25">
        <v>20.8</v>
      </c>
      <c r="K115" s="8">
        <f>IF(Tabela1[[#This Row],[Services CPI]]="",#N/A,((Tabela1[[#This Row],[Services CPI]]*1)/J114)-1)</f>
        <v>0</v>
      </c>
      <c r="L115" s="8"/>
      <c r="M115" s="7"/>
      <c r="N115" s="8"/>
      <c r="O115" s="8"/>
      <c r="P115" s="7">
        <v>35.799999999999997</v>
      </c>
      <c r="Q115" s="8">
        <f>IF(Tabela1[[#This Row],[Durable Goods CPI]]="",#N/A,((Tabela1[[#This Row],[Durable Goods CPI]]*1)/P114)-1)</f>
        <v>2.8011204481790397E-3</v>
      </c>
      <c r="R115" s="8"/>
      <c r="S115" s="7"/>
      <c r="T115" s="7"/>
      <c r="U115" s="7"/>
      <c r="V115" s="7"/>
      <c r="W115" s="7"/>
      <c r="X115" s="7"/>
      <c r="Y115" s="7"/>
      <c r="Z115" s="7"/>
      <c r="AA115" s="7"/>
      <c r="AB115" s="7"/>
      <c r="AC115" s="7"/>
      <c r="AD115" s="8"/>
      <c r="AE115" s="71"/>
      <c r="AF115" s="7"/>
      <c r="AG115" s="5"/>
    </row>
    <row r="116" spans="1:33" ht="12.75">
      <c r="A116" s="6">
        <v>20607</v>
      </c>
      <c r="B116" s="7">
        <v>27.15</v>
      </c>
      <c r="C116" s="8">
        <f>IF(Tabela1[[#This Row],[Consumer Price Index (CPI)]]="",#N/A,((Tabela1[[#This Row],[Consumer Price Index (CPI)]]*1)/B115)-1)</f>
        <v>4.4395116537179202E-3</v>
      </c>
      <c r="D116" s="8">
        <f>IF(Tabela1[[#This Row],[Consumer Price Index (CPI)]]="",#N/A,((Tabela1[[#This Row],[Consumer Price Index (CPI)]]*1)/B104)-1)</f>
        <v>1.647323099962561E-2</v>
      </c>
      <c r="E116" s="25"/>
      <c r="F116" s="7"/>
      <c r="G116" s="7"/>
      <c r="H116" s="8"/>
      <c r="I116" s="8"/>
      <c r="J116" s="25">
        <v>20.9</v>
      </c>
      <c r="K116" s="8">
        <f>IF(Tabela1[[#This Row],[Services CPI]]="",#N/A,((Tabela1[[#This Row],[Services CPI]]*1)/J115)-1)</f>
        <v>4.8076923076922906E-3</v>
      </c>
      <c r="L116" s="8"/>
      <c r="M116" s="7"/>
      <c r="N116" s="8"/>
      <c r="O116" s="8"/>
      <c r="P116" s="7">
        <v>35.9</v>
      </c>
      <c r="Q116" s="8">
        <f>IF(Tabela1[[#This Row],[Durable Goods CPI]]="",#N/A,((Tabela1[[#This Row],[Durable Goods CPI]]*1)/P115)-1)</f>
        <v>2.7932960893854997E-3</v>
      </c>
      <c r="R116" s="8"/>
      <c r="S116" s="7"/>
      <c r="T116" s="7"/>
      <c r="U116" s="7"/>
      <c r="V116" s="7"/>
      <c r="W116" s="7"/>
      <c r="X116" s="7"/>
      <c r="Y116" s="7"/>
      <c r="Z116" s="7"/>
      <c r="AA116" s="7"/>
      <c r="AB116" s="7"/>
      <c r="AC116" s="7"/>
      <c r="AD116" s="8"/>
      <c r="AE116" s="71"/>
      <c r="AF116" s="7"/>
      <c r="AG116" s="5"/>
    </row>
    <row r="117" spans="1:33" ht="12.75">
      <c r="A117" s="6">
        <v>20637</v>
      </c>
      <c r="B117" s="7">
        <v>27.29</v>
      </c>
      <c r="C117" s="8">
        <f>IF(Tabela1[[#This Row],[Consumer Price Index (CPI)]]="",#N/A,((Tabela1[[#This Row],[Consumer Price Index (CPI)]]*1)/B116)-1)</f>
        <v>5.1565377532227785E-3</v>
      </c>
      <c r="D117" s="8">
        <f>IF(Tabela1[[#This Row],[Consumer Price Index (CPI)]]="",#N/A,((Tabela1[[#This Row],[Consumer Price Index (CPI)]]*1)/B105)-1)</f>
        <v>1.9805680119581393E-2</v>
      </c>
      <c r="E117" s="25"/>
      <c r="F117" s="7"/>
      <c r="G117" s="7"/>
      <c r="H117" s="8"/>
      <c r="I117" s="8"/>
      <c r="J117" s="25">
        <v>20.9</v>
      </c>
      <c r="K117" s="8">
        <f>IF(Tabela1[[#This Row],[Services CPI]]="",#N/A,((Tabela1[[#This Row],[Services CPI]]*1)/J116)-1)</f>
        <v>0</v>
      </c>
      <c r="L117" s="8"/>
      <c r="M117" s="7"/>
      <c r="N117" s="8"/>
      <c r="O117" s="8"/>
      <c r="P117" s="7">
        <v>36.1</v>
      </c>
      <c r="Q117" s="8">
        <f>IF(Tabela1[[#This Row],[Durable Goods CPI]]="",#N/A,((Tabela1[[#This Row],[Durable Goods CPI]]*1)/P116)-1)</f>
        <v>5.5710306406686616E-3</v>
      </c>
      <c r="R117" s="8"/>
      <c r="S117" s="7"/>
      <c r="T117" s="7"/>
      <c r="U117" s="7"/>
      <c r="V117" s="7"/>
      <c r="W117" s="7"/>
      <c r="X117" s="7"/>
      <c r="Y117" s="7"/>
      <c r="Z117" s="7"/>
      <c r="AA117" s="7"/>
      <c r="AB117" s="7"/>
      <c r="AC117" s="7"/>
      <c r="AD117" s="8"/>
      <c r="AE117" s="71"/>
      <c r="AF117" s="7"/>
      <c r="AG117" s="5"/>
    </row>
    <row r="118" spans="1:33" ht="12.75">
      <c r="A118" s="6">
        <v>20668</v>
      </c>
      <c r="B118" s="7">
        <v>27.31</v>
      </c>
      <c r="C118" s="8">
        <f>IF(Tabela1[[#This Row],[Consumer Price Index (CPI)]]="",#N/A,((Tabela1[[#This Row],[Consumer Price Index (CPI)]]*1)/B117)-1)</f>
        <v>7.3286918285075942E-4</v>
      </c>
      <c r="D118" s="8">
        <f>IF(Tabela1[[#This Row],[Consumer Price Index (CPI)]]="",#N/A,((Tabela1[[#This Row],[Consumer Price Index (CPI)]]*1)/B106)-1)</f>
        <v>2.208083832335328E-2</v>
      </c>
      <c r="E118" s="25"/>
      <c r="F118" s="7"/>
      <c r="G118" s="7"/>
      <c r="H118" s="8"/>
      <c r="I118" s="8"/>
      <c r="J118" s="25">
        <v>21</v>
      </c>
      <c r="K118" s="8">
        <f>IF(Tabela1[[#This Row],[Services CPI]]="",#N/A,((Tabela1[[#This Row],[Services CPI]]*1)/J117)-1)</f>
        <v>4.784688995215447E-3</v>
      </c>
      <c r="L118" s="8"/>
      <c r="M118" s="7"/>
      <c r="N118" s="8"/>
      <c r="O118" s="8"/>
      <c r="P118" s="7">
        <v>36.200000000000003</v>
      </c>
      <c r="Q118" s="8">
        <f>IF(Tabela1[[#This Row],[Durable Goods CPI]]="",#N/A,((Tabela1[[#This Row],[Durable Goods CPI]]*1)/P117)-1)</f>
        <v>2.7700831024930483E-3</v>
      </c>
      <c r="R118" s="8"/>
      <c r="S118" s="7"/>
      <c r="T118" s="7"/>
      <c r="U118" s="7"/>
      <c r="V118" s="7"/>
      <c r="W118" s="7"/>
      <c r="X118" s="7"/>
      <c r="Y118" s="7"/>
      <c r="Z118" s="7"/>
      <c r="AA118" s="7"/>
      <c r="AB118" s="7"/>
      <c r="AC118" s="7"/>
      <c r="AD118" s="8"/>
      <c r="AE118" s="71"/>
      <c r="AF118" s="7"/>
      <c r="AG118" s="5"/>
    </row>
    <row r="119" spans="1:33" ht="12.75">
      <c r="A119" s="6">
        <v>20699</v>
      </c>
      <c r="B119" s="7">
        <v>27.35</v>
      </c>
      <c r="C119" s="8">
        <f>IF(Tabela1[[#This Row],[Consumer Price Index (CPI)]]="",#N/A,((Tabela1[[#This Row],[Consumer Price Index (CPI)]]*1)/B118)-1)</f>
        <v>1.4646649578908821E-3</v>
      </c>
      <c r="D119" s="8">
        <f>IF(Tabela1[[#This Row],[Consumer Price Index (CPI)]]="",#N/A,((Tabela1[[#This Row],[Consumer Price Index (CPI)]]*1)/B107)-1)</f>
        <v>1.862197392923659E-2</v>
      </c>
      <c r="E119" s="25"/>
      <c r="F119" s="7"/>
      <c r="G119" s="7"/>
      <c r="H119" s="8"/>
      <c r="I119" s="8"/>
      <c r="J119" s="25">
        <v>21.1</v>
      </c>
      <c r="K119" s="8">
        <f>IF(Tabela1[[#This Row],[Services CPI]]="",#N/A,((Tabela1[[#This Row],[Services CPI]]*1)/J118)-1)</f>
        <v>4.761904761904745E-3</v>
      </c>
      <c r="L119" s="8"/>
      <c r="M119" s="7"/>
      <c r="N119" s="8"/>
      <c r="O119" s="8"/>
      <c r="P119" s="7">
        <v>36.299999999999997</v>
      </c>
      <c r="Q119" s="8">
        <f>IF(Tabela1[[#This Row],[Durable Goods CPI]]="",#N/A,((Tabela1[[#This Row],[Durable Goods CPI]]*1)/P118)-1)</f>
        <v>2.7624309392264568E-3</v>
      </c>
      <c r="R119" s="8"/>
      <c r="S119" s="7"/>
      <c r="T119" s="7"/>
      <c r="U119" s="7"/>
      <c r="V119" s="7"/>
      <c r="W119" s="7"/>
      <c r="X119" s="7"/>
      <c r="Y119" s="7"/>
      <c r="Z119" s="7"/>
      <c r="AA119" s="7"/>
      <c r="AB119" s="7"/>
      <c r="AC119" s="7"/>
      <c r="AD119" s="8"/>
      <c r="AE119" s="71"/>
      <c r="AF119" s="7"/>
      <c r="AG119" s="5"/>
    </row>
    <row r="120" spans="1:33" ht="12.75">
      <c r="A120" s="6">
        <v>20729</v>
      </c>
      <c r="B120" s="7">
        <v>27.51</v>
      </c>
      <c r="C120" s="8">
        <f>IF(Tabela1[[#This Row],[Consumer Price Index (CPI)]]="",#N/A,((Tabela1[[#This Row],[Consumer Price Index (CPI)]]*1)/B119)-1)</f>
        <v>5.8500914076782262E-3</v>
      </c>
      <c r="D120" s="8">
        <f>IF(Tabela1[[#This Row],[Consumer Price Index (CPI)]]="",#N/A,((Tabela1[[#This Row],[Consumer Price Index (CPI)]]*1)/B108)-1)</f>
        <v>2.5727069351230369E-2</v>
      </c>
      <c r="E120" s="25"/>
      <c r="F120" s="7"/>
      <c r="G120" s="7"/>
      <c r="H120" s="8"/>
      <c r="I120" s="8"/>
      <c r="J120" s="25">
        <v>21.1</v>
      </c>
      <c r="K120" s="8">
        <f>IF(Tabela1[[#This Row],[Services CPI]]="",#N/A,((Tabela1[[#This Row],[Services CPI]]*1)/J119)-1)</f>
        <v>0</v>
      </c>
      <c r="L120" s="8"/>
      <c r="M120" s="7"/>
      <c r="N120" s="8"/>
      <c r="O120" s="8"/>
      <c r="P120" s="7">
        <v>36.6</v>
      </c>
      <c r="Q120" s="8">
        <f>IF(Tabela1[[#This Row],[Durable Goods CPI]]="",#N/A,((Tabela1[[#This Row],[Durable Goods CPI]]*1)/P119)-1)</f>
        <v>8.2644628099175499E-3</v>
      </c>
      <c r="R120" s="8"/>
      <c r="S120" s="7"/>
      <c r="T120" s="7"/>
      <c r="U120" s="7"/>
      <c r="V120" s="7"/>
      <c r="W120" s="7"/>
      <c r="X120" s="7"/>
      <c r="Y120" s="7"/>
      <c r="Z120" s="7"/>
      <c r="AA120" s="7"/>
      <c r="AB120" s="7"/>
      <c r="AC120" s="7"/>
      <c r="AD120" s="8"/>
      <c r="AE120" s="71"/>
      <c r="AF120" s="7"/>
      <c r="AG120" s="5"/>
    </row>
    <row r="121" spans="1:33" ht="12.75">
      <c r="A121" s="6">
        <v>20760</v>
      </c>
      <c r="B121" s="7">
        <v>27.51</v>
      </c>
      <c r="C121" s="8">
        <f>IF(Tabela1[[#This Row],[Consumer Price Index (CPI)]]="",#N/A,((Tabela1[[#This Row],[Consumer Price Index (CPI)]]*1)/B120)-1)</f>
        <v>0</v>
      </c>
      <c r="D121" s="8">
        <f>IF(Tabela1[[#This Row],[Consumer Price Index (CPI)]]="",#N/A,((Tabela1[[#This Row],[Consumer Price Index (CPI)]]*1)/B109)-1)</f>
        <v>2.34375E-2</v>
      </c>
      <c r="E121" s="25"/>
      <c r="F121" s="7"/>
      <c r="G121" s="7"/>
      <c r="H121" s="8"/>
      <c r="I121" s="8"/>
      <c r="J121" s="25">
        <v>21.2</v>
      </c>
      <c r="K121" s="8">
        <f>IF(Tabela1[[#This Row],[Services CPI]]="",#N/A,((Tabela1[[#This Row],[Services CPI]]*1)/J120)-1)</f>
        <v>4.7393364928909332E-3</v>
      </c>
      <c r="L121" s="8"/>
      <c r="M121" s="7"/>
      <c r="N121" s="8"/>
      <c r="O121" s="8"/>
      <c r="P121" s="7">
        <v>36.6</v>
      </c>
      <c r="Q121" s="8">
        <f>IF(Tabela1[[#This Row],[Durable Goods CPI]]="",#N/A,((Tabela1[[#This Row],[Durable Goods CPI]]*1)/P120)-1)</f>
        <v>0</v>
      </c>
      <c r="R121" s="8"/>
      <c r="S121" s="7"/>
      <c r="T121" s="7"/>
      <c r="U121" s="7"/>
      <c r="V121" s="7"/>
      <c r="W121" s="7"/>
      <c r="X121" s="7"/>
      <c r="Y121" s="7"/>
      <c r="Z121" s="7"/>
      <c r="AA121" s="7"/>
      <c r="AB121" s="7"/>
      <c r="AC121" s="7"/>
      <c r="AD121" s="8"/>
      <c r="AE121" s="71"/>
      <c r="AF121" s="7"/>
      <c r="AG121" s="5"/>
    </row>
    <row r="122" spans="1:33" ht="12.75">
      <c r="A122" s="6">
        <v>20790</v>
      </c>
      <c r="B122" s="7">
        <v>27.63</v>
      </c>
      <c r="C122" s="8">
        <f>IF(Tabela1[[#This Row],[Consumer Price Index (CPI)]]="",#N/A,((Tabela1[[#This Row],[Consumer Price Index (CPI)]]*1)/B121)-1)</f>
        <v>4.362050163576825E-3</v>
      </c>
      <c r="D122" s="8">
        <f>IF(Tabela1[[#This Row],[Consumer Price Index (CPI)]]="",#N/A,((Tabela1[[#This Row],[Consumer Price Index (CPI)]]*1)/B110)-1)</f>
        <v>2.8284331968738252E-2</v>
      </c>
      <c r="E122" s="25"/>
      <c r="F122" s="7"/>
      <c r="G122" s="7"/>
      <c r="H122" s="8"/>
      <c r="I122" s="8"/>
      <c r="J122" s="25">
        <v>21.3</v>
      </c>
      <c r="K122" s="8">
        <f>IF(Tabela1[[#This Row],[Services CPI]]="",#N/A,((Tabela1[[#This Row],[Services CPI]]*1)/J121)-1)</f>
        <v>4.7169811320755262E-3</v>
      </c>
      <c r="L122" s="8"/>
      <c r="M122" s="7"/>
      <c r="N122" s="8"/>
      <c r="O122" s="8"/>
      <c r="P122" s="7">
        <v>36.700000000000003</v>
      </c>
      <c r="Q122" s="8">
        <f>IF(Tabela1[[#This Row],[Durable Goods CPI]]="",#N/A,((Tabela1[[#This Row],[Durable Goods CPI]]*1)/P121)-1)</f>
        <v>2.732240437158584E-3</v>
      </c>
      <c r="R122" s="8"/>
      <c r="S122" s="7"/>
      <c r="T122" s="7"/>
      <c r="U122" s="7"/>
      <c r="V122" s="7"/>
      <c r="W122" s="7"/>
      <c r="X122" s="7"/>
      <c r="Y122" s="7"/>
      <c r="Z122" s="7"/>
      <c r="AA122" s="7"/>
      <c r="AB122" s="7"/>
      <c r="AC122" s="7"/>
      <c r="AD122" s="8"/>
      <c r="AE122" s="71"/>
      <c r="AF122" s="7"/>
      <c r="AG122" s="5"/>
    </row>
    <row r="123" spans="1:33" ht="12.75">
      <c r="A123" s="6">
        <v>20821</v>
      </c>
      <c r="B123" s="7">
        <v>27.67</v>
      </c>
      <c r="C123" s="8">
        <f>IF(Tabela1[[#This Row],[Consumer Price Index (CPI)]]="",#N/A,((Tabela1[[#This Row],[Consumer Price Index (CPI)]]*1)/B122)-1)</f>
        <v>1.4477017734346731E-3</v>
      </c>
      <c r="D123" s="8">
        <f>IF(Tabela1[[#This Row],[Consumer Price Index (CPI)]]="",#N/A,((Tabela1[[#This Row],[Consumer Price Index (CPI)]]*1)/B111)-1)</f>
        <v>3.1308237048080612E-2</v>
      </c>
      <c r="E123" s="25">
        <v>28.5</v>
      </c>
      <c r="F123" s="7"/>
      <c r="G123" s="7"/>
      <c r="H123" s="8"/>
      <c r="I123" s="8"/>
      <c r="J123" s="25">
        <v>21.4</v>
      </c>
      <c r="K123" s="8">
        <f>IF(Tabela1[[#This Row],[Services CPI]]="",#N/A,((Tabela1[[#This Row],[Services CPI]]*1)/J122)-1)</f>
        <v>4.6948356807510194E-3</v>
      </c>
      <c r="L123" s="8">
        <f>IF(Tabela1[[#This Row],[Services CPI]]="",#N/A,((Tabela1[[#This Row],[Services CPI]]*1)/J111)-1)</f>
        <v>3.3816425120772875E-2</v>
      </c>
      <c r="M123" s="7"/>
      <c r="N123" s="8"/>
      <c r="O123" s="8"/>
      <c r="P123" s="7">
        <v>36.9</v>
      </c>
      <c r="Q123" s="8">
        <f>IF(Tabela1[[#This Row],[Durable Goods CPI]]="",#N/A,((Tabela1[[#This Row],[Durable Goods CPI]]*1)/P122)-1)</f>
        <v>5.4495912806538094E-3</v>
      </c>
      <c r="R123" s="8">
        <f>IF(Tabela1[[#This Row],[Durable Goods CPI]]="",#N/A,((Tabela1[[#This Row],[Durable Goods CPI]]*1)/P111)-1)</f>
        <v>3.3613445378151141E-2</v>
      </c>
      <c r="S123" s="7"/>
      <c r="T123" s="7"/>
      <c r="U123" s="7"/>
      <c r="V123" s="7"/>
      <c r="W123" s="7"/>
      <c r="X123" s="7"/>
      <c r="Y123" s="7"/>
      <c r="Z123" s="7"/>
      <c r="AA123" s="7"/>
      <c r="AB123" s="7"/>
      <c r="AC123" s="7"/>
      <c r="AD123" s="8"/>
      <c r="AE123" s="71"/>
      <c r="AF123" s="7"/>
      <c r="AG123" s="5"/>
    </row>
    <row r="124" spans="1:33" ht="12.75">
      <c r="A124" s="6">
        <v>20852</v>
      </c>
      <c r="B124" s="7">
        <v>27.8</v>
      </c>
      <c r="C124" s="8">
        <f>IF(Tabela1[[#This Row],[Consumer Price Index (CPI)]]="",#N/A,((Tabela1[[#This Row],[Consumer Price Index (CPI)]]*1)/B123)-1)</f>
        <v>4.6982291290205147E-3</v>
      </c>
      <c r="D124" s="8">
        <f>IF(Tabela1[[#This Row],[Consumer Price Index (CPI)]]="",#N/A,((Tabela1[[#This Row],[Consumer Price Index (CPI)]]*1)/B112)-1)</f>
        <v>3.4996276991809516E-2</v>
      </c>
      <c r="E124" s="25">
        <v>28.6</v>
      </c>
      <c r="F124" s="8">
        <f>IF(Tabela1[[#This Row],[Core Consumer Price Index]]="",#N/A,((Tabela1[[#This Row],[Core Consumer Price Index]]*1)/E123)-1)</f>
        <v>3.5087719298245723E-3</v>
      </c>
      <c r="G124" s="7"/>
      <c r="H124" s="8"/>
      <c r="I124" s="8"/>
      <c r="J124" s="25">
        <v>21.4</v>
      </c>
      <c r="K124" s="8">
        <f>IF(Tabela1[[#This Row],[Services CPI]]="",#N/A,((Tabela1[[#This Row],[Services CPI]]*1)/J123)-1)</f>
        <v>0</v>
      </c>
      <c r="L124" s="8">
        <f>IF(Tabela1[[#This Row],[Services CPI]]="",#N/A,((Tabela1[[#This Row],[Services CPI]]*1)/J112)-1)</f>
        <v>3.3816425120772875E-2</v>
      </c>
      <c r="M124" s="7"/>
      <c r="N124" s="8"/>
      <c r="O124" s="8"/>
      <c r="P124" s="7">
        <v>37</v>
      </c>
      <c r="Q124" s="8">
        <f>IF(Tabela1[[#This Row],[Durable Goods CPI]]="",#N/A,((Tabela1[[#This Row],[Durable Goods CPI]]*1)/P123)-1)</f>
        <v>2.7100271002711285E-3</v>
      </c>
      <c r="R124" s="8">
        <f>IF(Tabela1[[#This Row],[Durable Goods CPI]]="",#N/A,((Tabela1[[#This Row],[Durable Goods CPI]]*1)/P112)-1)</f>
        <v>3.3519553072625774E-2</v>
      </c>
      <c r="S124" s="7"/>
      <c r="T124" s="7"/>
      <c r="U124" s="7"/>
      <c r="V124" s="7"/>
      <c r="W124" s="7"/>
      <c r="X124" s="7"/>
      <c r="Y124" s="7"/>
      <c r="Z124" s="7"/>
      <c r="AA124" s="7"/>
      <c r="AB124" s="7"/>
      <c r="AC124" s="7"/>
      <c r="AD124" s="8"/>
      <c r="AE124" s="71"/>
      <c r="AF124" s="7"/>
      <c r="AG124" s="5"/>
    </row>
    <row r="125" spans="1:33" ht="12.75">
      <c r="A125" s="6">
        <v>20880</v>
      </c>
      <c r="B125" s="7">
        <v>27.86</v>
      </c>
      <c r="C125" s="8">
        <f>IF(Tabela1[[#This Row],[Consumer Price Index (CPI)]]="",#N/A,((Tabela1[[#This Row],[Consumer Price Index (CPI)]]*1)/B124)-1)</f>
        <v>2.1582733812948174E-3</v>
      </c>
      <c r="D125" s="8">
        <f>IF(Tabela1[[#This Row],[Consumer Price Index (CPI)]]="",#N/A,((Tabela1[[#This Row],[Consumer Price Index (CPI)]]*1)/B113)-1)</f>
        <v>3.6072889550018639E-2</v>
      </c>
      <c r="E125" s="25">
        <v>28.7</v>
      </c>
      <c r="F125" s="8">
        <f>IF(Tabela1[[#This Row],[Core Consumer Price Index]]="",#N/A,((Tabela1[[#This Row],[Core Consumer Price Index]]*1)/E124)-1)</f>
        <v>3.4965034965033226E-3</v>
      </c>
      <c r="G125" s="7"/>
      <c r="H125" s="8"/>
      <c r="I125" s="8"/>
      <c r="J125" s="25">
        <v>21.6</v>
      </c>
      <c r="K125" s="8">
        <f>IF(Tabela1[[#This Row],[Services CPI]]="",#N/A,((Tabela1[[#This Row],[Services CPI]]*1)/J124)-1)</f>
        <v>9.3457943925234765E-3</v>
      </c>
      <c r="L125" s="8">
        <f>IF(Tabela1[[#This Row],[Services CPI]]="",#N/A,((Tabela1[[#This Row],[Services CPI]]*1)/J113)-1)</f>
        <v>4.347826086956541E-2</v>
      </c>
      <c r="M125" s="7"/>
      <c r="N125" s="8"/>
      <c r="O125" s="8"/>
      <c r="P125" s="7">
        <v>37.200000000000003</v>
      </c>
      <c r="Q125" s="8">
        <f>IF(Tabela1[[#This Row],[Durable Goods CPI]]="",#N/A,((Tabela1[[#This Row],[Durable Goods CPI]]*1)/P124)-1)</f>
        <v>5.4054054054055722E-3</v>
      </c>
      <c r="R125" s="8">
        <f>IF(Tabela1[[#This Row],[Durable Goods CPI]]="",#N/A,((Tabela1[[#This Row],[Durable Goods CPI]]*1)/P113)-1)</f>
        <v>3.9106145251396773E-2</v>
      </c>
      <c r="S125" s="7"/>
      <c r="T125" s="7"/>
      <c r="U125" s="7"/>
      <c r="V125" s="7"/>
      <c r="W125" s="7"/>
      <c r="X125" s="7"/>
      <c r="Y125" s="7"/>
      <c r="Z125" s="7"/>
      <c r="AA125" s="7"/>
      <c r="AB125" s="7"/>
      <c r="AC125" s="7"/>
      <c r="AD125" s="8"/>
      <c r="AE125" s="71"/>
      <c r="AF125" s="7"/>
      <c r="AG125" s="5"/>
    </row>
    <row r="126" spans="1:33" ht="12.75">
      <c r="A126" s="6">
        <v>20911</v>
      </c>
      <c r="B126" s="7">
        <v>27.93</v>
      </c>
      <c r="C126" s="8">
        <f>IF(Tabela1[[#This Row],[Consumer Price Index (CPI)]]="",#N/A,((Tabela1[[#This Row],[Consumer Price Index (CPI)]]*1)/B125)-1)</f>
        <v>2.5125628140703071E-3</v>
      </c>
      <c r="D126" s="8">
        <f>IF(Tabela1[[#This Row],[Consumer Price Index (CPI)]]="",#N/A,((Tabela1[[#This Row],[Consumer Price Index (CPI)]]*1)/B114)-1)</f>
        <v>3.7133308577794288E-2</v>
      </c>
      <c r="E126" s="25">
        <v>28.8</v>
      </c>
      <c r="F126" s="8">
        <f>IF(Tabela1[[#This Row],[Core Consumer Price Index]]="",#N/A,((Tabela1[[#This Row],[Core Consumer Price Index]]*1)/E125)-1)</f>
        <v>3.4843205574912606E-3</v>
      </c>
      <c r="G126" s="7"/>
      <c r="H126" s="8">
        <f t="shared" ref="H126:H189" si="0">SUM(F124:F126)*4</f>
        <v>4.1958383935276622E-2</v>
      </c>
      <c r="I126" s="8"/>
      <c r="J126" s="25">
        <v>21.6</v>
      </c>
      <c r="K126" s="8">
        <f>IF(Tabela1[[#This Row],[Services CPI]]="",#N/A,((Tabela1[[#This Row],[Services CPI]]*1)/J125)-1)</f>
        <v>0</v>
      </c>
      <c r="L126" s="8">
        <f>IF(Tabela1[[#This Row],[Services CPI]]="",#N/A,((Tabela1[[#This Row],[Services CPI]]*1)/J114)-1)</f>
        <v>3.8461538461538547E-2</v>
      </c>
      <c r="M126" s="7"/>
      <c r="N126" s="8"/>
      <c r="O126" s="8"/>
      <c r="P126" s="7">
        <v>37.299999999999997</v>
      </c>
      <c r="Q126" s="8">
        <f>IF(Tabela1[[#This Row],[Durable Goods CPI]]="",#N/A,((Tabela1[[#This Row],[Durable Goods CPI]]*1)/P125)-1)</f>
        <v>2.6881720430105283E-3</v>
      </c>
      <c r="R126" s="8">
        <f>IF(Tabela1[[#This Row],[Durable Goods CPI]]="",#N/A,((Tabela1[[#This Row],[Durable Goods CPI]]*1)/P114)-1)</f>
        <v>4.4817927170868188E-2</v>
      </c>
      <c r="S126" s="7"/>
      <c r="T126" s="7"/>
      <c r="U126" s="7"/>
      <c r="V126" s="7"/>
      <c r="W126" s="7"/>
      <c r="X126" s="7"/>
      <c r="Y126" s="7"/>
      <c r="Z126" s="7"/>
      <c r="AA126" s="7"/>
      <c r="AB126" s="7"/>
      <c r="AC126" s="7"/>
      <c r="AD126" s="8"/>
      <c r="AE126" s="71"/>
      <c r="AF126" s="7"/>
      <c r="AG126" s="5"/>
    </row>
    <row r="127" spans="1:33" ht="12.75">
      <c r="A127" s="6">
        <v>20941</v>
      </c>
      <c r="B127" s="7">
        <v>28</v>
      </c>
      <c r="C127" s="8">
        <f>IF(Tabela1[[#This Row],[Consumer Price Index (CPI)]]="",#N/A,((Tabela1[[#This Row],[Consumer Price Index (CPI)]]*1)/B126)-1)</f>
        <v>2.5062656641603454E-3</v>
      </c>
      <c r="D127" s="8">
        <f>IF(Tabela1[[#This Row],[Consumer Price Index (CPI)]]="",#N/A,((Tabela1[[#This Row],[Consumer Price Index (CPI)]]*1)/B115)-1)</f>
        <v>3.588605253422128E-2</v>
      </c>
      <c r="E127" s="25">
        <v>28.8</v>
      </c>
      <c r="F127" s="8">
        <f>IF(Tabela1[[#This Row],[Core Consumer Price Index]]="",#N/A,((Tabela1[[#This Row],[Core Consumer Price Index]]*1)/E126)-1)</f>
        <v>0</v>
      </c>
      <c r="G127" s="7"/>
      <c r="H127" s="8">
        <f t="shared" si="0"/>
        <v>2.7923296215978333E-2</v>
      </c>
      <c r="I127" s="8"/>
      <c r="J127" s="25">
        <v>21.7</v>
      </c>
      <c r="K127" s="8">
        <f>IF(Tabela1[[#This Row],[Services CPI]]="",#N/A,((Tabela1[[#This Row],[Services CPI]]*1)/J126)-1)</f>
        <v>4.6296296296295392E-3</v>
      </c>
      <c r="L127" s="8">
        <f>IF(Tabela1[[#This Row],[Services CPI]]="",#N/A,((Tabela1[[#This Row],[Services CPI]]*1)/J115)-1)</f>
        <v>4.3269230769230616E-2</v>
      </c>
      <c r="M127" s="7"/>
      <c r="N127" s="8"/>
      <c r="O127" s="8"/>
      <c r="P127" s="7">
        <v>37.200000000000003</v>
      </c>
      <c r="Q127" s="8">
        <f>IF(Tabela1[[#This Row],[Durable Goods CPI]]="",#N/A,((Tabela1[[#This Row],[Durable Goods CPI]]*1)/P126)-1)</f>
        <v>-2.6809651474529739E-3</v>
      </c>
      <c r="R127" s="8">
        <f>IF(Tabela1[[#This Row],[Durable Goods CPI]]="",#N/A,((Tabela1[[#This Row],[Durable Goods CPI]]*1)/P115)-1)</f>
        <v>3.9106145251396773E-2</v>
      </c>
      <c r="S127" s="7"/>
      <c r="T127" s="7"/>
      <c r="U127" s="7"/>
      <c r="V127" s="7"/>
      <c r="W127" s="7"/>
      <c r="X127" s="7"/>
      <c r="Y127" s="7"/>
      <c r="Z127" s="7"/>
      <c r="AA127" s="7"/>
      <c r="AB127" s="7"/>
      <c r="AC127" s="7"/>
      <c r="AD127" s="8"/>
      <c r="AE127" s="71"/>
      <c r="AF127" s="7"/>
      <c r="AG127" s="5"/>
    </row>
    <row r="128" spans="1:33" ht="12.75">
      <c r="A128" s="6">
        <v>20972</v>
      </c>
      <c r="B128" s="7">
        <v>28.11</v>
      </c>
      <c r="C128" s="8">
        <f>IF(Tabela1[[#This Row],[Consumer Price Index (CPI)]]="",#N/A,((Tabela1[[#This Row],[Consumer Price Index (CPI)]]*1)/B127)-1)</f>
        <v>3.9285714285715034E-3</v>
      </c>
      <c r="D128" s="8">
        <f>IF(Tabela1[[#This Row],[Consumer Price Index (CPI)]]="",#N/A,((Tabela1[[#This Row],[Consumer Price Index (CPI)]]*1)/B116)-1)</f>
        <v>3.5359116022099402E-2</v>
      </c>
      <c r="E128" s="25">
        <v>28.9</v>
      </c>
      <c r="F128" s="8">
        <f>IF(Tabela1[[#This Row],[Core Consumer Price Index]]="",#N/A,((Tabela1[[#This Row],[Core Consumer Price Index]]*1)/E127)-1)</f>
        <v>3.4722222222220989E-3</v>
      </c>
      <c r="G128" s="7"/>
      <c r="H128" s="8">
        <f t="shared" si="0"/>
        <v>2.7826171118853438E-2</v>
      </c>
      <c r="I128" s="8"/>
      <c r="J128" s="25">
        <v>21.8</v>
      </c>
      <c r="K128" s="8">
        <f>IF(Tabela1[[#This Row],[Services CPI]]="",#N/A,((Tabela1[[#This Row],[Services CPI]]*1)/J127)-1)</f>
        <v>4.6082949308756671E-3</v>
      </c>
      <c r="L128" s="8">
        <f>IF(Tabela1[[#This Row],[Services CPI]]="",#N/A,((Tabela1[[#This Row],[Services CPI]]*1)/J116)-1)</f>
        <v>4.3062200956937913E-2</v>
      </c>
      <c r="M128" s="7"/>
      <c r="N128" s="8"/>
      <c r="O128" s="8"/>
      <c r="P128" s="7">
        <v>37.299999999999997</v>
      </c>
      <c r="Q128" s="8">
        <f>IF(Tabela1[[#This Row],[Durable Goods CPI]]="",#N/A,((Tabela1[[#This Row],[Durable Goods CPI]]*1)/P127)-1)</f>
        <v>2.6881720430105283E-3</v>
      </c>
      <c r="R128" s="8">
        <f>IF(Tabela1[[#This Row],[Durable Goods CPI]]="",#N/A,((Tabela1[[#This Row],[Durable Goods CPI]]*1)/P116)-1)</f>
        <v>3.8997214484679521E-2</v>
      </c>
      <c r="S128" s="7"/>
      <c r="T128" s="7"/>
      <c r="U128" s="7"/>
      <c r="V128" s="7"/>
      <c r="W128" s="7"/>
      <c r="X128" s="7"/>
      <c r="Y128" s="7"/>
      <c r="Z128" s="7"/>
      <c r="AA128" s="7"/>
      <c r="AB128" s="7"/>
      <c r="AC128" s="7"/>
      <c r="AD128" s="8"/>
      <c r="AE128" s="71"/>
      <c r="AF128" s="7"/>
      <c r="AG128" s="5"/>
    </row>
    <row r="129" spans="1:33" ht="12.75">
      <c r="A129" s="6">
        <v>21002</v>
      </c>
      <c r="B129" s="7">
        <v>28.19</v>
      </c>
      <c r="C129" s="8">
        <f>IF(Tabela1[[#This Row],[Consumer Price Index (CPI)]]="",#N/A,((Tabela1[[#This Row],[Consumer Price Index (CPI)]]*1)/B128)-1)</f>
        <v>2.8459622909997595E-3</v>
      </c>
      <c r="D129" s="8">
        <f>IF(Tabela1[[#This Row],[Consumer Price Index (CPI)]]="",#N/A,((Tabela1[[#This Row],[Consumer Price Index (CPI)]]*1)/B117)-1)</f>
        <v>3.2979113228288837E-2</v>
      </c>
      <c r="E129" s="25">
        <v>29</v>
      </c>
      <c r="F129" s="8">
        <f>IF(Tabela1[[#This Row],[Core Consumer Price Index]]="",#N/A,((Tabela1[[#This Row],[Core Consumer Price Index]]*1)/E128)-1)</f>
        <v>3.4602076124568004E-3</v>
      </c>
      <c r="G129" s="7"/>
      <c r="H129" s="8">
        <f t="shared" si="0"/>
        <v>2.7729719338715597E-2</v>
      </c>
      <c r="I129" s="8">
        <f t="shared" ref="I129:I192" si="1">SUM(F124:F129)*2</f>
        <v>3.484405163699611E-2</v>
      </c>
      <c r="J129" s="25">
        <v>21.8</v>
      </c>
      <c r="K129" s="8">
        <f>IF(Tabela1[[#This Row],[Services CPI]]="",#N/A,((Tabela1[[#This Row],[Services CPI]]*1)/J128)-1)</f>
        <v>0</v>
      </c>
      <c r="L129" s="8">
        <f>IF(Tabela1[[#This Row],[Services CPI]]="",#N/A,((Tabela1[[#This Row],[Services CPI]]*1)/J117)-1)</f>
        <v>4.3062200956937913E-2</v>
      </c>
      <c r="M129" s="7"/>
      <c r="N129" s="8"/>
      <c r="O129" s="8"/>
      <c r="P129" s="7">
        <v>37.200000000000003</v>
      </c>
      <c r="Q129" s="8">
        <f>IF(Tabela1[[#This Row],[Durable Goods CPI]]="",#N/A,((Tabela1[[#This Row],[Durable Goods CPI]]*1)/P128)-1)</f>
        <v>-2.6809651474529739E-3</v>
      </c>
      <c r="R129" s="8">
        <f>IF(Tabela1[[#This Row],[Durable Goods CPI]]="",#N/A,((Tabela1[[#This Row],[Durable Goods CPI]]*1)/P117)-1)</f>
        <v>3.0470914127423754E-2</v>
      </c>
      <c r="S129" s="7"/>
      <c r="T129" s="7"/>
      <c r="U129" s="7"/>
      <c r="V129" s="7"/>
      <c r="W129" s="7"/>
      <c r="X129" s="7"/>
      <c r="Y129" s="7"/>
      <c r="Z129" s="7"/>
      <c r="AA129" s="7"/>
      <c r="AB129" s="7"/>
      <c r="AC129" s="7"/>
      <c r="AD129" s="8"/>
      <c r="AE129" s="71"/>
      <c r="AF129" s="7"/>
      <c r="AG129" s="5"/>
    </row>
    <row r="130" spans="1:33" ht="12.75">
      <c r="A130" s="6">
        <v>21033</v>
      </c>
      <c r="B130" s="7">
        <v>28.28</v>
      </c>
      <c r="C130" s="8">
        <f>IF(Tabela1[[#This Row],[Consumer Price Index (CPI)]]="",#N/A,((Tabela1[[#This Row],[Consumer Price Index (CPI)]]*1)/B129)-1)</f>
        <v>3.1926214969848488E-3</v>
      </c>
      <c r="D130" s="8">
        <f>IF(Tabela1[[#This Row],[Consumer Price Index (CPI)]]="",#N/A,((Tabela1[[#This Row],[Consumer Price Index (CPI)]]*1)/B118)-1)</f>
        <v>3.5518125228853892E-2</v>
      </c>
      <c r="E130" s="25">
        <v>29</v>
      </c>
      <c r="F130" s="8">
        <f>IF(Tabela1[[#This Row],[Core Consumer Price Index]]="",#N/A,((Tabela1[[#This Row],[Core Consumer Price Index]]*1)/E129)-1)</f>
        <v>0</v>
      </c>
      <c r="G130" s="7"/>
      <c r="H130" s="8">
        <f t="shared" si="0"/>
        <v>2.7729719338715597E-2</v>
      </c>
      <c r="I130" s="8">
        <f t="shared" si="1"/>
        <v>2.7826507777346965E-2</v>
      </c>
      <c r="J130" s="25">
        <v>21.9</v>
      </c>
      <c r="K130" s="8">
        <f>IF(Tabela1[[#This Row],[Services CPI]]="",#N/A,((Tabela1[[#This Row],[Services CPI]]*1)/J129)-1)</f>
        <v>4.5871559633026138E-3</v>
      </c>
      <c r="L130" s="8">
        <f>IF(Tabela1[[#This Row],[Services CPI]]="",#N/A,((Tabela1[[#This Row],[Services CPI]]*1)/J118)-1)</f>
        <v>4.2857142857142705E-2</v>
      </c>
      <c r="M130" s="7"/>
      <c r="N130" s="8"/>
      <c r="O130" s="8"/>
      <c r="P130" s="7">
        <v>37.299999999999997</v>
      </c>
      <c r="Q130" s="8">
        <f>IF(Tabela1[[#This Row],[Durable Goods CPI]]="",#N/A,((Tabela1[[#This Row],[Durable Goods CPI]]*1)/P129)-1)</f>
        <v>2.6881720430105283E-3</v>
      </c>
      <c r="R130" s="8">
        <f>IF(Tabela1[[#This Row],[Durable Goods CPI]]="",#N/A,((Tabela1[[#This Row],[Durable Goods CPI]]*1)/P118)-1)</f>
        <v>3.0386740331491469E-2</v>
      </c>
      <c r="S130" s="7"/>
      <c r="T130" s="7"/>
      <c r="U130" s="7"/>
      <c r="V130" s="7"/>
      <c r="W130" s="7"/>
      <c r="X130" s="7"/>
      <c r="Y130" s="7"/>
      <c r="Z130" s="7"/>
      <c r="AA130" s="7"/>
      <c r="AB130" s="7"/>
      <c r="AC130" s="7"/>
      <c r="AD130" s="8"/>
      <c r="AE130" s="71"/>
      <c r="AF130" s="7"/>
      <c r="AG130" s="5"/>
    </row>
    <row r="131" spans="1:33" ht="12.75">
      <c r="A131" s="6">
        <v>21064</v>
      </c>
      <c r="B131" s="7">
        <v>28.32</v>
      </c>
      <c r="C131" s="8">
        <f>IF(Tabela1[[#This Row],[Consumer Price Index (CPI)]]="",#N/A,((Tabela1[[#This Row],[Consumer Price Index (CPI)]]*1)/B130)-1)</f>
        <v>1.4144271570013522E-3</v>
      </c>
      <c r="D131" s="8">
        <f>IF(Tabela1[[#This Row],[Consumer Price Index (CPI)]]="",#N/A,((Tabela1[[#This Row],[Consumer Price Index (CPI)]]*1)/B119)-1)</f>
        <v>3.5466179159049371E-2</v>
      </c>
      <c r="E131" s="25">
        <v>29.1</v>
      </c>
      <c r="F131" s="8">
        <f>IF(Tabela1[[#This Row],[Core Consumer Price Index]]="",#N/A,((Tabela1[[#This Row],[Core Consumer Price Index]]*1)/E130)-1)</f>
        <v>3.4482758620690834E-3</v>
      </c>
      <c r="G131" s="7"/>
      <c r="H131" s="8">
        <f t="shared" si="0"/>
        <v>2.7633933898103535E-2</v>
      </c>
      <c r="I131" s="8">
        <f t="shared" si="1"/>
        <v>2.7730052508478487E-2</v>
      </c>
      <c r="J131" s="25">
        <v>22</v>
      </c>
      <c r="K131" s="8">
        <f>IF(Tabela1[[#This Row],[Services CPI]]="",#N/A,((Tabela1[[#This Row],[Services CPI]]*1)/J130)-1)</f>
        <v>4.5662100456622667E-3</v>
      </c>
      <c r="L131" s="8">
        <f>IF(Tabela1[[#This Row],[Services CPI]]="",#N/A,((Tabela1[[#This Row],[Services CPI]]*1)/J119)-1)</f>
        <v>4.2654028436018843E-2</v>
      </c>
      <c r="M131" s="7"/>
      <c r="N131" s="8"/>
      <c r="O131" s="8"/>
      <c r="P131" s="7">
        <v>37.4</v>
      </c>
      <c r="Q131" s="8">
        <f>IF(Tabela1[[#This Row],[Durable Goods CPI]]="",#N/A,((Tabela1[[#This Row],[Durable Goods CPI]]*1)/P130)-1)</f>
        <v>2.6809651474530849E-3</v>
      </c>
      <c r="R131" s="8">
        <f>IF(Tabela1[[#This Row],[Durable Goods CPI]]="",#N/A,((Tabela1[[#This Row],[Durable Goods CPI]]*1)/P119)-1)</f>
        <v>3.0303030303030276E-2</v>
      </c>
      <c r="S131" s="7"/>
      <c r="T131" s="7"/>
      <c r="U131" s="7"/>
      <c r="V131" s="7"/>
      <c r="W131" s="7"/>
      <c r="X131" s="7"/>
      <c r="Y131" s="7"/>
      <c r="Z131" s="7"/>
      <c r="AA131" s="7"/>
      <c r="AB131" s="7"/>
      <c r="AC131" s="7"/>
      <c r="AD131" s="8"/>
      <c r="AE131" s="71"/>
      <c r="AF131" s="7"/>
      <c r="AG131" s="5"/>
    </row>
    <row r="132" spans="1:33" ht="12.75">
      <c r="A132" s="6">
        <v>21094</v>
      </c>
      <c r="B132" s="7">
        <v>28.32</v>
      </c>
      <c r="C132" s="8">
        <f>IF(Tabela1[[#This Row],[Consumer Price Index (CPI)]]="",#N/A,((Tabela1[[#This Row],[Consumer Price Index (CPI)]]*1)/B131)-1)</f>
        <v>0</v>
      </c>
      <c r="D132" s="8">
        <f>IF(Tabela1[[#This Row],[Consumer Price Index (CPI)]]="",#N/A,((Tabela1[[#This Row],[Consumer Price Index (CPI)]]*1)/B120)-1)</f>
        <v>2.9443838604143791E-2</v>
      </c>
      <c r="E132" s="25">
        <v>29.2</v>
      </c>
      <c r="F132" s="8">
        <f>IF(Tabela1[[#This Row],[Core Consumer Price Index]]="",#N/A,((Tabela1[[#This Row],[Core Consumer Price Index]]*1)/E131)-1)</f>
        <v>3.4364261168384758E-3</v>
      </c>
      <c r="G132" s="7"/>
      <c r="H132" s="8">
        <f t="shared" si="0"/>
        <v>2.7538807915630237E-2</v>
      </c>
      <c r="I132" s="8">
        <f t="shared" si="1"/>
        <v>2.7634263627172917E-2</v>
      </c>
      <c r="J132" s="25">
        <v>22.1</v>
      </c>
      <c r="K132" s="8">
        <f>IF(Tabela1[[#This Row],[Services CPI]]="",#N/A,((Tabela1[[#This Row],[Services CPI]]*1)/J131)-1)</f>
        <v>4.5454545454546302E-3</v>
      </c>
      <c r="L132" s="8">
        <f>IF(Tabela1[[#This Row],[Services CPI]]="",#N/A,((Tabela1[[#This Row],[Services CPI]]*1)/J120)-1)</f>
        <v>4.7393364928909998E-2</v>
      </c>
      <c r="M132" s="7"/>
      <c r="N132" s="8"/>
      <c r="O132" s="8"/>
      <c r="P132" s="7">
        <v>37.1</v>
      </c>
      <c r="Q132" s="8">
        <f>IF(Tabela1[[#This Row],[Durable Goods CPI]]="",#N/A,((Tabela1[[#This Row],[Durable Goods CPI]]*1)/P131)-1)</f>
        <v>-8.0213903743314718E-3</v>
      </c>
      <c r="R132" s="8">
        <f>IF(Tabela1[[#This Row],[Durable Goods CPI]]="",#N/A,((Tabela1[[#This Row],[Durable Goods CPI]]*1)/P120)-1)</f>
        <v>1.3661202185792254E-2</v>
      </c>
      <c r="S132" s="7"/>
      <c r="T132" s="7"/>
      <c r="U132" s="7"/>
      <c r="V132" s="7"/>
      <c r="W132" s="7"/>
      <c r="X132" s="7"/>
      <c r="Y132" s="7"/>
      <c r="Z132" s="7"/>
      <c r="AA132" s="7"/>
      <c r="AB132" s="7"/>
      <c r="AC132" s="7"/>
      <c r="AD132" s="8"/>
      <c r="AE132" s="71"/>
      <c r="AF132" s="7"/>
      <c r="AG132" s="5"/>
    </row>
    <row r="133" spans="1:33" ht="12.75">
      <c r="A133" s="6">
        <v>21125</v>
      </c>
      <c r="B133" s="7">
        <v>28.41</v>
      </c>
      <c r="C133" s="8">
        <f>IF(Tabela1[[#This Row],[Consumer Price Index (CPI)]]="",#N/A,((Tabela1[[#This Row],[Consumer Price Index (CPI)]]*1)/B132)-1)</f>
        <v>3.1779661016948513E-3</v>
      </c>
      <c r="D133" s="8">
        <f>IF(Tabela1[[#This Row],[Consumer Price Index (CPI)]]="",#N/A,((Tabela1[[#This Row],[Consumer Price Index (CPI)]]*1)/B121)-1)</f>
        <v>3.2715376226826631E-2</v>
      </c>
      <c r="E133" s="25">
        <v>29.3</v>
      </c>
      <c r="F133" s="8">
        <f>IF(Tabela1[[#This Row],[Core Consumer Price Index]]="",#N/A,((Tabela1[[#This Row],[Core Consumer Price Index]]*1)/E132)-1)</f>
        <v>3.4246575342467001E-3</v>
      </c>
      <c r="G133" s="7"/>
      <c r="H133" s="8">
        <f t="shared" si="0"/>
        <v>4.1237438052617037E-2</v>
      </c>
      <c r="I133" s="8">
        <f t="shared" si="1"/>
        <v>3.4483578695666317E-2</v>
      </c>
      <c r="J133" s="25">
        <v>22.2</v>
      </c>
      <c r="K133" s="8">
        <f>IF(Tabela1[[#This Row],[Services CPI]]="",#N/A,((Tabela1[[#This Row],[Services CPI]]*1)/J132)-1)</f>
        <v>4.5248868778280382E-3</v>
      </c>
      <c r="L133" s="8">
        <f>IF(Tabela1[[#This Row],[Services CPI]]="",#N/A,((Tabela1[[#This Row],[Services CPI]]*1)/J121)-1)</f>
        <v>4.7169811320754818E-2</v>
      </c>
      <c r="M133" s="7"/>
      <c r="N133" s="8"/>
      <c r="O133" s="8"/>
      <c r="P133" s="7">
        <v>37.6</v>
      </c>
      <c r="Q133" s="8">
        <f>IF(Tabela1[[#This Row],[Durable Goods CPI]]="",#N/A,((Tabela1[[#This Row],[Durable Goods CPI]]*1)/P132)-1)</f>
        <v>1.3477088948786964E-2</v>
      </c>
      <c r="R133" s="8">
        <f>IF(Tabela1[[#This Row],[Durable Goods CPI]]="",#N/A,((Tabela1[[#This Row],[Durable Goods CPI]]*1)/P121)-1)</f>
        <v>2.732240437158473E-2</v>
      </c>
      <c r="S133" s="7"/>
      <c r="T133" s="7"/>
      <c r="U133" s="7"/>
      <c r="V133" s="7"/>
      <c r="W133" s="7"/>
      <c r="X133" s="7"/>
      <c r="Y133" s="7"/>
      <c r="Z133" s="7"/>
      <c r="AA133" s="7"/>
      <c r="AB133" s="7"/>
      <c r="AC133" s="7"/>
      <c r="AD133" s="8"/>
      <c r="AE133" s="71"/>
      <c r="AF133" s="7"/>
      <c r="AG133" s="5"/>
    </row>
    <row r="134" spans="1:33" ht="12.75">
      <c r="A134" s="6">
        <v>21155</v>
      </c>
      <c r="B134" s="7">
        <v>28.47</v>
      </c>
      <c r="C134" s="8">
        <f>IF(Tabela1[[#This Row],[Consumer Price Index (CPI)]]="",#N/A,((Tabela1[[#This Row],[Consumer Price Index (CPI)]]*1)/B133)-1)</f>
        <v>2.1119324181626542E-3</v>
      </c>
      <c r="D134" s="8">
        <f>IF(Tabela1[[#This Row],[Consumer Price Index (CPI)]]="",#N/A,((Tabela1[[#This Row],[Consumer Price Index (CPI)]]*1)/B122)-1)</f>
        <v>3.0401737242128135E-2</v>
      </c>
      <c r="E134" s="25">
        <v>29.3</v>
      </c>
      <c r="F134" s="8">
        <f>IF(Tabela1[[#This Row],[Core Consumer Price Index]]="",#N/A,((Tabela1[[#This Row],[Core Consumer Price Index]]*1)/E133)-1)</f>
        <v>0</v>
      </c>
      <c r="G134" s="7"/>
      <c r="H134" s="8">
        <f t="shared" si="0"/>
        <v>2.7444334604340703E-2</v>
      </c>
      <c r="I134" s="8">
        <f t="shared" si="1"/>
        <v>2.7539134251222119E-2</v>
      </c>
      <c r="J134" s="25">
        <v>22.2</v>
      </c>
      <c r="K134" s="8">
        <f>IF(Tabela1[[#This Row],[Services CPI]]="",#N/A,((Tabela1[[#This Row],[Services CPI]]*1)/J133)-1)</f>
        <v>0</v>
      </c>
      <c r="L134" s="8">
        <f>IF(Tabela1[[#This Row],[Services CPI]]="",#N/A,((Tabela1[[#This Row],[Services CPI]]*1)/J122)-1)</f>
        <v>4.2253521126760507E-2</v>
      </c>
      <c r="M134" s="7"/>
      <c r="N134" s="8"/>
      <c r="O134" s="8"/>
      <c r="P134" s="7">
        <v>37.6</v>
      </c>
      <c r="Q134" s="8">
        <f>IF(Tabela1[[#This Row],[Durable Goods CPI]]="",#N/A,((Tabela1[[#This Row],[Durable Goods CPI]]*1)/P133)-1)</f>
        <v>0</v>
      </c>
      <c r="R134" s="8">
        <f>IF(Tabela1[[#This Row],[Durable Goods CPI]]="",#N/A,((Tabela1[[#This Row],[Durable Goods CPI]]*1)/P122)-1)</f>
        <v>2.4523160762942808E-2</v>
      </c>
      <c r="S134" s="7"/>
      <c r="T134" s="7"/>
      <c r="U134" s="7"/>
      <c r="V134" s="7"/>
      <c r="W134" s="7"/>
      <c r="X134" s="7"/>
      <c r="Y134" s="7"/>
      <c r="Z134" s="7"/>
      <c r="AA134" s="7"/>
      <c r="AB134" s="7"/>
      <c r="AC134" s="7"/>
      <c r="AD134" s="8"/>
      <c r="AE134" s="71"/>
      <c r="AF134" s="7"/>
      <c r="AG134" s="5"/>
    </row>
    <row r="135" spans="1:33" ht="12.75">
      <c r="A135" s="6">
        <v>21186</v>
      </c>
      <c r="B135" s="7">
        <v>28.64</v>
      </c>
      <c r="C135" s="8">
        <f>IF(Tabela1[[#This Row],[Consumer Price Index (CPI)]]="",#N/A,((Tabela1[[#This Row],[Consumer Price Index (CPI)]]*1)/B134)-1)</f>
        <v>5.9711977520198189E-3</v>
      </c>
      <c r="D135" s="8">
        <f>IF(Tabela1[[#This Row],[Consumer Price Index (CPI)]]="",#N/A,((Tabela1[[#This Row],[Consumer Price Index (CPI)]]*1)/B123)-1)</f>
        <v>3.5056017347307566E-2</v>
      </c>
      <c r="E135" s="25">
        <v>29.3</v>
      </c>
      <c r="F135" s="8">
        <f>IF(Tabela1[[#This Row],[Core Consumer Price Index]]="",#N/A,((Tabela1[[#This Row],[Core Consumer Price Index]]*1)/E134)-1)</f>
        <v>0</v>
      </c>
      <c r="G135" s="8">
        <f>IF(Tabela1[[#This Row],[Core Consumer Price Index]]="",#N/A,((Tabela1[[#This Row],[Core Consumer Price Index]]*1)/E123)-1)</f>
        <v>2.8070175438596578E-2</v>
      </c>
      <c r="H135" s="8">
        <f t="shared" si="0"/>
        <v>1.36986301369868E-2</v>
      </c>
      <c r="I135" s="8">
        <f t="shared" si="1"/>
        <v>2.0618719026308518E-2</v>
      </c>
      <c r="J135" s="25">
        <v>22.3</v>
      </c>
      <c r="K135" s="8">
        <f>IF(Tabela1[[#This Row],[Services CPI]]="",#N/A,((Tabela1[[#This Row],[Services CPI]]*1)/J134)-1)</f>
        <v>4.5045045045044585E-3</v>
      </c>
      <c r="L135" s="8">
        <f>IF(Tabela1[[#This Row],[Services CPI]]="",#N/A,((Tabela1[[#This Row],[Services CPI]]*1)/J123)-1)</f>
        <v>4.20560747663552E-2</v>
      </c>
      <c r="M135" s="7"/>
      <c r="N135" s="8"/>
      <c r="O135" s="8"/>
      <c r="P135" s="7">
        <v>37.700000000000003</v>
      </c>
      <c r="Q135" s="8">
        <f>IF(Tabela1[[#This Row],[Durable Goods CPI]]="",#N/A,((Tabela1[[#This Row],[Durable Goods CPI]]*1)/P134)-1)</f>
        <v>2.6595744680850686E-3</v>
      </c>
      <c r="R135" s="8">
        <f>IF(Tabela1[[#This Row],[Durable Goods CPI]]="",#N/A,((Tabela1[[#This Row],[Durable Goods CPI]]*1)/P123)-1)</f>
        <v>2.168021680216814E-2</v>
      </c>
      <c r="S135" s="7"/>
      <c r="T135" s="7"/>
      <c r="U135" s="7"/>
      <c r="V135" s="7"/>
      <c r="W135" s="7"/>
      <c r="X135" s="7"/>
      <c r="Y135" s="7"/>
      <c r="Z135" s="7"/>
      <c r="AA135" s="7"/>
      <c r="AB135" s="7"/>
      <c r="AC135" s="7"/>
      <c r="AD135" s="8"/>
      <c r="AE135" s="71"/>
      <c r="AF135" s="7"/>
      <c r="AG135" s="5"/>
    </row>
    <row r="136" spans="1:33" ht="12.75">
      <c r="A136" s="6">
        <v>21217</v>
      </c>
      <c r="B136" s="7">
        <v>28.7</v>
      </c>
      <c r="C136" s="8">
        <f>IF(Tabela1[[#This Row],[Consumer Price Index (CPI)]]="",#N/A,((Tabela1[[#This Row],[Consumer Price Index (CPI)]]*1)/B135)-1)</f>
        <v>2.0949720670391248E-3</v>
      </c>
      <c r="D136" s="8">
        <f>IF(Tabela1[[#This Row],[Consumer Price Index (CPI)]]="",#N/A,((Tabela1[[#This Row],[Consumer Price Index (CPI)]]*1)/B124)-1)</f>
        <v>3.2374100719424481E-2</v>
      </c>
      <c r="E136" s="25">
        <v>29.4</v>
      </c>
      <c r="F136" s="8">
        <f>IF(Tabela1[[#This Row],[Core Consumer Price Index]]="",#N/A,((Tabela1[[#This Row],[Core Consumer Price Index]]*1)/E135)-1)</f>
        <v>3.4129692832762792E-3</v>
      </c>
      <c r="G136" s="8">
        <f>IF(Tabela1[[#This Row],[Core Consumer Price Index]]="",#N/A,((Tabela1[[#This Row],[Core Consumer Price Index]]*1)/E124)-1)</f>
        <v>2.7972027972027913E-2</v>
      </c>
      <c r="H136" s="8">
        <f t="shared" si="0"/>
        <v>1.3651877133105117E-2</v>
      </c>
      <c r="I136" s="8">
        <f t="shared" si="1"/>
        <v>2.7444657592861077E-2</v>
      </c>
      <c r="J136" s="25">
        <v>22.4</v>
      </c>
      <c r="K136" s="8">
        <f>IF(Tabela1[[#This Row],[Services CPI]]="",#N/A,((Tabela1[[#This Row],[Services CPI]]*1)/J135)-1)</f>
        <v>4.484304932735439E-3</v>
      </c>
      <c r="L136" s="8">
        <f>IF(Tabela1[[#This Row],[Services CPI]]="",#N/A,((Tabela1[[#This Row],[Services CPI]]*1)/J124)-1)</f>
        <v>4.6728971962616717E-2</v>
      </c>
      <c r="M136" s="7"/>
      <c r="N136" s="8"/>
      <c r="O136" s="8"/>
      <c r="P136" s="7">
        <v>37.700000000000003</v>
      </c>
      <c r="Q136" s="8">
        <f>IF(Tabela1[[#This Row],[Durable Goods CPI]]="",#N/A,((Tabela1[[#This Row],[Durable Goods CPI]]*1)/P135)-1)</f>
        <v>0</v>
      </c>
      <c r="R136" s="8">
        <f>IF(Tabela1[[#This Row],[Durable Goods CPI]]="",#N/A,((Tabela1[[#This Row],[Durable Goods CPI]]*1)/P124)-1)</f>
        <v>1.8918918918918948E-2</v>
      </c>
      <c r="S136" s="7"/>
      <c r="T136" s="7"/>
      <c r="U136" s="7"/>
      <c r="V136" s="7"/>
      <c r="W136" s="7"/>
      <c r="X136" s="7"/>
      <c r="Y136" s="7"/>
      <c r="Z136" s="7"/>
      <c r="AA136" s="7"/>
      <c r="AB136" s="7"/>
      <c r="AC136" s="7"/>
      <c r="AD136" s="8"/>
      <c r="AE136" s="71"/>
      <c r="AF136" s="7"/>
      <c r="AG136" s="5"/>
    </row>
    <row r="137" spans="1:33" ht="12.75">
      <c r="A137" s="6">
        <v>21245</v>
      </c>
      <c r="B137" s="7">
        <v>28.87</v>
      </c>
      <c r="C137" s="8">
        <f>IF(Tabela1[[#This Row],[Consumer Price Index (CPI)]]="",#N/A,((Tabela1[[#This Row],[Consumer Price Index (CPI)]]*1)/B136)-1)</f>
        <v>5.9233449477351652E-3</v>
      </c>
      <c r="D137" s="8">
        <f>IF(Tabela1[[#This Row],[Consumer Price Index (CPI)]]="",#N/A,((Tabela1[[#This Row],[Consumer Price Index (CPI)]]*1)/B125)-1)</f>
        <v>3.6252692031586653E-2</v>
      </c>
      <c r="E137" s="25">
        <v>29.5</v>
      </c>
      <c r="F137" s="8">
        <f>IF(Tabela1[[#This Row],[Core Consumer Price Index]]="",#N/A,((Tabela1[[#This Row],[Core Consumer Price Index]]*1)/E136)-1)</f>
        <v>3.4013605442178019E-3</v>
      </c>
      <c r="G137" s="8">
        <f>IF(Tabela1[[#This Row],[Core Consumer Price Index]]="",#N/A,((Tabela1[[#This Row],[Core Consumer Price Index]]*1)/E125)-1)</f>
        <v>2.7874564459930307E-2</v>
      </c>
      <c r="H137" s="8">
        <f t="shared" si="0"/>
        <v>2.7257319309976324E-2</v>
      </c>
      <c r="I137" s="8">
        <f t="shared" si="1"/>
        <v>2.7350826957158514E-2</v>
      </c>
      <c r="J137" s="25">
        <v>22.4</v>
      </c>
      <c r="K137" s="8">
        <f>IF(Tabela1[[#This Row],[Services CPI]]="",#N/A,((Tabela1[[#This Row],[Services CPI]]*1)/J136)-1)</f>
        <v>0</v>
      </c>
      <c r="L137" s="8">
        <f>IF(Tabela1[[#This Row],[Services CPI]]="",#N/A,((Tabela1[[#This Row],[Services CPI]]*1)/J125)-1)</f>
        <v>3.7037037037036979E-2</v>
      </c>
      <c r="M137" s="7"/>
      <c r="N137" s="8"/>
      <c r="O137" s="8"/>
      <c r="P137" s="7">
        <v>37.700000000000003</v>
      </c>
      <c r="Q137" s="8">
        <f>IF(Tabela1[[#This Row],[Durable Goods CPI]]="",#N/A,((Tabela1[[#This Row],[Durable Goods CPI]]*1)/P136)-1)</f>
        <v>0</v>
      </c>
      <c r="R137" s="8">
        <f>IF(Tabela1[[#This Row],[Durable Goods CPI]]="",#N/A,((Tabela1[[#This Row],[Durable Goods CPI]]*1)/P125)-1)</f>
        <v>1.3440860215053752E-2</v>
      </c>
      <c r="S137" s="7"/>
      <c r="T137" s="7"/>
      <c r="U137" s="7"/>
      <c r="V137" s="7"/>
      <c r="W137" s="7"/>
      <c r="X137" s="7"/>
      <c r="Y137" s="7"/>
      <c r="Z137" s="7"/>
      <c r="AA137" s="7"/>
      <c r="AB137" s="7"/>
      <c r="AC137" s="7"/>
      <c r="AD137" s="8"/>
      <c r="AE137" s="71"/>
      <c r="AF137" s="7"/>
      <c r="AG137" s="5"/>
    </row>
    <row r="138" spans="1:33" ht="12.75">
      <c r="A138" s="6">
        <v>21276</v>
      </c>
      <c r="B138" s="7">
        <v>28.94</v>
      </c>
      <c r="C138" s="8">
        <f>IF(Tabela1[[#This Row],[Consumer Price Index (CPI)]]="",#N/A,((Tabela1[[#This Row],[Consumer Price Index (CPI)]]*1)/B137)-1)</f>
        <v>2.4246622791825878E-3</v>
      </c>
      <c r="D138" s="8">
        <f>IF(Tabela1[[#This Row],[Consumer Price Index (CPI)]]="",#N/A,((Tabela1[[#This Row],[Consumer Price Index (CPI)]]*1)/B126)-1)</f>
        <v>3.6161833154314316E-2</v>
      </c>
      <c r="E138" s="25">
        <v>29.5</v>
      </c>
      <c r="F138" s="8">
        <f>IF(Tabela1[[#This Row],[Core Consumer Price Index]]="",#N/A,((Tabela1[[#This Row],[Core Consumer Price Index]]*1)/E137)-1)</f>
        <v>0</v>
      </c>
      <c r="G138" s="8">
        <f>IF(Tabela1[[#This Row],[Core Consumer Price Index]]="",#N/A,((Tabela1[[#This Row],[Core Consumer Price Index]]*1)/E126)-1)</f>
        <v>2.430555555555558E-2</v>
      </c>
      <c r="H138" s="8">
        <f t="shared" si="0"/>
        <v>2.7257319309976324E-2</v>
      </c>
      <c r="I138" s="8">
        <f t="shared" si="1"/>
        <v>2.0477974723481562E-2</v>
      </c>
      <c r="J138" s="25">
        <v>22.5</v>
      </c>
      <c r="K138" s="8">
        <f>IF(Tabela1[[#This Row],[Services CPI]]="",#N/A,((Tabela1[[#This Row],[Services CPI]]*1)/J137)-1)</f>
        <v>4.4642857142858094E-3</v>
      </c>
      <c r="L138" s="8">
        <f>IF(Tabela1[[#This Row],[Services CPI]]="",#N/A,((Tabela1[[#This Row],[Services CPI]]*1)/J126)-1)</f>
        <v>4.1666666666666519E-2</v>
      </c>
      <c r="M138" s="7"/>
      <c r="N138" s="8"/>
      <c r="O138" s="8"/>
      <c r="P138" s="7">
        <v>37.700000000000003</v>
      </c>
      <c r="Q138" s="8">
        <f>IF(Tabela1[[#This Row],[Durable Goods CPI]]="",#N/A,((Tabela1[[#This Row],[Durable Goods CPI]]*1)/P137)-1)</f>
        <v>0</v>
      </c>
      <c r="R138" s="8">
        <f>IF(Tabela1[[#This Row],[Durable Goods CPI]]="",#N/A,((Tabela1[[#This Row],[Durable Goods CPI]]*1)/P126)-1)</f>
        <v>1.0723860589812562E-2</v>
      </c>
      <c r="S138" s="7"/>
      <c r="T138" s="7"/>
      <c r="U138" s="7"/>
      <c r="V138" s="7"/>
      <c r="W138" s="7"/>
      <c r="X138" s="7"/>
      <c r="Y138" s="7"/>
      <c r="Z138" s="7"/>
      <c r="AA138" s="7"/>
      <c r="AB138" s="7"/>
      <c r="AC138" s="7"/>
      <c r="AD138" s="8"/>
      <c r="AE138" s="71"/>
      <c r="AF138" s="7"/>
      <c r="AG138" s="5"/>
    </row>
    <row r="139" spans="1:33" ht="12.75">
      <c r="A139" s="6">
        <v>21306</v>
      </c>
      <c r="B139" s="7">
        <v>28.94</v>
      </c>
      <c r="C139" s="8">
        <f>IF(Tabela1[[#This Row],[Consumer Price Index (CPI)]]="",#N/A,((Tabela1[[#This Row],[Consumer Price Index (CPI)]]*1)/B138)-1)</f>
        <v>0</v>
      </c>
      <c r="D139" s="8">
        <f>IF(Tabela1[[#This Row],[Consumer Price Index (CPI)]]="",#N/A,((Tabela1[[#This Row],[Consumer Price Index (CPI)]]*1)/B127)-1)</f>
        <v>3.3571428571428585E-2</v>
      </c>
      <c r="E139" s="25">
        <v>29.5</v>
      </c>
      <c r="F139" s="8">
        <f>IF(Tabela1[[#This Row],[Core Consumer Price Index]]="",#N/A,((Tabela1[[#This Row],[Core Consumer Price Index]]*1)/E138)-1)</f>
        <v>0</v>
      </c>
      <c r="G139" s="8">
        <f>IF(Tabela1[[#This Row],[Core Consumer Price Index]]="",#N/A,((Tabela1[[#This Row],[Core Consumer Price Index]]*1)/E127)-1)</f>
        <v>2.430555555555558E-2</v>
      </c>
      <c r="H139" s="8">
        <f t="shared" si="0"/>
        <v>1.3605442176871207E-2</v>
      </c>
      <c r="I139" s="8">
        <f t="shared" si="1"/>
        <v>1.3628659654988162E-2</v>
      </c>
      <c r="J139" s="25">
        <v>22.6</v>
      </c>
      <c r="K139" s="8">
        <f>IF(Tabela1[[#This Row],[Services CPI]]="",#N/A,((Tabela1[[#This Row],[Services CPI]]*1)/J138)-1)</f>
        <v>4.4444444444444731E-3</v>
      </c>
      <c r="L139" s="8">
        <f>IF(Tabela1[[#This Row],[Services CPI]]="",#N/A,((Tabela1[[#This Row],[Services CPI]]*1)/J127)-1)</f>
        <v>4.1474654377880338E-2</v>
      </c>
      <c r="M139" s="7"/>
      <c r="N139" s="8"/>
      <c r="O139" s="8"/>
      <c r="P139" s="7">
        <v>37.799999999999997</v>
      </c>
      <c r="Q139" s="8">
        <f>IF(Tabela1[[#This Row],[Durable Goods CPI]]="",#N/A,((Tabela1[[#This Row],[Durable Goods CPI]]*1)/P138)-1)</f>
        <v>2.6525198938991412E-3</v>
      </c>
      <c r="R139" s="8">
        <f>IF(Tabela1[[#This Row],[Durable Goods CPI]]="",#N/A,((Tabela1[[#This Row],[Durable Goods CPI]]*1)/P127)-1)</f>
        <v>1.612903225806428E-2</v>
      </c>
      <c r="S139" s="7"/>
      <c r="T139" s="7"/>
      <c r="U139" s="7"/>
      <c r="V139" s="7"/>
      <c r="W139" s="7"/>
      <c r="X139" s="7"/>
      <c r="Y139" s="7"/>
      <c r="Z139" s="7"/>
      <c r="AA139" s="7"/>
      <c r="AB139" s="7"/>
      <c r="AC139" s="7"/>
      <c r="AD139" s="8"/>
      <c r="AE139" s="71"/>
      <c r="AF139" s="7"/>
      <c r="AG139" s="5"/>
    </row>
    <row r="140" spans="1:33" ht="12.75">
      <c r="A140" s="6">
        <v>21337</v>
      </c>
      <c r="B140" s="7">
        <v>28.91</v>
      </c>
      <c r="C140" s="8">
        <f>IF(Tabela1[[#This Row],[Consumer Price Index (CPI)]]="",#N/A,((Tabela1[[#This Row],[Consumer Price Index (CPI)]]*1)/B139)-1)</f>
        <v>-1.0366275051831852E-3</v>
      </c>
      <c r="D140" s="8">
        <f>IF(Tabela1[[#This Row],[Consumer Price Index (CPI)]]="",#N/A,((Tabela1[[#This Row],[Consumer Price Index (CPI)]]*1)/B128)-1)</f>
        <v>2.8459622909996485E-2</v>
      </c>
      <c r="E140" s="25">
        <v>29.6</v>
      </c>
      <c r="F140" s="8">
        <f>IF(Tabela1[[#This Row],[Core Consumer Price Index]]="",#N/A,((Tabela1[[#This Row],[Core Consumer Price Index]]*1)/E139)-1)</f>
        <v>3.3898305084745228E-3</v>
      </c>
      <c r="G140" s="8">
        <f>IF(Tabela1[[#This Row],[Core Consumer Price Index]]="",#N/A,((Tabela1[[#This Row],[Core Consumer Price Index]]*1)/E128)-1)</f>
        <v>2.4221453287197381E-2</v>
      </c>
      <c r="H140" s="8">
        <f t="shared" si="0"/>
        <v>1.3559322033898091E-2</v>
      </c>
      <c r="I140" s="8">
        <f t="shared" si="1"/>
        <v>2.0408320671937208E-2</v>
      </c>
      <c r="J140" s="25">
        <v>22.6</v>
      </c>
      <c r="K140" s="8">
        <f>IF(Tabela1[[#This Row],[Services CPI]]="",#N/A,((Tabela1[[#This Row],[Services CPI]]*1)/J139)-1)</f>
        <v>0</v>
      </c>
      <c r="L140" s="8">
        <f>IF(Tabela1[[#This Row],[Services CPI]]="",#N/A,((Tabela1[[#This Row],[Services CPI]]*1)/J128)-1)</f>
        <v>3.669724770642202E-2</v>
      </c>
      <c r="M140" s="7"/>
      <c r="N140" s="8"/>
      <c r="O140" s="8"/>
      <c r="P140" s="7">
        <v>37.700000000000003</v>
      </c>
      <c r="Q140" s="8">
        <f>IF(Tabela1[[#This Row],[Durable Goods CPI]]="",#N/A,((Tabela1[[#This Row],[Durable Goods CPI]]*1)/P139)-1)</f>
        <v>-2.6455026455024511E-3</v>
      </c>
      <c r="R140" s="8">
        <f>IF(Tabela1[[#This Row],[Durable Goods CPI]]="",#N/A,((Tabela1[[#This Row],[Durable Goods CPI]]*1)/P128)-1)</f>
        <v>1.0723860589812562E-2</v>
      </c>
      <c r="S140" s="7"/>
      <c r="T140" s="7"/>
      <c r="U140" s="7"/>
      <c r="V140" s="7"/>
      <c r="W140" s="7"/>
      <c r="X140" s="7"/>
      <c r="Y140" s="7"/>
      <c r="Z140" s="7"/>
      <c r="AA140" s="7"/>
      <c r="AB140" s="7"/>
      <c r="AC140" s="7"/>
      <c r="AD140" s="8"/>
      <c r="AE140" s="71"/>
      <c r="AF140" s="7"/>
      <c r="AG140" s="5"/>
    </row>
    <row r="141" spans="1:33" ht="12.75">
      <c r="A141" s="6">
        <v>21367</v>
      </c>
      <c r="B141" s="7">
        <v>28.89</v>
      </c>
      <c r="C141" s="8">
        <f>IF(Tabela1[[#This Row],[Consumer Price Index (CPI)]]="",#N/A,((Tabela1[[#This Row],[Consumer Price Index (CPI)]]*1)/B140)-1)</f>
        <v>-6.9180214458663958E-4</v>
      </c>
      <c r="D141" s="8">
        <f>IF(Tabela1[[#This Row],[Consumer Price Index (CPI)]]="",#N/A,((Tabela1[[#This Row],[Consumer Price Index (CPI)]]*1)/B129)-1)</f>
        <v>2.483150053210359E-2</v>
      </c>
      <c r="E141" s="25">
        <v>29.6</v>
      </c>
      <c r="F141" s="8">
        <f>IF(Tabela1[[#This Row],[Core Consumer Price Index]]="",#N/A,((Tabela1[[#This Row],[Core Consumer Price Index]]*1)/E140)-1)</f>
        <v>0</v>
      </c>
      <c r="G141" s="8">
        <f>IF(Tabela1[[#This Row],[Core Consumer Price Index]]="",#N/A,((Tabela1[[#This Row],[Core Consumer Price Index]]*1)/E129)-1)</f>
        <v>2.0689655172413834E-2</v>
      </c>
      <c r="H141" s="8">
        <f t="shared" si="0"/>
        <v>1.3559322033898091E-2</v>
      </c>
      <c r="I141" s="8">
        <f t="shared" si="1"/>
        <v>2.0408320671937208E-2</v>
      </c>
      <c r="J141" s="25">
        <v>22.7</v>
      </c>
      <c r="K141" s="8">
        <f>IF(Tabela1[[#This Row],[Services CPI]]="",#N/A,((Tabela1[[#This Row],[Services CPI]]*1)/J140)-1)</f>
        <v>4.4247787610618428E-3</v>
      </c>
      <c r="L141" s="8">
        <f>IF(Tabela1[[#This Row],[Services CPI]]="",#N/A,((Tabela1[[#This Row],[Services CPI]]*1)/J129)-1)</f>
        <v>4.1284403669724634E-2</v>
      </c>
      <c r="M141" s="7"/>
      <c r="N141" s="8"/>
      <c r="O141" s="8"/>
      <c r="P141" s="7">
        <v>37.799999999999997</v>
      </c>
      <c r="Q141" s="8">
        <f>IF(Tabela1[[#This Row],[Durable Goods CPI]]="",#N/A,((Tabela1[[#This Row],[Durable Goods CPI]]*1)/P140)-1)</f>
        <v>2.6525198938991412E-3</v>
      </c>
      <c r="R141" s="8">
        <f>IF(Tabela1[[#This Row],[Durable Goods CPI]]="",#N/A,((Tabela1[[#This Row],[Durable Goods CPI]]*1)/P129)-1)</f>
        <v>1.612903225806428E-2</v>
      </c>
      <c r="S141" s="7"/>
      <c r="T141" s="7"/>
      <c r="U141" s="7"/>
      <c r="V141" s="7"/>
      <c r="W141" s="7"/>
      <c r="X141" s="7"/>
      <c r="Y141" s="7"/>
      <c r="Z141" s="7"/>
      <c r="AA141" s="7"/>
      <c r="AB141" s="7"/>
      <c r="AC141" s="7"/>
      <c r="AD141" s="8"/>
      <c r="AE141" s="71"/>
      <c r="AF141" s="7"/>
      <c r="AG141" s="5"/>
    </row>
    <row r="142" spans="1:33" ht="12.75">
      <c r="A142" s="6">
        <v>21398</v>
      </c>
      <c r="B142" s="7">
        <v>28.94</v>
      </c>
      <c r="C142" s="8">
        <f>IF(Tabela1[[#This Row],[Consumer Price Index (CPI)]]="",#N/A,((Tabela1[[#This Row],[Consumer Price Index (CPI)]]*1)/B141)-1)</f>
        <v>1.7307026652821911E-3</v>
      </c>
      <c r="D142" s="8">
        <f>IF(Tabela1[[#This Row],[Consumer Price Index (CPI)]]="",#N/A,((Tabela1[[#This Row],[Consumer Price Index (CPI)]]*1)/B130)-1)</f>
        <v>2.3338048090523422E-2</v>
      </c>
      <c r="E142" s="25">
        <v>29.6</v>
      </c>
      <c r="F142" s="8">
        <f>IF(Tabela1[[#This Row],[Core Consumer Price Index]]="",#N/A,((Tabela1[[#This Row],[Core Consumer Price Index]]*1)/E141)-1)</f>
        <v>0</v>
      </c>
      <c r="G142" s="8">
        <f>IF(Tabela1[[#This Row],[Core Consumer Price Index]]="",#N/A,((Tabela1[[#This Row],[Core Consumer Price Index]]*1)/E130)-1)</f>
        <v>2.0689655172413834E-2</v>
      </c>
      <c r="H142" s="8">
        <f t="shared" si="0"/>
        <v>1.3559322033898091E-2</v>
      </c>
      <c r="I142" s="8">
        <f t="shared" si="1"/>
        <v>1.3582382105384649E-2</v>
      </c>
      <c r="J142" s="25">
        <v>22.7</v>
      </c>
      <c r="K142" s="8">
        <f>IF(Tabela1[[#This Row],[Services CPI]]="",#N/A,((Tabela1[[#This Row],[Services CPI]]*1)/J141)-1)</f>
        <v>0</v>
      </c>
      <c r="L142" s="8">
        <f>IF(Tabela1[[#This Row],[Services CPI]]="",#N/A,((Tabela1[[#This Row],[Services CPI]]*1)/J130)-1)</f>
        <v>3.6529680365296802E-2</v>
      </c>
      <c r="M142" s="7"/>
      <c r="N142" s="8"/>
      <c r="O142" s="8"/>
      <c r="P142" s="7">
        <v>37.799999999999997</v>
      </c>
      <c r="Q142" s="8">
        <f>IF(Tabela1[[#This Row],[Durable Goods CPI]]="",#N/A,((Tabela1[[#This Row],[Durable Goods CPI]]*1)/P141)-1)</f>
        <v>0</v>
      </c>
      <c r="R142" s="8">
        <f>IF(Tabela1[[#This Row],[Durable Goods CPI]]="",#N/A,((Tabela1[[#This Row],[Durable Goods CPI]]*1)/P130)-1)</f>
        <v>1.3404825737265424E-2</v>
      </c>
      <c r="S142" s="7"/>
      <c r="T142" s="7"/>
      <c r="U142" s="7"/>
      <c r="V142" s="7"/>
      <c r="W142" s="7"/>
      <c r="X142" s="7"/>
      <c r="Y142" s="7"/>
      <c r="Z142" s="7"/>
      <c r="AA142" s="7"/>
      <c r="AB142" s="7"/>
      <c r="AC142" s="7"/>
      <c r="AD142" s="8"/>
      <c r="AE142" s="71"/>
      <c r="AF142" s="7"/>
      <c r="AG142" s="5"/>
    </row>
    <row r="143" spans="1:33" ht="12.75">
      <c r="A143" s="6">
        <v>21429</v>
      </c>
      <c r="B143" s="7">
        <v>28.91</v>
      </c>
      <c r="C143" s="8">
        <f>IF(Tabela1[[#This Row],[Consumer Price Index (CPI)]]="",#N/A,((Tabela1[[#This Row],[Consumer Price Index (CPI)]]*1)/B142)-1)</f>
        <v>-1.0366275051831852E-3</v>
      </c>
      <c r="D143" s="8">
        <f>IF(Tabela1[[#This Row],[Consumer Price Index (CPI)]]="",#N/A,((Tabela1[[#This Row],[Consumer Price Index (CPI)]]*1)/B131)-1)</f>
        <v>2.0833333333333259E-2</v>
      </c>
      <c r="E143" s="25">
        <v>29.7</v>
      </c>
      <c r="F143" s="8">
        <f>IF(Tabela1[[#This Row],[Core Consumer Price Index]]="",#N/A,((Tabela1[[#This Row],[Core Consumer Price Index]]*1)/E142)-1)</f>
        <v>3.3783783783782884E-3</v>
      </c>
      <c r="G143" s="8">
        <f>IF(Tabela1[[#This Row],[Core Consumer Price Index]]="",#N/A,((Tabela1[[#This Row],[Core Consumer Price Index]]*1)/E131)-1)</f>
        <v>2.0618556701030855E-2</v>
      </c>
      <c r="H143" s="8">
        <f t="shared" si="0"/>
        <v>1.3513513513513153E-2</v>
      </c>
      <c r="I143" s="8">
        <f t="shared" si="1"/>
        <v>1.3536417773705622E-2</v>
      </c>
      <c r="J143" s="25">
        <v>22.8</v>
      </c>
      <c r="K143" s="8">
        <f>IF(Tabela1[[#This Row],[Services CPI]]="",#N/A,((Tabela1[[#This Row],[Services CPI]]*1)/J142)-1)</f>
        <v>4.405286343612369E-3</v>
      </c>
      <c r="L143" s="8">
        <f>IF(Tabela1[[#This Row],[Services CPI]]="",#N/A,((Tabela1[[#This Row],[Services CPI]]*1)/J131)-1)</f>
        <v>3.6363636363636376E-2</v>
      </c>
      <c r="M143" s="7"/>
      <c r="N143" s="8"/>
      <c r="O143" s="8"/>
      <c r="P143" s="7">
        <v>37.9</v>
      </c>
      <c r="Q143" s="8">
        <f>IF(Tabela1[[#This Row],[Durable Goods CPI]]="",#N/A,((Tabela1[[#This Row],[Durable Goods CPI]]*1)/P142)-1)</f>
        <v>2.6455026455027841E-3</v>
      </c>
      <c r="R143" s="8">
        <f>IF(Tabela1[[#This Row],[Durable Goods CPI]]="",#N/A,((Tabela1[[#This Row],[Durable Goods CPI]]*1)/P131)-1)</f>
        <v>1.3368983957219305E-2</v>
      </c>
      <c r="S143" s="7"/>
      <c r="T143" s="7"/>
      <c r="U143" s="7"/>
      <c r="V143" s="7"/>
      <c r="W143" s="7"/>
      <c r="X143" s="7"/>
      <c r="Y143" s="7"/>
      <c r="Z143" s="7"/>
      <c r="AA143" s="7"/>
      <c r="AB143" s="7"/>
      <c r="AC143" s="7"/>
      <c r="AD143" s="8"/>
      <c r="AE143" s="71"/>
      <c r="AF143" s="7"/>
      <c r="AG143" s="5"/>
    </row>
    <row r="144" spans="1:33" ht="12.75">
      <c r="A144" s="6">
        <v>21459</v>
      </c>
      <c r="B144" s="7">
        <v>28.91</v>
      </c>
      <c r="C144" s="8">
        <f>IF(Tabela1[[#This Row],[Consumer Price Index (CPI)]]="",#N/A,((Tabela1[[#This Row],[Consumer Price Index (CPI)]]*1)/B143)-1)</f>
        <v>0</v>
      </c>
      <c r="D144" s="8">
        <f>IF(Tabela1[[#This Row],[Consumer Price Index (CPI)]]="",#N/A,((Tabela1[[#This Row],[Consumer Price Index (CPI)]]*1)/B132)-1)</f>
        <v>2.0833333333333259E-2</v>
      </c>
      <c r="E144" s="25">
        <v>29.7</v>
      </c>
      <c r="F144" s="8">
        <f>IF(Tabela1[[#This Row],[Core Consumer Price Index]]="",#N/A,((Tabela1[[#This Row],[Core Consumer Price Index]]*1)/E143)-1)</f>
        <v>0</v>
      </c>
      <c r="G144" s="8">
        <f>IF(Tabela1[[#This Row],[Core Consumer Price Index]]="",#N/A,((Tabela1[[#This Row],[Core Consumer Price Index]]*1)/E132)-1)</f>
        <v>1.7123287671232834E-2</v>
      </c>
      <c r="H144" s="8">
        <f t="shared" si="0"/>
        <v>1.3513513513513153E-2</v>
      </c>
      <c r="I144" s="8">
        <f t="shared" si="1"/>
        <v>1.3536417773705622E-2</v>
      </c>
      <c r="J144" s="25">
        <v>22.8</v>
      </c>
      <c r="K144" s="8">
        <f>IF(Tabela1[[#This Row],[Services CPI]]="",#N/A,((Tabela1[[#This Row],[Services CPI]]*1)/J143)-1)</f>
        <v>0</v>
      </c>
      <c r="L144" s="8">
        <f>IF(Tabela1[[#This Row],[Services CPI]]="",#N/A,((Tabela1[[#This Row],[Services CPI]]*1)/J132)-1)</f>
        <v>3.1674208144796268E-2</v>
      </c>
      <c r="M144" s="7"/>
      <c r="N144" s="8"/>
      <c r="O144" s="8"/>
      <c r="P144" s="7">
        <v>37.799999999999997</v>
      </c>
      <c r="Q144" s="8">
        <f>IF(Tabela1[[#This Row],[Durable Goods CPI]]="",#N/A,((Tabela1[[#This Row],[Durable Goods CPI]]*1)/P143)-1)</f>
        <v>-2.6385224274406704E-3</v>
      </c>
      <c r="R144" s="8">
        <f>IF(Tabela1[[#This Row],[Durable Goods CPI]]="",#N/A,((Tabela1[[#This Row],[Durable Goods CPI]]*1)/P132)-1)</f>
        <v>1.8867924528301661E-2</v>
      </c>
      <c r="S144" s="7"/>
      <c r="T144" s="7"/>
      <c r="U144" s="7"/>
      <c r="V144" s="7"/>
      <c r="W144" s="7"/>
      <c r="X144" s="7"/>
      <c r="Y144" s="7"/>
      <c r="Z144" s="7"/>
      <c r="AA144" s="7"/>
      <c r="AB144" s="7"/>
      <c r="AC144" s="7"/>
      <c r="AD144" s="8"/>
      <c r="AE144" s="71"/>
      <c r="AF144" s="7"/>
      <c r="AG144" s="5"/>
    </row>
    <row r="145" spans="1:33" ht="12.75">
      <c r="A145" s="6">
        <v>21490</v>
      </c>
      <c r="B145" s="7">
        <v>28.95</v>
      </c>
      <c r="C145" s="8">
        <f>IF(Tabela1[[#This Row],[Consumer Price Index (CPI)]]="",#N/A,((Tabela1[[#This Row],[Consumer Price Index (CPI)]]*1)/B144)-1)</f>
        <v>1.3836042891732792E-3</v>
      </c>
      <c r="D145" s="8">
        <f>IF(Tabela1[[#This Row],[Consumer Price Index (CPI)]]="",#N/A,((Tabela1[[#This Row],[Consumer Price Index (CPI)]]*1)/B133)-1)</f>
        <v>1.9007391763463444E-2</v>
      </c>
      <c r="E145" s="25">
        <v>29.8</v>
      </c>
      <c r="F145" s="8">
        <f>IF(Tabela1[[#This Row],[Core Consumer Price Index]]="",#N/A,((Tabela1[[#This Row],[Core Consumer Price Index]]*1)/E144)-1)</f>
        <v>3.3670033670034627E-3</v>
      </c>
      <c r="G145" s="8">
        <f>IF(Tabela1[[#This Row],[Core Consumer Price Index]]="",#N/A,((Tabela1[[#This Row],[Core Consumer Price Index]]*1)/E133)-1)</f>
        <v>1.7064846416382284E-2</v>
      </c>
      <c r="H145" s="8">
        <f t="shared" si="0"/>
        <v>2.6981526981527004E-2</v>
      </c>
      <c r="I145" s="8">
        <f t="shared" si="1"/>
        <v>2.0270424507712548E-2</v>
      </c>
      <c r="J145" s="25">
        <v>22.8</v>
      </c>
      <c r="K145" s="8">
        <f>IF(Tabela1[[#This Row],[Services CPI]]="",#N/A,((Tabela1[[#This Row],[Services CPI]]*1)/J144)-1)</f>
        <v>0</v>
      </c>
      <c r="L145" s="8">
        <f>IF(Tabela1[[#This Row],[Services CPI]]="",#N/A,((Tabela1[[#This Row],[Services CPI]]*1)/J133)-1)</f>
        <v>2.7027027027027195E-2</v>
      </c>
      <c r="M145" s="7"/>
      <c r="N145" s="8"/>
      <c r="O145" s="8"/>
      <c r="P145" s="7">
        <v>38.1</v>
      </c>
      <c r="Q145" s="8">
        <f>IF(Tabela1[[#This Row],[Durable Goods CPI]]="",#N/A,((Tabela1[[#This Row],[Durable Goods CPI]]*1)/P144)-1)</f>
        <v>7.9365079365081304E-3</v>
      </c>
      <c r="R145" s="8">
        <f>IF(Tabela1[[#This Row],[Durable Goods CPI]]="",#N/A,((Tabela1[[#This Row],[Durable Goods CPI]]*1)/P133)-1)</f>
        <v>1.3297872340425565E-2</v>
      </c>
      <c r="S145" s="7"/>
      <c r="T145" s="7"/>
      <c r="U145" s="7"/>
      <c r="V145" s="7"/>
      <c r="W145" s="7"/>
      <c r="X145" s="7"/>
      <c r="Y145" s="7"/>
      <c r="Z145" s="7"/>
      <c r="AA145" s="7"/>
      <c r="AB145" s="7"/>
      <c r="AC145" s="7"/>
      <c r="AD145" s="8"/>
      <c r="AE145" s="71"/>
      <c r="AF145" s="7"/>
      <c r="AG145" s="5"/>
    </row>
    <row r="146" spans="1:33" ht="12.75">
      <c r="A146" s="6">
        <v>21520</v>
      </c>
      <c r="B146" s="7">
        <v>28.97</v>
      </c>
      <c r="C146" s="8">
        <f>IF(Tabela1[[#This Row],[Consumer Price Index (CPI)]]="",#N/A,((Tabela1[[#This Row],[Consumer Price Index (CPI)]]*1)/B145)-1)</f>
        <v>6.9084628670124104E-4</v>
      </c>
      <c r="D146" s="8">
        <f>IF(Tabela1[[#This Row],[Consumer Price Index (CPI)]]="",#N/A,((Tabela1[[#This Row],[Consumer Price Index (CPI)]]*1)/B134)-1)</f>
        <v>1.7562346329469625E-2</v>
      </c>
      <c r="E146" s="25">
        <v>29.9</v>
      </c>
      <c r="F146" s="8">
        <f>IF(Tabela1[[#This Row],[Core Consumer Price Index]]="",#N/A,((Tabela1[[#This Row],[Core Consumer Price Index]]*1)/E145)-1)</f>
        <v>3.3557046979864058E-3</v>
      </c>
      <c r="G146" s="8">
        <f>IF(Tabela1[[#This Row],[Core Consumer Price Index]]="",#N/A,((Tabela1[[#This Row],[Core Consumer Price Index]]*1)/E134)-1)</f>
        <v>2.0477815699658564E-2</v>
      </c>
      <c r="H146" s="8">
        <f t="shared" si="0"/>
        <v>2.6890832259959474E-2</v>
      </c>
      <c r="I146" s="8">
        <f t="shared" si="1"/>
        <v>2.0202172886736314E-2</v>
      </c>
      <c r="J146" s="25">
        <v>22.8</v>
      </c>
      <c r="K146" s="8">
        <f>IF(Tabela1[[#This Row],[Services CPI]]="",#N/A,((Tabela1[[#This Row],[Services CPI]]*1)/J145)-1)</f>
        <v>0</v>
      </c>
      <c r="L146" s="8">
        <f>IF(Tabela1[[#This Row],[Services CPI]]="",#N/A,((Tabela1[[#This Row],[Services CPI]]*1)/J134)-1)</f>
        <v>2.7027027027027195E-2</v>
      </c>
      <c r="M146" s="7"/>
      <c r="N146" s="8"/>
      <c r="O146" s="8"/>
      <c r="P146" s="7">
        <v>38.200000000000003</v>
      </c>
      <c r="Q146" s="8">
        <f>IF(Tabela1[[#This Row],[Durable Goods CPI]]="",#N/A,((Tabela1[[#This Row],[Durable Goods CPI]]*1)/P145)-1)</f>
        <v>2.624671916010568E-3</v>
      </c>
      <c r="R146" s="8">
        <f>IF(Tabela1[[#This Row],[Durable Goods CPI]]="",#N/A,((Tabela1[[#This Row],[Durable Goods CPI]]*1)/P134)-1)</f>
        <v>1.5957446808510634E-2</v>
      </c>
      <c r="S146" s="7"/>
      <c r="T146" s="7"/>
      <c r="U146" s="7"/>
      <c r="V146" s="7"/>
      <c r="W146" s="7"/>
      <c r="X146" s="7"/>
      <c r="Y146" s="7"/>
      <c r="Z146" s="7"/>
      <c r="AA146" s="7"/>
      <c r="AB146" s="7"/>
      <c r="AC146" s="7"/>
      <c r="AD146" s="8"/>
      <c r="AE146" s="71"/>
      <c r="AF146" s="7"/>
      <c r="AG146" s="5"/>
    </row>
    <row r="147" spans="1:33" ht="12.75">
      <c r="A147" s="6">
        <v>21551</v>
      </c>
      <c r="B147" s="7">
        <v>29.01</v>
      </c>
      <c r="C147" s="8">
        <f>IF(Tabela1[[#This Row],[Consumer Price Index (CPI)]]="",#N/A,((Tabela1[[#This Row],[Consumer Price Index (CPI)]]*1)/B146)-1)</f>
        <v>1.3807386952020551E-3</v>
      </c>
      <c r="D147" s="8">
        <f>IF(Tabela1[[#This Row],[Consumer Price Index (CPI)]]="",#N/A,((Tabela1[[#This Row],[Consumer Price Index (CPI)]]*1)/B135)-1)</f>
        <v>1.2918994413407825E-2</v>
      </c>
      <c r="E147" s="25">
        <v>29.9</v>
      </c>
      <c r="F147" s="8">
        <f>IF(Tabela1[[#This Row],[Core Consumer Price Index]]="",#N/A,((Tabela1[[#This Row],[Core Consumer Price Index]]*1)/E146)-1)</f>
        <v>0</v>
      </c>
      <c r="G147" s="8">
        <f>IF(Tabela1[[#This Row],[Core Consumer Price Index]]="",#N/A,((Tabela1[[#This Row],[Core Consumer Price Index]]*1)/E135)-1)</f>
        <v>2.0477815699658564E-2</v>
      </c>
      <c r="H147" s="8">
        <f t="shared" si="0"/>
        <v>2.6890832259959474E-2</v>
      </c>
      <c r="I147" s="8">
        <f t="shared" si="1"/>
        <v>2.0202172886736314E-2</v>
      </c>
      <c r="J147" s="25">
        <v>22.9</v>
      </c>
      <c r="K147" s="8">
        <f>IF(Tabela1[[#This Row],[Services CPI]]="",#N/A,((Tabela1[[#This Row],[Services CPI]]*1)/J146)-1)</f>
        <v>4.3859649122806044E-3</v>
      </c>
      <c r="L147" s="8">
        <f>IF(Tabela1[[#This Row],[Services CPI]]="",#N/A,((Tabela1[[#This Row],[Services CPI]]*1)/J135)-1)</f>
        <v>2.6905829596412412E-2</v>
      </c>
      <c r="M147" s="7"/>
      <c r="N147" s="8"/>
      <c r="O147" s="8"/>
      <c r="P147" s="7">
        <v>38.1</v>
      </c>
      <c r="Q147" s="8">
        <f>IF(Tabela1[[#This Row],[Durable Goods CPI]]="",#N/A,((Tabela1[[#This Row],[Durable Goods CPI]]*1)/P146)-1)</f>
        <v>-2.6178010471205049E-3</v>
      </c>
      <c r="R147" s="8">
        <f>IF(Tabela1[[#This Row],[Durable Goods CPI]]="",#N/A,((Tabela1[[#This Row],[Durable Goods CPI]]*1)/P135)-1)</f>
        <v>1.0610079575596787E-2</v>
      </c>
      <c r="S147" s="7"/>
      <c r="T147" s="7">
        <v>15.164</v>
      </c>
      <c r="U147" s="7"/>
      <c r="V147" s="7"/>
      <c r="W147" s="7">
        <v>15.500999999999999</v>
      </c>
      <c r="X147" s="7"/>
      <c r="Y147" s="7"/>
      <c r="Z147" s="7"/>
      <c r="AA147" s="7"/>
      <c r="AB147" s="7"/>
      <c r="AC147" s="7"/>
      <c r="AD147" s="8"/>
      <c r="AE147" s="71"/>
      <c r="AF147" s="7"/>
      <c r="AG147" s="5"/>
    </row>
    <row r="148" spans="1:33" ht="12.75">
      <c r="A148" s="6">
        <v>21582</v>
      </c>
      <c r="B148" s="7">
        <v>29</v>
      </c>
      <c r="C148" s="8">
        <f>IF(Tabela1[[#This Row],[Consumer Price Index (CPI)]]="",#N/A,((Tabela1[[#This Row],[Consumer Price Index (CPI)]]*1)/B147)-1)</f>
        <v>-3.4470872113068207E-4</v>
      </c>
      <c r="D148" s="8">
        <f>IF(Tabela1[[#This Row],[Consumer Price Index (CPI)]]="",#N/A,((Tabela1[[#This Row],[Consumer Price Index (CPI)]]*1)/B136)-1)</f>
        <v>1.0452961672473782E-2</v>
      </c>
      <c r="E148" s="25">
        <v>29.9</v>
      </c>
      <c r="F148" s="8">
        <f>IF(Tabela1[[#This Row],[Core Consumer Price Index]]="",#N/A,((Tabela1[[#This Row],[Core Consumer Price Index]]*1)/E147)-1)</f>
        <v>0</v>
      </c>
      <c r="G148" s="8">
        <f>IF(Tabela1[[#This Row],[Core Consumer Price Index]]="",#N/A,((Tabela1[[#This Row],[Core Consumer Price Index]]*1)/E136)-1)</f>
        <v>1.7006802721088343E-2</v>
      </c>
      <c r="H148" s="8">
        <f t="shared" si="0"/>
        <v>1.3422818791945623E-2</v>
      </c>
      <c r="I148" s="8">
        <f t="shared" si="1"/>
        <v>2.0202172886736314E-2</v>
      </c>
      <c r="J148" s="25">
        <v>23</v>
      </c>
      <c r="K148" s="8">
        <f>IF(Tabela1[[#This Row],[Services CPI]]="",#N/A,((Tabela1[[#This Row],[Services CPI]]*1)/J147)-1)</f>
        <v>4.366812227074357E-3</v>
      </c>
      <c r="L148" s="8">
        <f>IF(Tabela1[[#This Row],[Services CPI]]="",#N/A,((Tabela1[[#This Row],[Services CPI]]*1)/J136)-1)</f>
        <v>2.6785714285714413E-2</v>
      </c>
      <c r="M148" s="7"/>
      <c r="N148" s="8"/>
      <c r="O148" s="8"/>
      <c r="P148" s="7">
        <v>38.1</v>
      </c>
      <c r="Q148" s="8">
        <f>IF(Tabela1[[#This Row],[Durable Goods CPI]]="",#N/A,((Tabela1[[#This Row],[Durable Goods CPI]]*1)/P147)-1)</f>
        <v>0</v>
      </c>
      <c r="R148" s="8">
        <f>IF(Tabela1[[#This Row],[Durable Goods CPI]]="",#N/A,((Tabela1[[#This Row],[Durable Goods CPI]]*1)/P136)-1)</f>
        <v>1.0610079575596787E-2</v>
      </c>
      <c r="S148" s="7"/>
      <c r="T148" s="7">
        <v>15.179</v>
      </c>
      <c r="U148" s="8">
        <f>IF(Tabela1[[#This Row],[Personal Consumption Expenditures (PCE)]]="",#N/A,((Tabela1[[#This Row],[Personal Consumption Expenditures (PCE)]]*1)/T147)-1)</f>
        <v>9.8918491163280109E-4</v>
      </c>
      <c r="V148" s="7"/>
      <c r="W148" s="7">
        <v>15.513</v>
      </c>
      <c r="X148" s="8">
        <f>IF(Tabela1[[#This Row],[Core PCE]]="",#N/A,((Tabela1[[#This Row],[Core PCE]]*1)/W147)-1)</f>
        <v>7.7414360363858847E-4</v>
      </c>
      <c r="Y148" s="7"/>
      <c r="Z148" s="7"/>
      <c r="AA148" s="7"/>
      <c r="AB148" s="7"/>
      <c r="AC148" s="7"/>
      <c r="AD148" s="8"/>
      <c r="AE148" s="71"/>
      <c r="AF148" s="7"/>
      <c r="AG148" s="5"/>
    </row>
    <row r="149" spans="1:33" ht="12.75">
      <c r="A149" s="6">
        <v>21610</v>
      </c>
      <c r="B149" s="7">
        <v>28.97</v>
      </c>
      <c r="C149" s="8">
        <f>IF(Tabela1[[#This Row],[Consumer Price Index (CPI)]]="",#N/A,((Tabela1[[#This Row],[Consumer Price Index (CPI)]]*1)/B148)-1)</f>
        <v>-1.034482758620725E-3</v>
      </c>
      <c r="D149" s="8">
        <f>IF(Tabela1[[#This Row],[Consumer Price Index (CPI)]]="",#N/A,((Tabela1[[#This Row],[Consumer Price Index (CPI)]]*1)/B137)-1)</f>
        <v>3.463803255975062E-3</v>
      </c>
      <c r="E149" s="25">
        <v>30</v>
      </c>
      <c r="F149" s="8">
        <f>IF(Tabela1[[#This Row],[Core Consumer Price Index]]="",#N/A,((Tabela1[[#This Row],[Core Consumer Price Index]]*1)/E148)-1)</f>
        <v>3.3444816053511683E-3</v>
      </c>
      <c r="G149" s="8">
        <f>IF(Tabela1[[#This Row],[Core Consumer Price Index]]="",#N/A,((Tabela1[[#This Row],[Core Consumer Price Index]]*1)/E137)-1)</f>
        <v>1.6949152542372836E-2</v>
      </c>
      <c r="H149" s="8">
        <f t="shared" si="0"/>
        <v>1.3377926421404673E-2</v>
      </c>
      <c r="I149" s="8">
        <f t="shared" si="1"/>
        <v>2.0134379340682074E-2</v>
      </c>
      <c r="J149" s="25">
        <v>23</v>
      </c>
      <c r="K149" s="8">
        <f>IF(Tabela1[[#This Row],[Services CPI]]="",#N/A,((Tabela1[[#This Row],[Services CPI]]*1)/J148)-1)</f>
        <v>0</v>
      </c>
      <c r="L149" s="8">
        <f>IF(Tabela1[[#This Row],[Services CPI]]="",#N/A,((Tabela1[[#This Row],[Services CPI]]*1)/J137)-1)</f>
        <v>2.6785714285714413E-2</v>
      </c>
      <c r="M149" s="7"/>
      <c r="N149" s="8"/>
      <c r="O149" s="8"/>
      <c r="P149" s="7">
        <v>38.299999999999997</v>
      </c>
      <c r="Q149" s="8">
        <f>IF(Tabela1[[#This Row],[Durable Goods CPI]]="",#N/A,((Tabela1[[#This Row],[Durable Goods CPI]]*1)/P148)-1)</f>
        <v>5.249343832020914E-3</v>
      </c>
      <c r="R149" s="8">
        <f>IF(Tabela1[[#This Row],[Durable Goods CPI]]="",#N/A,((Tabela1[[#This Row],[Durable Goods CPI]]*1)/P137)-1)</f>
        <v>1.5915119363395069E-2</v>
      </c>
      <c r="S149" s="7"/>
      <c r="T149" s="7">
        <v>15.189</v>
      </c>
      <c r="U149" s="8">
        <f>IF(Tabela1[[#This Row],[Personal Consumption Expenditures (PCE)]]="",#N/A,((Tabela1[[#This Row],[Personal Consumption Expenditures (PCE)]]*1)/T148)-1)</f>
        <v>6.5880492786085654E-4</v>
      </c>
      <c r="V149" s="7"/>
      <c r="W149" s="7">
        <v>15.531000000000001</v>
      </c>
      <c r="X149" s="8">
        <f>IF(Tabela1[[#This Row],[Core PCE]]="",#N/A,((Tabela1[[#This Row],[Core PCE]]*1)/W148)-1)</f>
        <v>1.1603171533551837E-3</v>
      </c>
      <c r="Y149" s="7"/>
      <c r="Z149" s="7"/>
      <c r="AA149" s="7"/>
      <c r="AB149" s="7"/>
      <c r="AC149" s="7"/>
      <c r="AD149" s="8"/>
      <c r="AE149" s="71"/>
      <c r="AF149" s="7"/>
      <c r="AG149" s="5"/>
    </row>
    <row r="150" spans="1:33" ht="12.75">
      <c r="A150" s="6">
        <v>21641</v>
      </c>
      <c r="B150" s="7">
        <v>28.98</v>
      </c>
      <c r="C150" s="8">
        <f>IF(Tabela1[[#This Row],[Consumer Price Index (CPI)]]="",#N/A,((Tabela1[[#This Row],[Consumer Price Index (CPI)]]*1)/B149)-1)</f>
        <v>3.4518467380051376E-4</v>
      </c>
      <c r="D150" s="8">
        <f>IF(Tabela1[[#This Row],[Consumer Price Index (CPI)]]="",#N/A,((Tabela1[[#This Row],[Consumer Price Index (CPI)]]*1)/B138)-1)</f>
        <v>1.3821700069107656E-3</v>
      </c>
      <c r="E150" s="25">
        <v>30</v>
      </c>
      <c r="F150" s="8">
        <f>IF(Tabela1[[#This Row],[Core Consumer Price Index]]="",#N/A,((Tabela1[[#This Row],[Core Consumer Price Index]]*1)/E149)-1)</f>
        <v>0</v>
      </c>
      <c r="G150" s="8">
        <f>IF(Tabela1[[#This Row],[Core Consumer Price Index]]="",#N/A,((Tabela1[[#This Row],[Core Consumer Price Index]]*1)/E138)-1)</f>
        <v>1.6949152542372836E-2</v>
      </c>
      <c r="H150" s="8">
        <f t="shared" si="0"/>
        <v>1.3377926421404673E-2</v>
      </c>
      <c r="I150" s="8">
        <f t="shared" si="1"/>
        <v>2.0134379340682074E-2</v>
      </c>
      <c r="J150" s="25">
        <v>23.1</v>
      </c>
      <c r="K150" s="8">
        <f>IF(Tabela1[[#This Row],[Services CPI]]="",#N/A,((Tabela1[[#This Row],[Services CPI]]*1)/J149)-1)</f>
        <v>4.3478260869564966E-3</v>
      </c>
      <c r="L150" s="8">
        <f>IF(Tabela1[[#This Row],[Services CPI]]="",#N/A,((Tabela1[[#This Row],[Services CPI]]*1)/J138)-1)</f>
        <v>2.6666666666666838E-2</v>
      </c>
      <c r="M150" s="7"/>
      <c r="N150" s="8"/>
      <c r="O150" s="8"/>
      <c r="P150" s="7">
        <v>38.299999999999997</v>
      </c>
      <c r="Q150" s="8">
        <f>IF(Tabela1[[#This Row],[Durable Goods CPI]]="",#N/A,((Tabela1[[#This Row],[Durable Goods CPI]]*1)/P149)-1)</f>
        <v>0</v>
      </c>
      <c r="R150" s="8">
        <f>IF(Tabela1[[#This Row],[Durable Goods CPI]]="",#N/A,((Tabela1[[#This Row],[Durable Goods CPI]]*1)/P138)-1)</f>
        <v>1.5915119363395069E-2</v>
      </c>
      <c r="S150" s="7"/>
      <c r="T150" s="7">
        <v>15.218999999999999</v>
      </c>
      <c r="U150" s="8">
        <f>IF(Tabela1[[#This Row],[Personal Consumption Expenditures (PCE)]]="",#N/A,((Tabela1[[#This Row],[Personal Consumption Expenditures (PCE)]]*1)/T149)-1)</f>
        <v>1.9751135690302402E-3</v>
      </c>
      <c r="V150" s="7"/>
      <c r="W150" s="7">
        <v>15.57</v>
      </c>
      <c r="X150" s="8">
        <f>IF(Tabela1[[#This Row],[Core PCE]]="",#N/A,((Tabela1[[#This Row],[Core PCE]]*1)/W149)-1)</f>
        <v>2.5111068186207675E-3</v>
      </c>
      <c r="Y150" s="7"/>
      <c r="Z150" s="8">
        <f t="shared" ref="Z150:Z159" si="2">SUM(X148:X150)*4</f>
        <v>1.7782270302458159E-2</v>
      </c>
      <c r="AA150" s="8"/>
      <c r="AB150" s="7"/>
      <c r="AC150" s="7"/>
      <c r="AD150" s="8"/>
      <c r="AE150" s="71"/>
      <c r="AF150" s="7"/>
      <c r="AG150" s="5"/>
    </row>
    <row r="151" spans="1:33" ht="12.75">
      <c r="A151" s="6">
        <v>21671</v>
      </c>
      <c r="B151" s="7">
        <v>29.04</v>
      </c>
      <c r="C151" s="8">
        <f>IF(Tabela1[[#This Row],[Consumer Price Index (CPI)]]="",#N/A,((Tabela1[[#This Row],[Consumer Price Index (CPI)]]*1)/B150)-1)</f>
        <v>2.0703933747412417E-3</v>
      </c>
      <c r="D151" s="8">
        <f>IF(Tabela1[[#This Row],[Consumer Price Index (CPI)]]="",#N/A,((Tabela1[[#This Row],[Consumer Price Index (CPI)]]*1)/B139)-1)</f>
        <v>3.4554250172771361E-3</v>
      </c>
      <c r="E151" s="25">
        <v>30.1</v>
      </c>
      <c r="F151" s="8">
        <f>IF(Tabela1[[#This Row],[Core Consumer Price Index]]="",#N/A,((Tabela1[[#This Row],[Core Consumer Price Index]]*1)/E150)-1)</f>
        <v>3.3333333333334103E-3</v>
      </c>
      <c r="G151" s="8">
        <f>IF(Tabela1[[#This Row],[Core Consumer Price Index]]="",#N/A,((Tabela1[[#This Row],[Core Consumer Price Index]]*1)/E139)-1)</f>
        <v>2.0338983050847581E-2</v>
      </c>
      <c r="H151" s="8">
        <f t="shared" si="0"/>
        <v>2.6711259754738315E-2</v>
      </c>
      <c r="I151" s="8">
        <f t="shared" si="1"/>
        <v>2.0067039273341969E-2</v>
      </c>
      <c r="J151" s="25">
        <v>23.2</v>
      </c>
      <c r="K151" s="8">
        <f>IF(Tabela1[[#This Row],[Services CPI]]="",#N/A,((Tabela1[[#This Row],[Services CPI]]*1)/J150)-1)</f>
        <v>4.3290043290042934E-3</v>
      </c>
      <c r="L151" s="8">
        <f>IF(Tabela1[[#This Row],[Services CPI]]="",#N/A,((Tabela1[[#This Row],[Services CPI]]*1)/J139)-1)</f>
        <v>2.6548672566371501E-2</v>
      </c>
      <c r="M151" s="7"/>
      <c r="N151" s="8"/>
      <c r="O151" s="8"/>
      <c r="P151" s="7">
        <v>38.4</v>
      </c>
      <c r="Q151" s="8">
        <f>IF(Tabela1[[#This Row],[Durable Goods CPI]]="",#N/A,((Tabela1[[#This Row],[Durable Goods CPI]]*1)/P150)-1)</f>
        <v>2.6109660574413773E-3</v>
      </c>
      <c r="R151" s="8">
        <f>IF(Tabela1[[#This Row],[Durable Goods CPI]]="",#N/A,((Tabela1[[#This Row],[Durable Goods CPI]]*1)/P139)-1)</f>
        <v>1.5873015873015817E-2</v>
      </c>
      <c r="S151" s="7"/>
      <c r="T151" s="7">
        <v>15.227</v>
      </c>
      <c r="U151" s="8">
        <f>IF(Tabela1[[#This Row],[Personal Consumption Expenditures (PCE)]]="",#N/A,((Tabela1[[#This Row],[Personal Consumption Expenditures (PCE)]]*1)/T150)-1)</f>
        <v>5.2565871607868075E-4</v>
      </c>
      <c r="V151" s="7"/>
      <c r="W151" s="7">
        <v>15.589</v>
      </c>
      <c r="X151" s="8">
        <f>IF(Tabela1[[#This Row],[Core PCE]]="",#N/A,((Tabela1[[#This Row],[Core PCE]]*1)/W150)-1)</f>
        <v>1.2202954399487265E-3</v>
      </c>
      <c r="Y151" s="7"/>
      <c r="Z151" s="8">
        <f t="shared" si="2"/>
        <v>1.9566877647698711E-2</v>
      </c>
      <c r="AA151" s="8"/>
      <c r="AB151" s="7"/>
      <c r="AC151" s="7"/>
      <c r="AD151" s="8"/>
      <c r="AE151" s="71"/>
      <c r="AF151" s="7"/>
      <c r="AG151" s="5"/>
    </row>
    <row r="152" spans="1:33" ht="12.75">
      <c r="A152" s="6">
        <v>21702</v>
      </c>
      <c r="B152" s="7">
        <v>29.11</v>
      </c>
      <c r="C152" s="8">
        <f>IF(Tabela1[[#This Row],[Consumer Price Index (CPI)]]="",#N/A,((Tabela1[[#This Row],[Consumer Price Index (CPI)]]*1)/B151)-1)</f>
        <v>2.4104683195591559E-3</v>
      </c>
      <c r="D152" s="8">
        <f>IF(Tabela1[[#This Row],[Consumer Price Index (CPI)]]="",#N/A,((Tabela1[[#This Row],[Consumer Price Index (CPI)]]*1)/B140)-1)</f>
        <v>6.9180214458663958E-3</v>
      </c>
      <c r="E152" s="25">
        <v>30.2</v>
      </c>
      <c r="F152" s="8">
        <f>IF(Tabela1[[#This Row],[Core Consumer Price Index]]="",#N/A,((Tabela1[[#This Row],[Core Consumer Price Index]]*1)/E151)-1)</f>
        <v>3.3222591362125353E-3</v>
      </c>
      <c r="G152" s="8">
        <f>IF(Tabela1[[#This Row],[Core Consumer Price Index]]="",#N/A,((Tabela1[[#This Row],[Core Consumer Price Index]]*1)/E140)-1)</f>
        <v>2.0270270270270174E-2</v>
      </c>
      <c r="H152" s="8">
        <f t="shared" si="0"/>
        <v>2.6622369878183783E-2</v>
      </c>
      <c r="I152" s="8">
        <f t="shared" si="1"/>
        <v>2.0000148149794228E-2</v>
      </c>
      <c r="J152" s="25">
        <v>23.2</v>
      </c>
      <c r="K152" s="8">
        <f>IF(Tabela1[[#This Row],[Services CPI]]="",#N/A,((Tabela1[[#This Row],[Services CPI]]*1)/J151)-1)</f>
        <v>0</v>
      </c>
      <c r="L152" s="8">
        <f>IF(Tabela1[[#This Row],[Services CPI]]="",#N/A,((Tabela1[[#This Row],[Services CPI]]*1)/J140)-1)</f>
        <v>2.6548672566371501E-2</v>
      </c>
      <c r="M152" s="7"/>
      <c r="N152" s="8"/>
      <c r="O152" s="8"/>
      <c r="P152" s="7">
        <v>38.4</v>
      </c>
      <c r="Q152" s="8">
        <f>IF(Tabela1[[#This Row],[Durable Goods CPI]]="",#N/A,((Tabela1[[#This Row],[Durable Goods CPI]]*1)/P151)-1)</f>
        <v>0</v>
      </c>
      <c r="R152" s="8">
        <f>IF(Tabela1[[#This Row],[Durable Goods CPI]]="",#N/A,((Tabela1[[#This Row],[Durable Goods CPI]]*1)/P140)-1)</f>
        <v>1.8567639257294211E-2</v>
      </c>
      <c r="S152" s="7"/>
      <c r="T152" s="7">
        <v>15.271000000000001</v>
      </c>
      <c r="U152" s="8">
        <f>IF(Tabela1[[#This Row],[Personal Consumption Expenditures (PCE)]]="",#N/A,((Tabela1[[#This Row],[Personal Consumption Expenditures (PCE)]]*1)/T151)-1)</f>
        <v>2.8896039929073858E-3</v>
      </c>
      <c r="V152" s="7"/>
      <c r="W152" s="7">
        <v>15.635</v>
      </c>
      <c r="X152" s="8">
        <f>IF(Tabela1[[#This Row],[Core PCE]]="",#N/A,((Tabela1[[#This Row],[Core PCE]]*1)/W151)-1)</f>
        <v>2.9507986400667541E-3</v>
      </c>
      <c r="Y152" s="7"/>
      <c r="Z152" s="8">
        <f t="shared" si="2"/>
        <v>2.6728803594544992E-2</v>
      </c>
      <c r="AA152" s="8"/>
      <c r="AB152" s="7"/>
      <c r="AC152" s="7"/>
      <c r="AD152" s="8"/>
      <c r="AE152" s="71"/>
      <c r="AF152" s="7"/>
      <c r="AG152" s="5"/>
    </row>
    <row r="153" spans="1:33" ht="12.75">
      <c r="A153" s="6">
        <v>21732</v>
      </c>
      <c r="B153" s="7">
        <v>29.15</v>
      </c>
      <c r="C153" s="8">
        <f>IF(Tabela1[[#This Row],[Consumer Price Index (CPI)]]="",#N/A,((Tabela1[[#This Row],[Consumer Price Index (CPI)]]*1)/B152)-1)</f>
        <v>1.3740982480248132E-3</v>
      </c>
      <c r="D153" s="8">
        <f>IF(Tabela1[[#This Row],[Consumer Price Index (CPI)]]="",#N/A,((Tabela1[[#This Row],[Consumer Price Index (CPI)]]*1)/B141)-1)</f>
        <v>8.9996538594667719E-3</v>
      </c>
      <c r="E153" s="25">
        <v>30.2</v>
      </c>
      <c r="F153" s="8">
        <f>IF(Tabela1[[#This Row],[Core Consumer Price Index]]="",#N/A,((Tabela1[[#This Row],[Core Consumer Price Index]]*1)/E152)-1)</f>
        <v>0</v>
      </c>
      <c r="G153" s="8">
        <f>IF(Tabela1[[#This Row],[Core Consumer Price Index]]="",#N/A,((Tabela1[[#This Row],[Core Consumer Price Index]]*1)/E141)-1)</f>
        <v>2.0270270270270174E-2</v>
      </c>
      <c r="H153" s="8">
        <f t="shared" si="0"/>
        <v>2.6622369878183783E-2</v>
      </c>
      <c r="I153" s="8">
        <f t="shared" si="1"/>
        <v>2.0000148149794228E-2</v>
      </c>
      <c r="J153" s="25">
        <v>23.3</v>
      </c>
      <c r="K153" s="8">
        <f>IF(Tabela1[[#This Row],[Services CPI]]="",#N/A,((Tabela1[[#This Row],[Services CPI]]*1)/J152)-1)</f>
        <v>4.3103448275862988E-3</v>
      </c>
      <c r="L153" s="8">
        <f>IF(Tabela1[[#This Row],[Services CPI]]="",#N/A,((Tabela1[[#This Row],[Services CPI]]*1)/J141)-1)</f>
        <v>2.6431718061673992E-2</v>
      </c>
      <c r="M153" s="7"/>
      <c r="N153" s="8"/>
      <c r="O153" s="8"/>
      <c r="P153" s="7">
        <v>38.5</v>
      </c>
      <c r="Q153" s="8">
        <f>IF(Tabela1[[#This Row],[Durable Goods CPI]]="",#N/A,((Tabela1[[#This Row],[Durable Goods CPI]]*1)/P152)-1)</f>
        <v>2.6041666666667407E-3</v>
      </c>
      <c r="R153" s="8">
        <f>IF(Tabela1[[#This Row],[Durable Goods CPI]]="",#N/A,((Tabela1[[#This Row],[Durable Goods CPI]]*1)/P141)-1)</f>
        <v>1.8518518518518601E-2</v>
      </c>
      <c r="S153" s="7"/>
      <c r="T153" s="7">
        <v>15.303000000000001</v>
      </c>
      <c r="U153" s="8">
        <f>IF(Tabela1[[#This Row],[Personal Consumption Expenditures (PCE)]]="",#N/A,((Tabela1[[#This Row],[Personal Consumption Expenditures (PCE)]]*1)/T152)-1)</f>
        <v>2.0954750834916158E-3</v>
      </c>
      <c r="V153" s="7"/>
      <c r="W153" s="7">
        <v>15.672000000000001</v>
      </c>
      <c r="X153" s="8">
        <f>IF(Tabela1[[#This Row],[Core PCE]]="",#N/A,((Tabela1[[#This Row],[Core PCE]]*1)/W152)-1)</f>
        <v>2.3664854493123944E-3</v>
      </c>
      <c r="Y153" s="7"/>
      <c r="Z153" s="8">
        <f t="shared" si="2"/>
        <v>2.61503181173115E-2</v>
      </c>
      <c r="AA153" s="8">
        <f t="shared" ref="AA153:AA216" si="3">SUM(X148:X153)*2</f>
        <v>2.1966294209884829E-2</v>
      </c>
      <c r="AB153" s="7"/>
      <c r="AC153" s="7"/>
      <c r="AD153" s="8"/>
      <c r="AE153" s="71"/>
      <c r="AF153" s="7"/>
      <c r="AG153" s="5"/>
    </row>
    <row r="154" spans="1:33" ht="12.75">
      <c r="A154" s="6">
        <v>21763</v>
      </c>
      <c r="B154" s="7">
        <v>29.18</v>
      </c>
      <c r="C154" s="8">
        <f>IF(Tabela1[[#This Row],[Consumer Price Index (CPI)]]="",#N/A,((Tabela1[[#This Row],[Consumer Price Index (CPI)]]*1)/B153)-1)</f>
        <v>1.0291595197255976E-3</v>
      </c>
      <c r="D154" s="8">
        <f>IF(Tabela1[[#This Row],[Consumer Price Index (CPI)]]="",#N/A,((Tabela1[[#This Row],[Consumer Price Index (CPI)]]*1)/B142)-1)</f>
        <v>8.2930200414650379E-3</v>
      </c>
      <c r="E154" s="25">
        <v>30.2</v>
      </c>
      <c r="F154" s="8">
        <f>IF(Tabela1[[#This Row],[Core Consumer Price Index]]="",#N/A,((Tabela1[[#This Row],[Core Consumer Price Index]]*1)/E153)-1)</f>
        <v>0</v>
      </c>
      <c r="G154" s="8">
        <f>IF(Tabela1[[#This Row],[Core Consumer Price Index]]="",#N/A,((Tabela1[[#This Row],[Core Consumer Price Index]]*1)/E142)-1)</f>
        <v>2.0270270270270174E-2</v>
      </c>
      <c r="H154" s="8">
        <f t="shared" si="0"/>
        <v>1.3289036544850141E-2</v>
      </c>
      <c r="I154" s="8">
        <f t="shared" si="1"/>
        <v>2.0000148149794228E-2</v>
      </c>
      <c r="J154" s="25">
        <v>23.4</v>
      </c>
      <c r="K154" s="8">
        <f>IF(Tabela1[[#This Row],[Services CPI]]="",#N/A,((Tabela1[[#This Row],[Services CPI]]*1)/J153)-1)</f>
        <v>4.2918454935620964E-3</v>
      </c>
      <c r="L154" s="8">
        <f>IF(Tabela1[[#This Row],[Services CPI]]="",#N/A,((Tabela1[[#This Row],[Services CPI]]*1)/J142)-1)</f>
        <v>3.0837004405286361E-2</v>
      </c>
      <c r="M154" s="7"/>
      <c r="N154" s="8"/>
      <c r="O154" s="8"/>
      <c r="P154" s="7">
        <v>38.4</v>
      </c>
      <c r="Q154" s="8">
        <f>IF(Tabela1[[#This Row],[Durable Goods CPI]]="",#N/A,((Tabela1[[#This Row],[Durable Goods CPI]]*1)/P153)-1)</f>
        <v>-2.5974025974025983E-3</v>
      </c>
      <c r="R154" s="8">
        <f>IF(Tabela1[[#This Row],[Durable Goods CPI]]="",#N/A,((Tabela1[[#This Row],[Durable Goods CPI]]*1)/P142)-1)</f>
        <v>1.5873015873015817E-2</v>
      </c>
      <c r="S154" s="7"/>
      <c r="T154" s="7">
        <v>15.324999999999999</v>
      </c>
      <c r="U154" s="8">
        <f>IF(Tabela1[[#This Row],[Personal Consumption Expenditures (PCE)]]="",#N/A,((Tabela1[[#This Row],[Personal Consumption Expenditures (PCE)]]*1)/T153)-1)</f>
        <v>1.4376266091615797E-3</v>
      </c>
      <c r="V154" s="7"/>
      <c r="W154" s="7">
        <v>15.696999999999999</v>
      </c>
      <c r="X154" s="8">
        <f>IF(Tabela1[[#This Row],[Core PCE]]="",#N/A,((Tabela1[[#This Row],[Core PCE]]*1)/W153)-1)</f>
        <v>1.595201633486365E-3</v>
      </c>
      <c r="Y154" s="7"/>
      <c r="Z154" s="8">
        <f t="shared" si="2"/>
        <v>2.7649942891462054E-2</v>
      </c>
      <c r="AA154" s="8">
        <f t="shared" si="3"/>
        <v>2.3608410269580382E-2</v>
      </c>
      <c r="AB154" s="7"/>
      <c r="AC154" s="7"/>
      <c r="AD154" s="8"/>
      <c r="AE154" s="71"/>
      <c r="AF154" s="7"/>
      <c r="AG154" s="5"/>
    </row>
    <row r="155" spans="1:33" ht="12.75">
      <c r="A155" s="6">
        <v>21794</v>
      </c>
      <c r="B155" s="7">
        <v>29.25</v>
      </c>
      <c r="C155" s="8">
        <f>IF(Tabela1[[#This Row],[Consumer Price Index (CPI)]]="",#N/A,((Tabela1[[#This Row],[Consumer Price Index (CPI)]]*1)/B154)-1)</f>
        <v>2.3989033584648212E-3</v>
      </c>
      <c r="D155" s="8">
        <f>IF(Tabela1[[#This Row],[Consumer Price Index (CPI)]]="",#N/A,((Tabela1[[#This Row],[Consumer Price Index (CPI)]]*1)/B143)-1)</f>
        <v>1.1760636457972984E-2</v>
      </c>
      <c r="E155" s="25">
        <v>30.3</v>
      </c>
      <c r="F155" s="8">
        <f>IF(Tabela1[[#This Row],[Core Consumer Price Index]]="",#N/A,((Tabela1[[#This Row],[Core Consumer Price Index]]*1)/E154)-1)</f>
        <v>3.3112582781458233E-3</v>
      </c>
      <c r="G155" s="8">
        <f>IF(Tabela1[[#This Row],[Core Consumer Price Index]]="",#N/A,((Tabela1[[#This Row],[Core Consumer Price Index]]*1)/E143)-1)</f>
        <v>2.0202020202020332E-2</v>
      </c>
      <c r="H155" s="8">
        <f t="shared" si="0"/>
        <v>1.3245033112583293E-2</v>
      </c>
      <c r="I155" s="8">
        <f t="shared" si="1"/>
        <v>1.9933701495383538E-2</v>
      </c>
      <c r="J155" s="25">
        <v>23.5</v>
      </c>
      <c r="K155" s="8">
        <f>IF(Tabela1[[#This Row],[Services CPI]]="",#N/A,((Tabela1[[#This Row],[Services CPI]]*1)/J154)-1)</f>
        <v>4.2735042735042583E-3</v>
      </c>
      <c r="L155" s="8">
        <f>IF(Tabela1[[#This Row],[Services CPI]]="",#N/A,((Tabela1[[#This Row],[Services CPI]]*1)/J143)-1)</f>
        <v>3.0701754385964897E-2</v>
      </c>
      <c r="M155" s="7"/>
      <c r="N155" s="8"/>
      <c r="O155" s="8"/>
      <c r="P155" s="7">
        <v>38.5</v>
      </c>
      <c r="Q155" s="8">
        <f>IF(Tabela1[[#This Row],[Durable Goods CPI]]="",#N/A,((Tabela1[[#This Row],[Durable Goods CPI]]*1)/P154)-1)</f>
        <v>2.6041666666667407E-3</v>
      </c>
      <c r="R155" s="8">
        <f>IF(Tabela1[[#This Row],[Durable Goods CPI]]="",#N/A,((Tabela1[[#This Row],[Durable Goods CPI]]*1)/P143)-1)</f>
        <v>1.5831134564643801E-2</v>
      </c>
      <c r="S155" s="7"/>
      <c r="T155" s="7">
        <v>15.365</v>
      </c>
      <c r="U155" s="8">
        <f>IF(Tabela1[[#This Row],[Personal Consumption Expenditures (PCE)]]="",#N/A,((Tabela1[[#This Row],[Personal Consumption Expenditures (PCE)]]*1)/T154)-1)</f>
        <v>2.6101141924959048E-3</v>
      </c>
      <c r="V155" s="7"/>
      <c r="W155" s="7">
        <v>15.738</v>
      </c>
      <c r="X155" s="8">
        <f>IF(Tabela1[[#This Row],[Core PCE]]="",#N/A,((Tabela1[[#This Row],[Core PCE]]*1)/W154)-1)</f>
        <v>2.6119640695674295E-3</v>
      </c>
      <c r="Y155" s="7"/>
      <c r="Z155" s="8">
        <f t="shared" si="2"/>
        <v>2.6294604609464756E-2</v>
      </c>
      <c r="AA155" s="8">
        <f t="shared" si="3"/>
        <v>2.6511704102004874E-2</v>
      </c>
      <c r="AB155" s="7"/>
      <c r="AC155" s="7"/>
      <c r="AD155" s="8"/>
      <c r="AE155" s="71"/>
      <c r="AF155" s="7"/>
      <c r="AG155" s="5"/>
    </row>
    <row r="156" spans="1:33" ht="12.75">
      <c r="A156" s="6">
        <v>21824</v>
      </c>
      <c r="B156" s="7">
        <v>29.35</v>
      </c>
      <c r="C156" s="8">
        <f>IF(Tabela1[[#This Row],[Consumer Price Index (CPI)]]="",#N/A,((Tabela1[[#This Row],[Consumer Price Index (CPI)]]*1)/B155)-1)</f>
        <v>3.4188034188034067E-3</v>
      </c>
      <c r="D156" s="8">
        <f>IF(Tabela1[[#This Row],[Consumer Price Index (CPI)]]="",#N/A,((Tabela1[[#This Row],[Consumer Price Index (CPI)]]*1)/B144)-1)</f>
        <v>1.5219647180906293E-2</v>
      </c>
      <c r="E156" s="25">
        <v>30.4</v>
      </c>
      <c r="F156" s="8">
        <f>IF(Tabela1[[#This Row],[Core Consumer Price Index]]="",#N/A,((Tabela1[[#This Row],[Core Consumer Price Index]]*1)/E155)-1)</f>
        <v>3.3003300330032292E-3</v>
      </c>
      <c r="G156" s="8">
        <f>IF(Tabela1[[#This Row],[Core Consumer Price Index]]="",#N/A,((Tabela1[[#This Row],[Core Consumer Price Index]]*1)/E144)-1)</f>
        <v>2.3569023569023573E-2</v>
      </c>
      <c r="H156" s="8">
        <f t="shared" si="0"/>
        <v>2.644635324459621E-2</v>
      </c>
      <c r="I156" s="8">
        <f t="shared" si="1"/>
        <v>2.6534361561389996E-2</v>
      </c>
      <c r="J156" s="25">
        <v>23.6</v>
      </c>
      <c r="K156" s="8">
        <f>IF(Tabela1[[#This Row],[Services CPI]]="",#N/A,((Tabela1[[#This Row],[Services CPI]]*1)/J155)-1)</f>
        <v>4.2553191489362874E-3</v>
      </c>
      <c r="L156" s="8">
        <f>IF(Tabela1[[#This Row],[Services CPI]]="",#N/A,((Tabela1[[#This Row],[Services CPI]]*1)/J144)-1)</f>
        <v>3.5087719298245723E-2</v>
      </c>
      <c r="M156" s="7"/>
      <c r="N156" s="8"/>
      <c r="O156" s="8"/>
      <c r="P156" s="7">
        <v>38.5</v>
      </c>
      <c r="Q156" s="8">
        <f>IF(Tabela1[[#This Row],[Durable Goods CPI]]="",#N/A,((Tabela1[[#This Row],[Durable Goods CPI]]*1)/P155)-1)</f>
        <v>0</v>
      </c>
      <c r="R156" s="8">
        <f>IF(Tabela1[[#This Row],[Durable Goods CPI]]="",#N/A,((Tabela1[[#This Row],[Durable Goods CPI]]*1)/P144)-1)</f>
        <v>1.8518518518518601E-2</v>
      </c>
      <c r="S156" s="7"/>
      <c r="T156" s="7">
        <v>15.401999999999999</v>
      </c>
      <c r="U156" s="8">
        <f>IF(Tabela1[[#This Row],[Personal Consumption Expenditures (PCE)]]="",#N/A,((Tabela1[[#This Row],[Personal Consumption Expenditures (PCE)]]*1)/T155)-1)</f>
        <v>2.4080702896192019E-3</v>
      </c>
      <c r="V156" s="8"/>
      <c r="W156" s="7">
        <v>15.765000000000001</v>
      </c>
      <c r="X156" s="8">
        <f>IF(Tabela1[[#This Row],[Core PCE]]="",#N/A,((Tabela1[[#This Row],[Core PCE]]*1)/W155)-1)</f>
        <v>1.7155928326344494E-3</v>
      </c>
      <c r="Y156" s="7"/>
      <c r="Z156" s="8">
        <f t="shared" si="2"/>
        <v>2.3691034142752976E-2</v>
      </c>
      <c r="AA156" s="8">
        <f t="shared" si="3"/>
        <v>2.4920676130032238E-2</v>
      </c>
      <c r="AB156" s="7"/>
      <c r="AC156" s="7"/>
      <c r="AD156" s="8"/>
      <c r="AE156" s="71"/>
      <c r="AF156" s="7"/>
      <c r="AG156" s="5"/>
    </row>
    <row r="157" spans="1:33" ht="12.75">
      <c r="A157" s="6">
        <v>21855</v>
      </c>
      <c r="B157" s="7">
        <v>29.35</v>
      </c>
      <c r="C157" s="8">
        <f>IF(Tabela1[[#This Row],[Consumer Price Index (CPI)]]="",#N/A,((Tabela1[[#This Row],[Consumer Price Index (CPI)]]*1)/B156)-1)</f>
        <v>0</v>
      </c>
      <c r="D157" s="8">
        <f>IF(Tabela1[[#This Row],[Consumer Price Index (CPI)]]="",#N/A,((Tabela1[[#This Row],[Consumer Price Index (CPI)]]*1)/B145)-1)</f>
        <v>1.3816925734024155E-2</v>
      </c>
      <c r="E157" s="25">
        <v>30.4</v>
      </c>
      <c r="F157" s="8">
        <f>IF(Tabela1[[#This Row],[Core Consumer Price Index]]="",#N/A,((Tabela1[[#This Row],[Core Consumer Price Index]]*1)/E156)-1)</f>
        <v>0</v>
      </c>
      <c r="G157" s="8">
        <f>IF(Tabela1[[#This Row],[Core Consumer Price Index]]="",#N/A,((Tabela1[[#This Row],[Core Consumer Price Index]]*1)/E145)-1)</f>
        <v>2.0134228187919323E-2</v>
      </c>
      <c r="H157" s="8">
        <f t="shared" si="0"/>
        <v>2.644635324459621E-2</v>
      </c>
      <c r="I157" s="8">
        <f t="shared" si="1"/>
        <v>1.9867694894723176E-2</v>
      </c>
      <c r="J157" s="25">
        <v>23.6</v>
      </c>
      <c r="K157" s="8">
        <f>IF(Tabela1[[#This Row],[Services CPI]]="",#N/A,((Tabela1[[#This Row],[Services CPI]]*1)/J156)-1)</f>
        <v>0</v>
      </c>
      <c r="L157" s="8">
        <f>IF(Tabela1[[#This Row],[Services CPI]]="",#N/A,((Tabela1[[#This Row],[Services CPI]]*1)/J145)-1)</f>
        <v>3.5087719298245723E-2</v>
      </c>
      <c r="M157" s="7"/>
      <c r="N157" s="8"/>
      <c r="O157" s="8"/>
      <c r="P157" s="7">
        <v>38.5</v>
      </c>
      <c r="Q157" s="8">
        <f>IF(Tabela1[[#This Row],[Durable Goods CPI]]="",#N/A,((Tabela1[[#This Row],[Durable Goods CPI]]*1)/P156)-1)</f>
        <v>0</v>
      </c>
      <c r="R157" s="8">
        <f>IF(Tabela1[[#This Row],[Durable Goods CPI]]="",#N/A,((Tabela1[[#This Row],[Durable Goods CPI]]*1)/P145)-1)</f>
        <v>1.049868766404205E-2</v>
      </c>
      <c r="S157" s="7"/>
      <c r="T157" s="7">
        <v>15.412000000000001</v>
      </c>
      <c r="U157" s="8">
        <f>IF(Tabela1[[#This Row],[Personal Consumption Expenditures (PCE)]]="",#N/A,((Tabela1[[#This Row],[Personal Consumption Expenditures (PCE)]]*1)/T156)-1)</f>
        <v>6.4926632904827031E-4</v>
      </c>
      <c r="V157" s="8"/>
      <c r="W157" s="7">
        <v>15.794</v>
      </c>
      <c r="X157" s="8">
        <f>IF(Tabela1[[#This Row],[Core PCE]]="",#N/A,((Tabela1[[#This Row],[Core PCE]]*1)/W156)-1)</f>
        <v>1.8395179194417022E-3</v>
      </c>
      <c r="Y157" s="7"/>
      <c r="Z157" s="8">
        <f t="shared" si="2"/>
        <v>2.4668299286574324E-2</v>
      </c>
      <c r="AA157" s="8">
        <f t="shared" si="3"/>
        <v>2.6159121089018189E-2</v>
      </c>
      <c r="AB157" s="7"/>
      <c r="AC157" s="7"/>
      <c r="AD157" s="8"/>
      <c r="AE157" s="71"/>
      <c r="AF157" s="7"/>
      <c r="AG157" s="5"/>
    </row>
    <row r="158" spans="1:33" ht="12.75">
      <c r="A158" s="6">
        <v>21885</v>
      </c>
      <c r="B158" s="7">
        <v>29.41</v>
      </c>
      <c r="C158" s="8">
        <f>IF(Tabela1[[#This Row],[Consumer Price Index (CPI)]]="",#N/A,((Tabela1[[#This Row],[Consumer Price Index (CPI)]]*1)/B157)-1)</f>
        <v>2.0442930153321548E-3</v>
      </c>
      <c r="D158" s="8">
        <f>IF(Tabela1[[#This Row],[Consumer Price Index (CPI)]]="",#N/A,((Tabela1[[#This Row],[Consumer Price Index (CPI)]]*1)/B146)-1)</f>
        <v>1.5188125647221273E-2</v>
      </c>
      <c r="E158" s="25">
        <v>30.5</v>
      </c>
      <c r="F158" s="8">
        <f>IF(Tabela1[[#This Row],[Core Consumer Price Index]]="",#N/A,((Tabela1[[#This Row],[Core Consumer Price Index]]*1)/E157)-1)</f>
        <v>3.2894736842106198E-3</v>
      </c>
      <c r="G158" s="8">
        <f>IF(Tabela1[[#This Row],[Core Consumer Price Index]]="",#N/A,((Tabela1[[#This Row],[Core Consumer Price Index]]*1)/E146)-1)</f>
        <v>2.006688963210701E-2</v>
      </c>
      <c r="H158" s="8">
        <f t="shared" si="0"/>
        <v>2.6359214868855396E-2</v>
      </c>
      <c r="I158" s="8">
        <f t="shared" si="1"/>
        <v>1.9802123990719345E-2</v>
      </c>
      <c r="J158" s="25">
        <v>23.7</v>
      </c>
      <c r="K158" s="8">
        <f>IF(Tabela1[[#This Row],[Services CPI]]="",#N/A,((Tabela1[[#This Row],[Services CPI]]*1)/J157)-1)</f>
        <v>4.237288135593209E-3</v>
      </c>
      <c r="L158" s="8">
        <f>IF(Tabela1[[#This Row],[Services CPI]]="",#N/A,((Tabela1[[#This Row],[Services CPI]]*1)/J146)-1)</f>
        <v>3.9473684210526327E-2</v>
      </c>
      <c r="M158" s="7"/>
      <c r="N158" s="8"/>
      <c r="O158" s="8"/>
      <c r="P158" s="7">
        <v>38.5</v>
      </c>
      <c r="Q158" s="8">
        <f>IF(Tabela1[[#This Row],[Durable Goods CPI]]="",#N/A,((Tabela1[[#This Row],[Durable Goods CPI]]*1)/P157)-1)</f>
        <v>0</v>
      </c>
      <c r="R158" s="8">
        <f>IF(Tabela1[[#This Row],[Durable Goods CPI]]="",#N/A,((Tabela1[[#This Row],[Durable Goods CPI]]*1)/P146)-1)</f>
        <v>7.8534031413610705E-3</v>
      </c>
      <c r="S158" s="7"/>
      <c r="T158" s="7">
        <v>15.43</v>
      </c>
      <c r="U158" s="8">
        <f>IF(Tabela1[[#This Row],[Personal Consumption Expenditures (PCE)]]="",#N/A,((Tabela1[[#This Row],[Personal Consumption Expenditures (PCE)]]*1)/T157)-1)</f>
        <v>1.1679211004411716E-3</v>
      </c>
      <c r="V158" s="8"/>
      <c r="W158" s="7">
        <v>15.818</v>
      </c>
      <c r="X158" s="8">
        <f>IF(Tabela1[[#This Row],[Core PCE]]="",#N/A,((Tabela1[[#This Row],[Core PCE]]*1)/W157)-1)</f>
        <v>1.5195643915411061E-3</v>
      </c>
      <c r="Y158" s="7"/>
      <c r="Z158" s="8">
        <f t="shared" si="2"/>
        <v>2.0298700574469031E-2</v>
      </c>
      <c r="AA158" s="8">
        <f t="shared" si="3"/>
        <v>2.3296652591966893E-2</v>
      </c>
      <c r="AB158" s="7"/>
      <c r="AC158" s="7"/>
      <c r="AD158" s="8"/>
      <c r="AE158" s="71"/>
      <c r="AF158" s="7"/>
      <c r="AG158" s="5"/>
    </row>
    <row r="159" spans="1:33" ht="12.75">
      <c r="A159" s="6">
        <v>21916</v>
      </c>
      <c r="B159" s="7">
        <v>29.37</v>
      </c>
      <c r="C159" s="8">
        <f>IF(Tabela1[[#This Row],[Consumer Price Index (CPI)]]="",#N/A,((Tabela1[[#This Row],[Consumer Price Index (CPI)]]*1)/B158)-1)</f>
        <v>-1.3600816048963127E-3</v>
      </c>
      <c r="D159" s="8">
        <f>IF(Tabela1[[#This Row],[Consumer Price Index (CPI)]]="",#N/A,((Tabela1[[#This Row],[Consumer Price Index (CPI)]]*1)/B147)-1)</f>
        <v>1.2409513960703222E-2</v>
      </c>
      <c r="E159" s="25">
        <v>30.5</v>
      </c>
      <c r="F159" s="8">
        <f>IF(Tabela1[[#This Row],[Core Consumer Price Index]]="",#N/A,((Tabela1[[#This Row],[Core Consumer Price Index]]*1)/E158)-1)</f>
        <v>0</v>
      </c>
      <c r="G159" s="8">
        <f>IF(Tabela1[[#This Row],[Core Consumer Price Index]]="",#N/A,((Tabela1[[#This Row],[Core Consumer Price Index]]*1)/E147)-1)</f>
        <v>2.006688963210701E-2</v>
      </c>
      <c r="H159" s="8">
        <f t="shared" si="0"/>
        <v>1.3157894736842479E-2</v>
      </c>
      <c r="I159" s="8">
        <f t="shared" si="1"/>
        <v>1.9802123990719345E-2</v>
      </c>
      <c r="J159" s="25">
        <v>23.7</v>
      </c>
      <c r="K159" s="8">
        <f>IF(Tabela1[[#This Row],[Services CPI]]="",#N/A,((Tabela1[[#This Row],[Services CPI]]*1)/J158)-1)</f>
        <v>0</v>
      </c>
      <c r="L159" s="8">
        <f>IF(Tabela1[[#This Row],[Services CPI]]="",#N/A,((Tabela1[[#This Row],[Services CPI]]*1)/J147)-1)</f>
        <v>3.4934497816593968E-2</v>
      </c>
      <c r="M159" s="7"/>
      <c r="N159" s="8"/>
      <c r="O159" s="8"/>
      <c r="P159" s="7">
        <v>38.5</v>
      </c>
      <c r="Q159" s="8">
        <f>IF(Tabela1[[#This Row],[Durable Goods CPI]]="",#N/A,((Tabela1[[#This Row],[Durable Goods CPI]]*1)/P158)-1)</f>
        <v>0</v>
      </c>
      <c r="R159" s="8">
        <f>IF(Tabela1[[#This Row],[Durable Goods CPI]]="",#N/A,((Tabela1[[#This Row],[Durable Goods CPI]]*1)/P147)-1)</f>
        <v>1.049868766404205E-2</v>
      </c>
      <c r="S159" s="7"/>
      <c r="T159" s="7">
        <v>15.420999999999999</v>
      </c>
      <c r="U159" s="8">
        <f>IF(Tabela1[[#This Row],[Personal Consumption Expenditures (PCE)]]="",#N/A,((Tabela1[[#This Row],[Personal Consumption Expenditures (PCE)]]*1)/T158)-1)</f>
        <v>-5.8327932598833954E-4</v>
      </c>
      <c r="V159" s="8">
        <f>IF(Tabela1[[#This Row],[Personal Consumption Expenditures (PCE)]]="",#N/A,((Tabela1[[#This Row],[Personal Consumption Expenditures (PCE)]]*1)/T147)-1)</f>
        <v>1.6948034819308955E-2</v>
      </c>
      <c r="W159" s="7">
        <v>15.821999999999999</v>
      </c>
      <c r="X159" s="8">
        <f>IF(Tabela1[[#This Row],[Core PCE]]="",#N/A,((Tabela1[[#This Row],[Core PCE]]*1)/W158)-1)</f>
        <v>2.528764698443986E-4</v>
      </c>
      <c r="Y159" s="8">
        <f>IF(Tabela1[[#This Row],[Core PCE]]="",#N/A,((Tabela1[[#This Row],[Core PCE]]*1)/W147)-1)</f>
        <v>2.0708341397329244E-2</v>
      </c>
      <c r="Z159" s="8">
        <f t="shared" si="2"/>
        <v>1.4447835123308828E-2</v>
      </c>
      <c r="AA159" s="8">
        <f t="shared" si="3"/>
        <v>1.9069434633030902E-2</v>
      </c>
      <c r="AB159" s="7"/>
      <c r="AC159" s="7"/>
      <c r="AD159" s="8"/>
      <c r="AE159" s="71"/>
      <c r="AF159" s="7"/>
      <c r="AG159" s="5"/>
    </row>
    <row r="160" spans="1:33" ht="12.75">
      <c r="A160" s="6">
        <v>21947</v>
      </c>
      <c r="B160" s="7">
        <v>29.41</v>
      </c>
      <c r="C160" s="8">
        <f>IF(Tabela1[[#This Row],[Consumer Price Index (CPI)]]="",#N/A,((Tabela1[[#This Row],[Consumer Price Index (CPI)]]*1)/B159)-1)</f>
        <v>1.3619339462036528E-3</v>
      </c>
      <c r="D160" s="8">
        <f>IF(Tabela1[[#This Row],[Consumer Price Index (CPI)]]="",#N/A,((Tabela1[[#This Row],[Consumer Price Index (CPI)]]*1)/B148)-1)</f>
        <v>1.4137931034482687E-2</v>
      </c>
      <c r="E160" s="25">
        <v>30.6</v>
      </c>
      <c r="F160" s="8">
        <f>IF(Tabela1[[#This Row],[Core Consumer Price Index]]="",#N/A,((Tabela1[[#This Row],[Core Consumer Price Index]]*1)/E159)-1)</f>
        <v>3.2786885245901232E-3</v>
      </c>
      <c r="G160" s="8">
        <f>IF(Tabela1[[#This Row],[Core Consumer Price Index]]="",#N/A,((Tabela1[[#This Row],[Core Consumer Price Index]]*1)/E148)-1)</f>
        <v>2.34113712374584E-2</v>
      </c>
      <c r="H160" s="8">
        <f t="shared" si="0"/>
        <v>2.6272648835202972E-2</v>
      </c>
      <c r="I160" s="8">
        <f t="shared" si="1"/>
        <v>2.6359501039899591E-2</v>
      </c>
      <c r="J160" s="25">
        <v>23.8</v>
      </c>
      <c r="K160" s="8">
        <f>IF(Tabela1[[#This Row],[Services CPI]]="",#N/A,((Tabela1[[#This Row],[Services CPI]]*1)/J159)-1)</f>
        <v>4.2194092827005925E-3</v>
      </c>
      <c r="L160" s="8">
        <f>IF(Tabela1[[#This Row],[Services CPI]]="",#N/A,((Tabela1[[#This Row],[Services CPI]]*1)/J148)-1)</f>
        <v>3.4782608695652195E-2</v>
      </c>
      <c r="M160" s="7"/>
      <c r="N160" s="8"/>
      <c r="O160" s="8"/>
      <c r="P160" s="7">
        <v>38.5</v>
      </c>
      <c r="Q160" s="8">
        <f>IF(Tabela1[[#This Row],[Durable Goods CPI]]="",#N/A,((Tabela1[[#This Row],[Durable Goods CPI]]*1)/P159)-1)</f>
        <v>0</v>
      </c>
      <c r="R160" s="8">
        <f>IF(Tabela1[[#This Row],[Durable Goods CPI]]="",#N/A,((Tabela1[[#This Row],[Durable Goods CPI]]*1)/P148)-1)</f>
        <v>1.049868766404205E-2</v>
      </c>
      <c r="S160" s="7"/>
      <c r="T160" s="7">
        <v>15.436999999999999</v>
      </c>
      <c r="U160" s="8">
        <f>IF(Tabela1[[#This Row],[Personal Consumption Expenditures (PCE)]]="",#N/A,((Tabela1[[#This Row],[Personal Consumption Expenditures (PCE)]]*1)/T159)-1)</f>
        <v>1.0375462032292671E-3</v>
      </c>
      <c r="V160" s="8">
        <f>IF(Tabela1[[#This Row],[Personal Consumption Expenditures (PCE)]]="",#N/A,((Tabela1[[#This Row],[Personal Consumption Expenditures (PCE)]]*1)/T148)-1)</f>
        <v>1.6997167138810054E-2</v>
      </c>
      <c r="W160" s="7">
        <v>15.852</v>
      </c>
      <c r="X160" s="8">
        <f>IF(Tabela1[[#This Row],[Core PCE]]="",#N/A,((Tabela1[[#This Row],[Core PCE]]*1)/W159)-1)</f>
        <v>1.8960940462646736E-3</v>
      </c>
      <c r="Y160" s="8">
        <f>IF(Tabela1[[#This Row],[Core PCE]]="",#N/A,((Tabela1[[#This Row],[Core PCE]]*1)/W148)-1)</f>
        <v>2.1852639721523959E-2</v>
      </c>
      <c r="Z160" s="8">
        <f t="shared" ref="Z160:Z166" si="4">SUM(X158:X160)*4</f>
        <v>1.4674139630600713E-2</v>
      </c>
      <c r="AA160" s="8">
        <f t="shared" si="3"/>
        <v>1.9671219458587519E-2</v>
      </c>
      <c r="AB160" s="7"/>
      <c r="AC160" s="7"/>
      <c r="AD160" s="8"/>
      <c r="AE160" s="71"/>
      <c r="AF160" s="7"/>
      <c r="AG160" s="5"/>
    </row>
    <row r="161" spans="1:33" ht="12.75">
      <c r="A161" s="6">
        <v>21976</v>
      </c>
      <c r="B161" s="7">
        <v>29.41</v>
      </c>
      <c r="C161" s="8">
        <f>IF(Tabela1[[#This Row],[Consumer Price Index (CPI)]]="",#N/A,((Tabela1[[#This Row],[Consumer Price Index (CPI)]]*1)/B160)-1)</f>
        <v>0</v>
      </c>
      <c r="D161" s="8">
        <f>IF(Tabela1[[#This Row],[Consumer Price Index (CPI)]]="",#N/A,((Tabela1[[#This Row],[Consumer Price Index (CPI)]]*1)/B149)-1)</f>
        <v>1.5188125647221273E-2</v>
      </c>
      <c r="E161" s="25">
        <v>30.6</v>
      </c>
      <c r="F161" s="8">
        <f>IF(Tabela1[[#This Row],[Core Consumer Price Index]]="",#N/A,((Tabela1[[#This Row],[Core Consumer Price Index]]*1)/E160)-1)</f>
        <v>0</v>
      </c>
      <c r="G161" s="8">
        <f>IF(Tabela1[[#This Row],[Core Consumer Price Index]]="",#N/A,((Tabela1[[#This Row],[Core Consumer Price Index]]*1)/E149)-1)</f>
        <v>2.0000000000000018E-2</v>
      </c>
      <c r="H161" s="8">
        <f t="shared" si="0"/>
        <v>1.3114754098360493E-2</v>
      </c>
      <c r="I161" s="8">
        <f t="shared" si="1"/>
        <v>1.9736984483607944E-2</v>
      </c>
      <c r="J161" s="25">
        <v>23.9</v>
      </c>
      <c r="K161" s="8">
        <f>IF(Tabela1[[#This Row],[Services CPI]]="",#N/A,((Tabela1[[#This Row],[Services CPI]]*1)/J160)-1)</f>
        <v>4.2016806722688926E-3</v>
      </c>
      <c r="L161" s="8">
        <f>IF(Tabela1[[#This Row],[Services CPI]]="",#N/A,((Tabela1[[#This Row],[Services CPI]]*1)/J149)-1)</f>
        <v>3.9130434782608692E-2</v>
      </c>
      <c r="M161" s="7"/>
      <c r="N161" s="8"/>
      <c r="O161" s="8"/>
      <c r="P161" s="7">
        <v>38.4</v>
      </c>
      <c r="Q161" s="8">
        <f>IF(Tabela1[[#This Row],[Durable Goods CPI]]="",#N/A,((Tabela1[[#This Row],[Durable Goods CPI]]*1)/P160)-1)</f>
        <v>-2.5974025974025983E-3</v>
      </c>
      <c r="R161" s="8">
        <f>IF(Tabela1[[#This Row],[Durable Goods CPI]]="",#N/A,((Tabela1[[#This Row],[Durable Goods CPI]]*1)/P149)-1)</f>
        <v>2.6109660574413773E-3</v>
      </c>
      <c r="S161" s="7"/>
      <c r="T161" s="7">
        <v>15.446</v>
      </c>
      <c r="U161" s="8">
        <f>IF(Tabela1[[#This Row],[Personal Consumption Expenditures (PCE)]]="",#N/A,((Tabela1[[#This Row],[Personal Consumption Expenditures (PCE)]]*1)/T160)-1)</f>
        <v>5.8301483448852665E-4</v>
      </c>
      <c r="V161" s="8">
        <f>IF(Tabela1[[#This Row],[Personal Consumption Expenditures (PCE)]]="",#N/A,((Tabela1[[#This Row],[Personal Consumption Expenditures (PCE)]]*1)/T149)-1)</f>
        <v>1.6920139574692294E-2</v>
      </c>
      <c r="W161" s="7">
        <v>15.853</v>
      </c>
      <c r="X161" s="8">
        <f>IF(Tabela1[[#This Row],[Core PCE]]="",#N/A,((Tabela1[[#This Row],[Core PCE]]*1)/W160)-1)</f>
        <v>6.3083522583884388E-5</v>
      </c>
      <c r="Y161" s="8">
        <f>IF(Tabela1[[#This Row],[Core PCE]]="",#N/A,((Tabela1[[#This Row],[Core PCE]]*1)/W149)-1)</f>
        <v>2.0732728092202724E-2</v>
      </c>
      <c r="Z161" s="8">
        <f t="shared" si="4"/>
        <v>8.8482161547718263E-3</v>
      </c>
      <c r="AA161" s="8">
        <f t="shared" si="3"/>
        <v>1.4573458364620429E-2</v>
      </c>
      <c r="AB161" s="7"/>
      <c r="AC161" s="7"/>
      <c r="AD161" s="8"/>
      <c r="AE161" s="71"/>
      <c r="AF161" s="7"/>
      <c r="AG161" s="5"/>
    </row>
    <row r="162" spans="1:33" ht="12.75">
      <c r="A162" s="6">
        <v>22007</v>
      </c>
      <c r="B162" s="7">
        <v>29.54</v>
      </c>
      <c r="C162" s="8">
        <f>IF(Tabela1[[#This Row],[Consumer Price Index (CPI)]]="",#N/A,((Tabela1[[#This Row],[Consumer Price Index (CPI)]]*1)/B161)-1)</f>
        <v>4.4202652159128775E-3</v>
      </c>
      <c r="D162" s="8">
        <f>IF(Tabela1[[#This Row],[Consumer Price Index (CPI)]]="",#N/A,((Tabela1[[#This Row],[Consumer Price Index (CPI)]]*1)/B150)-1)</f>
        <v>1.9323671497584405E-2</v>
      </c>
      <c r="E162" s="25">
        <v>30.6</v>
      </c>
      <c r="F162" s="8">
        <f>IF(Tabela1[[#This Row],[Core Consumer Price Index]]="",#N/A,((Tabela1[[#This Row],[Core Consumer Price Index]]*1)/E161)-1)</f>
        <v>0</v>
      </c>
      <c r="G162" s="8">
        <f>IF(Tabela1[[#This Row],[Core Consumer Price Index]]="",#N/A,((Tabela1[[#This Row],[Core Consumer Price Index]]*1)/E150)-1)</f>
        <v>2.0000000000000018E-2</v>
      </c>
      <c r="H162" s="8">
        <f t="shared" si="0"/>
        <v>1.3114754098360493E-2</v>
      </c>
      <c r="I162" s="8">
        <f t="shared" si="1"/>
        <v>1.3136324417601486E-2</v>
      </c>
      <c r="J162" s="25">
        <v>23.9</v>
      </c>
      <c r="K162" s="8">
        <f>IF(Tabela1[[#This Row],[Services CPI]]="",#N/A,((Tabela1[[#This Row],[Services CPI]]*1)/J161)-1)</f>
        <v>0</v>
      </c>
      <c r="L162" s="8">
        <f>IF(Tabela1[[#This Row],[Services CPI]]="",#N/A,((Tabela1[[#This Row],[Services CPI]]*1)/J150)-1)</f>
        <v>3.463203463203457E-2</v>
      </c>
      <c r="M162" s="7"/>
      <c r="N162" s="8"/>
      <c r="O162" s="8"/>
      <c r="P162" s="7">
        <v>38.299999999999997</v>
      </c>
      <c r="Q162" s="8">
        <f>IF(Tabela1[[#This Row],[Durable Goods CPI]]="",#N/A,((Tabela1[[#This Row],[Durable Goods CPI]]*1)/P161)-1)</f>
        <v>-2.6041666666667407E-3</v>
      </c>
      <c r="R162" s="8">
        <f>IF(Tabela1[[#This Row],[Durable Goods CPI]]="",#N/A,((Tabela1[[#This Row],[Durable Goods CPI]]*1)/P150)-1)</f>
        <v>0</v>
      </c>
      <c r="S162" s="7"/>
      <c r="T162" s="7">
        <v>15.502000000000001</v>
      </c>
      <c r="U162" s="8">
        <f>IF(Tabela1[[#This Row],[Personal Consumption Expenditures (PCE)]]="",#N/A,((Tabela1[[#This Row],[Personal Consumption Expenditures (PCE)]]*1)/T161)-1)</f>
        <v>3.6255341188657919E-3</v>
      </c>
      <c r="V162" s="8">
        <f>IF(Tabela1[[#This Row],[Personal Consumption Expenditures (PCE)]]="",#N/A,((Tabela1[[#This Row],[Personal Consumption Expenditures (PCE)]]*1)/T150)-1)</f>
        <v>1.8595177081280001E-2</v>
      </c>
      <c r="W162" s="7">
        <v>15.882</v>
      </c>
      <c r="X162" s="8">
        <f>IF(Tabela1[[#This Row],[Core PCE]]="",#N/A,((Tabela1[[#This Row],[Core PCE]]*1)/W161)-1)</f>
        <v>1.829306755819049E-3</v>
      </c>
      <c r="Y162" s="8">
        <f>IF(Tabela1[[#This Row],[Core PCE]]="",#N/A,((Tabela1[[#This Row],[Core PCE]]*1)/W150)-1)</f>
        <v>2.0038535645471978E-2</v>
      </c>
      <c r="Z162" s="8">
        <f t="shared" si="4"/>
        <v>1.5153937298670428E-2</v>
      </c>
      <c r="AA162" s="8">
        <f t="shared" si="3"/>
        <v>1.4800886210989628E-2</v>
      </c>
      <c r="AB162" s="7"/>
      <c r="AC162" s="7"/>
      <c r="AD162" s="8"/>
      <c r="AE162" s="71"/>
      <c r="AF162" s="7"/>
      <c r="AG162" s="5"/>
    </row>
    <row r="163" spans="1:33" ht="12.75">
      <c r="A163" s="6">
        <v>22037</v>
      </c>
      <c r="B163" s="7">
        <v>29.57</v>
      </c>
      <c r="C163" s="8">
        <f>IF(Tabela1[[#This Row],[Consumer Price Index (CPI)]]="",#N/A,((Tabela1[[#This Row],[Consumer Price Index (CPI)]]*1)/B162)-1)</f>
        <v>1.0155721056195333E-3</v>
      </c>
      <c r="D163" s="8">
        <f>IF(Tabela1[[#This Row],[Consumer Price Index (CPI)]]="",#N/A,((Tabela1[[#This Row],[Consumer Price Index (CPI)]]*1)/B151)-1)</f>
        <v>1.8250688705234275E-2</v>
      </c>
      <c r="E163" s="25">
        <v>30.6</v>
      </c>
      <c r="F163" s="8">
        <f>IF(Tabela1[[#This Row],[Core Consumer Price Index]]="",#N/A,((Tabela1[[#This Row],[Core Consumer Price Index]]*1)/E162)-1)</f>
        <v>0</v>
      </c>
      <c r="G163" s="8">
        <f>IF(Tabela1[[#This Row],[Core Consumer Price Index]]="",#N/A,((Tabela1[[#This Row],[Core Consumer Price Index]]*1)/E151)-1)</f>
        <v>1.6611295681063121E-2</v>
      </c>
      <c r="H163" s="8">
        <f t="shared" si="0"/>
        <v>0</v>
      </c>
      <c r="I163" s="8">
        <f t="shared" si="1"/>
        <v>1.3136324417601486E-2</v>
      </c>
      <c r="J163" s="25">
        <v>24</v>
      </c>
      <c r="K163" s="8">
        <f>IF(Tabela1[[#This Row],[Services CPI]]="",#N/A,((Tabela1[[#This Row],[Services CPI]]*1)/J162)-1)</f>
        <v>4.1841004184099972E-3</v>
      </c>
      <c r="L163" s="8">
        <f>IF(Tabela1[[#This Row],[Services CPI]]="",#N/A,((Tabela1[[#This Row],[Services CPI]]*1)/J151)-1)</f>
        <v>3.4482758620689724E-2</v>
      </c>
      <c r="M163" s="7"/>
      <c r="N163" s="8"/>
      <c r="O163" s="8"/>
      <c r="P163" s="7">
        <v>38.200000000000003</v>
      </c>
      <c r="Q163" s="8">
        <f>IF(Tabela1[[#This Row],[Durable Goods CPI]]="",#N/A,((Tabela1[[#This Row],[Durable Goods CPI]]*1)/P162)-1)</f>
        <v>-2.6109660574411553E-3</v>
      </c>
      <c r="R163" s="8">
        <f>IF(Tabela1[[#This Row],[Durable Goods CPI]]="",#N/A,((Tabela1[[#This Row],[Durable Goods CPI]]*1)/P151)-1)</f>
        <v>-5.2083333333332593E-3</v>
      </c>
      <c r="S163" s="7"/>
      <c r="T163" s="7">
        <v>15.518000000000001</v>
      </c>
      <c r="U163" s="8">
        <f>IF(Tabela1[[#This Row],[Personal Consumption Expenditures (PCE)]]="",#N/A,((Tabela1[[#This Row],[Personal Consumption Expenditures (PCE)]]*1)/T162)-1)</f>
        <v>1.032124887111241E-3</v>
      </c>
      <c r="V163" s="8">
        <f>IF(Tabela1[[#This Row],[Personal Consumption Expenditures (PCE)]]="",#N/A,((Tabela1[[#This Row],[Personal Consumption Expenditures (PCE)]]*1)/T151)-1)</f>
        <v>1.9110790044000847E-2</v>
      </c>
      <c r="W163" s="7">
        <v>15.907999999999999</v>
      </c>
      <c r="X163" s="8">
        <f>IF(Tabela1[[#This Row],[Core PCE]]="",#N/A,((Tabela1[[#This Row],[Core PCE]]*1)/W162)-1)</f>
        <v>1.6370734164463663E-3</v>
      </c>
      <c r="Y163" s="8">
        <f>IF(Tabela1[[#This Row],[Core PCE]]="",#N/A,((Tabela1[[#This Row],[Core PCE]]*1)/W151)-1)</f>
        <v>2.046314709089736E-2</v>
      </c>
      <c r="Z163" s="8">
        <f t="shared" si="4"/>
        <v>1.4117854779397199E-2</v>
      </c>
      <c r="AA163" s="8">
        <f t="shared" si="3"/>
        <v>1.4395997204998956E-2</v>
      </c>
      <c r="AB163" s="7"/>
      <c r="AC163" s="7"/>
      <c r="AD163" s="8"/>
      <c r="AE163" s="71"/>
      <c r="AF163" s="7"/>
      <c r="AG163" s="5"/>
    </row>
    <row r="164" spans="1:33" ht="12.75">
      <c r="A164" s="6">
        <v>22068</v>
      </c>
      <c r="B164" s="7">
        <v>29.61</v>
      </c>
      <c r="C164" s="8">
        <f>IF(Tabela1[[#This Row],[Consumer Price Index (CPI)]]="",#N/A,((Tabela1[[#This Row],[Consumer Price Index (CPI)]]*1)/B163)-1)</f>
        <v>1.352722353736846E-3</v>
      </c>
      <c r="D164" s="8">
        <f>IF(Tabela1[[#This Row],[Consumer Price Index (CPI)]]="",#N/A,((Tabela1[[#This Row],[Consumer Price Index (CPI)]]*1)/B152)-1)</f>
        <v>1.7176228100309165E-2</v>
      </c>
      <c r="E164" s="25">
        <v>30.7</v>
      </c>
      <c r="F164" s="8">
        <f>IF(Tabela1[[#This Row],[Core Consumer Price Index]]="",#N/A,((Tabela1[[#This Row],[Core Consumer Price Index]]*1)/E163)-1)</f>
        <v>3.2679738562091387E-3</v>
      </c>
      <c r="G164" s="8">
        <f>IF(Tabela1[[#This Row],[Core Consumer Price Index]]="",#N/A,((Tabela1[[#This Row],[Core Consumer Price Index]]*1)/E152)-1)</f>
        <v>1.655629139072845E-2</v>
      </c>
      <c r="H164" s="8">
        <f t="shared" si="0"/>
        <v>1.3071895424836555E-2</v>
      </c>
      <c r="I164" s="8">
        <f t="shared" si="1"/>
        <v>1.3093324761598524E-2</v>
      </c>
      <c r="J164" s="25">
        <v>24</v>
      </c>
      <c r="K164" s="8">
        <f>IF(Tabela1[[#This Row],[Services CPI]]="",#N/A,((Tabela1[[#This Row],[Services CPI]]*1)/J163)-1)</f>
        <v>0</v>
      </c>
      <c r="L164" s="8">
        <f>IF(Tabela1[[#This Row],[Services CPI]]="",#N/A,((Tabela1[[#This Row],[Services CPI]]*1)/J152)-1)</f>
        <v>3.4482758620689724E-2</v>
      </c>
      <c r="M164" s="7"/>
      <c r="N164" s="8"/>
      <c r="O164" s="8"/>
      <c r="P164" s="7">
        <v>38.1</v>
      </c>
      <c r="Q164" s="8">
        <f>IF(Tabela1[[#This Row],[Durable Goods CPI]]="",#N/A,((Tabela1[[#This Row],[Durable Goods CPI]]*1)/P163)-1)</f>
        <v>-2.6178010471205049E-3</v>
      </c>
      <c r="R164" s="8">
        <f>IF(Tabela1[[#This Row],[Durable Goods CPI]]="",#N/A,((Tabela1[[#This Row],[Durable Goods CPI]]*1)/P152)-1)</f>
        <v>-7.812499999999889E-3</v>
      </c>
      <c r="S164" s="7"/>
      <c r="T164" s="7">
        <v>15.525</v>
      </c>
      <c r="U164" s="8">
        <f>IF(Tabela1[[#This Row],[Personal Consumption Expenditures (PCE)]]="",#N/A,((Tabela1[[#This Row],[Personal Consumption Expenditures (PCE)]]*1)/T163)-1)</f>
        <v>4.5108905786817033E-4</v>
      </c>
      <c r="V164" s="8">
        <f>IF(Tabela1[[#This Row],[Personal Consumption Expenditures (PCE)]]="",#N/A,((Tabela1[[#This Row],[Personal Consumption Expenditures (PCE)]]*1)/T152)-1)</f>
        <v>1.6632833475214381E-2</v>
      </c>
      <c r="W164" s="7">
        <v>15.917</v>
      </c>
      <c r="X164" s="8">
        <f>IF(Tabela1[[#This Row],[Core PCE]]="",#N/A,((Tabela1[[#This Row],[Core PCE]]*1)/W163)-1)</f>
        <v>5.6575308021122872E-4</v>
      </c>
      <c r="Y164" s="8">
        <f>IF(Tabela1[[#This Row],[Core PCE]]="",#N/A,((Tabela1[[#This Row],[Core PCE]]*1)/W152)-1)</f>
        <v>1.8036456667732681E-2</v>
      </c>
      <c r="Z164" s="8">
        <f t="shared" si="4"/>
        <v>1.6128533009906576E-2</v>
      </c>
      <c r="AA164" s="8">
        <f t="shared" si="3"/>
        <v>1.2488374582339201E-2</v>
      </c>
      <c r="AB164" s="7"/>
      <c r="AC164" s="7"/>
      <c r="AD164" s="8"/>
      <c r="AE164" s="71"/>
      <c r="AF164" s="7"/>
      <c r="AG164" s="5"/>
    </row>
    <row r="165" spans="1:33" ht="12.75">
      <c r="A165" s="6">
        <v>22098</v>
      </c>
      <c r="B165" s="7">
        <v>29.55</v>
      </c>
      <c r="C165" s="8">
        <f>IF(Tabela1[[#This Row],[Consumer Price Index (CPI)]]="",#N/A,((Tabela1[[#This Row],[Consumer Price Index (CPI)]]*1)/B164)-1)</f>
        <v>-2.0263424518742745E-3</v>
      </c>
      <c r="D165" s="8">
        <f>IF(Tabela1[[#This Row],[Consumer Price Index (CPI)]]="",#N/A,((Tabela1[[#This Row],[Consumer Price Index (CPI)]]*1)/B153)-1)</f>
        <v>1.3722126929674117E-2</v>
      </c>
      <c r="E165" s="25">
        <v>30.6</v>
      </c>
      <c r="F165" s="8">
        <f>IF(Tabela1[[#This Row],[Core Consumer Price Index]]="",#N/A,((Tabela1[[#This Row],[Core Consumer Price Index]]*1)/E164)-1)</f>
        <v>-3.2573289902279035E-3</v>
      </c>
      <c r="G165" s="8">
        <f>IF(Tabela1[[#This Row],[Core Consumer Price Index]]="",#N/A,((Tabela1[[#This Row],[Core Consumer Price Index]]*1)/E153)-1)</f>
        <v>1.3245033112582849E-2</v>
      </c>
      <c r="H165" s="8">
        <f t="shared" si="0"/>
        <v>4.2579463924941052E-5</v>
      </c>
      <c r="I165" s="8">
        <f t="shared" si="1"/>
        <v>6.5786667811427169E-3</v>
      </c>
      <c r="J165" s="25">
        <v>24.1</v>
      </c>
      <c r="K165" s="8">
        <f>IF(Tabela1[[#This Row],[Services CPI]]="",#N/A,((Tabela1[[#This Row],[Services CPI]]*1)/J164)-1)</f>
        <v>4.1666666666666519E-3</v>
      </c>
      <c r="L165" s="8">
        <f>IF(Tabela1[[#This Row],[Services CPI]]="",#N/A,((Tabela1[[#This Row],[Services CPI]]*1)/J153)-1)</f>
        <v>3.4334763948497882E-2</v>
      </c>
      <c r="M165" s="7"/>
      <c r="N165" s="8"/>
      <c r="O165" s="8"/>
      <c r="P165" s="7">
        <v>38.1</v>
      </c>
      <c r="Q165" s="8">
        <f>IF(Tabela1[[#This Row],[Durable Goods CPI]]="",#N/A,((Tabela1[[#This Row],[Durable Goods CPI]]*1)/P164)-1)</f>
        <v>0</v>
      </c>
      <c r="R165" s="8">
        <f>IF(Tabela1[[#This Row],[Durable Goods CPI]]="",#N/A,((Tabela1[[#This Row],[Durable Goods CPI]]*1)/P153)-1)</f>
        <v>-1.0389610389610393E-2</v>
      </c>
      <c r="S165" s="7"/>
      <c r="T165" s="7">
        <v>15.553000000000001</v>
      </c>
      <c r="U165" s="8">
        <f>IF(Tabela1[[#This Row],[Personal Consumption Expenditures (PCE)]]="",#N/A,((Tabela1[[#This Row],[Personal Consumption Expenditures (PCE)]]*1)/T164)-1)</f>
        <v>1.8035426731080051E-3</v>
      </c>
      <c r="V165" s="8">
        <f>IF(Tabela1[[#This Row],[Personal Consumption Expenditures (PCE)]]="",#N/A,((Tabela1[[#This Row],[Personal Consumption Expenditures (PCE)]]*1)/T153)-1)</f>
        <v>1.6336666013200052E-2</v>
      </c>
      <c r="W165" s="7">
        <v>15.945</v>
      </c>
      <c r="X165" s="8">
        <f>IF(Tabela1[[#This Row],[Core PCE]]="",#N/A,((Tabela1[[#This Row],[Core PCE]]*1)/W164)-1)</f>
        <v>1.7591254633411157E-3</v>
      </c>
      <c r="Y165" s="8">
        <f>IF(Tabela1[[#This Row],[Core PCE]]="",#N/A,((Tabela1[[#This Row],[Core PCE]]*1)/W153)-1)</f>
        <v>1.7419601837672216E-2</v>
      </c>
      <c r="Z165" s="8">
        <f t="shared" si="4"/>
        <v>1.5847807839994843E-2</v>
      </c>
      <c r="AA165" s="8">
        <f t="shared" si="3"/>
        <v>1.5500872569332635E-2</v>
      </c>
      <c r="AB165" s="7"/>
      <c r="AC165" s="7"/>
      <c r="AD165" s="8"/>
      <c r="AE165" s="71"/>
      <c r="AF165" s="7"/>
      <c r="AG165" s="5"/>
    </row>
    <row r="166" spans="1:33" ht="12.75">
      <c r="A166" s="6">
        <v>22129</v>
      </c>
      <c r="B166" s="7">
        <v>29.61</v>
      </c>
      <c r="C166" s="8">
        <f>IF(Tabela1[[#This Row],[Consumer Price Index (CPI)]]="",#N/A,((Tabela1[[#This Row],[Consumer Price Index (CPI)]]*1)/B165)-1)</f>
        <v>2.0304568527917954E-3</v>
      </c>
      <c r="D166" s="8">
        <f>IF(Tabela1[[#This Row],[Consumer Price Index (CPI)]]="",#N/A,((Tabela1[[#This Row],[Consumer Price Index (CPI)]]*1)/B154)-1)</f>
        <v>1.473612063056895E-2</v>
      </c>
      <c r="E166" s="25">
        <v>30.6</v>
      </c>
      <c r="F166" s="8">
        <f>IF(Tabela1[[#This Row],[Core Consumer Price Index]]="",#N/A,((Tabela1[[#This Row],[Core Consumer Price Index]]*1)/E165)-1)</f>
        <v>0</v>
      </c>
      <c r="G166" s="8">
        <f>IF(Tabela1[[#This Row],[Core Consumer Price Index]]="",#N/A,((Tabela1[[#This Row],[Core Consumer Price Index]]*1)/E154)-1)</f>
        <v>1.3245033112582849E-2</v>
      </c>
      <c r="H166" s="8">
        <f t="shared" si="0"/>
        <v>4.2579463924941052E-5</v>
      </c>
      <c r="I166" s="8">
        <f t="shared" si="1"/>
        <v>2.1289731962470526E-5</v>
      </c>
      <c r="J166" s="25">
        <v>24.1</v>
      </c>
      <c r="K166" s="8">
        <f>IF(Tabela1[[#This Row],[Services CPI]]="",#N/A,((Tabela1[[#This Row],[Services CPI]]*1)/J165)-1)</f>
        <v>0</v>
      </c>
      <c r="L166" s="8">
        <f>IF(Tabela1[[#This Row],[Services CPI]]="",#N/A,((Tabela1[[#This Row],[Services CPI]]*1)/J154)-1)</f>
        <v>2.991452991453003E-2</v>
      </c>
      <c r="M166" s="7"/>
      <c r="N166" s="8"/>
      <c r="O166" s="8"/>
      <c r="P166" s="7">
        <v>38.1</v>
      </c>
      <c r="Q166" s="8">
        <f>IF(Tabela1[[#This Row],[Durable Goods CPI]]="",#N/A,((Tabela1[[#This Row],[Durable Goods CPI]]*1)/P165)-1)</f>
        <v>0</v>
      </c>
      <c r="R166" s="8">
        <f>IF(Tabela1[[#This Row],[Durable Goods CPI]]="",#N/A,((Tabela1[[#This Row],[Durable Goods CPI]]*1)/P154)-1)</f>
        <v>-7.812499999999889E-3</v>
      </c>
      <c r="S166" s="7"/>
      <c r="T166" s="7">
        <v>15.579000000000001</v>
      </c>
      <c r="U166" s="8">
        <f>IF(Tabela1[[#This Row],[Personal Consumption Expenditures (PCE)]]="",#N/A,((Tabela1[[#This Row],[Personal Consumption Expenditures (PCE)]]*1)/T165)-1)</f>
        <v>1.6717032083841676E-3</v>
      </c>
      <c r="V166" s="8">
        <f>IF(Tabela1[[#This Row],[Personal Consumption Expenditures (PCE)]]="",#N/A,((Tabela1[[#This Row],[Personal Consumption Expenditures (PCE)]]*1)/T154)-1)</f>
        <v>1.6574225122349295E-2</v>
      </c>
      <c r="W166" s="7">
        <v>15.968</v>
      </c>
      <c r="X166" s="8">
        <f>IF(Tabela1[[#This Row],[Core PCE]]="",#N/A,((Tabela1[[#This Row],[Core PCE]]*1)/W165)-1)</f>
        <v>1.4424584509249438E-3</v>
      </c>
      <c r="Y166" s="8">
        <f>IF(Tabela1[[#This Row],[Core PCE]]="",#N/A,((Tabela1[[#This Row],[Core PCE]]*1)/W154)-1)</f>
        <v>1.7264445435433595E-2</v>
      </c>
      <c r="Z166" s="8">
        <f t="shared" si="4"/>
        <v>1.5069347977909153E-2</v>
      </c>
      <c r="AA166" s="8">
        <f t="shared" si="3"/>
        <v>1.4593601378653176E-2</v>
      </c>
      <c r="AB166" s="7"/>
      <c r="AC166" s="7"/>
      <c r="AD166" s="8"/>
      <c r="AE166" s="71"/>
      <c r="AF166" s="7"/>
      <c r="AG166" s="5"/>
    </row>
    <row r="167" spans="1:33" ht="12.75">
      <c r="A167" s="6">
        <v>22160</v>
      </c>
      <c r="B167" s="7">
        <v>29.61</v>
      </c>
      <c r="C167" s="8">
        <f>IF(Tabela1[[#This Row],[Consumer Price Index (CPI)]]="",#N/A,((Tabela1[[#This Row],[Consumer Price Index (CPI)]]*1)/B166)-1)</f>
        <v>0</v>
      </c>
      <c r="D167" s="8">
        <f>IF(Tabela1[[#This Row],[Consumer Price Index (CPI)]]="",#N/A,((Tabela1[[#This Row],[Consumer Price Index (CPI)]]*1)/B155)-1)</f>
        <v>1.2307692307692353E-2</v>
      </c>
      <c r="E167" s="25">
        <v>30.6</v>
      </c>
      <c r="F167" s="8">
        <f>IF(Tabela1[[#This Row],[Core Consumer Price Index]]="",#N/A,((Tabela1[[#This Row],[Core Consumer Price Index]]*1)/E166)-1)</f>
        <v>0</v>
      </c>
      <c r="G167" s="8">
        <f>IF(Tabela1[[#This Row],[Core Consumer Price Index]]="",#N/A,((Tabela1[[#This Row],[Core Consumer Price Index]]*1)/E155)-1)</f>
        <v>9.9009900990099098E-3</v>
      </c>
      <c r="H167" s="8">
        <f t="shared" si="0"/>
        <v>-1.3029315960911614E-2</v>
      </c>
      <c r="I167" s="8">
        <f t="shared" si="1"/>
        <v>2.1289731962470526E-5</v>
      </c>
      <c r="J167" s="25">
        <v>24.2</v>
      </c>
      <c r="K167" s="8">
        <f>IF(Tabela1[[#This Row],[Services CPI]]="",#N/A,((Tabela1[[#This Row],[Services CPI]]*1)/J166)-1)</f>
        <v>4.1493775933609811E-3</v>
      </c>
      <c r="L167" s="8">
        <f>IF(Tabela1[[#This Row],[Services CPI]]="",#N/A,((Tabela1[[#This Row],[Services CPI]]*1)/J155)-1)</f>
        <v>2.9787234042553123E-2</v>
      </c>
      <c r="M167" s="7"/>
      <c r="N167" s="8"/>
      <c r="O167" s="8"/>
      <c r="P167" s="7">
        <v>37.9</v>
      </c>
      <c r="Q167" s="8">
        <f>IF(Tabela1[[#This Row],[Durable Goods CPI]]="",#N/A,((Tabela1[[#This Row],[Durable Goods CPI]]*1)/P166)-1)</f>
        <v>-5.2493438320210251E-3</v>
      </c>
      <c r="R167" s="8">
        <f>IF(Tabela1[[#This Row],[Durable Goods CPI]]="",#N/A,((Tabela1[[#This Row],[Durable Goods CPI]]*1)/P155)-1)</f>
        <v>-1.558441558441559E-2</v>
      </c>
      <c r="S167" s="7"/>
      <c r="T167" s="7">
        <v>15.587999999999999</v>
      </c>
      <c r="U167" s="8">
        <f>IF(Tabela1[[#This Row],[Personal Consumption Expenditures (PCE)]]="",#N/A,((Tabela1[[#This Row],[Personal Consumption Expenditures (PCE)]]*1)/T166)-1)</f>
        <v>5.7770075101082341E-4</v>
      </c>
      <c r="V167" s="8">
        <f>IF(Tabela1[[#This Row],[Personal Consumption Expenditures (PCE)]]="",#N/A,((Tabela1[[#This Row],[Personal Consumption Expenditures (PCE)]]*1)/T155)-1)</f>
        <v>1.451350471851609E-2</v>
      </c>
      <c r="W167" s="7">
        <v>15.981</v>
      </c>
      <c r="X167" s="8">
        <f>IF(Tabela1[[#This Row],[Core PCE]]="",#N/A,((Tabela1[[#This Row],[Core PCE]]*1)/W166)-1)</f>
        <v>8.1412825651305809E-4</v>
      </c>
      <c r="Y167" s="8">
        <f>IF(Tabela1[[#This Row],[Core PCE]]="",#N/A,((Tabela1[[#This Row],[Core PCE]]*1)/W155)-1)</f>
        <v>1.54403354937096E-2</v>
      </c>
      <c r="Z167" s="8">
        <f t="shared" ref="Z167:Z230" si="5">SUM(X165:X167)*4</f>
        <v>1.6062848683116471E-2</v>
      </c>
      <c r="AA167" s="8">
        <f t="shared" si="3"/>
        <v>1.6095690846511523E-2</v>
      </c>
      <c r="AB167" s="7"/>
      <c r="AC167" s="7"/>
      <c r="AD167" s="8"/>
      <c r="AE167" s="71"/>
      <c r="AF167" s="7"/>
      <c r="AG167" s="5"/>
    </row>
    <row r="168" spans="1:33" ht="12.75">
      <c r="A168" s="6">
        <v>22190</v>
      </c>
      <c r="B168" s="7">
        <v>29.75</v>
      </c>
      <c r="C168" s="8">
        <f>IF(Tabela1[[#This Row],[Consumer Price Index (CPI)]]="",#N/A,((Tabela1[[#This Row],[Consumer Price Index (CPI)]]*1)/B167)-1)</f>
        <v>4.7281323877068626E-3</v>
      </c>
      <c r="D168" s="8">
        <f>IF(Tabela1[[#This Row],[Consumer Price Index (CPI)]]="",#N/A,((Tabela1[[#This Row],[Consumer Price Index (CPI)]]*1)/B156)-1)</f>
        <v>1.3628620102214661E-2</v>
      </c>
      <c r="E168" s="25">
        <v>30.8</v>
      </c>
      <c r="F168" s="8">
        <f>IF(Tabela1[[#This Row],[Core Consumer Price Index]]="",#N/A,((Tabela1[[#This Row],[Core Consumer Price Index]]*1)/E167)-1)</f>
        <v>6.5359477124182774E-3</v>
      </c>
      <c r="G168" s="8">
        <f>IF(Tabela1[[#This Row],[Core Consumer Price Index]]="",#N/A,((Tabela1[[#This Row],[Core Consumer Price Index]]*1)/E156)-1)</f>
        <v>1.3157894736842257E-2</v>
      </c>
      <c r="H168" s="8">
        <f t="shared" si="0"/>
        <v>2.614379084967311E-2</v>
      </c>
      <c r="I168" s="8">
        <f t="shared" si="1"/>
        <v>1.3093185156799025E-2</v>
      </c>
      <c r="J168" s="25">
        <v>24.2</v>
      </c>
      <c r="K168" s="8">
        <f>IF(Tabela1[[#This Row],[Services CPI]]="",#N/A,((Tabela1[[#This Row],[Services CPI]]*1)/J167)-1)</f>
        <v>0</v>
      </c>
      <c r="L168" s="8">
        <f>IF(Tabela1[[#This Row],[Services CPI]]="",#N/A,((Tabela1[[#This Row],[Services CPI]]*1)/J156)-1)</f>
        <v>2.5423728813559254E-2</v>
      </c>
      <c r="M168" s="7"/>
      <c r="N168" s="8"/>
      <c r="O168" s="8"/>
      <c r="P168" s="7">
        <v>37.9</v>
      </c>
      <c r="Q168" s="8">
        <f>IF(Tabela1[[#This Row],[Durable Goods CPI]]="",#N/A,((Tabela1[[#This Row],[Durable Goods CPI]]*1)/P167)-1)</f>
        <v>0</v>
      </c>
      <c r="R168" s="8">
        <f>IF(Tabela1[[#This Row],[Durable Goods CPI]]="",#N/A,((Tabela1[[#This Row],[Durable Goods CPI]]*1)/P156)-1)</f>
        <v>-1.558441558441559E-2</v>
      </c>
      <c r="S168" s="7"/>
      <c r="T168" s="7">
        <v>15.606</v>
      </c>
      <c r="U168" s="8">
        <f>IF(Tabela1[[#This Row],[Personal Consumption Expenditures (PCE)]]="",#N/A,((Tabela1[[#This Row],[Personal Consumption Expenditures (PCE)]]*1)/T167)-1)</f>
        <v>1.1547344110856006E-3</v>
      </c>
      <c r="V168" s="8">
        <f>IF(Tabela1[[#This Row],[Personal Consumption Expenditures (PCE)]]="",#N/A,((Tabela1[[#This Row],[Personal Consumption Expenditures (PCE)]]*1)/T156)-1)</f>
        <v>1.3245033112582849E-2</v>
      </c>
      <c r="W168" s="7">
        <v>15.99</v>
      </c>
      <c r="X168" s="8">
        <f>IF(Tabela1[[#This Row],[Core PCE]]="",#N/A,((Tabela1[[#This Row],[Core PCE]]*1)/W167)-1)</f>
        <v>5.631687629059634E-4</v>
      </c>
      <c r="Y168" s="8">
        <f>IF(Tabela1[[#This Row],[Core PCE]]="",#N/A,((Tabela1[[#This Row],[Core PCE]]*1)/W156)-1)</f>
        <v>1.4272121788772685E-2</v>
      </c>
      <c r="Z168" s="8">
        <f t="shared" si="5"/>
        <v>1.1279021881375861E-2</v>
      </c>
      <c r="AA168" s="8">
        <f t="shared" si="3"/>
        <v>1.3563414860685352E-2</v>
      </c>
      <c r="AB168" s="7"/>
      <c r="AC168" s="7"/>
      <c r="AD168" s="8"/>
      <c r="AE168" s="71"/>
      <c r="AF168" s="7"/>
      <c r="AG168" s="5"/>
    </row>
    <row r="169" spans="1:33" ht="12.75">
      <c r="A169" s="6">
        <v>22221</v>
      </c>
      <c r="B169" s="7">
        <v>29.78</v>
      </c>
      <c r="C169" s="8">
        <f>IF(Tabela1[[#This Row],[Consumer Price Index (CPI)]]="",#N/A,((Tabela1[[#This Row],[Consumer Price Index (CPI)]]*1)/B168)-1)</f>
        <v>1.0084033613446675E-3</v>
      </c>
      <c r="D169" s="8">
        <f>IF(Tabela1[[#This Row],[Consumer Price Index (CPI)]]="",#N/A,((Tabela1[[#This Row],[Consumer Price Index (CPI)]]*1)/B157)-1)</f>
        <v>1.4650766609880739E-2</v>
      </c>
      <c r="E169" s="25">
        <v>30.8</v>
      </c>
      <c r="F169" s="8">
        <f>IF(Tabela1[[#This Row],[Core Consumer Price Index]]="",#N/A,((Tabela1[[#This Row],[Core Consumer Price Index]]*1)/E168)-1)</f>
        <v>0</v>
      </c>
      <c r="G169" s="8">
        <f>IF(Tabela1[[#This Row],[Core Consumer Price Index]]="",#N/A,((Tabela1[[#This Row],[Core Consumer Price Index]]*1)/E157)-1)</f>
        <v>1.3157894736842257E-2</v>
      </c>
      <c r="H169" s="8">
        <f t="shared" si="0"/>
        <v>2.614379084967311E-2</v>
      </c>
      <c r="I169" s="8">
        <f t="shared" si="1"/>
        <v>1.3093185156799025E-2</v>
      </c>
      <c r="J169" s="25">
        <v>24.3</v>
      </c>
      <c r="K169" s="8">
        <f>IF(Tabela1[[#This Row],[Services CPI]]="",#N/A,((Tabela1[[#This Row],[Services CPI]]*1)/J168)-1)</f>
        <v>4.1322314049587749E-3</v>
      </c>
      <c r="L169" s="8">
        <f>IF(Tabela1[[#This Row],[Services CPI]]="",#N/A,((Tabela1[[#This Row],[Services CPI]]*1)/J157)-1)</f>
        <v>2.9661016949152463E-2</v>
      </c>
      <c r="M169" s="7"/>
      <c r="N169" s="8"/>
      <c r="O169" s="8"/>
      <c r="P169" s="7">
        <v>37.799999999999997</v>
      </c>
      <c r="Q169" s="8">
        <f>IF(Tabela1[[#This Row],[Durable Goods CPI]]="",#N/A,((Tabela1[[#This Row],[Durable Goods CPI]]*1)/P168)-1)</f>
        <v>-2.6385224274406704E-3</v>
      </c>
      <c r="R169" s="8">
        <f>IF(Tabela1[[#This Row],[Durable Goods CPI]]="",#N/A,((Tabela1[[#This Row],[Durable Goods CPI]]*1)/P157)-1)</f>
        <v>-1.8181818181818299E-2</v>
      </c>
      <c r="S169" s="7"/>
      <c r="T169" s="7">
        <v>15.659000000000001</v>
      </c>
      <c r="U169" s="8">
        <f>IF(Tabela1[[#This Row],[Personal Consumption Expenditures (PCE)]]="",#N/A,((Tabela1[[#This Row],[Personal Consumption Expenditures (PCE)]]*1)/T168)-1)</f>
        <v>3.3961296937075058E-3</v>
      </c>
      <c r="V169" s="8">
        <f>IF(Tabela1[[#This Row],[Personal Consumption Expenditures (PCE)]]="",#N/A,((Tabela1[[#This Row],[Personal Consumption Expenditures (PCE)]]*1)/T157)-1)</f>
        <v>1.6026472878276632E-2</v>
      </c>
      <c r="W169" s="7">
        <v>16.033000000000001</v>
      </c>
      <c r="X169" s="8">
        <f>IF(Tabela1[[#This Row],[Core PCE]]="",#N/A,((Tabela1[[#This Row],[Core PCE]]*1)/W168)-1)</f>
        <v>2.6891807379612054E-3</v>
      </c>
      <c r="Y169" s="8">
        <f>IF(Tabela1[[#This Row],[Core PCE]]="",#N/A,((Tabela1[[#This Row],[Core PCE]]*1)/W157)-1)</f>
        <v>1.5132328732430089E-2</v>
      </c>
      <c r="Z169" s="8">
        <f t="shared" si="5"/>
        <v>1.6265911029520908E-2</v>
      </c>
      <c r="AA169" s="8">
        <f t="shared" si="3"/>
        <v>1.566762950371503E-2</v>
      </c>
      <c r="AB169" s="7"/>
      <c r="AC169" s="7"/>
      <c r="AD169" s="8"/>
      <c r="AE169" s="71"/>
      <c r="AF169" s="7"/>
      <c r="AG169" s="5"/>
    </row>
    <row r="170" spans="1:33" ht="12.75">
      <c r="A170" s="6">
        <v>22251</v>
      </c>
      <c r="B170" s="7">
        <v>29.81</v>
      </c>
      <c r="C170" s="8">
        <f>IF(Tabela1[[#This Row],[Consumer Price Index (CPI)]]="",#N/A,((Tabela1[[#This Row],[Consumer Price Index (CPI)]]*1)/B169)-1)</f>
        <v>1.007387508394908E-3</v>
      </c>
      <c r="D170" s="8">
        <f>IF(Tabela1[[#This Row],[Consumer Price Index (CPI)]]="",#N/A,((Tabela1[[#This Row],[Consumer Price Index (CPI)]]*1)/B158)-1)</f>
        <v>1.3600816048962905E-2</v>
      </c>
      <c r="E170" s="25">
        <v>30.7</v>
      </c>
      <c r="F170" s="8">
        <f>IF(Tabela1[[#This Row],[Core Consumer Price Index]]="",#N/A,((Tabela1[[#This Row],[Core Consumer Price Index]]*1)/E169)-1)</f>
        <v>-3.2467532467532756E-3</v>
      </c>
      <c r="G170" s="8">
        <f>IF(Tabela1[[#This Row],[Core Consumer Price Index]]="",#N/A,((Tabela1[[#This Row],[Core Consumer Price Index]]*1)/E158)-1)</f>
        <v>6.5573770491802463E-3</v>
      </c>
      <c r="H170" s="8">
        <f t="shared" si="0"/>
        <v>1.3156777862660007E-2</v>
      </c>
      <c r="I170" s="8">
        <f t="shared" si="1"/>
        <v>6.3730950874196779E-5</v>
      </c>
      <c r="J170" s="25">
        <v>24.3</v>
      </c>
      <c r="K170" s="8">
        <f>IF(Tabela1[[#This Row],[Services CPI]]="",#N/A,((Tabela1[[#This Row],[Services CPI]]*1)/J169)-1)</f>
        <v>0</v>
      </c>
      <c r="L170" s="8">
        <f>IF(Tabela1[[#This Row],[Services CPI]]="",#N/A,((Tabela1[[#This Row],[Services CPI]]*1)/J158)-1)</f>
        <v>2.5316455696202667E-2</v>
      </c>
      <c r="M170" s="7"/>
      <c r="N170" s="8"/>
      <c r="O170" s="8"/>
      <c r="P170" s="7">
        <v>37.9</v>
      </c>
      <c r="Q170" s="8">
        <f>IF(Tabela1[[#This Row],[Durable Goods CPI]]="",#N/A,((Tabela1[[#This Row],[Durable Goods CPI]]*1)/P169)-1)</f>
        <v>2.6455026455027841E-3</v>
      </c>
      <c r="R170" s="8">
        <f>IF(Tabela1[[#This Row],[Durable Goods CPI]]="",#N/A,((Tabela1[[#This Row],[Durable Goods CPI]]*1)/P158)-1)</f>
        <v>-1.558441558441559E-2</v>
      </c>
      <c r="S170" s="7"/>
      <c r="T170" s="7">
        <v>15.662000000000001</v>
      </c>
      <c r="U170" s="8">
        <f>IF(Tabela1[[#This Row],[Personal Consumption Expenditures (PCE)]]="",#N/A,((Tabela1[[#This Row],[Personal Consumption Expenditures (PCE)]]*1)/T169)-1)</f>
        <v>1.9158311514155812E-4</v>
      </c>
      <c r="V170" s="8">
        <f>IF(Tabela1[[#This Row],[Personal Consumption Expenditures (PCE)]]="",#N/A,((Tabela1[[#This Row],[Personal Consumption Expenditures (PCE)]]*1)/T158)-1)</f>
        <v>1.503564484769937E-2</v>
      </c>
      <c r="W170" s="7">
        <v>16.027999999999999</v>
      </c>
      <c r="X170" s="8">
        <f>IF(Tabela1[[#This Row],[Core PCE]]="",#N/A,((Tabela1[[#This Row],[Core PCE]]*1)/W169)-1)</f>
        <v>-3.1185679535972177E-4</v>
      </c>
      <c r="Y170" s="8">
        <f>IF(Tabela1[[#This Row],[Core PCE]]="",#N/A,((Tabela1[[#This Row],[Core PCE]]*1)/W158)-1)</f>
        <v>1.3276014666835145E-2</v>
      </c>
      <c r="Z170" s="8">
        <f t="shared" si="5"/>
        <v>1.1761970822029788E-2</v>
      </c>
      <c r="AA170" s="8">
        <f t="shared" si="3"/>
        <v>1.3912409752573129E-2</v>
      </c>
      <c r="AB170" s="7"/>
      <c r="AC170" s="7"/>
      <c r="AD170" s="8"/>
      <c r="AE170" s="71"/>
      <c r="AF170" s="7"/>
      <c r="AG170" s="5"/>
    </row>
    <row r="171" spans="1:33" ht="12.75">
      <c r="A171" s="6">
        <v>22282</v>
      </c>
      <c r="B171" s="7">
        <v>29.84</v>
      </c>
      <c r="C171" s="8">
        <f>IF(Tabela1[[#This Row],[Consumer Price Index (CPI)]]="",#N/A,((Tabela1[[#This Row],[Consumer Price Index (CPI)]]*1)/B170)-1)</f>
        <v>1.0063737001007045E-3</v>
      </c>
      <c r="D171" s="8">
        <f>IF(Tabela1[[#This Row],[Consumer Price Index (CPI)]]="",#N/A,((Tabela1[[#This Row],[Consumer Price Index (CPI)]]*1)/B159)-1)</f>
        <v>1.6002723867892366E-2</v>
      </c>
      <c r="E171" s="25">
        <v>30.8</v>
      </c>
      <c r="F171" s="8">
        <f>IF(Tabela1[[#This Row],[Core Consumer Price Index]]="",#N/A,((Tabela1[[#This Row],[Core Consumer Price Index]]*1)/E170)-1)</f>
        <v>3.2573289902280145E-3</v>
      </c>
      <c r="G171" s="8">
        <f>IF(Tabela1[[#This Row],[Core Consumer Price Index]]="",#N/A,((Tabela1[[#This Row],[Core Consumer Price Index]]*1)/E159)-1)</f>
        <v>9.8360655737705915E-3</v>
      </c>
      <c r="H171" s="8">
        <f t="shared" si="0"/>
        <v>4.2302973898955543E-5</v>
      </c>
      <c r="I171" s="8">
        <f t="shared" si="1"/>
        <v>1.3093046911786033E-2</v>
      </c>
      <c r="J171" s="25">
        <v>24.4</v>
      </c>
      <c r="K171" s="8">
        <f>IF(Tabela1[[#This Row],[Services CPI]]="",#N/A,((Tabela1[[#This Row],[Services CPI]]*1)/J170)-1)</f>
        <v>4.1152263374484299E-3</v>
      </c>
      <c r="L171" s="8">
        <f>IF(Tabela1[[#This Row],[Services CPI]]="",#N/A,((Tabela1[[#This Row],[Services CPI]]*1)/J159)-1)</f>
        <v>2.9535864978902815E-2</v>
      </c>
      <c r="M171" s="7"/>
      <c r="N171" s="8"/>
      <c r="O171" s="8"/>
      <c r="P171" s="7">
        <v>37.799999999999997</v>
      </c>
      <c r="Q171" s="8">
        <f>IF(Tabela1[[#This Row],[Durable Goods CPI]]="",#N/A,((Tabela1[[#This Row],[Durable Goods CPI]]*1)/P170)-1)</f>
        <v>-2.6385224274406704E-3</v>
      </c>
      <c r="R171" s="8">
        <f>IF(Tabela1[[#This Row],[Durable Goods CPI]]="",#N/A,((Tabela1[[#This Row],[Durable Goods CPI]]*1)/P159)-1)</f>
        <v>-1.8181818181818299E-2</v>
      </c>
      <c r="S171" s="7"/>
      <c r="T171" s="7">
        <v>15.664999999999999</v>
      </c>
      <c r="U171" s="8">
        <f>IF(Tabela1[[#This Row],[Personal Consumption Expenditures (PCE)]]="",#N/A,((Tabela1[[#This Row],[Personal Consumption Expenditures (PCE)]]*1)/T170)-1)</f>
        <v>1.9154641808194484E-4</v>
      </c>
      <c r="V171" s="8">
        <f>IF(Tabela1[[#This Row],[Personal Consumption Expenditures (PCE)]]="",#N/A,((Tabela1[[#This Row],[Personal Consumption Expenditures (PCE)]]*1)/T159)-1)</f>
        <v>1.582257959924771E-2</v>
      </c>
      <c r="W171" s="7">
        <v>16.032</v>
      </c>
      <c r="X171" s="8">
        <f>IF(Tabela1[[#This Row],[Core PCE]]="",#N/A,((Tabela1[[#This Row],[Core PCE]]*1)/W170)-1)</f>
        <v>2.4956326428760001E-4</v>
      </c>
      <c r="Y171" s="8">
        <f>IF(Tabela1[[#This Row],[Core PCE]]="",#N/A,((Tabela1[[#This Row],[Core PCE]]*1)/W159)-1)</f>
        <v>1.3272658323852937E-2</v>
      </c>
      <c r="Z171" s="8">
        <f t="shared" si="5"/>
        <v>1.0507548827556334E-2</v>
      </c>
      <c r="AA171" s="8">
        <f t="shared" si="3"/>
        <v>1.0893285354466098E-2</v>
      </c>
      <c r="AB171" s="7"/>
      <c r="AC171" s="7"/>
      <c r="AD171" s="8"/>
      <c r="AE171" s="71"/>
      <c r="AF171" s="7"/>
      <c r="AG171" s="5"/>
    </row>
    <row r="172" spans="1:33" ht="12.75">
      <c r="A172" s="6">
        <v>22313</v>
      </c>
      <c r="B172" s="7">
        <v>29.84</v>
      </c>
      <c r="C172" s="8">
        <f>IF(Tabela1[[#This Row],[Consumer Price Index (CPI)]]="",#N/A,((Tabela1[[#This Row],[Consumer Price Index (CPI)]]*1)/B171)-1)</f>
        <v>0</v>
      </c>
      <c r="D172" s="8">
        <f>IF(Tabela1[[#This Row],[Consumer Price Index (CPI)]]="",#N/A,((Tabela1[[#This Row],[Consumer Price Index (CPI)]]*1)/B160)-1)</f>
        <v>1.4620877252635056E-2</v>
      </c>
      <c r="E172" s="25">
        <v>30.8</v>
      </c>
      <c r="F172" s="8">
        <f>IF(Tabela1[[#This Row],[Core Consumer Price Index]]="",#N/A,((Tabela1[[#This Row],[Core Consumer Price Index]]*1)/E171)-1)</f>
        <v>0</v>
      </c>
      <c r="G172" s="8">
        <f>IF(Tabela1[[#This Row],[Core Consumer Price Index]]="",#N/A,((Tabela1[[#This Row],[Core Consumer Price Index]]*1)/E160)-1)</f>
        <v>6.5359477124182774E-3</v>
      </c>
      <c r="H172" s="8">
        <f t="shared" si="0"/>
        <v>4.2302973898955543E-5</v>
      </c>
      <c r="I172" s="8">
        <f t="shared" si="1"/>
        <v>1.3093046911786033E-2</v>
      </c>
      <c r="J172" s="25">
        <v>24.4</v>
      </c>
      <c r="K172" s="8">
        <f>IF(Tabela1[[#This Row],[Services CPI]]="",#N/A,((Tabela1[[#This Row],[Services CPI]]*1)/J171)-1)</f>
        <v>0</v>
      </c>
      <c r="L172" s="8">
        <f>IF(Tabela1[[#This Row],[Services CPI]]="",#N/A,((Tabela1[[#This Row],[Services CPI]]*1)/J160)-1)</f>
        <v>2.5210084033613356E-2</v>
      </c>
      <c r="M172" s="7"/>
      <c r="N172" s="8"/>
      <c r="O172" s="8"/>
      <c r="P172" s="7">
        <v>37.9</v>
      </c>
      <c r="Q172" s="8">
        <f>IF(Tabela1[[#This Row],[Durable Goods CPI]]="",#N/A,((Tabela1[[#This Row],[Durable Goods CPI]]*1)/P171)-1)</f>
        <v>2.6455026455027841E-3</v>
      </c>
      <c r="R172" s="8">
        <f>IF(Tabela1[[#This Row],[Durable Goods CPI]]="",#N/A,((Tabela1[[#This Row],[Durable Goods CPI]]*1)/P160)-1)</f>
        <v>-1.558441558441559E-2</v>
      </c>
      <c r="S172" s="7"/>
      <c r="T172" s="7">
        <v>15.679</v>
      </c>
      <c r="U172" s="8">
        <f>IF(Tabela1[[#This Row],[Personal Consumption Expenditures (PCE)]]="",#N/A,((Tabela1[[#This Row],[Personal Consumption Expenditures (PCE)]]*1)/T171)-1)</f>
        <v>8.9371209703159593E-4</v>
      </c>
      <c r="V172" s="8">
        <f>IF(Tabela1[[#This Row],[Personal Consumption Expenditures (PCE)]]="",#N/A,((Tabela1[[#This Row],[Personal Consumption Expenditures (PCE)]]*1)/T160)-1)</f>
        <v>1.5676621105137123E-2</v>
      </c>
      <c r="W172" s="7">
        <v>16.047999999999998</v>
      </c>
      <c r="X172" s="8">
        <f>IF(Tabela1[[#This Row],[Core PCE]]="",#N/A,((Tabela1[[#This Row],[Core PCE]]*1)/W171)-1)</f>
        <v>9.9800399201588341E-4</v>
      </c>
      <c r="Y172" s="8">
        <f>IF(Tabela1[[#This Row],[Core PCE]]="",#N/A,((Tabela1[[#This Row],[Core PCE]]*1)/W160)-1)</f>
        <v>1.2364370426444449E-2</v>
      </c>
      <c r="Z172" s="8">
        <f t="shared" si="5"/>
        <v>3.7428418437750466E-3</v>
      </c>
      <c r="AA172" s="8">
        <f t="shared" si="3"/>
        <v>1.0004376436647977E-2</v>
      </c>
      <c r="AB172" s="7"/>
      <c r="AC172" s="7"/>
      <c r="AD172" s="8"/>
      <c r="AE172" s="71"/>
      <c r="AF172" s="7"/>
      <c r="AG172" s="5"/>
    </row>
    <row r="173" spans="1:33" ht="12.75">
      <c r="A173" s="6">
        <v>22341</v>
      </c>
      <c r="B173" s="7">
        <v>29.84</v>
      </c>
      <c r="C173" s="8">
        <f>IF(Tabela1[[#This Row],[Consumer Price Index (CPI)]]="",#N/A,((Tabela1[[#This Row],[Consumer Price Index (CPI)]]*1)/B172)-1)</f>
        <v>0</v>
      </c>
      <c r="D173" s="8">
        <f>IF(Tabela1[[#This Row],[Consumer Price Index (CPI)]]="",#N/A,((Tabela1[[#This Row],[Consumer Price Index (CPI)]]*1)/B161)-1)</f>
        <v>1.4620877252635056E-2</v>
      </c>
      <c r="E173" s="25">
        <v>30.9</v>
      </c>
      <c r="F173" s="8">
        <f>IF(Tabela1[[#This Row],[Core Consumer Price Index]]="",#N/A,((Tabela1[[#This Row],[Core Consumer Price Index]]*1)/E172)-1)</f>
        <v>3.2467532467532756E-3</v>
      </c>
      <c r="G173" s="8">
        <f>IF(Tabela1[[#This Row],[Core Consumer Price Index]]="",#N/A,((Tabela1[[#This Row],[Core Consumer Price Index]]*1)/E161)-1)</f>
        <v>9.8039215686274161E-3</v>
      </c>
      <c r="H173" s="8">
        <f t="shared" si="0"/>
        <v>2.601632894792516E-2</v>
      </c>
      <c r="I173" s="8">
        <f t="shared" si="1"/>
        <v>1.9586553405292584E-2</v>
      </c>
      <c r="J173" s="25">
        <v>24.4</v>
      </c>
      <c r="K173" s="8">
        <f>IF(Tabela1[[#This Row],[Services CPI]]="",#N/A,((Tabela1[[#This Row],[Services CPI]]*1)/J172)-1)</f>
        <v>0</v>
      </c>
      <c r="L173" s="8">
        <f>IF(Tabela1[[#This Row],[Services CPI]]="",#N/A,((Tabela1[[#This Row],[Services CPI]]*1)/J161)-1)</f>
        <v>2.0920502092050208E-2</v>
      </c>
      <c r="M173" s="7"/>
      <c r="N173" s="8"/>
      <c r="O173" s="8"/>
      <c r="P173" s="7">
        <v>37.9</v>
      </c>
      <c r="Q173" s="8">
        <f>IF(Tabela1[[#This Row],[Durable Goods CPI]]="",#N/A,((Tabela1[[#This Row],[Durable Goods CPI]]*1)/P172)-1)</f>
        <v>0</v>
      </c>
      <c r="R173" s="8">
        <f>IF(Tabela1[[#This Row],[Durable Goods CPI]]="",#N/A,((Tabela1[[#This Row],[Durable Goods CPI]]*1)/P161)-1)</f>
        <v>-1.302083333333337E-2</v>
      </c>
      <c r="S173" s="7"/>
      <c r="T173" s="7">
        <v>15.67</v>
      </c>
      <c r="U173" s="8">
        <f>IF(Tabela1[[#This Row],[Personal Consumption Expenditures (PCE)]]="",#N/A,((Tabela1[[#This Row],[Personal Consumption Expenditures (PCE)]]*1)/T172)-1)</f>
        <v>-5.7401620001273912E-4</v>
      </c>
      <c r="V173" s="8">
        <f>IF(Tabela1[[#This Row],[Personal Consumption Expenditures (PCE)]]="",#N/A,((Tabela1[[#This Row],[Personal Consumption Expenditures (PCE)]]*1)/T161)-1)</f>
        <v>1.4502136475462946E-2</v>
      </c>
      <c r="W173" s="7">
        <v>16.053000000000001</v>
      </c>
      <c r="X173" s="8">
        <f>IF(Tabela1[[#This Row],[Core PCE]]="",#N/A,((Tabela1[[#This Row],[Core PCE]]*1)/W172)-1)</f>
        <v>3.1156530408793515E-4</v>
      </c>
      <c r="Y173" s="8">
        <f>IF(Tabela1[[#This Row],[Core PCE]]="",#N/A,((Tabela1[[#This Row],[Core PCE]]*1)/W161)-1)</f>
        <v>1.2615908660821296E-2</v>
      </c>
      <c r="Z173" s="8">
        <f t="shared" si="5"/>
        <v>6.2365302415656743E-3</v>
      </c>
      <c r="AA173" s="8">
        <f t="shared" si="3"/>
        <v>8.9992505317977312E-3</v>
      </c>
      <c r="AB173" s="7"/>
      <c r="AC173" s="7"/>
      <c r="AD173" s="8"/>
      <c r="AE173" s="71"/>
      <c r="AF173" s="7"/>
      <c r="AG173" s="5"/>
    </row>
    <row r="174" spans="1:33" ht="12.75">
      <c r="A174" s="6">
        <v>22372</v>
      </c>
      <c r="B174" s="7">
        <v>29.81</v>
      </c>
      <c r="C174" s="8">
        <f>IF(Tabela1[[#This Row],[Consumer Price Index (CPI)]]="",#N/A,((Tabela1[[#This Row],[Consumer Price Index (CPI)]]*1)/B173)-1)</f>
        <v>-1.0053619302949901E-3</v>
      </c>
      <c r="D174" s="8">
        <f>IF(Tabela1[[#This Row],[Consumer Price Index (CPI)]]="",#N/A,((Tabela1[[#This Row],[Consumer Price Index (CPI)]]*1)/B162)-1)</f>
        <v>9.1401489505755773E-3</v>
      </c>
      <c r="E174" s="25">
        <v>30.9</v>
      </c>
      <c r="F174" s="8">
        <f>IF(Tabela1[[#This Row],[Core Consumer Price Index]]="",#N/A,((Tabela1[[#This Row],[Core Consumer Price Index]]*1)/E173)-1)</f>
        <v>0</v>
      </c>
      <c r="G174" s="8">
        <f>IF(Tabela1[[#This Row],[Core Consumer Price Index]]="",#N/A,((Tabela1[[#This Row],[Core Consumer Price Index]]*1)/E162)-1)</f>
        <v>9.8039215686274161E-3</v>
      </c>
      <c r="H174" s="8">
        <f t="shared" si="0"/>
        <v>1.2987012987013102E-2</v>
      </c>
      <c r="I174" s="8">
        <f t="shared" si="1"/>
        <v>6.514657980456029E-3</v>
      </c>
      <c r="J174" s="25">
        <v>24.5</v>
      </c>
      <c r="K174" s="8">
        <f>IF(Tabela1[[#This Row],[Services CPI]]="",#N/A,((Tabela1[[#This Row],[Services CPI]]*1)/J173)-1)</f>
        <v>4.098360655737654E-3</v>
      </c>
      <c r="L174" s="8">
        <f>IF(Tabela1[[#This Row],[Services CPI]]="",#N/A,((Tabela1[[#This Row],[Services CPI]]*1)/J162)-1)</f>
        <v>2.5104602510460206E-2</v>
      </c>
      <c r="M174" s="7"/>
      <c r="N174" s="8"/>
      <c r="O174" s="8"/>
      <c r="P174" s="7">
        <v>37.9</v>
      </c>
      <c r="Q174" s="8">
        <f>IF(Tabela1[[#This Row],[Durable Goods CPI]]="",#N/A,((Tabela1[[#This Row],[Durable Goods CPI]]*1)/P173)-1)</f>
        <v>0</v>
      </c>
      <c r="R174" s="8">
        <f>IF(Tabela1[[#This Row],[Durable Goods CPI]]="",#N/A,((Tabela1[[#This Row],[Durable Goods CPI]]*1)/P162)-1)</f>
        <v>-1.0443864229764954E-2</v>
      </c>
      <c r="S174" s="7"/>
      <c r="T174" s="7">
        <v>15.661</v>
      </c>
      <c r="U174" s="8">
        <f>IF(Tabela1[[#This Row],[Personal Consumption Expenditures (PCE)]]="",#N/A,((Tabela1[[#This Row],[Personal Consumption Expenditures (PCE)]]*1)/T173)-1)</f>
        <v>-5.7434588385452123E-4</v>
      </c>
      <c r="V174" s="8">
        <f>IF(Tabela1[[#This Row],[Personal Consumption Expenditures (PCE)]]="",#N/A,((Tabela1[[#This Row],[Personal Consumption Expenditures (PCE)]]*1)/T162)-1)</f>
        <v>1.0256741065668873E-2</v>
      </c>
      <c r="W174" s="7">
        <v>16.074999999999999</v>
      </c>
      <c r="X174" s="8">
        <f>IF(Tabela1[[#This Row],[Core PCE]]="",#N/A,((Tabela1[[#This Row],[Core PCE]]*1)/W173)-1)</f>
        <v>1.3704603500901413E-3</v>
      </c>
      <c r="Y174" s="8">
        <f>IF(Tabela1[[#This Row],[Core PCE]]="",#N/A,((Tabela1[[#This Row],[Core PCE]]*1)/W162)-1)</f>
        <v>1.2152121899005053E-2</v>
      </c>
      <c r="Z174" s="8">
        <f t="shared" si="5"/>
        <v>1.072011858477584E-2</v>
      </c>
      <c r="AA174" s="8">
        <f t="shared" si="3"/>
        <v>1.0613833706166087E-2</v>
      </c>
      <c r="AB174" s="7"/>
      <c r="AC174" s="7"/>
      <c r="AD174" s="8"/>
      <c r="AE174" s="71"/>
      <c r="AF174" s="7"/>
      <c r="AG174" s="5"/>
    </row>
    <row r="175" spans="1:33" ht="12.75">
      <c r="A175" s="6">
        <v>22402</v>
      </c>
      <c r="B175" s="7">
        <v>29.84</v>
      </c>
      <c r="C175" s="8">
        <f>IF(Tabela1[[#This Row],[Consumer Price Index (CPI)]]="",#N/A,((Tabela1[[#This Row],[Consumer Price Index (CPI)]]*1)/B174)-1)</f>
        <v>1.0063737001007045E-3</v>
      </c>
      <c r="D175" s="8">
        <f>IF(Tabela1[[#This Row],[Consumer Price Index (CPI)]]="",#N/A,((Tabela1[[#This Row],[Consumer Price Index (CPI)]]*1)/B163)-1)</f>
        <v>9.1308758877239882E-3</v>
      </c>
      <c r="E175" s="25">
        <v>30.9</v>
      </c>
      <c r="F175" s="8">
        <f>IF(Tabela1[[#This Row],[Core Consumer Price Index]]="",#N/A,((Tabela1[[#This Row],[Core Consumer Price Index]]*1)/E174)-1)</f>
        <v>0</v>
      </c>
      <c r="G175" s="8">
        <f>IF(Tabela1[[#This Row],[Core Consumer Price Index]]="",#N/A,((Tabela1[[#This Row],[Core Consumer Price Index]]*1)/E163)-1)</f>
        <v>9.8039215686274161E-3</v>
      </c>
      <c r="H175" s="8">
        <f t="shared" si="0"/>
        <v>1.2987012987013102E-2</v>
      </c>
      <c r="I175" s="8">
        <f t="shared" si="1"/>
        <v>6.514657980456029E-3</v>
      </c>
      <c r="J175" s="25">
        <v>24.5</v>
      </c>
      <c r="K175" s="8">
        <f>IF(Tabela1[[#This Row],[Services CPI]]="",#N/A,((Tabela1[[#This Row],[Services CPI]]*1)/J174)-1)</f>
        <v>0</v>
      </c>
      <c r="L175" s="8">
        <f>IF(Tabela1[[#This Row],[Services CPI]]="",#N/A,((Tabela1[[#This Row],[Services CPI]]*1)/J163)-1)</f>
        <v>2.0833333333333259E-2</v>
      </c>
      <c r="M175" s="7"/>
      <c r="N175" s="8"/>
      <c r="O175" s="8"/>
      <c r="P175" s="7">
        <v>38</v>
      </c>
      <c r="Q175" s="8">
        <f>IF(Tabela1[[#This Row],[Durable Goods CPI]]="",#N/A,((Tabela1[[#This Row],[Durable Goods CPI]]*1)/P174)-1)</f>
        <v>2.6385224274407815E-3</v>
      </c>
      <c r="R175" s="8">
        <f>IF(Tabela1[[#This Row],[Durable Goods CPI]]="",#N/A,((Tabela1[[#This Row],[Durable Goods CPI]]*1)/P163)-1)</f>
        <v>-5.2356020942408987E-3</v>
      </c>
      <c r="S175" s="7"/>
      <c r="T175" s="7">
        <v>15.67</v>
      </c>
      <c r="U175" s="8">
        <f>IF(Tabela1[[#This Row],[Personal Consumption Expenditures (PCE)]]="",#N/A,((Tabela1[[#This Row],[Personal Consumption Expenditures (PCE)]]*1)/T174)-1)</f>
        <v>5.7467594661897436E-4</v>
      </c>
      <c r="V175" s="8">
        <f>IF(Tabela1[[#This Row],[Personal Consumption Expenditures (PCE)]]="",#N/A,((Tabela1[[#This Row],[Personal Consumption Expenditures (PCE)]]*1)/T163)-1)</f>
        <v>9.7950766851397919E-3</v>
      </c>
      <c r="W175" s="7">
        <v>16.096</v>
      </c>
      <c r="X175" s="8">
        <f>IF(Tabela1[[#This Row],[Core PCE]]="",#N/A,((Tabela1[[#This Row],[Core PCE]]*1)/W174)-1)</f>
        <v>1.3063763608087697E-3</v>
      </c>
      <c r="Y175" s="8">
        <f>IF(Tabela1[[#This Row],[Core PCE]]="",#N/A,((Tabela1[[#This Row],[Core PCE]]*1)/W163)-1)</f>
        <v>1.1817953231078704E-2</v>
      </c>
      <c r="Z175" s="8">
        <f t="shared" si="5"/>
        <v>1.1953608059947385E-2</v>
      </c>
      <c r="AA175" s="8">
        <f t="shared" si="3"/>
        <v>7.8482249518612157E-3</v>
      </c>
      <c r="AB175" s="7"/>
      <c r="AC175" s="7"/>
      <c r="AD175" s="8"/>
      <c r="AE175" s="71"/>
      <c r="AF175" s="7"/>
      <c r="AG175" s="5"/>
    </row>
    <row r="176" spans="1:33" ht="12.75">
      <c r="A176" s="6">
        <v>22433</v>
      </c>
      <c r="B176" s="7">
        <v>29.84</v>
      </c>
      <c r="C176" s="8">
        <f>IF(Tabela1[[#This Row],[Consumer Price Index (CPI)]]="",#N/A,((Tabela1[[#This Row],[Consumer Price Index (CPI)]]*1)/B175)-1)</f>
        <v>0</v>
      </c>
      <c r="D176" s="8">
        <f>IF(Tabela1[[#This Row],[Consumer Price Index (CPI)]]="",#N/A,((Tabela1[[#This Row],[Consumer Price Index (CPI)]]*1)/B164)-1)</f>
        <v>7.7676460655184965E-3</v>
      </c>
      <c r="E176" s="25">
        <v>31</v>
      </c>
      <c r="F176" s="8">
        <f>IF(Tabela1[[#This Row],[Core Consumer Price Index]]="",#N/A,((Tabela1[[#This Row],[Core Consumer Price Index]]*1)/E175)-1)</f>
        <v>3.2362459546926292E-3</v>
      </c>
      <c r="G176" s="8">
        <f>IF(Tabela1[[#This Row],[Core Consumer Price Index]]="",#N/A,((Tabela1[[#This Row],[Core Consumer Price Index]]*1)/E164)-1)</f>
        <v>9.7719869706840434E-3</v>
      </c>
      <c r="H176" s="8">
        <f t="shared" si="0"/>
        <v>1.2944983818770517E-2</v>
      </c>
      <c r="I176" s="8">
        <f t="shared" si="1"/>
        <v>1.9480656383347839E-2</v>
      </c>
      <c r="J176" s="25">
        <v>24.5</v>
      </c>
      <c r="K176" s="8">
        <f>IF(Tabela1[[#This Row],[Services CPI]]="",#N/A,((Tabela1[[#This Row],[Services CPI]]*1)/J175)-1)</f>
        <v>0</v>
      </c>
      <c r="L176" s="8">
        <f>IF(Tabela1[[#This Row],[Services CPI]]="",#N/A,((Tabela1[[#This Row],[Services CPI]]*1)/J164)-1)</f>
        <v>2.0833333333333259E-2</v>
      </c>
      <c r="M176" s="7"/>
      <c r="N176" s="8"/>
      <c r="O176" s="8"/>
      <c r="P176" s="7">
        <v>38.1</v>
      </c>
      <c r="Q176" s="8">
        <f>IF(Tabela1[[#This Row],[Durable Goods CPI]]="",#N/A,((Tabela1[[#This Row],[Durable Goods CPI]]*1)/P175)-1)</f>
        <v>2.6315789473685403E-3</v>
      </c>
      <c r="R176" s="8">
        <f>IF(Tabela1[[#This Row],[Durable Goods CPI]]="",#N/A,((Tabela1[[#This Row],[Durable Goods CPI]]*1)/P164)-1)</f>
        <v>0</v>
      </c>
      <c r="S176" s="7"/>
      <c r="T176" s="7">
        <v>15.677</v>
      </c>
      <c r="U176" s="8">
        <f>IF(Tabela1[[#This Row],[Personal Consumption Expenditures (PCE)]]="",#N/A,((Tabela1[[#This Row],[Personal Consumption Expenditures (PCE)]]*1)/T175)-1)</f>
        <v>4.4671346522018318E-4</v>
      </c>
      <c r="V176" s="8">
        <f>IF(Tabela1[[#This Row],[Personal Consumption Expenditures (PCE)]]="",#N/A,((Tabela1[[#This Row],[Personal Consumption Expenditures (PCE)]]*1)/T164)-1)</f>
        <v>9.7906602254427266E-3</v>
      </c>
      <c r="W176" s="7">
        <v>16.12</v>
      </c>
      <c r="X176" s="8">
        <f>IF(Tabela1[[#This Row],[Core PCE]]="",#N/A,((Tabela1[[#This Row],[Core PCE]]*1)/W175)-1)</f>
        <v>1.4910536779324524E-3</v>
      </c>
      <c r="Y176" s="8">
        <f>IF(Tabela1[[#This Row],[Core PCE]]="",#N/A,((Tabela1[[#This Row],[Core PCE]]*1)/W164)-1)</f>
        <v>1.2753659609222812E-2</v>
      </c>
      <c r="Z176" s="8">
        <f t="shared" si="5"/>
        <v>1.6671561555325454E-2</v>
      </c>
      <c r="AA176" s="8">
        <f t="shared" si="3"/>
        <v>1.1454045898445564E-2</v>
      </c>
      <c r="AB176" s="7"/>
      <c r="AC176" s="7"/>
      <c r="AD176" s="8"/>
      <c r="AE176" s="71"/>
      <c r="AF176" s="7"/>
      <c r="AG176" s="5"/>
    </row>
    <row r="177" spans="1:33" ht="12.75">
      <c r="A177" s="6">
        <v>22463</v>
      </c>
      <c r="B177" s="7">
        <v>29.92</v>
      </c>
      <c r="C177" s="8">
        <f>IF(Tabela1[[#This Row],[Consumer Price Index (CPI)]]="",#N/A,((Tabela1[[#This Row],[Consumer Price Index (CPI)]]*1)/B176)-1)</f>
        <v>2.6809651474530849E-3</v>
      </c>
      <c r="D177" s="8">
        <f>IF(Tabela1[[#This Row],[Consumer Price Index (CPI)]]="",#N/A,((Tabela1[[#This Row],[Consumer Price Index (CPI)]]*1)/B165)-1)</f>
        <v>1.2521150592216701E-2</v>
      </c>
      <c r="E177" s="25">
        <v>31</v>
      </c>
      <c r="F177" s="8">
        <f>IF(Tabela1[[#This Row],[Core Consumer Price Index]]="",#N/A,((Tabela1[[#This Row],[Core Consumer Price Index]]*1)/E176)-1)</f>
        <v>0</v>
      </c>
      <c r="G177" s="8">
        <f>IF(Tabela1[[#This Row],[Core Consumer Price Index]]="",#N/A,((Tabela1[[#This Row],[Core Consumer Price Index]]*1)/E165)-1)</f>
        <v>1.3071895424836555E-2</v>
      </c>
      <c r="H177" s="8">
        <f t="shared" si="0"/>
        <v>1.2944983818770517E-2</v>
      </c>
      <c r="I177" s="8">
        <f t="shared" si="1"/>
        <v>1.296599840289181E-2</v>
      </c>
      <c r="J177" s="25">
        <v>24.5</v>
      </c>
      <c r="K177" s="8">
        <f>IF(Tabela1[[#This Row],[Services CPI]]="",#N/A,((Tabela1[[#This Row],[Services CPI]]*1)/J176)-1)</f>
        <v>0</v>
      </c>
      <c r="L177" s="8">
        <f>IF(Tabela1[[#This Row],[Services CPI]]="",#N/A,((Tabela1[[#This Row],[Services CPI]]*1)/J165)-1)</f>
        <v>1.6597510373443924E-2</v>
      </c>
      <c r="M177" s="7"/>
      <c r="N177" s="8"/>
      <c r="O177" s="8"/>
      <c r="P177" s="7">
        <v>38.200000000000003</v>
      </c>
      <c r="Q177" s="8">
        <f>IF(Tabela1[[#This Row],[Durable Goods CPI]]="",#N/A,((Tabela1[[#This Row],[Durable Goods CPI]]*1)/P176)-1)</f>
        <v>2.624671916010568E-3</v>
      </c>
      <c r="R177" s="8">
        <f>IF(Tabela1[[#This Row],[Durable Goods CPI]]="",#N/A,((Tabela1[[#This Row],[Durable Goods CPI]]*1)/P165)-1)</f>
        <v>2.624671916010568E-3</v>
      </c>
      <c r="S177" s="7"/>
      <c r="T177" s="7">
        <v>15.711</v>
      </c>
      <c r="U177" s="8">
        <f>IF(Tabela1[[#This Row],[Personal Consumption Expenditures (PCE)]]="",#N/A,((Tabela1[[#This Row],[Personal Consumption Expenditures (PCE)]]*1)/T176)-1)</f>
        <v>2.16878229253048E-3</v>
      </c>
      <c r="V177" s="8">
        <f>IF(Tabela1[[#This Row],[Personal Consumption Expenditures (PCE)]]="",#N/A,((Tabela1[[#This Row],[Personal Consumption Expenditures (PCE)]]*1)/T165)-1)</f>
        <v>1.0158811804796386E-2</v>
      </c>
      <c r="W177" s="7">
        <v>16.145</v>
      </c>
      <c r="X177" s="8">
        <f>IF(Tabela1[[#This Row],[Core PCE]]="",#N/A,((Tabela1[[#This Row],[Core PCE]]*1)/W176)-1)</f>
        <v>1.5508684863523303E-3</v>
      </c>
      <c r="Y177" s="8">
        <f>IF(Tabela1[[#This Row],[Core PCE]]="",#N/A,((Tabela1[[#This Row],[Core PCE]]*1)/W165)-1)</f>
        <v>1.2543116964565559E-2</v>
      </c>
      <c r="Z177" s="8">
        <f t="shared" si="5"/>
        <v>1.739319410037421E-2</v>
      </c>
      <c r="AA177" s="8">
        <f t="shared" si="3"/>
        <v>1.4056656342575025E-2</v>
      </c>
      <c r="AB177" s="7"/>
      <c r="AC177" s="7"/>
      <c r="AD177" s="8"/>
      <c r="AE177" s="71"/>
      <c r="AF177" s="7"/>
      <c r="AG177" s="5"/>
    </row>
    <row r="178" spans="1:33" ht="12.75">
      <c r="A178" s="6">
        <v>22494</v>
      </c>
      <c r="B178" s="7">
        <v>29.94</v>
      </c>
      <c r="C178" s="8">
        <f>IF(Tabela1[[#This Row],[Consumer Price Index (CPI)]]="",#N/A,((Tabela1[[#This Row],[Consumer Price Index (CPI)]]*1)/B177)-1)</f>
        <v>6.6844919786102075E-4</v>
      </c>
      <c r="D178" s="8">
        <f>IF(Tabela1[[#This Row],[Consumer Price Index (CPI)]]="",#N/A,((Tabela1[[#This Row],[Consumer Price Index (CPI)]]*1)/B166)-1)</f>
        <v>1.1144883485309176E-2</v>
      </c>
      <c r="E178" s="25">
        <v>31.1</v>
      </c>
      <c r="F178" s="8">
        <f>IF(Tabela1[[#This Row],[Core Consumer Price Index]]="",#N/A,((Tabela1[[#This Row],[Core Consumer Price Index]]*1)/E177)-1)</f>
        <v>3.225806451612856E-3</v>
      </c>
      <c r="G178" s="8">
        <f>IF(Tabela1[[#This Row],[Core Consumer Price Index]]="",#N/A,((Tabela1[[#This Row],[Core Consumer Price Index]]*1)/E166)-1)</f>
        <v>1.6339869281045694E-2</v>
      </c>
      <c r="H178" s="8">
        <f t="shared" si="0"/>
        <v>2.5848209625221941E-2</v>
      </c>
      <c r="I178" s="8">
        <f t="shared" si="1"/>
        <v>1.9417611306117522E-2</v>
      </c>
      <c r="J178" s="25">
        <v>24.6</v>
      </c>
      <c r="K178" s="8">
        <f>IF(Tabela1[[#This Row],[Services CPI]]="",#N/A,((Tabela1[[#This Row],[Services CPI]]*1)/J177)-1)</f>
        <v>4.0816326530612734E-3</v>
      </c>
      <c r="L178" s="8">
        <f>IF(Tabela1[[#This Row],[Services CPI]]="",#N/A,((Tabela1[[#This Row],[Services CPI]]*1)/J166)-1)</f>
        <v>2.0746887966804906E-2</v>
      </c>
      <c r="M178" s="7"/>
      <c r="N178" s="8"/>
      <c r="O178" s="8"/>
      <c r="P178" s="7">
        <v>38.299999999999997</v>
      </c>
      <c r="Q178" s="8">
        <f>IF(Tabela1[[#This Row],[Durable Goods CPI]]="",#N/A,((Tabela1[[#This Row],[Durable Goods CPI]]*1)/P177)-1)</f>
        <v>2.6178010471202828E-3</v>
      </c>
      <c r="R178" s="8">
        <f>IF(Tabela1[[#This Row],[Durable Goods CPI]]="",#N/A,((Tabela1[[#This Row],[Durable Goods CPI]]*1)/P166)-1)</f>
        <v>5.249343832020914E-3</v>
      </c>
      <c r="S178" s="7"/>
      <c r="T178" s="7">
        <v>15.724</v>
      </c>
      <c r="U178" s="8">
        <f>IF(Tabela1[[#This Row],[Personal Consumption Expenditures (PCE)]]="",#N/A,((Tabela1[[#This Row],[Personal Consumption Expenditures (PCE)]]*1)/T177)-1)</f>
        <v>8.2744573865434212E-4</v>
      </c>
      <c r="V178" s="8">
        <f>IF(Tabela1[[#This Row],[Personal Consumption Expenditures (PCE)]]="",#N/A,((Tabela1[[#This Row],[Personal Consumption Expenditures (PCE)]]*1)/T166)-1)</f>
        <v>9.3074009885101283E-3</v>
      </c>
      <c r="W178" s="7">
        <v>16.161999999999999</v>
      </c>
      <c r="X178" s="8">
        <f>IF(Tabela1[[#This Row],[Core PCE]]="",#N/A,((Tabela1[[#This Row],[Core PCE]]*1)/W177)-1)</f>
        <v>1.0529575720037432E-3</v>
      </c>
      <c r="Y178" s="8">
        <f>IF(Tabela1[[#This Row],[Core PCE]]="",#N/A,((Tabela1[[#This Row],[Core PCE]]*1)/W166)-1)</f>
        <v>1.2149298597194269E-2</v>
      </c>
      <c r="Z178" s="8">
        <f t="shared" si="5"/>
        <v>1.6379518945154103E-2</v>
      </c>
      <c r="AA178" s="8">
        <f t="shared" si="3"/>
        <v>1.4166563502550744E-2</v>
      </c>
      <c r="AB178" s="7"/>
      <c r="AC178" s="7"/>
      <c r="AD178" s="8"/>
      <c r="AE178" s="71"/>
      <c r="AF178" s="7"/>
      <c r="AG178" s="5"/>
    </row>
    <row r="179" spans="1:33" ht="12.75">
      <c r="A179" s="6">
        <v>22525</v>
      </c>
      <c r="B179" s="7">
        <v>29.98</v>
      </c>
      <c r="C179" s="8">
        <f>IF(Tabela1[[#This Row],[Consumer Price Index (CPI)]]="",#N/A,((Tabela1[[#This Row],[Consumer Price Index (CPI)]]*1)/B178)-1)</f>
        <v>1.3360053440214514E-3</v>
      </c>
      <c r="D179" s="8">
        <f>IF(Tabela1[[#This Row],[Consumer Price Index (CPI)]]="",#N/A,((Tabela1[[#This Row],[Consumer Price Index (CPI)]]*1)/B167)-1)</f>
        <v>1.2495778453225359E-2</v>
      </c>
      <c r="E179" s="25">
        <v>31.1</v>
      </c>
      <c r="F179" s="8">
        <f>IF(Tabela1[[#This Row],[Core Consumer Price Index]]="",#N/A,((Tabela1[[#This Row],[Core Consumer Price Index]]*1)/E178)-1)</f>
        <v>0</v>
      </c>
      <c r="G179" s="8">
        <f>IF(Tabela1[[#This Row],[Core Consumer Price Index]]="",#N/A,((Tabela1[[#This Row],[Core Consumer Price Index]]*1)/E167)-1)</f>
        <v>1.6339869281045694E-2</v>
      </c>
      <c r="H179" s="8">
        <f t="shared" si="0"/>
        <v>1.2903225806451424E-2</v>
      </c>
      <c r="I179" s="8">
        <f t="shared" si="1"/>
        <v>1.292410481261097E-2</v>
      </c>
      <c r="J179" s="25">
        <v>24.6</v>
      </c>
      <c r="K179" s="8">
        <f>IF(Tabela1[[#This Row],[Services CPI]]="",#N/A,((Tabela1[[#This Row],[Services CPI]]*1)/J178)-1)</f>
        <v>0</v>
      </c>
      <c r="L179" s="8">
        <f>IF(Tabela1[[#This Row],[Services CPI]]="",#N/A,((Tabela1[[#This Row],[Services CPI]]*1)/J167)-1)</f>
        <v>1.6528925619834878E-2</v>
      </c>
      <c r="M179" s="7"/>
      <c r="N179" s="8"/>
      <c r="O179" s="8"/>
      <c r="P179" s="7">
        <v>38.299999999999997</v>
      </c>
      <c r="Q179" s="8">
        <f>IF(Tabela1[[#This Row],[Durable Goods CPI]]="",#N/A,((Tabela1[[#This Row],[Durable Goods CPI]]*1)/P178)-1)</f>
        <v>0</v>
      </c>
      <c r="R179" s="8">
        <f>IF(Tabela1[[#This Row],[Durable Goods CPI]]="",#N/A,((Tabela1[[#This Row],[Durable Goods CPI]]*1)/P167)-1)</f>
        <v>1.055408970976246E-2</v>
      </c>
      <c r="S179" s="7"/>
      <c r="T179" s="7">
        <v>15.742000000000001</v>
      </c>
      <c r="U179" s="8">
        <f>IF(Tabela1[[#This Row],[Personal Consumption Expenditures (PCE)]]="",#N/A,((Tabela1[[#This Row],[Personal Consumption Expenditures (PCE)]]*1)/T178)-1)</f>
        <v>1.1447468837446628E-3</v>
      </c>
      <c r="V179" s="8">
        <f>IF(Tabela1[[#This Row],[Personal Consumption Expenditures (PCE)]]="",#N/A,((Tabela1[[#This Row],[Personal Consumption Expenditures (PCE)]]*1)/T167)-1)</f>
        <v>9.8793944059534233E-3</v>
      </c>
      <c r="W179" s="7">
        <v>16.193999999999999</v>
      </c>
      <c r="X179" s="8">
        <f>IF(Tabela1[[#This Row],[Core PCE]]="",#N/A,((Tabela1[[#This Row],[Core PCE]]*1)/W178)-1)</f>
        <v>1.9799529761168611E-3</v>
      </c>
      <c r="Y179" s="8">
        <f>IF(Tabela1[[#This Row],[Core PCE]]="",#N/A,((Tabela1[[#This Row],[Core PCE]]*1)/W167)-1)</f>
        <v>1.3328327388774097E-2</v>
      </c>
      <c r="Z179" s="8">
        <f t="shared" si="5"/>
        <v>1.8335116137891738E-2</v>
      </c>
      <c r="AA179" s="8">
        <f t="shared" si="3"/>
        <v>1.7503338846608596E-2</v>
      </c>
      <c r="AB179" s="7"/>
      <c r="AC179" s="7"/>
      <c r="AD179" s="8"/>
      <c r="AE179" s="71"/>
      <c r="AF179" s="7"/>
      <c r="AG179" s="5"/>
    </row>
    <row r="180" spans="1:33" ht="12.75">
      <c r="A180" s="6">
        <v>22555</v>
      </c>
      <c r="B180" s="7">
        <v>29.98</v>
      </c>
      <c r="C180" s="8">
        <f>IF(Tabela1[[#This Row],[Consumer Price Index (CPI)]]="",#N/A,((Tabela1[[#This Row],[Consumer Price Index (CPI)]]*1)/B179)-1)</f>
        <v>0</v>
      </c>
      <c r="D180" s="8">
        <f>IF(Tabela1[[#This Row],[Consumer Price Index (CPI)]]="",#N/A,((Tabela1[[#This Row],[Consumer Price Index (CPI)]]*1)/B168)-1)</f>
        <v>7.7310924369748957E-3</v>
      </c>
      <c r="E180" s="25">
        <v>31.1</v>
      </c>
      <c r="F180" s="8">
        <f>IF(Tabela1[[#This Row],[Core Consumer Price Index]]="",#N/A,((Tabela1[[#This Row],[Core Consumer Price Index]]*1)/E179)-1)</f>
        <v>0</v>
      </c>
      <c r="G180" s="8">
        <f>IF(Tabela1[[#This Row],[Core Consumer Price Index]]="",#N/A,((Tabela1[[#This Row],[Core Consumer Price Index]]*1)/E168)-1)</f>
        <v>9.7402597402598268E-3</v>
      </c>
      <c r="H180" s="8">
        <f t="shared" si="0"/>
        <v>1.2903225806451424E-2</v>
      </c>
      <c r="I180" s="8">
        <f t="shared" si="1"/>
        <v>1.292410481261097E-2</v>
      </c>
      <c r="J180" s="25">
        <v>24.7</v>
      </c>
      <c r="K180" s="8">
        <f>IF(Tabela1[[#This Row],[Services CPI]]="",#N/A,((Tabela1[[#This Row],[Services CPI]]*1)/J179)-1)</f>
        <v>4.0650406504063596E-3</v>
      </c>
      <c r="L180" s="8">
        <f>IF(Tabela1[[#This Row],[Services CPI]]="",#N/A,((Tabela1[[#This Row],[Services CPI]]*1)/J168)-1)</f>
        <v>2.0661157024793431E-2</v>
      </c>
      <c r="M180" s="7"/>
      <c r="N180" s="8"/>
      <c r="O180" s="8"/>
      <c r="P180" s="7">
        <v>38.299999999999997</v>
      </c>
      <c r="Q180" s="8">
        <f>IF(Tabela1[[#This Row],[Durable Goods CPI]]="",#N/A,((Tabela1[[#This Row],[Durable Goods CPI]]*1)/P179)-1)</f>
        <v>0</v>
      </c>
      <c r="R180" s="8">
        <f>IF(Tabela1[[#This Row],[Durable Goods CPI]]="",#N/A,((Tabela1[[#This Row],[Durable Goods CPI]]*1)/P168)-1)</f>
        <v>1.055408970976246E-2</v>
      </c>
      <c r="S180" s="7"/>
      <c r="T180" s="7">
        <v>15.741</v>
      </c>
      <c r="U180" s="8">
        <f>IF(Tabela1[[#This Row],[Personal Consumption Expenditures (PCE)]]="",#N/A,((Tabela1[[#This Row],[Personal Consumption Expenditures (PCE)]]*1)/T179)-1)</f>
        <v>-6.3524329818376302E-5</v>
      </c>
      <c r="V180" s="8">
        <f>IF(Tabela1[[#This Row],[Personal Consumption Expenditures (PCE)]]="",#N/A,((Tabela1[[#This Row],[Personal Consumption Expenditures (PCE)]]*1)/T168)-1)</f>
        <v>8.65051903114189E-3</v>
      </c>
      <c r="W180" s="7">
        <v>16.199000000000002</v>
      </c>
      <c r="X180" s="8">
        <f>IF(Tabela1[[#This Row],[Core PCE]]="",#N/A,((Tabela1[[#This Row],[Core PCE]]*1)/W179)-1)</f>
        <v>3.0875632950499998E-4</v>
      </c>
      <c r="Y180" s="8">
        <f>IF(Tabela1[[#This Row],[Core PCE]]="",#N/A,((Tabela1[[#This Row],[Core PCE]]*1)/W168)-1)</f>
        <v>1.3070669168230298E-2</v>
      </c>
      <c r="Z180" s="8">
        <f t="shared" si="5"/>
        <v>1.3366667510502417E-2</v>
      </c>
      <c r="AA180" s="8">
        <f t="shared" si="3"/>
        <v>1.5379930805438313E-2</v>
      </c>
      <c r="AB180" s="7"/>
      <c r="AC180" s="7"/>
      <c r="AD180" s="8"/>
      <c r="AE180" s="71"/>
      <c r="AF180" s="7"/>
      <c r="AG180" s="5"/>
    </row>
    <row r="181" spans="1:33" ht="12.75">
      <c r="A181" s="6">
        <v>22586</v>
      </c>
      <c r="B181" s="7">
        <v>29.98</v>
      </c>
      <c r="C181" s="8">
        <f>IF(Tabela1[[#This Row],[Consumer Price Index (CPI)]]="",#N/A,((Tabela1[[#This Row],[Consumer Price Index (CPI)]]*1)/B180)-1)</f>
        <v>0</v>
      </c>
      <c r="D181" s="8">
        <f>IF(Tabela1[[#This Row],[Consumer Price Index (CPI)]]="",#N/A,((Tabela1[[#This Row],[Consumer Price Index (CPI)]]*1)/B169)-1)</f>
        <v>6.7159167226327199E-3</v>
      </c>
      <c r="E181" s="25">
        <v>31.2</v>
      </c>
      <c r="F181" s="8">
        <f>IF(Tabela1[[#This Row],[Core Consumer Price Index]]="",#N/A,((Tabela1[[#This Row],[Core Consumer Price Index]]*1)/E180)-1)</f>
        <v>3.215434083601254E-3</v>
      </c>
      <c r="G181" s="8">
        <f>IF(Tabela1[[#This Row],[Core Consumer Price Index]]="",#N/A,((Tabela1[[#This Row],[Core Consumer Price Index]]*1)/E169)-1)</f>
        <v>1.298701298701288E-2</v>
      </c>
      <c r="H181" s="8">
        <f t="shared" si="0"/>
        <v>1.2861736334405016E-2</v>
      </c>
      <c r="I181" s="8">
        <f t="shared" si="1"/>
        <v>1.9354972979813478E-2</v>
      </c>
      <c r="J181" s="25">
        <v>24.7</v>
      </c>
      <c r="K181" s="8">
        <f>IF(Tabela1[[#This Row],[Services CPI]]="",#N/A,((Tabela1[[#This Row],[Services CPI]]*1)/J180)-1)</f>
        <v>0</v>
      </c>
      <c r="L181" s="8">
        <f>IF(Tabela1[[#This Row],[Services CPI]]="",#N/A,((Tabela1[[#This Row],[Services CPI]]*1)/J169)-1)</f>
        <v>1.6460905349794164E-2</v>
      </c>
      <c r="M181" s="7"/>
      <c r="N181" s="8"/>
      <c r="O181" s="8"/>
      <c r="P181" s="7">
        <v>38.299999999999997</v>
      </c>
      <c r="Q181" s="8">
        <f>IF(Tabela1[[#This Row],[Durable Goods CPI]]="",#N/A,((Tabela1[[#This Row],[Durable Goods CPI]]*1)/P180)-1)</f>
        <v>0</v>
      </c>
      <c r="R181" s="8">
        <f>IF(Tabela1[[#This Row],[Durable Goods CPI]]="",#N/A,((Tabela1[[#This Row],[Durable Goods CPI]]*1)/P169)-1)</f>
        <v>1.3227513227513255E-2</v>
      </c>
      <c r="S181" s="7"/>
      <c r="T181" s="7">
        <v>15.742000000000001</v>
      </c>
      <c r="U181" s="8">
        <f>IF(Tabela1[[#This Row],[Personal Consumption Expenditures (PCE)]]="",#N/A,((Tabela1[[#This Row],[Personal Consumption Expenditures (PCE)]]*1)/T180)-1)</f>
        <v>6.3528365415344012E-5</v>
      </c>
      <c r="V181" s="8">
        <f>IF(Tabela1[[#This Row],[Personal Consumption Expenditures (PCE)]]="",#N/A,((Tabela1[[#This Row],[Personal Consumption Expenditures (PCE)]]*1)/T169)-1)</f>
        <v>5.3004661855802215E-3</v>
      </c>
      <c r="W181" s="7">
        <v>16.202000000000002</v>
      </c>
      <c r="X181" s="8">
        <f>IF(Tabela1[[#This Row],[Core PCE]]="",#N/A,((Tabela1[[#This Row],[Core PCE]]*1)/W180)-1)</f>
        <v>1.8519661707516732E-4</v>
      </c>
      <c r="Y181" s="8">
        <f>IF(Tabela1[[#This Row],[Core PCE]]="",#N/A,((Tabela1[[#This Row],[Core PCE]]*1)/W169)-1)</f>
        <v>1.0540759683153489E-2</v>
      </c>
      <c r="Z181" s="8">
        <f t="shared" si="5"/>
        <v>9.8956236907881134E-3</v>
      </c>
      <c r="AA181" s="8">
        <f t="shared" si="3"/>
        <v>1.3137571317971108E-2</v>
      </c>
      <c r="AB181" s="7"/>
      <c r="AC181" s="7"/>
      <c r="AD181" s="8"/>
      <c r="AE181" s="71"/>
      <c r="AF181" s="7"/>
      <c r="AG181" s="5"/>
    </row>
    <row r="182" spans="1:33" ht="12.75">
      <c r="A182" s="6">
        <v>22616</v>
      </c>
      <c r="B182" s="7">
        <v>30.01</v>
      </c>
      <c r="C182" s="8">
        <f>IF(Tabela1[[#This Row],[Consumer Price Index (CPI)]]="",#N/A,((Tabela1[[#This Row],[Consumer Price Index (CPI)]]*1)/B181)-1)</f>
        <v>1.0006671114075605E-3</v>
      </c>
      <c r="D182" s="8">
        <f>IF(Tabela1[[#This Row],[Consumer Price Index (CPI)]]="",#N/A,((Tabela1[[#This Row],[Consumer Price Index (CPI)]]*1)/B170)-1)</f>
        <v>6.7091580006710672E-3</v>
      </c>
      <c r="E182" s="25">
        <v>31.2</v>
      </c>
      <c r="F182" s="8">
        <f>IF(Tabela1[[#This Row],[Core Consumer Price Index]]="",#N/A,((Tabela1[[#This Row],[Core Consumer Price Index]]*1)/E181)-1)</f>
        <v>0</v>
      </c>
      <c r="G182" s="8">
        <f>IF(Tabela1[[#This Row],[Core Consumer Price Index]]="",#N/A,((Tabela1[[#This Row],[Core Consumer Price Index]]*1)/E170)-1)</f>
        <v>1.6286644951140072E-2</v>
      </c>
      <c r="H182" s="8">
        <f t="shared" si="0"/>
        <v>1.2861736334405016E-2</v>
      </c>
      <c r="I182" s="8">
        <f t="shared" si="1"/>
        <v>1.288248107042822E-2</v>
      </c>
      <c r="J182" s="25">
        <v>24.8</v>
      </c>
      <c r="K182" s="8">
        <f>IF(Tabela1[[#This Row],[Services CPI]]="",#N/A,((Tabela1[[#This Row],[Services CPI]]*1)/J181)-1)</f>
        <v>4.0485829959515662E-3</v>
      </c>
      <c r="L182" s="8">
        <f>IF(Tabela1[[#This Row],[Services CPI]]="",#N/A,((Tabela1[[#This Row],[Services CPI]]*1)/J170)-1)</f>
        <v>2.0576131687242816E-2</v>
      </c>
      <c r="M182" s="7"/>
      <c r="N182" s="8"/>
      <c r="O182" s="8"/>
      <c r="P182" s="7">
        <v>38.299999999999997</v>
      </c>
      <c r="Q182" s="8">
        <f>IF(Tabela1[[#This Row],[Durable Goods CPI]]="",#N/A,((Tabela1[[#This Row],[Durable Goods CPI]]*1)/P181)-1)</f>
        <v>0</v>
      </c>
      <c r="R182" s="8">
        <f>IF(Tabela1[[#This Row],[Durable Goods CPI]]="",#N/A,((Tabela1[[#This Row],[Durable Goods CPI]]*1)/P170)-1)</f>
        <v>1.055408970976246E-2</v>
      </c>
      <c r="S182" s="7"/>
      <c r="T182" s="7">
        <v>15.746</v>
      </c>
      <c r="U182" s="8">
        <f>IF(Tabela1[[#This Row],[Personal Consumption Expenditures (PCE)]]="",#N/A,((Tabela1[[#This Row],[Personal Consumption Expenditures (PCE)]]*1)/T181)-1)</f>
        <v>2.5409731927328316E-4</v>
      </c>
      <c r="V182" s="8">
        <f>IF(Tabela1[[#This Row],[Personal Consumption Expenditures (PCE)]]="",#N/A,((Tabela1[[#This Row],[Personal Consumption Expenditures (PCE)]]*1)/T170)-1)</f>
        <v>5.3632997062955656E-3</v>
      </c>
      <c r="W182" s="7">
        <v>16.216000000000001</v>
      </c>
      <c r="X182" s="8">
        <f>IF(Tabela1[[#This Row],[Core PCE]]="",#N/A,((Tabela1[[#This Row],[Core PCE]]*1)/W181)-1)</f>
        <v>8.6409085298111421E-4</v>
      </c>
      <c r="Y182" s="8">
        <f>IF(Tabela1[[#This Row],[Core PCE]]="",#N/A,((Tabela1[[#This Row],[Core PCE]]*1)/W170)-1)</f>
        <v>1.1729473421512537E-2</v>
      </c>
      <c r="Z182" s="8">
        <f t="shared" si="5"/>
        <v>5.4321751982451261E-3</v>
      </c>
      <c r="AA182" s="8">
        <f t="shared" si="3"/>
        <v>1.1883645668068432E-2</v>
      </c>
      <c r="AB182" s="7"/>
      <c r="AC182" s="7"/>
      <c r="AD182" s="8"/>
      <c r="AE182" s="71"/>
      <c r="AF182" s="7"/>
      <c r="AG182" s="5"/>
    </row>
    <row r="183" spans="1:33" ht="12.75">
      <c r="A183" s="6">
        <v>22647</v>
      </c>
      <c r="B183" s="7">
        <v>30.04</v>
      </c>
      <c r="C183" s="8">
        <f>IF(Tabela1[[#This Row],[Consumer Price Index (CPI)]]="",#N/A,((Tabela1[[#This Row],[Consumer Price Index (CPI)]]*1)/B182)-1)</f>
        <v>9.9966677774077084E-4</v>
      </c>
      <c r="D183" s="8">
        <f>IF(Tabela1[[#This Row],[Consumer Price Index (CPI)]]="",#N/A,((Tabela1[[#This Row],[Consumer Price Index (CPI)]]*1)/B171)-1)</f>
        <v>6.7024128686326012E-3</v>
      </c>
      <c r="E183" s="25">
        <v>31.2</v>
      </c>
      <c r="F183" s="8">
        <f>IF(Tabela1[[#This Row],[Core Consumer Price Index]]="",#N/A,((Tabela1[[#This Row],[Core Consumer Price Index]]*1)/E182)-1)</f>
        <v>0</v>
      </c>
      <c r="G183" s="8">
        <f>IF(Tabela1[[#This Row],[Core Consumer Price Index]]="",#N/A,((Tabela1[[#This Row],[Core Consumer Price Index]]*1)/E171)-1)</f>
        <v>1.298701298701288E-2</v>
      </c>
      <c r="H183" s="8">
        <f t="shared" si="0"/>
        <v>1.2861736334405016E-2</v>
      </c>
      <c r="I183" s="8">
        <f t="shared" si="1"/>
        <v>1.288248107042822E-2</v>
      </c>
      <c r="J183" s="25">
        <v>24.8</v>
      </c>
      <c r="K183" s="8">
        <f>IF(Tabela1[[#This Row],[Services CPI]]="",#N/A,((Tabela1[[#This Row],[Services CPI]]*1)/J182)-1)</f>
        <v>0</v>
      </c>
      <c r="L183" s="8">
        <f>IF(Tabela1[[#This Row],[Services CPI]]="",#N/A,((Tabela1[[#This Row],[Services CPI]]*1)/J171)-1)</f>
        <v>1.6393442622950838E-2</v>
      </c>
      <c r="M183" s="7"/>
      <c r="N183" s="8"/>
      <c r="O183" s="8"/>
      <c r="P183" s="7">
        <v>38.299999999999997</v>
      </c>
      <c r="Q183" s="8">
        <f>IF(Tabela1[[#This Row],[Durable Goods CPI]]="",#N/A,((Tabela1[[#This Row],[Durable Goods CPI]]*1)/P182)-1)</f>
        <v>0</v>
      </c>
      <c r="R183" s="8">
        <f>IF(Tabela1[[#This Row],[Durable Goods CPI]]="",#N/A,((Tabela1[[#This Row],[Durable Goods CPI]]*1)/P171)-1)</f>
        <v>1.3227513227513255E-2</v>
      </c>
      <c r="S183" s="7"/>
      <c r="T183" s="7">
        <v>15.776</v>
      </c>
      <c r="U183" s="8">
        <f>IF(Tabela1[[#This Row],[Personal Consumption Expenditures (PCE)]]="",#N/A,((Tabela1[[#This Row],[Personal Consumption Expenditures (PCE)]]*1)/T182)-1)</f>
        <v>1.9052457767052555E-3</v>
      </c>
      <c r="V183" s="8">
        <f>IF(Tabela1[[#This Row],[Personal Consumption Expenditures (PCE)]]="",#N/A,((Tabela1[[#This Row],[Personal Consumption Expenditures (PCE)]]*1)/T171)-1)</f>
        <v>7.0858601978933677E-3</v>
      </c>
      <c r="W183" s="7">
        <v>16.234999999999999</v>
      </c>
      <c r="X183" s="8">
        <f>IF(Tabela1[[#This Row],[Core PCE]]="",#N/A,((Tabela1[[#This Row],[Core PCE]]*1)/W182)-1)</f>
        <v>1.1716822890970313E-3</v>
      </c>
      <c r="Y183" s="8">
        <f>IF(Tabela1[[#This Row],[Core PCE]]="",#N/A,((Tabela1[[#This Row],[Core PCE]]*1)/W171)-1)</f>
        <v>1.2662175648702645E-2</v>
      </c>
      <c r="Z183" s="8">
        <f t="shared" si="5"/>
        <v>8.8838790366132514E-3</v>
      </c>
      <c r="AA183" s="8">
        <f t="shared" si="3"/>
        <v>1.1125273273557834E-2</v>
      </c>
      <c r="AB183" s="7"/>
      <c r="AC183" s="7"/>
      <c r="AD183" s="8"/>
      <c r="AE183" s="71"/>
      <c r="AF183" s="7"/>
      <c r="AG183" s="5"/>
    </row>
    <row r="184" spans="1:33" ht="12.75">
      <c r="A184" s="6">
        <v>22678</v>
      </c>
      <c r="B184" s="7">
        <v>30.11</v>
      </c>
      <c r="C184" s="8">
        <f>IF(Tabela1[[#This Row],[Consumer Price Index (CPI)]]="",#N/A,((Tabela1[[#This Row],[Consumer Price Index (CPI)]]*1)/B183)-1)</f>
        <v>2.3302263648468102E-3</v>
      </c>
      <c r="D184" s="8">
        <f>IF(Tabela1[[#This Row],[Consumer Price Index (CPI)]]="",#N/A,((Tabela1[[#This Row],[Consumer Price Index (CPI)]]*1)/B172)-1)</f>
        <v>9.0482573726542448E-3</v>
      </c>
      <c r="E184" s="25">
        <v>31.2</v>
      </c>
      <c r="F184" s="8">
        <f>IF(Tabela1[[#This Row],[Core Consumer Price Index]]="",#N/A,((Tabela1[[#This Row],[Core Consumer Price Index]]*1)/E183)-1)</f>
        <v>0</v>
      </c>
      <c r="G184" s="8">
        <f>IF(Tabela1[[#This Row],[Core Consumer Price Index]]="",#N/A,((Tabela1[[#This Row],[Core Consumer Price Index]]*1)/E172)-1)</f>
        <v>1.298701298701288E-2</v>
      </c>
      <c r="H184" s="8">
        <f t="shared" si="0"/>
        <v>0</v>
      </c>
      <c r="I184" s="8">
        <f t="shared" si="1"/>
        <v>6.4308681672025081E-3</v>
      </c>
      <c r="J184" s="25">
        <v>24.8</v>
      </c>
      <c r="K184" s="8">
        <f>IF(Tabela1[[#This Row],[Services CPI]]="",#N/A,((Tabela1[[#This Row],[Services CPI]]*1)/J183)-1)</f>
        <v>0</v>
      </c>
      <c r="L184" s="8">
        <f>IF(Tabela1[[#This Row],[Services CPI]]="",#N/A,((Tabela1[[#This Row],[Services CPI]]*1)/J172)-1)</f>
        <v>1.6393442622950838E-2</v>
      </c>
      <c r="M184" s="7"/>
      <c r="N184" s="8"/>
      <c r="O184" s="8"/>
      <c r="P184" s="7">
        <v>38.299999999999997</v>
      </c>
      <c r="Q184" s="8">
        <f>IF(Tabela1[[#This Row],[Durable Goods CPI]]="",#N/A,((Tabela1[[#This Row],[Durable Goods CPI]]*1)/P183)-1)</f>
        <v>0</v>
      </c>
      <c r="R184" s="8">
        <f>IF(Tabela1[[#This Row],[Durable Goods CPI]]="",#N/A,((Tabela1[[#This Row],[Durable Goods CPI]]*1)/P172)-1)</f>
        <v>1.055408970976246E-2</v>
      </c>
      <c r="S184" s="7"/>
      <c r="T184" s="7">
        <v>15.818</v>
      </c>
      <c r="U184" s="8">
        <f>IF(Tabela1[[#This Row],[Personal Consumption Expenditures (PCE)]]="",#N/A,((Tabela1[[#This Row],[Personal Consumption Expenditures (PCE)]]*1)/T183)-1)</f>
        <v>2.6622718052737859E-3</v>
      </c>
      <c r="V184" s="8">
        <f>IF(Tabela1[[#This Row],[Personal Consumption Expenditures (PCE)]]="",#N/A,((Tabela1[[#This Row],[Personal Consumption Expenditures (PCE)]]*1)/T172)-1)</f>
        <v>8.8653613113081065E-3</v>
      </c>
      <c r="W184" s="7">
        <v>16.262</v>
      </c>
      <c r="X184" s="8">
        <f>IF(Tabela1[[#This Row],[Core PCE]]="",#N/A,((Tabela1[[#This Row],[Core PCE]]*1)/W183)-1)</f>
        <v>1.6630736064060514E-3</v>
      </c>
      <c r="Y184" s="8">
        <f>IF(Tabela1[[#This Row],[Core PCE]]="",#N/A,((Tabela1[[#This Row],[Core PCE]]*1)/W172)-1)</f>
        <v>1.3334995014955275E-2</v>
      </c>
      <c r="Z184" s="8">
        <f t="shared" si="5"/>
        <v>1.4795386993936788E-2</v>
      </c>
      <c r="AA184" s="8">
        <f t="shared" si="3"/>
        <v>1.2345505342362451E-2</v>
      </c>
      <c r="AB184" s="7"/>
      <c r="AC184" s="7"/>
      <c r="AD184" s="8"/>
      <c r="AE184" s="71"/>
      <c r="AF184" s="7"/>
      <c r="AG184" s="5"/>
    </row>
    <row r="185" spans="1:33" ht="12.75">
      <c r="A185" s="6">
        <v>22706</v>
      </c>
      <c r="B185" s="7">
        <v>30.17</v>
      </c>
      <c r="C185" s="8">
        <f>IF(Tabela1[[#This Row],[Consumer Price Index (CPI)]]="",#N/A,((Tabela1[[#This Row],[Consumer Price Index (CPI)]]*1)/B184)-1)</f>
        <v>1.9926934573231136E-3</v>
      </c>
      <c r="D185" s="8">
        <f>IF(Tabela1[[#This Row],[Consumer Price Index (CPI)]]="",#N/A,((Tabela1[[#This Row],[Consumer Price Index (CPI)]]*1)/B173)-1)</f>
        <v>1.1058981233244003E-2</v>
      </c>
      <c r="E185" s="25">
        <v>31.3</v>
      </c>
      <c r="F185" s="8">
        <f>IF(Tabela1[[#This Row],[Core Consumer Price Index]]="",#N/A,((Tabela1[[#This Row],[Core Consumer Price Index]]*1)/E184)-1)</f>
        <v>3.2051282051281937E-3</v>
      </c>
      <c r="G185" s="8">
        <f>IF(Tabela1[[#This Row],[Core Consumer Price Index]]="",#N/A,((Tabela1[[#This Row],[Core Consumer Price Index]]*1)/E173)-1)</f>
        <v>1.2944983818770295E-2</v>
      </c>
      <c r="H185" s="8">
        <f t="shared" si="0"/>
        <v>1.2820512820512775E-2</v>
      </c>
      <c r="I185" s="8">
        <f t="shared" si="1"/>
        <v>1.2841124577458896E-2</v>
      </c>
      <c r="J185" s="25">
        <v>24.9</v>
      </c>
      <c r="K185" s="8">
        <f>IF(Tabela1[[#This Row],[Services CPI]]="",#N/A,((Tabela1[[#This Row],[Services CPI]]*1)/J184)-1)</f>
        <v>4.0322580645160144E-3</v>
      </c>
      <c r="L185" s="8">
        <f>IF(Tabela1[[#This Row],[Services CPI]]="",#N/A,((Tabela1[[#This Row],[Services CPI]]*1)/J173)-1)</f>
        <v>2.0491803278688492E-2</v>
      </c>
      <c r="M185" s="7"/>
      <c r="N185" s="8"/>
      <c r="O185" s="8"/>
      <c r="P185" s="7">
        <v>38.4</v>
      </c>
      <c r="Q185" s="8">
        <f>IF(Tabela1[[#This Row],[Durable Goods CPI]]="",#N/A,((Tabela1[[#This Row],[Durable Goods CPI]]*1)/P184)-1)</f>
        <v>2.6109660574413773E-3</v>
      </c>
      <c r="R185" s="8">
        <f>IF(Tabela1[[#This Row],[Durable Goods CPI]]="",#N/A,((Tabela1[[#This Row],[Durable Goods CPI]]*1)/P173)-1)</f>
        <v>1.3192612137203241E-2</v>
      </c>
      <c r="S185" s="7"/>
      <c r="T185" s="7">
        <v>15.839</v>
      </c>
      <c r="U185" s="8">
        <f>IF(Tabela1[[#This Row],[Personal Consumption Expenditures (PCE)]]="",#N/A,((Tabela1[[#This Row],[Personal Consumption Expenditures (PCE)]]*1)/T184)-1)</f>
        <v>1.3276014666836478E-3</v>
      </c>
      <c r="V185" s="8">
        <f>IF(Tabela1[[#This Row],[Personal Consumption Expenditures (PCE)]]="",#N/A,((Tabela1[[#This Row],[Personal Consumption Expenditures (PCE)]]*1)/T173)-1)</f>
        <v>1.0784939374601121E-2</v>
      </c>
      <c r="W185" s="7">
        <v>16.3</v>
      </c>
      <c r="X185" s="8">
        <f>IF(Tabela1[[#This Row],[Core PCE]]="",#N/A,((Tabela1[[#This Row],[Core PCE]]*1)/W184)-1)</f>
        <v>2.3367359488377648E-3</v>
      </c>
      <c r="Y185" s="8">
        <f>IF(Tabela1[[#This Row],[Core PCE]]="",#N/A,((Tabela1[[#This Row],[Core PCE]]*1)/W173)-1)</f>
        <v>1.5386532112377838E-2</v>
      </c>
      <c r="Z185" s="8">
        <f t="shared" si="5"/>
        <v>2.068596737736339E-2</v>
      </c>
      <c r="AA185" s="8">
        <f t="shared" si="3"/>
        <v>1.3059071287804258E-2</v>
      </c>
      <c r="AB185" s="7"/>
      <c r="AC185" s="7"/>
      <c r="AD185" s="8"/>
      <c r="AE185" s="71"/>
      <c r="AF185" s="7"/>
      <c r="AG185" s="5"/>
    </row>
    <row r="186" spans="1:33" ht="12.75">
      <c r="A186" s="6">
        <v>22737</v>
      </c>
      <c r="B186" s="7">
        <v>30.21</v>
      </c>
      <c r="C186" s="8">
        <f>IF(Tabela1[[#This Row],[Consumer Price Index (CPI)]]="",#N/A,((Tabela1[[#This Row],[Consumer Price Index (CPI)]]*1)/B185)-1)</f>
        <v>1.3258203513424327E-3</v>
      </c>
      <c r="D186" s="8">
        <f>IF(Tabela1[[#This Row],[Consumer Price Index (CPI)]]="",#N/A,((Tabela1[[#This Row],[Consumer Price Index (CPI)]]*1)/B174)-1)</f>
        <v>1.3418316001341912E-2</v>
      </c>
      <c r="E186" s="25">
        <v>31.3</v>
      </c>
      <c r="F186" s="8">
        <f>IF(Tabela1[[#This Row],[Core Consumer Price Index]]="",#N/A,((Tabela1[[#This Row],[Core Consumer Price Index]]*1)/E185)-1)</f>
        <v>0</v>
      </c>
      <c r="G186" s="8">
        <f>IF(Tabela1[[#This Row],[Core Consumer Price Index]]="",#N/A,((Tabela1[[#This Row],[Core Consumer Price Index]]*1)/E174)-1)</f>
        <v>1.2944983818770295E-2</v>
      </c>
      <c r="H186" s="8">
        <f t="shared" si="0"/>
        <v>1.2820512820512775E-2</v>
      </c>
      <c r="I186" s="8">
        <f t="shared" si="1"/>
        <v>1.2841124577458896E-2</v>
      </c>
      <c r="J186" s="25">
        <v>24.9</v>
      </c>
      <c r="K186" s="8">
        <f>IF(Tabela1[[#This Row],[Services CPI]]="",#N/A,((Tabela1[[#This Row],[Services CPI]]*1)/J185)-1)</f>
        <v>0</v>
      </c>
      <c r="L186" s="8">
        <f>IF(Tabela1[[#This Row],[Services CPI]]="",#N/A,((Tabela1[[#This Row],[Services CPI]]*1)/J174)-1)</f>
        <v>1.6326530612244872E-2</v>
      </c>
      <c r="M186" s="7"/>
      <c r="N186" s="8"/>
      <c r="O186" s="8"/>
      <c r="P186" s="7">
        <v>38.5</v>
      </c>
      <c r="Q186" s="8">
        <f>IF(Tabela1[[#This Row],[Durable Goods CPI]]="",#N/A,((Tabela1[[#This Row],[Durable Goods CPI]]*1)/P185)-1)</f>
        <v>2.6041666666667407E-3</v>
      </c>
      <c r="R186" s="8">
        <f>IF(Tabela1[[#This Row],[Durable Goods CPI]]="",#N/A,((Tabela1[[#This Row],[Durable Goods CPI]]*1)/P174)-1)</f>
        <v>1.5831134564643801E-2</v>
      </c>
      <c r="S186" s="7"/>
      <c r="T186" s="7">
        <v>15.856999999999999</v>
      </c>
      <c r="U186" s="8">
        <f>IF(Tabela1[[#This Row],[Personal Consumption Expenditures (PCE)]]="",#N/A,((Tabela1[[#This Row],[Personal Consumption Expenditures (PCE)]]*1)/T185)-1)</f>
        <v>1.1364353810214833E-3</v>
      </c>
      <c r="V186" s="8">
        <f>IF(Tabela1[[#This Row],[Personal Consumption Expenditures (PCE)]]="",#N/A,((Tabela1[[#This Row],[Personal Consumption Expenditures (PCE)]]*1)/T174)-1)</f>
        <v>1.2515165059702404E-2</v>
      </c>
      <c r="W186" s="7">
        <v>16.303000000000001</v>
      </c>
      <c r="X186" s="8">
        <f>IF(Tabela1[[#This Row],[Core PCE]]="",#N/A,((Tabela1[[#This Row],[Core PCE]]*1)/W185)-1)</f>
        <v>1.8404907975466678E-4</v>
      </c>
      <c r="Y186" s="8">
        <f>IF(Tabela1[[#This Row],[Core PCE]]="",#N/A,((Tabela1[[#This Row],[Core PCE]]*1)/W174)-1)</f>
        <v>1.4183514774494643E-2</v>
      </c>
      <c r="Z186" s="8">
        <f t="shared" si="5"/>
        <v>1.6735434539993932E-2</v>
      </c>
      <c r="AA186" s="8">
        <f t="shared" si="3"/>
        <v>1.2809656788303592E-2</v>
      </c>
      <c r="AB186" s="7"/>
      <c r="AC186" s="7"/>
      <c r="AD186" s="8"/>
      <c r="AE186" s="71"/>
      <c r="AF186" s="7"/>
      <c r="AG186" s="5"/>
    </row>
    <row r="187" spans="1:33" ht="12.75">
      <c r="A187" s="6">
        <v>22767</v>
      </c>
      <c r="B187" s="7">
        <v>30.24</v>
      </c>
      <c r="C187" s="8">
        <f>IF(Tabela1[[#This Row],[Consumer Price Index (CPI)]]="",#N/A,((Tabela1[[#This Row],[Consumer Price Index (CPI)]]*1)/B186)-1)</f>
        <v>9.930486593843213E-4</v>
      </c>
      <c r="D187" s="8">
        <f>IF(Tabela1[[#This Row],[Consumer Price Index (CPI)]]="",#N/A,((Tabela1[[#This Row],[Consumer Price Index (CPI)]]*1)/B175)-1)</f>
        <v>1.3404825737265424E-2</v>
      </c>
      <c r="E187" s="25">
        <v>31.4</v>
      </c>
      <c r="F187" s="8">
        <f>IF(Tabela1[[#This Row],[Core Consumer Price Index]]="",#N/A,((Tabela1[[#This Row],[Core Consumer Price Index]]*1)/E186)-1)</f>
        <v>3.1948881789136685E-3</v>
      </c>
      <c r="G187" s="8">
        <f>IF(Tabela1[[#This Row],[Core Consumer Price Index]]="",#N/A,((Tabela1[[#This Row],[Core Consumer Price Index]]*1)/E175)-1)</f>
        <v>1.6181229773462702E-2</v>
      </c>
      <c r="H187" s="8">
        <f t="shared" si="0"/>
        <v>2.5600065536167449E-2</v>
      </c>
      <c r="I187" s="8">
        <f t="shared" si="1"/>
        <v>1.2800032768083724E-2</v>
      </c>
      <c r="J187" s="25">
        <v>25</v>
      </c>
      <c r="K187" s="8">
        <f>IF(Tabela1[[#This Row],[Services CPI]]="",#N/A,((Tabela1[[#This Row],[Services CPI]]*1)/J186)-1)</f>
        <v>4.0160642570281624E-3</v>
      </c>
      <c r="L187" s="8">
        <f>IF(Tabela1[[#This Row],[Services CPI]]="",#N/A,((Tabela1[[#This Row],[Services CPI]]*1)/J175)-1)</f>
        <v>2.0408163265306145E-2</v>
      </c>
      <c r="M187" s="7"/>
      <c r="N187" s="8"/>
      <c r="O187" s="8"/>
      <c r="P187" s="7">
        <v>38.6</v>
      </c>
      <c r="Q187" s="8">
        <f>IF(Tabela1[[#This Row],[Durable Goods CPI]]="",#N/A,((Tabela1[[#This Row],[Durable Goods CPI]]*1)/P186)-1)</f>
        <v>2.5974025974027093E-3</v>
      </c>
      <c r="R187" s="8">
        <f>IF(Tabela1[[#This Row],[Durable Goods CPI]]="",#N/A,((Tabela1[[#This Row],[Durable Goods CPI]]*1)/P175)-1)</f>
        <v>1.5789473684210575E-2</v>
      </c>
      <c r="S187" s="7"/>
      <c r="T187" s="7">
        <v>15.867000000000001</v>
      </c>
      <c r="U187" s="8">
        <f>IF(Tabela1[[#This Row],[Personal Consumption Expenditures (PCE)]]="",#N/A,((Tabela1[[#This Row],[Personal Consumption Expenditures (PCE)]]*1)/T186)-1)</f>
        <v>6.3063631203896797E-4</v>
      </c>
      <c r="V187" s="8">
        <f>IF(Tabela1[[#This Row],[Personal Consumption Expenditures (PCE)]]="",#N/A,((Tabela1[[#This Row],[Personal Consumption Expenditures (PCE)]]*1)/T175)-1)</f>
        <v>1.2571793235481854E-2</v>
      </c>
      <c r="W187" s="7">
        <v>16.326000000000001</v>
      </c>
      <c r="X187" s="8">
        <f>IF(Tabela1[[#This Row],[Core PCE]]="",#N/A,((Tabela1[[#This Row],[Core PCE]]*1)/W186)-1)</f>
        <v>1.410783291418749E-3</v>
      </c>
      <c r="Y187" s="8">
        <f>IF(Tabela1[[#This Row],[Core PCE]]="",#N/A,((Tabela1[[#This Row],[Core PCE]]*1)/W175)-1)</f>
        <v>1.4289264413518854E-2</v>
      </c>
      <c r="Z187" s="8">
        <f t="shared" si="5"/>
        <v>1.5726273280044722E-2</v>
      </c>
      <c r="AA187" s="8">
        <f t="shared" si="3"/>
        <v>1.5260830136990755E-2</v>
      </c>
      <c r="AB187" s="7"/>
      <c r="AC187" s="7"/>
      <c r="AD187" s="8"/>
      <c r="AE187" s="71"/>
      <c r="AF187" s="7"/>
      <c r="AG187" s="5"/>
    </row>
    <row r="188" spans="1:33" ht="12.75">
      <c r="A188" s="6">
        <v>22798</v>
      </c>
      <c r="B188" s="7">
        <v>30.21</v>
      </c>
      <c r="C188" s="8">
        <f>IF(Tabela1[[#This Row],[Consumer Price Index (CPI)]]="",#N/A,((Tabela1[[#This Row],[Consumer Price Index (CPI)]]*1)/B187)-1)</f>
        <v>-9.9206349206337752E-4</v>
      </c>
      <c r="D188" s="8">
        <f>IF(Tabela1[[#This Row],[Consumer Price Index (CPI)]]="",#N/A,((Tabela1[[#This Row],[Consumer Price Index (CPI)]]*1)/B176)-1)</f>
        <v>1.2399463806970434E-2</v>
      </c>
      <c r="E188" s="25">
        <v>31.4</v>
      </c>
      <c r="F188" s="8">
        <f>IF(Tabela1[[#This Row],[Core Consumer Price Index]]="",#N/A,((Tabela1[[#This Row],[Core Consumer Price Index]]*1)/E187)-1)</f>
        <v>0</v>
      </c>
      <c r="G188" s="8">
        <f>IF(Tabela1[[#This Row],[Core Consumer Price Index]]="",#N/A,((Tabela1[[#This Row],[Core Consumer Price Index]]*1)/E176)-1)</f>
        <v>1.2903225806451646E-2</v>
      </c>
      <c r="H188" s="8">
        <f t="shared" si="0"/>
        <v>1.2779552715654674E-2</v>
      </c>
      <c r="I188" s="8">
        <f t="shared" si="1"/>
        <v>1.2800032768083724E-2</v>
      </c>
      <c r="J188" s="25">
        <v>25</v>
      </c>
      <c r="K188" s="8">
        <f>IF(Tabela1[[#This Row],[Services CPI]]="",#N/A,((Tabela1[[#This Row],[Services CPI]]*1)/J187)-1)</f>
        <v>0</v>
      </c>
      <c r="L188" s="8">
        <f>IF(Tabela1[[#This Row],[Services CPI]]="",#N/A,((Tabela1[[#This Row],[Services CPI]]*1)/J176)-1)</f>
        <v>2.0408163265306145E-2</v>
      </c>
      <c r="M188" s="7"/>
      <c r="N188" s="8"/>
      <c r="O188" s="8"/>
      <c r="P188" s="7">
        <v>38.6</v>
      </c>
      <c r="Q188" s="8">
        <f>IF(Tabela1[[#This Row],[Durable Goods CPI]]="",#N/A,((Tabela1[[#This Row],[Durable Goods CPI]]*1)/P187)-1)</f>
        <v>0</v>
      </c>
      <c r="R188" s="8">
        <f>IF(Tabela1[[#This Row],[Durable Goods CPI]]="",#N/A,((Tabela1[[#This Row],[Durable Goods CPI]]*1)/P176)-1)</f>
        <v>1.3123359580052396E-2</v>
      </c>
      <c r="S188" s="7"/>
      <c r="T188" s="7">
        <v>15.877000000000001</v>
      </c>
      <c r="U188" s="8">
        <f>IF(Tabela1[[#This Row],[Personal Consumption Expenditures (PCE)]]="",#N/A,((Tabela1[[#This Row],[Personal Consumption Expenditures (PCE)]]*1)/T187)-1)</f>
        <v>6.3023886052815392E-4</v>
      </c>
      <c r="V188" s="8">
        <f>IF(Tabela1[[#This Row],[Personal Consumption Expenditures (PCE)]]="",#N/A,((Tabela1[[#This Row],[Personal Consumption Expenditures (PCE)]]*1)/T176)-1)</f>
        <v>1.2757542897237961E-2</v>
      </c>
      <c r="W188" s="7">
        <v>16.356000000000002</v>
      </c>
      <c r="X188" s="8">
        <f>IF(Tabela1[[#This Row],[Core PCE]]="",#N/A,((Tabela1[[#This Row],[Core PCE]]*1)/W187)-1)</f>
        <v>1.8375597206909955E-3</v>
      </c>
      <c r="Y188" s="8">
        <f>IF(Tabela1[[#This Row],[Core PCE]]="",#N/A,((Tabela1[[#This Row],[Core PCE]]*1)/W176)-1)</f>
        <v>1.464019851116638E-2</v>
      </c>
      <c r="Z188" s="8">
        <f t="shared" si="5"/>
        <v>1.3729568367457645E-2</v>
      </c>
      <c r="AA188" s="8">
        <f t="shared" si="3"/>
        <v>1.7207767872410518E-2</v>
      </c>
      <c r="AB188" s="7"/>
      <c r="AC188" s="7"/>
      <c r="AD188" s="8"/>
      <c r="AE188" s="71"/>
      <c r="AF188" s="7"/>
      <c r="AG188" s="5"/>
    </row>
    <row r="189" spans="1:33" ht="12.75">
      <c r="A189" s="6">
        <v>22828</v>
      </c>
      <c r="B189" s="7">
        <v>30.22</v>
      </c>
      <c r="C189" s="8">
        <f>IF(Tabela1[[#This Row],[Consumer Price Index (CPI)]]="",#N/A,((Tabela1[[#This Row],[Consumer Price Index (CPI)]]*1)/B188)-1)</f>
        <v>3.3101621979469975E-4</v>
      </c>
      <c r="D189" s="8">
        <f>IF(Tabela1[[#This Row],[Consumer Price Index (CPI)]]="",#N/A,((Tabela1[[#This Row],[Consumer Price Index (CPI)]]*1)/B177)-1)</f>
        <v>1.0026737967914423E-2</v>
      </c>
      <c r="E189" s="25">
        <v>31.4</v>
      </c>
      <c r="F189" s="8">
        <f>IF(Tabela1[[#This Row],[Core Consumer Price Index]]="",#N/A,((Tabela1[[#This Row],[Core Consumer Price Index]]*1)/E188)-1)</f>
        <v>0</v>
      </c>
      <c r="G189" s="8">
        <f>IF(Tabela1[[#This Row],[Core Consumer Price Index]]="",#N/A,((Tabela1[[#This Row],[Core Consumer Price Index]]*1)/E177)-1)</f>
        <v>1.2903225806451646E-2</v>
      </c>
      <c r="H189" s="8">
        <f t="shared" si="0"/>
        <v>1.2779552715654674E-2</v>
      </c>
      <c r="I189" s="8">
        <f t="shared" si="1"/>
        <v>1.2800032768083724E-2</v>
      </c>
      <c r="J189" s="25">
        <v>25.1</v>
      </c>
      <c r="K189" s="8">
        <f>IF(Tabela1[[#This Row],[Services CPI]]="",#N/A,((Tabela1[[#This Row],[Services CPI]]*1)/J188)-1)</f>
        <v>4.0000000000000036E-3</v>
      </c>
      <c r="L189" s="8">
        <f>IF(Tabela1[[#This Row],[Services CPI]]="",#N/A,((Tabela1[[#This Row],[Services CPI]]*1)/J177)-1)</f>
        <v>2.4489795918367419E-2</v>
      </c>
      <c r="M189" s="7"/>
      <c r="N189" s="8"/>
      <c r="O189" s="8"/>
      <c r="P189" s="7">
        <v>38.6</v>
      </c>
      <c r="Q189" s="8">
        <f>IF(Tabela1[[#This Row],[Durable Goods CPI]]="",#N/A,((Tabela1[[#This Row],[Durable Goods CPI]]*1)/P188)-1)</f>
        <v>0</v>
      </c>
      <c r="R189" s="8">
        <f>IF(Tabela1[[#This Row],[Durable Goods CPI]]="",#N/A,((Tabela1[[#This Row],[Durable Goods CPI]]*1)/P177)-1)</f>
        <v>1.0471204188481575E-2</v>
      </c>
      <c r="S189" s="7"/>
      <c r="T189" s="7">
        <v>15.868</v>
      </c>
      <c r="U189" s="8">
        <f>IF(Tabela1[[#This Row],[Personal Consumption Expenditures (PCE)]]="",#N/A,((Tabela1[[#This Row],[Personal Consumption Expenditures (PCE)]]*1)/T188)-1)</f>
        <v>-5.6685771871267665E-4</v>
      </c>
      <c r="V189" s="8">
        <f>IF(Tabela1[[#This Row],[Personal Consumption Expenditures (PCE)]]="",#N/A,((Tabela1[[#This Row],[Personal Consumption Expenditures (PCE)]]*1)/T177)-1)</f>
        <v>9.9929985360576179E-3</v>
      </c>
      <c r="W189" s="7">
        <v>16.37</v>
      </c>
      <c r="X189" s="8">
        <f>IF(Tabela1[[#This Row],[Core PCE]]="",#N/A,((Tabela1[[#This Row],[Core PCE]]*1)/W188)-1)</f>
        <v>8.5595500122281898E-4</v>
      </c>
      <c r="Y189" s="8">
        <f>IF(Tabela1[[#This Row],[Core PCE]]="",#N/A,((Tabela1[[#This Row],[Core PCE]]*1)/W177)-1)</f>
        <v>1.3936203158872784E-2</v>
      </c>
      <c r="Z189" s="8">
        <f t="shared" si="5"/>
        <v>1.6417192053330254E-2</v>
      </c>
      <c r="AA189" s="8">
        <f t="shared" si="3"/>
        <v>1.6576313296662093E-2</v>
      </c>
      <c r="AB189" s="7"/>
      <c r="AC189" s="7"/>
      <c r="AD189" s="8"/>
      <c r="AE189" s="71"/>
      <c r="AF189" s="7"/>
      <c r="AG189" s="5"/>
    </row>
    <row r="190" spans="1:33" ht="12.75">
      <c r="A190" s="6">
        <v>22859</v>
      </c>
      <c r="B190" s="7">
        <v>30.28</v>
      </c>
      <c r="C190" s="8">
        <f>IF(Tabela1[[#This Row],[Consumer Price Index (CPI)]]="",#N/A,((Tabela1[[#This Row],[Consumer Price Index (CPI)]]*1)/B189)-1)</f>
        <v>1.9854401058903015E-3</v>
      </c>
      <c r="D190" s="8">
        <f>IF(Tabela1[[#This Row],[Consumer Price Index (CPI)]]="",#N/A,((Tabela1[[#This Row],[Consumer Price Index (CPI)]]*1)/B178)-1)</f>
        <v>1.1356045424181671E-2</v>
      </c>
      <c r="E190" s="25">
        <v>31.5</v>
      </c>
      <c r="F190" s="8">
        <f>IF(Tabela1[[#This Row],[Core Consumer Price Index]]="",#N/A,((Tabela1[[#This Row],[Core Consumer Price Index]]*1)/E189)-1)</f>
        <v>3.1847133757962887E-3</v>
      </c>
      <c r="G190" s="8">
        <f>IF(Tabela1[[#This Row],[Core Consumer Price Index]]="",#N/A,((Tabela1[[#This Row],[Core Consumer Price Index]]*1)/E178)-1)</f>
        <v>1.2861736334405016E-2</v>
      </c>
      <c r="H190" s="8">
        <f t="shared" ref="H190:H253" si="6">SUM(F188:F190)*4</f>
        <v>1.2738853503185155E-2</v>
      </c>
      <c r="I190" s="8">
        <f t="shared" si="1"/>
        <v>1.9169459519676302E-2</v>
      </c>
      <c r="J190" s="25">
        <v>25.1</v>
      </c>
      <c r="K190" s="8">
        <f>IF(Tabela1[[#This Row],[Services CPI]]="",#N/A,((Tabela1[[#This Row],[Services CPI]]*1)/J189)-1)</f>
        <v>0</v>
      </c>
      <c r="L190" s="8">
        <f>IF(Tabela1[[#This Row],[Services CPI]]="",#N/A,((Tabela1[[#This Row],[Services CPI]]*1)/J178)-1)</f>
        <v>2.0325203252032464E-2</v>
      </c>
      <c r="M190" s="7"/>
      <c r="N190" s="8"/>
      <c r="O190" s="8"/>
      <c r="P190" s="7">
        <v>38.700000000000003</v>
      </c>
      <c r="Q190" s="8">
        <f>IF(Tabela1[[#This Row],[Durable Goods CPI]]="",#N/A,((Tabela1[[#This Row],[Durable Goods CPI]]*1)/P189)-1)</f>
        <v>2.5906735751295429E-3</v>
      </c>
      <c r="R190" s="8">
        <f>IF(Tabela1[[#This Row],[Durable Goods CPI]]="",#N/A,((Tabela1[[#This Row],[Durable Goods CPI]]*1)/P178)-1)</f>
        <v>1.0443864229765065E-2</v>
      </c>
      <c r="S190" s="7"/>
      <c r="T190" s="7">
        <v>15.891</v>
      </c>
      <c r="U190" s="8">
        <f>IF(Tabela1[[#This Row],[Personal Consumption Expenditures (PCE)]]="",#N/A,((Tabela1[[#This Row],[Personal Consumption Expenditures (PCE)]]*1)/T189)-1)</f>
        <v>1.4494580287369718E-3</v>
      </c>
      <c r="V190" s="8">
        <f>IF(Tabela1[[#This Row],[Personal Consumption Expenditures (PCE)]]="",#N/A,((Tabela1[[#This Row],[Personal Consumption Expenditures (PCE)]]*1)/T178)-1)</f>
        <v>1.0620707199185953E-2</v>
      </c>
      <c r="W190" s="7">
        <v>16.372</v>
      </c>
      <c r="X190" s="8">
        <f>IF(Tabela1[[#This Row],[Core PCE]]="",#N/A,((Tabela1[[#This Row],[Core PCE]]*1)/W189)-1)</f>
        <v>1.2217470983499901E-4</v>
      </c>
      <c r="Y190" s="8">
        <f>IF(Tabela1[[#This Row],[Core PCE]]="",#N/A,((Tabela1[[#This Row],[Core PCE]]*1)/W178)-1)</f>
        <v>1.2993441405766637E-2</v>
      </c>
      <c r="Z190" s="8">
        <f t="shared" si="5"/>
        <v>1.1262757726995254E-2</v>
      </c>
      <c r="AA190" s="8">
        <f t="shared" si="3"/>
        <v>1.3494515503519988E-2</v>
      </c>
      <c r="AB190" s="7"/>
      <c r="AC190" s="7"/>
      <c r="AD190" s="8"/>
      <c r="AE190" s="71"/>
      <c r="AF190" s="7"/>
      <c r="AG190" s="5"/>
    </row>
    <row r="191" spans="1:33" ht="12.75">
      <c r="A191" s="6">
        <v>22890</v>
      </c>
      <c r="B191" s="7">
        <v>30.42</v>
      </c>
      <c r="C191" s="8">
        <f>IF(Tabela1[[#This Row],[Consumer Price Index (CPI)]]="",#N/A,((Tabela1[[#This Row],[Consumer Price Index (CPI)]]*1)/B190)-1)</f>
        <v>4.6235138705417178E-3</v>
      </c>
      <c r="D191" s="8">
        <f>IF(Tabela1[[#This Row],[Consumer Price Index (CPI)]]="",#N/A,((Tabela1[[#This Row],[Consumer Price Index (CPI)]]*1)/B179)-1)</f>
        <v>1.4676450967311627E-2</v>
      </c>
      <c r="E191" s="25">
        <v>31.5</v>
      </c>
      <c r="F191" s="8">
        <f>IF(Tabela1[[#This Row],[Core Consumer Price Index]]="",#N/A,((Tabela1[[#This Row],[Core Consumer Price Index]]*1)/E190)-1)</f>
        <v>0</v>
      </c>
      <c r="G191" s="8">
        <f>IF(Tabela1[[#This Row],[Core Consumer Price Index]]="",#N/A,((Tabela1[[#This Row],[Core Consumer Price Index]]*1)/E179)-1)</f>
        <v>1.2861736334405016E-2</v>
      </c>
      <c r="H191" s="8">
        <f t="shared" si="6"/>
        <v>1.2738853503185155E-2</v>
      </c>
      <c r="I191" s="8">
        <f t="shared" si="1"/>
        <v>1.2759203109419914E-2</v>
      </c>
      <c r="J191" s="25">
        <v>25.1</v>
      </c>
      <c r="K191" s="8">
        <f>IF(Tabela1[[#This Row],[Services CPI]]="",#N/A,((Tabela1[[#This Row],[Services CPI]]*1)/J190)-1)</f>
        <v>0</v>
      </c>
      <c r="L191" s="8">
        <f>IF(Tabela1[[#This Row],[Services CPI]]="",#N/A,((Tabela1[[#This Row],[Services CPI]]*1)/J179)-1)</f>
        <v>2.0325203252032464E-2</v>
      </c>
      <c r="M191" s="7"/>
      <c r="N191" s="8"/>
      <c r="O191" s="8"/>
      <c r="P191" s="7">
        <v>38.700000000000003</v>
      </c>
      <c r="Q191" s="8">
        <f>IF(Tabela1[[#This Row],[Durable Goods CPI]]="",#N/A,((Tabela1[[#This Row],[Durable Goods CPI]]*1)/P190)-1)</f>
        <v>0</v>
      </c>
      <c r="R191" s="8">
        <f>IF(Tabela1[[#This Row],[Durable Goods CPI]]="",#N/A,((Tabela1[[#This Row],[Durable Goods CPI]]*1)/P179)-1)</f>
        <v>1.0443864229765065E-2</v>
      </c>
      <c r="S191" s="7"/>
      <c r="T191" s="7">
        <v>15.968999999999999</v>
      </c>
      <c r="U191" s="8">
        <f>IF(Tabela1[[#This Row],[Personal Consumption Expenditures (PCE)]]="",#N/A,((Tabela1[[#This Row],[Personal Consumption Expenditures (PCE)]]*1)/T190)-1)</f>
        <v>4.9084387389086714E-3</v>
      </c>
      <c r="V191" s="8">
        <f>IF(Tabela1[[#This Row],[Personal Consumption Expenditures (PCE)]]="",#N/A,((Tabela1[[#This Row],[Personal Consumption Expenditures (PCE)]]*1)/T179)-1)</f>
        <v>1.4420022868758542E-2</v>
      </c>
      <c r="W191" s="7">
        <v>16.404</v>
      </c>
      <c r="X191" s="8">
        <f>IF(Tabela1[[#This Row],[Core PCE]]="",#N/A,((Tabela1[[#This Row],[Core PCE]]*1)/W190)-1)</f>
        <v>1.9545565599805581E-3</v>
      </c>
      <c r="Y191" s="8">
        <f>IF(Tabela1[[#This Row],[Core PCE]]="",#N/A,((Tabela1[[#This Row],[Core PCE]]*1)/W179)-1)</f>
        <v>1.2967765839199785E-2</v>
      </c>
      <c r="Z191" s="8">
        <f t="shared" si="5"/>
        <v>1.1730745084153504E-2</v>
      </c>
      <c r="AA191" s="8">
        <f t="shared" si="3"/>
        <v>1.2730156725805575E-2</v>
      </c>
      <c r="AB191" s="7"/>
      <c r="AC191" s="7"/>
      <c r="AD191" s="8"/>
      <c r="AE191" s="71"/>
      <c r="AF191" s="7"/>
      <c r="AG191" s="5"/>
    </row>
    <row r="192" spans="1:33" ht="12.75">
      <c r="A192" s="6">
        <v>22920</v>
      </c>
      <c r="B192" s="7">
        <v>30.38</v>
      </c>
      <c r="C192" s="8">
        <f>IF(Tabela1[[#This Row],[Consumer Price Index (CPI)]]="",#N/A,((Tabela1[[#This Row],[Consumer Price Index (CPI)]]*1)/B191)-1)</f>
        <v>-1.3149243918475495E-3</v>
      </c>
      <c r="D192" s="8">
        <f>IF(Tabela1[[#This Row],[Consumer Price Index (CPI)]]="",#N/A,((Tabela1[[#This Row],[Consumer Price Index (CPI)]]*1)/B180)-1)</f>
        <v>1.3342228152101399E-2</v>
      </c>
      <c r="E192" s="25">
        <v>31.5</v>
      </c>
      <c r="F192" s="8">
        <f>IF(Tabela1[[#This Row],[Core Consumer Price Index]]="",#N/A,((Tabela1[[#This Row],[Core Consumer Price Index]]*1)/E191)-1)</f>
        <v>0</v>
      </c>
      <c r="G192" s="8">
        <f>IF(Tabela1[[#This Row],[Core Consumer Price Index]]="",#N/A,((Tabela1[[#This Row],[Core Consumer Price Index]]*1)/E180)-1)</f>
        <v>1.2861736334405016E-2</v>
      </c>
      <c r="H192" s="8">
        <f t="shared" si="6"/>
        <v>1.2738853503185155E-2</v>
      </c>
      <c r="I192" s="8">
        <f t="shared" si="1"/>
        <v>1.2759203109419914E-2</v>
      </c>
      <c r="J192" s="25">
        <v>25.1</v>
      </c>
      <c r="K192" s="8">
        <f>IF(Tabela1[[#This Row],[Services CPI]]="",#N/A,((Tabela1[[#This Row],[Services CPI]]*1)/J191)-1)</f>
        <v>0</v>
      </c>
      <c r="L192" s="8">
        <f>IF(Tabela1[[#This Row],[Services CPI]]="",#N/A,((Tabela1[[#This Row],[Services CPI]]*1)/J180)-1)</f>
        <v>1.6194331983805821E-2</v>
      </c>
      <c r="M192" s="7"/>
      <c r="N192" s="8"/>
      <c r="O192" s="8"/>
      <c r="P192" s="7">
        <v>38.6</v>
      </c>
      <c r="Q192" s="8">
        <f>IF(Tabela1[[#This Row],[Durable Goods CPI]]="",#N/A,((Tabela1[[#This Row],[Durable Goods CPI]]*1)/P191)-1)</f>
        <v>-2.5839793281654533E-3</v>
      </c>
      <c r="R192" s="8">
        <f>IF(Tabela1[[#This Row],[Durable Goods CPI]]="",#N/A,((Tabela1[[#This Row],[Durable Goods CPI]]*1)/P180)-1)</f>
        <v>7.8328981723239099E-3</v>
      </c>
      <c r="S192" s="7"/>
      <c r="T192" s="7">
        <v>15.952999999999999</v>
      </c>
      <c r="U192" s="8">
        <f>IF(Tabela1[[#This Row],[Personal Consumption Expenditures (PCE)]]="",#N/A,((Tabela1[[#This Row],[Personal Consumption Expenditures (PCE)]]*1)/T191)-1)</f>
        <v>-1.001941261193573E-3</v>
      </c>
      <c r="V192" s="8">
        <f>IF(Tabela1[[#This Row],[Personal Consumption Expenditures (PCE)]]="",#N/A,((Tabela1[[#This Row],[Personal Consumption Expenditures (PCE)]]*1)/T180)-1)</f>
        <v>1.3468013468013407E-2</v>
      </c>
      <c r="W192" s="7">
        <v>16.402999999999999</v>
      </c>
      <c r="X192" s="8">
        <f>IF(Tabela1[[#This Row],[Core PCE]]="",#N/A,((Tabela1[[#This Row],[Core PCE]]*1)/W191)-1)</f>
        <v>-6.0960741282700681E-5</v>
      </c>
      <c r="Y192" s="8">
        <f>IF(Tabela1[[#This Row],[Core PCE]]="",#N/A,((Tabela1[[#This Row],[Core PCE]]*1)/W180)-1)</f>
        <v>1.2593369961108491E-2</v>
      </c>
      <c r="Z192" s="8">
        <f t="shared" si="5"/>
        <v>8.0630821141314257E-3</v>
      </c>
      <c r="AA192" s="8">
        <f t="shared" si="3"/>
        <v>1.224013708373084E-2</v>
      </c>
      <c r="AB192" s="7"/>
      <c r="AC192" s="7"/>
      <c r="AD192" s="8"/>
      <c r="AE192" s="71"/>
      <c r="AF192" s="7"/>
      <c r="AG192" s="5"/>
    </row>
    <row r="193" spans="1:33" ht="12.75">
      <c r="A193" s="6">
        <v>22951</v>
      </c>
      <c r="B193" s="7">
        <v>30.38</v>
      </c>
      <c r="C193" s="8">
        <f>IF(Tabela1[[#This Row],[Consumer Price Index (CPI)]]="",#N/A,((Tabela1[[#This Row],[Consumer Price Index (CPI)]]*1)/B192)-1)</f>
        <v>0</v>
      </c>
      <c r="D193" s="8">
        <f>IF(Tabela1[[#This Row],[Consumer Price Index (CPI)]]="",#N/A,((Tabela1[[#This Row],[Consumer Price Index (CPI)]]*1)/B181)-1)</f>
        <v>1.3342228152101399E-2</v>
      </c>
      <c r="E193" s="25">
        <v>31.5</v>
      </c>
      <c r="F193" s="8">
        <f>IF(Tabela1[[#This Row],[Core Consumer Price Index]]="",#N/A,((Tabela1[[#This Row],[Core Consumer Price Index]]*1)/E192)-1)</f>
        <v>0</v>
      </c>
      <c r="G193" s="8">
        <f>IF(Tabela1[[#This Row],[Core Consumer Price Index]]="",#N/A,((Tabela1[[#This Row],[Core Consumer Price Index]]*1)/E181)-1)</f>
        <v>9.6153846153845812E-3</v>
      </c>
      <c r="H193" s="8">
        <f t="shared" si="6"/>
        <v>0</v>
      </c>
      <c r="I193" s="8">
        <f t="shared" ref="I193:I256" si="7">SUM(F188:F193)*2</f>
        <v>6.3694267515925773E-3</v>
      </c>
      <c r="J193" s="25">
        <v>25.2</v>
      </c>
      <c r="K193" s="8">
        <f>IF(Tabela1[[#This Row],[Services CPI]]="",#N/A,((Tabela1[[#This Row],[Services CPI]]*1)/J192)-1)</f>
        <v>3.9840637450199168E-3</v>
      </c>
      <c r="L193" s="8">
        <f>IF(Tabela1[[#This Row],[Services CPI]]="",#N/A,((Tabela1[[#This Row],[Services CPI]]*1)/J181)-1)</f>
        <v>2.0242914979757165E-2</v>
      </c>
      <c r="M193" s="7"/>
      <c r="N193" s="8"/>
      <c r="O193" s="8"/>
      <c r="P193" s="7">
        <v>38.6</v>
      </c>
      <c r="Q193" s="8">
        <f>IF(Tabela1[[#This Row],[Durable Goods CPI]]="",#N/A,((Tabela1[[#This Row],[Durable Goods CPI]]*1)/P192)-1)</f>
        <v>0</v>
      </c>
      <c r="R193" s="8">
        <f>IF(Tabela1[[#This Row],[Durable Goods CPI]]="",#N/A,((Tabela1[[#This Row],[Durable Goods CPI]]*1)/P181)-1)</f>
        <v>7.8328981723239099E-3</v>
      </c>
      <c r="S193" s="7"/>
      <c r="T193" s="7">
        <v>15.964</v>
      </c>
      <c r="U193" s="8">
        <f>IF(Tabela1[[#This Row],[Personal Consumption Expenditures (PCE)]]="",#N/A,((Tabela1[[#This Row],[Personal Consumption Expenditures (PCE)]]*1)/T192)-1)</f>
        <v>6.8952548110079448E-4</v>
      </c>
      <c r="V193" s="8">
        <f>IF(Tabela1[[#This Row],[Personal Consumption Expenditures (PCE)]]="",#N/A,((Tabela1[[#This Row],[Personal Consumption Expenditures (PCE)]]*1)/T181)-1)</f>
        <v>1.4102401219667104E-2</v>
      </c>
      <c r="W193" s="7">
        <v>16.414999999999999</v>
      </c>
      <c r="X193" s="8">
        <f>IF(Tabela1[[#This Row],[Core PCE]]="",#N/A,((Tabela1[[#This Row],[Core PCE]]*1)/W192)-1)</f>
        <v>7.3157349265384752E-4</v>
      </c>
      <c r="Y193" s="8">
        <f>IF(Tabela1[[#This Row],[Core PCE]]="",#N/A,((Tabela1[[#This Row],[Core PCE]]*1)/W181)-1)</f>
        <v>1.3146525120355301E-2</v>
      </c>
      <c r="Z193" s="8">
        <f t="shared" si="5"/>
        <v>1.050067724540682E-2</v>
      </c>
      <c r="AA193" s="8">
        <f t="shared" si="3"/>
        <v>1.0881717486201037E-2</v>
      </c>
      <c r="AB193" s="7"/>
      <c r="AC193" s="7"/>
      <c r="AD193" s="8"/>
      <c r="AE193" s="71"/>
      <c r="AF193" s="7"/>
      <c r="AG193" s="5"/>
    </row>
    <row r="194" spans="1:33" ht="12.75">
      <c r="A194" s="6">
        <v>22981</v>
      </c>
      <c r="B194" s="7">
        <v>30.38</v>
      </c>
      <c r="C194" s="8">
        <f>IF(Tabela1[[#This Row],[Consumer Price Index (CPI)]]="",#N/A,((Tabela1[[#This Row],[Consumer Price Index (CPI)]]*1)/B193)-1)</f>
        <v>0</v>
      </c>
      <c r="D194" s="8">
        <f>IF(Tabela1[[#This Row],[Consumer Price Index (CPI)]]="",#N/A,((Tabela1[[#This Row],[Consumer Price Index (CPI)]]*1)/B182)-1)</f>
        <v>1.2329223592135952E-2</v>
      </c>
      <c r="E194" s="25">
        <v>31.6</v>
      </c>
      <c r="F194" s="8">
        <f>IF(Tabela1[[#This Row],[Core Consumer Price Index]]="",#N/A,((Tabela1[[#This Row],[Core Consumer Price Index]]*1)/E193)-1)</f>
        <v>3.1746031746031633E-3</v>
      </c>
      <c r="G194" s="8">
        <f>IF(Tabela1[[#This Row],[Core Consumer Price Index]]="",#N/A,((Tabela1[[#This Row],[Core Consumer Price Index]]*1)/E182)-1)</f>
        <v>1.2820512820512997E-2</v>
      </c>
      <c r="H194" s="8">
        <f t="shared" si="6"/>
        <v>1.2698412698412653E-2</v>
      </c>
      <c r="I194" s="8">
        <f t="shared" si="7"/>
        <v>1.2718633100798904E-2</v>
      </c>
      <c r="J194" s="25">
        <v>25.2</v>
      </c>
      <c r="K194" s="8">
        <f>IF(Tabela1[[#This Row],[Services CPI]]="",#N/A,((Tabela1[[#This Row],[Services CPI]]*1)/J193)-1)</f>
        <v>0</v>
      </c>
      <c r="L194" s="8">
        <f>IF(Tabela1[[#This Row],[Services CPI]]="",#N/A,((Tabela1[[#This Row],[Services CPI]]*1)/J182)-1)</f>
        <v>1.6129032258064502E-2</v>
      </c>
      <c r="M194" s="7"/>
      <c r="N194" s="8"/>
      <c r="O194" s="8"/>
      <c r="P194" s="7">
        <v>38.5</v>
      </c>
      <c r="Q194" s="8">
        <f>IF(Tabela1[[#This Row],[Durable Goods CPI]]="",#N/A,((Tabela1[[#This Row],[Durable Goods CPI]]*1)/P193)-1)</f>
        <v>-2.5906735751295429E-3</v>
      </c>
      <c r="R194" s="8">
        <f>IF(Tabela1[[#This Row],[Durable Goods CPI]]="",#N/A,((Tabela1[[#This Row],[Durable Goods CPI]]*1)/P182)-1)</f>
        <v>5.2219321148825326E-3</v>
      </c>
      <c r="S194" s="7"/>
      <c r="T194" s="7">
        <v>15.958</v>
      </c>
      <c r="U194" s="8">
        <f>IF(Tabela1[[#This Row],[Personal Consumption Expenditures (PCE)]]="",#N/A,((Tabela1[[#This Row],[Personal Consumption Expenditures (PCE)]]*1)/T193)-1)</f>
        <v>-3.7584565271864268E-4</v>
      </c>
      <c r="V194" s="8">
        <f>IF(Tabela1[[#This Row],[Personal Consumption Expenditures (PCE)]]="",#N/A,((Tabela1[[#This Row],[Personal Consumption Expenditures (PCE)]]*1)/T182)-1)</f>
        <v>1.3463736822050043E-2</v>
      </c>
      <c r="W194" s="7">
        <v>16.420000000000002</v>
      </c>
      <c r="X194" s="8">
        <f>IF(Tabela1[[#This Row],[Core PCE]]="",#N/A,((Tabela1[[#This Row],[Core PCE]]*1)/W193)-1)</f>
        <v>3.0459945172123248E-4</v>
      </c>
      <c r="Y194" s="8">
        <f>IF(Tabela1[[#This Row],[Core PCE]]="",#N/A,((Tabela1[[#This Row],[Core PCE]]*1)/W182)-1)</f>
        <v>1.2580167735569914E-2</v>
      </c>
      <c r="Z194" s="8">
        <f t="shared" si="5"/>
        <v>3.9008488123695173E-3</v>
      </c>
      <c r="AA194" s="8">
        <f t="shared" si="3"/>
        <v>7.8157969482615108E-3</v>
      </c>
      <c r="AB194" s="7"/>
      <c r="AC194" s="7"/>
      <c r="AD194" s="8"/>
      <c r="AE194" s="71"/>
      <c r="AF194" s="7"/>
      <c r="AG194" s="5"/>
    </row>
    <row r="195" spans="1:33" ht="12.75">
      <c r="A195" s="6">
        <v>23012</v>
      </c>
      <c r="B195" s="7">
        <v>30.44</v>
      </c>
      <c r="C195" s="8">
        <f>IF(Tabela1[[#This Row],[Consumer Price Index (CPI)]]="",#N/A,((Tabela1[[#This Row],[Consumer Price Index (CPI)]]*1)/B194)-1)</f>
        <v>1.9749835418039208E-3</v>
      </c>
      <c r="D195" s="8">
        <f>IF(Tabela1[[#This Row],[Consumer Price Index (CPI)]]="",#N/A,((Tabela1[[#This Row],[Consumer Price Index (CPI)]]*1)/B183)-1)</f>
        <v>1.3315579227696439E-2</v>
      </c>
      <c r="E195" s="25">
        <v>31.5</v>
      </c>
      <c r="F195" s="8">
        <f>IF(Tabela1[[#This Row],[Core Consumer Price Index]]="",#N/A,((Tabela1[[#This Row],[Core Consumer Price Index]]*1)/E194)-1)</f>
        <v>-3.1645569620253333E-3</v>
      </c>
      <c r="G195" s="8">
        <f>IF(Tabela1[[#This Row],[Core Consumer Price Index]]="",#N/A,((Tabela1[[#This Row],[Core Consumer Price Index]]*1)/E183)-1)</f>
        <v>9.6153846153845812E-3</v>
      </c>
      <c r="H195" s="8">
        <f t="shared" si="6"/>
        <v>4.018485031132002E-5</v>
      </c>
      <c r="I195" s="8">
        <f t="shared" si="7"/>
        <v>6.3895191767482373E-3</v>
      </c>
      <c r="J195" s="25">
        <v>25.3</v>
      </c>
      <c r="K195" s="8">
        <f>IF(Tabela1[[#This Row],[Services CPI]]="",#N/A,((Tabela1[[#This Row],[Services CPI]]*1)/J194)-1)</f>
        <v>3.9682539682539542E-3</v>
      </c>
      <c r="L195" s="8">
        <f>IF(Tabela1[[#This Row],[Services CPI]]="",#N/A,((Tabela1[[#This Row],[Services CPI]]*1)/J183)-1)</f>
        <v>2.0161290322580738E-2</v>
      </c>
      <c r="M195" s="7"/>
      <c r="N195" s="8"/>
      <c r="O195" s="8"/>
      <c r="P195" s="7">
        <v>38.299999999999997</v>
      </c>
      <c r="Q195" s="8">
        <f>IF(Tabela1[[#This Row],[Durable Goods CPI]]="",#N/A,((Tabela1[[#This Row],[Durable Goods CPI]]*1)/P194)-1)</f>
        <v>-5.1948051948053076E-3</v>
      </c>
      <c r="R195" s="8">
        <f>IF(Tabela1[[#This Row],[Durable Goods CPI]]="",#N/A,((Tabela1[[#This Row],[Durable Goods CPI]]*1)/P183)-1)</f>
        <v>0</v>
      </c>
      <c r="S195" s="7"/>
      <c r="T195" s="7">
        <v>15.997</v>
      </c>
      <c r="U195" s="8">
        <f>IF(Tabela1[[#This Row],[Personal Consumption Expenditures (PCE)]]="",#N/A,((Tabela1[[#This Row],[Personal Consumption Expenditures (PCE)]]*1)/T194)-1)</f>
        <v>2.443915277603681E-3</v>
      </c>
      <c r="V195" s="8">
        <f>IF(Tabela1[[#This Row],[Personal Consumption Expenditures (PCE)]]="",#N/A,((Tabela1[[#This Row],[Personal Consumption Expenditures (PCE)]]*1)/T183)-1)</f>
        <v>1.4008620689655249E-2</v>
      </c>
      <c r="W195" s="7">
        <v>16.451000000000001</v>
      </c>
      <c r="X195" s="8">
        <f>IF(Tabela1[[#This Row],[Core PCE]]="",#N/A,((Tabela1[[#This Row],[Core PCE]]*1)/W194)-1)</f>
        <v>1.8879415347137218E-3</v>
      </c>
      <c r="Y195" s="8">
        <f>IF(Tabela1[[#This Row],[Core PCE]]="",#N/A,((Tabela1[[#This Row],[Core PCE]]*1)/W183)-1)</f>
        <v>1.3304588851247301E-2</v>
      </c>
      <c r="Z195" s="8">
        <f t="shared" si="5"/>
        <v>1.1696457916355207E-2</v>
      </c>
      <c r="AA195" s="8">
        <f t="shared" si="3"/>
        <v>9.8797700152433165E-3</v>
      </c>
      <c r="AB195" s="7"/>
      <c r="AC195" s="7"/>
      <c r="AD195" s="8"/>
      <c r="AE195" s="71"/>
      <c r="AF195" s="7"/>
      <c r="AG195" s="5"/>
    </row>
    <row r="196" spans="1:33" ht="12.75">
      <c r="A196" s="6">
        <v>23043</v>
      </c>
      <c r="B196" s="7">
        <v>30.48</v>
      </c>
      <c r="C196" s="8">
        <f>IF(Tabela1[[#This Row],[Consumer Price Index (CPI)]]="",#N/A,((Tabela1[[#This Row],[Consumer Price Index (CPI)]]*1)/B195)-1)</f>
        <v>1.3140604467805073E-3</v>
      </c>
      <c r="D196" s="8">
        <f>IF(Tabela1[[#This Row],[Consumer Price Index (CPI)]]="",#N/A,((Tabela1[[#This Row],[Consumer Price Index (CPI)]]*1)/B184)-1)</f>
        <v>1.2288276320159497E-2</v>
      </c>
      <c r="E196" s="25">
        <v>31.6</v>
      </c>
      <c r="F196" s="8">
        <f>IF(Tabela1[[#This Row],[Core Consumer Price Index]]="",#N/A,((Tabela1[[#This Row],[Core Consumer Price Index]]*1)/E195)-1)</f>
        <v>3.1746031746031633E-3</v>
      </c>
      <c r="G196" s="8">
        <f>IF(Tabela1[[#This Row],[Core Consumer Price Index]]="",#N/A,((Tabela1[[#This Row],[Core Consumer Price Index]]*1)/E184)-1)</f>
        <v>1.2820512820512997E-2</v>
      </c>
      <c r="H196" s="8">
        <f t="shared" si="6"/>
        <v>1.2738597548723973E-2</v>
      </c>
      <c r="I196" s="8">
        <f t="shared" si="7"/>
        <v>6.3692987743619867E-3</v>
      </c>
      <c r="J196" s="25">
        <v>25.3</v>
      </c>
      <c r="K196" s="8">
        <f>IF(Tabela1[[#This Row],[Services CPI]]="",#N/A,((Tabela1[[#This Row],[Services CPI]]*1)/J195)-1)</f>
        <v>0</v>
      </c>
      <c r="L196" s="8">
        <f>IF(Tabela1[[#This Row],[Services CPI]]="",#N/A,((Tabela1[[#This Row],[Services CPI]]*1)/J184)-1)</f>
        <v>2.0161290322580738E-2</v>
      </c>
      <c r="M196" s="7"/>
      <c r="N196" s="8"/>
      <c r="O196" s="8"/>
      <c r="P196" s="7">
        <v>38.299999999999997</v>
      </c>
      <c r="Q196" s="8">
        <f>IF(Tabela1[[#This Row],[Durable Goods CPI]]="",#N/A,((Tabela1[[#This Row],[Durable Goods CPI]]*1)/P195)-1)</f>
        <v>0</v>
      </c>
      <c r="R196" s="8">
        <f>IF(Tabela1[[#This Row],[Durable Goods CPI]]="",#N/A,((Tabela1[[#This Row],[Durable Goods CPI]]*1)/P184)-1)</f>
        <v>0</v>
      </c>
      <c r="S196" s="7"/>
      <c r="T196" s="7">
        <v>16.013999999999999</v>
      </c>
      <c r="U196" s="8">
        <f>IF(Tabela1[[#This Row],[Personal Consumption Expenditures (PCE)]]="",#N/A,((Tabela1[[#This Row],[Personal Consumption Expenditures (PCE)]]*1)/T195)-1)</f>
        <v>1.0626992561104665E-3</v>
      </c>
      <c r="V196" s="8">
        <f>IF(Tabela1[[#This Row],[Personal Consumption Expenditures (PCE)]]="",#N/A,((Tabela1[[#This Row],[Personal Consumption Expenditures (PCE)]]*1)/T184)-1)</f>
        <v>1.2390947022379528E-2</v>
      </c>
      <c r="W196" s="7">
        <v>16.47</v>
      </c>
      <c r="X196" s="8">
        <f>IF(Tabela1[[#This Row],[Core PCE]]="",#N/A,((Tabela1[[#This Row],[Core PCE]]*1)/W195)-1)</f>
        <v>1.1549449881465002E-3</v>
      </c>
      <c r="Y196" s="8">
        <f>IF(Tabela1[[#This Row],[Core PCE]]="",#N/A,((Tabela1[[#This Row],[Core PCE]]*1)/W184)-1)</f>
        <v>1.2790554667322596E-2</v>
      </c>
      <c r="Z196" s="8">
        <f t="shared" si="5"/>
        <v>1.3389943898325818E-2</v>
      </c>
      <c r="AA196" s="8">
        <f t="shared" si="3"/>
        <v>1.1945310571866319E-2</v>
      </c>
      <c r="AB196" s="7"/>
      <c r="AC196" s="7"/>
      <c r="AD196" s="8"/>
      <c r="AE196" s="71"/>
      <c r="AF196" s="7"/>
      <c r="AG196" s="5"/>
    </row>
    <row r="197" spans="1:33" ht="12.75">
      <c r="A197" s="6">
        <v>23071</v>
      </c>
      <c r="B197" s="7">
        <v>30.51</v>
      </c>
      <c r="C197" s="8">
        <f>IF(Tabela1[[#This Row],[Consumer Price Index (CPI)]]="",#N/A,((Tabela1[[#This Row],[Consumer Price Index (CPI)]]*1)/B196)-1)</f>
        <v>9.8425196850393526E-4</v>
      </c>
      <c r="D197" s="8">
        <f>IF(Tabela1[[#This Row],[Consumer Price Index (CPI)]]="",#N/A,((Tabela1[[#This Row],[Consumer Price Index (CPI)]]*1)/B185)-1)</f>
        <v>1.1269472986410234E-2</v>
      </c>
      <c r="E197" s="25">
        <v>31.7</v>
      </c>
      <c r="F197" s="8">
        <f>IF(Tabela1[[#This Row],[Core Consumer Price Index]]="",#N/A,((Tabela1[[#This Row],[Core Consumer Price Index]]*1)/E196)-1)</f>
        <v>3.1645569620253333E-3</v>
      </c>
      <c r="G197" s="8">
        <f>IF(Tabela1[[#This Row],[Core Consumer Price Index]]="",#N/A,((Tabela1[[#This Row],[Core Consumer Price Index]]*1)/E185)-1)</f>
        <v>1.2779552715654896E-2</v>
      </c>
      <c r="H197" s="8">
        <f t="shared" si="6"/>
        <v>1.2698412698412653E-2</v>
      </c>
      <c r="I197" s="8">
        <f t="shared" si="7"/>
        <v>1.2698412698412653E-2</v>
      </c>
      <c r="J197" s="25">
        <v>25.3</v>
      </c>
      <c r="K197" s="8">
        <f>IF(Tabela1[[#This Row],[Services CPI]]="",#N/A,((Tabela1[[#This Row],[Services CPI]]*1)/J196)-1)</f>
        <v>0</v>
      </c>
      <c r="L197" s="8">
        <f>IF(Tabela1[[#This Row],[Services CPI]]="",#N/A,((Tabela1[[#This Row],[Services CPI]]*1)/J185)-1)</f>
        <v>1.6064257028112428E-2</v>
      </c>
      <c r="M197" s="7"/>
      <c r="N197" s="8"/>
      <c r="O197" s="8"/>
      <c r="P197" s="7">
        <v>38.5</v>
      </c>
      <c r="Q197" s="8">
        <f>IF(Tabela1[[#This Row],[Durable Goods CPI]]="",#N/A,((Tabela1[[#This Row],[Durable Goods CPI]]*1)/P196)-1)</f>
        <v>5.2219321148825326E-3</v>
      </c>
      <c r="R197" s="8">
        <f>IF(Tabela1[[#This Row],[Durable Goods CPI]]="",#N/A,((Tabela1[[#This Row],[Durable Goods CPI]]*1)/P185)-1)</f>
        <v>2.6041666666667407E-3</v>
      </c>
      <c r="S197" s="7"/>
      <c r="T197" s="7">
        <v>16.001000000000001</v>
      </c>
      <c r="U197" s="8">
        <f>IF(Tabela1[[#This Row],[Personal Consumption Expenditures (PCE)]]="",#N/A,((Tabela1[[#This Row],[Personal Consumption Expenditures (PCE)]]*1)/T196)-1)</f>
        <v>-8.1178968402639828E-4</v>
      </c>
      <c r="V197" s="8">
        <f>IF(Tabela1[[#This Row],[Personal Consumption Expenditures (PCE)]]="",#N/A,((Tabela1[[#This Row],[Personal Consumption Expenditures (PCE)]]*1)/T185)-1)</f>
        <v>1.0227918429193794E-2</v>
      </c>
      <c r="W197" s="7">
        <v>16.48</v>
      </c>
      <c r="X197" s="8">
        <f>IF(Tabela1[[#This Row],[Core PCE]]="",#N/A,((Tabela1[[#This Row],[Core PCE]]*1)/W196)-1)</f>
        <v>6.0716454159082112E-4</v>
      </c>
      <c r="Y197" s="8">
        <f>IF(Tabela1[[#This Row],[Core PCE]]="",#N/A,((Tabela1[[#This Row],[Core PCE]]*1)/W185)-1)</f>
        <v>1.104294478527601E-2</v>
      </c>
      <c r="Z197" s="8">
        <f t="shared" si="5"/>
        <v>1.4600204257804172E-2</v>
      </c>
      <c r="AA197" s="8">
        <f t="shared" si="3"/>
        <v>9.2505265350868449E-3</v>
      </c>
      <c r="AB197" s="7"/>
      <c r="AC197" s="7"/>
      <c r="AD197" s="8"/>
      <c r="AE197" s="71"/>
      <c r="AF197" s="7"/>
      <c r="AG197" s="5"/>
    </row>
    <row r="198" spans="1:33" ht="12.75">
      <c r="A198" s="6">
        <v>23102</v>
      </c>
      <c r="B198" s="7">
        <v>30.48</v>
      </c>
      <c r="C198" s="8">
        <f>IF(Tabela1[[#This Row],[Consumer Price Index (CPI)]]="",#N/A,((Tabela1[[#This Row],[Consumer Price Index (CPI)]]*1)/B197)-1)</f>
        <v>-9.8328416912496497E-4</v>
      </c>
      <c r="D198" s="8">
        <f>IF(Tabela1[[#This Row],[Consumer Price Index (CPI)]]="",#N/A,((Tabela1[[#This Row],[Consumer Price Index (CPI)]]*1)/B186)-1)</f>
        <v>8.9374379344586696E-3</v>
      </c>
      <c r="E198" s="25">
        <v>31.7</v>
      </c>
      <c r="F198" s="8">
        <f>IF(Tabela1[[#This Row],[Core Consumer Price Index]]="",#N/A,((Tabela1[[#This Row],[Core Consumer Price Index]]*1)/E197)-1)</f>
        <v>0</v>
      </c>
      <c r="G198" s="8">
        <f>IF(Tabela1[[#This Row],[Core Consumer Price Index]]="",#N/A,((Tabela1[[#This Row],[Core Consumer Price Index]]*1)/E186)-1)</f>
        <v>1.2779552715654896E-2</v>
      </c>
      <c r="H198" s="8">
        <f t="shared" si="6"/>
        <v>2.5356640546513987E-2</v>
      </c>
      <c r="I198" s="8">
        <f t="shared" si="7"/>
        <v>1.2698412698412653E-2</v>
      </c>
      <c r="J198" s="25">
        <v>25.4</v>
      </c>
      <c r="K198" s="8">
        <f>IF(Tabela1[[#This Row],[Services CPI]]="",#N/A,((Tabela1[[#This Row],[Services CPI]]*1)/J197)-1)</f>
        <v>3.9525691699604515E-3</v>
      </c>
      <c r="L198" s="8">
        <f>IF(Tabela1[[#This Row],[Services CPI]]="",#N/A,((Tabela1[[#This Row],[Services CPI]]*1)/J186)-1)</f>
        <v>2.008032128514059E-2</v>
      </c>
      <c r="M198" s="7"/>
      <c r="N198" s="8"/>
      <c r="O198" s="8"/>
      <c r="P198" s="7">
        <v>38.5</v>
      </c>
      <c r="Q198" s="8">
        <f>IF(Tabela1[[#This Row],[Durable Goods CPI]]="",#N/A,((Tabela1[[#This Row],[Durable Goods CPI]]*1)/P197)-1)</f>
        <v>0</v>
      </c>
      <c r="R198" s="8">
        <f>IF(Tabela1[[#This Row],[Durable Goods CPI]]="",#N/A,((Tabela1[[#This Row],[Durable Goods CPI]]*1)/P186)-1)</f>
        <v>0</v>
      </c>
      <c r="S198" s="7"/>
      <c r="T198" s="7">
        <v>16</v>
      </c>
      <c r="U198" s="8">
        <f>IF(Tabela1[[#This Row],[Personal Consumption Expenditures (PCE)]]="",#N/A,((Tabela1[[#This Row],[Personal Consumption Expenditures (PCE)]]*1)/T197)-1)</f>
        <v>-6.2496093994224289E-5</v>
      </c>
      <c r="V198" s="8">
        <f>IF(Tabela1[[#This Row],[Personal Consumption Expenditures (PCE)]]="",#N/A,((Tabela1[[#This Row],[Personal Consumption Expenditures (PCE)]]*1)/T186)-1)</f>
        <v>9.0180992621555767E-3</v>
      </c>
      <c r="W198" s="7">
        <v>16.5</v>
      </c>
      <c r="X198" s="8">
        <f>IF(Tabela1[[#This Row],[Core PCE]]="",#N/A,((Tabela1[[#This Row],[Core PCE]]*1)/W197)-1)</f>
        <v>1.2135922330096527E-3</v>
      </c>
      <c r="Y198" s="8">
        <f>IF(Tabela1[[#This Row],[Core PCE]]="",#N/A,((Tabela1[[#This Row],[Core PCE]]*1)/W186)-1)</f>
        <v>1.208366558302143E-2</v>
      </c>
      <c r="Z198" s="8">
        <f t="shared" si="5"/>
        <v>1.1902807050987896E-2</v>
      </c>
      <c r="AA198" s="8">
        <f t="shared" si="3"/>
        <v>1.1799632483671552E-2</v>
      </c>
      <c r="AB198" s="7"/>
      <c r="AC198" s="7"/>
      <c r="AD198" s="8"/>
      <c r="AE198" s="71"/>
      <c r="AF198" s="7"/>
      <c r="AG198" s="5"/>
    </row>
    <row r="199" spans="1:33" ht="12.75">
      <c r="A199" s="6">
        <v>23132</v>
      </c>
      <c r="B199" s="7">
        <v>30.51</v>
      </c>
      <c r="C199" s="8">
        <f>IF(Tabela1[[#This Row],[Consumer Price Index (CPI)]]="",#N/A,((Tabela1[[#This Row],[Consumer Price Index (CPI)]]*1)/B198)-1)</f>
        <v>9.8425196850393526E-4</v>
      </c>
      <c r="D199" s="8">
        <f>IF(Tabela1[[#This Row],[Consumer Price Index (CPI)]]="",#N/A,((Tabela1[[#This Row],[Consumer Price Index (CPI)]]*1)/B187)-1)</f>
        <v>8.9285714285716189E-3</v>
      </c>
      <c r="E199" s="25">
        <v>31.7</v>
      </c>
      <c r="F199" s="8">
        <f>IF(Tabela1[[#This Row],[Core Consumer Price Index]]="",#N/A,((Tabela1[[#This Row],[Core Consumer Price Index]]*1)/E198)-1)</f>
        <v>0</v>
      </c>
      <c r="G199" s="8">
        <f>IF(Tabela1[[#This Row],[Core Consumer Price Index]]="",#N/A,((Tabela1[[#This Row],[Core Consumer Price Index]]*1)/E187)-1)</f>
        <v>9.5541401273886439E-3</v>
      </c>
      <c r="H199" s="8">
        <f t="shared" si="6"/>
        <v>1.2658227848101333E-2</v>
      </c>
      <c r="I199" s="8">
        <f t="shared" si="7"/>
        <v>1.2698412698412653E-2</v>
      </c>
      <c r="J199" s="25">
        <v>25.4</v>
      </c>
      <c r="K199" s="8">
        <f>IF(Tabela1[[#This Row],[Services CPI]]="",#N/A,((Tabela1[[#This Row],[Services CPI]]*1)/J198)-1)</f>
        <v>0</v>
      </c>
      <c r="L199" s="8">
        <f>IF(Tabela1[[#This Row],[Services CPI]]="",#N/A,((Tabela1[[#This Row],[Services CPI]]*1)/J187)-1)</f>
        <v>1.6000000000000014E-2</v>
      </c>
      <c r="M199" s="7"/>
      <c r="N199" s="8"/>
      <c r="O199" s="8"/>
      <c r="P199" s="7">
        <v>38.5</v>
      </c>
      <c r="Q199" s="8">
        <f>IF(Tabela1[[#This Row],[Durable Goods CPI]]="",#N/A,((Tabela1[[#This Row],[Durable Goods CPI]]*1)/P198)-1)</f>
        <v>0</v>
      </c>
      <c r="R199" s="8">
        <f>IF(Tabela1[[#This Row],[Durable Goods CPI]]="",#N/A,((Tabela1[[#This Row],[Durable Goods CPI]]*1)/P187)-1)</f>
        <v>-2.5906735751295429E-3</v>
      </c>
      <c r="S199" s="7"/>
      <c r="T199" s="7">
        <v>16.026</v>
      </c>
      <c r="U199" s="8">
        <f>IF(Tabela1[[#This Row],[Personal Consumption Expenditures (PCE)]]="",#N/A,((Tabela1[[#This Row],[Personal Consumption Expenditures (PCE)]]*1)/T198)-1)</f>
        <v>1.6249999999999876E-3</v>
      </c>
      <c r="V199" s="8">
        <f>IF(Tabela1[[#This Row],[Personal Consumption Expenditures (PCE)]]="",#N/A,((Tabela1[[#This Row],[Personal Consumption Expenditures (PCE)]]*1)/T187)-1)</f>
        <v>1.0020797882397403E-2</v>
      </c>
      <c r="W199" s="7">
        <v>16.53</v>
      </c>
      <c r="X199" s="8">
        <f>IF(Tabela1[[#This Row],[Core PCE]]="",#N/A,((Tabela1[[#This Row],[Core PCE]]*1)/W198)-1)</f>
        <v>1.8181818181819409E-3</v>
      </c>
      <c r="Y199" s="8">
        <f>IF(Tabela1[[#This Row],[Core PCE]]="",#N/A,((Tabela1[[#This Row],[Core PCE]]*1)/W187)-1)</f>
        <v>1.2495406100698325E-2</v>
      </c>
      <c r="Z199" s="8">
        <f t="shared" si="5"/>
        <v>1.4555754371129659E-2</v>
      </c>
      <c r="AA199" s="8">
        <f t="shared" si="3"/>
        <v>1.3972849134727738E-2</v>
      </c>
      <c r="AB199" s="7"/>
      <c r="AC199" s="7"/>
      <c r="AD199" s="8"/>
      <c r="AE199" s="71"/>
      <c r="AF199" s="7"/>
      <c r="AG199" s="5"/>
    </row>
    <row r="200" spans="1:33" ht="12.75">
      <c r="A200" s="6">
        <v>23163</v>
      </c>
      <c r="B200" s="7">
        <v>30.61</v>
      </c>
      <c r="C200" s="8">
        <f>IF(Tabela1[[#This Row],[Consumer Price Index (CPI)]]="",#N/A,((Tabela1[[#This Row],[Consumer Price Index (CPI)]]*1)/B199)-1)</f>
        <v>3.2776138970829205E-3</v>
      </c>
      <c r="D200" s="8">
        <f>IF(Tabela1[[#This Row],[Consumer Price Index (CPI)]]="",#N/A,((Tabela1[[#This Row],[Consumer Price Index (CPI)]]*1)/B188)-1)</f>
        <v>1.3240648791790655E-2</v>
      </c>
      <c r="E200" s="25">
        <v>31.8</v>
      </c>
      <c r="F200" s="8">
        <f>IF(Tabela1[[#This Row],[Core Consumer Price Index]]="",#N/A,((Tabela1[[#This Row],[Core Consumer Price Index]]*1)/E199)-1)</f>
        <v>3.154574132492094E-3</v>
      </c>
      <c r="G200" s="8">
        <f>IF(Tabela1[[#This Row],[Core Consumer Price Index]]="",#N/A,((Tabela1[[#This Row],[Core Consumer Price Index]]*1)/E188)-1)</f>
        <v>1.2738853503184711E-2</v>
      </c>
      <c r="H200" s="8">
        <f t="shared" si="6"/>
        <v>1.2618296529968376E-2</v>
      </c>
      <c r="I200" s="8">
        <f t="shared" si="7"/>
        <v>1.2658354614190515E-2</v>
      </c>
      <c r="J200" s="25">
        <v>25.5</v>
      </c>
      <c r="K200" s="8">
        <f>IF(Tabela1[[#This Row],[Services CPI]]="",#N/A,((Tabela1[[#This Row],[Services CPI]]*1)/J199)-1)</f>
        <v>3.937007874015741E-3</v>
      </c>
      <c r="L200" s="8">
        <f>IF(Tabela1[[#This Row],[Services CPI]]="",#N/A,((Tabela1[[#This Row],[Services CPI]]*1)/J188)-1)</f>
        <v>2.0000000000000018E-2</v>
      </c>
      <c r="M200" s="7"/>
      <c r="N200" s="8"/>
      <c r="O200" s="8"/>
      <c r="P200" s="7">
        <v>38.6</v>
      </c>
      <c r="Q200" s="8">
        <f>IF(Tabela1[[#This Row],[Durable Goods CPI]]="",#N/A,((Tabela1[[#This Row],[Durable Goods CPI]]*1)/P199)-1)</f>
        <v>2.5974025974027093E-3</v>
      </c>
      <c r="R200" s="8">
        <f>IF(Tabela1[[#This Row],[Durable Goods CPI]]="",#N/A,((Tabela1[[#This Row],[Durable Goods CPI]]*1)/P188)-1)</f>
        <v>0</v>
      </c>
      <c r="S200" s="7"/>
      <c r="T200" s="7">
        <v>16.061</v>
      </c>
      <c r="U200" s="8">
        <f>IF(Tabela1[[#This Row],[Personal Consumption Expenditures (PCE)]]="",#N/A,((Tabela1[[#This Row],[Personal Consumption Expenditures (PCE)]]*1)/T199)-1)</f>
        <v>2.1839510794958716E-3</v>
      </c>
      <c r="V200" s="8">
        <f>IF(Tabela1[[#This Row],[Personal Consumption Expenditures (PCE)]]="",#N/A,((Tabela1[[#This Row],[Personal Consumption Expenditures (PCE)]]*1)/T188)-1)</f>
        <v>1.158909113812423E-2</v>
      </c>
      <c r="W200" s="7">
        <v>16.558</v>
      </c>
      <c r="X200" s="8">
        <f>IF(Tabela1[[#This Row],[Core PCE]]="",#N/A,((Tabela1[[#This Row],[Core PCE]]*1)/W199)-1)</f>
        <v>1.6938898971565752E-3</v>
      </c>
      <c r="Y200" s="8">
        <f>IF(Tabela1[[#This Row],[Core PCE]]="",#N/A,((Tabela1[[#This Row],[Core PCE]]*1)/W188)-1)</f>
        <v>1.2350207874785912E-2</v>
      </c>
      <c r="Z200" s="8">
        <f t="shared" si="5"/>
        <v>1.8902655793392675E-2</v>
      </c>
      <c r="AA200" s="8">
        <f t="shared" si="3"/>
        <v>1.6751430025598424E-2</v>
      </c>
      <c r="AB200" s="7"/>
      <c r="AC200" s="7"/>
      <c r="AD200" s="8"/>
      <c r="AE200" s="71"/>
      <c r="AF200" s="7"/>
      <c r="AG200" s="5"/>
    </row>
    <row r="201" spans="1:33" ht="12.75">
      <c r="A201" s="6">
        <v>23193</v>
      </c>
      <c r="B201" s="7">
        <v>30.69</v>
      </c>
      <c r="C201" s="8">
        <f>IF(Tabela1[[#This Row],[Consumer Price Index (CPI)]]="",#N/A,((Tabela1[[#This Row],[Consumer Price Index (CPI)]]*1)/B200)-1)</f>
        <v>2.6135249918328718E-3</v>
      </c>
      <c r="D201" s="8">
        <f>IF(Tabela1[[#This Row],[Consumer Price Index (CPI)]]="",#N/A,((Tabela1[[#This Row],[Consumer Price Index (CPI)]]*1)/B189)-1)</f>
        <v>1.5552614162806178E-2</v>
      </c>
      <c r="E201" s="25">
        <v>31.8</v>
      </c>
      <c r="F201" s="8">
        <f>IF(Tabela1[[#This Row],[Core Consumer Price Index]]="",#N/A,((Tabela1[[#This Row],[Core Consumer Price Index]]*1)/E200)-1)</f>
        <v>0</v>
      </c>
      <c r="G201" s="8">
        <f>IF(Tabela1[[#This Row],[Core Consumer Price Index]]="",#N/A,((Tabela1[[#This Row],[Core Consumer Price Index]]*1)/E189)-1)</f>
        <v>1.2738853503184711E-2</v>
      </c>
      <c r="H201" s="8">
        <f t="shared" si="6"/>
        <v>1.2618296529968376E-2</v>
      </c>
      <c r="I201" s="8">
        <f t="shared" si="7"/>
        <v>1.8987468538241181E-2</v>
      </c>
      <c r="J201" s="25">
        <v>25.5</v>
      </c>
      <c r="K201" s="8">
        <f>IF(Tabela1[[#This Row],[Services CPI]]="",#N/A,((Tabela1[[#This Row],[Services CPI]]*1)/J200)-1)</f>
        <v>0</v>
      </c>
      <c r="L201" s="8">
        <f>IF(Tabela1[[#This Row],[Services CPI]]="",#N/A,((Tabela1[[#This Row],[Services CPI]]*1)/J189)-1)</f>
        <v>1.5936254980079667E-2</v>
      </c>
      <c r="M201" s="7"/>
      <c r="N201" s="8"/>
      <c r="O201" s="8"/>
      <c r="P201" s="7">
        <v>38.700000000000003</v>
      </c>
      <c r="Q201" s="8">
        <f>IF(Tabela1[[#This Row],[Durable Goods CPI]]="",#N/A,((Tabela1[[#This Row],[Durable Goods CPI]]*1)/P200)-1)</f>
        <v>2.5906735751295429E-3</v>
      </c>
      <c r="R201" s="8">
        <f>IF(Tabela1[[#This Row],[Durable Goods CPI]]="",#N/A,((Tabela1[[#This Row],[Durable Goods CPI]]*1)/P189)-1)</f>
        <v>2.5906735751295429E-3</v>
      </c>
      <c r="S201" s="7"/>
      <c r="T201" s="7">
        <v>16.093</v>
      </c>
      <c r="U201" s="8">
        <f>IF(Tabela1[[#This Row],[Personal Consumption Expenditures (PCE)]]="",#N/A,((Tabela1[[#This Row],[Personal Consumption Expenditures (PCE)]]*1)/T200)-1)</f>
        <v>1.9924039599028553E-3</v>
      </c>
      <c r="V201" s="8">
        <f>IF(Tabela1[[#This Row],[Personal Consumption Expenditures (PCE)]]="",#N/A,((Tabela1[[#This Row],[Personal Consumption Expenditures (PCE)]]*1)/T189)-1)</f>
        <v>1.4179480715906134E-2</v>
      </c>
      <c r="W201" s="7">
        <v>16.573</v>
      </c>
      <c r="X201" s="8">
        <f>IF(Tabela1[[#This Row],[Core PCE]]="",#N/A,((Tabela1[[#This Row],[Core PCE]]*1)/W200)-1)</f>
        <v>9.0590651044819559E-4</v>
      </c>
      <c r="Y201" s="8">
        <f>IF(Tabela1[[#This Row],[Core PCE]]="",#N/A,((Tabela1[[#This Row],[Core PCE]]*1)/W189)-1)</f>
        <v>1.240073304825895E-2</v>
      </c>
      <c r="Z201" s="8">
        <f t="shared" si="5"/>
        <v>1.7671912903146847E-2</v>
      </c>
      <c r="AA201" s="8">
        <f t="shared" si="3"/>
        <v>1.4787359977067371E-2</v>
      </c>
      <c r="AB201" s="7"/>
      <c r="AC201" s="7"/>
      <c r="AD201" s="8"/>
      <c r="AE201" s="71"/>
      <c r="AF201" s="7"/>
      <c r="AG201" s="5"/>
    </row>
    <row r="202" spans="1:33" ht="12.75">
      <c r="A202" s="6">
        <v>23224</v>
      </c>
      <c r="B202" s="7">
        <v>30.75</v>
      </c>
      <c r="C202" s="8">
        <f>IF(Tabela1[[#This Row],[Consumer Price Index (CPI)]]="",#N/A,((Tabela1[[#This Row],[Consumer Price Index (CPI)]]*1)/B201)-1)</f>
        <v>1.9550342130987275E-3</v>
      </c>
      <c r="D202" s="8">
        <f>IF(Tabela1[[#This Row],[Consumer Price Index (CPI)]]="",#N/A,((Tabela1[[#This Row],[Consumer Price Index (CPI)]]*1)/B190)-1)</f>
        <v>1.5521796565389767E-2</v>
      </c>
      <c r="E202" s="25">
        <v>31.9</v>
      </c>
      <c r="F202" s="8">
        <f>IF(Tabela1[[#This Row],[Core Consumer Price Index]]="",#N/A,((Tabela1[[#This Row],[Core Consumer Price Index]]*1)/E201)-1)</f>
        <v>3.1446540880502027E-3</v>
      </c>
      <c r="G202" s="8">
        <f>IF(Tabela1[[#This Row],[Core Consumer Price Index]]="",#N/A,((Tabela1[[#This Row],[Core Consumer Price Index]]*1)/E190)-1)</f>
        <v>1.2698412698412653E-2</v>
      </c>
      <c r="H202" s="8">
        <f t="shared" si="6"/>
        <v>2.5196912882169187E-2</v>
      </c>
      <c r="I202" s="8">
        <f t="shared" si="7"/>
        <v>1.892757036513526E-2</v>
      </c>
      <c r="J202" s="25">
        <v>25.6</v>
      </c>
      <c r="K202" s="8">
        <f>IF(Tabela1[[#This Row],[Services CPI]]="",#N/A,((Tabela1[[#This Row],[Services CPI]]*1)/J201)-1)</f>
        <v>3.9215686274509665E-3</v>
      </c>
      <c r="L202" s="8">
        <f>IF(Tabela1[[#This Row],[Services CPI]]="",#N/A,((Tabela1[[#This Row],[Services CPI]]*1)/J190)-1)</f>
        <v>1.9920318725099584E-2</v>
      </c>
      <c r="M202" s="7"/>
      <c r="N202" s="8"/>
      <c r="O202" s="8"/>
      <c r="P202" s="7">
        <v>38.700000000000003</v>
      </c>
      <c r="Q202" s="8">
        <f>IF(Tabela1[[#This Row],[Durable Goods CPI]]="",#N/A,((Tabela1[[#This Row],[Durable Goods CPI]]*1)/P201)-1)</f>
        <v>0</v>
      </c>
      <c r="R202" s="8">
        <f>IF(Tabela1[[#This Row],[Durable Goods CPI]]="",#N/A,((Tabela1[[#This Row],[Durable Goods CPI]]*1)/P190)-1)</f>
        <v>0</v>
      </c>
      <c r="S202" s="7"/>
      <c r="T202" s="7">
        <v>16.114999999999998</v>
      </c>
      <c r="U202" s="8">
        <f>IF(Tabela1[[#This Row],[Personal Consumption Expenditures (PCE)]]="",#N/A,((Tabela1[[#This Row],[Personal Consumption Expenditures (PCE)]]*1)/T201)-1)</f>
        <v>1.3670539986327945E-3</v>
      </c>
      <c r="V202" s="8">
        <f>IF(Tabela1[[#This Row],[Personal Consumption Expenditures (PCE)]]="",#N/A,((Tabela1[[#This Row],[Personal Consumption Expenditures (PCE)]]*1)/T190)-1)</f>
        <v>1.4096029198917615E-2</v>
      </c>
      <c r="W202" s="7">
        <v>16.588000000000001</v>
      </c>
      <c r="X202" s="8">
        <f>IF(Tabela1[[#This Row],[Core PCE]]="",#N/A,((Tabela1[[#This Row],[Core PCE]]*1)/W201)-1)</f>
        <v>9.050865866169211E-4</v>
      </c>
      <c r="Y202" s="8">
        <f>IF(Tabela1[[#This Row],[Core PCE]]="",#N/A,((Tabela1[[#This Row],[Core PCE]]*1)/W190)-1)</f>
        <v>1.3193256779868046E-2</v>
      </c>
      <c r="Z202" s="8">
        <f t="shared" si="5"/>
        <v>1.4019531976886768E-2</v>
      </c>
      <c r="AA202" s="8">
        <f t="shared" si="3"/>
        <v>1.4287643174008213E-2</v>
      </c>
      <c r="AB202" s="7"/>
      <c r="AC202" s="7"/>
      <c r="AD202" s="8"/>
      <c r="AE202" s="71"/>
      <c r="AF202" s="7"/>
      <c r="AG202" s="5"/>
    </row>
    <row r="203" spans="1:33" ht="12.75">
      <c r="A203" s="6">
        <v>23255</v>
      </c>
      <c r="B203" s="7">
        <v>30.72</v>
      </c>
      <c r="C203" s="8">
        <f>IF(Tabela1[[#This Row],[Consumer Price Index (CPI)]]="",#N/A,((Tabela1[[#This Row],[Consumer Price Index (CPI)]]*1)/B202)-1)</f>
        <v>-9.7560975609756184E-4</v>
      </c>
      <c r="D203" s="8">
        <f>IF(Tabela1[[#This Row],[Consumer Price Index (CPI)]]="",#N/A,((Tabela1[[#This Row],[Consumer Price Index (CPI)]]*1)/B191)-1)</f>
        <v>9.8619329388558441E-3</v>
      </c>
      <c r="E203" s="25">
        <v>31.9</v>
      </c>
      <c r="F203" s="8">
        <f>IF(Tabela1[[#This Row],[Core Consumer Price Index]]="",#N/A,((Tabela1[[#This Row],[Core Consumer Price Index]]*1)/E202)-1)</f>
        <v>0</v>
      </c>
      <c r="G203" s="8">
        <f>IF(Tabela1[[#This Row],[Core Consumer Price Index]]="",#N/A,((Tabela1[[#This Row],[Core Consumer Price Index]]*1)/E191)-1)</f>
        <v>1.2698412698412653E-2</v>
      </c>
      <c r="H203" s="8">
        <f t="shared" si="6"/>
        <v>1.2578616352200811E-2</v>
      </c>
      <c r="I203" s="8">
        <f t="shared" si="7"/>
        <v>1.2598456441084593E-2</v>
      </c>
      <c r="J203" s="25">
        <v>25.6</v>
      </c>
      <c r="K203" s="8">
        <f>IF(Tabela1[[#This Row],[Services CPI]]="",#N/A,((Tabela1[[#This Row],[Services CPI]]*1)/J202)-1)</f>
        <v>0</v>
      </c>
      <c r="L203" s="8">
        <f>IF(Tabela1[[#This Row],[Services CPI]]="",#N/A,((Tabela1[[#This Row],[Services CPI]]*1)/J191)-1)</f>
        <v>1.9920318725099584E-2</v>
      </c>
      <c r="M203" s="7"/>
      <c r="N203" s="8"/>
      <c r="O203" s="8"/>
      <c r="P203" s="7">
        <v>38.700000000000003</v>
      </c>
      <c r="Q203" s="8">
        <f>IF(Tabela1[[#This Row],[Durable Goods CPI]]="",#N/A,((Tabela1[[#This Row],[Durable Goods CPI]]*1)/P202)-1)</f>
        <v>0</v>
      </c>
      <c r="R203" s="8">
        <f>IF(Tabela1[[#This Row],[Durable Goods CPI]]="",#N/A,((Tabela1[[#This Row],[Durable Goods CPI]]*1)/P191)-1)</f>
        <v>0</v>
      </c>
      <c r="S203" s="7"/>
      <c r="T203" s="7">
        <v>16.111999999999998</v>
      </c>
      <c r="U203" s="8">
        <f>IF(Tabela1[[#This Row],[Personal Consumption Expenditures (PCE)]]="",#N/A,((Tabela1[[#This Row],[Personal Consumption Expenditures (PCE)]]*1)/T202)-1)</f>
        <v>-1.8616196090603943E-4</v>
      </c>
      <c r="V203" s="8">
        <f>IF(Tabela1[[#This Row],[Personal Consumption Expenditures (PCE)]]="",#N/A,((Tabela1[[#This Row],[Personal Consumption Expenditures (PCE)]]*1)/T191)-1)</f>
        <v>8.9548500219174265E-3</v>
      </c>
      <c r="W203" s="7">
        <v>16.617999999999999</v>
      </c>
      <c r="X203" s="8">
        <f>IF(Tabela1[[#This Row],[Core PCE]]="",#N/A,((Tabela1[[#This Row],[Core PCE]]*1)/W202)-1)</f>
        <v>1.8085362912947378E-3</v>
      </c>
      <c r="Y203" s="8">
        <f>IF(Tabela1[[#This Row],[Core PCE]]="",#N/A,((Tabela1[[#This Row],[Core PCE]]*1)/W191)-1)</f>
        <v>1.3045598634479294E-2</v>
      </c>
      <c r="Z203" s="8">
        <f t="shared" si="5"/>
        <v>1.4478117553439418E-2</v>
      </c>
      <c r="AA203" s="8">
        <f t="shared" si="3"/>
        <v>1.6690386673416047E-2</v>
      </c>
      <c r="AB203" s="7"/>
      <c r="AC203" s="7"/>
      <c r="AD203" s="8"/>
      <c r="AE203" s="71"/>
      <c r="AF203" s="7"/>
      <c r="AG203" s="5"/>
    </row>
    <row r="204" spans="1:33" ht="12.75">
      <c r="A204" s="6">
        <v>23285</v>
      </c>
      <c r="B204" s="7">
        <v>30.75</v>
      </c>
      <c r="C204" s="8">
        <f>IF(Tabela1[[#This Row],[Consumer Price Index (CPI)]]="",#N/A,((Tabela1[[#This Row],[Consumer Price Index (CPI)]]*1)/B203)-1)</f>
        <v>9.765625E-4</v>
      </c>
      <c r="D204" s="8">
        <f>IF(Tabela1[[#This Row],[Consumer Price Index (CPI)]]="",#N/A,((Tabela1[[#This Row],[Consumer Price Index (CPI)]]*1)/B192)-1)</f>
        <v>1.2179065174456882E-2</v>
      </c>
      <c r="E204" s="25">
        <v>32</v>
      </c>
      <c r="F204" s="8">
        <f>IF(Tabela1[[#This Row],[Core Consumer Price Index]]="",#N/A,((Tabela1[[#This Row],[Core Consumer Price Index]]*1)/E203)-1)</f>
        <v>3.1347962382446415E-3</v>
      </c>
      <c r="G204" s="8">
        <f>IF(Tabela1[[#This Row],[Core Consumer Price Index]]="",#N/A,((Tabela1[[#This Row],[Core Consumer Price Index]]*1)/E192)-1)</f>
        <v>1.5873015873015817E-2</v>
      </c>
      <c r="H204" s="8">
        <f t="shared" si="6"/>
        <v>2.5117801305179377E-2</v>
      </c>
      <c r="I204" s="8">
        <f t="shared" si="7"/>
        <v>1.8868048917573876E-2</v>
      </c>
      <c r="J204" s="25">
        <v>25.6</v>
      </c>
      <c r="K204" s="8">
        <f>IF(Tabela1[[#This Row],[Services CPI]]="",#N/A,((Tabela1[[#This Row],[Services CPI]]*1)/J203)-1)</f>
        <v>0</v>
      </c>
      <c r="L204" s="8">
        <f>IF(Tabela1[[#This Row],[Services CPI]]="",#N/A,((Tabela1[[#This Row],[Services CPI]]*1)/J192)-1)</f>
        <v>1.9920318725099584E-2</v>
      </c>
      <c r="M204" s="7"/>
      <c r="N204" s="8"/>
      <c r="O204" s="8"/>
      <c r="P204" s="7">
        <v>38.799999999999997</v>
      </c>
      <c r="Q204" s="8">
        <f>IF(Tabela1[[#This Row],[Durable Goods CPI]]="",#N/A,((Tabela1[[#This Row],[Durable Goods CPI]]*1)/P203)-1)</f>
        <v>2.5839793281652312E-3</v>
      </c>
      <c r="R204" s="8">
        <f>IF(Tabela1[[#This Row],[Durable Goods CPI]]="",#N/A,((Tabela1[[#This Row],[Durable Goods CPI]]*1)/P192)-1)</f>
        <v>5.1813471502588637E-3</v>
      </c>
      <c r="S204" s="7"/>
      <c r="T204" s="7">
        <v>16.143000000000001</v>
      </c>
      <c r="U204" s="8">
        <f>IF(Tabela1[[#This Row],[Personal Consumption Expenditures (PCE)]]="",#N/A,((Tabela1[[#This Row],[Personal Consumption Expenditures (PCE)]]*1)/T203)-1)</f>
        <v>1.924031777557289E-3</v>
      </c>
      <c r="V204" s="8">
        <f>IF(Tabela1[[#This Row],[Personal Consumption Expenditures (PCE)]]="",#N/A,((Tabela1[[#This Row],[Personal Consumption Expenditures (PCE)]]*1)/T192)-1)</f>
        <v>1.1909985582649218E-2</v>
      </c>
      <c r="W204" s="7">
        <v>16.655000000000001</v>
      </c>
      <c r="X204" s="8">
        <f>IF(Tabela1[[#This Row],[Core PCE]]="",#N/A,((Tabela1[[#This Row],[Core PCE]]*1)/W203)-1)</f>
        <v>2.2265013840414571E-3</v>
      </c>
      <c r="Y204" s="8">
        <f>IF(Tabela1[[#This Row],[Core PCE]]="",#N/A,((Tabela1[[#This Row],[Core PCE]]*1)/W192)-1)</f>
        <v>1.5363043345729688E-2</v>
      </c>
      <c r="Z204" s="8">
        <f t="shared" si="5"/>
        <v>1.9760497047812464E-2</v>
      </c>
      <c r="AA204" s="8">
        <f t="shared" si="3"/>
        <v>1.8716204975479656E-2</v>
      </c>
      <c r="AB204" s="7"/>
      <c r="AC204" s="7"/>
      <c r="AD204" s="8"/>
      <c r="AE204" s="71"/>
      <c r="AF204" s="7"/>
      <c r="AG204" s="5"/>
    </row>
    <row r="205" spans="1:33" ht="12.75">
      <c r="A205" s="6">
        <v>23316</v>
      </c>
      <c r="B205" s="7">
        <v>30.78</v>
      </c>
      <c r="C205" s="8">
        <f>IF(Tabela1[[#This Row],[Consumer Price Index (CPI)]]="",#N/A,((Tabela1[[#This Row],[Consumer Price Index (CPI)]]*1)/B204)-1)</f>
        <v>9.7560975609756184E-4</v>
      </c>
      <c r="D205" s="8">
        <f>IF(Tabela1[[#This Row],[Consumer Price Index (CPI)]]="",#N/A,((Tabela1[[#This Row],[Consumer Price Index (CPI)]]*1)/B193)-1)</f>
        <v>1.3166556945358954E-2</v>
      </c>
      <c r="E205" s="25">
        <v>32</v>
      </c>
      <c r="F205" s="8">
        <f>IF(Tabela1[[#This Row],[Core Consumer Price Index]]="",#N/A,((Tabela1[[#This Row],[Core Consumer Price Index]]*1)/E204)-1)</f>
        <v>0</v>
      </c>
      <c r="G205" s="8">
        <f>IF(Tabela1[[#This Row],[Core Consumer Price Index]]="",#N/A,((Tabela1[[#This Row],[Core Consumer Price Index]]*1)/E193)-1)</f>
        <v>1.5873015873015817E-2</v>
      </c>
      <c r="H205" s="8">
        <f t="shared" si="6"/>
        <v>1.2539184952978566E-2</v>
      </c>
      <c r="I205" s="8">
        <f t="shared" si="7"/>
        <v>1.8868048917573876E-2</v>
      </c>
      <c r="J205" s="25">
        <v>25.7</v>
      </c>
      <c r="K205" s="8">
        <f>IF(Tabela1[[#This Row],[Services CPI]]="",#N/A,((Tabela1[[#This Row],[Services CPI]]*1)/J204)-1)</f>
        <v>3.90625E-3</v>
      </c>
      <c r="L205" s="8">
        <f>IF(Tabela1[[#This Row],[Services CPI]]="",#N/A,((Tabela1[[#This Row],[Services CPI]]*1)/J193)-1)</f>
        <v>1.9841269841269771E-2</v>
      </c>
      <c r="M205" s="7"/>
      <c r="N205" s="8"/>
      <c r="O205" s="8"/>
      <c r="P205" s="7">
        <v>38.799999999999997</v>
      </c>
      <c r="Q205" s="8">
        <f>IF(Tabela1[[#This Row],[Durable Goods CPI]]="",#N/A,((Tabela1[[#This Row],[Durable Goods CPI]]*1)/P204)-1)</f>
        <v>0</v>
      </c>
      <c r="R205" s="8">
        <f>IF(Tabela1[[#This Row],[Durable Goods CPI]]="",#N/A,((Tabela1[[#This Row],[Durable Goods CPI]]*1)/P193)-1)</f>
        <v>5.1813471502588637E-3</v>
      </c>
      <c r="S205" s="7"/>
      <c r="T205" s="7">
        <v>16.166</v>
      </c>
      <c r="U205" s="8">
        <f>IF(Tabela1[[#This Row],[Personal Consumption Expenditures (PCE)]]="",#N/A,((Tabela1[[#This Row],[Personal Consumption Expenditures (PCE)]]*1)/T204)-1)</f>
        <v>1.4247661525119693E-3</v>
      </c>
      <c r="V205" s="8">
        <f>IF(Tabela1[[#This Row],[Personal Consumption Expenditures (PCE)]]="",#N/A,((Tabela1[[#This Row],[Personal Consumption Expenditures (PCE)]]*1)/T193)-1)</f>
        <v>1.2653470308193526E-2</v>
      </c>
      <c r="W205" s="7">
        <v>16.670000000000002</v>
      </c>
      <c r="X205" s="8">
        <f>IF(Tabela1[[#This Row],[Core PCE]]="",#N/A,((Tabela1[[#This Row],[Core PCE]]*1)/W204)-1)</f>
        <v>9.0063044130905823E-4</v>
      </c>
      <c r="Y205" s="8">
        <f>IF(Tabela1[[#This Row],[Core PCE]]="",#N/A,((Tabela1[[#This Row],[Core PCE]]*1)/W193)-1)</f>
        <v>1.5534572037770422E-2</v>
      </c>
      <c r="Z205" s="8">
        <f t="shared" si="5"/>
        <v>1.9742672466581013E-2</v>
      </c>
      <c r="AA205" s="8">
        <f t="shared" si="3"/>
        <v>1.688110222173389E-2</v>
      </c>
      <c r="AB205" s="7"/>
      <c r="AC205" s="7"/>
      <c r="AD205" s="8"/>
      <c r="AE205" s="71"/>
      <c r="AF205" s="7"/>
      <c r="AG205" s="5"/>
    </row>
    <row r="206" spans="1:33" ht="12.75">
      <c r="A206" s="6">
        <v>23346</v>
      </c>
      <c r="B206" s="7">
        <v>30.88</v>
      </c>
      <c r="C206" s="8">
        <f>IF(Tabela1[[#This Row],[Consumer Price Index (CPI)]]="",#N/A,((Tabela1[[#This Row],[Consumer Price Index (CPI)]]*1)/B205)-1)</f>
        <v>3.2488628979856493E-3</v>
      </c>
      <c r="D206" s="8">
        <f>IF(Tabela1[[#This Row],[Consumer Price Index (CPI)]]="",#N/A,((Tabela1[[#This Row],[Consumer Price Index (CPI)]]*1)/B194)-1)</f>
        <v>1.6458196181698526E-2</v>
      </c>
      <c r="E206" s="25">
        <v>32.1</v>
      </c>
      <c r="F206" s="8">
        <f>IF(Tabela1[[#This Row],[Core Consumer Price Index]]="",#N/A,((Tabela1[[#This Row],[Core Consumer Price Index]]*1)/E205)-1)</f>
        <v>3.1250000000000444E-3</v>
      </c>
      <c r="G206" s="8">
        <f>IF(Tabela1[[#This Row],[Core Consumer Price Index]]="",#N/A,((Tabela1[[#This Row],[Core Consumer Price Index]]*1)/E194)-1)</f>
        <v>1.5822784810126667E-2</v>
      </c>
      <c r="H206" s="8">
        <f t="shared" si="6"/>
        <v>2.5039184952978744E-2</v>
      </c>
      <c r="I206" s="8">
        <f t="shared" si="7"/>
        <v>1.8808900652589777E-2</v>
      </c>
      <c r="J206" s="25">
        <v>25.8</v>
      </c>
      <c r="K206" s="8">
        <f>IF(Tabela1[[#This Row],[Services CPI]]="",#N/A,((Tabela1[[#This Row],[Services CPI]]*1)/J205)-1)</f>
        <v>3.8910505836575737E-3</v>
      </c>
      <c r="L206" s="8">
        <f>IF(Tabela1[[#This Row],[Services CPI]]="",#N/A,((Tabela1[[#This Row],[Services CPI]]*1)/J194)-1)</f>
        <v>2.3809523809523947E-2</v>
      </c>
      <c r="M206" s="7"/>
      <c r="N206" s="8"/>
      <c r="O206" s="8"/>
      <c r="P206" s="7">
        <v>38.9</v>
      </c>
      <c r="Q206" s="8">
        <f>IF(Tabela1[[#This Row],[Durable Goods CPI]]="",#N/A,((Tabela1[[#This Row],[Durable Goods CPI]]*1)/P205)-1)</f>
        <v>2.5773195876288568E-3</v>
      </c>
      <c r="R206" s="8">
        <f>IF(Tabela1[[#This Row],[Durable Goods CPI]]="",#N/A,((Tabela1[[#This Row],[Durable Goods CPI]]*1)/P194)-1)</f>
        <v>1.0389610389610393E-2</v>
      </c>
      <c r="S206" s="7"/>
      <c r="T206" s="7">
        <v>16.190000000000001</v>
      </c>
      <c r="U206" s="8">
        <f>IF(Tabela1[[#This Row],[Personal Consumption Expenditures (PCE)]]="",#N/A,((Tabela1[[#This Row],[Personal Consumption Expenditures (PCE)]]*1)/T205)-1)</f>
        <v>1.4845973029815607E-3</v>
      </c>
      <c r="V206" s="8">
        <f>IF(Tabela1[[#This Row],[Personal Consumption Expenditures (PCE)]]="",#N/A,((Tabela1[[#This Row],[Personal Consumption Expenditures (PCE)]]*1)/T194)-1)</f>
        <v>1.4538162677027344E-2</v>
      </c>
      <c r="W206" s="7">
        <v>16.693999999999999</v>
      </c>
      <c r="X206" s="8">
        <f>IF(Tabela1[[#This Row],[Core PCE]]="",#N/A,((Tabela1[[#This Row],[Core PCE]]*1)/W205)-1)</f>
        <v>1.4397120575884159E-3</v>
      </c>
      <c r="Y206" s="8">
        <f>IF(Tabela1[[#This Row],[Core PCE]]="",#N/A,((Tabela1[[#This Row],[Core PCE]]*1)/W194)-1)</f>
        <v>1.668696711327633E-2</v>
      </c>
      <c r="Z206" s="8">
        <f t="shared" si="5"/>
        <v>1.8267375531755725E-2</v>
      </c>
      <c r="AA206" s="8">
        <f t="shared" si="3"/>
        <v>1.6372746542597572E-2</v>
      </c>
      <c r="AB206" s="7"/>
      <c r="AC206" s="7"/>
      <c r="AD206" s="8"/>
      <c r="AE206" s="71"/>
      <c r="AF206" s="7"/>
      <c r="AG206" s="5"/>
    </row>
    <row r="207" spans="1:33" ht="12.75">
      <c r="A207" s="6">
        <v>23377</v>
      </c>
      <c r="B207" s="7">
        <v>30.94</v>
      </c>
      <c r="C207" s="8">
        <f>IF(Tabela1[[#This Row],[Consumer Price Index (CPI)]]="",#N/A,((Tabela1[[#This Row],[Consumer Price Index (CPI)]]*1)/B206)-1)</f>
        <v>1.9430051813471572E-3</v>
      </c>
      <c r="D207" s="8">
        <f>IF(Tabela1[[#This Row],[Consumer Price Index (CPI)]]="",#N/A,((Tabela1[[#This Row],[Consumer Price Index (CPI)]]*1)/B195)-1)</f>
        <v>1.6425755584756896E-2</v>
      </c>
      <c r="E207" s="25">
        <v>32.200000000000003</v>
      </c>
      <c r="F207" s="8">
        <f>IF(Tabela1[[#This Row],[Core Consumer Price Index]]="",#N/A,((Tabela1[[#This Row],[Core Consumer Price Index]]*1)/E206)-1)</f>
        <v>3.1152647975078995E-3</v>
      </c>
      <c r="G207" s="8">
        <f>IF(Tabela1[[#This Row],[Core Consumer Price Index]]="",#N/A,((Tabela1[[#This Row],[Core Consumer Price Index]]*1)/E195)-1)</f>
        <v>2.2222222222222365E-2</v>
      </c>
      <c r="H207" s="8">
        <f t="shared" si="6"/>
        <v>2.4961059190031776E-2</v>
      </c>
      <c r="I207" s="8">
        <f t="shared" si="7"/>
        <v>2.5039430247605576E-2</v>
      </c>
      <c r="J207" s="25">
        <v>25.8</v>
      </c>
      <c r="K207" s="8">
        <f>IF(Tabela1[[#This Row],[Services CPI]]="",#N/A,((Tabela1[[#This Row],[Services CPI]]*1)/J206)-1)</f>
        <v>0</v>
      </c>
      <c r="L207" s="8">
        <f>IF(Tabela1[[#This Row],[Services CPI]]="",#N/A,((Tabela1[[#This Row],[Services CPI]]*1)/J195)-1)</f>
        <v>1.9762845849802479E-2</v>
      </c>
      <c r="M207" s="7"/>
      <c r="N207" s="8"/>
      <c r="O207" s="8"/>
      <c r="P207" s="7">
        <v>38.9</v>
      </c>
      <c r="Q207" s="8">
        <f>IF(Tabela1[[#This Row],[Durable Goods CPI]]="",#N/A,((Tabela1[[#This Row],[Durable Goods CPI]]*1)/P206)-1)</f>
        <v>0</v>
      </c>
      <c r="R207" s="8">
        <f>IF(Tabela1[[#This Row],[Durable Goods CPI]]="",#N/A,((Tabela1[[#This Row],[Durable Goods CPI]]*1)/P195)-1)</f>
        <v>1.5665796344647598E-2</v>
      </c>
      <c r="S207" s="7"/>
      <c r="T207" s="7">
        <v>16.224</v>
      </c>
      <c r="U207" s="8">
        <f>IF(Tabela1[[#This Row],[Personal Consumption Expenditures (PCE)]]="",#N/A,((Tabela1[[#This Row],[Personal Consumption Expenditures (PCE)]]*1)/T206)-1)</f>
        <v>2.1000617665225541E-3</v>
      </c>
      <c r="V207" s="8">
        <f>IF(Tabela1[[#This Row],[Personal Consumption Expenditures (PCE)]]="",#N/A,((Tabela1[[#This Row],[Personal Consumption Expenditures (PCE)]]*1)/T195)-1)</f>
        <v>1.4190160655122908E-2</v>
      </c>
      <c r="W207" s="7">
        <v>16.716999999999999</v>
      </c>
      <c r="X207" s="8">
        <f>IF(Tabela1[[#This Row],[Core PCE]]="",#N/A,((Tabela1[[#This Row],[Core PCE]]*1)/W206)-1)</f>
        <v>1.3777405055708236E-3</v>
      </c>
      <c r="Y207" s="8">
        <f>IF(Tabela1[[#This Row],[Core PCE]]="",#N/A,((Tabela1[[#This Row],[Core PCE]]*1)/W195)-1)</f>
        <v>1.6169229834052556E-2</v>
      </c>
      <c r="Z207" s="8">
        <f t="shared" si="5"/>
        <v>1.4872332017873191E-2</v>
      </c>
      <c r="AA207" s="8">
        <f t="shared" si="3"/>
        <v>1.7316414532842828E-2</v>
      </c>
      <c r="AB207" s="7"/>
      <c r="AC207" s="7"/>
      <c r="AD207" s="8"/>
      <c r="AE207" s="71"/>
      <c r="AF207" s="7"/>
      <c r="AG207" s="5"/>
    </row>
    <row r="208" spans="1:33" ht="12.75">
      <c r="A208" s="6">
        <v>23408</v>
      </c>
      <c r="B208" s="7">
        <v>30.91</v>
      </c>
      <c r="C208" s="8">
        <f>IF(Tabela1[[#This Row],[Consumer Price Index (CPI)]]="",#N/A,((Tabela1[[#This Row],[Consumer Price Index (CPI)]]*1)/B207)-1)</f>
        <v>-9.6961861667743676E-4</v>
      </c>
      <c r="D208" s="8">
        <f>IF(Tabela1[[#This Row],[Consumer Price Index (CPI)]]="",#N/A,((Tabela1[[#This Row],[Consumer Price Index (CPI)]]*1)/B196)-1)</f>
        <v>1.4107611548556331E-2</v>
      </c>
      <c r="E208" s="25">
        <v>32.200000000000003</v>
      </c>
      <c r="F208" s="8">
        <f>IF(Tabela1[[#This Row],[Core Consumer Price Index]]="",#N/A,((Tabela1[[#This Row],[Core Consumer Price Index]]*1)/E207)-1)</f>
        <v>0</v>
      </c>
      <c r="G208" s="8">
        <f>IF(Tabela1[[#This Row],[Core Consumer Price Index]]="",#N/A,((Tabela1[[#This Row],[Core Consumer Price Index]]*1)/E196)-1)</f>
        <v>1.8987341772152E-2</v>
      </c>
      <c r="H208" s="8">
        <f t="shared" si="6"/>
        <v>2.4961059190031776E-2</v>
      </c>
      <c r="I208" s="8">
        <f t="shared" si="7"/>
        <v>1.8750122071505171E-2</v>
      </c>
      <c r="J208" s="25">
        <v>25.8</v>
      </c>
      <c r="K208" s="8">
        <f>IF(Tabela1[[#This Row],[Services CPI]]="",#N/A,((Tabela1[[#This Row],[Services CPI]]*1)/J207)-1)</f>
        <v>0</v>
      </c>
      <c r="L208" s="8">
        <f>IF(Tabela1[[#This Row],[Services CPI]]="",#N/A,((Tabela1[[#This Row],[Services CPI]]*1)/J196)-1)</f>
        <v>1.9762845849802479E-2</v>
      </c>
      <c r="M208" s="7"/>
      <c r="N208" s="8"/>
      <c r="O208" s="8"/>
      <c r="P208" s="7">
        <v>39</v>
      </c>
      <c r="Q208" s="8">
        <f>IF(Tabela1[[#This Row],[Durable Goods CPI]]="",#N/A,((Tabela1[[#This Row],[Durable Goods CPI]]*1)/P207)-1)</f>
        <v>2.5706940874037354E-3</v>
      </c>
      <c r="R208" s="8">
        <f>IF(Tabela1[[#This Row],[Durable Goods CPI]]="",#N/A,((Tabela1[[#This Row],[Durable Goods CPI]]*1)/P196)-1)</f>
        <v>1.8276762402088753E-2</v>
      </c>
      <c r="S208" s="7"/>
      <c r="T208" s="7">
        <v>16.247</v>
      </c>
      <c r="U208" s="8">
        <f>IF(Tabela1[[#This Row],[Personal Consumption Expenditures (PCE)]]="",#N/A,((Tabela1[[#This Row],[Personal Consumption Expenditures (PCE)]]*1)/T207)-1)</f>
        <v>1.4176528599605387E-3</v>
      </c>
      <c r="V208" s="8">
        <f>IF(Tabela1[[#This Row],[Personal Consumption Expenditures (PCE)]]="",#N/A,((Tabela1[[#This Row],[Personal Consumption Expenditures (PCE)]]*1)/T196)-1)</f>
        <v>1.4549768952166975E-2</v>
      </c>
      <c r="W208" s="7">
        <v>16.748999999999999</v>
      </c>
      <c r="X208" s="8">
        <f>IF(Tabela1[[#This Row],[Core PCE]]="",#N/A,((Tabela1[[#This Row],[Core PCE]]*1)/W207)-1)</f>
        <v>1.9142190584435781E-3</v>
      </c>
      <c r="Y208" s="8">
        <f>IF(Tabela1[[#This Row],[Core PCE]]="",#N/A,((Tabela1[[#This Row],[Core PCE]]*1)/W196)-1)</f>
        <v>1.6939890710382599E-2</v>
      </c>
      <c r="Z208" s="8">
        <f t="shared" si="5"/>
        <v>1.892668648641127E-2</v>
      </c>
      <c r="AA208" s="8">
        <f t="shared" si="3"/>
        <v>1.9334679476496142E-2</v>
      </c>
      <c r="AB208" s="7"/>
      <c r="AC208" s="7"/>
      <c r="AD208" s="8"/>
      <c r="AE208" s="71"/>
      <c r="AF208" s="7"/>
      <c r="AG208" s="5"/>
    </row>
    <row r="209" spans="1:33" ht="12.75">
      <c r="A209" s="6">
        <v>23437</v>
      </c>
      <c r="B209" s="7">
        <v>30.94</v>
      </c>
      <c r="C209" s="8">
        <f>IF(Tabela1[[#This Row],[Consumer Price Index (CPI)]]="",#N/A,((Tabela1[[#This Row],[Consumer Price Index (CPI)]]*1)/B208)-1)</f>
        <v>9.7055968942094673E-4</v>
      </c>
      <c r="D209" s="8">
        <f>IF(Tabela1[[#This Row],[Consumer Price Index (CPI)]]="",#N/A,((Tabela1[[#This Row],[Consumer Price Index (CPI)]]*1)/B197)-1)</f>
        <v>1.4093739757456536E-2</v>
      </c>
      <c r="E209" s="25">
        <v>32.200000000000003</v>
      </c>
      <c r="F209" s="8">
        <f>IF(Tabela1[[#This Row],[Core Consumer Price Index]]="",#N/A,((Tabela1[[#This Row],[Core Consumer Price Index]]*1)/E208)-1)</f>
        <v>0</v>
      </c>
      <c r="G209" s="8">
        <f>IF(Tabela1[[#This Row],[Core Consumer Price Index]]="",#N/A,((Tabela1[[#This Row],[Core Consumer Price Index]]*1)/E197)-1)</f>
        <v>1.5772870662460692E-2</v>
      </c>
      <c r="H209" s="8">
        <f t="shared" si="6"/>
        <v>1.2461059190031598E-2</v>
      </c>
      <c r="I209" s="8">
        <f t="shared" si="7"/>
        <v>1.8750122071505171E-2</v>
      </c>
      <c r="J209" s="25">
        <v>25.8</v>
      </c>
      <c r="K209" s="8">
        <f>IF(Tabela1[[#This Row],[Services CPI]]="",#N/A,((Tabela1[[#This Row],[Services CPI]]*1)/J208)-1)</f>
        <v>0</v>
      </c>
      <c r="L209" s="8">
        <f>IF(Tabela1[[#This Row],[Services CPI]]="",#N/A,((Tabela1[[#This Row],[Services CPI]]*1)/J197)-1)</f>
        <v>1.9762845849802479E-2</v>
      </c>
      <c r="M209" s="7"/>
      <c r="N209" s="8"/>
      <c r="O209" s="8"/>
      <c r="P209" s="7">
        <v>39</v>
      </c>
      <c r="Q209" s="8">
        <f>IF(Tabela1[[#This Row],[Durable Goods CPI]]="",#N/A,((Tabela1[[#This Row],[Durable Goods CPI]]*1)/P208)-1)</f>
        <v>0</v>
      </c>
      <c r="R209" s="8">
        <f>IF(Tabela1[[#This Row],[Durable Goods CPI]]="",#N/A,((Tabela1[[#This Row],[Durable Goods CPI]]*1)/P197)-1)</f>
        <v>1.298701298701288E-2</v>
      </c>
      <c r="S209" s="7"/>
      <c r="T209" s="7">
        <v>16.257000000000001</v>
      </c>
      <c r="U209" s="8">
        <f>IF(Tabela1[[#This Row],[Personal Consumption Expenditures (PCE)]]="",#N/A,((Tabela1[[#This Row],[Personal Consumption Expenditures (PCE)]]*1)/T208)-1)</f>
        <v>6.1549824583018165E-4</v>
      </c>
      <c r="V209" s="8">
        <f>IF(Tabela1[[#This Row],[Personal Consumption Expenditures (PCE)]]="",#N/A,((Tabela1[[#This Row],[Personal Consumption Expenditures (PCE)]]*1)/T197)-1)</f>
        <v>1.5999000062496105E-2</v>
      </c>
      <c r="W209" s="7">
        <v>16.765000000000001</v>
      </c>
      <c r="X209" s="8">
        <f>IF(Tabela1[[#This Row],[Core PCE]]="",#N/A,((Tabela1[[#This Row],[Core PCE]]*1)/W208)-1)</f>
        <v>9.5528091229346579E-4</v>
      </c>
      <c r="Y209" s="8">
        <f>IF(Tabela1[[#This Row],[Core PCE]]="",#N/A,((Tabela1[[#This Row],[Core PCE]]*1)/W197)-1)</f>
        <v>1.7293689320388328E-2</v>
      </c>
      <c r="Z209" s="8">
        <f t="shared" si="5"/>
        <v>1.698896190523147E-2</v>
      </c>
      <c r="AA209" s="8">
        <f t="shared" si="3"/>
        <v>1.7628168718493598E-2</v>
      </c>
      <c r="AB209" s="7"/>
      <c r="AC209" s="7"/>
      <c r="AD209" s="8"/>
      <c r="AE209" s="71"/>
      <c r="AF209" s="7"/>
      <c r="AG209" s="5"/>
    </row>
    <row r="210" spans="1:33" ht="12.75">
      <c r="A210" s="6">
        <v>23468</v>
      </c>
      <c r="B210" s="7">
        <v>30.95</v>
      </c>
      <c r="C210" s="8">
        <f>IF(Tabela1[[#This Row],[Consumer Price Index (CPI)]]="",#N/A,((Tabela1[[#This Row],[Consumer Price Index (CPI)]]*1)/B209)-1)</f>
        <v>3.2320620555914559E-4</v>
      </c>
      <c r="D210" s="8">
        <f>IF(Tabela1[[#This Row],[Consumer Price Index (CPI)]]="",#N/A,((Tabela1[[#This Row],[Consumer Price Index (CPI)]]*1)/B198)-1)</f>
        <v>1.5419947506561726E-2</v>
      </c>
      <c r="E210" s="25">
        <v>32.200000000000003</v>
      </c>
      <c r="F210" s="8">
        <f>IF(Tabela1[[#This Row],[Core Consumer Price Index]]="",#N/A,((Tabela1[[#This Row],[Core Consumer Price Index]]*1)/E209)-1)</f>
        <v>0</v>
      </c>
      <c r="G210" s="8">
        <f>IF(Tabela1[[#This Row],[Core Consumer Price Index]]="",#N/A,((Tabela1[[#This Row],[Core Consumer Price Index]]*1)/E198)-1)</f>
        <v>1.5772870662460692E-2</v>
      </c>
      <c r="H210" s="8">
        <f t="shared" si="6"/>
        <v>0</v>
      </c>
      <c r="I210" s="8">
        <f t="shared" si="7"/>
        <v>1.2480529595015888E-2</v>
      </c>
      <c r="J210" s="25">
        <v>25.9</v>
      </c>
      <c r="K210" s="8">
        <f>IF(Tabela1[[#This Row],[Services CPI]]="",#N/A,((Tabela1[[#This Row],[Services CPI]]*1)/J209)-1)</f>
        <v>3.8759689922480689E-3</v>
      </c>
      <c r="L210" s="8">
        <f>IF(Tabela1[[#This Row],[Services CPI]]="",#N/A,((Tabela1[[#This Row],[Services CPI]]*1)/J198)-1)</f>
        <v>1.9685039370078705E-2</v>
      </c>
      <c r="M210" s="7"/>
      <c r="N210" s="8"/>
      <c r="O210" s="8"/>
      <c r="P210" s="7">
        <v>39</v>
      </c>
      <c r="Q210" s="8">
        <f>IF(Tabela1[[#This Row],[Durable Goods CPI]]="",#N/A,((Tabela1[[#This Row],[Durable Goods CPI]]*1)/P209)-1)</f>
        <v>0</v>
      </c>
      <c r="R210" s="8">
        <f>IF(Tabela1[[#This Row],[Durable Goods CPI]]="",#N/A,((Tabela1[[#This Row],[Durable Goods CPI]]*1)/P198)-1)</f>
        <v>1.298701298701288E-2</v>
      </c>
      <c r="S210" s="7"/>
      <c r="T210" s="7">
        <v>16.268999999999998</v>
      </c>
      <c r="U210" s="8">
        <f>IF(Tabela1[[#This Row],[Personal Consumption Expenditures (PCE)]]="",#N/A,((Tabela1[[#This Row],[Personal Consumption Expenditures (PCE)]]*1)/T209)-1)</f>
        <v>7.3814356892398791E-4</v>
      </c>
      <c r="V210" s="8">
        <f>IF(Tabela1[[#This Row],[Personal Consumption Expenditures (PCE)]]="",#N/A,((Tabela1[[#This Row],[Personal Consumption Expenditures (PCE)]]*1)/T198)-1)</f>
        <v>1.6812499999999897E-2</v>
      </c>
      <c r="W210" s="7">
        <v>16.78</v>
      </c>
      <c r="X210" s="8">
        <f>IF(Tabela1[[#This Row],[Core PCE]]="",#N/A,((Tabela1[[#This Row],[Core PCE]]*1)/W209)-1)</f>
        <v>8.9472114524302704E-4</v>
      </c>
      <c r="Y210" s="8">
        <f>IF(Tabela1[[#This Row],[Core PCE]]="",#N/A,((Tabela1[[#This Row],[Core PCE]]*1)/W198)-1)</f>
        <v>1.6969696969697079E-2</v>
      </c>
      <c r="Z210" s="8">
        <f t="shared" si="5"/>
        <v>1.5056884463920284E-2</v>
      </c>
      <c r="AA210" s="8">
        <f t="shared" si="3"/>
        <v>1.4964608240896737E-2</v>
      </c>
      <c r="AB210" s="7"/>
      <c r="AC210" s="7"/>
      <c r="AD210" s="8"/>
      <c r="AE210" s="71"/>
      <c r="AF210" s="7"/>
      <c r="AG210" s="5"/>
    </row>
    <row r="211" spans="1:33" ht="12.75">
      <c r="A211" s="6">
        <v>23498</v>
      </c>
      <c r="B211" s="7">
        <v>30.98</v>
      </c>
      <c r="C211" s="8">
        <f>IF(Tabela1[[#This Row],[Consumer Price Index (CPI)]]="",#N/A,((Tabela1[[#This Row],[Consumer Price Index (CPI)]]*1)/B210)-1)</f>
        <v>9.6930533117944861E-4</v>
      </c>
      <c r="D211" s="8">
        <f>IF(Tabela1[[#This Row],[Consumer Price Index (CPI)]]="",#N/A,((Tabela1[[#This Row],[Consumer Price Index (CPI)]]*1)/B199)-1)</f>
        <v>1.5404785316289749E-2</v>
      </c>
      <c r="E211" s="25">
        <v>32.200000000000003</v>
      </c>
      <c r="F211" s="8">
        <f>IF(Tabela1[[#This Row],[Core Consumer Price Index]]="",#N/A,((Tabela1[[#This Row],[Core Consumer Price Index]]*1)/E210)-1)</f>
        <v>0</v>
      </c>
      <c r="G211" s="8">
        <f>IF(Tabela1[[#This Row],[Core Consumer Price Index]]="",#N/A,((Tabela1[[#This Row],[Core Consumer Price Index]]*1)/E199)-1)</f>
        <v>1.5772870662460692E-2</v>
      </c>
      <c r="H211" s="8">
        <f t="shared" si="6"/>
        <v>0</v>
      </c>
      <c r="I211" s="8">
        <f t="shared" si="7"/>
        <v>1.2480529595015888E-2</v>
      </c>
      <c r="J211" s="25">
        <v>25.9</v>
      </c>
      <c r="K211" s="8">
        <f>IF(Tabela1[[#This Row],[Services CPI]]="",#N/A,((Tabela1[[#This Row],[Services CPI]]*1)/J210)-1)</f>
        <v>0</v>
      </c>
      <c r="L211" s="8">
        <f>IF(Tabela1[[#This Row],[Services CPI]]="",#N/A,((Tabela1[[#This Row],[Services CPI]]*1)/J199)-1)</f>
        <v>1.9685039370078705E-2</v>
      </c>
      <c r="M211" s="7"/>
      <c r="N211" s="8"/>
      <c r="O211" s="8"/>
      <c r="P211" s="7">
        <v>38.9</v>
      </c>
      <c r="Q211" s="8">
        <f>IF(Tabela1[[#This Row],[Durable Goods CPI]]="",#N/A,((Tabela1[[#This Row],[Durable Goods CPI]]*1)/P210)-1)</f>
        <v>-2.564102564102555E-3</v>
      </c>
      <c r="R211" s="8">
        <f>IF(Tabela1[[#This Row],[Durable Goods CPI]]="",#N/A,((Tabela1[[#This Row],[Durable Goods CPI]]*1)/P199)-1)</f>
        <v>1.0389610389610393E-2</v>
      </c>
      <c r="S211" s="7"/>
      <c r="T211" s="7">
        <v>16.271000000000001</v>
      </c>
      <c r="U211" s="8">
        <f>IF(Tabela1[[#This Row],[Personal Consumption Expenditures (PCE)]]="",#N/A,((Tabela1[[#This Row],[Personal Consumption Expenditures (PCE)]]*1)/T210)-1)</f>
        <v>1.2293318581368951E-4</v>
      </c>
      <c r="V211" s="8">
        <f>IF(Tabela1[[#This Row],[Personal Consumption Expenditures (PCE)]]="",#N/A,((Tabela1[[#This Row],[Personal Consumption Expenditures (PCE)]]*1)/T199)-1)</f>
        <v>1.5287657556470879E-2</v>
      </c>
      <c r="W211" s="7">
        <v>16.794</v>
      </c>
      <c r="X211" s="8">
        <f>IF(Tabela1[[#This Row],[Core PCE]]="",#N/A,((Tabela1[[#This Row],[Core PCE]]*1)/W210)-1)</f>
        <v>8.3432657926096887E-4</v>
      </c>
      <c r="Y211" s="8">
        <f>IF(Tabela1[[#This Row],[Core PCE]]="",#N/A,((Tabela1[[#This Row],[Core PCE]]*1)/W199)-1)</f>
        <v>1.5970961887477264E-2</v>
      </c>
      <c r="Z211" s="8">
        <f t="shared" si="5"/>
        <v>1.0737314547189847E-2</v>
      </c>
      <c r="AA211" s="8">
        <f t="shared" si="3"/>
        <v>1.4832000516800559E-2</v>
      </c>
      <c r="AB211" s="7"/>
      <c r="AC211" s="7"/>
      <c r="AD211" s="8"/>
      <c r="AE211" s="71"/>
      <c r="AF211" s="7"/>
      <c r="AG211" s="5"/>
    </row>
    <row r="212" spans="1:33" ht="12.75">
      <c r="A212" s="6">
        <v>23529</v>
      </c>
      <c r="B212" s="7">
        <v>31.01</v>
      </c>
      <c r="C212" s="8">
        <f>IF(Tabela1[[#This Row],[Consumer Price Index (CPI)]]="",#N/A,((Tabela1[[#This Row],[Consumer Price Index (CPI)]]*1)/B211)-1)</f>
        <v>9.6836668818589544E-4</v>
      </c>
      <c r="D212" s="8">
        <f>IF(Tabela1[[#This Row],[Consumer Price Index (CPI)]]="",#N/A,((Tabela1[[#This Row],[Consumer Price Index (CPI)]]*1)/B200)-1)</f>
        <v>1.3067624959163693E-2</v>
      </c>
      <c r="E212" s="25">
        <v>32.299999999999997</v>
      </c>
      <c r="F212" s="8">
        <f>IF(Tabela1[[#This Row],[Core Consumer Price Index]]="",#N/A,((Tabela1[[#This Row],[Core Consumer Price Index]]*1)/E211)-1)</f>
        <v>3.1055900621115295E-3</v>
      </c>
      <c r="G212" s="8">
        <f>IF(Tabela1[[#This Row],[Core Consumer Price Index]]="",#N/A,((Tabela1[[#This Row],[Core Consumer Price Index]]*1)/E200)-1)</f>
        <v>1.5723270440251458E-2</v>
      </c>
      <c r="H212" s="8">
        <f t="shared" si="6"/>
        <v>1.2422360248446118E-2</v>
      </c>
      <c r="I212" s="8">
        <f t="shared" si="7"/>
        <v>1.2441709719238858E-2</v>
      </c>
      <c r="J212" s="25">
        <v>26</v>
      </c>
      <c r="K212" s="8">
        <f>IF(Tabela1[[#This Row],[Services CPI]]="",#N/A,((Tabela1[[#This Row],[Services CPI]]*1)/J211)-1)</f>
        <v>3.8610038610038533E-3</v>
      </c>
      <c r="L212" s="8">
        <f>IF(Tabela1[[#This Row],[Services CPI]]="",#N/A,((Tabela1[[#This Row],[Services CPI]]*1)/J200)-1)</f>
        <v>1.9607843137254832E-2</v>
      </c>
      <c r="M212" s="7"/>
      <c r="N212" s="8"/>
      <c r="O212" s="8"/>
      <c r="P212" s="7">
        <v>38.9</v>
      </c>
      <c r="Q212" s="8">
        <f>IF(Tabela1[[#This Row],[Durable Goods CPI]]="",#N/A,((Tabela1[[#This Row],[Durable Goods CPI]]*1)/P211)-1)</f>
        <v>0</v>
      </c>
      <c r="R212" s="8">
        <f>IF(Tabela1[[#This Row],[Durable Goods CPI]]="",#N/A,((Tabela1[[#This Row],[Durable Goods CPI]]*1)/P200)-1)</f>
        <v>7.7720207253886286E-3</v>
      </c>
      <c r="S212" s="7"/>
      <c r="T212" s="7">
        <v>16.294</v>
      </c>
      <c r="U212" s="8">
        <f>IF(Tabela1[[#This Row],[Personal Consumption Expenditures (PCE)]]="",#N/A,((Tabela1[[#This Row],[Personal Consumption Expenditures (PCE)]]*1)/T211)-1)</f>
        <v>1.4135578636838009E-3</v>
      </c>
      <c r="V212" s="8">
        <f>IF(Tabela1[[#This Row],[Personal Consumption Expenditures (PCE)]]="",#N/A,((Tabela1[[#This Row],[Personal Consumption Expenditures (PCE)]]*1)/T200)-1)</f>
        <v>1.450719133304279E-2</v>
      </c>
      <c r="W212" s="7">
        <v>16.806000000000001</v>
      </c>
      <c r="X212" s="8">
        <f>IF(Tabela1[[#This Row],[Core PCE]]="",#N/A,((Tabela1[[#This Row],[Core PCE]]*1)/W211)-1)</f>
        <v>7.1454090746692067E-4</v>
      </c>
      <c r="Y212" s="8">
        <f>IF(Tabela1[[#This Row],[Core PCE]]="",#N/A,((Tabela1[[#This Row],[Core PCE]]*1)/W200)-1)</f>
        <v>1.4977654306075783E-2</v>
      </c>
      <c r="Z212" s="8">
        <f t="shared" si="5"/>
        <v>9.7743545278836663E-3</v>
      </c>
      <c r="AA212" s="8">
        <f t="shared" si="3"/>
        <v>1.3381658216557568E-2</v>
      </c>
      <c r="AB212" s="7"/>
      <c r="AC212" s="7"/>
      <c r="AD212" s="8"/>
      <c r="AE212" s="71"/>
      <c r="AF212" s="7"/>
      <c r="AG212" s="5"/>
    </row>
    <row r="213" spans="1:33" ht="12.75">
      <c r="A213" s="6">
        <v>23559</v>
      </c>
      <c r="B213" s="7">
        <v>31.02</v>
      </c>
      <c r="C213" s="8">
        <f>IF(Tabela1[[#This Row],[Consumer Price Index (CPI)]]="",#N/A,((Tabela1[[#This Row],[Consumer Price Index (CPI)]]*1)/B212)-1)</f>
        <v>3.2247662044504466E-4</v>
      </c>
      <c r="D213" s="8">
        <f>IF(Tabela1[[#This Row],[Consumer Price Index (CPI)]]="",#N/A,((Tabela1[[#This Row],[Consumer Price Index (CPI)]]*1)/B201)-1)</f>
        <v>1.0752688172043001E-2</v>
      </c>
      <c r="E213" s="25">
        <v>32.299999999999997</v>
      </c>
      <c r="F213" s="8">
        <f>IF(Tabela1[[#This Row],[Core Consumer Price Index]]="",#N/A,((Tabela1[[#This Row],[Core Consumer Price Index]]*1)/E212)-1)</f>
        <v>0</v>
      </c>
      <c r="G213" s="8">
        <f>IF(Tabela1[[#This Row],[Core Consumer Price Index]]="",#N/A,((Tabela1[[#This Row],[Core Consumer Price Index]]*1)/E201)-1)</f>
        <v>1.5723270440251458E-2</v>
      </c>
      <c r="H213" s="8">
        <f t="shared" si="6"/>
        <v>1.2422360248446118E-2</v>
      </c>
      <c r="I213" s="8">
        <f t="shared" si="7"/>
        <v>6.2111801242230591E-3</v>
      </c>
      <c r="J213" s="25">
        <v>26</v>
      </c>
      <c r="K213" s="8">
        <f>IF(Tabela1[[#This Row],[Services CPI]]="",#N/A,((Tabela1[[#This Row],[Services CPI]]*1)/J212)-1)</f>
        <v>0</v>
      </c>
      <c r="L213" s="8">
        <f>IF(Tabela1[[#This Row],[Services CPI]]="",#N/A,((Tabela1[[#This Row],[Services CPI]]*1)/J201)-1)</f>
        <v>1.9607843137254832E-2</v>
      </c>
      <c r="M213" s="7"/>
      <c r="N213" s="8"/>
      <c r="O213" s="8"/>
      <c r="P213" s="7">
        <v>38.9</v>
      </c>
      <c r="Q213" s="8">
        <f>IF(Tabela1[[#This Row],[Durable Goods CPI]]="",#N/A,((Tabela1[[#This Row],[Durable Goods CPI]]*1)/P212)-1)</f>
        <v>0</v>
      </c>
      <c r="R213" s="8">
        <f>IF(Tabela1[[#This Row],[Durable Goods CPI]]="",#N/A,((Tabela1[[#This Row],[Durable Goods CPI]]*1)/P201)-1)</f>
        <v>5.1679586563306845E-3</v>
      </c>
      <c r="S213" s="7"/>
      <c r="T213" s="7">
        <v>16.315000000000001</v>
      </c>
      <c r="U213" s="8">
        <f>IF(Tabela1[[#This Row],[Personal Consumption Expenditures (PCE)]]="",#N/A,((Tabela1[[#This Row],[Personal Consumption Expenditures (PCE)]]*1)/T212)-1)</f>
        <v>1.2888179698049562E-3</v>
      </c>
      <c r="V213" s="8">
        <f>IF(Tabela1[[#This Row],[Personal Consumption Expenditures (PCE)]]="",#N/A,((Tabela1[[#This Row],[Personal Consumption Expenditures (PCE)]]*1)/T201)-1)</f>
        <v>1.3794817622568845E-2</v>
      </c>
      <c r="W213" s="7">
        <v>16.823</v>
      </c>
      <c r="X213" s="8">
        <f>IF(Tabela1[[#This Row],[Core PCE]]="",#N/A,((Tabela1[[#This Row],[Core PCE]]*1)/W212)-1)</f>
        <v>1.0115434963702263E-3</v>
      </c>
      <c r="Y213" s="8">
        <f>IF(Tabela1[[#This Row],[Core PCE]]="",#N/A,((Tabela1[[#This Row],[Core PCE]]*1)/W201)-1)</f>
        <v>1.5084776443613057E-2</v>
      </c>
      <c r="Z213" s="8">
        <f t="shared" si="5"/>
        <v>1.0241643932392464E-2</v>
      </c>
      <c r="AA213" s="8">
        <f t="shared" si="3"/>
        <v>1.2649264198156374E-2</v>
      </c>
      <c r="AB213" s="7"/>
      <c r="AC213" s="7"/>
      <c r="AD213" s="8"/>
      <c r="AE213" s="71"/>
      <c r="AF213" s="7"/>
      <c r="AG213" s="5"/>
    </row>
    <row r="214" spans="1:33" ht="12.75">
      <c r="A214" s="6">
        <v>23590</v>
      </c>
      <c r="B214" s="7">
        <v>31.05</v>
      </c>
      <c r="C214" s="8">
        <f>IF(Tabela1[[#This Row],[Consumer Price Index (CPI)]]="",#N/A,((Tabela1[[#This Row],[Consumer Price Index (CPI)]]*1)/B213)-1)</f>
        <v>9.6711798839455021E-4</v>
      </c>
      <c r="D214" s="8">
        <f>IF(Tabela1[[#This Row],[Consumer Price Index (CPI)]]="",#N/A,((Tabela1[[#This Row],[Consumer Price Index (CPI)]]*1)/B202)-1)</f>
        <v>9.7560975609756184E-3</v>
      </c>
      <c r="E214" s="25">
        <v>32.299999999999997</v>
      </c>
      <c r="F214" s="8">
        <f>IF(Tabela1[[#This Row],[Core Consumer Price Index]]="",#N/A,((Tabela1[[#This Row],[Core Consumer Price Index]]*1)/E213)-1)</f>
        <v>0</v>
      </c>
      <c r="G214" s="8">
        <f>IF(Tabela1[[#This Row],[Core Consumer Price Index]]="",#N/A,((Tabela1[[#This Row],[Core Consumer Price Index]]*1)/E202)-1)</f>
        <v>1.2539184952978122E-2</v>
      </c>
      <c r="H214" s="8">
        <f t="shared" si="6"/>
        <v>1.2422360248446118E-2</v>
      </c>
      <c r="I214" s="8">
        <f t="shared" si="7"/>
        <v>6.2111801242230591E-3</v>
      </c>
      <c r="J214" s="25">
        <v>26</v>
      </c>
      <c r="K214" s="8">
        <f>IF(Tabela1[[#This Row],[Services CPI]]="",#N/A,((Tabela1[[#This Row],[Services CPI]]*1)/J213)-1)</f>
        <v>0</v>
      </c>
      <c r="L214" s="8">
        <f>IF(Tabela1[[#This Row],[Services CPI]]="",#N/A,((Tabela1[[#This Row],[Services CPI]]*1)/J202)-1)</f>
        <v>1.5625E-2</v>
      </c>
      <c r="M214" s="7"/>
      <c r="N214" s="8"/>
      <c r="O214" s="8"/>
      <c r="P214" s="7">
        <v>38.9</v>
      </c>
      <c r="Q214" s="8">
        <f>IF(Tabela1[[#This Row],[Durable Goods CPI]]="",#N/A,((Tabela1[[#This Row],[Durable Goods CPI]]*1)/P213)-1)</f>
        <v>0</v>
      </c>
      <c r="R214" s="8">
        <f>IF(Tabela1[[#This Row],[Durable Goods CPI]]="",#N/A,((Tabela1[[#This Row],[Durable Goods CPI]]*1)/P202)-1)</f>
        <v>5.1679586563306845E-3</v>
      </c>
      <c r="S214" s="7"/>
      <c r="T214" s="7">
        <v>16.327000000000002</v>
      </c>
      <c r="U214" s="8">
        <f>IF(Tabela1[[#This Row],[Personal Consumption Expenditures (PCE)]]="",#N/A,((Tabela1[[#This Row],[Personal Consumption Expenditures (PCE)]]*1)/T213)-1)</f>
        <v>7.3551946061911622E-4</v>
      </c>
      <c r="V214" s="8">
        <f>IF(Tabela1[[#This Row],[Personal Consumption Expenditures (PCE)]]="",#N/A,((Tabela1[[#This Row],[Personal Consumption Expenditures (PCE)]]*1)/T202)-1)</f>
        <v>1.3155445237356789E-2</v>
      </c>
      <c r="W214" s="7">
        <v>16.844999999999999</v>
      </c>
      <c r="X214" s="8">
        <f>IF(Tabela1[[#This Row],[Core PCE]]="",#N/A,((Tabela1[[#This Row],[Core PCE]]*1)/W213)-1)</f>
        <v>1.3077334601436785E-3</v>
      </c>
      <c r="Y214" s="8">
        <f>IF(Tabela1[[#This Row],[Core PCE]]="",#N/A,((Tabela1[[#This Row],[Core PCE]]*1)/W202)-1)</f>
        <v>1.5493127562092868E-2</v>
      </c>
      <c r="Z214" s="8">
        <f t="shared" si="5"/>
        <v>1.2135271455923302E-2</v>
      </c>
      <c r="AA214" s="8">
        <f t="shared" si="3"/>
        <v>1.1436293001556574E-2</v>
      </c>
      <c r="AB214" s="7"/>
      <c r="AC214" s="7"/>
      <c r="AD214" s="8"/>
      <c r="AE214" s="71"/>
      <c r="AF214" s="7"/>
      <c r="AG214" s="5"/>
    </row>
    <row r="215" spans="1:33" ht="12.75">
      <c r="A215" s="6">
        <v>23621</v>
      </c>
      <c r="B215" s="7">
        <v>31.08</v>
      </c>
      <c r="C215" s="8">
        <f>IF(Tabela1[[#This Row],[Consumer Price Index (CPI)]]="",#N/A,((Tabela1[[#This Row],[Consumer Price Index (CPI)]]*1)/B214)-1)</f>
        <v>9.6618357487909812E-4</v>
      </c>
      <c r="D215" s="8">
        <f>IF(Tabela1[[#This Row],[Consumer Price Index (CPI)]]="",#N/A,((Tabela1[[#This Row],[Consumer Price Index (CPI)]]*1)/B203)-1)</f>
        <v>1.171875E-2</v>
      </c>
      <c r="E215" s="25">
        <v>32.299999999999997</v>
      </c>
      <c r="F215" s="8">
        <f>IF(Tabela1[[#This Row],[Core Consumer Price Index]]="",#N/A,((Tabela1[[#This Row],[Core Consumer Price Index]]*1)/E214)-1)</f>
        <v>0</v>
      </c>
      <c r="G215" s="8">
        <f>IF(Tabela1[[#This Row],[Core Consumer Price Index]]="",#N/A,((Tabela1[[#This Row],[Core Consumer Price Index]]*1)/E203)-1)</f>
        <v>1.2539184952978122E-2</v>
      </c>
      <c r="H215" s="8">
        <f t="shared" si="6"/>
        <v>0</v>
      </c>
      <c r="I215" s="8">
        <f t="shared" si="7"/>
        <v>6.2111801242230591E-3</v>
      </c>
      <c r="J215" s="25">
        <v>26</v>
      </c>
      <c r="K215" s="8">
        <f>IF(Tabela1[[#This Row],[Services CPI]]="",#N/A,((Tabela1[[#This Row],[Services CPI]]*1)/J214)-1)</f>
        <v>0</v>
      </c>
      <c r="L215" s="8">
        <f>IF(Tabela1[[#This Row],[Services CPI]]="",#N/A,((Tabela1[[#This Row],[Services CPI]]*1)/J203)-1)</f>
        <v>1.5625E-2</v>
      </c>
      <c r="M215" s="7"/>
      <c r="N215" s="8"/>
      <c r="O215" s="8"/>
      <c r="P215" s="7">
        <v>39</v>
      </c>
      <c r="Q215" s="8">
        <f>IF(Tabela1[[#This Row],[Durable Goods CPI]]="",#N/A,((Tabela1[[#This Row],[Durable Goods CPI]]*1)/P214)-1)</f>
        <v>2.5706940874037354E-3</v>
      </c>
      <c r="R215" s="8">
        <f>IF(Tabela1[[#This Row],[Durable Goods CPI]]="",#N/A,((Tabela1[[#This Row],[Durable Goods CPI]]*1)/P203)-1)</f>
        <v>7.7519379844961378E-3</v>
      </c>
      <c r="S215" s="7"/>
      <c r="T215" s="7">
        <v>16.352</v>
      </c>
      <c r="U215" s="8">
        <f>IF(Tabela1[[#This Row],[Personal Consumption Expenditures (PCE)]]="",#N/A,((Tabela1[[#This Row],[Personal Consumption Expenditures (PCE)]]*1)/T214)-1)</f>
        <v>1.5312059778280762E-3</v>
      </c>
      <c r="V215" s="8">
        <f>IF(Tabela1[[#This Row],[Personal Consumption Expenditures (PCE)]]="",#N/A,((Tabela1[[#This Row],[Personal Consumption Expenditures (PCE)]]*1)/T203)-1)</f>
        <v>1.4895729890764819E-2</v>
      </c>
      <c r="W215" s="7">
        <v>16.852</v>
      </c>
      <c r="X215" s="8">
        <f>IF(Tabela1[[#This Row],[Core PCE]]="",#N/A,((Tabela1[[#This Row],[Core PCE]]*1)/W214)-1)</f>
        <v>4.1555357672917737E-4</v>
      </c>
      <c r="Y215" s="8">
        <f>IF(Tabela1[[#This Row],[Core PCE]]="",#N/A,((Tabela1[[#This Row],[Core PCE]]*1)/W203)-1)</f>
        <v>1.4081116861234921E-2</v>
      </c>
      <c r="Z215" s="8">
        <f t="shared" si="5"/>
        <v>1.0939322132972329E-2</v>
      </c>
      <c r="AA215" s="8">
        <f t="shared" si="3"/>
        <v>1.0356838330427998E-2</v>
      </c>
      <c r="AB215" s="7"/>
      <c r="AC215" s="7"/>
      <c r="AD215" s="8"/>
      <c r="AE215" s="71"/>
      <c r="AF215" s="7"/>
      <c r="AG215" s="5"/>
    </row>
    <row r="216" spans="1:33" ht="12.75">
      <c r="A216" s="6">
        <v>23651</v>
      </c>
      <c r="B216" s="7">
        <v>31.12</v>
      </c>
      <c r="C216" s="8">
        <f>IF(Tabela1[[#This Row],[Consumer Price Index (CPI)]]="",#N/A,((Tabela1[[#This Row],[Consumer Price Index (CPI)]]*1)/B215)-1)</f>
        <v>1.2870012870014325E-3</v>
      </c>
      <c r="D216" s="8">
        <f>IF(Tabela1[[#This Row],[Consumer Price Index (CPI)]]="",#N/A,((Tabela1[[#This Row],[Consumer Price Index (CPI)]]*1)/B204)-1)</f>
        <v>1.2032520325203189E-2</v>
      </c>
      <c r="E216" s="25">
        <v>32.4</v>
      </c>
      <c r="F216" s="8">
        <f>IF(Tabela1[[#This Row],[Core Consumer Price Index]]="",#N/A,((Tabela1[[#This Row],[Core Consumer Price Index]]*1)/E215)-1)</f>
        <v>3.0959752321981782E-3</v>
      </c>
      <c r="G216" s="8">
        <f>IF(Tabela1[[#This Row],[Core Consumer Price Index]]="",#N/A,((Tabela1[[#This Row],[Core Consumer Price Index]]*1)/E204)-1)</f>
        <v>1.2499999999999956E-2</v>
      </c>
      <c r="H216" s="8">
        <f t="shared" si="6"/>
        <v>1.2383900928792713E-2</v>
      </c>
      <c r="I216" s="8">
        <f t="shared" si="7"/>
        <v>1.2403130588619415E-2</v>
      </c>
      <c r="J216" s="25">
        <v>26.1</v>
      </c>
      <c r="K216" s="8">
        <f>IF(Tabela1[[#This Row],[Services CPI]]="",#N/A,((Tabela1[[#This Row],[Services CPI]]*1)/J215)-1)</f>
        <v>3.8461538461538325E-3</v>
      </c>
      <c r="L216" s="8">
        <f>IF(Tabela1[[#This Row],[Services CPI]]="",#N/A,((Tabela1[[#This Row],[Services CPI]]*1)/J204)-1)</f>
        <v>1.953125E-2</v>
      </c>
      <c r="M216" s="7"/>
      <c r="N216" s="8"/>
      <c r="O216" s="8"/>
      <c r="P216" s="7">
        <v>38.9</v>
      </c>
      <c r="Q216" s="8">
        <f>IF(Tabela1[[#This Row],[Durable Goods CPI]]="",#N/A,((Tabela1[[#This Row],[Durable Goods CPI]]*1)/P215)-1)</f>
        <v>-2.564102564102555E-3</v>
      </c>
      <c r="R216" s="8">
        <f>IF(Tabela1[[#This Row],[Durable Goods CPI]]="",#N/A,((Tabela1[[#This Row],[Durable Goods CPI]]*1)/P204)-1)</f>
        <v>2.5773195876288568E-3</v>
      </c>
      <c r="S216" s="7"/>
      <c r="T216" s="7">
        <v>16.361999999999998</v>
      </c>
      <c r="U216" s="8">
        <f>IF(Tabela1[[#This Row],[Personal Consumption Expenditures (PCE)]]="",#N/A,((Tabela1[[#This Row],[Personal Consumption Expenditures (PCE)]]*1)/T215)-1)</f>
        <v>6.1154598825829964E-4</v>
      </c>
      <c r="V216" s="8">
        <f>IF(Tabela1[[#This Row],[Personal Consumption Expenditures (PCE)]]="",#N/A,((Tabela1[[#This Row],[Personal Consumption Expenditures (PCE)]]*1)/T204)-1)</f>
        <v>1.3566251626091708E-2</v>
      </c>
      <c r="W216" s="7">
        <v>16.859000000000002</v>
      </c>
      <c r="X216" s="8">
        <f>IF(Tabela1[[#This Row],[Core PCE]]="",#N/A,((Tabela1[[#This Row],[Core PCE]]*1)/W215)-1)</f>
        <v>4.1538096368398669E-4</v>
      </c>
      <c r="Y216" s="8">
        <f>IF(Tabela1[[#This Row],[Core PCE]]="",#N/A,((Tabela1[[#This Row],[Core PCE]]*1)/W204)-1)</f>
        <v>1.2248574001801238E-2</v>
      </c>
      <c r="Z216" s="8">
        <f t="shared" si="5"/>
        <v>8.5546720022273703E-3</v>
      </c>
      <c r="AA216" s="8">
        <f t="shared" si="3"/>
        <v>9.3981579673099169E-3</v>
      </c>
      <c r="AB216" s="7"/>
      <c r="AC216" s="7"/>
      <c r="AD216" s="8"/>
      <c r="AE216" s="71"/>
      <c r="AF216" s="7"/>
      <c r="AG216" s="5"/>
    </row>
    <row r="217" spans="1:33" ht="12.75">
      <c r="A217" s="6">
        <v>23682</v>
      </c>
      <c r="B217" s="7">
        <v>31.21</v>
      </c>
      <c r="C217" s="8">
        <f>IF(Tabela1[[#This Row],[Consumer Price Index (CPI)]]="",#N/A,((Tabela1[[#This Row],[Consumer Price Index (CPI)]]*1)/B216)-1)</f>
        <v>2.8920308483291191E-3</v>
      </c>
      <c r="D217" s="8">
        <f>IF(Tabela1[[#This Row],[Consumer Price Index (CPI)]]="",#N/A,((Tabela1[[#This Row],[Consumer Price Index (CPI)]]*1)/B205)-1)</f>
        <v>1.3970110461338558E-2</v>
      </c>
      <c r="E217" s="25">
        <v>32.5</v>
      </c>
      <c r="F217" s="8">
        <f>IF(Tabela1[[#This Row],[Core Consumer Price Index]]="",#N/A,((Tabela1[[#This Row],[Core Consumer Price Index]]*1)/E216)-1)</f>
        <v>3.0864197530864335E-3</v>
      </c>
      <c r="G217" s="8">
        <f>IF(Tabela1[[#This Row],[Core Consumer Price Index]]="",#N/A,((Tabela1[[#This Row],[Core Consumer Price Index]]*1)/E205)-1)</f>
        <v>1.5625E-2</v>
      </c>
      <c r="H217" s="8">
        <f t="shared" si="6"/>
        <v>2.4729579941138446E-2</v>
      </c>
      <c r="I217" s="8">
        <f t="shared" si="7"/>
        <v>1.8575970094792282E-2</v>
      </c>
      <c r="J217" s="25">
        <v>26.2</v>
      </c>
      <c r="K217" s="8">
        <f>IF(Tabela1[[#This Row],[Services CPI]]="",#N/A,((Tabela1[[#This Row],[Services CPI]]*1)/J216)-1)</f>
        <v>3.8314176245208831E-3</v>
      </c>
      <c r="L217" s="8">
        <f>IF(Tabela1[[#This Row],[Services CPI]]="",#N/A,((Tabela1[[#This Row],[Services CPI]]*1)/J205)-1)</f>
        <v>1.9455252918287869E-2</v>
      </c>
      <c r="M217" s="7"/>
      <c r="N217" s="8"/>
      <c r="O217" s="8"/>
      <c r="P217" s="7">
        <v>39</v>
      </c>
      <c r="Q217" s="8">
        <f>IF(Tabela1[[#This Row],[Durable Goods CPI]]="",#N/A,((Tabela1[[#This Row],[Durable Goods CPI]]*1)/P216)-1)</f>
        <v>2.5706940874037354E-3</v>
      </c>
      <c r="R217" s="8">
        <f>IF(Tabela1[[#This Row],[Durable Goods CPI]]="",#N/A,((Tabela1[[#This Row],[Durable Goods CPI]]*1)/P205)-1)</f>
        <v>5.1546391752577136E-3</v>
      </c>
      <c r="S217" s="7"/>
      <c r="T217" s="7">
        <v>16.385000000000002</v>
      </c>
      <c r="U217" s="8">
        <f>IF(Tabela1[[#This Row],[Personal Consumption Expenditures (PCE)]]="",#N/A,((Tabela1[[#This Row],[Personal Consumption Expenditures (PCE)]]*1)/T216)-1)</f>
        <v>1.4056961251682765E-3</v>
      </c>
      <c r="V217" s="8">
        <f>IF(Tabela1[[#This Row],[Personal Consumption Expenditures (PCE)]]="",#N/A,((Tabela1[[#This Row],[Personal Consumption Expenditures (PCE)]]*1)/T205)-1)</f>
        <v>1.3546950389706769E-2</v>
      </c>
      <c r="W217" s="7">
        <v>16.882999999999999</v>
      </c>
      <c r="X217" s="8">
        <f>IF(Tabela1[[#This Row],[Core PCE]]="",#N/A,((Tabela1[[#This Row],[Core PCE]]*1)/W216)-1)</f>
        <v>1.4235719793580515E-3</v>
      </c>
      <c r="Y217" s="8">
        <f>IF(Tabela1[[#This Row],[Core PCE]]="",#N/A,((Tabela1[[#This Row],[Core PCE]]*1)/W205)-1)</f>
        <v>1.2777444511097524E-2</v>
      </c>
      <c r="Z217" s="8">
        <f t="shared" si="5"/>
        <v>9.0180260790848621E-3</v>
      </c>
      <c r="AA217" s="8">
        <f t="shared" ref="AA217:AA280" si="8">SUM(X212:X217)*2</f>
        <v>1.0576648767504082E-2</v>
      </c>
      <c r="AB217" s="7"/>
      <c r="AC217" s="7"/>
      <c r="AD217" s="8"/>
      <c r="AE217" s="71"/>
      <c r="AF217" s="7"/>
      <c r="AG217" s="5"/>
    </row>
    <row r="218" spans="1:33" ht="12.75">
      <c r="A218" s="6">
        <v>23712</v>
      </c>
      <c r="B218" s="7">
        <v>31.25</v>
      </c>
      <c r="C218" s="8">
        <f>IF(Tabela1[[#This Row],[Consumer Price Index (CPI)]]="",#N/A,((Tabela1[[#This Row],[Consumer Price Index (CPI)]]*1)/B217)-1)</f>
        <v>1.281640499839698E-3</v>
      </c>
      <c r="D218" s="8">
        <f>IF(Tabela1[[#This Row],[Consumer Price Index (CPI)]]="",#N/A,((Tabela1[[#This Row],[Consumer Price Index (CPI)]]*1)/B206)-1)</f>
        <v>1.1981865284974136E-2</v>
      </c>
      <c r="E218" s="25">
        <v>32.5</v>
      </c>
      <c r="F218" s="8">
        <f>IF(Tabela1[[#This Row],[Core Consumer Price Index]]="",#N/A,((Tabela1[[#This Row],[Core Consumer Price Index]]*1)/E217)-1)</f>
        <v>0</v>
      </c>
      <c r="G218" s="8">
        <f>IF(Tabela1[[#This Row],[Core Consumer Price Index]]="",#N/A,((Tabela1[[#This Row],[Core Consumer Price Index]]*1)/E206)-1)</f>
        <v>1.2461059190031154E-2</v>
      </c>
      <c r="H218" s="8">
        <f t="shared" si="6"/>
        <v>2.4729579941138446E-2</v>
      </c>
      <c r="I218" s="8">
        <f t="shared" si="7"/>
        <v>1.2364789970569223E-2</v>
      </c>
      <c r="J218" s="25">
        <v>26.2</v>
      </c>
      <c r="K218" s="8">
        <f>IF(Tabela1[[#This Row],[Services CPI]]="",#N/A,((Tabela1[[#This Row],[Services CPI]]*1)/J217)-1)</f>
        <v>0</v>
      </c>
      <c r="L218" s="8">
        <f>IF(Tabela1[[#This Row],[Services CPI]]="",#N/A,((Tabela1[[#This Row],[Services CPI]]*1)/J206)-1)</f>
        <v>1.5503875968992276E-2</v>
      </c>
      <c r="M218" s="7"/>
      <c r="N218" s="8"/>
      <c r="O218" s="8"/>
      <c r="P218" s="7">
        <v>39</v>
      </c>
      <c r="Q218" s="8">
        <f>IF(Tabela1[[#This Row],[Durable Goods CPI]]="",#N/A,((Tabela1[[#This Row],[Durable Goods CPI]]*1)/P217)-1)</f>
        <v>0</v>
      </c>
      <c r="R218" s="8">
        <f>IF(Tabela1[[#This Row],[Durable Goods CPI]]="",#N/A,((Tabela1[[#This Row],[Durable Goods CPI]]*1)/P206)-1)</f>
        <v>2.5706940874037354E-3</v>
      </c>
      <c r="S218" s="7"/>
      <c r="T218" s="7">
        <v>16.408999999999999</v>
      </c>
      <c r="U218" s="8">
        <f>IF(Tabela1[[#This Row],[Personal Consumption Expenditures (PCE)]]="",#N/A,((Tabela1[[#This Row],[Personal Consumption Expenditures (PCE)]]*1)/T217)-1)</f>
        <v>1.464754348489361E-3</v>
      </c>
      <c r="V218" s="8">
        <f>IF(Tabela1[[#This Row],[Personal Consumption Expenditures (PCE)]]="",#N/A,((Tabela1[[#This Row],[Personal Consumption Expenditures (PCE)]]*1)/T206)-1)</f>
        <v>1.3526868437306883E-2</v>
      </c>
      <c r="W218" s="7">
        <v>16.907</v>
      </c>
      <c r="X218" s="8">
        <f>IF(Tabela1[[#This Row],[Core PCE]]="",#N/A,((Tabela1[[#This Row],[Core PCE]]*1)/W217)-1)</f>
        <v>1.4215483030268761E-3</v>
      </c>
      <c r="Y218" s="8">
        <f>IF(Tabela1[[#This Row],[Core PCE]]="",#N/A,((Tabela1[[#This Row],[Core PCE]]*1)/W206)-1)</f>
        <v>1.2759075116808516E-2</v>
      </c>
      <c r="Z218" s="8">
        <f t="shared" si="5"/>
        <v>1.3042004984275657E-2</v>
      </c>
      <c r="AA218" s="8">
        <f t="shared" si="8"/>
        <v>1.1990663558623993E-2</v>
      </c>
      <c r="AB218" s="7"/>
      <c r="AC218" s="7"/>
      <c r="AD218" s="8"/>
      <c r="AE218" s="71"/>
      <c r="AF218" s="7"/>
      <c r="AG218" s="5"/>
    </row>
    <row r="219" spans="1:33" ht="12.75">
      <c r="A219" s="6">
        <v>23743</v>
      </c>
      <c r="B219" s="7">
        <v>31.28</v>
      </c>
      <c r="C219" s="8">
        <f>IF(Tabela1[[#This Row],[Consumer Price Index (CPI)]]="",#N/A,((Tabela1[[#This Row],[Consumer Price Index (CPI)]]*1)/B218)-1)</f>
        <v>9.6000000000007191E-4</v>
      </c>
      <c r="D219" s="8">
        <f>IF(Tabela1[[#This Row],[Consumer Price Index (CPI)]]="",#N/A,((Tabela1[[#This Row],[Consumer Price Index (CPI)]]*1)/B207)-1)</f>
        <v>1.098901098901095E-2</v>
      </c>
      <c r="E219" s="25">
        <v>32.6</v>
      </c>
      <c r="F219" s="8">
        <f>IF(Tabela1[[#This Row],[Core Consumer Price Index]]="",#N/A,((Tabela1[[#This Row],[Core Consumer Price Index]]*1)/E218)-1)</f>
        <v>3.0769230769231992E-3</v>
      </c>
      <c r="G219" s="8">
        <f>IF(Tabela1[[#This Row],[Core Consumer Price Index]]="",#N/A,((Tabela1[[#This Row],[Core Consumer Price Index]]*1)/E207)-1)</f>
        <v>1.2422360248447228E-2</v>
      </c>
      <c r="H219" s="8">
        <f t="shared" si="6"/>
        <v>2.4653371320038531E-2</v>
      </c>
      <c r="I219" s="8">
        <f t="shared" si="7"/>
        <v>1.8518636124415622E-2</v>
      </c>
      <c r="J219" s="25">
        <v>26.3</v>
      </c>
      <c r="K219" s="8">
        <f>IF(Tabela1[[#This Row],[Services CPI]]="",#N/A,((Tabela1[[#This Row],[Services CPI]]*1)/J218)-1)</f>
        <v>3.8167938931297218E-3</v>
      </c>
      <c r="L219" s="8">
        <f>IF(Tabela1[[#This Row],[Services CPI]]="",#N/A,((Tabela1[[#This Row],[Services CPI]]*1)/J207)-1)</f>
        <v>1.9379844961240345E-2</v>
      </c>
      <c r="M219" s="7"/>
      <c r="N219" s="8"/>
      <c r="O219" s="8"/>
      <c r="P219" s="7">
        <v>39.200000000000003</v>
      </c>
      <c r="Q219" s="8">
        <f>IF(Tabela1[[#This Row],[Durable Goods CPI]]="",#N/A,((Tabela1[[#This Row],[Durable Goods CPI]]*1)/P218)-1)</f>
        <v>5.12820512820511E-3</v>
      </c>
      <c r="R219" s="8">
        <f>IF(Tabela1[[#This Row],[Durable Goods CPI]]="",#N/A,((Tabela1[[#This Row],[Durable Goods CPI]]*1)/P207)-1)</f>
        <v>7.7120822622109841E-3</v>
      </c>
      <c r="S219" s="7"/>
      <c r="T219" s="7">
        <v>16.427</v>
      </c>
      <c r="U219" s="8">
        <f>IF(Tabela1[[#This Row],[Personal Consumption Expenditures (PCE)]]="",#N/A,((Tabela1[[#This Row],[Personal Consumption Expenditures (PCE)]]*1)/T218)-1)</f>
        <v>1.096958985922436E-3</v>
      </c>
      <c r="V219" s="8">
        <f>IF(Tabela1[[#This Row],[Personal Consumption Expenditures (PCE)]]="",#N/A,((Tabela1[[#This Row],[Personal Consumption Expenditures (PCE)]]*1)/T207)-1)</f>
        <v>1.2512327416173585E-2</v>
      </c>
      <c r="W219" s="7">
        <v>16.93</v>
      </c>
      <c r="X219" s="8">
        <f>IF(Tabela1[[#This Row],[Core PCE]]="",#N/A,((Tabela1[[#This Row],[Core PCE]]*1)/W218)-1)</f>
        <v>1.3603832732005383E-3</v>
      </c>
      <c r="Y219" s="8">
        <f>IF(Tabela1[[#This Row],[Core PCE]]="",#N/A,((Tabela1[[#This Row],[Core PCE]]*1)/W207)-1)</f>
        <v>1.2741520607764567E-2</v>
      </c>
      <c r="Z219" s="8">
        <f t="shared" si="5"/>
        <v>1.6822014222341863E-2</v>
      </c>
      <c r="AA219" s="8">
        <f t="shared" si="8"/>
        <v>1.2688343112284617E-2</v>
      </c>
      <c r="AB219" s="7"/>
      <c r="AC219" s="7"/>
      <c r="AD219" s="8"/>
      <c r="AE219" s="71"/>
      <c r="AF219" s="7"/>
      <c r="AG219" s="5"/>
    </row>
    <row r="220" spans="1:33" ht="12.75">
      <c r="A220" s="6">
        <v>23774</v>
      </c>
      <c r="B220" s="7">
        <v>31.28</v>
      </c>
      <c r="C220" s="8">
        <f>IF(Tabela1[[#This Row],[Consumer Price Index (CPI)]]="",#N/A,((Tabela1[[#This Row],[Consumer Price Index (CPI)]]*1)/B219)-1)</f>
        <v>0</v>
      </c>
      <c r="D220" s="8">
        <f>IF(Tabela1[[#This Row],[Consumer Price Index (CPI)]]="",#N/A,((Tabela1[[#This Row],[Consumer Price Index (CPI)]]*1)/B208)-1)</f>
        <v>1.1970236169524417E-2</v>
      </c>
      <c r="E220" s="25">
        <v>32.6</v>
      </c>
      <c r="F220" s="8">
        <f>IF(Tabela1[[#This Row],[Core Consumer Price Index]]="",#N/A,((Tabela1[[#This Row],[Core Consumer Price Index]]*1)/E219)-1)</f>
        <v>0</v>
      </c>
      <c r="G220" s="8">
        <f>IF(Tabela1[[#This Row],[Core Consumer Price Index]]="",#N/A,((Tabela1[[#This Row],[Core Consumer Price Index]]*1)/E208)-1)</f>
        <v>1.2422360248447228E-2</v>
      </c>
      <c r="H220" s="8">
        <f t="shared" si="6"/>
        <v>1.2307692307692797E-2</v>
      </c>
      <c r="I220" s="8">
        <f t="shared" si="7"/>
        <v>1.8518636124415622E-2</v>
      </c>
      <c r="J220" s="25">
        <v>26.4</v>
      </c>
      <c r="K220" s="8">
        <f>IF(Tabela1[[#This Row],[Services CPI]]="",#N/A,((Tabela1[[#This Row],[Services CPI]]*1)/J219)-1)</f>
        <v>3.8022813688212143E-3</v>
      </c>
      <c r="L220" s="8">
        <f>IF(Tabela1[[#This Row],[Services CPI]]="",#N/A,((Tabela1[[#This Row],[Services CPI]]*1)/J208)-1)</f>
        <v>2.3255813953488191E-2</v>
      </c>
      <c r="M220" s="7"/>
      <c r="N220" s="8"/>
      <c r="O220" s="8"/>
      <c r="P220" s="7">
        <v>39.1</v>
      </c>
      <c r="Q220" s="8">
        <f>IF(Tabela1[[#This Row],[Durable Goods CPI]]="",#N/A,((Tabela1[[#This Row],[Durable Goods CPI]]*1)/P219)-1)</f>
        <v>-2.5510204081633514E-3</v>
      </c>
      <c r="R220" s="8">
        <f>IF(Tabela1[[#This Row],[Durable Goods CPI]]="",#N/A,((Tabela1[[#This Row],[Durable Goods CPI]]*1)/P208)-1)</f>
        <v>2.564102564102555E-3</v>
      </c>
      <c r="S220" s="7"/>
      <c r="T220" s="7">
        <v>16.434000000000001</v>
      </c>
      <c r="U220" s="8">
        <f>IF(Tabela1[[#This Row],[Personal Consumption Expenditures (PCE)]]="",#N/A,((Tabela1[[#This Row],[Personal Consumption Expenditures (PCE)]]*1)/T219)-1)</f>
        <v>4.2612771656425075E-4</v>
      </c>
      <c r="V220" s="8">
        <f>IF(Tabela1[[#This Row],[Personal Consumption Expenditures (PCE)]]="",#N/A,((Tabela1[[#This Row],[Personal Consumption Expenditures (PCE)]]*1)/T208)-1)</f>
        <v>1.1509817197021155E-2</v>
      </c>
      <c r="W220" s="7">
        <v>16.95</v>
      </c>
      <c r="X220" s="8">
        <f>IF(Tabela1[[#This Row],[Core PCE]]="",#N/A,((Tabela1[[#This Row],[Core PCE]]*1)/W219)-1)</f>
        <v>1.1813349084466296E-3</v>
      </c>
      <c r="Y220" s="8">
        <f>IF(Tabela1[[#This Row],[Core PCE]]="",#N/A,((Tabela1[[#This Row],[Core PCE]]*1)/W208)-1)</f>
        <v>1.2000716460684346E-2</v>
      </c>
      <c r="Z220" s="8">
        <f t="shared" si="5"/>
        <v>1.5853065938696176E-2</v>
      </c>
      <c r="AA220" s="8">
        <f t="shared" si="8"/>
        <v>1.2435546008890519E-2</v>
      </c>
      <c r="AB220" s="7"/>
      <c r="AC220" s="7"/>
      <c r="AD220" s="8"/>
      <c r="AE220" s="71"/>
      <c r="AF220" s="7"/>
      <c r="AG220" s="5"/>
    </row>
    <row r="221" spans="1:33" ht="12.75">
      <c r="A221" s="6">
        <v>23802</v>
      </c>
      <c r="B221" s="7">
        <v>31.31</v>
      </c>
      <c r="C221" s="8">
        <f>IF(Tabela1[[#This Row],[Consumer Price Index (CPI)]]="",#N/A,((Tabela1[[#This Row],[Consumer Price Index (CPI)]]*1)/B220)-1)</f>
        <v>9.5907928388738739E-4</v>
      </c>
      <c r="D221" s="8">
        <f>IF(Tabela1[[#This Row],[Consumer Price Index (CPI)]]="",#N/A,((Tabela1[[#This Row],[Consumer Price Index (CPI)]]*1)/B209)-1)</f>
        <v>1.1958629605688387E-2</v>
      </c>
      <c r="E221" s="25">
        <v>32.6</v>
      </c>
      <c r="F221" s="8">
        <f>IF(Tabela1[[#This Row],[Core Consumer Price Index]]="",#N/A,((Tabela1[[#This Row],[Core Consumer Price Index]]*1)/E220)-1)</f>
        <v>0</v>
      </c>
      <c r="G221" s="8">
        <f>IF(Tabela1[[#This Row],[Core Consumer Price Index]]="",#N/A,((Tabela1[[#This Row],[Core Consumer Price Index]]*1)/E209)-1)</f>
        <v>1.2422360248447228E-2</v>
      </c>
      <c r="H221" s="8">
        <f t="shared" si="6"/>
        <v>1.2307692307692797E-2</v>
      </c>
      <c r="I221" s="8">
        <f t="shared" si="7"/>
        <v>1.8518636124415622E-2</v>
      </c>
      <c r="J221" s="25">
        <v>26.4</v>
      </c>
      <c r="K221" s="8">
        <f>IF(Tabela1[[#This Row],[Services CPI]]="",#N/A,((Tabela1[[#This Row],[Services CPI]]*1)/J220)-1)</f>
        <v>0</v>
      </c>
      <c r="L221" s="8">
        <f>IF(Tabela1[[#This Row],[Services CPI]]="",#N/A,((Tabela1[[#This Row],[Services CPI]]*1)/J209)-1)</f>
        <v>2.3255813953488191E-2</v>
      </c>
      <c r="M221" s="7"/>
      <c r="N221" s="8"/>
      <c r="O221" s="8"/>
      <c r="P221" s="7">
        <v>39.1</v>
      </c>
      <c r="Q221" s="8">
        <f>IF(Tabela1[[#This Row],[Durable Goods CPI]]="",#N/A,((Tabela1[[#This Row],[Durable Goods CPI]]*1)/P220)-1)</f>
        <v>0</v>
      </c>
      <c r="R221" s="8">
        <f>IF(Tabela1[[#This Row],[Durable Goods CPI]]="",#N/A,((Tabela1[[#This Row],[Durable Goods CPI]]*1)/P209)-1)</f>
        <v>2.564102564102555E-3</v>
      </c>
      <c r="S221" s="7"/>
      <c r="T221" s="7">
        <v>16.454999999999998</v>
      </c>
      <c r="U221" s="8">
        <f>IF(Tabela1[[#This Row],[Personal Consumption Expenditures (PCE)]]="",#N/A,((Tabela1[[#This Row],[Personal Consumption Expenditures (PCE)]]*1)/T220)-1)</f>
        <v>1.277838627236072E-3</v>
      </c>
      <c r="V221" s="8">
        <f>IF(Tabela1[[#This Row],[Personal Consumption Expenditures (PCE)]]="",#N/A,((Tabela1[[#This Row],[Personal Consumption Expenditures (PCE)]]*1)/T209)-1)</f>
        <v>1.2179368887248465E-2</v>
      </c>
      <c r="W221" s="7">
        <v>16.96</v>
      </c>
      <c r="X221" s="8">
        <f>IF(Tabela1[[#This Row],[Core PCE]]="",#N/A,((Tabela1[[#This Row],[Core PCE]]*1)/W220)-1)</f>
        <v>5.8997050147491237E-4</v>
      </c>
      <c r="Y221" s="8">
        <f>IF(Tabela1[[#This Row],[Core PCE]]="",#N/A,((Tabela1[[#This Row],[Core PCE]]*1)/W209)-1)</f>
        <v>1.1631374888159796E-2</v>
      </c>
      <c r="Z221" s="8">
        <f t="shared" si="5"/>
        <v>1.2526754732488321E-2</v>
      </c>
      <c r="AA221" s="8">
        <f t="shared" si="8"/>
        <v>1.2784379858381989E-2</v>
      </c>
      <c r="AB221" s="7"/>
      <c r="AC221" s="7"/>
      <c r="AD221" s="8"/>
      <c r="AE221" s="71"/>
      <c r="AF221" s="7"/>
      <c r="AG221" s="5"/>
    </row>
    <row r="222" spans="1:33" ht="12.75">
      <c r="A222" s="6">
        <v>23833</v>
      </c>
      <c r="B222" s="7">
        <v>31.38</v>
      </c>
      <c r="C222" s="8">
        <f>IF(Tabela1[[#This Row],[Consumer Price Index (CPI)]]="",#N/A,((Tabela1[[#This Row],[Consumer Price Index (CPI)]]*1)/B221)-1)</f>
        <v>2.235707441711865E-3</v>
      </c>
      <c r="D222" s="8">
        <f>IF(Tabela1[[#This Row],[Consumer Price Index (CPI)]]="",#N/A,((Tabela1[[#This Row],[Consumer Price Index (CPI)]]*1)/B210)-1)</f>
        <v>1.3893376413570246E-2</v>
      </c>
      <c r="E222" s="25">
        <v>32.700000000000003</v>
      </c>
      <c r="F222" s="8">
        <f>IF(Tabela1[[#This Row],[Core Consumer Price Index]]="",#N/A,((Tabela1[[#This Row],[Core Consumer Price Index]]*1)/E221)-1)</f>
        <v>3.0674846625766694E-3</v>
      </c>
      <c r="G222" s="8">
        <f>IF(Tabela1[[#This Row],[Core Consumer Price Index]]="",#N/A,((Tabela1[[#This Row],[Core Consumer Price Index]]*1)/E210)-1)</f>
        <v>1.552795031055898E-2</v>
      </c>
      <c r="H222" s="8">
        <f t="shared" si="6"/>
        <v>1.2269938650306678E-2</v>
      </c>
      <c r="I222" s="8">
        <f t="shared" si="7"/>
        <v>1.8461654985172604E-2</v>
      </c>
      <c r="J222" s="25">
        <v>26.5</v>
      </c>
      <c r="K222" s="8">
        <f>IF(Tabela1[[#This Row],[Services CPI]]="",#N/A,((Tabela1[[#This Row],[Services CPI]]*1)/J221)-1)</f>
        <v>3.7878787878788955E-3</v>
      </c>
      <c r="L222" s="8">
        <f>IF(Tabela1[[#This Row],[Services CPI]]="",#N/A,((Tabela1[[#This Row],[Services CPI]]*1)/J210)-1)</f>
        <v>2.316602316602312E-2</v>
      </c>
      <c r="M222" s="7"/>
      <c r="N222" s="8"/>
      <c r="O222" s="8"/>
      <c r="P222" s="7">
        <v>39</v>
      </c>
      <c r="Q222" s="8">
        <f>IF(Tabela1[[#This Row],[Durable Goods CPI]]="",#N/A,((Tabela1[[#This Row],[Durable Goods CPI]]*1)/P221)-1)</f>
        <v>-2.5575447570332921E-3</v>
      </c>
      <c r="R222" s="8">
        <f>IF(Tabela1[[#This Row],[Durable Goods CPI]]="",#N/A,((Tabela1[[#This Row],[Durable Goods CPI]]*1)/P210)-1)</f>
        <v>0</v>
      </c>
      <c r="S222" s="7"/>
      <c r="T222" s="7">
        <v>16.481000000000002</v>
      </c>
      <c r="U222" s="8">
        <f>IF(Tabela1[[#This Row],[Personal Consumption Expenditures (PCE)]]="",#N/A,((Tabela1[[#This Row],[Personal Consumption Expenditures (PCE)]]*1)/T221)-1)</f>
        <v>1.5800668489822645E-3</v>
      </c>
      <c r="V222" s="8">
        <f>IF(Tabela1[[#This Row],[Personal Consumption Expenditures (PCE)]]="",#N/A,((Tabela1[[#This Row],[Personal Consumption Expenditures (PCE)]]*1)/T210)-1)</f>
        <v>1.3030917696232214E-2</v>
      </c>
      <c r="W222" s="7">
        <v>16.98</v>
      </c>
      <c r="X222" s="8">
        <f>IF(Tabela1[[#This Row],[Core PCE]]="",#N/A,((Tabela1[[#This Row],[Core PCE]]*1)/W221)-1)</f>
        <v>1.179245283018826E-3</v>
      </c>
      <c r="Y222" s="8">
        <f>IF(Tabela1[[#This Row],[Core PCE]]="",#N/A,((Tabela1[[#This Row],[Core PCE]]*1)/W210)-1)</f>
        <v>1.1918951132300348E-2</v>
      </c>
      <c r="Z222" s="8">
        <f t="shared" si="5"/>
        <v>1.1802202771761472E-2</v>
      </c>
      <c r="AA222" s="8">
        <f t="shared" si="8"/>
        <v>1.4312108497051668E-2</v>
      </c>
      <c r="AB222" s="7"/>
      <c r="AC222" s="7"/>
      <c r="AD222" s="8"/>
      <c r="AE222" s="71"/>
      <c r="AF222" s="7"/>
      <c r="AG222" s="5"/>
    </row>
    <row r="223" spans="1:33" ht="12.75">
      <c r="A223" s="6">
        <v>23863</v>
      </c>
      <c r="B223" s="7">
        <v>31.48</v>
      </c>
      <c r="C223" s="8">
        <f>IF(Tabela1[[#This Row],[Consumer Price Index (CPI)]]="",#N/A,((Tabela1[[#This Row],[Consumer Price Index (CPI)]]*1)/B222)-1)</f>
        <v>3.1867431485022024E-3</v>
      </c>
      <c r="D223" s="8">
        <f>IF(Tabela1[[#This Row],[Consumer Price Index (CPI)]]="",#N/A,((Tabela1[[#This Row],[Consumer Price Index (CPI)]]*1)/B211)-1)</f>
        <v>1.6139444803098701E-2</v>
      </c>
      <c r="E223" s="25">
        <v>32.700000000000003</v>
      </c>
      <c r="F223" s="8">
        <f>IF(Tabela1[[#This Row],[Core Consumer Price Index]]="",#N/A,((Tabela1[[#This Row],[Core Consumer Price Index]]*1)/E222)-1)</f>
        <v>0</v>
      </c>
      <c r="G223" s="8">
        <f>IF(Tabela1[[#This Row],[Core Consumer Price Index]]="",#N/A,((Tabela1[[#This Row],[Core Consumer Price Index]]*1)/E211)-1)</f>
        <v>1.552795031055898E-2</v>
      </c>
      <c r="H223" s="8">
        <f t="shared" si="6"/>
        <v>1.2269938650306678E-2</v>
      </c>
      <c r="I223" s="8">
        <f t="shared" si="7"/>
        <v>1.2288815478999737E-2</v>
      </c>
      <c r="J223" s="25">
        <v>26.5</v>
      </c>
      <c r="K223" s="8">
        <f>IF(Tabela1[[#This Row],[Services CPI]]="",#N/A,((Tabela1[[#This Row],[Services CPI]]*1)/J222)-1)</f>
        <v>0</v>
      </c>
      <c r="L223" s="8">
        <f>IF(Tabela1[[#This Row],[Services CPI]]="",#N/A,((Tabela1[[#This Row],[Services CPI]]*1)/J211)-1)</f>
        <v>2.316602316602312E-2</v>
      </c>
      <c r="M223" s="7"/>
      <c r="N223" s="8"/>
      <c r="O223" s="8"/>
      <c r="P223" s="7">
        <v>38.9</v>
      </c>
      <c r="Q223" s="8">
        <f>IF(Tabela1[[#This Row],[Durable Goods CPI]]="",#N/A,((Tabela1[[#This Row],[Durable Goods CPI]]*1)/P222)-1)</f>
        <v>-2.564102564102555E-3</v>
      </c>
      <c r="R223" s="8">
        <f>IF(Tabela1[[#This Row],[Durable Goods CPI]]="",#N/A,((Tabela1[[#This Row],[Durable Goods CPI]]*1)/P211)-1)</f>
        <v>0</v>
      </c>
      <c r="S223" s="7"/>
      <c r="T223" s="7">
        <v>16.518000000000001</v>
      </c>
      <c r="U223" s="8">
        <f>IF(Tabela1[[#This Row],[Personal Consumption Expenditures (PCE)]]="",#N/A,((Tabela1[[#This Row],[Personal Consumption Expenditures (PCE)]]*1)/T222)-1)</f>
        <v>2.2450094047690161E-3</v>
      </c>
      <c r="V223" s="8">
        <f>IF(Tabela1[[#This Row],[Personal Consumption Expenditures (PCE)]]="",#N/A,((Tabela1[[#This Row],[Personal Consumption Expenditures (PCE)]]*1)/T211)-1)</f>
        <v>1.5180382275213455E-2</v>
      </c>
      <c r="W223" s="7">
        <v>17.010999999999999</v>
      </c>
      <c r="X223" s="8">
        <f>IF(Tabela1[[#This Row],[Core PCE]]="",#N/A,((Tabela1[[#This Row],[Core PCE]]*1)/W222)-1)</f>
        <v>1.8256772673732602E-3</v>
      </c>
      <c r="Y223" s="8">
        <f>IF(Tabela1[[#This Row],[Core PCE]]="",#N/A,((Tabela1[[#This Row],[Core PCE]]*1)/W211)-1)</f>
        <v>1.2921281410027241E-2</v>
      </c>
      <c r="Z223" s="8">
        <f t="shared" si="5"/>
        <v>1.4379572207467994E-2</v>
      </c>
      <c r="AA223" s="8">
        <f t="shared" si="8"/>
        <v>1.5116319073082085E-2</v>
      </c>
      <c r="AB223" s="7"/>
      <c r="AC223" s="7"/>
      <c r="AD223" s="8"/>
      <c r="AE223" s="71"/>
      <c r="AF223" s="7"/>
      <c r="AG223" s="5"/>
    </row>
    <row r="224" spans="1:33" ht="12.75">
      <c r="A224" s="6">
        <v>23894</v>
      </c>
      <c r="B224" s="7">
        <v>31.61</v>
      </c>
      <c r="C224" s="8">
        <f>IF(Tabela1[[#This Row],[Consumer Price Index (CPI)]]="",#N/A,((Tabela1[[#This Row],[Consumer Price Index (CPI)]]*1)/B223)-1)</f>
        <v>4.1296060991105055E-3</v>
      </c>
      <c r="D224" s="8">
        <f>IF(Tabela1[[#This Row],[Consumer Price Index (CPI)]]="",#N/A,((Tabela1[[#This Row],[Consumer Price Index (CPI)]]*1)/B212)-1)</f>
        <v>1.9348597226700903E-2</v>
      </c>
      <c r="E224" s="25">
        <v>32.700000000000003</v>
      </c>
      <c r="F224" s="8">
        <f>IF(Tabela1[[#This Row],[Core Consumer Price Index]]="",#N/A,((Tabela1[[#This Row],[Core Consumer Price Index]]*1)/E223)-1)</f>
        <v>0</v>
      </c>
      <c r="G224" s="8">
        <f>IF(Tabela1[[#This Row],[Core Consumer Price Index]]="",#N/A,((Tabela1[[#This Row],[Core Consumer Price Index]]*1)/E212)-1)</f>
        <v>1.2383900928792713E-2</v>
      </c>
      <c r="H224" s="8">
        <f t="shared" si="6"/>
        <v>1.2269938650306678E-2</v>
      </c>
      <c r="I224" s="8">
        <f t="shared" si="7"/>
        <v>1.2288815478999737E-2</v>
      </c>
      <c r="J224" s="25">
        <v>26.5</v>
      </c>
      <c r="K224" s="8">
        <f>IF(Tabela1[[#This Row],[Services CPI]]="",#N/A,((Tabela1[[#This Row],[Services CPI]]*1)/J223)-1)</f>
        <v>0</v>
      </c>
      <c r="L224" s="8">
        <f>IF(Tabela1[[#This Row],[Services CPI]]="",#N/A,((Tabela1[[#This Row],[Services CPI]]*1)/J212)-1)</f>
        <v>1.9230769230769162E-2</v>
      </c>
      <c r="M224" s="7"/>
      <c r="N224" s="8"/>
      <c r="O224" s="8"/>
      <c r="P224" s="7">
        <v>38.799999999999997</v>
      </c>
      <c r="Q224" s="8">
        <f>IF(Tabela1[[#This Row],[Durable Goods CPI]]="",#N/A,((Tabela1[[#This Row],[Durable Goods CPI]]*1)/P223)-1)</f>
        <v>-2.5706940874036244E-3</v>
      </c>
      <c r="R224" s="8">
        <f>IF(Tabela1[[#This Row],[Durable Goods CPI]]="",#N/A,((Tabela1[[#This Row],[Durable Goods CPI]]*1)/P212)-1)</f>
        <v>-2.5706940874036244E-3</v>
      </c>
      <c r="S224" s="7"/>
      <c r="T224" s="7">
        <v>16.565999999999999</v>
      </c>
      <c r="U224" s="8">
        <f>IF(Tabela1[[#This Row],[Personal Consumption Expenditures (PCE)]]="",#N/A,((Tabela1[[#This Row],[Personal Consumption Expenditures (PCE)]]*1)/T223)-1)</f>
        <v>2.9059208136577031E-3</v>
      </c>
      <c r="V224" s="8">
        <f>IF(Tabela1[[#This Row],[Personal Consumption Expenditures (PCE)]]="",#N/A,((Tabela1[[#This Row],[Personal Consumption Expenditures (PCE)]]*1)/T212)-1)</f>
        <v>1.669326132318627E-2</v>
      </c>
      <c r="W224" s="7">
        <v>17.007000000000001</v>
      </c>
      <c r="X224" s="8">
        <f>IF(Tabela1[[#This Row],[Core PCE]]="",#N/A,((Tabela1[[#This Row],[Core PCE]]*1)/W223)-1)</f>
        <v>-2.3514196696239331E-4</v>
      </c>
      <c r="Y224" s="8">
        <f>IF(Tabela1[[#This Row],[Core PCE]]="",#N/A,((Tabela1[[#This Row],[Core PCE]]*1)/W212)-1)</f>
        <v>1.1960014280613995E-2</v>
      </c>
      <c r="Z224" s="8">
        <f t="shared" si="5"/>
        <v>1.1079122333718772E-2</v>
      </c>
      <c r="AA224" s="8">
        <f t="shared" si="8"/>
        <v>1.1802938533103546E-2</v>
      </c>
      <c r="AB224" s="7"/>
      <c r="AC224" s="7"/>
      <c r="AD224" s="8"/>
      <c r="AE224" s="71"/>
      <c r="AF224" s="7"/>
      <c r="AG224" s="5"/>
    </row>
    <row r="225" spans="1:33" ht="12.75">
      <c r="A225" s="6">
        <v>23924</v>
      </c>
      <c r="B225" s="7">
        <v>31.58</v>
      </c>
      <c r="C225" s="8">
        <f>IF(Tabela1[[#This Row],[Consumer Price Index (CPI)]]="",#N/A,((Tabela1[[#This Row],[Consumer Price Index (CPI)]]*1)/B224)-1)</f>
        <v>-9.4906675102823801E-4</v>
      </c>
      <c r="D225" s="8">
        <f>IF(Tabela1[[#This Row],[Consumer Price Index (CPI)]]="",#N/A,((Tabela1[[#This Row],[Consumer Price Index (CPI)]]*1)/B213)-1)</f>
        <v>1.8052869116698789E-2</v>
      </c>
      <c r="E225" s="25">
        <v>32.700000000000003</v>
      </c>
      <c r="F225" s="8">
        <f>IF(Tabela1[[#This Row],[Core Consumer Price Index]]="",#N/A,((Tabela1[[#This Row],[Core Consumer Price Index]]*1)/E224)-1)</f>
        <v>0</v>
      </c>
      <c r="G225" s="8">
        <f>IF(Tabela1[[#This Row],[Core Consumer Price Index]]="",#N/A,((Tabela1[[#This Row],[Core Consumer Price Index]]*1)/E213)-1)</f>
        <v>1.2383900928792713E-2</v>
      </c>
      <c r="H225" s="8">
        <f t="shared" si="6"/>
        <v>0</v>
      </c>
      <c r="I225" s="8">
        <f t="shared" si="7"/>
        <v>6.1349693251533388E-3</v>
      </c>
      <c r="J225" s="25">
        <v>26.6</v>
      </c>
      <c r="K225" s="8">
        <f>IF(Tabela1[[#This Row],[Services CPI]]="",#N/A,((Tabela1[[#This Row],[Services CPI]]*1)/J224)-1)</f>
        <v>3.7735849056603765E-3</v>
      </c>
      <c r="L225" s="8">
        <f>IF(Tabela1[[#This Row],[Services CPI]]="",#N/A,((Tabela1[[#This Row],[Services CPI]]*1)/J213)-1)</f>
        <v>2.3076923076923217E-2</v>
      </c>
      <c r="M225" s="7"/>
      <c r="N225" s="8"/>
      <c r="O225" s="8"/>
      <c r="P225" s="7">
        <v>38.700000000000003</v>
      </c>
      <c r="Q225" s="8">
        <f>IF(Tabela1[[#This Row],[Durable Goods CPI]]="",#N/A,((Tabela1[[#This Row],[Durable Goods CPI]]*1)/P224)-1)</f>
        <v>-2.5773195876287458E-3</v>
      </c>
      <c r="R225" s="8">
        <f>IF(Tabela1[[#This Row],[Durable Goods CPI]]="",#N/A,((Tabela1[[#This Row],[Durable Goods CPI]]*1)/P213)-1)</f>
        <v>-5.1413881748071377E-3</v>
      </c>
      <c r="S225" s="7"/>
      <c r="T225" s="7">
        <v>16.577999999999999</v>
      </c>
      <c r="U225" s="8">
        <f>IF(Tabela1[[#This Row],[Personal Consumption Expenditures (PCE)]]="",#N/A,((Tabela1[[#This Row],[Personal Consumption Expenditures (PCE)]]*1)/T224)-1)</f>
        <v>7.243752263672576E-4</v>
      </c>
      <c r="V225" s="8">
        <f>IF(Tabela1[[#This Row],[Personal Consumption Expenditures (PCE)]]="",#N/A,((Tabela1[[#This Row],[Personal Consumption Expenditures (PCE)]]*1)/T213)-1)</f>
        <v>1.6120134845234224E-2</v>
      </c>
      <c r="W225" s="7">
        <v>17.024000000000001</v>
      </c>
      <c r="X225" s="8">
        <f>IF(Tabela1[[#This Row],[Core PCE]]="",#N/A,((Tabela1[[#This Row],[Core PCE]]*1)/W224)-1)</f>
        <v>9.9958840477443189E-4</v>
      </c>
      <c r="Y225" s="8">
        <f>IF(Tabela1[[#This Row],[Core PCE]]="",#N/A,((Tabela1[[#This Row],[Core PCE]]*1)/W213)-1)</f>
        <v>1.1947928431314203E-2</v>
      </c>
      <c r="Z225" s="8">
        <f t="shared" si="5"/>
        <v>1.0360494820741195E-2</v>
      </c>
      <c r="AA225" s="8">
        <f t="shared" si="8"/>
        <v>1.1081348796251334E-2</v>
      </c>
      <c r="AB225" s="7"/>
      <c r="AC225" s="7"/>
      <c r="AD225" s="8"/>
      <c r="AE225" s="71"/>
      <c r="AF225" s="7"/>
      <c r="AG225" s="5"/>
    </row>
    <row r="226" spans="1:33" ht="12.75">
      <c r="A226" s="6">
        <v>23955</v>
      </c>
      <c r="B226" s="7">
        <v>31.55</v>
      </c>
      <c r="C226" s="8">
        <f>IF(Tabela1[[#This Row],[Consumer Price Index (CPI)]]="",#N/A,((Tabela1[[#This Row],[Consumer Price Index (CPI)]]*1)/B225)-1)</f>
        <v>-9.4996833438876216E-4</v>
      </c>
      <c r="D226" s="8">
        <f>IF(Tabela1[[#This Row],[Consumer Price Index (CPI)]]="",#N/A,((Tabela1[[#This Row],[Consumer Price Index (CPI)]]*1)/B214)-1)</f>
        <v>1.6103059581320522E-2</v>
      </c>
      <c r="E226" s="25">
        <v>32.700000000000003</v>
      </c>
      <c r="F226" s="8">
        <f>IF(Tabela1[[#This Row],[Core Consumer Price Index]]="",#N/A,((Tabela1[[#This Row],[Core Consumer Price Index]]*1)/E225)-1)</f>
        <v>0</v>
      </c>
      <c r="G226" s="8">
        <f>IF(Tabela1[[#This Row],[Core Consumer Price Index]]="",#N/A,((Tabela1[[#This Row],[Core Consumer Price Index]]*1)/E214)-1)</f>
        <v>1.2383900928792713E-2</v>
      </c>
      <c r="H226" s="8">
        <f t="shared" si="6"/>
        <v>0</v>
      </c>
      <c r="I226" s="8">
        <f t="shared" si="7"/>
        <v>6.1349693251533388E-3</v>
      </c>
      <c r="J226" s="25">
        <v>26.6</v>
      </c>
      <c r="K226" s="8">
        <f>IF(Tabela1[[#This Row],[Services CPI]]="",#N/A,((Tabela1[[#This Row],[Services CPI]]*1)/J225)-1)</f>
        <v>0</v>
      </c>
      <c r="L226" s="8">
        <f>IF(Tabela1[[#This Row],[Services CPI]]="",#N/A,((Tabela1[[#This Row],[Services CPI]]*1)/J214)-1)</f>
        <v>2.3076923076923217E-2</v>
      </c>
      <c r="M226" s="7"/>
      <c r="N226" s="8"/>
      <c r="O226" s="8"/>
      <c r="P226" s="7">
        <v>38.5</v>
      </c>
      <c r="Q226" s="8">
        <f>IF(Tabela1[[#This Row],[Durable Goods CPI]]="",#N/A,((Tabela1[[#This Row],[Durable Goods CPI]]*1)/P225)-1)</f>
        <v>-5.1679586563307955E-3</v>
      </c>
      <c r="R226" s="8">
        <f>IF(Tabela1[[#This Row],[Durable Goods CPI]]="",#N/A,((Tabela1[[#This Row],[Durable Goods CPI]]*1)/P214)-1)</f>
        <v>-1.0282776349614386E-2</v>
      </c>
      <c r="S226" s="7"/>
      <c r="T226" s="7">
        <v>16.582000000000001</v>
      </c>
      <c r="U226" s="8">
        <f>IF(Tabela1[[#This Row],[Personal Consumption Expenditures (PCE)]]="",#N/A,((Tabela1[[#This Row],[Personal Consumption Expenditures (PCE)]]*1)/T225)-1)</f>
        <v>2.4128362890585286E-4</v>
      </c>
      <c r="V226" s="8">
        <f>IF(Tabela1[[#This Row],[Personal Consumption Expenditures (PCE)]]="",#N/A,((Tabela1[[#This Row],[Personal Consumption Expenditures (PCE)]]*1)/T214)-1)</f>
        <v>1.5618300973846866E-2</v>
      </c>
      <c r="W226" s="7">
        <v>17.056000000000001</v>
      </c>
      <c r="X226" s="8">
        <f>IF(Tabela1[[#This Row],[Core PCE]]="",#N/A,((Tabela1[[#This Row],[Core PCE]]*1)/W225)-1)</f>
        <v>1.879699248120259E-3</v>
      </c>
      <c r="Y226" s="8">
        <f>IF(Tabela1[[#This Row],[Core PCE]]="",#N/A,((Tabela1[[#This Row],[Core PCE]]*1)/W214)-1)</f>
        <v>1.2525972098545779E-2</v>
      </c>
      <c r="Z226" s="8">
        <f t="shared" si="5"/>
        <v>1.057658274372919E-2</v>
      </c>
      <c r="AA226" s="8">
        <f t="shared" si="8"/>
        <v>1.2478077475598592E-2</v>
      </c>
      <c r="AB226" s="7"/>
      <c r="AC226" s="7"/>
      <c r="AD226" s="8"/>
      <c r="AE226" s="71"/>
      <c r="AF226" s="7"/>
      <c r="AG226" s="5"/>
    </row>
    <row r="227" spans="1:33" ht="12.75">
      <c r="A227" s="6">
        <v>23986</v>
      </c>
      <c r="B227" s="7">
        <v>31.62</v>
      </c>
      <c r="C227" s="8">
        <f>IF(Tabela1[[#This Row],[Consumer Price Index (CPI)]]="",#N/A,((Tabela1[[#This Row],[Consumer Price Index (CPI)]]*1)/B226)-1)</f>
        <v>2.2187004754359307E-3</v>
      </c>
      <c r="D227" s="8">
        <f>IF(Tabela1[[#This Row],[Consumer Price Index (CPI)]]="",#N/A,((Tabela1[[#This Row],[Consumer Price Index (CPI)]]*1)/B215)-1)</f>
        <v>1.7374517374517451E-2</v>
      </c>
      <c r="E227" s="25">
        <v>32.799999999999997</v>
      </c>
      <c r="F227" s="8">
        <f>IF(Tabela1[[#This Row],[Core Consumer Price Index]]="",#N/A,((Tabela1[[#This Row],[Core Consumer Price Index]]*1)/E226)-1)</f>
        <v>3.0581039755350758E-3</v>
      </c>
      <c r="G227" s="8">
        <f>IF(Tabela1[[#This Row],[Core Consumer Price Index]]="",#N/A,((Tabela1[[#This Row],[Core Consumer Price Index]]*1)/E215)-1)</f>
        <v>1.5479876160990669E-2</v>
      </c>
      <c r="H227" s="8">
        <f t="shared" si="6"/>
        <v>1.2232415902140303E-2</v>
      </c>
      <c r="I227" s="8">
        <f t="shared" si="7"/>
        <v>1.2251177276223491E-2</v>
      </c>
      <c r="J227" s="25">
        <v>26.7</v>
      </c>
      <c r="K227" s="8">
        <f>IF(Tabela1[[#This Row],[Services CPI]]="",#N/A,((Tabela1[[#This Row],[Services CPI]]*1)/J226)-1)</f>
        <v>3.759398496240518E-3</v>
      </c>
      <c r="L227" s="8">
        <f>IF(Tabela1[[#This Row],[Services CPI]]="",#N/A,((Tabela1[[#This Row],[Services CPI]]*1)/J215)-1)</f>
        <v>2.6923076923076827E-2</v>
      </c>
      <c r="M227" s="7"/>
      <c r="N227" s="8"/>
      <c r="O227" s="8"/>
      <c r="P227" s="7">
        <v>38.5</v>
      </c>
      <c r="Q227" s="8">
        <f>IF(Tabela1[[#This Row],[Durable Goods CPI]]="",#N/A,((Tabela1[[#This Row],[Durable Goods CPI]]*1)/P226)-1)</f>
        <v>0</v>
      </c>
      <c r="R227" s="8">
        <f>IF(Tabela1[[#This Row],[Durable Goods CPI]]="",#N/A,((Tabela1[[#This Row],[Durable Goods CPI]]*1)/P215)-1)</f>
        <v>-1.2820512820512775E-2</v>
      </c>
      <c r="S227" s="7"/>
      <c r="T227" s="7">
        <v>16.59</v>
      </c>
      <c r="U227" s="8">
        <f>IF(Tabela1[[#This Row],[Personal Consumption Expenditures (PCE)]]="",#N/A,((Tabela1[[#This Row],[Personal Consumption Expenditures (PCE)]]*1)/T226)-1)</f>
        <v>4.8245085031961565E-4</v>
      </c>
      <c r="V227" s="8">
        <f>IF(Tabela1[[#This Row],[Personal Consumption Expenditures (PCE)]]="",#N/A,((Tabela1[[#This Row],[Personal Consumption Expenditures (PCE)]]*1)/T215)-1)</f>
        <v>1.4554794520547976E-2</v>
      </c>
      <c r="W227" s="7">
        <v>17.076000000000001</v>
      </c>
      <c r="X227" s="8">
        <f>IF(Tabela1[[#This Row],[Core PCE]]="",#N/A,((Tabela1[[#This Row],[Core PCE]]*1)/W226)-1)</f>
        <v>1.1726078799250139E-3</v>
      </c>
      <c r="Y227" s="8">
        <f>IF(Tabela1[[#This Row],[Core PCE]]="",#N/A,((Tabela1[[#This Row],[Core PCE]]*1)/W215)-1)</f>
        <v>1.3292190837882689E-2</v>
      </c>
      <c r="Z227" s="8">
        <f t="shared" si="5"/>
        <v>1.6207582131278819E-2</v>
      </c>
      <c r="AA227" s="8">
        <f t="shared" si="8"/>
        <v>1.3643352232498795E-2</v>
      </c>
      <c r="AB227" s="7"/>
      <c r="AC227" s="7"/>
      <c r="AD227" s="8"/>
      <c r="AE227" s="71"/>
      <c r="AF227" s="7"/>
      <c r="AG227" s="5"/>
    </row>
    <row r="228" spans="1:33" ht="12.75">
      <c r="A228" s="6">
        <v>24016</v>
      </c>
      <c r="B228" s="7">
        <v>31.65</v>
      </c>
      <c r="C228" s="8">
        <f>IF(Tabela1[[#This Row],[Consumer Price Index (CPI)]]="",#N/A,((Tabela1[[#This Row],[Consumer Price Index (CPI)]]*1)/B227)-1)</f>
        <v>9.4876660341558505E-4</v>
      </c>
      <c r="D228" s="8">
        <f>IF(Tabela1[[#This Row],[Consumer Price Index (CPI)]]="",#N/A,((Tabela1[[#This Row],[Consumer Price Index (CPI)]]*1)/B216)-1)</f>
        <v>1.7030848329048665E-2</v>
      </c>
      <c r="E228" s="25">
        <v>32.799999999999997</v>
      </c>
      <c r="F228" s="8">
        <f>IF(Tabela1[[#This Row],[Core Consumer Price Index]]="",#N/A,((Tabela1[[#This Row],[Core Consumer Price Index]]*1)/E227)-1)</f>
        <v>0</v>
      </c>
      <c r="G228" s="8">
        <f>IF(Tabela1[[#This Row],[Core Consumer Price Index]]="",#N/A,((Tabela1[[#This Row],[Core Consumer Price Index]]*1)/E216)-1)</f>
        <v>1.2345679012345734E-2</v>
      </c>
      <c r="H228" s="8">
        <f t="shared" si="6"/>
        <v>1.2232415902140303E-2</v>
      </c>
      <c r="I228" s="8">
        <f t="shared" si="7"/>
        <v>6.1162079510701517E-3</v>
      </c>
      <c r="J228" s="25">
        <v>26.8</v>
      </c>
      <c r="K228" s="8">
        <f>IF(Tabela1[[#This Row],[Services CPI]]="",#N/A,((Tabela1[[#This Row],[Services CPI]]*1)/J227)-1)</f>
        <v>3.7453183520599342E-3</v>
      </c>
      <c r="L228" s="8">
        <f>IF(Tabela1[[#This Row],[Services CPI]]="",#N/A,((Tabela1[[#This Row],[Services CPI]]*1)/J216)-1)</f>
        <v>2.6819923371647514E-2</v>
      </c>
      <c r="M228" s="7"/>
      <c r="N228" s="8"/>
      <c r="O228" s="8"/>
      <c r="P228" s="7">
        <v>38.5</v>
      </c>
      <c r="Q228" s="8">
        <f>IF(Tabela1[[#This Row],[Durable Goods CPI]]="",#N/A,((Tabela1[[#This Row],[Durable Goods CPI]]*1)/P227)-1)</f>
        <v>0</v>
      </c>
      <c r="R228" s="8">
        <f>IF(Tabela1[[#This Row],[Durable Goods CPI]]="",#N/A,((Tabela1[[#This Row],[Durable Goods CPI]]*1)/P216)-1)</f>
        <v>-1.0282776349614386E-2</v>
      </c>
      <c r="S228" s="7"/>
      <c r="T228" s="7">
        <v>16.594999999999999</v>
      </c>
      <c r="U228" s="8">
        <f>IF(Tabela1[[#This Row],[Personal Consumption Expenditures (PCE)]]="",#N/A,((Tabela1[[#This Row],[Personal Consumption Expenditures (PCE)]]*1)/T227)-1)</f>
        <v>3.0138637733578832E-4</v>
      </c>
      <c r="V228" s="8">
        <f>IF(Tabela1[[#This Row],[Personal Consumption Expenditures (PCE)]]="",#N/A,((Tabela1[[#This Row],[Personal Consumption Expenditures (PCE)]]*1)/T216)-1)</f>
        <v>1.4240312920180909E-2</v>
      </c>
      <c r="W228" s="7">
        <v>17.07</v>
      </c>
      <c r="X228" s="8">
        <f>IF(Tabela1[[#This Row],[Core PCE]]="",#N/A,((Tabela1[[#This Row],[Core PCE]]*1)/W227)-1)</f>
        <v>-3.5137034434296055E-4</v>
      </c>
      <c r="Y228" s="8">
        <f>IF(Tabela1[[#This Row],[Core PCE]]="",#N/A,((Tabela1[[#This Row],[Core PCE]]*1)/W216)-1)</f>
        <v>1.2515570318524238E-2</v>
      </c>
      <c r="Z228" s="8">
        <f t="shared" si="5"/>
        <v>1.080374713480925E-2</v>
      </c>
      <c r="AA228" s="8">
        <f t="shared" si="8"/>
        <v>1.0582120977775222E-2</v>
      </c>
      <c r="AB228" s="7"/>
      <c r="AC228" s="7"/>
      <c r="AD228" s="8"/>
      <c r="AE228" s="71"/>
      <c r="AF228" s="7"/>
      <c r="AG228" s="5"/>
    </row>
    <row r="229" spans="1:33" ht="12.75">
      <c r="A229" s="6">
        <v>24047</v>
      </c>
      <c r="B229" s="7">
        <v>31.75</v>
      </c>
      <c r="C229" s="8">
        <f>IF(Tabela1[[#This Row],[Consumer Price Index (CPI)]]="",#N/A,((Tabela1[[#This Row],[Consumer Price Index (CPI)]]*1)/B228)-1)</f>
        <v>3.1595576619274368E-3</v>
      </c>
      <c r="D229" s="8">
        <f>IF(Tabela1[[#This Row],[Consumer Price Index (CPI)]]="",#N/A,((Tabela1[[#This Row],[Consumer Price Index (CPI)]]*1)/B217)-1)</f>
        <v>1.7302146747837144E-2</v>
      </c>
      <c r="E229" s="25">
        <v>32.9</v>
      </c>
      <c r="F229" s="8">
        <f>IF(Tabela1[[#This Row],[Core Consumer Price Index]]="",#N/A,((Tabela1[[#This Row],[Core Consumer Price Index]]*1)/E228)-1)</f>
        <v>3.0487804878049918E-3</v>
      </c>
      <c r="G229" s="8">
        <f>IF(Tabela1[[#This Row],[Core Consumer Price Index]]="",#N/A,((Tabela1[[#This Row],[Core Consumer Price Index]]*1)/E217)-1)</f>
        <v>1.2307692307692353E-2</v>
      </c>
      <c r="H229" s="8">
        <f t="shared" si="6"/>
        <v>2.4427537853360271E-2</v>
      </c>
      <c r="I229" s="8">
        <f t="shared" si="7"/>
        <v>1.2213768926680135E-2</v>
      </c>
      <c r="J229" s="25">
        <v>26.9</v>
      </c>
      <c r="K229" s="8">
        <f>IF(Tabela1[[#This Row],[Services CPI]]="",#N/A,((Tabela1[[#This Row],[Services CPI]]*1)/J228)-1)</f>
        <v>3.7313432835819338E-3</v>
      </c>
      <c r="L229" s="8">
        <f>IF(Tabela1[[#This Row],[Services CPI]]="",#N/A,((Tabela1[[#This Row],[Services CPI]]*1)/J217)-1)</f>
        <v>2.6717557251908275E-2</v>
      </c>
      <c r="M229" s="7"/>
      <c r="N229" s="8"/>
      <c r="O229" s="8"/>
      <c r="P229" s="7">
        <v>38.6</v>
      </c>
      <c r="Q229" s="8">
        <f>IF(Tabela1[[#This Row],[Durable Goods CPI]]="",#N/A,((Tabela1[[#This Row],[Durable Goods CPI]]*1)/P228)-1)</f>
        <v>2.5974025974027093E-3</v>
      </c>
      <c r="R229" s="8">
        <f>IF(Tabela1[[#This Row],[Durable Goods CPI]]="",#N/A,((Tabela1[[#This Row],[Durable Goods CPI]]*1)/P217)-1)</f>
        <v>-1.025641025641022E-2</v>
      </c>
      <c r="S229" s="7"/>
      <c r="T229" s="7">
        <v>16.623000000000001</v>
      </c>
      <c r="U229" s="8">
        <f>IF(Tabela1[[#This Row],[Personal Consumption Expenditures (PCE)]]="",#N/A,((Tabela1[[#This Row],[Personal Consumption Expenditures (PCE)]]*1)/T228)-1)</f>
        <v>1.6872551973488026E-3</v>
      </c>
      <c r="V229" s="8">
        <f>IF(Tabela1[[#This Row],[Personal Consumption Expenditures (PCE)]]="",#N/A,((Tabela1[[#This Row],[Personal Consumption Expenditures (PCE)]]*1)/T217)-1)</f>
        <v>1.452548062252057E-2</v>
      </c>
      <c r="W229" s="7">
        <v>17.102</v>
      </c>
      <c r="X229" s="8">
        <f>IF(Tabela1[[#This Row],[Core PCE]]="",#N/A,((Tabela1[[#This Row],[Core PCE]]*1)/W228)-1)</f>
        <v>1.8746338605741819E-3</v>
      </c>
      <c r="Y229" s="8">
        <f>IF(Tabela1[[#This Row],[Core PCE]]="",#N/A,((Tabela1[[#This Row],[Core PCE]]*1)/W217)-1)</f>
        <v>1.2971628265118884E-2</v>
      </c>
      <c r="Z229" s="8">
        <f t="shared" si="5"/>
        <v>1.0783485584624941E-2</v>
      </c>
      <c r="AA229" s="8">
        <f t="shared" si="8"/>
        <v>1.0680034164177066E-2</v>
      </c>
      <c r="AB229" s="7"/>
      <c r="AC229" s="7"/>
      <c r="AD229" s="8"/>
      <c r="AE229" s="71"/>
      <c r="AF229" s="7"/>
      <c r="AG229" s="5"/>
    </row>
    <row r="230" spans="1:33" ht="12.75">
      <c r="A230" s="6">
        <v>24077</v>
      </c>
      <c r="B230" s="7">
        <v>31.85</v>
      </c>
      <c r="C230" s="8">
        <f>IF(Tabela1[[#This Row],[Consumer Price Index (CPI)]]="",#N/A,((Tabela1[[#This Row],[Consumer Price Index (CPI)]]*1)/B229)-1)</f>
        <v>3.1496062992126816E-3</v>
      </c>
      <c r="D230" s="8">
        <f>IF(Tabela1[[#This Row],[Consumer Price Index (CPI)]]="",#N/A,((Tabela1[[#This Row],[Consumer Price Index (CPI)]]*1)/B218)-1)</f>
        <v>1.9200000000000106E-2</v>
      </c>
      <c r="E230" s="25">
        <v>33</v>
      </c>
      <c r="F230" s="8">
        <f>IF(Tabela1[[#This Row],[Core Consumer Price Index]]="",#N/A,((Tabela1[[#This Row],[Core Consumer Price Index]]*1)/E229)-1)</f>
        <v>3.0395136778116338E-3</v>
      </c>
      <c r="G230" s="8">
        <f>IF(Tabela1[[#This Row],[Core Consumer Price Index]]="",#N/A,((Tabela1[[#This Row],[Core Consumer Price Index]]*1)/E218)-1)</f>
        <v>1.538461538461533E-2</v>
      </c>
      <c r="H230" s="8">
        <f t="shared" si="6"/>
        <v>2.4353176662466502E-2</v>
      </c>
      <c r="I230" s="8">
        <f t="shared" si="7"/>
        <v>1.8292796282303403E-2</v>
      </c>
      <c r="J230" s="25">
        <v>26.9</v>
      </c>
      <c r="K230" s="8">
        <f>IF(Tabela1[[#This Row],[Services CPI]]="",#N/A,((Tabela1[[#This Row],[Services CPI]]*1)/J229)-1)</f>
        <v>0</v>
      </c>
      <c r="L230" s="8">
        <f>IF(Tabela1[[#This Row],[Services CPI]]="",#N/A,((Tabela1[[#This Row],[Services CPI]]*1)/J218)-1)</f>
        <v>2.6717557251908275E-2</v>
      </c>
      <c r="M230" s="7"/>
      <c r="N230" s="8"/>
      <c r="O230" s="8"/>
      <c r="P230" s="7">
        <v>38.700000000000003</v>
      </c>
      <c r="Q230" s="8">
        <f>IF(Tabela1[[#This Row],[Durable Goods CPI]]="",#N/A,((Tabela1[[#This Row],[Durable Goods CPI]]*1)/P229)-1)</f>
        <v>2.5906735751295429E-3</v>
      </c>
      <c r="R230" s="8">
        <f>IF(Tabela1[[#This Row],[Durable Goods CPI]]="",#N/A,((Tabela1[[#This Row],[Durable Goods CPI]]*1)/P218)-1)</f>
        <v>-7.692307692307665E-3</v>
      </c>
      <c r="S230" s="7"/>
      <c r="T230" s="7">
        <v>16.683</v>
      </c>
      <c r="U230" s="8">
        <f>IF(Tabela1[[#This Row],[Personal Consumption Expenditures (PCE)]]="",#N/A,((Tabela1[[#This Row],[Personal Consumption Expenditures (PCE)]]*1)/T229)-1)</f>
        <v>3.60945677675506E-3</v>
      </c>
      <c r="V230" s="8">
        <f>IF(Tabela1[[#This Row],[Personal Consumption Expenditures (PCE)]]="",#N/A,((Tabela1[[#This Row],[Personal Consumption Expenditures (PCE)]]*1)/T218)-1)</f>
        <v>1.6698153452373798E-2</v>
      </c>
      <c r="W230" s="7">
        <v>17.154</v>
      </c>
      <c r="X230" s="8">
        <f>IF(Tabela1[[#This Row],[Core PCE]]="",#N/A,((Tabela1[[#This Row],[Core PCE]]*1)/W229)-1)</f>
        <v>3.0405800491171142E-3</v>
      </c>
      <c r="Y230" s="8">
        <f>IF(Tabela1[[#This Row],[Core PCE]]="",#N/A,((Tabela1[[#This Row],[Core PCE]]*1)/W218)-1)</f>
        <v>1.4609333412196168E-2</v>
      </c>
      <c r="Z230" s="8">
        <f t="shared" si="5"/>
        <v>1.8255374261393342E-2</v>
      </c>
      <c r="AA230" s="8">
        <f t="shared" si="8"/>
        <v>1.7231478196336081E-2</v>
      </c>
      <c r="AB230" s="7"/>
      <c r="AC230" s="7"/>
      <c r="AD230" s="8"/>
      <c r="AE230" s="71"/>
      <c r="AF230" s="7"/>
      <c r="AG230" s="5"/>
    </row>
    <row r="231" spans="1:33" ht="12.75">
      <c r="A231" s="6">
        <v>24108</v>
      </c>
      <c r="B231" s="7">
        <v>31.88</v>
      </c>
      <c r="C231" s="8">
        <f>IF(Tabela1[[#This Row],[Consumer Price Index (CPI)]]="",#N/A,((Tabela1[[#This Row],[Consumer Price Index (CPI)]]*1)/B230)-1)</f>
        <v>9.4191522762954172E-4</v>
      </c>
      <c r="D231" s="8">
        <f>IF(Tabela1[[#This Row],[Consumer Price Index (CPI)]]="",#N/A,((Tabela1[[#This Row],[Consumer Price Index (CPI)]]*1)/B219)-1)</f>
        <v>1.9181585677749302E-2</v>
      </c>
      <c r="E231" s="25">
        <v>33</v>
      </c>
      <c r="F231" s="8">
        <f>IF(Tabela1[[#This Row],[Core Consumer Price Index]]="",#N/A,((Tabela1[[#This Row],[Core Consumer Price Index]]*1)/E230)-1)</f>
        <v>0</v>
      </c>
      <c r="G231" s="8">
        <f>IF(Tabela1[[#This Row],[Core Consumer Price Index]]="",#N/A,((Tabela1[[#This Row],[Core Consumer Price Index]]*1)/E219)-1)</f>
        <v>1.2269938650306678E-2</v>
      </c>
      <c r="H231" s="8">
        <f t="shared" si="6"/>
        <v>2.4353176662466502E-2</v>
      </c>
      <c r="I231" s="8">
        <f t="shared" si="7"/>
        <v>1.8292796282303403E-2</v>
      </c>
      <c r="J231" s="25">
        <v>27</v>
      </c>
      <c r="K231" s="8">
        <f>IF(Tabela1[[#This Row],[Services CPI]]="",#N/A,((Tabela1[[#This Row],[Services CPI]]*1)/J230)-1)</f>
        <v>3.7174721189592308E-3</v>
      </c>
      <c r="L231" s="8">
        <f>IF(Tabela1[[#This Row],[Services CPI]]="",#N/A,((Tabela1[[#This Row],[Services CPI]]*1)/J219)-1)</f>
        <v>2.6615969581748944E-2</v>
      </c>
      <c r="M231" s="7"/>
      <c r="N231" s="8"/>
      <c r="O231" s="8"/>
      <c r="P231" s="7">
        <v>38.6</v>
      </c>
      <c r="Q231" s="8">
        <f>IF(Tabela1[[#This Row],[Durable Goods CPI]]="",#N/A,((Tabela1[[#This Row],[Durable Goods CPI]]*1)/P230)-1)</f>
        <v>-2.5839793281654533E-3</v>
      </c>
      <c r="R231" s="8">
        <f>IF(Tabela1[[#This Row],[Durable Goods CPI]]="",#N/A,((Tabela1[[#This Row],[Durable Goods CPI]]*1)/P219)-1)</f>
        <v>-1.5306122448979664E-2</v>
      </c>
      <c r="S231" s="7"/>
      <c r="T231" s="7">
        <v>16.702999999999999</v>
      </c>
      <c r="U231" s="8">
        <f>IF(Tabela1[[#This Row],[Personal Consumption Expenditures (PCE)]]="",#N/A,((Tabela1[[#This Row],[Personal Consumption Expenditures (PCE)]]*1)/T230)-1)</f>
        <v>1.1988251513517234E-3</v>
      </c>
      <c r="V231" s="8">
        <f>IF(Tabela1[[#This Row],[Personal Consumption Expenditures (PCE)]]="",#N/A,((Tabela1[[#This Row],[Personal Consumption Expenditures (PCE)]]*1)/T219)-1)</f>
        <v>1.6801607110245254E-2</v>
      </c>
      <c r="W231" s="7">
        <v>17.158999999999999</v>
      </c>
      <c r="X231" s="8">
        <f>IF(Tabela1[[#This Row],[Core PCE]]="",#N/A,((Tabela1[[#This Row],[Core PCE]]*1)/W230)-1)</f>
        <v>2.9147720648237119E-4</v>
      </c>
      <c r="Y231" s="8">
        <f>IF(Tabela1[[#This Row],[Core PCE]]="",#N/A,((Tabela1[[#This Row],[Core PCE]]*1)/W219)-1)</f>
        <v>1.3526284701712799E-2</v>
      </c>
      <c r="Z231" s="8">
        <f t="shared" ref="Z231:Z294" si="9">SUM(X229:X231)*4</f>
        <v>2.0826764464694669E-2</v>
      </c>
      <c r="AA231" s="8">
        <f t="shared" si="8"/>
        <v>1.5815255799751959E-2</v>
      </c>
      <c r="AB231" s="7"/>
      <c r="AC231" s="7"/>
      <c r="AD231" s="8"/>
      <c r="AE231" s="71"/>
      <c r="AF231" s="7"/>
      <c r="AG231" s="5"/>
    </row>
    <row r="232" spans="1:33" ht="12.75">
      <c r="A232" s="6">
        <v>24139</v>
      </c>
      <c r="B232" s="7">
        <v>32.08</v>
      </c>
      <c r="C232" s="8">
        <f>IF(Tabela1[[#This Row],[Consumer Price Index (CPI)]]="",#N/A,((Tabela1[[#This Row],[Consumer Price Index (CPI)]]*1)/B231)-1)</f>
        <v>6.273525721455453E-3</v>
      </c>
      <c r="D232" s="8">
        <f>IF(Tabela1[[#This Row],[Consumer Price Index (CPI)]]="",#N/A,((Tabela1[[#This Row],[Consumer Price Index (CPI)]]*1)/B220)-1)</f>
        <v>2.5575447570332477E-2</v>
      </c>
      <c r="E232" s="25">
        <v>33.1</v>
      </c>
      <c r="F232" s="8">
        <f>IF(Tabela1[[#This Row],[Core Consumer Price Index]]="",#N/A,((Tabela1[[#This Row],[Core Consumer Price Index]]*1)/E231)-1)</f>
        <v>3.0303030303031608E-3</v>
      </c>
      <c r="G232" s="8">
        <f>IF(Tabela1[[#This Row],[Core Consumer Price Index]]="",#N/A,((Tabela1[[#This Row],[Core Consumer Price Index]]*1)/E220)-1)</f>
        <v>1.5337423312883347E-2</v>
      </c>
      <c r="H232" s="8">
        <f t="shared" si="6"/>
        <v>2.4279266832459179E-2</v>
      </c>
      <c r="I232" s="8">
        <f t="shared" si="7"/>
        <v>2.4353402342909725E-2</v>
      </c>
      <c r="J232" s="25">
        <v>27</v>
      </c>
      <c r="K232" s="8">
        <f>IF(Tabela1[[#This Row],[Services CPI]]="",#N/A,((Tabela1[[#This Row],[Services CPI]]*1)/J231)-1)</f>
        <v>0</v>
      </c>
      <c r="L232" s="8">
        <f>IF(Tabela1[[#This Row],[Services CPI]]="",#N/A,((Tabela1[[#This Row],[Services CPI]]*1)/J220)-1)</f>
        <v>2.2727272727272707E-2</v>
      </c>
      <c r="M232" s="7"/>
      <c r="N232" s="8"/>
      <c r="O232" s="8"/>
      <c r="P232" s="7">
        <v>38.6</v>
      </c>
      <c r="Q232" s="8">
        <f>IF(Tabela1[[#This Row],[Durable Goods CPI]]="",#N/A,((Tabela1[[#This Row],[Durable Goods CPI]]*1)/P231)-1)</f>
        <v>0</v>
      </c>
      <c r="R232" s="8">
        <f>IF(Tabela1[[#This Row],[Durable Goods CPI]]="",#N/A,((Tabela1[[#This Row],[Durable Goods CPI]]*1)/P220)-1)</f>
        <v>-1.2787723785166238E-2</v>
      </c>
      <c r="S232" s="7"/>
      <c r="T232" s="7">
        <v>16.771999999999998</v>
      </c>
      <c r="U232" s="8">
        <f>IF(Tabela1[[#This Row],[Personal Consumption Expenditures (PCE)]]="",#N/A,((Tabela1[[#This Row],[Personal Consumption Expenditures (PCE)]]*1)/T231)-1)</f>
        <v>4.1309944321379355E-3</v>
      </c>
      <c r="V232" s="8">
        <f>IF(Tabela1[[#This Row],[Personal Consumption Expenditures (PCE)]]="",#N/A,((Tabela1[[#This Row],[Personal Consumption Expenditures (PCE)]]*1)/T220)-1)</f>
        <v>2.0567116952658893E-2</v>
      </c>
      <c r="W232" s="7">
        <v>17.201000000000001</v>
      </c>
      <c r="X232" s="8">
        <f>IF(Tabela1[[#This Row],[Core PCE]]="",#N/A,((Tabela1[[#This Row],[Core PCE]]*1)/W231)-1)</f>
        <v>2.4476950871263892E-3</v>
      </c>
      <c r="Y232" s="8">
        <f>IF(Tabela1[[#This Row],[Core PCE]]="",#N/A,((Tabela1[[#This Row],[Core PCE]]*1)/W220)-1)</f>
        <v>1.48082595870207E-2</v>
      </c>
      <c r="Z232" s="8">
        <f t="shared" si="9"/>
        <v>2.3119009370903498E-2</v>
      </c>
      <c r="AA232" s="8">
        <f t="shared" si="8"/>
        <v>1.695124747776422E-2</v>
      </c>
      <c r="AB232" s="7"/>
      <c r="AC232" s="7"/>
      <c r="AD232" s="8"/>
      <c r="AE232" s="71"/>
      <c r="AF232" s="7"/>
      <c r="AG232" s="5"/>
    </row>
    <row r="233" spans="1:33" ht="12.75">
      <c r="A233" s="6">
        <v>24167</v>
      </c>
      <c r="B233" s="7">
        <v>32.18</v>
      </c>
      <c r="C233" s="8">
        <f>IF(Tabela1[[#This Row],[Consumer Price Index (CPI)]]="",#N/A,((Tabela1[[#This Row],[Consumer Price Index (CPI)]]*1)/B232)-1)</f>
        <v>3.1172069825435855E-3</v>
      </c>
      <c r="D233" s="8">
        <f>IF(Tabela1[[#This Row],[Consumer Price Index (CPI)]]="",#N/A,((Tabela1[[#This Row],[Consumer Price Index (CPI)]]*1)/B221)-1)</f>
        <v>2.7786649632705274E-2</v>
      </c>
      <c r="E233" s="25">
        <v>33.1</v>
      </c>
      <c r="F233" s="8">
        <f>IF(Tabela1[[#This Row],[Core Consumer Price Index]]="",#N/A,((Tabela1[[#This Row],[Core Consumer Price Index]]*1)/E232)-1)</f>
        <v>0</v>
      </c>
      <c r="G233" s="8">
        <f>IF(Tabela1[[#This Row],[Core Consumer Price Index]]="",#N/A,((Tabela1[[#This Row],[Core Consumer Price Index]]*1)/E221)-1)</f>
        <v>1.5337423312883347E-2</v>
      </c>
      <c r="H233" s="8">
        <f t="shared" si="6"/>
        <v>1.2121212121212643E-2</v>
      </c>
      <c r="I233" s="8">
        <f t="shared" si="7"/>
        <v>1.8237194391839573E-2</v>
      </c>
      <c r="J233" s="25">
        <v>27.1</v>
      </c>
      <c r="K233" s="8">
        <f>IF(Tabela1[[#This Row],[Services CPI]]="",#N/A,((Tabela1[[#This Row],[Services CPI]]*1)/J232)-1)</f>
        <v>3.7037037037037646E-3</v>
      </c>
      <c r="L233" s="8">
        <f>IF(Tabela1[[#This Row],[Services CPI]]="",#N/A,((Tabela1[[#This Row],[Services CPI]]*1)/J221)-1)</f>
        <v>2.6515151515151603E-2</v>
      </c>
      <c r="M233" s="7"/>
      <c r="N233" s="8"/>
      <c r="O233" s="8"/>
      <c r="P233" s="7">
        <v>38.700000000000003</v>
      </c>
      <c r="Q233" s="8">
        <f>IF(Tabela1[[#This Row],[Durable Goods CPI]]="",#N/A,((Tabela1[[#This Row],[Durable Goods CPI]]*1)/P232)-1)</f>
        <v>2.5906735751295429E-3</v>
      </c>
      <c r="R233" s="8">
        <f>IF(Tabela1[[#This Row],[Durable Goods CPI]]="",#N/A,((Tabela1[[#This Row],[Durable Goods CPI]]*1)/P221)-1)</f>
        <v>-1.0230179028132946E-2</v>
      </c>
      <c r="S233" s="7"/>
      <c r="T233" s="7">
        <v>16.812999999999999</v>
      </c>
      <c r="U233" s="8">
        <f>IF(Tabela1[[#This Row],[Personal Consumption Expenditures (PCE)]]="",#N/A,((Tabela1[[#This Row],[Personal Consumption Expenditures (PCE)]]*1)/T232)-1)</f>
        <v>2.4445504412116126E-3</v>
      </c>
      <c r="V233" s="8">
        <f>IF(Tabela1[[#This Row],[Personal Consumption Expenditures (PCE)]]="",#N/A,((Tabela1[[#This Row],[Personal Consumption Expenditures (PCE)]]*1)/T221)-1)</f>
        <v>2.1756305074445592E-2</v>
      </c>
      <c r="W233" s="7">
        <v>17.222999999999999</v>
      </c>
      <c r="X233" s="8">
        <f>IF(Tabela1[[#This Row],[Core PCE]]="",#N/A,((Tabela1[[#This Row],[Core PCE]]*1)/W232)-1)</f>
        <v>1.2789954072436327E-3</v>
      </c>
      <c r="Y233" s="8">
        <f>IF(Tabela1[[#This Row],[Core PCE]]="",#N/A,((Tabela1[[#This Row],[Core PCE]]*1)/W221)-1)</f>
        <v>1.550707547169794E-2</v>
      </c>
      <c r="Z233" s="8">
        <f t="shared" si="9"/>
        <v>1.6072670803409572E-2</v>
      </c>
      <c r="AA233" s="8">
        <f t="shared" si="8"/>
        <v>1.7164022532401457E-2</v>
      </c>
      <c r="AB233" s="7"/>
      <c r="AC233" s="7"/>
      <c r="AD233" s="8"/>
      <c r="AE233" s="71"/>
      <c r="AF233" s="7"/>
      <c r="AG233" s="5"/>
    </row>
    <row r="234" spans="1:33" ht="12.75">
      <c r="A234" s="6">
        <v>24198</v>
      </c>
      <c r="B234" s="7">
        <v>32.28</v>
      </c>
      <c r="C234" s="8">
        <f>IF(Tabela1[[#This Row],[Consumer Price Index (CPI)]]="",#N/A,((Tabela1[[#This Row],[Consumer Price Index (CPI)]]*1)/B233)-1)</f>
        <v>3.1075201988812751E-3</v>
      </c>
      <c r="D234" s="8">
        <f>IF(Tabela1[[#This Row],[Consumer Price Index (CPI)]]="",#N/A,((Tabela1[[#This Row],[Consumer Price Index (CPI)]]*1)/B222)-1)</f>
        <v>2.8680688336520044E-2</v>
      </c>
      <c r="E234" s="25">
        <v>33.299999999999997</v>
      </c>
      <c r="F234" s="8">
        <f>IF(Tabela1[[#This Row],[Core Consumer Price Index]]="",#N/A,((Tabela1[[#This Row],[Core Consumer Price Index]]*1)/E233)-1)</f>
        <v>6.0422960725075026E-3</v>
      </c>
      <c r="G234" s="8">
        <f>IF(Tabela1[[#This Row],[Core Consumer Price Index]]="",#N/A,((Tabela1[[#This Row],[Core Consumer Price Index]]*1)/E222)-1)</f>
        <v>1.8348623853210899E-2</v>
      </c>
      <c r="H234" s="8">
        <f t="shared" si="6"/>
        <v>3.6290396411242654E-2</v>
      </c>
      <c r="I234" s="8">
        <f t="shared" si="7"/>
        <v>3.0321786536854578E-2</v>
      </c>
      <c r="J234" s="25">
        <v>27.3</v>
      </c>
      <c r="K234" s="8">
        <f>IF(Tabela1[[#This Row],[Services CPI]]="",#N/A,((Tabela1[[#This Row],[Services CPI]]*1)/J233)-1)</f>
        <v>7.3800738007379074E-3</v>
      </c>
      <c r="L234" s="8">
        <f>IF(Tabela1[[#This Row],[Services CPI]]="",#N/A,((Tabela1[[#This Row],[Services CPI]]*1)/J222)-1)</f>
        <v>3.0188679245283012E-2</v>
      </c>
      <c r="M234" s="7"/>
      <c r="N234" s="8"/>
      <c r="O234" s="8"/>
      <c r="P234" s="7">
        <v>38.700000000000003</v>
      </c>
      <c r="Q234" s="8">
        <f>IF(Tabela1[[#This Row],[Durable Goods CPI]]="",#N/A,((Tabela1[[#This Row],[Durable Goods CPI]]*1)/P233)-1)</f>
        <v>0</v>
      </c>
      <c r="R234" s="8">
        <f>IF(Tabela1[[#This Row],[Durable Goods CPI]]="",#N/A,((Tabela1[[#This Row],[Durable Goods CPI]]*1)/P222)-1)</f>
        <v>-7.692307692307665E-3</v>
      </c>
      <c r="S234" s="7"/>
      <c r="T234" s="7">
        <v>16.870999999999999</v>
      </c>
      <c r="U234" s="8">
        <f>IF(Tabela1[[#This Row],[Personal Consumption Expenditures (PCE)]]="",#N/A,((Tabela1[[#This Row],[Personal Consumption Expenditures (PCE)]]*1)/T233)-1)</f>
        <v>3.4497115327425387E-3</v>
      </c>
      <c r="V234" s="8">
        <f>IF(Tabela1[[#This Row],[Personal Consumption Expenditures (PCE)]]="",#N/A,((Tabela1[[#This Row],[Personal Consumption Expenditures (PCE)]]*1)/T222)-1)</f>
        <v>2.3663612644863496E-2</v>
      </c>
      <c r="W234" s="7">
        <v>17.285</v>
      </c>
      <c r="X234" s="8">
        <f>IF(Tabela1[[#This Row],[Core PCE]]="",#N/A,((Tabela1[[#This Row],[Core PCE]]*1)/W233)-1)</f>
        <v>3.5998374266970057E-3</v>
      </c>
      <c r="Y234" s="8">
        <f>IF(Tabela1[[#This Row],[Core PCE]]="",#N/A,((Tabela1[[#This Row],[Core PCE]]*1)/W222)-1)</f>
        <v>1.7962308598350907E-2</v>
      </c>
      <c r="Z234" s="8">
        <f t="shared" si="9"/>
        <v>2.930611168426811E-2</v>
      </c>
      <c r="AA234" s="8">
        <f t="shared" si="8"/>
        <v>2.506643807448139E-2</v>
      </c>
      <c r="AB234" s="7"/>
      <c r="AC234" s="7"/>
      <c r="AD234" s="8"/>
      <c r="AE234" s="71"/>
      <c r="AF234" s="7"/>
      <c r="AG234" s="5"/>
    </row>
    <row r="235" spans="1:33" ht="12.75">
      <c r="A235" s="6">
        <v>24228</v>
      </c>
      <c r="B235" s="7">
        <v>32.35</v>
      </c>
      <c r="C235" s="8">
        <f>IF(Tabela1[[#This Row],[Consumer Price Index (CPI)]]="",#N/A,((Tabela1[[#This Row],[Consumer Price Index (CPI)]]*1)/B234)-1)</f>
        <v>2.1685254027261625E-3</v>
      </c>
      <c r="D235" s="8">
        <f>IF(Tabela1[[#This Row],[Consumer Price Index (CPI)]]="",#N/A,((Tabela1[[#This Row],[Consumer Price Index (CPI)]]*1)/B223)-1)</f>
        <v>2.7636594663278391E-2</v>
      </c>
      <c r="E235" s="25">
        <v>33.4</v>
      </c>
      <c r="F235" s="8">
        <f>IF(Tabela1[[#This Row],[Core Consumer Price Index]]="",#N/A,((Tabela1[[#This Row],[Core Consumer Price Index]]*1)/E234)-1)</f>
        <v>3.0030030030030463E-3</v>
      </c>
      <c r="G235" s="8">
        <f>IF(Tabela1[[#This Row],[Core Consumer Price Index]]="",#N/A,((Tabela1[[#This Row],[Core Consumer Price Index]]*1)/E223)-1)</f>
        <v>2.1406727828745975E-2</v>
      </c>
      <c r="H235" s="8">
        <f t="shared" si="6"/>
        <v>3.6181196302042196E-2</v>
      </c>
      <c r="I235" s="8">
        <f t="shared" si="7"/>
        <v>3.0230231567250687E-2</v>
      </c>
      <c r="J235" s="25">
        <v>27.4</v>
      </c>
      <c r="K235" s="8">
        <f>IF(Tabela1[[#This Row],[Services CPI]]="",#N/A,((Tabela1[[#This Row],[Services CPI]]*1)/J234)-1)</f>
        <v>3.66300366300365E-3</v>
      </c>
      <c r="L235" s="8">
        <f>IF(Tabela1[[#This Row],[Services CPI]]="",#N/A,((Tabela1[[#This Row],[Services CPI]]*1)/J223)-1)</f>
        <v>3.3962264150943389E-2</v>
      </c>
      <c r="M235" s="7"/>
      <c r="N235" s="8"/>
      <c r="O235" s="8"/>
      <c r="P235" s="7">
        <v>38.799999999999997</v>
      </c>
      <c r="Q235" s="8">
        <f>IF(Tabela1[[#This Row],[Durable Goods CPI]]="",#N/A,((Tabela1[[#This Row],[Durable Goods CPI]]*1)/P234)-1)</f>
        <v>2.5839793281652312E-3</v>
      </c>
      <c r="R235" s="8">
        <f>IF(Tabela1[[#This Row],[Durable Goods CPI]]="",#N/A,((Tabela1[[#This Row],[Durable Goods CPI]]*1)/P223)-1)</f>
        <v>-2.5706940874036244E-3</v>
      </c>
      <c r="S235" s="7"/>
      <c r="T235" s="7">
        <v>16.891999999999999</v>
      </c>
      <c r="U235" s="8">
        <f>IF(Tabela1[[#This Row],[Personal Consumption Expenditures (PCE)]]="",#N/A,((Tabela1[[#This Row],[Personal Consumption Expenditures (PCE)]]*1)/T234)-1)</f>
        <v>1.2447394938059908E-3</v>
      </c>
      <c r="V235" s="8">
        <f>IF(Tabela1[[#This Row],[Personal Consumption Expenditures (PCE)]]="",#N/A,((Tabela1[[#This Row],[Personal Consumption Expenditures (PCE)]]*1)/T223)-1)</f>
        <v>2.2641966339750574E-2</v>
      </c>
      <c r="W235" s="7">
        <v>17.331</v>
      </c>
      <c r="X235" s="8">
        <f>IF(Tabela1[[#This Row],[Core PCE]]="",#N/A,((Tabela1[[#This Row],[Core PCE]]*1)/W234)-1)</f>
        <v>2.6612669945038636E-3</v>
      </c>
      <c r="Y235" s="8">
        <f>IF(Tabela1[[#This Row],[Core PCE]]="",#N/A,((Tabela1[[#This Row],[Core PCE]]*1)/W223)-1)</f>
        <v>1.8811357357004344E-2</v>
      </c>
      <c r="Z235" s="8">
        <f t="shared" si="9"/>
        <v>3.0160399313778008E-2</v>
      </c>
      <c r="AA235" s="8">
        <f t="shared" si="8"/>
        <v>2.6639704342340753E-2</v>
      </c>
      <c r="AB235" s="7"/>
      <c r="AC235" s="7"/>
      <c r="AD235" s="8"/>
      <c r="AE235" s="71"/>
      <c r="AF235" s="7"/>
      <c r="AG235" s="5"/>
    </row>
    <row r="236" spans="1:33" ht="12.75">
      <c r="A236" s="6">
        <v>24259</v>
      </c>
      <c r="B236" s="7">
        <v>32.380000000000003</v>
      </c>
      <c r="C236" s="8">
        <f>IF(Tabela1[[#This Row],[Consumer Price Index (CPI)]]="",#N/A,((Tabela1[[#This Row],[Consumer Price Index (CPI)]]*1)/B235)-1)</f>
        <v>9.2735703245749868E-4</v>
      </c>
      <c r="D236" s="8">
        <f>IF(Tabela1[[#This Row],[Consumer Price Index (CPI)]]="",#N/A,((Tabela1[[#This Row],[Consumer Price Index (CPI)]]*1)/B224)-1)</f>
        <v>2.4359379943056148E-2</v>
      </c>
      <c r="E236" s="25">
        <v>33.5</v>
      </c>
      <c r="F236" s="8">
        <f>IF(Tabela1[[#This Row],[Core Consumer Price Index]]="",#N/A,((Tabela1[[#This Row],[Core Consumer Price Index]]*1)/E235)-1)</f>
        <v>2.9940119760478723E-3</v>
      </c>
      <c r="G236" s="8">
        <f>IF(Tabela1[[#This Row],[Core Consumer Price Index]]="",#N/A,((Tabela1[[#This Row],[Core Consumer Price Index]]*1)/E224)-1)</f>
        <v>2.4464831804281273E-2</v>
      </c>
      <c r="H236" s="8">
        <f t="shared" si="6"/>
        <v>4.8157244206233685E-2</v>
      </c>
      <c r="I236" s="8">
        <f t="shared" si="7"/>
        <v>3.0139228163723164E-2</v>
      </c>
      <c r="J236" s="25">
        <v>27.5</v>
      </c>
      <c r="K236" s="8">
        <f>IF(Tabela1[[#This Row],[Services CPI]]="",#N/A,((Tabela1[[#This Row],[Services CPI]]*1)/J235)-1)</f>
        <v>3.6496350364965124E-3</v>
      </c>
      <c r="L236" s="8">
        <f>IF(Tabela1[[#This Row],[Services CPI]]="",#N/A,((Tabela1[[#This Row],[Services CPI]]*1)/J224)-1)</f>
        <v>3.7735849056603765E-2</v>
      </c>
      <c r="M236" s="7"/>
      <c r="N236" s="8"/>
      <c r="O236" s="8"/>
      <c r="P236" s="7">
        <v>38.799999999999997</v>
      </c>
      <c r="Q236" s="8">
        <f>IF(Tabela1[[#This Row],[Durable Goods CPI]]="",#N/A,((Tabela1[[#This Row],[Durable Goods CPI]]*1)/P235)-1)</f>
        <v>0</v>
      </c>
      <c r="R236" s="8">
        <f>IF(Tabela1[[#This Row],[Durable Goods CPI]]="",#N/A,((Tabela1[[#This Row],[Durable Goods CPI]]*1)/P224)-1)</f>
        <v>0</v>
      </c>
      <c r="S236" s="7"/>
      <c r="T236" s="7">
        <v>16.934000000000001</v>
      </c>
      <c r="U236" s="8">
        <f>IF(Tabela1[[#This Row],[Personal Consumption Expenditures (PCE)]]="",#N/A,((Tabela1[[#This Row],[Personal Consumption Expenditures (PCE)]]*1)/T235)-1)</f>
        <v>2.4863840871418574E-3</v>
      </c>
      <c r="V236" s="8">
        <f>IF(Tabela1[[#This Row],[Personal Consumption Expenditures (PCE)]]="",#N/A,((Tabela1[[#This Row],[Personal Consumption Expenditures (PCE)]]*1)/T224)-1)</f>
        <v>2.2214173608596122E-2</v>
      </c>
      <c r="W236" s="7">
        <v>17.387</v>
      </c>
      <c r="X236" s="8">
        <f>IF(Tabela1[[#This Row],[Core PCE]]="",#N/A,((Tabela1[[#This Row],[Core PCE]]*1)/W235)-1)</f>
        <v>3.2312042005655517E-3</v>
      </c>
      <c r="Y236" s="8">
        <f>IF(Tabela1[[#This Row],[Core PCE]]="",#N/A,((Tabela1[[#This Row],[Core PCE]]*1)/W224)-1)</f>
        <v>2.2343740812606594E-2</v>
      </c>
      <c r="Z236" s="8">
        <f t="shared" si="9"/>
        <v>3.7969234487065684E-2</v>
      </c>
      <c r="AA236" s="8">
        <f t="shared" si="8"/>
        <v>2.7020952645237628E-2</v>
      </c>
      <c r="AB236" s="7"/>
      <c r="AC236" s="7"/>
      <c r="AD236" s="8"/>
      <c r="AE236" s="71"/>
      <c r="AF236" s="7"/>
      <c r="AG236" s="5"/>
    </row>
    <row r="237" spans="1:33" ht="12.75">
      <c r="A237" s="6">
        <v>24289</v>
      </c>
      <c r="B237" s="7">
        <v>32.450000000000003</v>
      </c>
      <c r="C237" s="8">
        <f>IF(Tabela1[[#This Row],[Consumer Price Index (CPI)]]="",#N/A,((Tabela1[[#This Row],[Consumer Price Index (CPI)]]*1)/B236)-1)</f>
        <v>2.1618282890674134E-3</v>
      </c>
      <c r="D237" s="8">
        <f>IF(Tabela1[[#This Row],[Consumer Price Index (CPI)]]="",#N/A,((Tabela1[[#This Row],[Consumer Price Index (CPI)]]*1)/B225)-1)</f>
        <v>2.7549081697276989E-2</v>
      </c>
      <c r="E237" s="25">
        <v>33.6</v>
      </c>
      <c r="F237" s="8">
        <f>IF(Tabela1[[#This Row],[Core Consumer Price Index]]="",#N/A,((Tabela1[[#This Row],[Core Consumer Price Index]]*1)/E236)-1)</f>
        <v>2.9850746268658135E-3</v>
      </c>
      <c r="G237" s="8">
        <f>IF(Tabela1[[#This Row],[Core Consumer Price Index]]="",#N/A,((Tabela1[[#This Row],[Core Consumer Price Index]]*1)/E225)-1)</f>
        <v>2.7522935779816571E-2</v>
      </c>
      <c r="H237" s="8">
        <f t="shared" si="6"/>
        <v>3.5928358423666928E-2</v>
      </c>
      <c r="I237" s="8">
        <f t="shared" si="7"/>
        <v>3.6109377417454791E-2</v>
      </c>
      <c r="J237" s="25">
        <v>27.7</v>
      </c>
      <c r="K237" s="8">
        <f>IF(Tabela1[[#This Row],[Services CPI]]="",#N/A,((Tabela1[[#This Row],[Services CPI]]*1)/J236)-1)</f>
        <v>7.2727272727273196E-3</v>
      </c>
      <c r="L237" s="8">
        <f>IF(Tabela1[[#This Row],[Services CPI]]="",#N/A,((Tabela1[[#This Row],[Services CPI]]*1)/J225)-1)</f>
        <v>4.1353383458646586E-2</v>
      </c>
      <c r="M237" s="7"/>
      <c r="N237" s="8"/>
      <c r="O237" s="8"/>
      <c r="P237" s="7">
        <v>38.9</v>
      </c>
      <c r="Q237" s="8">
        <f>IF(Tabela1[[#This Row],[Durable Goods CPI]]="",#N/A,((Tabela1[[#This Row],[Durable Goods CPI]]*1)/P236)-1)</f>
        <v>2.5773195876288568E-3</v>
      </c>
      <c r="R237" s="8">
        <f>IF(Tabela1[[#This Row],[Durable Goods CPI]]="",#N/A,((Tabela1[[#This Row],[Durable Goods CPI]]*1)/P225)-1)</f>
        <v>5.1679586563306845E-3</v>
      </c>
      <c r="S237" s="7"/>
      <c r="T237" s="7">
        <v>16.966999999999999</v>
      </c>
      <c r="U237" s="8">
        <f>IF(Tabela1[[#This Row],[Personal Consumption Expenditures (PCE)]]="",#N/A,((Tabela1[[#This Row],[Personal Consumption Expenditures (PCE)]]*1)/T236)-1)</f>
        <v>1.9487421755046697E-3</v>
      </c>
      <c r="V237" s="8">
        <f>IF(Tabela1[[#This Row],[Personal Consumption Expenditures (PCE)]]="",#N/A,((Tabela1[[#This Row],[Personal Consumption Expenditures (PCE)]]*1)/T225)-1)</f>
        <v>2.3464832911086919E-2</v>
      </c>
      <c r="W237" s="7">
        <v>17.437999999999999</v>
      </c>
      <c r="X237" s="8">
        <f>IF(Tabela1[[#This Row],[Core PCE]]="",#N/A,((Tabela1[[#This Row],[Core PCE]]*1)/W236)-1)</f>
        <v>2.9332259734282662E-3</v>
      </c>
      <c r="Y237" s="8">
        <f>IF(Tabela1[[#This Row],[Core PCE]]="",#N/A,((Tabela1[[#This Row],[Core PCE]]*1)/W225)-1)</f>
        <v>2.4318609022556226E-2</v>
      </c>
      <c r="Z237" s="8">
        <f t="shared" si="9"/>
        <v>3.5302788673990726E-2</v>
      </c>
      <c r="AA237" s="8">
        <f t="shared" si="8"/>
        <v>3.2304450179129418E-2</v>
      </c>
      <c r="AB237" s="7"/>
      <c r="AC237" s="7"/>
      <c r="AD237" s="8"/>
      <c r="AE237" s="71"/>
      <c r="AF237" s="7"/>
      <c r="AG237" s="5"/>
    </row>
    <row r="238" spans="1:33" ht="12.75">
      <c r="A238" s="6">
        <v>24320</v>
      </c>
      <c r="B238" s="7">
        <v>32.65</v>
      </c>
      <c r="C238" s="8">
        <f>IF(Tabela1[[#This Row],[Consumer Price Index (CPI)]]="",#N/A,((Tabela1[[#This Row],[Consumer Price Index (CPI)]]*1)/B237)-1)</f>
        <v>6.1633281972264253E-3</v>
      </c>
      <c r="D238" s="8">
        <f>IF(Tabela1[[#This Row],[Consumer Price Index (CPI)]]="",#N/A,((Tabela1[[#This Row],[Consumer Price Index (CPI)]]*1)/B226)-1)</f>
        <v>3.4865293185419866E-2</v>
      </c>
      <c r="E238" s="25">
        <v>33.700000000000003</v>
      </c>
      <c r="F238" s="8">
        <f>IF(Tabela1[[#This Row],[Core Consumer Price Index]]="",#N/A,((Tabela1[[#This Row],[Core Consumer Price Index]]*1)/E237)-1)</f>
        <v>2.9761904761904656E-3</v>
      </c>
      <c r="G238" s="8">
        <f>IF(Tabela1[[#This Row],[Core Consumer Price Index]]="",#N/A,((Tabela1[[#This Row],[Core Consumer Price Index]]*1)/E226)-1)</f>
        <v>3.0581039755351647E-2</v>
      </c>
      <c r="H238" s="8">
        <f t="shared" si="6"/>
        <v>3.5821108316416606E-2</v>
      </c>
      <c r="I238" s="8">
        <f t="shared" si="7"/>
        <v>3.6001152309229401E-2</v>
      </c>
      <c r="J238" s="25">
        <v>27.7</v>
      </c>
      <c r="K238" s="8">
        <f>IF(Tabela1[[#This Row],[Services CPI]]="",#N/A,((Tabela1[[#This Row],[Services CPI]]*1)/J237)-1)</f>
        <v>0</v>
      </c>
      <c r="L238" s="8">
        <f>IF(Tabela1[[#This Row],[Services CPI]]="",#N/A,((Tabela1[[#This Row],[Services CPI]]*1)/J226)-1)</f>
        <v>4.1353383458646586E-2</v>
      </c>
      <c r="M238" s="7"/>
      <c r="N238" s="8"/>
      <c r="O238" s="8"/>
      <c r="P238" s="7">
        <v>39</v>
      </c>
      <c r="Q238" s="8">
        <f>IF(Tabela1[[#This Row],[Durable Goods CPI]]="",#N/A,((Tabela1[[#This Row],[Durable Goods CPI]]*1)/P237)-1)</f>
        <v>2.5706940874037354E-3</v>
      </c>
      <c r="R238" s="8">
        <f>IF(Tabela1[[#This Row],[Durable Goods CPI]]="",#N/A,((Tabela1[[#This Row],[Durable Goods CPI]]*1)/P226)-1)</f>
        <v>1.298701298701288E-2</v>
      </c>
      <c r="S238" s="7"/>
      <c r="T238" s="7">
        <v>17.032</v>
      </c>
      <c r="U238" s="8">
        <f>IF(Tabela1[[#This Row],[Personal Consumption Expenditures (PCE)]]="",#N/A,((Tabela1[[#This Row],[Personal Consumption Expenditures (PCE)]]*1)/T237)-1)</f>
        <v>3.8309659928097428E-3</v>
      </c>
      <c r="V238" s="8">
        <f>IF(Tabela1[[#This Row],[Personal Consumption Expenditures (PCE)]]="",#N/A,((Tabela1[[#This Row],[Personal Consumption Expenditures (PCE)]]*1)/T226)-1)</f>
        <v>2.7137860330478825E-2</v>
      </c>
      <c r="W238" s="7">
        <v>17.47</v>
      </c>
      <c r="X238" s="8">
        <f>IF(Tabela1[[#This Row],[Core PCE]]="",#N/A,((Tabela1[[#This Row],[Core PCE]]*1)/W237)-1)</f>
        <v>1.8350728294529439E-3</v>
      </c>
      <c r="Y238" s="8">
        <f>IF(Tabela1[[#This Row],[Core PCE]]="",#N/A,((Tabela1[[#This Row],[Core PCE]]*1)/W226)-1)</f>
        <v>2.4272983114446367E-2</v>
      </c>
      <c r="Z238" s="8">
        <f t="shared" si="9"/>
        <v>3.1998012013787047E-2</v>
      </c>
      <c r="AA238" s="8">
        <f t="shared" si="8"/>
        <v>3.1079205663782528E-2</v>
      </c>
      <c r="AB238" s="7"/>
      <c r="AC238" s="7"/>
      <c r="AD238" s="8"/>
      <c r="AE238" s="71"/>
      <c r="AF238" s="7"/>
      <c r="AG238" s="5"/>
    </row>
    <row r="239" spans="1:33" ht="12.75">
      <c r="A239" s="6">
        <v>24351</v>
      </c>
      <c r="B239" s="7">
        <v>32.75</v>
      </c>
      <c r="C239" s="8">
        <f>IF(Tabela1[[#This Row],[Consumer Price Index (CPI)]]="",#N/A,((Tabela1[[#This Row],[Consumer Price Index (CPI)]]*1)/B238)-1)</f>
        <v>3.0627871362940429E-3</v>
      </c>
      <c r="D239" s="8">
        <f>IF(Tabela1[[#This Row],[Consumer Price Index (CPI)]]="",#N/A,((Tabela1[[#This Row],[Consumer Price Index (CPI)]]*1)/B227)-1)</f>
        <v>3.5736875395319334E-2</v>
      </c>
      <c r="E239" s="25">
        <v>33.799999999999997</v>
      </c>
      <c r="F239" s="8">
        <f>IF(Tabela1[[#This Row],[Core Consumer Price Index]]="",#N/A,((Tabela1[[#This Row],[Core Consumer Price Index]]*1)/E238)-1)</f>
        <v>2.9673590504448732E-3</v>
      </c>
      <c r="G239" s="8">
        <f>IF(Tabela1[[#This Row],[Core Consumer Price Index]]="",#N/A,((Tabela1[[#This Row],[Core Consumer Price Index]]*1)/E227)-1)</f>
        <v>3.0487804878048808E-2</v>
      </c>
      <c r="H239" s="8">
        <f t="shared" si="6"/>
        <v>3.5714496614004609E-2</v>
      </c>
      <c r="I239" s="8">
        <f t="shared" si="7"/>
        <v>4.1935870410119147E-2</v>
      </c>
      <c r="J239" s="25">
        <v>27.9</v>
      </c>
      <c r="K239" s="8">
        <f>IF(Tabela1[[#This Row],[Services CPI]]="",#N/A,((Tabela1[[#This Row],[Services CPI]]*1)/J238)-1)</f>
        <v>7.2202166064980755E-3</v>
      </c>
      <c r="L239" s="8">
        <f>IF(Tabela1[[#This Row],[Services CPI]]="",#N/A,((Tabela1[[#This Row],[Services CPI]]*1)/J227)-1)</f>
        <v>4.4943820224718989E-2</v>
      </c>
      <c r="M239" s="7"/>
      <c r="N239" s="8"/>
      <c r="O239" s="8"/>
      <c r="P239" s="7">
        <v>39</v>
      </c>
      <c r="Q239" s="8">
        <f>IF(Tabela1[[#This Row],[Durable Goods CPI]]="",#N/A,((Tabela1[[#This Row],[Durable Goods CPI]]*1)/P238)-1)</f>
        <v>0</v>
      </c>
      <c r="R239" s="8">
        <f>IF(Tabela1[[#This Row],[Durable Goods CPI]]="",#N/A,((Tabela1[[#This Row],[Durable Goods CPI]]*1)/P227)-1)</f>
        <v>1.298701298701288E-2</v>
      </c>
      <c r="S239" s="7"/>
      <c r="T239" s="7">
        <v>17.085999999999999</v>
      </c>
      <c r="U239" s="8">
        <f>IF(Tabela1[[#This Row],[Personal Consumption Expenditures (PCE)]]="",#N/A,((Tabela1[[#This Row],[Personal Consumption Expenditures (PCE)]]*1)/T238)-1)</f>
        <v>3.1705025833723699E-3</v>
      </c>
      <c r="V239" s="8">
        <f>IF(Tabela1[[#This Row],[Personal Consumption Expenditures (PCE)]]="",#N/A,((Tabela1[[#This Row],[Personal Consumption Expenditures (PCE)]]*1)/T227)-1)</f>
        <v>2.9897528631705805E-2</v>
      </c>
      <c r="W239" s="7">
        <v>17.524000000000001</v>
      </c>
      <c r="X239" s="8">
        <f>IF(Tabela1[[#This Row],[Core PCE]]="",#N/A,((Tabela1[[#This Row],[Core PCE]]*1)/W238)-1)</f>
        <v>3.0910131654264816E-3</v>
      </c>
      <c r="Y239" s="8">
        <f>IF(Tabela1[[#This Row],[Core PCE]]="",#N/A,((Tabela1[[#This Row],[Core PCE]]*1)/W227)-1)</f>
        <v>2.6235652377605945E-2</v>
      </c>
      <c r="Z239" s="8">
        <f t="shared" si="9"/>
        <v>3.1437247873230767E-2</v>
      </c>
      <c r="AA239" s="8">
        <f t="shared" si="8"/>
        <v>3.4703241180148225E-2</v>
      </c>
      <c r="AB239" s="7"/>
      <c r="AC239" s="7"/>
      <c r="AD239" s="8"/>
      <c r="AE239" s="71"/>
      <c r="AF239" s="7"/>
      <c r="AG239" s="5"/>
    </row>
    <row r="240" spans="1:33" ht="12.75">
      <c r="A240" s="6">
        <v>24381</v>
      </c>
      <c r="B240" s="7">
        <v>32.85</v>
      </c>
      <c r="C240" s="8">
        <f>IF(Tabela1[[#This Row],[Consumer Price Index (CPI)]]="",#N/A,((Tabela1[[#This Row],[Consumer Price Index (CPI)]]*1)/B239)-1)</f>
        <v>3.0534351145039551E-3</v>
      </c>
      <c r="D240" s="8">
        <f>IF(Tabela1[[#This Row],[Consumer Price Index (CPI)]]="",#N/A,((Tabela1[[#This Row],[Consumer Price Index (CPI)]]*1)/B228)-1)</f>
        <v>3.7914691943128132E-2</v>
      </c>
      <c r="E240" s="25">
        <v>34</v>
      </c>
      <c r="F240" s="8">
        <f>IF(Tabela1[[#This Row],[Core Consumer Price Index]]="",#N/A,((Tabela1[[#This Row],[Core Consumer Price Index]]*1)/E239)-1)</f>
        <v>5.9171597633136397E-3</v>
      </c>
      <c r="G240" s="8">
        <f>IF(Tabela1[[#This Row],[Core Consumer Price Index]]="",#N/A,((Tabela1[[#This Row],[Core Consumer Price Index]]*1)/E228)-1)</f>
        <v>3.6585365853658569E-2</v>
      </c>
      <c r="H240" s="8">
        <f t="shared" si="6"/>
        <v>4.7442837159795914E-2</v>
      </c>
      <c r="I240" s="8">
        <f t="shared" si="7"/>
        <v>4.1685597791731421E-2</v>
      </c>
      <c r="J240" s="25">
        <v>28</v>
      </c>
      <c r="K240" s="8">
        <f>IF(Tabela1[[#This Row],[Services CPI]]="",#N/A,((Tabela1[[#This Row],[Services CPI]]*1)/J239)-1)</f>
        <v>3.5842293906811484E-3</v>
      </c>
      <c r="L240" s="8">
        <f>IF(Tabela1[[#This Row],[Services CPI]]="",#N/A,((Tabela1[[#This Row],[Services CPI]]*1)/J228)-1)</f>
        <v>4.4776119402984982E-2</v>
      </c>
      <c r="M240" s="7"/>
      <c r="N240" s="8"/>
      <c r="O240" s="8"/>
      <c r="P240" s="7">
        <v>39</v>
      </c>
      <c r="Q240" s="8">
        <f>IF(Tabela1[[#This Row],[Durable Goods CPI]]="",#N/A,((Tabela1[[#This Row],[Durable Goods CPI]]*1)/P239)-1)</f>
        <v>0</v>
      </c>
      <c r="R240" s="8">
        <f>IF(Tabela1[[#This Row],[Durable Goods CPI]]="",#N/A,((Tabela1[[#This Row],[Durable Goods CPI]]*1)/P228)-1)</f>
        <v>1.298701298701288E-2</v>
      </c>
      <c r="S240" s="7"/>
      <c r="T240" s="7">
        <v>17.131</v>
      </c>
      <c r="U240" s="8">
        <f>IF(Tabela1[[#This Row],[Personal Consumption Expenditures (PCE)]]="",#N/A,((Tabela1[[#This Row],[Personal Consumption Expenditures (PCE)]]*1)/T239)-1)</f>
        <v>2.633735221819089E-3</v>
      </c>
      <c r="V240" s="8">
        <f>IF(Tabela1[[#This Row],[Personal Consumption Expenditures (PCE)]]="",#N/A,((Tabela1[[#This Row],[Personal Consumption Expenditures (PCE)]]*1)/T228)-1)</f>
        <v>3.2298885206387462E-2</v>
      </c>
      <c r="W240" s="7">
        <v>17.581</v>
      </c>
      <c r="X240" s="8">
        <f>IF(Tabela1[[#This Row],[Core PCE]]="",#N/A,((Tabela1[[#This Row],[Core PCE]]*1)/W239)-1)</f>
        <v>3.252682036064769E-3</v>
      </c>
      <c r="Y240" s="8">
        <f>IF(Tabela1[[#This Row],[Core PCE]]="",#N/A,((Tabela1[[#This Row],[Core PCE]]*1)/W228)-1)</f>
        <v>2.9935559461042649E-2</v>
      </c>
      <c r="Z240" s="8">
        <f t="shared" si="9"/>
        <v>3.2715072123776778E-2</v>
      </c>
      <c r="AA240" s="8">
        <f t="shared" si="8"/>
        <v>3.4008930398883752E-2</v>
      </c>
      <c r="AB240" s="7"/>
      <c r="AC240" s="7"/>
      <c r="AD240" s="8"/>
      <c r="AE240" s="71"/>
      <c r="AF240" s="7"/>
      <c r="AG240" s="5"/>
    </row>
    <row r="241" spans="1:33" ht="12.75">
      <c r="A241" s="6">
        <v>24412</v>
      </c>
      <c r="B241" s="7">
        <v>32.880000000000003</v>
      </c>
      <c r="C241" s="8">
        <f>IF(Tabela1[[#This Row],[Consumer Price Index (CPI)]]="",#N/A,((Tabela1[[#This Row],[Consumer Price Index (CPI)]]*1)/B240)-1)</f>
        <v>9.1324200913245335E-4</v>
      </c>
      <c r="D241" s="8">
        <f>IF(Tabela1[[#This Row],[Consumer Price Index (CPI)]]="",#N/A,((Tabela1[[#This Row],[Consumer Price Index (CPI)]]*1)/B229)-1)</f>
        <v>3.5590551181102548E-2</v>
      </c>
      <c r="E241" s="25">
        <v>34</v>
      </c>
      <c r="F241" s="8">
        <f>IF(Tabela1[[#This Row],[Core Consumer Price Index]]="",#N/A,((Tabela1[[#This Row],[Core Consumer Price Index]]*1)/E240)-1)</f>
        <v>0</v>
      </c>
      <c r="G241" s="8">
        <f>IF(Tabela1[[#This Row],[Core Consumer Price Index]]="",#N/A,((Tabela1[[#This Row],[Core Consumer Price Index]]*1)/E229)-1)</f>
        <v>3.3434650455927084E-2</v>
      </c>
      <c r="H241" s="8">
        <f t="shared" si="6"/>
        <v>3.5538075255034052E-2</v>
      </c>
      <c r="I241" s="8">
        <f t="shared" si="7"/>
        <v>3.5679591785725329E-2</v>
      </c>
      <c r="J241" s="25">
        <v>28.2</v>
      </c>
      <c r="K241" s="8">
        <f>IF(Tabela1[[#This Row],[Services CPI]]="",#N/A,((Tabela1[[#This Row],[Services CPI]]*1)/J240)-1)</f>
        <v>7.1428571428571175E-3</v>
      </c>
      <c r="L241" s="8">
        <f>IF(Tabela1[[#This Row],[Services CPI]]="",#N/A,((Tabela1[[#This Row],[Services CPI]]*1)/J229)-1)</f>
        <v>4.8327137546468446E-2</v>
      </c>
      <c r="M241" s="7"/>
      <c r="N241" s="8"/>
      <c r="O241" s="8"/>
      <c r="P241" s="7">
        <v>39</v>
      </c>
      <c r="Q241" s="8">
        <f>IF(Tabela1[[#This Row],[Durable Goods CPI]]="",#N/A,((Tabela1[[#This Row],[Durable Goods CPI]]*1)/P240)-1)</f>
        <v>0</v>
      </c>
      <c r="R241" s="8">
        <f>IF(Tabela1[[#This Row],[Durable Goods CPI]]="",#N/A,((Tabela1[[#This Row],[Durable Goods CPI]]*1)/P229)-1)</f>
        <v>1.0362694300518172E-2</v>
      </c>
      <c r="S241" s="7"/>
      <c r="T241" s="7">
        <v>17.155999999999999</v>
      </c>
      <c r="U241" s="8">
        <f>IF(Tabela1[[#This Row],[Personal Consumption Expenditures (PCE)]]="",#N/A,((Tabela1[[#This Row],[Personal Consumption Expenditures (PCE)]]*1)/T240)-1)</f>
        <v>1.4593427120423996E-3</v>
      </c>
      <c r="V241" s="8">
        <f>IF(Tabela1[[#This Row],[Personal Consumption Expenditures (PCE)]]="",#N/A,((Tabela1[[#This Row],[Personal Consumption Expenditures (PCE)]]*1)/T229)-1)</f>
        <v>3.2064007700174368E-2</v>
      </c>
      <c r="W241" s="7">
        <v>17.625</v>
      </c>
      <c r="X241" s="8">
        <f>IF(Tabela1[[#This Row],[Core PCE]]="",#N/A,((Tabela1[[#This Row],[Core PCE]]*1)/W240)-1)</f>
        <v>2.5027017803309626E-3</v>
      </c>
      <c r="Y241" s="8">
        <f>IF(Tabela1[[#This Row],[Core PCE]]="",#N/A,((Tabela1[[#This Row],[Core PCE]]*1)/W229)-1)</f>
        <v>3.0581218570927327E-2</v>
      </c>
      <c r="Z241" s="8">
        <f t="shared" si="9"/>
        <v>3.5385587927288853E-2</v>
      </c>
      <c r="AA241" s="8">
        <f t="shared" si="8"/>
        <v>3.369179997053795E-2</v>
      </c>
      <c r="AB241" s="7"/>
      <c r="AC241" s="7"/>
      <c r="AD241" s="8"/>
      <c r="AE241" s="71"/>
      <c r="AF241" s="7"/>
      <c r="AG241" s="5"/>
    </row>
    <row r="242" spans="1:33" ht="12.75">
      <c r="A242" s="6">
        <v>24442</v>
      </c>
      <c r="B242" s="7">
        <v>32.92</v>
      </c>
      <c r="C242" s="8">
        <f>IF(Tabela1[[#This Row],[Consumer Price Index (CPI)]]="",#N/A,((Tabela1[[#This Row],[Consumer Price Index (CPI)]]*1)/B241)-1)</f>
        <v>1.2165450121655041E-3</v>
      </c>
      <c r="D242" s="8">
        <f>IF(Tabela1[[#This Row],[Consumer Price Index (CPI)]]="",#N/A,((Tabela1[[#This Row],[Consumer Price Index (CPI)]]*1)/B230)-1)</f>
        <v>3.3594976452119285E-2</v>
      </c>
      <c r="E242" s="25">
        <v>34.1</v>
      </c>
      <c r="F242" s="8">
        <f>IF(Tabela1[[#This Row],[Core Consumer Price Index]]="",#N/A,((Tabela1[[#This Row],[Core Consumer Price Index]]*1)/E241)-1)</f>
        <v>2.9411764705882248E-3</v>
      </c>
      <c r="G242" s="8">
        <f>IF(Tabela1[[#This Row],[Core Consumer Price Index]]="",#N/A,((Tabela1[[#This Row],[Core Consumer Price Index]]*1)/E230)-1)</f>
        <v>3.3333333333333437E-2</v>
      </c>
      <c r="H242" s="8">
        <f t="shared" si="6"/>
        <v>3.5433344935607458E-2</v>
      </c>
      <c r="I242" s="8">
        <f t="shared" si="7"/>
        <v>3.5573920774806034E-2</v>
      </c>
      <c r="J242" s="25">
        <v>28.2</v>
      </c>
      <c r="K242" s="8">
        <f>IF(Tabela1[[#This Row],[Services CPI]]="",#N/A,((Tabela1[[#This Row],[Services CPI]]*1)/J241)-1)</f>
        <v>0</v>
      </c>
      <c r="L242" s="8">
        <f>IF(Tabela1[[#This Row],[Services CPI]]="",#N/A,((Tabela1[[#This Row],[Services CPI]]*1)/J230)-1)</f>
        <v>4.8327137546468446E-2</v>
      </c>
      <c r="M242" s="7"/>
      <c r="N242" s="8"/>
      <c r="O242" s="8"/>
      <c r="P242" s="7">
        <v>38.9</v>
      </c>
      <c r="Q242" s="8">
        <f>IF(Tabela1[[#This Row],[Durable Goods CPI]]="",#N/A,((Tabela1[[#This Row],[Durable Goods CPI]]*1)/P241)-1)</f>
        <v>-2.564102564102555E-3</v>
      </c>
      <c r="R242" s="8">
        <f>IF(Tabela1[[#This Row],[Durable Goods CPI]]="",#N/A,((Tabela1[[#This Row],[Durable Goods CPI]]*1)/P230)-1)</f>
        <v>5.1679586563306845E-3</v>
      </c>
      <c r="S242" s="7"/>
      <c r="T242" s="7">
        <v>17.192</v>
      </c>
      <c r="U242" s="8">
        <f>IF(Tabela1[[#This Row],[Personal Consumption Expenditures (PCE)]]="",#N/A,((Tabela1[[#This Row],[Personal Consumption Expenditures (PCE)]]*1)/T241)-1)</f>
        <v>2.0983912333878418E-3</v>
      </c>
      <c r="V242" s="8">
        <f>IF(Tabela1[[#This Row],[Personal Consumption Expenditures (PCE)]]="",#N/A,((Tabela1[[#This Row],[Personal Consumption Expenditures (PCE)]]*1)/T230)-1)</f>
        <v>3.0510100101900139E-2</v>
      </c>
      <c r="W242" s="7">
        <v>17.678999999999998</v>
      </c>
      <c r="X242" s="8">
        <f>IF(Tabela1[[#This Row],[Core PCE]]="",#N/A,((Tabela1[[#This Row],[Core PCE]]*1)/W241)-1)</f>
        <v>3.0638297872338516E-3</v>
      </c>
      <c r="Y242" s="8">
        <f>IF(Tabela1[[#This Row],[Core PCE]]="",#N/A,((Tabela1[[#This Row],[Core PCE]]*1)/W230)-1)</f>
        <v>3.0605106680657412E-2</v>
      </c>
      <c r="Z242" s="8">
        <f t="shared" si="9"/>
        <v>3.5276854414518333E-2</v>
      </c>
      <c r="AA242" s="8">
        <f t="shared" si="8"/>
        <v>3.335705114387455E-2</v>
      </c>
      <c r="AB242" s="7"/>
      <c r="AC242" s="7"/>
      <c r="AD242" s="8"/>
      <c r="AE242" s="71"/>
      <c r="AF242" s="7"/>
      <c r="AG242" s="5"/>
    </row>
    <row r="243" spans="1:33" ht="12.75">
      <c r="A243" s="6">
        <v>24473</v>
      </c>
      <c r="B243" s="7">
        <v>32.9</v>
      </c>
      <c r="C243" s="8">
        <f>IF(Tabela1[[#This Row],[Consumer Price Index (CPI)]]="",#N/A,((Tabela1[[#This Row],[Consumer Price Index (CPI)]]*1)/B242)-1)</f>
        <v>-6.0753341433783525E-4</v>
      </c>
      <c r="D243" s="8">
        <f>IF(Tabela1[[#This Row],[Consumer Price Index (CPI)]]="",#N/A,((Tabela1[[#This Row],[Consumer Price Index (CPI)]]*1)/B231)-1)</f>
        <v>3.1994981179422899E-2</v>
      </c>
      <c r="E243" s="25">
        <v>34.200000000000003</v>
      </c>
      <c r="F243" s="8">
        <f>IF(Tabela1[[#This Row],[Core Consumer Price Index]]="",#N/A,((Tabela1[[#This Row],[Core Consumer Price Index]]*1)/E242)-1)</f>
        <v>2.9325513196480912E-3</v>
      </c>
      <c r="G243" s="8">
        <f>IF(Tabela1[[#This Row],[Core Consumer Price Index]]="",#N/A,((Tabela1[[#This Row],[Core Consumer Price Index]]*1)/E231)-1)</f>
        <v>3.6363636363636376E-2</v>
      </c>
      <c r="H243" s="8">
        <f t="shared" si="6"/>
        <v>2.3494911160945264E-2</v>
      </c>
      <c r="I243" s="8">
        <f t="shared" si="7"/>
        <v>3.5468874160370589E-2</v>
      </c>
      <c r="J243" s="25">
        <v>28.3</v>
      </c>
      <c r="K243" s="8">
        <f>IF(Tabela1[[#This Row],[Services CPI]]="",#N/A,((Tabela1[[#This Row],[Services CPI]]*1)/J242)-1)</f>
        <v>3.5460992907800915E-3</v>
      </c>
      <c r="L243" s="8">
        <f>IF(Tabela1[[#This Row],[Services CPI]]="",#N/A,((Tabela1[[#This Row],[Services CPI]]*1)/J231)-1)</f>
        <v>4.8148148148148273E-2</v>
      </c>
      <c r="M243" s="7">
        <v>28.8</v>
      </c>
      <c r="N243" s="8"/>
      <c r="O243" s="8"/>
      <c r="P243" s="7">
        <v>38.9</v>
      </c>
      <c r="Q243" s="8">
        <f>IF(Tabela1[[#This Row],[Durable Goods CPI]]="",#N/A,((Tabela1[[#This Row],[Durable Goods CPI]]*1)/P242)-1)</f>
        <v>0</v>
      </c>
      <c r="R243" s="8">
        <f>IF(Tabela1[[#This Row],[Durable Goods CPI]]="",#N/A,((Tabela1[[#This Row],[Durable Goods CPI]]*1)/P231)-1)</f>
        <v>7.7720207253886286E-3</v>
      </c>
      <c r="S243" s="7"/>
      <c r="T243" s="7">
        <v>17.193000000000001</v>
      </c>
      <c r="U243" s="8">
        <f>IF(Tabela1[[#This Row],[Personal Consumption Expenditures (PCE)]]="",#N/A,((Tabela1[[#This Row],[Personal Consumption Expenditures (PCE)]]*1)/T242)-1)</f>
        <v>5.8166589111285916E-5</v>
      </c>
      <c r="V243" s="8">
        <f>IF(Tabela1[[#This Row],[Personal Consumption Expenditures (PCE)]]="",#N/A,((Tabela1[[#This Row],[Personal Consumption Expenditures (PCE)]]*1)/T231)-1)</f>
        <v>2.9336047416631761E-2</v>
      </c>
      <c r="W243" s="7">
        <v>17.695</v>
      </c>
      <c r="X243" s="8">
        <f>IF(Tabela1[[#This Row],[Core PCE]]="",#N/A,((Tabela1[[#This Row],[Core PCE]]*1)/W242)-1)</f>
        <v>9.0502856496410544E-4</v>
      </c>
      <c r="Y243" s="8">
        <f>IF(Tabela1[[#This Row],[Core PCE]]="",#N/A,((Tabela1[[#This Row],[Core PCE]]*1)/W231)-1)</f>
        <v>3.1237251588087878E-2</v>
      </c>
      <c r="Z243" s="8">
        <f t="shared" si="9"/>
        <v>2.5886240530115678E-2</v>
      </c>
      <c r="AA243" s="8">
        <f t="shared" si="8"/>
        <v>2.9300656326946228E-2</v>
      </c>
      <c r="AB243" s="7"/>
      <c r="AC243" s="7"/>
      <c r="AD243" s="8"/>
      <c r="AE243" s="71"/>
      <c r="AF243" s="7"/>
      <c r="AG243" s="5"/>
    </row>
    <row r="244" spans="1:33" ht="12.75">
      <c r="A244" s="6">
        <v>24504</v>
      </c>
      <c r="B244" s="7">
        <v>33</v>
      </c>
      <c r="C244" s="8">
        <f>IF(Tabela1[[#This Row],[Consumer Price Index (CPI)]]="",#N/A,((Tabela1[[#This Row],[Consumer Price Index (CPI)]]*1)/B243)-1)</f>
        <v>3.0395136778116338E-3</v>
      </c>
      <c r="D244" s="8">
        <f>IF(Tabela1[[#This Row],[Consumer Price Index (CPI)]]="",#N/A,((Tabela1[[#This Row],[Consumer Price Index (CPI)]]*1)/B232)-1)</f>
        <v>2.8678304239401653E-2</v>
      </c>
      <c r="E244" s="25">
        <v>34.200000000000003</v>
      </c>
      <c r="F244" s="8">
        <f>IF(Tabela1[[#This Row],[Core Consumer Price Index]]="",#N/A,((Tabela1[[#This Row],[Core Consumer Price Index]]*1)/E243)-1)</f>
        <v>0</v>
      </c>
      <c r="G244" s="8">
        <f>IF(Tabela1[[#This Row],[Core Consumer Price Index]]="",#N/A,((Tabela1[[#This Row],[Core Consumer Price Index]]*1)/E232)-1)</f>
        <v>3.3232628398791597E-2</v>
      </c>
      <c r="H244" s="8">
        <f t="shared" si="6"/>
        <v>2.3494911160945264E-2</v>
      </c>
      <c r="I244" s="8">
        <f t="shared" si="7"/>
        <v>2.9516493207989658E-2</v>
      </c>
      <c r="J244" s="25">
        <v>28.4</v>
      </c>
      <c r="K244" s="8">
        <f>IF(Tabela1[[#This Row],[Services CPI]]="",#N/A,((Tabela1[[#This Row],[Services CPI]]*1)/J243)-1)</f>
        <v>3.5335689045936647E-3</v>
      </c>
      <c r="L244" s="8">
        <f>IF(Tabela1[[#This Row],[Services CPI]]="",#N/A,((Tabela1[[#This Row],[Services CPI]]*1)/J232)-1)</f>
        <v>5.1851851851851816E-2</v>
      </c>
      <c r="M244" s="7">
        <v>28.9</v>
      </c>
      <c r="N244" s="8">
        <f>IF(Tabela1[[#This Row],[Core-Services CPI]]="",#N/A,((Tabela1[[#This Row],[Core-Services CPI]]*1)/M243)-1)</f>
        <v>3.4722222222220989E-3</v>
      </c>
      <c r="O244" s="8"/>
      <c r="P244" s="7">
        <v>39</v>
      </c>
      <c r="Q244" s="8">
        <f>IF(Tabela1[[#This Row],[Durable Goods CPI]]="",#N/A,((Tabela1[[#This Row],[Durable Goods CPI]]*1)/P243)-1)</f>
        <v>2.5706940874037354E-3</v>
      </c>
      <c r="R244" s="8">
        <f>IF(Tabela1[[#This Row],[Durable Goods CPI]]="",#N/A,((Tabela1[[#This Row],[Durable Goods CPI]]*1)/P232)-1)</f>
        <v>1.0362694300518172E-2</v>
      </c>
      <c r="S244" s="7"/>
      <c r="T244" s="7">
        <v>17.213000000000001</v>
      </c>
      <c r="U244" s="8">
        <f>IF(Tabela1[[#This Row],[Personal Consumption Expenditures (PCE)]]="",#N/A,((Tabela1[[#This Row],[Personal Consumption Expenditures (PCE)]]*1)/T243)-1)</f>
        <v>1.163264119118157E-3</v>
      </c>
      <c r="V244" s="8">
        <f>IF(Tabela1[[#This Row],[Personal Consumption Expenditures (PCE)]]="",#N/A,((Tabela1[[#This Row],[Personal Consumption Expenditures (PCE)]]*1)/T232)-1)</f>
        <v>2.6293823038397557E-2</v>
      </c>
      <c r="W244" s="7">
        <v>17.727</v>
      </c>
      <c r="X244" s="8">
        <f>IF(Tabela1[[#This Row],[Core PCE]]="",#N/A,((Tabela1[[#This Row],[Core PCE]]*1)/W243)-1)</f>
        <v>1.8084204577564211E-3</v>
      </c>
      <c r="Y244" s="8">
        <f>IF(Tabela1[[#This Row],[Core PCE]]="",#N/A,((Tabela1[[#This Row],[Core PCE]]*1)/W232)-1)</f>
        <v>3.0579617464100872E-2</v>
      </c>
      <c r="Z244" s="8">
        <f t="shared" si="9"/>
        <v>2.3109115239817513E-2</v>
      </c>
      <c r="AA244" s="8">
        <f t="shared" si="8"/>
        <v>2.9247351583553183E-2</v>
      </c>
      <c r="AB244" s="7"/>
      <c r="AC244" s="7"/>
      <c r="AD244" s="8"/>
      <c r="AE244" s="71"/>
      <c r="AF244" s="7"/>
      <c r="AG244" s="5"/>
    </row>
    <row r="245" spans="1:33" ht="12.75">
      <c r="A245" s="6">
        <v>24532</v>
      </c>
      <c r="B245" s="7">
        <v>33</v>
      </c>
      <c r="C245" s="8">
        <f>IF(Tabela1[[#This Row],[Consumer Price Index (CPI)]]="",#N/A,((Tabela1[[#This Row],[Consumer Price Index (CPI)]]*1)/B244)-1)</f>
        <v>0</v>
      </c>
      <c r="D245" s="8">
        <f>IF(Tabela1[[#This Row],[Consumer Price Index (CPI)]]="",#N/A,((Tabela1[[#This Row],[Consumer Price Index (CPI)]]*1)/B233)-1)</f>
        <v>2.5481665630826544E-2</v>
      </c>
      <c r="E245" s="25">
        <v>34.299999999999997</v>
      </c>
      <c r="F245" s="8">
        <f>IF(Tabela1[[#This Row],[Core Consumer Price Index]]="",#N/A,((Tabela1[[#This Row],[Core Consumer Price Index]]*1)/E244)-1)</f>
        <v>2.9239766081869956E-3</v>
      </c>
      <c r="G245" s="8">
        <f>IF(Tabela1[[#This Row],[Core Consumer Price Index]]="",#N/A,((Tabela1[[#This Row],[Core Consumer Price Index]]*1)/E233)-1)</f>
        <v>3.6253776435045237E-2</v>
      </c>
      <c r="H245" s="8">
        <f t="shared" si="6"/>
        <v>2.3426111711340347E-2</v>
      </c>
      <c r="I245" s="8">
        <f t="shared" si="7"/>
        <v>2.9429728323473903E-2</v>
      </c>
      <c r="J245" s="25">
        <v>28.5</v>
      </c>
      <c r="K245" s="8">
        <f>IF(Tabela1[[#This Row],[Services CPI]]="",#N/A,((Tabela1[[#This Row],[Services CPI]]*1)/J244)-1)</f>
        <v>3.5211267605634866E-3</v>
      </c>
      <c r="L245" s="8">
        <f>IF(Tabela1[[#This Row],[Services CPI]]="",#N/A,((Tabela1[[#This Row],[Services CPI]]*1)/J233)-1)</f>
        <v>5.1660516605166018E-2</v>
      </c>
      <c r="M245" s="7">
        <v>29</v>
      </c>
      <c r="N245" s="8">
        <f>IF(Tabela1[[#This Row],[Core-Services CPI]]="",#N/A,((Tabela1[[#This Row],[Core-Services CPI]]*1)/M244)-1)</f>
        <v>3.4602076124568004E-3</v>
      </c>
      <c r="O245" s="8"/>
      <c r="P245" s="7">
        <v>39</v>
      </c>
      <c r="Q245" s="8">
        <f>IF(Tabela1[[#This Row],[Durable Goods CPI]]="",#N/A,((Tabela1[[#This Row],[Durable Goods CPI]]*1)/P244)-1)</f>
        <v>0</v>
      </c>
      <c r="R245" s="8">
        <f>IF(Tabela1[[#This Row],[Durable Goods CPI]]="",#N/A,((Tabela1[[#This Row],[Durable Goods CPI]]*1)/P233)-1)</f>
        <v>7.7519379844961378E-3</v>
      </c>
      <c r="S245" s="7"/>
      <c r="T245" s="7">
        <v>17.222000000000001</v>
      </c>
      <c r="U245" s="8">
        <f>IF(Tabela1[[#This Row],[Personal Consumption Expenditures (PCE)]]="",#N/A,((Tabela1[[#This Row],[Personal Consumption Expenditures (PCE)]]*1)/T244)-1)</f>
        <v>5.2286062859474569E-4</v>
      </c>
      <c r="V245" s="8">
        <f>IF(Tabela1[[#This Row],[Personal Consumption Expenditures (PCE)]]="",#N/A,((Tabela1[[#This Row],[Personal Consumption Expenditures (PCE)]]*1)/T233)-1)</f>
        <v>2.4326414084339554E-2</v>
      </c>
      <c r="W245" s="7">
        <v>17.754000000000001</v>
      </c>
      <c r="X245" s="8">
        <f>IF(Tabela1[[#This Row],[Core PCE]]="",#N/A,((Tabela1[[#This Row],[Core PCE]]*1)/W244)-1)</f>
        <v>1.5231003553901612E-3</v>
      </c>
      <c r="Y245" s="8">
        <f>IF(Tabela1[[#This Row],[Core PCE]]="",#N/A,((Tabela1[[#This Row],[Core PCE]]*1)/W233)-1)</f>
        <v>3.0830865702839327E-2</v>
      </c>
      <c r="Z245" s="8">
        <f t="shared" si="9"/>
        <v>1.6946197512442751E-2</v>
      </c>
      <c r="AA245" s="8">
        <f t="shared" si="8"/>
        <v>2.6111525963480542E-2</v>
      </c>
      <c r="AB245" s="7"/>
      <c r="AC245" s="7"/>
      <c r="AD245" s="8"/>
      <c r="AE245" s="71"/>
      <c r="AF245" s="7"/>
      <c r="AG245" s="5"/>
    </row>
    <row r="246" spans="1:33" ht="12.75">
      <c r="A246" s="6">
        <v>24563</v>
      </c>
      <c r="B246" s="7">
        <v>33.1</v>
      </c>
      <c r="C246" s="8">
        <f>IF(Tabela1[[#This Row],[Consumer Price Index (CPI)]]="",#N/A,((Tabela1[[#This Row],[Consumer Price Index (CPI)]]*1)/B245)-1)</f>
        <v>3.0303030303031608E-3</v>
      </c>
      <c r="D246" s="8">
        <f>IF(Tabela1[[#This Row],[Consumer Price Index (CPI)]]="",#N/A,((Tabela1[[#This Row],[Consumer Price Index (CPI)]]*1)/B234)-1)</f>
        <v>2.5402726146220633E-2</v>
      </c>
      <c r="E246" s="25">
        <v>34.4</v>
      </c>
      <c r="F246" s="8">
        <f>IF(Tabela1[[#This Row],[Core Consumer Price Index]]="",#N/A,((Tabela1[[#This Row],[Core Consumer Price Index]]*1)/E245)-1)</f>
        <v>2.9154518950438302E-3</v>
      </c>
      <c r="G246" s="8">
        <f>IF(Tabela1[[#This Row],[Core Consumer Price Index]]="",#N/A,((Tabela1[[#This Row],[Core Consumer Price Index]]*1)/E234)-1)</f>
        <v>3.3033033033033066E-2</v>
      </c>
      <c r="H246" s="8">
        <f t="shared" si="6"/>
        <v>2.3357714012923303E-2</v>
      </c>
      <c r="I246" s="8">
        <f t="shared" si="7"/>
        <v>2.3426312586934284E-2</v>
      </c>
      <c r="J246" s="25">
        <v>28.6</v>
      </c>
      <c r="K246" s="8">
        <f>IF(Tabela1[[#This Row],[Services CPI]]="",#N/A,((Tabela1[[#This Row],[Services CPI]]*1)/J245)-1)</f>
        <v>3.5087719298245723E-3</v>
      </c>
      <c r="L246" s="8">
        <f>IF(Tabela1[[#This Row],[Services CPI]]="",#N/A,((Tabela1[[#This Row],[Services CPI]]*1)/J234)-1)</f>
        <v>4.7619047619047672E-2</v>
      </c>
      <c r="M246" s="7">
        <v>29.1</v>
      </c>
      <c r="N246" s="8">
        <f>IF(Tabela1[[#This Row],[Core-Services CPI]]="",#N/A,((Tabela1[[#This Row],[Core-Services CPI]]*1)/M245)-1)</f>
        <v>3.4482758620690834E-3</v>
      </c>
      <c r="O246" s="8"/>
      <c r="P246" s="7">
        <v>39.1</v>
      </c>
      <c r="Q246" s="8">
        <f>IF(Tabela1[[#This Row],[Durable Goods CPI]]="",#N/A,((Tabela1[[#This Row],[Durable Goods CPI]]*1)/P245)-1)</f>
        <v>2.564102564102555E-3</v>
      </c>
      <c r="R246" s="8">
        <f>IF(Tabela1[[#This Row],[Durable Goods CPI]]="",#N/A,((Tabela1[[#This Row],[Durable Goods CPI]]*1)/P234)-1)</f>
        <v>1.0335917312661369E-2</v>
      </c>
      <c r="S246" s="7"/>
      <c r="T246" s="7">
        <v>17.251000000000001</v>
      </c>
      <c r="U246" s="8">
        <f>IF(Tabela1[[#This Row],[Personal Consumption Expenditures (PCE)]]="",#N/A,((Tabela1[[#This Row],[Personal Consumption Expenditures (PCE)]]*1)/T245)-1)</f>
        <v>1.6838926953897104E-3</v>
      </c>
      <c r="V246" s="8">
        <f>IF(Tabela1[[#This Row],[Personal Consumption Expenditures (PCE)]]="",#N/A,((Tabela1[[#This Row],[Personal Consumption Expenditures (PCE)]]*1)/T234)-1)</f>
        <v>2.2523857506964839E-2</v>
      </c>
      <c r="W246" s="7">
        <v>17.803000000000001</v>
      </c>
      <c r="X246" s="8">
        <f>IF(Tabela1[[#This Row],[Core PCE]]="",#N/A,((Tabela1[[#This Row],[Core PCE]]*1)/W245)-1)</f>
        <v>2.7599414216514795E-3</v>
      </c>
      <c r="Y246" s="8">
        <f>IF(Tabela1[[#This Row],[Core PCE]]="",#N/A,((Tabela1[[#This Row],[Core PCE]]*1)/W234)-1)</f>
        <v>2.9968180503326725E-2</v>
      </c>
      <c r="Z246" s="8">
        <f t="shared" si="9"/>
        <v>2.4365848939192247E-2</v>
      </c>
      <c r="AA246" s="8">
        <f t="shared" si="8"/>
        <v>2.5126044734653963E-2</v>
      </c>
      <c r="AB246" s="7"/>
      <c r="AC246" s="7"/>
      <c r="AD246" s="8"/>
      <c r="AE246" s="71"/>
      <c r="AF246" s="7"/>
      <c r="AG246" s="5"/>
    </row>
    <row r="247" spans="1:33" ht="12.75">
      <c r="A247" s="6">
        <v>24593</v>
      </c>
      <c r="B247" s="7">
        <v>33.1</v>
      </c>
      <c r="C247" s="8">
        <f>IF(Tabela1[[#This Row],[Consumer Price Index (CPI)]]="",#N/A,((Tabela1[[#This Row],[Consumer Price Index (CPI)]]*1)/B246)-1)</f>
        <v>0</v>
      </c>
      <c r="D247" s="8">
        <f>IF(Tabela1[[#This Row],[Consumer Price Index (CPI)]]="",#N/A,((Tabela1[[#This Row],[Consumer Price Index (CPI)]]*1)/B235)-1)</f>
        <v>2.3183925811437467E-2</v>
      </c>
      <c r="E247" s="25">
        <v>34.5</v>
      </c>
      <c r="F247" s="8">
        <f>IF(Tabela1[[#This Row],[Core Consumer Price Index]]="",#N/A,((Tabela1[[#This Row],[Core Consumer Price Index]]*1)/E246)-1)</f>
        <v>2.9069767441860517E-3</v>
      </c>
      <c r="G247" s="8">
        <f>IF(Tabela1[[#This Row],[Core Consumer Price Index]]="",#N/A,((Tabela1[[#This Row],[Core Consumer Price Index]]*1)/E235)-1)</f>
        <v>3.2934131736527039E-2</v>
      </c>
      <c r="H247" s="8">
        <f t="shared" si="6"/>
        <v>3.498562098966751E-2</v>
      </c>
      <c r="I247" s="8">
        <f t="shared" si="7"/>
        <v>2.9240266075306387E-2</v>
      </c>
      <c r="J247" s="25">
        <v>28.6</v>
      </c>
      <c r="K247" s="8">
        <f>IF(Tabela1[[#This Row],[Services CPI]]="",#N/A,((Tabela1[[#This Row],[Services CPI]]*1)/J246)-1)</f>
        <v>0</v>
      </c>
      <c r="L247" s="8">
        <f>IF(Tabela1[[#This Row],[Services CPI]]="",#N/A,((Tabela1[[#This Row],[Services CPI]]*1)/J235)-1)</f>
        <v>4.3795620437956373E-2</v>
      </c>
      <c r="M247" s="7">
        <v>29.1</v>
      </c>
      <c r="N247" s="8">
        <f>IF(Tabela1[[#This Row],[Core-Services CPI]]="",#N/A,((Tabela1[[#This Row],[Core-Services CPI]]*1)/M246)-1)</f>
        <v>0</v>
      </c>
      <c r="O247" s="8"/>
      <c r="P247" s="7">
        <v>39.200000000000003</v>
      </c>
      <c r="Q247" s="8">
        <f>IF(Tabela1[[#This Row],[Durable Goods CPI]]="",#N/A,((Tabela1[[#This Row],[Durable Goods CPI]]*1)/P246)-1)</f>
        <v>2.5575447570331811E-3</v>
      </c>
      <c r="R247" s="8">
        <f>IF(Tabela1[[#This Row],[Durable Goods CPI]]="",#N/A,((Tabela1[[#This Row],[Durable Goods CPI]]*1)/P235)-1)</f>
        <v>1.0309278350515649E-2</v>
      </c>
      <c r="S247" s="7"/>
      <c r="T247" s="7">
        <v>17.283999999999999</v>
      </c>
      <c r="U247" s="8">
        <f>IF(Tabela1[[#This Row],[Personal Consumption Expenditures (PCE)]]="",#N/A,((Tabela1[[#This Row],[Personal Consumption Expenditures (PCE)]]*1)/T246)-1)</f>
        <v>1.9129325836182431E-3</v>
      </c>
      <c r="V247" s="8">
        <f>IF(Tabela1[[#This Row],[Personal Consumption Expenditures (PCE)]]="",#N/A,((Tabela1[[#This Row],[Personal Consumption Expenditures (PCE)]]*1)/T235)-1)</f>
        <v>2.3206251479990447E-2</v>
      </c>
      <c r="W247" s="7">
        <v>17.841999999999999</v>
      </c>
      <c r="X247" s="8">
        <f>IF(Tabela1[[#This Row],[Core PCE]]="",#N/A,((Tabela1[[#This Row],[Core PCE]]*1)/W246)-1)</f>
        <v>2.1906420266246673E-3</v>
      </c>
      <c r="Y247" s="8">
        <f>IF(Tabela1[[#This Row],[Core PCE]]="",#N/A,((Tabela1[[#This Row],[Core PCE]]*1)/W235)-1)</f>
        <v>2.9484738330159743E-2</v>
      </c>
      <c r="Z247" s="8">
        <f t="shared" si="9"/>
        <v>2.5894735214665232E-2</v>
      </c>
      <c r="AA247" s="8">
        <f t="shared" si="8"/>
        <v>2.4501925227241372E-2</v>
      </c>
      <c r="AB247" s="7"/>
      <c r="AC247" s="7"/>
      <c r="AD247" s="8"/>
      <c r="AE247" s="71"/>
      <c r="AF247" s="7"/>
      <c r="AG247" s="5"/>
    </row>
    <row r="248" spans="1:33" ht="12.75">
      <c r="A248" s="6">
        <v>24624</v>
      </c>
      <c r="B248" s="7">
        <v>33.299999999999997</v>
      </c>
      <c r="C248" s="8">
        <f>IF(Tabela1[[#This Row],[Consumer Price Index (CPI)]]="",#N/A,((Tabela1[[#This Row],[Consumer Price Index (CPI)]]*1)/B247)-1)</f>
        <v>6.0422960725075026E-3</v>
      </c>
      <c r="D248" s="8">
        <f>IF(Tabela1[[#This Row],[Consumer Price Index (CPI)]]="",#N/A,((Tabela1[[#This Row],[Consumer Price Index (CPI)]]*1)/B236)-1)</f>
        <v>2.8412600370598895E-2</v>
      </c>
      <c r="E248" s="25">
        <v>34.6</v>
      </c>
      <c r="F248" s="8">
        <f>IF(Tabela1[[#This Row],[Core Consumer Price Index]]="",#N/A,((Tabela1[[#This Row],[Core Consumer Price Index]]*1)/E247)-1)</f>
        <v>2.8985507246377384E-3</v>
      </c>
      <c r="G248" s="8">
        <f>IF(Tabela1[[#This Row],[Core Consumer Price Index]]="",#N/A,((Tabela1[[#This Row],[Core Consumer Price Index]]*1)/E236)-1)</f>
        <v>3.2835820895522394E-2</v>
      </c>
      <c r="H248" s="8">
        <f t="shared" si="6"/>
        <v>3.4883917455470481E-2</v>
      </c>
      <c r="I248" s="8">
        <f t="shared" si="7"/>
        <v>2.9155014583405414E-2</v>
      </c>
      <c r="J248" s="25">
        <v>28.8</v>
      </c>
      <c r="K248" s="8">
        <f>IF(Tabela1[[#This Row],[Services CPI]]="",#N/A,((Tabela1[[#This Row],[Services CPI]]*1)/J247)-1)</f>
        <v>6.9930069930068672E-3</v>
      </c>
      <c r="L248" s="8">
        <f>IF(Tabela1[[#This Row],[Services CPI]]="",#N/A,((Tabela1[[#This Row],[Services CPI]]*1)/J236)-1)</f>
        <v>4.7272727272727355E-2</v>
      </c>
      <c r="M248" s="7">
        <v>29.2</v>
      </c>
      <c r="N248" s="8">
        <f>IF(Tabela1[[#This Row],[Core-Services CPI]]="",#N/A,((Tabela1[[#This Row],[Core-Services CPI]]*1)/M247)-1)</f>
        <v>3.4364261168384758E-3</v>
      </c>
      <c r="O248" s="8"/>
      <c r="P248" s="7">
        <v>39.299999999999997</v>
      </c>
      <c r="Q248" s="8">
        <f>IF(Tabela1[[#This Row],[Durable Goods CPI]]="",#N/A,((Tabela1[[#This Row],[Durable Goods CPI]]*1)/P247)-1)</f>
        <v>2.5510204081631294E-3</v>
      </c>
      <c r="R248" s="8">
        <f>IF(Tabela1[[#This Row],[Durable Goods CPI]]="",#N/A,((Tabela1[[#This Row],[Durable Goods CPI]]*1)/P236)-1)</f>
        <v>1.2886597938144284E-2</v>
      </c>
      <c r="S248" s="7"/>
      <c r="T248" s="7">
        <v>17.338999999999999</v>
      </c>
      <c r="U248" s="8">
        <f>IF(Tabela1[[#This Row],[Personal Consumption Expenditures (PCE)]]="",#N/A,((Tabela1[[#This Row],[Personal Consumption Expenditures (PCE)]]*1)/T247)-1)</f>
        <v>3.1821337653321624E-3</v>
      </c>
      <c r="V248" s="8">
        <f>IF(Tabela1[[#This Row],[Personal Consumption Expenditures (PCE)]]="",#N/A,((Tabela1[[#This Row],[Personal Consumption Expenditures (PCE)]]*1)/T236)-1)</f>
        <v>2.3916381244832641E-2</v>
      </c>
      <c r="W248" s="7">
        <v>17.887</v>
      </c>
      <c r="X248" s="8">
        <f>IF(Tabela1[[#This Row],[Core PCE]]="",#N/A,((Tabela1[[#This Row],[Core PCE]]*1)/W247)-1)</f>
        <v>2.5221387736802381E-3</v>
      </c>
      <c r="Y248" s="8">
        <f>IF(Tabela1[[#This Row],[Core PCE]]="",#N/A,((Tabela1[[#This Row],[Core PCE]]*1)/W236)-1)</f>
        <v>2.8757117386553066E-2</v>
      </c>
      <c r="Z248" s="8">
        <f t="shared" si="9"/>
        <v>2.989088888782554E-2</v>
      </c>
      <c r="AA248" s="8">
        <f t="shared" si="8"/>
        <v>2.3418543200134145E-2</v>
      </c>
      <c r="AB248" s="7"/>
      <c r="AC248" s="7"/>
      <c r="AD248" s="8"/>
      <c r="AE248" s="71"/>
      <c r="AF248" s="7"/>
      <c r="AG248" s="5"/>
    </row>
    <row r="249" spans="1:33" ht="12.75">
      <c r="A249" s="6">
        <v>24654</v>
      </c>
      <c r="B249" s="7">
        <v>33.4</v>
      </c>
      <c r="C249" s="8">
        <f>IF(Tabela1[[#This Row],[Consumer Price Index (CPI)]]="",#N/A,((Tabela1[[#This Row],[Consumer Price Index (CPI)]]*1)/B248)-1)</f>
        <v>3.0030030030030463E-3</v>
      </c>
      <c r="D249" s="8">
        <f>IF(Tabela1[[#This Row],[Consumer Price Index (CPI)]]="",#N/A,((Tabela1[[#This Row],[Consumer Price Index (CPI)]]*1)/B237)-1)</f>
        <v>2.9275808936825687E-2</v>
      </c>
      <c r="E249" s="25">
        <v>34.700000000000003</v>
      </c>
      <c r="F249" s="8">
        <f>IF(Tabela1[[#This Row],[Core Consumer Price Index]]="",#N/A,((Tabela1[[#This Row],[Core Consumer Price Index]]*1)/E248)-1)</f>
        <v>2.8901734104047616E-3</v>
      </c>
      <c r="G249" s="8">
        <f>IF(Tabela1[[#This Row],[Core Consumer Price Index]]="",#N/A,((Tabela1[[#This Row],[Core Consumer Price Index]]*1)/E237)-1)</f>
        <v>3.2738095238095344E-2</v>
      </c>
      <c r="H249" s="8">
        <f t="shared" si="6"/>
        <v>3.4782803516914207E-2</v>
      </c>
      <c r="I249" s="8">
        <f t="shared" si="7"/>
        <v>2.9070258764918755E-2</v>
      </c>
      <c r="J249" s="25">
        <v>28.8</v>
      </c>
      <c r="K249" s="8">
        <f>IF(Tabela1[[#This Row],[Services CPI]]="",#N/A,((Tabela1[[#This Row],[Services CPI]]*1)/J248)-1)</f>
        <v>0</v>
      </c>
      <c r="L249" s="8">
        <f>IF(Tabela1[[#This Row],[Services CPI]]="",#N/A,((Tabela1[[#This Row],[Services CPI]]*1)/J237)-1)</f>
        <v>3.9711191335740192E-2</v>
      </c>
      <c r="M249" s="7">
        <v>29.3</v>
      </c>
      <c r="N249" s="8">
        <f>IF(Tabela1[[#This Row],[Core-Services CPI]]="",#N/A,((Tabela1[[#This Row],[Core-Services CPI]]*1)/M248)-1)</f>
        <v>3.4246575342467001E-3</v>
      </c>
      <c r="O249" s="8"/>
      <c r="P249" s="7">
        <v>39.4</v>
      </c>
      <c r="Q249" s="8">
        <f>IF(Tabela1[[#This Row],[Durable Goods CPI]]="",#N/A,((Tabela1[[#This Row],[Durable Goods CPI]]*1)/P248)-1)</f>
        <v>2.5445292620864812E-3</v>
      </c>
      <c r="R249" s="8">
        <f>IF(Tabela1[[#This Row],[Durable Goods CPI]]="",#N/A,((Tabela1[[#This Row],[Durable Goods CPI]]*1)/P237)-1)</f>
        <v>1.2853470437018011E-2</v>
      </c>
      <c r="S249" s="7"/>
      <c r="T249" s="7">
        <v>17.398</v>
      </c>
      <c r="U249" s="8">
        <f>IF(Tabela1[[#This Row],[Personal Consumption Expenditures (PCE)]]="",#N/A,((Tabela1[[#This Row],[Personal Consumption Expenditures (PCE)]]*1)/T248)-1)</f>
        <v>3.4027337216679943E-3</v>
      </c>
      <c r="V249" s="8">
        <f>IF(Tabela1[[#This Row],[Personal Consumption Expenditures (PCE)]]="",#N/A,((Tabela1[[#This Row],[Personal Consumption Expenditures (PCE)]]*1)/T237)-1)</f>
        <v>2.5402251429245126E-2</v>
      </c>
      <c r="W249" s="7">
        <v>17.948</v>
      </c>
      <c r="X249" s="8">
        <f>IF(Tabela1[[#This Row],[Core PCE]]="",#N/A,((Tabela1[[#This Row],[Core PCE]]*1)/W248)-1)</f>
        <v>3.4102979817745016E-3</v>
      </c>
      <c r="Y249" s="8">
        <f>IF(Tabela1[[#This Row],[Core PCE]]="",#N/A,((Tabela1[[#This Row],[Core PCE]]*1)/W237)-1)</f>
        <v>2.9246473219405988E-2</v>
      </c>
      <c r="Z249" s="8">
        <f t="shared" si="9"/>
        <v>3.2492315128317628E-2</v>
      </c>
      <c r="AA249" s="8">
        <f t="shared" si="8"/>
        <v>2.8429082033754938E-2</v>
      </c>
      <c r="AB249" s="7"/>
      <c r="AC249" s="7"/>
      <c r="AD249" s="8"/>
      <c r="AE249" s="71"/>
      <c r="AF249" s="7"/>
      <c r="AG249" s="5"/>
    </row>
    <row r="250" spans="1:33" ht="12.75">
      <c r="A250" s="6">
        <v>24685</v>
      </c>
      <c r="B250" s="7">
        <v>33.5</v>
      </c>
      <c r="C250" s="8">
        <f>IF(Tabela1[[#This Row],[Consumer Price Index (CPI)]]="",#N/A,((Tabela1[[#This Row],[Consumer Price Index (CPI)]]*1)/B249)-1)</f>
        <v>2.9940119760478723E-3</v>
      </c>
      <c r="D250" s="8">
        <f>IF(Tabela1[[#This Row],[Consumer Price Index (CPI)]]="",#N/A,((Tabela1[[#This Row],[Consumer Price Index (CPI)]]*1)/B238)-1)</f>
        <v>2.6033690658499253E-2</v>
      </c>
      <c r="E250" s="25">
        <v>34.9</v>
      </c>
      <c r="F250" s="8">
        <f>IF(Tabela1[[#This Row],[Core Consumer Price Index]]="",#N/A,((Tabela1[[#This Row],[Core Consumer Price Index]]*1)/E249)-1)</f>
        <v>5.7636887608067955E-3</v>
      </c>
      <c r="G250" s="8">
        <f>IF(Tabela1[[#This Row],[Core Consumer Price Index]]="",#N/A,((Tabela1[[#This Row],[Core Consumer Price Index]]*1)/E238)-1)</f>
        <v>3.5608308605341144E-2</v>
      </c>
      <c r="H250" s="8">
        <f t="shared" si="6"/>
        <v>4.6209651583397182E-2</v>
      </c>
      <c r="I250" s="8">
        <f t="shared" si="7"/>
        <v>4.0597636286532346E-2</v>
      </c>
      <c r="J250" s="25">
        <v>28.9</v>
      </c>
      <c r="K250" s="8">
        <f>IF(Tabela1[[#This Row],[Services CPI]]="",#N/A,((Tabela1[[#This Row],[Services CPI]]*1)/J249)-1)</f>
        <v>3.4722222222220989E-3</v>
      </c>
      <c r="L250" s="8">
        <f>IF(Tabela1[[#This Row],[Services CPI]]="",#N/A,((Tabela1[[#This Row],[Services CPI]]*1)/J238)-1)</f>
        <v>4.3321299638989119E-2</v>
      </c>
      <c r="M250" s="7">
        <v>29.4</v>
      </c>
      <c r="N250" s="8">
        <f>IF(Tabela1[[#This Row],[Core-Services CPI]]="",#N/A,((Tabela1[[#This Row],[Core-Services CPI]]*1)/M249)-1)</f>
        <v>3.4129692832762792E-3</v>
      </c>
      <c r="O250" s="8"/>
      <c r="P250" s="7">
        <v>39.6</v>
      </c>
      <c r="Q250" s="8">
        <f>IF(Tabela1[[#This Row],[Durable Goods CPI]]="",#N/A,((Tabela1[[#This Row],[Durable Goods CPI]]*1)/P249)-1)</f>
        <v>5.0761421319798217E-3</v>
      </c>
      <c r="R250" s="8">
        <f>IF(Tabela1[[#This Row],[Durable Goods CPI]]="",#N/A,((Tabela1[[#This Row],[Durable Goods CPI]]*1)/P238)-1)</f>
        <v>1.538461538461533E-2</v>
      </c>
      <c r="S250" s="7"/>
      <c r="T250" s="7">
        <v>17.452000000000002</v>
      </c>
      <c r="U250" s="8">
        <f>IF(Tabela1[[#This Row],[Personal Consumption Expenditures (PCE)]]="",#N/A,((Tabela1[[#This Row],[Personal Consumption Expenditures (PCE)]]*1)/T249)-1)</f>
        <v>3.1038050350615798E-3</v>
      </c>
      <c r="V250" s="8">
        <f>IF(Tabela1[[#This Row],[Personal Consumption Expenditures (PCE)]]="",#N/A,((Tabela1[[#This Row],[Personal Consumption Expenditures (PCE)]]*1)/T238)-1)</f>
        <v>2.4659464537341469E-2</v>
      </c>
      <c r="W250" s="7">
        <v>18.003</v>
      </c>
      <c r="X250" s="8">
        <f>IF(Tabela1[[#This Row],[Core PCE]]="",#N/A,((Tabela1[[#This Row],[Core PCE]]*1)/W249)-1)</f>
        <v>3.0644082906172709E-3</v>
      </c>
      <c r="Y250" s="8">
        <f>IF(Tabela1[[#This Row],[Core PCE]]="",#N/A,((Tabela1[[#This Row],[Core PCE]]*1)/W238)-1)</f>
        <v>3.0509444762449878E-2</v>
      </c>
      <c r="Z250" s="8">
        <f t="shared" si="9"/>
        <v>3.5987380184288043E-2</v>
      </c>
      <c r="AA250" s="8">
        <f t="shared" si="8"/>
        <v>3.0941057699476637E-2</v>
      </c>
      <c r="AB250" s="7"/>
      <c r="AC250" s="7"/>
      <c r="AD250" s="8"/>
      <c r="AE250" s="71"/>
      <c r="AF250" s="7"/>
      <c r="AG250" s="5"/>
    </row>
    <row r="251" spans="1:33" ht="12.75">
      <c r="A251" s="6">
        <v>24716</v>
      </c>
      <c r="B251" s="7">
        <v>33.6</v>
      </c>
      <c r="C251" s="8">
        <f>IF(Tabela1[[#This Row],[Consumer Price Index (CPI)]]="",#N/A,((Tabela1[[#This Row],[Consumer Price Index (CPI)]]*1)/B250)-1)</f>
        <v>2.9850746268658135E-3</v>
      </c>
      <c r="D251" s="8">
        <f>IF(Tabela1[[#This Row],[Consumer Price Index (CPI)]]="",#N/A,((Tabela1[[#This Row],[Consumer Price Index (CPI)]]*1)/B239)-1)</f>
        <v>2.5954198473282508E-2</v>
      </c>
      <c r="E251" s="25">
        <v>35</v>
      </c>
      <c r="F251" s="8">
        <f>IF(Tabela1[[#This Row],[Core Consumer Price Index]]="",#N/A,((Tabela1[[#This Row],[Core Consumer Price Index]]*1)/E250)-1)</f>
        <v>2.8653295128939771E-3</v>
      </c>
      <c r="G251" s="8">
        <f>IF(Tabela1[[#This Row],[Core Consumer Price Index]]="",#N/A,((Tabela1[[#This Row],[Core Consumer Price Index]]*1)/E239)-1)</f>
        <v>3.5502958579881838E-2</v>
      </c>
      <c r="H251" s="8">
        <f t="shared" si="6"/>
        <v>4.6076766736422137E-2</v>
      </c>
      <c r="I251" s="8">
        <f t="shared" si="7"/>
        <v>4.0480342095946309E-2</v>
      </c>
      <c r="J251" s="25">
        <v>29</v>
      </c>
      <c r="K251" s="8">
        <f>IF(Tabela1[[#This Row],[Services CPI]]="",#N/A,((Tabela1[[#This Row],[Services CPI]]*1)/J250)-1)</f>
        <v>3.4602076124568004E-3</v>
      </c>
      <c r="L251" s="8">
        <f>IF(Tabela1[[#This Row],[Services CPI]]="",#N/A,((Tabela1[[#This Row],[Services CPI]]*1)/J239)-1)</f>
        <v>3.9426523297491078E-2</v>
      </c>
      <c r="M251" s="7">
        <v>29.6</v>
      </c>
      <c r="N251" s="8">
        <f>IF(Tabela1[[#This Row],[Core-Services CPI]]="",#N/A,((Tabela1[[#This Row],[Core-Services CPI]]*1)/M250)-1)</f>
        <v>6.8027210884353817E-3</v>
      </c>
      <c r="O251" s="8"/>
      <c r="P251" s="7">
        <v>39.799999999999997</v>
      </c>
      <c r="Q251" s="8">
        <f>IF(Tabela1[[#This Row],[Durable Goods CPI]]="",#N/A,((Tabela1[[#This Row],[Durable Goods CPI]]*1)/P250)-1)</f>
        <v>5.050505050504972E-3</v>
      </c>
      <c r="R251" s="8">
        <f>IF(Tabela1[[#This Row],[Durable Goods CPI]]="",#N/A,((Tabela1[[#This Row],[Durable Goods CPI]]*1)/P239)-1)</f>
        <v>2.051282051282044E-2</v>
      </c>
      <c r="S251" s="7"/>
      <c r="T251" s="7">
        <v>17.504999999999999</v>
      </c>
      <c r="U251" s="8">
        <f>IF(Tabela1[[#This Row],[Personal Consumption Expenditures (PCE)]]="",#N/A,((Tabela1[[#This Row],[Personal Consumption Expenditures (PCE)]]*1)/T250)-1)</f>
        <v>3.0369012147604124E-3</v>
      </c>
      <c r="V251" s="8">
        <f>IF(Tabela1[[#This Row],[Personal Consumption Expenditures (PCE)]]="",#N/A,((Tabela1[[#This Row],[Personal Consumption Expenditures (PCE)]]*1)/T239)-1)</f>
        <v>2.4523001287603874E-2</v>
      </c>
      <c r="W251" s="7">
        <v>18.067</v>
      </c>
      <c r="X251" s="8">
        <f>IF(Tabela1[[#This Row],[Core PCE]]="",#N/A,((Tabela1[[#This Row],[Core PCE]]*1)/W250)-1)</f>
        <v>3.5549630617119909E-3</v>
      </c>
      <c r="Y251" s="8">
        <f>IF(Tabela1[[#This Row],[Core PCE]]="",#N/A,((Tabela1[[#This Row],[Core PCE]]*1)/W239)-1)</f>
        <v>3.098607623830163E-2</v>
      </c>
      <c r="Z251" s="8">
        <f t="shared" si="9"/>
        <v>4.0118677336415054E-2</v>
      </c>
      <c r="AA251" s="8">
        <f t="shared" si="8"/>
        <v>3.5004783112120297E-2</v>
      </c>
      <c r="AB251" s="7"/>
      <c r="AC251" s="7"/>
      <c r="AD251" s="8"/>
      <c r="AE251" s="71"/>
      <c r="AF251" s="7"/>
      <c r="AG251" s="5"/>
    </row>
    <row r="252" spans="1:33" ht="12.75">
      <c r="A252" s="6">
        <v>24746</v>
      </c>
      <c r="B252" s="7">
        <v>33.700000000000003</v>
      </c>
      <c r="C252" s="8">
        <f>IF(Tabela1[[#This Row],[Consumer Price Index (CPI)]]="",#N/A,((Tabela1[[#This Row],[Consumer Price Index (CPI)]]*1)/B251)-1)</f>
        <v>2.9761904761904656E-3</v>
      </c>
      <c r="D252" s="8">
        <f>IF(Tabela1[[#This Row],[Consumer Price Index (CPI)]]="",#N/A,((Tabela1[[#This Row],[Consumer Price Index (CPI)]]*1)/B240)-1)</f>
        <v>2.5875190258751957E-2</v>
      </c>
      <c r="E252" s="25">
        <v>35.1</v>
      </c>
      <c r="F252" s="8">
        <f>IF(Tabela1[[#This Row],[Core Consumer Price Index]]="",#N/A,((Tabela1[[#This Row],[Core Consumer Price Index]]*1)/E251)-1)</f>
        <v>2.8571428571428914E-3</v>
      </c>
      <c r="G252" s="8">
        <f>IF(Tabela1[[#This Row],[Core Consumer Price Index]]="",#N/A,((Tabela1[[#This Row],[Core Consumer Price Index]]*1)/E240)-1)</f>
        <v>3.2352941176470695E-2</v>
      </c>
      <c r="H252" s="8">
        <f t="shared" si="6"/>
        <v>4.5944644523374656E-2</v>
      </c>
      <c r="I252" s="8">
        <f t="shared" si="7"/>
        <v>4.0363724020144431E-2</v>
      </c>
      <c r="J252" s="25">
        <v>29.2</v>
      </c>
      <c r="K252" s="8">
        <f>IF(Tabela1[[#This Row],[Services CPI]]="",#N/A,((Tabela1[[#This Row],[Services CPI]]*1)/J251)-1)</f>
        <v>6.8965517241379448E-3</v>
      </c>
      <c r="L252" s="8">
        <f>IF(Tabela1[[#This Row],[Services CPI]]="",#N/A,((Tabela1[[#This Row],[Services CPI]]*1)/J240)-1)</f>
        <v>4.2857142857142927E-2</v>
      </c>
      <c r="M252" s="7">
        <v>29.7</v>
      </c>
      <c r="N252" s="8">
        <f>IF(Tabela1[[#This Row],[Core-Services CPI]]="",#N/A,((Tabela1[[#This Row],[Core-Services CPI]]*1)/M251)-1)</f>
        <v>3.3783783783782884E-3</v>
      </c>
      <c r="O252" s="8"/>
      <c r="P252" s="7">
        <v>39.9</v>
      </c>
      <c r="Q252" s="8">
        <f>IF(Tabela1[[#This Row],[Durable Goods CPI]]="",#N/A,((Tabela1[[#This Row],[Durable Goods CPI]]*1)/P251)-1)</f>
        <v>2.5125628140703071E-3</v>
      </c>
      <c r="R252" s="8">
        <f>IF(Tabela1[[#This Row],[Durable Goods CPI]]="",#N/A,((Tabela1[[#This Row],[Durable Goods CPI]]*1)/P240)-1)</f>
        <v>2.3076923076922995E-2</v>
      </c>
      <c r="S252" s="7"/>
      <c r="T252" s="7">
        <v>17.553999999999998</v>
      </c>
      <c r="U252" s="8">
        <f>IF(Tabela1[[#This Row],[Personal Consumption Expenditures (PCE)]]="",#N/A,((Tabela1[[#This Row],[Personal Consumption Expenditures (PCE)]]*1)/T251)-1)</f>
        <v>2.7992002285062156E-3</v>
      </c>
      <c r="V252" s="8">
        <f>IF(Tabela1[[#This Row],[Personal Consumption Expenditures (PCE)]]="",#N/A,((Tabela1[[#This Row],[Personal Consumption Expenditures (PCE)]]*1)/T240)-1)</f>
        <v>2.4692078687758912E-2</v>
      </c>
      <c r="W252" s="7">
        <v>18.134</v>
      </c>
      <c r="X252" s="8">
        <f>IF(Tabela1[[#This Row],[Core PCE]]="",#N/A,((Tabela1[[#This Row],[Core PCE]]*1)/W251)-1)</f>
        <v>3.7084186638622896E-3</v>
      </c>
      <c r="Y252" s="8">
        <f>IF(Tabela1[[#This Row],[Core PCE]]="",#N/A,((Tabela1[[#This Row],[Core PCE]]*1)/W240)-1)</f>
        <v>3.1454411011887951E-2</v>
      </c>
      <c r="Z252" s="8">
        <f t="shared" si="9"/>
        <v>4.1311160064766206E-2</v>
      </c>
      <c r="AA252" s="8">
        <f t="shared" si="8"/>
        <v>3.6901737596541917E-2</v>
      </c>
      <c r="AB252" s="7"/>
      <c r="AC252" s="7"/>
      <c r="AD252" s="8"/>
      <c r="AE252" s="71"/>
      <c r="AF252" s="7"/>
      <c r="AG252" s="5"/>
    </row>
    <row r="253" spans="1:33" ht="12.75">
      <c r="A253" s="6">
        <v>24777</v>
      </c>
      <c r="B253" s="7">
        <v>33.9</v>
      </c>
      <c r="C253" s="8">
        <f>IF(Tabela1[[#This Row],[Consumer Price Index (CPI)]]="",#N/A,((Tabela1[[#This Row],[Consumer Price Index (CPI)]]*1)/B252)-1)</f>
        <v>5.9347181008901906E-3</v>
      </c>
      <c r="D253" s="8">
        <f>IF(Tabela1[[#This Row],[Consumer Price Index (CPI)]]="",#N/A,((Tabela1[[#This Row],[Consumer Price Index (CPI)]]*1)/B241)-1)</f>
        <v>3.1021897810218801E-2</v>
      </c>
      <c r="E253" s="25">
        <v>35.200000000000003</v>
      </c>
      <c r="F253" s="8">
        <f>IF(Tabela1[[#This Row],[Core Consumer Price Index]]="",#N/A,((Tabela1[[#This Row],[Core Consumer Price Index]]*1)/E252)-1)</f>
        <v>2.8490028490029129E-3</v>
      </c>
      <c r="G253" s="8">
        <f>IF(Tabela1[[#This Row],[Core Consumer Price Index]]="",#N/A,((Tabela1[[#This Row],[Core Consumer Price Index]]*1)/E241)-1)</f>
        <v>3.529411764705892E-2</v>
      </c>
      <c r="H253" s="8">
        <f t="shared" si="6"/>
        <v>3.4285900876159126E-2</v>
      </c>
      <c r="I253" s="8">
        <f t="shared" si="7"/>
        <v>4.0247776229778154E-2</v>
      </c>
      <c r="J253" s="25">
        <v>29.2</v>
      </c>
      <c r="K253" s="8">
        <f>IF(Tabela1[[#This Row],[Services CPI]]="",#N/A,((Tabela1[[#This Row],[Services CPI]]*1)/J252)-1)</f>
        <v>0</v>
      </c>
      <c r="L253" s="8">
        <f>IF(Tabela1[[#This Row],[Services CPI]]="",#N/A,((Tabela1[[#This Row],[Services CPI]]*1)/J241)-1)</f>
        <v>3.5460992907801359E-2</v>
      </c>
      <c r="M253" s="7">
        <v>29.8</v>
      </c>
      <c r="N253" s="8">
        <f>IF(Tabela1[[#This Row],[Core-Services CPI]]="",#N/A,((Tabela1[[#This Row],[Core-Services CPI]]*1)/M252)-1)</f>
        <v>3.3670033670034627E-3</v>
      </c>
      <c r="O253" s="8"/>
      <c r="P253" s="7">
        <v>40</v>
      </c>
      <c r="Q253" s="8">
        <f>IF(Tabela1[[#This Row],[Durable Goods CPI]]="",#N/A,((Tabela1[[#This Row],[Durable Goods CPI]]*1)/P252)-1)</f>
        <v>2.5062656641603454E-3</v>
      </c>
      <c r="R253" s="8">
        <f>IF(Tabela1[[#This Row],[Durable Goods CPI]]="",#N/A,((Tabela1[[#This Row],[Durable Goods CPI]]*1)/P241)-1)</f>
        <v>2.564102564102555E-2</v>
      </c>
      <c r="S253" s="7"/>
      <c r="T253" s="7">
        <v>17.611999999999998</v>
      </c>
      <c r="U253" s="8">
        <f>IF(Tabela1[[#This Row],[Personal Consumption Expenditures (PCE)]]="",#N/A,((Tabela1[[#This Row],[Personal Consumption Expenditures (PCE)]]*1)/T252)-1)</f>
        <v>3.3040902358436597E-3</v>
      </c>
      <c r="V253" s="8">
        <f>IF(Tabela1[[#This Row],[Personal Consumption Expenditures (PCE)]]="",#N/A,((Tabela1[[#This Row],[Personal Consumption Expenditures (PCE)]]*1)/T241)-1)</f>
        <v>2.6579622289577998E-2</v>
      </c>
      <c r="W253" s="7">
        <v>18.192</v>
      </c>
      <c r="X253" s="8">
        <f>IF(Tabela1[[#This Row],[Core PCE]]="",#N/A,((Tabela1[[#This Row],[Core PCE]]*1)/W252)-1)</f>
        <v>3.1984118230947711E-3</v>
      </c>
      <c r="Y253" s="8">
        <f>IF(Tabela1[[#This Row],[Core PCE]]="",#N/A,((Tabela1[[#This Row],[Core PCE]]*1)/W241)-1)</f>
        <v>3.2170212765957551E-2</v>
      </c>
      <c r="Z253" s="8">
        <f t="shared" si="9"/>
        <v>4.1847174194676207E-2</v>
      </c>
      <c r="AA253" s="8">
        <f t="shared" si="8"/>
        <v>3.8917277189482125E-2</v>
      </c>
      <c r="AB253" s="7"/>
      <c r="AC253" s="7"/>
      <c r="AD253" s="8"/>
      <c r="AE253" s="71"/>
      <c r="AF253" s="7"/>
      <c r="AG253" s="5"/>
    </row>
    <row r="254" spans="1:33" ht="12.75">
      <c r="A254" s="6">
        <v>24807</v>
      </c>
      <c r="B254" s="7">
        <v>34</v>
      </c>
      <c r="C254" s="8">
        <f>IF(Tabela1[[#This Row],[Consumer Price Index (CPI)]]="",#N/A,((Tabela1[[#This Row],[Consumer Price Index (CPI)]]*1)/B253)-1)</f>
        <v>2.9498525073747839E-3</v>
      </c>
      <c r="D254" s="8">
        <f>IF(Tabela1[[#This Row],[Consumer Price Index (CPI)]]="",#N/A,((Tabela1[[#This Row],[Consumer Price Index (CPI)]]*1)/B242)-1)</f>
        <v>3.2806804374240439E-2</v>
      </c>
      <c r="E254" s="25">
        <v>35.4</v>
      </c>
      <c r="F254" s="8">
        <f>IF(Tabela1[[#This Row],[Core Consumer Price Index]]="",#N/A,((Tabela1[[#This Row],[Core Consumer Price Index]]*1)/E253)-1)</f>
        <v>5.6818181818181213E-3</v>
      </c>
      <c r="G254" s="8">
        <f>IF(Tabela1[[#This Row],[Core Consumer Price Index]]="",#N/A,((Tabela1[[#This Row],[Core Consumer Price Index]]*1)/E242)-1)</f>
        <v>3.8123167155425186E-2</v>
      </c>
      <c r="H254" s="8">
        <f t="shared" ref="H254:H317" si="10">SUM(F252:F254)*4</f>
        <v>4.5551855551855702E-2</v>
      </c>
      <c r="I254" s="8">
        <f t="shared" si="7"/>
        <v>4.5814311144138919E-2</v>
      </c>
      <c r="J254" s="25">
        <v>29.4</v>
      </c>
      <c r="K254" s="8">
        <f>IF(Tabela1[[#This Row],[Services CPI]]="",#N/A,((Tabela1[[#This Row],[Services CPI]]*1)/J253)-1)</f>
        <v>6.8493150684931781E-3</v>
      </c>
      <c r="L254" s="8">
        <f>IF(Tabela1[[#This Row],[Services CPI]]="",#N/A,((Tabela1[[#This Row],[Services CPI]]*1)/J242)-1)</f>
        <v>4.2553191489361764E-2</v>
      </c>
      <c r="M254" s="7">
        <v>29.9</v>
      </c>
      <c r="N254" s="8">
        <f>IF(Tabela1[[#This Row],[Core-Services CPI]]="",#N/A,((Tabela1[[#This Row],[Core-Services CPI]]*1)/M253)-1)</f>
        <v>3.3557046979864058E-3</v>
      </c>
      <c r="O254" s="8"/>
      <c r="P254" s="7">
        <v>40.200000000000003</v>
      </c>
      <c r="Q254" s="8">
        <f>IF(Tabela1[[#This Row],[Durable Goods CPI]]="",#N/A,((Tabela1[[#This Row],[Durable Goods CPI]]*1)/P253)-1)</f>
        <v>5.0000000000001155E-3</v>
      </c>
      <c r="R254" s="8">
        <f>IF(Tabela1[[#This Row],[Durable Goods CPI]]="",#N/A,((Tabela1[[#This Row],[Durable Goods CPI]]*1)/P242)-1)</f>
        <v>3.3419023136247006E-2</v>
      </c>
      <c r="S254" s="7"/>
      <c r="T254" s="7">
        <v>17.64</v>
      </c>
      <c r="U254" s="8">
        <f>IF(Tabela1[[#This Row],[Personal Consumption Expenditures (PCE)]]="",#N/A,((Tabela1[[#This Row],[Personal Consumption Expenditures (PCE)]]*1)/T253)-1)</f>
        <v>1.5898251192369983E-3</v>
      </c>
      <c r="V254" s="8">
        <f>IF(Tabela1[[#This Row],[Personal Consumption Expenditures (PCE)]]="",#N/A,((Tabela1[[#This Row],[Personal Consumption Expenditures (PCE)]]*1)/T242)-1)</f>
        <v>2.6058631921824116E-2</v>
      </c>
      <c r="W254" s="7">
        <v>18.236999999999998</v>
      </c>
      <c r="X254" s="8">
        <f>IF(Tabela1[[#This Row],[Core PCE]]="",#N/A,((Tabela1[[#This Row],[Core PCE]]*1)/W253)-1)</f>
        <v>2.4736147757253857E-3</v>
      </c>
      <c r="Y254" s="8">
        <f>IF(Tabela1[[#This Row],[Core PCE]]="",#N/A,((Tabela1[[#This Row],[Core PCE]]*1)/W242)-1)</f>
        <v>3.15628712031224E-2</v>
      </c>
      <c r="Z254" s="8">
        <f t="shared" si="9"/>
        <v>3.7521781050729786E-2</v>
      </c>
      <c r="AA254" s="8">
        <f t="shared" si="8"/>
        <v>3.882022919357242E-2</v>
      </c>
      <c r="AB254" s="7"/>
      <c r="AC254" s="7"/>
      <c r="AD254" s="8"/>
      <c r="AE254" s="71"/>
      <c r="AF254" s="7"/>
      <c r="AG254" s="5"/>
    </row>
    <row r="255" spans="1:33" ht="12.75">
      <c r="A255" s="6">
        <v>24838</v>
      </c>
      <c r="B255" s="7">
        <v>34.1</v>
      </c>
      <c r="C255" s="8">
        <f>IF(Tabela1[[#This Row],[Consumer Price Index (CPI)]]="",#N/A,((Tabela1[[#This Row],[Consumer Price Index (CPI)]]*1)/B254)-1)</f>
        <v>2.9411764705882248E-3</v>
      </c>
      <c r="D255" s="8">
        <f>IF(Tabela1[[#This Row],[Consumer Price Index (CPI)]]="",#N/A,((Tabela1[[#This Row],[Consumer Price Index (CPI)]]*1)/B243)-1)</f>
        <v>3.6474164133738718E-2</v>
      </c>
      <c r="E255" s="25">
        <v>35.5</v>
      </c>
      <c r="F255" s="8">
        <f>IF(Tabela1[[#This Row],[Core Consumer Price Index]]="",#N/A,((Tabela1[[#This Row],[Core Consumer Price Index]]*1)/E254)-1)</f>
        <v>2.8248587570622874E-3</v>
      </c>
      <c r="G255" s="8">
        <f>IF(Tabela1[[#This Row],[Core Consumer Price Index]]="",#N/A,((Tabela1[[#This Row],[Core Consumer Price Index]]*1)/E243)-1)</f>
        <v>3.8011695906432719E-2</v>
      </c>
      <c r="H255" s="8">
        <f t="shared" si="10"/>
        <v>4.5422719151533286E-2</v>
      </c>
      <c r="I255" s="8">
        <f t="shared" si="7"/>
        <v>4.5683681837453971E-2</v>
      </c>
      <c r="J255" s="25">
        <v>29.5</v>
      </c>
      <c r="K255" s="8">
        <f>IF(Tabela1[[#This Row],[Services CPI]]="",#N/A,((Tabela1[[#This Row],[Services CPI]]*1)/J254)-1)</f>
        <v>3.4013605442178019E-3</v>
      </c>
      <c r="L255" s="8">
        <f>IF(Tabela1[[#This Row],[Services CPI]]="",#N/A,((Tabela1[[#This Row],[Services CPI]]*1)/J243)-1)</f>
        <v>4.2402826855123754E-2</v>
      </c>
      <c r="M255" s="7">
        <v>30.1</v>
      </c>
      <c r="N255" s="8">
        <f>IF(Tabela1[[#This Row],[Core-Services CPI]]="",#N/A,((Tabela1[[#This Row],[Core-Services CPI]]*1)/M254)-1)</f>
        <v>6.6889632107023367E-3</v>
      </c>
      <c r="O255" s="8">
        <f>IF(Tabela1[[#This Row],[Core-Services CPI]]="",#N/A,((Tabela1[[#This Row],[Core-Services CPI]]*1)/M243)-1)</f>
        <v>4.513888888888884E-2</v>
      </c>
      <c r="P255" s="7">
        <v>40.200000000000003</v>
      </c>
      <c r="Q255" s="8">
        <f>IF(Tabela1[[#This Row],[Durable Goods CPI]]="",#N/A,((Tabela1[[#This Row],[Durable Goods CPI]]*1)/P254)-1)</f>
        <v>0</v>
      </c>
      <c r="R255" s="8">
        <f>IF(Tabela1[[#This Row],[Durable Goods CPI]]="",#N/A,((Tabela1[[#This Row],[Durable Goods CPI]]*1)/P243)-1)</f>
        <v>3.3419023136247006E-2</v>
      </c>
      <c r="S255" s="7"/>
      <c r="T255" s="7">
        <v>17.722000000000001</v>
      </c>
      <c r="U255" s="8">
        <f>IF(Tabela1[[#This Row],[Personal Consumption Expenditures (PCE)]]="",#N/A,((Tabela1[[#This Row],[Personal Consumption Expenditures (PCE)]]*1)/T254)-1)</f>
        <v>4.6485260770976478E-3</v>
      </c>
      <c r="V255" s="8">
        <f>IF(Tabela1[[#This Row],[Personal Consumption Expenditures (PCE)]]="",#N/A,((Tabela1[[#This Row],[Personal Consumption Expenditures (PCE)]]*1)/T243)-1)</f>
        <v>3.0768335950677628E-2</v>
      </c>
      <c r="W255" s="7">
        <v>18.318000000000001</v>
      </c>
      <c r="X255" s="8">
        <f>IF(Tabela1[[#This Row],[Core PCE]]="",#N/A,((Tabela1[[#This Row],[Core PCE]]*1)/W254)-1)</f>
        <v>4.44151998684017E-3</v>
      </c>
      <c r="Y255" s="8">
        <f>IF(Tabela1[[#This Row],[Core PCE]]="",#N/A,((Tabela1[[#This Row],[Core PCE]]*1)/W243)-1)</f>
        <v>3.5207685786945442E-2</v>
      </c>
      <c r="Z255" s="8">
        <f t="shared" si="9"/>
        <v>4.0454186342641307E-2</v>
      </c>
      <c r="AA255" s="8">
        <f t="shared" si="8"/>
        <v>4.0882673203703757E-2</v>
      </c>
      <c r="AB255" s="7"/>
      <c r="AC255" s="7"/>
      <c r="AD255" s="8"/>
      <c r="AE255" s="71"/>
      <c r="AF255" s="7"/>
      <c r="AG255" s="5"/>
    </row>
    <row r="256" spans="1:33" ht="12.75">
      <c r="A256" s="6">
        <v>24869</v>
      </c>
      <c r="B256" s="7">
        <v>34.200000000000003</v>
      </c>
      <c r="C256" s="8">
        <f>IF(Tabela1[[#This Row],[Consumer Price Index (CPI)]]="",#N/A,((Tabela1[[#This Row],[Consumer Price Index (CPI)]]*1)/B255)-1)</f>
        <v>2.9325513196480912E-3</v>
      </c>
      <c r="D256" s="8">
        <f>IF(Tabela1[[#This Row],[Consumer Price Index (CPI)]]="",#N/A,((Tabela1[[#This Row],[Consumer Price Index (CPI)]]*1)/B244)-1)</f>
        <v>3.6363636363636376E-2</v>
      </c>
      <c r="E256" s="25">
        <v>35.700000000000003</v>
      </c>
      <c r="F256" s="8">
        <f>IF(Tabela1[[#This Row],[Core Consumer Price Index]]="",#N/A,((Tabela1[[#This Row],[Core Consumer Price Index]]*1)/E255)-1)</f>
        <v>5.6338028169014009E-3</v>
      </c>
      <c r="G256" s="8">
        <f>IF(Tabela1[[#This Row],[Core Consumer Price Index]]="",#N/A,((Tabela1[[#This Row],[Core Consumer Price Index]]*1)/E244)-1)</f>
        <v>4.3859649122806932E-2</v>
      </c>
      <c r="H256" s="8">
        <f t="shared" si="10"/>
        <v>5.6561919023127238E-2</v>
      </c>
      <c r="I256" s="8">
        <f t="shared" si="7"/>
        <v>4.5423909949643182E-2</v>
      </c>
      <c r="J256" s="25">
        <v>29.6</v>
      </c>
      <c r="K256" s="8">
        <f>IF(Tabela1[[#This Row],[Services CPI]]="",#N/A,((Tabela1[[#This Row],[Services CPI]]*1)/J255)-1)</f>
        <v>3.3898305084745228E-3</v>
      </c>
      <c r="L256" s="8">
        <f>IF(Tabela1[[#This Row],[Services CPI]]="",#N/A,((Tabela1[[#This Row],[Services CPI]]*1)/J244)-1)</f>
        <v>4.2253521126760729E-2</v>
      </c>
      <c r="M256" s="7">
        <v>30.2</v>
      </c>
      <c r="N256" s="8">
        <f>IF(Tabela1[[#This Row],[Core-Services CPI]]="",#N/A,((Tabela1[[#This Row],[Core-Services CPI]]*1)/M255)-1)</f>
        <v>3.3222591362125353E-3</v>
      </c>
      <c r="O256" s="8">
        <f>IF(Tabela1[[#This Row],[Core-Services CPI]]="",#N/A,((Tabela1[[#This Row],[Core-Services CPI]]*1)/M244)-1)</f>
        <v>4.4982698961937739E-2</v>
      </c>
      <c r="P256" s="7">
        <v>40.299999999999997</v>
      </c>
      <c r="Q256" s="8">
        <f>IF(Tabela1[[#This Row],[Durable Goods CPI]]="",#N/A,((Tabela1[[#This Row],[Durable Goods CPI]]*1)/P255)-1)</f>
        <v>2.4875621890545485E-3</v>
      </c>
      <c r="R256" s="8">
        <f>IF(Tabela1[[#This Row],[Durable Goods CPI]]="",#N/A,((Tabela1[[#This Row],[Durable Goods CPI]]*1)/P244)-1)</f>
        <v>3.3333333333333215E-2</v>
      </c>
      <c r="S256" s="7">
        <v>3.3834970069999999</v>
      </c>
      <c r="T256" s="7">
        <v>17.794</v>
      </c>
      <c r="U256" s="8">
        <f>IF(Tabela1[[#This Row],[Personal Consumption Expenditures (PCE)]]="",#N/A,((Tabela1[[#This Row],[Personal Consumption Expenditures (PCE)]]*1)/T255)-1)</f>
        <v>4.0627468682992163E-3</v>
      </c>
      <c r="V256" s="8">
        <f>IF(Tabela1[[#This Row],[Personal Consumption Expenditures (PCE)]]="",#N/A,((Tabela1[[#This Row],[Personal Consumption Expenditures (PCE)]]*1)/T244)-1)</f>
        <v>3.3753558357055624E-2</v>
      </c>
      <c r="W256" s="7">
        <v>18.396999999999998</v>
      </c>
      <c r="X256" s="8">
        <f>IF(Tabela1[[#This Row],[Core PCE]]="",#N/A,((Tabela1[[#This Row],[Core PCE]]*1)/W255)-1)</f>
        <v>4.3126978927829906E-3</v>
      </c>
      <c r="Y256" s="8">
        <f>IF(Tabela1[[#This Row],[Core PCE]]="",#N/A,((Tabela1[[#This Row],[Core PCE]]*1)/W244)-1)</f>
        <v>3.7795453263383516E-2</v>
      </c>
      <c r="Z256" s="8">
        <f t="shared" si="9"/>
        <v>4.4911330621394185E-2</v>
      </c>
      <c r="AA256" s="8">
        <f t="shared" si="8"/>
        <v>4.3379252408035196E-2</v>
      </c>
      <c r="AB256" s="7"/>
      <c r="AC256" s="7"/>
      <c r="AD256" s="8"/>
      <c r="AE256" s="71"/>
      <c r="AF256" s="7"/>
      <c r="AG256" s="5"/>
    </row>
    <row r="257" spans="1:33" ht="12.75">
      <c r="A257" s="6">
        <v>24898</v>
      </c>
      <c r="B257" s="7">
        <v>34.299999999999997</v>
      </c>
      <c r="C257" s="8">
        <f>IF(Tabela1[[#This Row],[Consumer Price Index (CPI)]]="",#N/A,((Tabela1[[#This Row],[Consumer Price Index (CPI)]]*1)/B256)-1)</f>
        <v>2.9239766081869956E-3</v>
      </c>
      <c r="D257" s="8">
        <f>IF(Tabela1[[#This Row],[Consumer Price Index (CPI)]]="",#N/A,((Tabela1[[#This Row],[Consumer Price Index (CPI)]]*1)/B245)-1)</f>
        <v>3.9393939393939315E-2</v>
      </c>
      <c r="E257" s="25">
        <v>35.799999999999997</v>
      </c>
      <c r="F257" s="8">
        <f>IF(Tabela1[[#This Row],[Core Consumer Price Index]]="",#N/A,((Tabela1[[#This Row],[Core Consumer Price Index]]*1)/E256)-1)</f>
        <v>2.8011204481790397E-3</v>
      </c>
      <c r="G257" s="8">
        <f>IF(Tabela1[[#This Row],[Core Consumer Price Index]]="",#N/A,((Tabela1[[#This Row],[Core Consumer Price Index]]*1)/E245)-1)</f>
        <v>4.3731778425655898E-2</v>
      </c>
      <c r="H257" s="8">
        <f t="shared" si="10"/>
        <v>4.5039128088570912E-2</v>
      </c>
      <c r="I257" s="8">
        <f t="shared" ref="I257:I320" si="11">SUM(F252:F257)*2</f>
        <v>4.5295491820213307E-2</v>
      </c>
      <c r="J257" s="25">
        <v>29.8</v>
      </c>
      <c r="K257" s="8">
        <f>IF(Tabela1[[#This Row],[Services CPI]]="",#N/A,((Tabela1[[#This Row],[Services CPI]]*1)/J256)-1)</f>
        <v>6.7567567567567988E-3</v>
      </c>
      <c r="L257" s="8">
        <f>IF(Tabela1[[#This Row],[Services CPI]]="",#N/A,((Tabela1[[#This Row],[Services CPI]]*1)/J245)-1)</f>
        <v>4.5614035087719218E-2</v>
      </c>
      <c r="M257" s="7">
        <v>30.4</v>
      </c>
      <c r="N257" s="8">
        <f>IF(Tabela1[[#This Row],[Core-Services CPI]]="",#N/A,((Tabela1[[#This Row],[Core-Services CPI]]*1)/M256)-1)</f>
        <v>6.6225165562914245E-3</v>
      </c>
      <c r="O257" s="8">
        <f>IF(Tabela1[[#This Row],[Core-Services CPI]]="",#N/A,((Tabela1[[#This Row],[Core-Services CPI]]*1)/M245)-1)</f>
        <v>4.8275862068965392E-2</v>
      </c>
      <c r="P257" s="7">
        <v>40.4</v>
      </c>
      <c r="Q257" s="8">
        <f>IF(Tabela1[[#This Row],[Durable Goods CPI]]="",#N/A,((Tabela1[[#This Row],[Durable Goods CPI]]*1)/P256)-1)</f>
        <v>2.4813895781639062E-3</v>
      </c>
      <c r="R257" s="8">
        <f>IF(Tabela1[[#This Row],[Durable Goods CPI]]="",#N/A,((Tabela1[[#This Row],[Durable Goods CPI]]*1)/P245)-1)</f>
        <v>3.589743589743577E-2</v>
      </c>
      <c r="S257" s="7">
        <v>3.6599872919999998</v>
      </c>
      <c r="T257" s="7">
        <v>17.852</v>
      </c>
      <c r="U257" s="8">
        <f>IF(Tabela1[[#This Row],[Personal Consumption Expenditures (PCE)]]="",#N/A,((Tabela1[[#This Row],[Personal Consumption Expenditures (PCE)]]*1)/T256)-1)</f>
        <v>3.2595256828145125E-3</v>
      </c>
      <c r="V257" s="8">
        <f>IF(Tabela1[[#This Row],[Personal Consumption Expenditures (PCE)]]="",#N/A,((Tabela1[[#This Row],[Personal Consumption Expenditures (PCE)]]*1)/T245)-1)</f>
        <v>3.6581117175705335E-2</v>
      </c>
      <c r="W257" s="7">
        <v>18.47</v>
      </c>
      <c r="X257" s="8">
        <f>IF(Tabela1[[#This Row],[Core PCE]]="",#N/A,((Tabela1[[#This Row],[Core PCE]]*1)/W256)-1)</f>
        <v>3.9680382671087866E-3</v>
      </c>
      <c r="Y257" s="8">
        <f>IF(Tabela1[[#This Row],[Core PCE]]="",#N/A,((Tabela1[[#This Row],[Core PCE]]*1)/W245)-1)</f>
        <v>4.0328939957192667E-2</v>
      </c>
      <c r="Z257" s="8">
        <f t="shared" si="9"/>
        <v>5.0889024586927789E-2</v>
      </c>
      <c r="AA257" s="8">
        <f t="shared" si="8"/>
        <v>4.4205402818828787E-2</v>
      </c>
      <c r="AB257" s="7"/>
      <c r="AC257" s="7"/>
      <c r="AD257" s="8"/>
      <c r="AE257" s="71"/>
      <c r="AF257" s="7"/>
      <c r="AG257" s="5"/>
    </row>
    <row r="258" spans="1:33" ht="12.75">
      <c r="A258" s="6">
        <v>24929</v>
      </c>
      <c r="B258" s="7">
        <v>34.4</v>
      </c>
      <c r="C258" s="8">
        <f>IF(Tabela1[[#This Row],[Consumer Price Index (CPI)]]="",#N/A,((Tabela1[[#This Row],[Consumer Price Index (CPI)]]*1)/B257)-1)</f>
        <v>2.9154518950438302E-3</v>
      </c>
      <c r="D258" s="8">
        <f>IF(Tabela1[[#This Row],[Consumer Price Index (CPI)]]="",#N/A,((Tabela1[[#This Row],[Consumer Price Index (CPI)]]*1)/B246)-1)</f>
        <v>3.92749244712991E-2</v>
      </c>
      <c r="E258" s="25">
        <v>35.9</v>
      </c>
      <c r="F258" s="8">
        <f>IF(Tabela1[[#This Row],[Core Consumer Price Index]]="",#N/A,((Tabela1[[#This Row],[Core Consumer Price Index]]*1)/E257)-1)</f>
        <v>2.7932960893854997E-3</v>
      </c>
      <c r="G258" s="8">
        <f>IF(Tabela1[[#This Row],[Core Consumer Price Index]]="",#N/A,((Tabela1[[#This Row],[Core Consumer Price Index]]*1)/E246)-1)</f>
        <v>4.3604651162790775E-2</v>
      </c>
      <c r="H258" s="8">
        <f t="shared" si="10"/>
        <v>4.4912877417863761E-2</v>
      </c>
      <c r="I258" s="8">
        <f t="shared" si="11"/>
        <v>4.5167798284698524E-2</v>
      </c>
      <c r="J258" s="25">
        <v>29.9</v>
      </c>
      <c r="K258" s="8">
        <f>IF(Tabela1[[#This Row],[Services CPI]]="",#N/A,((Tabela1[[#This Row],[Services CPI]]*1)/J257)-1)</f>
        <v>3.3557046979864058E-3</v>
      </c>
      <c r="L258" s="8">
        <f>IF(Tabela1[[#This Row],[Services CPI]]="",#N/A,((Tabela1[[#This Row],[Services CPI]]*1)/J246)-1)</f>
        <v>4.5454545454545414E-2</v>
      </c>
      <c r="M258" s="7">
        <v>30.5</v>
      </c>
      <c r="N258" s="8">
        <f>IF(Tabela1[[#This Row],[Core-Services CPI]]="",#N/A,((Tabela1[[#This Row],[Core-Services CPI]]*1)/M257)-1)</f>
        <v>3.2894736842106198E-3</v>
      </c>
      <c r="O258" s="8">
        <f>IF(Tabela1[[#This Row],[Core-Services CPI]]="",#N/A,((Tabela1[[#This Row],[Core-Services CPI]]*1)/M246)-1)</f>
        <v>4.8109965635738883E-2</v>
      </c>
      <c r="P258" s="7">
        <v>40.4</v>
      </c>
      <c r="Q258" s="8">
        <f>IF(Tabela1[[#This Row],[Durable Goods CPI]]="",#N/A,((Tabela1[[#This Row],[Durable Goods CPI]]*1)/P257)-1)</f>
        <v>0</v>
      </c>
      <c r="R258" s="8">
        <f>IF(Tabela1[[#This Row],[Durable Goods CPI]]="",#N/A,((Tabela1[[#This Row],[Durable Goods CPI]]*1)/P246)-1)</f>
        <v>3.3248081841432242E-2</v>
      </c>
      <c r="S258" s="7">
        <v>3.6820124989999998</v>
      </c>
      <c r="T258" s="7">
        <v>17.908000000000001</v>
      </c>
      <c r="U258" s="8">
        <f>IF(Tabela1[[#This Row],[Personal Consumption Expenditures (PCE)]]="",#N/A,((Tabela1[[#This Row],[Personal Consumption Expenditures (PCE)]]*1)/T257)-1)</f>
        <v>3.1369034281873986E-3</v>
      </c>
      <c r="V258" s="8">
        <f>IF(Tabela1[[#This Row],[Personal Consumption Expenditures (PCE)]]="",#N/A,((Tabela1[[#This Row],[Personal Consumption Expenditures (PCE)]]*1)/T246)-1)</f>
        <v>3.8084748710219607E-2</v>
      </c>
      <c r="W258" s="7">
        <v>18.538</v>
      </c>
      <c r="X258" s="8">
        <f>IF(Tabela1[[#This Row],[Core PCE]]="",#N/A,((Tabela1[[#This Row],[Core PCE]]*1)/W257)-1)</f>
        <v>3.6816459122903655E-3</v>
      </c>
      <c r="Y258" s="8">
        <f>IF(Tabela1[[#This Row],[Core PCE]]="",#N/A,((Tabela1[[#This Row],[Core PCE]]*1)/W246)-1)</f>
        <v>4.1285176655619704E-2</v>
      </c>
      <c r="Z258" s="8">
        <f t="shared" si="9"/>
        <v>4.7849528288728571E-2</v>
      </c>
      <c r="AA258" s="8">
        <f t="shared" si="8"/>
        <v>4.4151857315684939E-2</v>
      </c>
      <c r="AB258" s="7"/>
      <c r="AC258" s="7"/>
      <c r="AD258" s="8"/>
      <c r="AE258" s="71"/>
      <c r="AF258" s="7"/>
      <c r="AG258" s="5"/>
    </row>
    <row r="259" spans="1:33" ht="12.75">
      <c r="A259" s="6">
        <v>24959</v>
      </c>
      <c r="B259" s="7">
        <v>34.5</v>
      </c>
      <c r="C259" s="8">
        <f>IF(Tabela1[[#This Row],[Consumer Price Index (CPI)]]="",#N/A,((Tabela1[[#This Row],[Consumer Price Index (CPI)]]*1)/B258)-1)</f>
        <v>2.9069767441860517E-3</v>
      </c>
      <c r="D259" s="8">
        <f>IF(Tabela1[[#This Row],[Consumer Price Index (CPI)]]="",#N/A,((Tabela1[[#This Row],[Consumer Price Index (CPI)]]*1)/B247)-1)</f>
        <v>4.229607250755274E-2</v>
      </c>
      <c r="E259" s="25">
        <v>36</v>
      </c>
      <c r="F259" s="8">
        <f>IF(Tabela1[[#This Row],[Core Consumer Price Index]]="",#N/A,((Tabela1[[#This Row],[Core Consumer Price Index]]*1)/E258)-1)</f>
        <v>2.7855153203342198E-3</v>
      </c>
      <c r="G259" s="8">
        <f>IF(Tabela1[[#This Row],[Core Consumer Price Index]]="",#N/A,((Tabela1[[#This Row],[Core Consumer Price Index]]*1)/E247)-1)</f>
        <v>4.3478260869565188E-2</v>
      </c>
      <c r="H259" s="8">
        <f t="shared" si="10"/>
        <v>3.3519727431595037E-2</v>
      </c>
      <c r="I259" s="8">
        <f t="shared" si="11"/>
        <v>4.5040823227361138E-2</v>
      </c>
      <c r="J259" s="25">
        <v>30</v>
      </c>
      <c r="K259" s="8">
        <f>IF(Tabela1[[#This Row],[Services CPI]]="",#N/A,((Tabela1[[#This Row],[Services CPI]]*1)/J258)-1)</f>
        <v>3.3444816053511683E-3</v>
      </c>
      <c r="L259" s="8">
        <f>IF(Tabela1[[#This Row],[Services CPI]]="",#N/A,((Tabela1[[#This Row],[Services CPI]]*1)/J247)-1)</f>
        <v>4.8951048951048959E-2</v>
      </c>
      <c r="M259" s="7">
        <v>30.6</v>
      </c>
      <c r="N259" s="8">
        <f>IF(Tabela1[[#This Row],[Core-Services CPI]]="",#N/A,((Tabela1[[#This Row],[Core-Services CPI]]*1)/M258)-1)</f>
        <v>3.2786885245901232E-3</v>
      </c>
      <c r="O259" s="8">
        <f>IF(Tabela1[[#This Row],[Core-Services CPI]]="",#N/A,((Tabela1[[#This Row],[Core-Services CPI]]*1)/M247)-1)</f>
        <v>5.1546391752577359E-2</v>
      </c>
      <c r="P259" s="7">
        <v>40.4</v>
      </c>
      <c r="Q259" s="8">
        <f>IF(Tabela1[[#This Row],[Durable Goods CPI]]="",#N/A,((Tabela1[[#This Row],[Durable Goods CPI]]*1)/P258)-1)</f>
        <v>0</v>
      </c>
      <c r="R259" s="8">
        <f>IF(Tabela1[[#This Row],[Durable Goods CPI]]="",#N/A,((Tabela1[[#This Row],[Durable Goods CPI]]*1)/P247)-1)</f>
        <v>3.0612244897959107E-2</v>
      </c>
      <c r="S259" s="7">
        <v>4.1516675889999997</v>
      </c>
      <c r="T259" s="7">
        <v>17.974</v>
      </c>
      <c r="U259" s="8">
        <f>IF(Tabela1[[#This Row],[Personal Consumption Expenditures (PCE)]]="",#N/A,((Tabela1[[#This Row],[Personal Consumption Expenditures (PCE)]]*1)/T258)-1)</f>
        <v>3.6855036855036882E-3</v>
      </c>
      <c r="V259" s="8">
        <f>IF(Tabela1[[#This Row],[Personal Consumption Expenditures (PCE)]]="",#N/A,((Tabela1[[#This Row],[Personal Consumption Expenditures (PCE)]]*1)/T247)-1)</f>
        <v>3.9921314510529937E-2</v>
      </c>
      <c r="W259" s="7">
        <v>18.608000000000001</v>
      </c>
      <c r="X259" s="8">
        <f>IF(Tabela1[[#This Row],[Core PCE]]="",#N/A,((Tabela1[[#This Row],[Core PCE]]*1)/W258)-1)</f>
        <v>3.7760276189449105E-3</v>
      </c>
      <c r="Y259" s="8">
        <f>IF(Tabela1[[#This Row],[Core PCE]]="",#N/A,((Tabela1[[#This Row],[Core PCE]]*1)/W247)-1)</f>
        <v>4.2932406680865398E-2</v>
      </c>
      <c r="Z259" s="8">
        <f t="shared" si="9"/>
        <v>4.570284719337625E-2</v>
      </c>
      <c r="AA259" s="8">
        <f t="shared" si="8"/>
        <v>4.5307088907385218E-2</v>
      </c>
      <c r="AB259" s="7"/>
      <c r="AC259" s="7"/>
      <c r="AD259" s="8"/>
      <c r="AE259" s="71"/>
      <c r="AF259" s="7"/>
      <c r="AG259" s="5"/>
    </row>
    <row r="260" spans="1:33" ht="12.75">
      <c r="A260" s="6">
        <v>24990</v>
      </c>
      <c r="B260" s="7">
        <v>34.700000000000003</v>
      </c>
      <c r="C260" s="8">
        <f>IF(Tabela1[[#This Row],[Consumer Price Index (CPI)]]="",#N/A,((Tabela1[[#This Row],[Consumer Price Index (CPI)]]*1)/B259)-1)</f>
        <v>5.7971014492754769E-3</v>
      </c>
      <c r="D260" s="8">
        <f>IF(Tabela1[[#This Row],[Consumer Price Index (CPI)]]="",#N/A,((Tabela1[[#This Row],[Consumer Price Index (CPI)]]*1)/B248)-1)</f>
        <v>4.2042042042042205E-2</v>
      </c>
      <c r="E260" s="25">
        <v>36.200000000000003</v>
      </c>
      <c r="F260" s="8">
        <f>IF(Tabela1[[#This Row],[Core Consumer Price Index]]="",#N/A,((Tabela1[[#This Row],[Core Consumer Price Index]]*1)/E259)-1)</f>
        <v>5.5555555555555358E-3</v>
      </c>
      <c r="G260" s="8">
        <f>IF(Tabela1[[#This Row],[Core Consumer Price Index]]="",#N/A,((Tabela1[[#This Row],[Core Consumer Price Index]]*1)/E248)-1)</f>
        <v>4.6242774566473965E-2</v>
      </c>
      <c r="H260" s="8">
        <f t="shared" si="10"/>
        <v>4.4537467861101021E-2</v>
      </c>
      <c r="I260" s="8">
        <f t="shared" si="11"/>
        <v>4.4788297974835967E-2</v>
      </c>
      <c r="J260" s="25">
        <v>30.2</v>
      </c>
      <c r="K260" s="8">
        <f>IF(Tabela1[[#This Row],[Services CPI]]="",#N/A,((Tabela1[[#This Row],[Services CPI]]*1)/J259)-1)</f>
        <v>6.6666666666665986E-3</v>
      </c>
      <c r="L260" s="8">
        <f>IF(Tabela1[[#This Row],[Services CPI]]="",#N/A,((Tabela1[[#This Row],[Services CPI]]*1)/J248)-1)</f>
        <v>4.861111111111116E-2</v>
      </c>
      <c r="M260" s="7">
        <v>30.9</v>
      </c>
      <c r="N260" s="8">
        <f>IF(Tabela1[[#This Row],[Core-Services CPI]]="",#N/A,((Tabela1[[#This Row],[Core-Services CPI]]*1)/M259)-1)</f>
        <v>9.8039215686274161E-3</v>
      </c>
      <c r="O260" s="8">
        <f>IF(Tabela1[[#This Row],[Core-Services CPI]]="",#N/A,((Tabela1[[#This Row],[Core-Services CPI]]*1)/M248)-1)</f>
        <v>5.821917808219168E-2</v>
      </c>
      <c r="P260" s="7">
        <v>40.5</v>
      </c>
      <c r="Q260" s="8">
        <f>IF(Tabela1[[#This Row],[Durable Goods CPI]]="",#N/A,((Tabela1[[#This Row],[Durable Goods CPI]]*1)/P259)-1)</f>
        <v>2.4752475247524774E-3</v>
      </c>
      <c r="R260" s="8">
        <f>IF(Tabela1[[#This Row],[Durable Goods CPI]]="",#N/A,((Tabela1[[#This Row],[Durable Goods CPI]]*1)/P248)-1)</f>
        <v>3.0534351145038219E-2</v>
      </c>
      <c r="S260" s="7">
        <v>4.1654271740000004</v>
      </c>
      <c r="T260" s="7">
        <v>18.032</v>
      </c>
      <c r="U260" s="8">
        <f>IF(Tabela1[[#This Row],[Personal Consumption Expenditures (PCE)]]="",#N/A,((Tabela1[[#This Row],[Personal Consumption Expenditures (PCE)]]*1)/T259)-1)</f>
        <v>3.2268832758428623E-3</v>
      </c>
      <c r="V260" s="8">
        <f>IF(Tabela1[[#This Row],[Personal Consumption Expenditures (PCE)]]="",#N/A,((Tabela1[[#This Row],[Personal Consumption Expenditures (PCE)]]*1)/T248)-1)</f>
        <v>3.9967702866370747E-2</v>
      </c>
      <c r="W260" s="7">
        <v>18.681000000000001</v>
      </c>
      <c r="X260" s="8">
        <f>IF(Tabela1[[#This Row],[Core PCE]]="",#N/A,((Tabela1[[#This Row],[Core PCE]]*1)/W259)-1)</f>
        <v>3.9230438521067335E-3</v>
      </c>
      <c r="Y260" s="8">
        <f>IF(Tabela1[[#This Row],[Core PCE]]="",#N/A,((Tabela1[[#This Row],[Core PCE]]*1)/W248)-1)</f>
        <v>4.4389780287359626E-2</v>
      </c>
      <c r="Z260" s="8">
        <f t="shared" si="9"/>
        <v>4.5522869533368038E-2</v>
      </c>
      <c r="AA260" s="8">
        <f t="shared" si="8"/>
        <v>4.8205947060147913E-2</v>
      </c>
      <c r="AB260" s="7"/>
      <c r="AC260" s="7"/>
      <c r="AD260" s="8"/>
      <c r="AE260" s="71"/>
      <c r="AF260" s="7"/>
      <c r="AG260" s="5"/>
    </row>
    <row r="261" spans="1:33" ht="12.75">
      <c r="A261" s="6">
        <v>25020</v>
      </c>
      <c r="B261" s="7">
        <v>34.9</v>
      </c>
      <c r="C261" s="8">
        <f>IF(Tabela1[[#This Row],[Consumer Price Index (CPI)]]="",#N/A,((Tabela1[[#This Row],[Consumer Price Index (CPI)]]*1)/B260)-1)</f>
        <v>5.7636887608067955E-3</v>
      </c>
      <c r="D261" s="8">
        <f>IF(Tabela1[[#This Row],[Consumer Price Index (CPI)]]="",#N/A,((Tabela1[[#This Row],[Consumer Price Index (CPI)]]*1)/B249)-1)</f>
        <v>4.4910179640718528E-2</v>
      </c>
      <c r="E261" s="25">
        <v>36.4</v>
      </c>
      <c r="F261" s="8">
        <f>IF(Tabela1[[#This Row],[Core Consumer Price Index]]="",#N/A,((Tabela1[[#This Row],[Core Consumer Price Index]]*1)/E260)-1)</f>
        <v>5.5248618784529135E-3</v>
      </c>
      <c r="G261" s="8">
        <f>IF(Tabela1[[#This Row],[Core Consumer Price Index]]="",#N/A,((Tabela1[[#This Row],[Core Consumer Price Index]]*1)/E249)-1)</f>
        <v>4.8991354466858761E-2</v>
      </c>
      <c r="H261" s="8">
        <f t="shared" si="10"/>
        <v>5.5463731017370677E-2</v>
      </c>
      <c r="I261" s="8">
        <f t="shared" si="11"/>
        <v>5.0188304217617219E-2</v>
      </c>
      <c r="J261" s="25">
        <v>30.4</v>
      </c>
      <c r="K261" s="8">
        <f>IF(Tabela1[[#This Row],[Services CPI]]="",#N/A,((Tabela1[[#This Row],[Services CPI]]*1)/J260)-1)</f>
        <v>6.6225165562914245E-3</v>
      </c>
      <c r="L261" s="8">
        <f>IF(Tabela1[[#This Row],[Services CPI]]="",#N/A,((Tabela1[[#This Row],[Services CPI]]*1)/J249)-1)</f>
        <v>5.555555555555558E-2</v>
      </c>
      <c r="M261" s="7">
        <v>31.1</v>
      </c>
      <c r="N261" s="8">
        <f>IF(Tabela1[[#This Row],[Core-Services CPI]]="",#N/A,((Tabela1[[#This Row],[Core-Services CPI]]*1)/M260)-1)</f>
        <v>6.4724919093852584E-3</v>
      </c>
      <c r="O261" s="8">
        <f>IF(Tabela1[[#This Row],[Core-Services CPI]]="",#N/A,((Tabela1[[#This Row],[Core-Services CPI]]*1)/M249)-1)</f>
        <v>6.1433447098976135E-2</v>
      </c>
      <c r="P261" s="7">
        <v>40.700000000000003</v>
      </c>
      <c r="Q261" s="8">
        <f>IF(Tabela1[[#This Row],[Durable Goods CPI]]="",#N/A,((Tabela1[[#This Row],[Durable Goods CPI]]*1)/P260)-1)</f>
        <v>4.9382716049384268E-3</v>
      </c>
      <c r="R261" s="8">
        <f>IF(Tabela1[[#This Row],[Durable Goods CPI]]="",#N/A,((Tabela1[[#This Row],[Durable Goods CPI]]*1)/P249)-1)</f>
        <v>3.2994923857868175E-2</v>
      </c>
      <c r="S261" s="7">
        <v>4.0977044740000004</v>
      </c>
      <c r="T261" s="7">
        <v>18.087</v>
      </c>
      <c r="U261" s="8">
        <f>IF(Tabela1[[#This Row],[Personal Consumption Expenditures (PCE)]]="",#N/A,((Tabela1[[#This Row],[Personal Consumption Expenditures (PCE)]]*1)/T260)-1)</f>
        <v>3.0501330967169782E-3</v>
      </c>
      <c r="V261" s="8">
        <f>IF(Tabela1[[#This Row],[Personal Consumption Expenditures (PCE)]]="",#N/A,((Tabela1[[#This Row],[Personal Consumption Expenditures (PCE)]]*1)/T249)-1)</f>
        <v>3.9602253132543952E-2</v>
      </c>
      <c r="W261" s="7">
        <v>18.742999999999999</v>
      </c>
      <c r="X261" s="8">
        <f>IF(Tabela1[[#This Row],[Core PCE]]="",#N/A,((Tabela1[[#This Row],[Core PCE]]*1)/W260)-1)</f>
        <v>3.318880145602332E-3</v>
      </c>
      <c r="Y261" s="8">
        <f>IF(Tabela1[[#This Row],[Core PCE]]="",#N/A,((Tabela1[[#This Row],[Core PCE]]*1)/W249)-1)</f>
        <v>4.4294628928014168E-2</v>
      </c>
      <c r="Z261" s="8">
        <f t="shared" si="9"/>
        <v>4.4071806466615904E-2</v>
      </c>
      <c r="AA261" s="8">
        <f t="shared" si="8"/>
        <v>4.5960667377672237E-2</v>
      </c>
      <c r="AB261" s="7"/>
      <c r="AC261" s="7"/>
      <c r="AD261" s="8"/>
      <c r="AE261" s="71"/>
      <c r="AF261" s="7"/>
      <c r="AG261" s="5"/>
    </row>
    <row r="262" spans="1:33" ht="12.75">
      <c r="A262" s="6">
        <v>25051</v>
      </c>
      <c r="B262" s="7">
        <v>35</v>
      </c>
      <c r="C262" s="8">
        <f>IF(Tabela1[[#This Row],[Consumer Price Index (CPI)]]="",#N/A,((Tabela1[[#This Row],[Consumer Price Index (CPI)]]*1)/B261)-1)</f>
        <v>2.8653295128939771E-3</v>
      </c>
      <c r="D262" s="8">
        <f>IF(Tabela1[[#This Row],[Consumer Price Index (CPI)]]="",#N/A,((Tabela1[[#This Row],[Consumer Price Index (CPI)]]*1)/B250)-1)</f>
        <v>4.4776119402984982E-2</v>
      </c>
      <c r="E262" s="25">
        <v>36.5</v>
      </c>
      <c r="F262" s="8">
        <f>IF(Tabela1[[#This Row],[Core Consumer Price Index]]="",#N/A,((Tabela1[[#This Row],[Core Consumer Price Index]]*1)/E261)-1)</f>
        <v>2.7472527472527375E-3</v>
      </c>
      <c r="G262" s="8">
        <f>IF(Tabela1[[#This Row],[Core Consumer Price Index]]="",#N/A,((Tabela1[[#This Row],[Core Consumer Price Index]]*1)/E250)-1)</f>
        <v>4.5845272206303855E-2</v>
      </c>
      <c r="H262" s="8">
        <f t="shared" si="10"/>
        <v>5.5310680725044747E-2</v>
      </c>
      <c r="I262" s="8">
        <f t="shared" si="11"/>
        <v>4.4415204078319892E-2</v>
      </c>
      <c r="J262" s="25">
        <v>30.6</v>
      </c>
      <c r="K262" s="8">
        <f>IF(Tabela1[[#This Row],[Services CPI]]="",#N/A,((Tabela1[[#This Row],[Services CPI]]*1)/J261)-1)</f>
        <v>6.5789473684212396E-3</v>
      </c>
      <c r="L262" s="8">
        <f>IF(Tabela1[[#This Row],[Services CPI]]="",#N/A,((Tabela1[[#This Row],[Services CPI]]*1)/J250)-1)</f>
        <v>5.8823529411764719E-2</v>
      </c>
      <c r="M262" s="7">
        <v>31.3</v>
      </c>
      <c r="N262" s="8">
        <f>IF(Tabela1[[#This Row],[Core-Services CPI]]="",#N/A,((Tabela1[[#This Row],[Core-Services CPI]]*1)/M261)-1)</f>
        <v>6.4308681672025081E-3</v>
      </c>
      <c r="O262" s="8">
        <f>IF(Tabela1[[#This Row],[Core-Services CPI]]="",#N/A,((Tabela1[[#This Row],[Core-Services CPI]]*1)/M250)-1)</f>
        <v>6.4625850340136237E-2</v>
      </c>
      <c r="P262" s="7">
        <v>40.799999999999997</v>
      </c>
      <c r="Q262" s="8">
        <f>IF(Tabela1[[#This Row],[Durable Goods CPI]]="",#N/A,((Tabela1[[#This Row],[Durable Goods CPI]]*1)/P261)-1)</f>
        <v>2.4570024570023108E-3</v>
      </c>
      <c r="R262" s="8">
        <f>IF(Tabela1[[#This Row],[Durable Goods CPI]]="",#N/A,((Tabela1[[#This Row],[Durable Goods CPI]]*1)/P250)-1)</f>
        <v>3.0303030303030276E-2</v>
      </c>
      <c r="S262" s="7">
        <v>4.5575970979999996</v>
      </c>
      <c r="T262" s="7">
        <v>18.161000000000001</v>
      </c>
      <c r="U262" s="8">
        <f>IF(Tabela1[[#This Row],[Personal Consumption Expenditures (PCE)]]="",#N/A,((Tabela1[[#This Row],[Personal Consumption Expenditures (PCE)]]*1)/T261)-1)</f>
        <v>4.0913363189032381E-3</v>
      </c>
      <c r="V262" s="8">
        <f>IF(Tabela1[[#This Row],[Personal Consumption Expenditures (PCE)]]="",#N/A,((Tabela1[[#This Row],[Personal Consumption Expenditures (PCE)]]*1)/T250)-1)</f>
        <v>4.0625716250286548E-2</v>
      </c>
      <c r="W262" s="7">
        <v>18.815999999999999</v>
      </c>
      <c r="X262" s="8">
        <f>IF(Tabela1[[#This Row],[Core PCE]]="",#N/A,((Tabela1[[#This Row],[Core PCE]]*1)/W261)-1)</f>
        <v>3.8947873872912098E-3</v>
      </c>
      <c r="Y262" s="8">
        <f>IF(Tabela1[[#This Row],[Core PCE]]="",#N/A,((Tabela1[[#This Row],[Core PCE]]*1)/W250)-1)</f>
        <v>4.5159140143309351E-2</v>
      </c>
      <c r="Z262" s="8">
        <f t="shared" si="9"/>
        <v>4.4546845540001101E-2</v>
      </c>
      <c r="AA262" s="8">
        <f t="shared" si="8"/>
        <v>4.5124846366688676E-2</v>
      </c>
      <c r="AB262" s="7"/>
      <c r="AC262" s="7"/>
      <c r="AD262" s="8"/>
      <c r="AE262" s="71"/>
      <c r="AF262" s="7"/>
      <c r="AG262" s="5"/>
    </row>
    <row r="263" spans="1:33" ht="12.75">
      <c r="A263" s="6">
        <v>25082</v>
      </c>
      <c r="B263" s="7">
        <v>35.1</v>
      </c>
      <c r="C263" s="8">
        <f>IF(Tabela1[[#This Row],[Consumer Price Index (CPI)]]="",#N/A,((Tabela1[[#This Row],[Consumer Price Index (CPI)]]*1)/B262)-1)</f>
        <v>2.8571428571428914E-3</v>
      </c>
      <c r="D263" s="8">
        <f>IF(Tabela1[[#This Row],[Consumer Price Index (CPI)]]="",#N/A,((Tabela1[[#This Row],[Consumer Price Index (CPI)]]*1)/B251)-1)</f>
        <v>4.4642857142857206E-2</v>
      </c>
      <c r="E263" s="25">
        <v>36.700000000000003</v>
      </c>
      <c r="F263" s="8">
        <f>IF(Tabela1[[#This Row],[Core Consumer Price Index]]="",#N/A,((Tabela1[[#This Row],[Core Consumer Price Index]]*1)/E262)-1)</f>
        <v>5.479452054794498E-3</v>
      </c>
      <c r="G263" s="8">
        <f>IF(Tabela1[[#This Row],[Core Consumer Price Index]]="",#N/A,((Tabela1[[#This Row],[Core Consumer Price Index]]*1)/E251)-1)</f>
        <v>4.857142857142871E-2</v>
      </c>
      <c r="H263" s="8">
        <f t="shared" si="10"/>
        <v>5.5006266722000596E-2</v>
      </c>
      <c r="I263" s="8">
        <f t="shared" si="11"/>
        <v>4.9771867291550809E-2</v>
      </c>
      <c r="J263" s="25">
        <v>30.7</v>
      </c>
      <c r="K263" s="8">
        <f>IF(Tabela1[[#This Row],[Services CPI]]="",#N/A,((Tabela1[[#This Row],[Services CPI]]*1)/J262)-1)</f>
        <v>3.2679738562091387E-3</v>
      </c>
      <c r="L263" s="8">
        <f>IF(Tabela1[[#This Row],[Services CPI]]="",#N/A,((Tabela1[[#This Row],[Services CPI]]*1)/J251)-1)</f>
        <v>5.862068965517242E-2</v>
      </c>
      <c r="M263" s="7">
        <v>31.4</v>
      </c>
      <c r="N263" s="8">
        <f>IF(Tabela1[[#This Row],[Core-Services CPI]]="",#N/A,((Tabela1[[#This Row],[Core-Services CPI]]*1)/M262)-1)</f>
        <v>3.1948881789136685E-3</v>
      </c>
      <c r="O263" s="8">
        <f>IF(Tabela1[[#This Row],[Core-Services CPI]]="",#N/A,((Tabela1[[#This Row],[Core-Services CPI]]*1)/M251)-1)</f>
        <v>6.0810810810810745E-2</v>
      </c>
      <c r="P263" s="7">
        <v>40.9</v>
      </c>
      <c r="Q263" s="8">
        <f>IF(Tabela1[[#This Row],[Durable Goods CPI]]="",#N/A,((Tabela1[[#This Row],[Durable Goods CPI]]*1)/P262)-1)</f>
        <v>2.450980392156854E-3</v>
      </c>
      <c r="R263" s="8">
        <f>IF(Tabela1[[#This Row],[Durable Goods CPI]]="",#N/A,((Tabela1[[#This Row],[Durable Goods CPI]]*1)/P251)-1)</f>
        <v>2.7638190954773822E-2</v>
      </c>
      <c r="S263" s="7">
        <v>4.7663611880000003</v>
      </c>
      <c r="T263" s="7">
        <v>18.224</v>
      </c>
      <c r="U263" s="8">
        <f>IF(Tabela1[[#This Row],[Personal Consumption Expenditures (PCE)]]="",#N/A,((Tabela1[[#This Row],[Personal Consumption Expenditures (PCE)]]*1)/T262)-1)</f>
        <v>3.468971972908852E-3</v>
      </c>
      <c r="V263" s="8">
        <f>IF(Tabela1[[#This Row],[Personal Consumption Expenditures (PCE)]]="",#N/A,((Tabela1[[#This Row],[Personal Consumption Expenditures (PCE)]]*1)/T251)-1)</f>
        <v>4.1073978863181981E-2</v>
      </c>
      <c r="W263" s="7">
        <v>18.891999999999999</v>
      </c>
      <c r="X263" s="8">
        <f>IF(Tabela1[[#This Row],[Core PCE]]="",#N/A,((Tabela1[[#This Row],[Core PCE]]*1)/W262)-1)</f>
        <v>4.0391156462584732E-3</v>
      </c>
      <c r="Y263" s="8">
        <f>IF(Tabela1[[#This Row],[Core PCE]]="",#N/A,((Tabela1[[#This Row],[Core PCE]]*1)/W251)-1)</f>
        <v>4.5663364144572949E-2</v>
      </c>
      <c r="Z263" s="8">
        <f t="shared" si="9"/>
        <v>4.501113271660806E-2</v>
      </c>
      <c r="AA263" s="8">
        <f t="shared" si="8"/>
        <v>4.5267001124988049E-2</v>
      </c>
      <c r="AB263" s="7"/>
      <c r="AC263" s="7"/>
      <c r="AD263" s="8"/>
      <c r="AE263" s="71"/>
      <c r="AF263" s="7"/>
      <c r="AG263" s="5"/>
    </row>
    <row r="264" spans="1:33" ht="12.75">
      <c r="A264" s="6">
        <v>25112</v>
      </c>
      <c r="B264" s="7">
        <v>35.299999999999997</v>
      </c>
      <c r="C264" s="8">
        <f>IF(Tabela1[[#This Row],[Consumer Price Index (CPI)]]="",#N/A,((Tabela1[[#This Row],[Consumer Price Index (CPI)]]*1)/B263)-1)</f>
        <v>5.6980056980056037E-3</v>
      </c>
      <c r="D264" s="8">
        <f>IF(Tabela1[[#This Row],[Consumer Price Index (CPI)]]="",#N/A,((Tabela1[[#This Row],[Consumer Price Index (CPI)]]*1)/B252)-1)</f>
        <v>4.7477744807121525E-2</v>
      </c>
      <c r="E264" s="25">
        <v>36.9</v>
      </c>
      <c r="F264" s="8">
        <f>IF(Tabela1[[#This Row],[Core Consumer Price Index]]="",#N/A,((Tabela1[[#This Row],[Core Consumer Price Index]]*1)/E263)-1)</f>
        <v>5.4495912806538094E-3</v>
      </c>
      <c r="G264" s="8">
        <f>IF(Tabela1[[#This Row],[Core Consumer Price Index]]="",#N/A,((Tabela1[[#This Row],[Core Consumer Price Index]]*1)/E252)-1)</f>
        <v>5.12820512820511E-2</v>
      </c>
      <c r="H264" s="8">
        <f t="shared" si="10"/>
        <v>5.470518433080418E-2</v>
      </c>
      <c r="I264" s="8">
        <f t="shared" si="11"/>
        <v>5.5084457674087428E-2</v>
      </c>
      <c r="J264" s="25">
        <v>30.9</v>
      </c>
      <c r="K264" s="8">
        <f>IF(Tabela1[[#This Row],[Services CPI]]="",#N/A,((Tabela1[[#This Row],[Services CPI]]*1)/J263)-1)</f>
        <v>6.514657980456029E-3</v>
      </c>
      <c r="L264" s="8">
        <f>IF(Tabela1[[#This Row],[Services CPI]]="",#N/A,((Tabela1[[#This Row],[Services CPI]]*1)/J252)-1)</f>
        <v>5.821917808219168E-2</v>
      </c>
      <c r="M264" s="7">
        <v>31.6</v>
      </c>
      <c r="N264" s="8">
        <f>IF(Tabela1[[#This Row],[Core-Services CPI]]="",#N/A,((Tabela1[[#This Row],[Core-Services CPI]]*1)/M263)-1)</f>
        <v>6.3694267515923553E-3</v>
      </c>
      <c r="O264" s="8">
        <f>IF(Tabela1[[#This Row],[Core-Services CPI]]="",#N/A,((Tabela1[[#This Row],[Core-Services CPI]]*1)/M252)-1)</f>
        <v>6.3973063973064015E-2</v>
      </c>
      <c r="P264" s="7">
        <v>40.9</v>
      </c>
      <c r="Q264" s="8">
        <f>IF(Tabela1[[#This Row],[Durable Goods CPI]]="",#N/A,((Tabela1[[#This Row],[Durable Goods CPI]]*1)/P263)-1)</f>
        <v>0</v>
      </c>
      <c r="R264" s="8">
        <f>IF(Tabela1[[#This Row],[Durable Goods CPI]]="",#N/A,((Tabela1[[#This Row],[Durable Goods CPI]]*1)/P252)-1)</f>
        <v>2.506265664160412E-2</v>
      </c>
      <c r="S264" s="7">
        <v>4.9601944309999997</v>
      </c>
      <c r="T264" s="7">
        <v>18.303999999999998</v>
      </c>
      <c r="U264" s="8">
        <f>IF(Tabela1[[#This Row],[Personal Consumption Expenditures (PCE)]]="",#N/A,((Tabela1[[#This Row],[Personal Consumption Expenditures (PCE)]]*1)/T263)-1)</f>
        <v>4.3898156277435429E-3</v>
      </c>
      <c r="V264" s="8">
        <f>IF(Tabela1[[#This Row],[Personal Consumption Expenditures (PCE)]]="",#N/A,((Tabela1[[#This Row],[Personal Consumption Expenditures (PCE)]]*1)/T252)-1)</f>
        <v>4.2725304773840733E-2</v>
      </c>
      <c r="W264" s="7">
        <v>18.969000000000001</v>
      </c>
      <c r="X264" s="8">
        <f>IF(Tabela1[[#This Row],[Core PCE]]="",#N/A,((Tabela1[[#This Row],[Core PCE]]*1)/W263)-1)</f>
        <v>4.0757992801185861E-3</v>
      </c>
      <c r="Y264" s="8">
        <f>IF(Tabela1[[#This Row],[Core PCE]]="",#N/A,((Tabela1[[#This Row],[Core PCE]]*1)/W252)-1)</f>
        <v>4.6046101246277837E-2</v>
      </c>
      <c r="Z264" s="8">
        <f t="shared" si="9"/>
        <v>4.8038809254673076E-2</v>
      </c>
      <c r="AA264" s="8">
        <f t="shared" si="8"/>
        <v>4.605530786064449E-2</v>
      </c>
      <c r="AB264" s="7"/>
      <c r="AC264" s="7"/>
      <c r="AD264" s="8"/>
      <c r="AE264" s="71"/>
      <c r="AF264" s="7"/>
      <c r="AG264" s="5"/>
    </row>
    <row r="265" spans="1:33" ht="12.75">
      <c r="A265" s="6">
        <v>25143</v>
      </c>
      <c r="B265" s="7">
        <v>35.4</v>
      </c>
      <c r="C265" s="8">
        <f>IF(Tabela1[[#This Row],[Consumer Price Index (CPI)]]="",#N/A,((Tabela1[[#This Row],[Consumer Price Index (CPI)]]*1)/B264)-1)</f>
        <v>2.8328611898016387E-3</v>
      </c>
      <c r="D265" s="8">
        <f>IF(Tabela1[[#This Row],[Consumer Price Index (CPI)]]="",#N/A,((Tabela1[[#This Row],[Consumer Price Index (CPI)]]*1)/B253)-1)</f>
        <v>4.4247787610619538E-2</v>
      </c>
      <c r="E265" s="25">
        <v>37.1</v>
      </c>
      <c r="F265" s="8">
        <f>IF(Tabela1[[#This Row],[Core Consumer Price Index]]="",#N/A,((Tabela1[[#This Row],[Core Consumer Price Index]]*1)/E264)-1)</f>
        <v>5.4200542005420349E-3</v>
      </c>
      <c r="G265" s="8">
        <f>IF(Tabela1[[#This Row],[Core Consumer Price Index]]="",#N/A,((Tabela1[[#This Row],[Core Consumer Price Index]]*1)/E253)-1)</f>
        <v>5.3977272727272707E-2</v>
      </c>
      <c r="H265" s="8">
        <f t="shared" si="10"/>
        <v>6.5396390143961369E-2</v>
      </c>
      <c r="I265" s="8">
        <f t="shared" si="11"/>
        <v>6.0353535434503058E-2</v>
      </c>
      <c r="J265" s="25">
        <v>31</v>
      </c>
      <c r="K265" s="8">
        <f>IF(Tabela1[[#This Row],[Services CPI]]="",#N/A,((Tabela1[[#This Row],[Services CPI]]*1)/J264)-1)</f>
        <v>3.2362459546926292E-3</v>
      </c>
      <c r="L265" s="8">
        <f>IF(Tabela1[[#This Row],[Services CPI]]="",#N/A,((Tabela1[[#This Row],[Services CPI]]*1)/J253)-1)</f>
        <v>6.164383561643838E-2</v>
      </c>
      <c r="M265" s="7">
        <v>31.7</v>
      </c>
      <c r="N265" s="8">
        <f>IF(Tabela1[[#This Row],[Core-Services CPI]]="",#N/A,((Tabela1[[#This Row],[Core-Services CPI]]*1)/M264)-1)</f>
        <v>3.1645569620253333E-3</v>
      </c>
      <c r="O265" s="8">
        <f>IF(Tabela1[[#This Row],[Core-Services CPI]]="",#N/A,((Tabela1[[#This Row],[Core-Services CPI]]*1)/M253)-1)</f>
        <v>6.3758389261744819E-2</v>
      </c>
      <c r="P265" s="7">
        <v>41.3</v>
      </c>
      <c r="Q265" s="8">
        <f>IF(Tabela1[[#This Row],[Durable Goods CPI]]="",#N/A,((Tabela1[[#This Row],[Durable Goods CPI]]*1)/P264)-1)</f>
        <v>9.7799511002445438E-3</v>
      </c>
      <c r="R265" s="8">
        <f>IF(Tabela1[[#This Row],[Durable Goods CPI]]="",#N/A,((Tabela1[[#This Row],[Durable Goods CPI]]*1)/P253)-1)</f>
        <v>3.2499999999999973E-2</v>
      </c>
      <c r="S265" s="7">
        <v>4.9618491809999998</v>
      </c>
      <c r="T265" s="7">
        <v>18.366</v>
      </c>
      <c r="U265" s="8">
        <f>IF(Tabela1[[#This Row],[Personal Consumption Expenditures (PCE)]]="",#N/A,((Tabela1[[#This Row],[Personal Consumption Expenditures (PCE)]]*1)/T264)-1)</f>
        <v>3.3872377622379268E-3</v>
      </c>
      <c r="V265" s="8">
        <f>IF(Tabela1[[#This Row],[Personal Consumption Expenditures (PCE)]]="",#N/A,((Tabela1[[#This Row],[Personal Consumption Expenditures (PCE)]]*1)/T253)-1)</f>
        <v>4.2811719282307648E-2</v>
      </c>
      <c r="W265" s="7">
        <v>19.041</v>
      </c>
      <c r="X265" s="8">
        <f>IF(Tabela1[[#This Row],[Core PCE]]="",#N/A,((Tabela1[[#This Row],[Core PCE]]*1)/W264)-1)</f>
        <v>3.7956666139489226E-3</v>
      </c>
      <c r="Y265" s="8">
        <f>IF(Tabela1[[#This Row],[Core PCE]]="",#N/A,((Tabela1[[#This Row],[Core PCE]]*1)/W253)-1)</f>
        <v>4.6668865435356199E-2</v>
      </c>
      <c r="Z265" s="8">
        <f t="shared" si="9"/>
        <v>4.7642326161303927E-2</v>
      </c>
      <c r="AA265" s="8">
        <f t="shared" si="8"/>
        <v>4.6094585850652514E-2</v>
      </c>
      <c r="AB265" s="7"/>
      <c r="AC265" s="7"/>
      <c r="AD265" s="8"/>
      <c r="AE265" s="71"/>
      <c r="AF265" s="7"/>
      <c r="AG265" s="5"/>
    </row>
    <row r="266" spans="1:33" ht="12.75">
      <c r="A266" s="6">
        <v>25173</v>
      </c>
      <c r="B266" s="7">
        <v>35.6</v>
      </c>
      <c r="C266" s="8">
        <f>IF(Tabela1[[#This Row],[Consumer Price Index (CPI)]]="",#N/A,((Tabela1[[#This Row],[Consumer Price Index (CPI)]]*1)/B265)-1)</f>
        <v>5.6497175141243527E-3</v>
      </c>
      <c r="D266" s="8">
        <f>IF(Tabela1[[#This Row],[Consumer Price Index (CPI)]]="",#N/A,((Tabela1[[#This Row],[Consumer Price Index (CPI)]]*1)/B254)-1)</f>
        <v>4.705882352941182E-2</v>
      </c>
      <c r="E266" s="25">
        <v>37.200000000000003</v>
      </c>
      <c r="F266" s="8">
        <f>IF(Tabela1[[#This Row],[Core Consumer Price Index]]="",#N/A,((Tabela1[[#This Row],[Core Consumer Price Index]]*1)/E265)-1)</f>
        <v>2.6954177897573484E-3</v>
      </c>
      <c r="G266" s="8">
        <f>IF(Tabela1[[#This Row],[Core Consumer Price Index]]="",#N/A,((Tabela1[[#This Row],[Core Consumer Price Index]]*1)/E254)-1)</f>
        <v>5.0847457627118731E-2</v>
      </c>
      <c r="H266" s="8">
        <f t="shared" si="10"/>
        <v>5.4260253083812771E-2</v>
      </c>
      <c r="I266" s="8">
        <f t="shared" si="11"/>
        <v>5.4633259902906683E-2</v>
      </c>
      <c r="J266" s="25">
        <v>31.2</v>
      </c>
      <c r="K266" s="8">
        <f>IF(Tabela1[[#This Row],[Services CPI]]="",#N/A,((Tabela1[[#This Row],[Services CPI]]*1)/J265)-1)</f>
        <v>6.4516129032257119E-3</v>
      </c>
      <c r="L266" s="8">
        <f>IF(Tabela1[[#This Row],[Services CPI]]="",#N/A,((Tabela1[[#This Row],[Services CPI]]*1)/J254)-1)</f>
        <v>6.1224489795918435E-2</v>
      </c>
      <c r="M266" s="7">
        <v>31.9</v>
      </c>
      <c r="N266" s="8">
        <f>IF(Tabela1[[#This Row],[Core-Services CPI]]="",#N/A,((Tabela1[[#This Row],[Core-Services CPI]]*1)/M265)-1)</f>
        <v>6.3091482649841879E-3</v>
      </c>
      <c r="O266" s="8">
        <f>IF(Tabela1[[#This Row],[Core-Services CPI]]="",#N/A,((Tabela1[[#This Row],[Core-Services CPI]]*1)/M254)-1)</f>
        <v>6.6889632107023367E-2</v>
      </c>
      <c r="P266" s="7">
        <v>41.1</v>
      </c>
      <c r="Q266" s="8">
        <f>IF(Tabela1[[#This Row],[Durable Goods CPI]]="",#N/A,((Tabela1[[#This Row],[Durable Goods CPI]]*1)/P265)-1)</f>
        <v>-4.842615012106477E-3</v>
      </c>
      <c r="R266" s="8">
        <f>IF(Tabela1[[#This Row],[Durable Goods CPI]]="",#N/A,((Tabela1[[#This Row],[Durable Goods CPI]]*1)/P254)-1)</f>
        <v>2.2388059701492491E-2</v>
      </c>
      <c r="S266" s="7">
        <v>5.1983519090000003</v>
      </c>
      <c r="T266" s="7">
        <v>18.404</v>
      </c>
      <c r="U266" s="8">
        <f>IF(Tabela1[[#This Row],[Personal Consumption Expenditures (PCE)]]="",#N/A,((Tabela1[[#This Row],[Personal Consumption Expenditures (PCE)]]*1)/T265)-1)</f>
        <v>2.0690406185341903E-3</v>
      </c>
      <c r="V266" s="8">
        <f>IF(Tabela1[[#This Row],[Personal Consumption Expenditures (PCE)]]="",#N/A,((Tabela1[[#This Row],[Personal Consumption Expenditures (PCE)]]*1)/T254)-1)</f>
        <v>4.331065759637176E-2</v>
      </c>
      <c r="W266" s="7">
        <v>19.097999999999999</v>
      </c>
      <c r="X266" s="8">
        <f>IF(Tabela1[[#This Row],[Core PCE]]="",#N/A,((Tabela1[[#This Row],[Core PCE]]*1)/W265)-1)</f>
        <v>2.9935402552385693E-3</v>
      </c>
      <c r="Y266" s="8">
        <f>IF(Tabela1[[#This Row],[Core PCE]]="",#N/A,((Tabela1[[#This Row],[Core PCE]]*1)/W254)-1)</f>
        <v>4.7211712452706056E-2</v>
      </c>
      <c r="Z266" s="8">
        <f t="shared" si="9"/>
        <v>4.3460024597224312E-2</v>
      </c>
      <c r="AA266" s="8">
        <f t="shared" si="8"/>
        <v>4.4235578656916186E-2</v>
      </c>
      <c r="AB266" s="7"/>
      <c r="AC266" s="7"/>
      <c r="AD266" s="8"/>
      <c r="AE266" s="71"/>
      <c r="AF266" s="7"/>
      <c r="AG266" s="5"/>
    </row>
    <row r="267" spans="1:33" ht="12.75">
      <c r="A267" s="6">
        <v>25204</v>
      </c>
      <c r="B267" s="7">
        <v>35.700000000000003</v>
      </c>
      <c r="C267" s="8">
        <f>IF(Tabela1[[#This Row],[Consumer Price Index (CPI)]]="",#N/A,((Tabela1[[#This Row],[Consumer Price Index (CPI)]]*1)/B266)-1)</f>
        <v>2.8089887640450062E-3</v>
      </c>
      <c r="D267" s="8">
        <f>IF(Tabela1[[#This Row],[Consumer Price Index (CPI)]]="",#N/A,((Tabela1[[#This Row],[Consumer Price Index (CPI)]]*1)/B255)-1)</f>
        <v>4.692082111436946E-2</v>
      </c>
      <c r="E267" s="25">
        <v>37.299999999999997</v>
      </c>
      <c r="F267" s="8">
        <f>IF(Tabela1[[#This Row],[Core Consumer Price Index]]="",#N/A,((Tabela1[[#This Row],[Core Consumer Price Index]]*1)/E266)-1)</f>
        <v>2.6881720430105283E-3</v>
      </c>
      <c r="G267" s="8">
        <f>IF(Tabela1[[#This Row],[Core Consumer Price Index]]="",#N/A,((Tabela1[[#This Row],[Core Consumer Price Index]]*1)/E255)-1)</f>
        <v>5.0704225352112609E-2</v>
      </c>
      <c r="H267" s="8">
        <f t="shared" si="10"/>
        <v>4.3214576133239646E-2</v>
      </c>
      <c r="I267" s="8">
        <f t="shared" si="11"/>
        <v>4.8959880232021913E-2</v>
      </c>
      <c r="J267" s="25">
        <v>31.4</v>
      </c>
      <c r="K267" s="8">
        <f>IF(Tabela1[[#This Row],[Services CPI]]="",#N/A,((Tabela1[[#This Row],[Services CPI]]*1)/J266)-1)</f>
        <v>6.4102564102563875E-3</v>
      </c>
      <c r="L267" s="8">
        <f>IF(Tabela1[[#This Row],[Services CPI]]="",#N/A,((Tabela1[[#This Row],[Services CPI]]*1)/J255)-1)</f>
        <v>6.4406779661016822E-2</v>
      </c>
      <c r="M267" s="7">
        <v>32.1</v>
      </c>
      <c r="N267" s="8">
        <f>IF(Tabela1[[#This Row],[Core-Services CPI]]="",#N/A,((Tabela1[[#This Row],[Core-Services CPI]]*1)/M266)-1)</f>
        <v>6.2695924764890609E-3</v>
      </c>
      <c r="O267" s="8">
        <f>IF(Tabela1[[#This Row],[Core-Services CPI]]="",#N/A,((Tabela1[[#This Row],[Core-Services CPI]]*1)/M255)-1)</f>
        <v>6.6445182724252483E-2</v>
      </c>
      <c r="P267" s="7">
        <v>41.1</v>
      </c>
      <c r="Q267" s="8">
        <f>IF(Tabela1[[#This Row],[Durable Goods CPI]]="",#N/A,((Tabela1[[#This Row],[Durable Goods CPI]]*1)/P266)-1)</f>
        <v>0</v>
      </c>
      <c r="R267" s="8">
        <f>IF(Tabela1[[#This Row],[Durable Goods CPI]]="",#N/A,((Tabela1[[#This Row],[Durable Goods CPI]]*1)/P255)-1)</f>
        <v>2.2388059701492491E-2</v>
      </c>
      <c r="S267" s="7">
        <v>5.4149448370000002</v>
      </c>
      <c r="T267" s="7">
        <v>18.475999999999999</v>
      </c>
      <c r="U267" s="8">
        <f>IF(Tabela1[[#This Row],[Personal Consumption Expenditures (PCE)]]="",#N/A,((Tabela1[[#This Row],[Personal Consumption Expenditures (PCE)]]*1)/T266)-1)</f>
        <v>3.9121930015213469E-3</v>
      </c>
      <c r="V267" s="8">
        <f>IF(Tabela1[[#This Row],[Personal Consumption Expenditures (PCE)]]="",#N/A,((Tabela1[[#This Row],[Personal Consumption Expenditures (PCE)]]*1)/T255)-1)</f>
        <v>4.2545988037467453E-2</v>
      </c>
      <c r="W267" s="7">
        <v>19.170000000000002</v>
      </c>
      <c r="X267" s="8">
        <f>IF(Tabela1[[#This Row],[Core PCE]]="",#N/A,((Tabela1[[#This Row],[Core PCE]]*1)/W266)-1)</f>
        <v>3.7700282752122227E-3</v>
      </c>
      <c r="Y267" s="8">
        <f>IF(Tabela1[[#This Row],[Core PCE]]="",#N/A,((Tabela1[[#This Row],[Core PCE]]*1)/W255)-1)</f>
        <v>4.6511627906976827E-2</v>
      </c>
      <c r="Z267" s="8">
        <f t="shared" si="9"/>
        <v>4.2236940577598858E-2</v>
      </c>
      <c r="AA267" s="8">
        <f t="shared" si="8"/>
        <v>4.5137874916135967E-2</v>
      </c>
      <c r="AB267" s="7"/>
      <c r="AC267" s="7"/>
      <c r="AD267" s="8"/>
      <c r="AE267" s="71"/>
      <c r="AF267" s="7"/>
      <c r="AG267" s="5"/>
    </row>
    <row r="268" spans="1:33" ht="12.75">
      <c r="A268" s="6">
        <v>25235</v>
      </c>
      <c r="B268" s="7">
        <v>35.799999999999997</v>
      </c>
      <c r="C268" s="8">
        <f>IF(Tabela1[[#This Row],[Consumer Price Index (CPI)]]="",#N/A,((Tabela1[[#This Row],[Consumer Price Index (CPI)]]*1)/B267)-1)</f>
        <v>2.8011204481790397E-3</v>
      </c>
      <c r="D268" s="8">
        <f>IF(Tabela1[[#This Row],[Consumer Price Index (CPI)]]="",#N/A,((Tabela1[[#This Row],[Consumer Price Index (CPI)]]*1)/B256)-1)</f>
        <v>4.6783625730993927E-2</v>
      </c>
      <c r="E268" s="25">
        <v>37.6</v>
      </c>
      <c r="F268" s="8">
        <f>IF(Tabela1[[#This Row],[Core Consumer Price Index]]="",#N/A,((Tabela1[[#This Row],[Core Consumer Price Index]]*1)/E267)-1)</f>
        <v>8.0428954423592547E-3</v>
      </c>
      <c r="G268" s="8">
        <f>IF(Tabela1[[#This Row],[Core Consumer Price Index]]="",#N/A,((Tabela1[[#This Row],[Core Consumer Price Index]]*1)/E256)-1)</f>
        <v>5.3221288515406195E-2</v>
      </c>
      <c r="H268" s="8">
        <f t="shared" si="10"/>
        <v>5.3705941100508525E-2</v>
      </c>
      <c r="I268" s="8">
        <f t="shared" si="11"/>
        <v>5.9551165622234947E-2</v>
      </c>
      <c r="J268" s="25">
        <v>31.5</v>
      </c>
      <c r="K268" s="8">
        <f>IF(Tabela1[[#This Row],[Services CPI]]="",#N/A,((Tabela1[[#This Row],[Services CPI]]*1)/J267)-1)</f>
        <v>3.1847133757962887E-3</v>
      </c>
      <c r="L268" s="8">
        <f>IF(Tabela1[[#This Row],[Services CPI]]="",#N/A,((Tabela1[[#This Row],[Services CPI]]*1)/J256)-1)</f>
        <v>6.4189189189189033E-2</v>
      </c>
      <c r="M268" s="7">
        <v>32.299999999999997</v>
      </c>
      <c r="N268" s="8">
        <f>IF(Tabela1[[#This Row],[Core-Services CPI]]="",#N/A,((Tabela1[[#This Row],[Core-Services CPI]]*1)/M267)-1)</f>
        <v>6.230529595015355E-3</v>
      </c>
      <c r="O268" s="8">
        <f>IF(Tabela1[[#This Row],[Core-Services CPI]]="",#N/A,((Tabela1[[#This Row],[Core-Services CPI]]*1)/M256)-1)</f>
        <v>6.9536423841059625E-2</v>
      </c>
      <c r="P268" s="7">
        <v>41.6</v>
      </c>
      <c r="Q268" s="8">
        <f>IF(Tabela1[[#This Row],[Durable Goods CPI]]="",#N/A,((Tabela1[[#This Row],[Durable Goods CPI]]*1)/P267)-1)</f>
        <v>1.2165450121654597E-2</v>
      </c>
      <c r="R268" s="8">
        <f>IF(Tabela1[[#This Row],[Durable Goods CPI]]="",#N/A,((Tabela1[[#This Row],[Durable Goods CPI]]*1)/P256)-1)</f>
        <v>3.2258064516129226E-2</v>
      </c>
      <c r="S268" s="7">
        <v>5.7248689300000004</v>
      </c>
      <c r="T268" s="7">
        <v>18.523</v>
      </c>
      <c r="U268" s="8">
        <f>IF(Tabela1[[#This Row],[Personal Consumption Expenditures (PCE)]]="",#N/A,((Tabela1[[#This Row],[Personal Consumption Expenditures (PCE)]]*1)/T267)-1)</f>
        <v>2.5438406581510531E-3</v>
      </c>
      <c r="V268" s="8">
        <f>IF(Tabela1[[#This Row],[Personal Consumption Expenditures (PCE)]]="",#N/A,((Tabela1[[#This Row],[Personal Consumption Expenditures (PCE)]]*1)/T256)-1)</f>
        <v>4.0968865909857266E-2</v>
      </c>
      <c r="W268" s="7">
        <v>19.236000000000001</v>
      </c>
      <c r="X268" s="8">
        <f>IF(Tabela1[[#This Row],[Core PCE]]="",#N/A,((Tabela1[[#This Row],[Core PCE]]*1)/W267)-1)</f>
        <v>3.4428794992173994E-3</v>
      </c>
      <c r="Y268" s="8">
        <f>IF(Tabela1[[#This Row],[Core PCE]]="",#N/A,((Tabela1[[#This Row],[Core PCE]]*1)/W256)-1)</f>
        <v>4.5605261727455604E-2</v>
      </c>
      <c r="Z268" s="8">
        <f t="shared" si="9"/>
        <v>4.0825792118672766E-2</v>
      </c>
      <c r="AA268" s="8">
        <f t="shared" si="8"/>
        <v>4.4234059139988346E-2</v>
      </c>
      <c r="AB268" s="7"/>
      <c r="AC268" s="7"/>
      <c r="AD268" s="8"/>
      <c r="AE268" s="71"/>
      <c r="AF268" s="7"/>
      <c r="AG268" s="5"/>
    </row>
    <row r="269" spans="1:33" ht="12.75">
      <c r="A269" s="6">
        <v>25263</v>
      </c>
      <c r="B269" s="7">
        <v>36.1</v>
      </c>
      <c r="C269" s="8">
        <f>IF(Tabela1[[#This Row],[Consumer Price Index (CPI)]]="",#N/A,((Tabela1[[#This Row],[Consumer Price Index (CPI)]]*1)/B268)-1)</f>
        <v>8.379888268156499E-3</v>
      </c>
      <c r="D269" s="8">
        <f>IF(Tabela1[[#This Row],[Consumer Price Index (CPI)]]="",#N/A,((Tabela1[[#This Row],[Consumer Price Index (CPI)]]*1)/B257)-1)</f>
        <v>5.2478134110787389E-2</v>
      </c>
      <c r="E269" s="25">
        <v>37.799999999999997</v>
      </c>
      <c r="F269" s="8">
        <f>IF(Tabela1[[#This Row],[Core Consumer Price Index]]="",#N/A,((Tabela1[[#This Row],[Core Consumer Price Index]]*1)/E268)-1)</f>
        <v>5.3191489361701372E-3</v>
      </c>
      <c r="G269" s="8">
        <f>IF(Tabela1[[#This Row],[Core Consumer Price Index]]="",#N/A,((Tabela1[[#This Row],[Core Consumer Price Index]]*1)/E257)-1)</f>
        <v>5.5865921787709549E-2</v>
      </c>
      <c r="H269" s="8">
        <f t="shared" si="10"/>
        <v>6.420086568615968E-2</v>
      </c>
      <c r="I269" s="8">
        <f t="shared" si="11"/>
        <v>5.9230559384986226E-2</v>
      </c>
      <c r="J269" s="25">
        <v>31.8</v>
      </c>
      <c r="K269" s="8">
        <f>IF(Tabela1[[#This Row],[Services CPI]]="",#N/A,((Tabela1[[#This Row],[Services CPI]]*1)/J268)-1)</f>
        <v>9.52380952380949E-3</v>
      </c>
      <c r="L269" s="8">
        <f>IF(Tabela1[[#This Row],[Services CPI]]="",#N/A,((Tabela1[[#This Row],[Services CPI]]*1)/J257)-1)</f>
        <v>6.7114093959731447E-2</v>
      </c>
      <c r="M269" s="7">
        <v>32.6</v>
      </c>
      <c r="N269" s="8">
        <f>IF(Tabela1[[#This Row],[Core-Services CPI]]="",#N/A,((Tabela1[[#This Row],[Core-Services CPI]]*1)/M268)-1)</f>
        <v>9.2879256965945345E-3</v>
      </c>
      <c r="O269" s="8">
        <f>IF(Tabela1[[#This Row],[Core-Services CPI]]="",#N/A,((Tabela1[[#This Row],[Core-Services CPI]]*1)/M257)-1)</f>
        <v>7.2368421052631637E-2</v>
      </c>
      <c r="P269" s="7">
        <v>42.1</v>
      </c>
      <c r="Q269" s="8">
        <f>IF(Tabela1[[#This Row],[Durable Goods CPI]]="",#N/A,((Tabela1[[#This Row],[Durable Goods CPI]]*1)/P268)-1)</f>
        <v>1.2019230769230838E-2</v>
      </c>
      <c r="R269" s="8">
        <f>IF(Tabela1[[#This Row],[Durable Goods CPI]]="",#N/A,((Tabela1[[#This Row],[Durable Goods CPI]]*1)/P257)-1)</f>
        <v>4.2079207920792117E-2</v>
      </c>
      <c r="S269" s="7">
        <v>5.7657630449999999</v>
      </c>
      <c r="T269" s="7">
        <v>18.61</v>
      </c>
      <c r="U269" s="8">
        <f>IF(Tabela1[[#This Row],[Personal Consumption Expenditures (PCE)]]="",#N/A,((Tabela1[[#This Row],[Personal Consumption Expenditures (PCE)]]*1)/T268)-1)</f>
        <v>4.6968633590671605E-3</v>
      </c>
      <c r="V269" s="8">
        <f>IF(Tabela1[[#This Row],[Personal Consumption Expenditures (PCE)]]="",#N/A,((Tabela1[[#This Row],[Personal Consumption Expenditures (PCE)]]*1)/T257)-1)</f>
        <v>4.2460228545821099E-2</v>
      </c>
      <c r="W269" s="7">
        <v>19.326000000000001</v>
      </c>
      <c r="X269" s="8">
        <f>IF(Tabela1[[#This Row],[Core PCE]]="",#N/A,((Tabela1[[#This Row],[Core PCE]]*1)/W268)-1)</f>
        <v>4.6787273861510492E-3</v>
      </c>
      <c r="Y269" s="8">
        <f>IF(Tabela1[[#This Row],[Core PCE]]="",#N/A,((Tabela1[[#This Row],[Core PCE]]*1)/W257)-1)</f>
        <v>4.6345425013535557E-2</v>
      </c>
      <c r="Z269" s="8">
        <f t="shared" si="9"/>
        <v>4.7566540642322686E-2</v>
      </c>
      <c r="AA269" s="8">
        <f t="shared" si="8"/>
        <v>4.5513282619773499E-2</v>
      </c>
      <c r="AB269" s="7"/>
      <c r="AC269" s="7"/>
      <c r="AD269" s="8"/>
      <c r="AE269" s="71"/>
      <c r="AF269" s="7"/>
      <c r="AG269" s="5"/>
    </row>
    <row r="270" spans="1:33" ht="12.75">
      <c r="A270" s="6">
        <v>25294</v>
      </c>
      <c r="B270" s="7">
        <v>36.299999999999997</v>
      </c>
      <c r="C270" s="8">
        <f>IF(Tabela1[[#This Row],[Consumer Price Index (CPI)]]="",#N/A,((Tabela1[[#This Row],[Consumer Price Index (CPI)]]*1)/B269)-1)</f>
        <v>5.5401662049860967E-3</v>
      </c>
      <c r="D270" s="8">
        <f>IF(Tabela1[[#This Row],[Consumer Price Index (CPI)]]="",#N/A,((Tabela1[[#This Row],[Consumer Price Index (CPI)]]*1)/B258)-1)</f>
        <v>5.523255813953476E-2</v>
      </c>
      <c r="E270" s="25">
        <v>38.1</v>
      </c>
      <c r="F270" s="8">
        <f>IF(Tabela1[[#This Row],[Core Consumer Price Index]]="",#N/A,((Tabela1[[#This Row],[Core Consumer Price Index]]*1)/E269)-1)</f>
        <v>7.9365079365081304E-3</v>
      </c>
      <c r="G270" s="8">
        <f>IF(Tabela1[[#This Row],[Core Consumer Price Index]]="",#N/A,((Tabela1[[#This Row],[Core Consumer Price Index]]*1)/E258)-1)</f>
        <v>6.1281337047353945E-2</v>
      </c>
      <c r="H270" s="8">
        <f t="shared" si="10"/>
        <v>8.5194209260150089E-2</v>
      </c>
      <c r="I270" s="8">
        <f t="shared" si="11"/>
        <v>6.4204392696694867E-2</v>
      </c>
      <c r="J270" s="25">
        <v>32</v>
      </c>
      <c r="K270" s="8">
        <f>IF(Tabela1[[#This Row],[Services CPI]]="",#N/A,((Tabela1[[#This Row],[Services CPI]]*1)/J269)-1)</f>
        <v>6.2893081761006275E-3</v>
      </c>
      <c r="L270" s="8">
        <f>IF(Tabela1[[#This Row],[Services CPI]]="",#N/A,((Tabela1[[#This Row],[Services CPI]]*1)/J258)-1)</f>
        <v>7.0234113712374535E-2</v>
      </c>
      <c r="M270" s="7">
        <v>32.799999999999997</v>
      </c>
      <c r="N270" s="8">
        <f>IF(Tabela1[[#This Row],[Core-Services CPI]]="",#N/A,((Tabela1[[#This Row],[Core-Services CPI]]*1)/M269)-1)</f>
        <v>6.1349693251533388E-3</v>
      </c>
      <c r="O270" s="8">
        <f>IF(Tabela1[[#This Row],[Core-Services CPI]]="",#N/A,((Tabela1[[#This Row],[Core-Services CPI]]*1)/M258)-1)</f>
        <v>7.5409836065573721E-2</v>
      </c>
      <c r="P270" s="7">
        <v>42.2</v>
      </c>
      <c r="Q270" s="8">
        <f>IF(Tabela1[[#This Row],[Durable Goods CPI]]="",#N/A,((Tabela1[[#This Row],[Durable Goods CPI]]*1)/P269)-1)</f>
        <v>2.3752969121140222E-3</v>
      </c>
      <c r="R270" s="8">
        <f>IF(Tabela1[[#This Row],[Durable Goods CPI]]="",#N/A,((Tabela1[[#This Row],[Durable Goods CPI]]*1)/P258)-1)</f>
        <v>4.4554455445544594E-2</v>
      </c>
      <c r="S270" s="7">
        <v>5.7691580010000001</v>
      </c>
      <c r="T270" s="7">
        <v>18.692</v>
      </c>
      <c r="U270" s="8">
        <f>IF(Tabela1[[#This Row],[Personal Consumption Expenditures (PCE)]]="",#N/A,((Tabela1[[#This Row],[Personal Consumption Expenditures (PCE)]]*1)/T269)-1)</f>
        <v>4.4062332079528588E-3</v>
      </c>
      <c r="V270" s="8">
        <f>IF(Tabela1[[#This Row],[Personal Consumption Expenditures (PCE)]]="",#N/A,((Tabela1[[#This Row],[Personal Consumption Expenditures (PCE)]]*1)/T258)-1)</f>
        <v>4.3779316506589172E-2</v>
      </c>
      <c r="W270" s="7">
        <v>19.399999999999999</v>
      </c>
      <c r="X270" s="8">
        <f>IF(Tabela1[[#This Row],[Core PCE]]="",#N/A,((Tabela1[[#This Row],[Core PCE]]*1)/W269)-1)</f>
        <v>3.8290386008485999E-3</v>
      </c>
      <c r="Y270" s="8">
        <f>IF(Tabela1[[#This Row],[Core PCE]]="",#N/A,((Tabela1[[#This Row],[Core PCE]]*1)/W258)-1)</f>
        <v>4.6499082964720939E-2</v>
      </c>
      <c r="Z270" s="8">
        <f t="shared" si="9"/>
        <v>4.7802581944868194E-2</v>
      </c>
      <c r="AA270" s="8">
        <f t="shared" si="8"/>
        <v>4.5019761261233526E-2</v>
      </c>
      <c r="AB270" s="7"/>
      <c r="AC270" s="7"/>
      <c r="AD270" s="8"/>
      <c r="AE270" s="71"/>
      <c r="AF270" s="7"/>
      <c r="AG270" s="5"/>
    </row>
    <row r="271" spans="1:33" ht="12.75">
      <c r="A271" s="6">
        <v>25324</v>
      </c>
      <c r="B271" s="7">
        <v>36.4</v>
      </c>
      <c r="C271" s="8">
        <f>IF(Tabela1[[#This Row],[Consumer Price Index (CPI)]]="",#N/A,((Tabela1[[#This Row],[Consumer Price Index (CPI)]]*1)/B270)-1)</f>
        <v>2.7548209366392573E-3</v>
      </c>
      <c r="D271" s="8">
        <f>IF(Tabela1[[#This Row],[Consumer Price Index (CPI)]]="",#N/A,((Tabela1[[#This Row],[Consumer Price Index (CPI)]]*1)/B259)-1)</f>
        <v>5.507246376811592E-2</v>
      </c>
      <c r="E271" s="25">
        <v>38.1</v>
      </c>
      <c r="F271" s="8">
        <f>IF(Tabela1[[#This Row],[Core Consumer Price Index]]="",#N/A,((Tabela1[[#This Row],[Core Consumer Price Index]]*1)/E270)-1)</f>
        <v>0</v>
      </c>
      <c r="G271" s="8">
        <f>IF(Tabela1[[#This Row],[Core Consumer Price Index]]="",#N/A,((Tabela1[[#This Row],[Core Consumer Price Index]]*1)/E259)-1)</f>
        <v>5.8333333333333348E-2</v>
      </c>
      <c r="H271" s="8">
        <f t="shared" si="10"/>
        <v>5.302262749071307E-2</v>
      </c>
      <c r="I271" s="8">
        <f t="shared" si="11"/>
        <v>5.3364284295610798E-2</v>
      </c>
      <c r="J271" s="25">
        <v>32.200000000000003</v>
      </c>
      <c r="K271" s="8">
        <f>IF(Tabela1[[#This Row],[Services CPI]]="",#N/A,((Tabela1[[#This Row],[Services CPI]]*1)/J270)-1)</f>
        <v>6.2500000000000888E-3</v>
      </c>
      <c r="L271" s="8">
        <f>IF(Tabela1[[#This Row],[Services CPI]]="",#N/A,((Tabela1[[#This Row],[Services CPI]]*1)/J259)-1)</f>
        <v>7.3333333333333472E-2</v>
      </c>
      <c r="M271" s="7">
        <v>33</v>
      </c>
      <c r="N271" s="8">
        <f>IF(Tabela1[[#This Row],[Core-Services CPI]]="",#N/A,((Tabela1[[#This Row],[Core-Services CPI]]*1)/M270)-1)</f>
        <v>6.0975609756097615E-3</v>
      </c>
      <c r="O271" s="8">
        <f>IF(Tabela1[[#This Row],[Core-Services CPI]]="",#N/A,((Tabela1[[#This Row],[Core-Services CPI]]*1)/M259)-1)</f>
        <v>7.8431372549019551E-2</v>
      </c>
      <c r="P271" s="7">
        <v>42</v>
      </c>
      <c r="Q271" s="8">
        <f>IF(Tabela1[[#This Row],[Durable Goods CPI]]="",#N/A,((Tabela1[[#This Row],[Durable Goods CPI]]*1)/P270)-1)</f>
        <v>-4.7393364928910442E-3</v>
      </c>
      <c r="R271" s="8">
        <f>IF(Tabela1[[#This Row],[Durable Goods CPI]]="",#N/A,((Tabela1[[#This Row],[Durable Goods CPI]]*1)/P259)-1)</f>
        <v>3.9603960396039639E-2</v>
      </c>
      <c r="S271" s="7">
        <v>6.1433765319999996</v>
      </c>
      <c r="T271" s="7">
        <v>18.766999999999999</v>
      </c>
      <c r="U271" s="8">
        <f>IF(Tabela1[[#This Row],[Personal Consumption Expenditures (PCE)]]="",#N/A,((Tabela1[[#This Row],[Personal Consumption Expenditures (PCE)]]*1)/T270)-1)</f>
        <v>4.0124117269420001E-3</v>
      </c>
      <c r="V271" s="8">
        <f>IF(Tabela1[[#This Row],[Personal Consumption Expenditures (PCE)]]="",#N/A,((Tabela1[[#This Row],[Personal Consumption Expenditures (PCE)]]*1)/T259)-1)</f>
        <v>4.4119283409369103E-2</v>
      </c>
      <c r="W271" s="7">
        <v>19.478000000000002</v>
      </c>
      <c r="X271" s="8">
        <f>IF(Tabela1[[#This Row],[Core PCE]]="",#N/A,((Tabela1[[#This Row],[Core PCE]]*1)/W270)-1)</f>
        <v>4.0206185567011055E-3</v>
      </c>
      <c r="Y271" s="8">
        <f>IF(Tabela1[[#This Row],[Core PCE]]="",#N/A,((Tabela1[[#This Row],[Core PCE]]*1)/W259)-1)</f>
        <v>4.6754084264832407E-2</v>
      </c>
      <c r="Z271" s="8">
        <f t="shared" si="9"/>
        <v>5.0113538174803018E-2</v>
      </c>
      <c r="AA271" s="8">
        <f t="shared" si="8"/>
        <v>4.5469665146737892E-2</v>
      </c>
      <c r="AB271" s="7"/>
      <c r="AC271" s="7"/>
      <c r="AD271" s="8"/>
      <c r="AE271" s="71"/>
      <c r="AF271" s="7"/>
      <c r="AG271" s="5"/>
    </row>
    <row r="272" spans="1:33" ht="12.75">
      <c r="A272" s="6">
        <v>25355</v>
      </c>
      <c r="B272" s="7">
        <v>36.6</v>
      </c>
      <c r="C272" s="8">
        <f>IF(Tabela1[[#This Row],[Consumer Price Index (CPI)]]="",#N/A,((Tabela1[[#This Row],[Consumer Price Index (CPI)]]*1)/B271)-1)</f>
        <v>5.494505494505475E-3</v>
      </c>
      <c r="D272" s="8">
        <f>IF(Tabela1[[#This Row],[Consumer Price Index (CPI)]]="",#N/A,((Tabela1[[#This Row],[Consumer Price Index (CPI)]]*1)/B260)-1)</f>
        <v>5.4755043227665556E-2</v>
      </c>
      <c r="E272" s="25">
        <v>38.299999999999997</v>
      </c>
      <c r="F272" s="8">
        <f>IF(Tabela1[[#This Row],[Core Consumer Price Index]]="",#N/A,((Tabela1[[#This Row],[Core Consumer Price Index]]*1)/E271)-1)</f>
        <v>5.249343832020914E-3</v>
      </c>
      <c r="G272" s="8">
        <f>IF(Tabela1[[#This Row],[Core Consumer Price Index]]="",#N/A,((Tabela1[[#This Row],[Core Consumer Price Index]]*1)/E260)-1)</f>
        <v>5.8011049723756702E-2</v>
      </c>
      <c r="H272" s="8">
        <f t="shared" si="10"/>
        <v>5.2743407074116178E-2</v>
      </c>
      <c r="I272" s="8">
        <f t="shared" si="11"/>
        <v>5.8472136380137929E-2</v>
      </c>
      <c r="J272" s="25">
        <v>32.299999999999997</v>
      </c>
      <c r="K272" s="8">
        <f>IF(Tabela1[[#This Row],[Services CPI]]="",#N/A,((Tabela1[[#This Row],[Services CPI]]*1)/J271)-1)</f>
        <v>3.1055900621115295E-3</v>
      </c>
      <c r="L272" s="8">
        <f>IF(Tabela1[[#This Row],[Services CPI]]="",#N/A,((Tabela1[[#This Row],[Services CPI]]*1)/J260)-1)</f>
        <v>6.9536423841059625E-2</v>
      </c>
      <c r="M272" s="7">
        <v>33.1</v>
      </c>
      <c r="N272" s="8">
        <f>IF(Tabela1[[#This Row],[Core-Services CPI]]="",#N/A,((Tabela1[[#This Row],[Core-Services CPI]]*1)/M271)-1)</f>
        <v>3.0303030303031608E-3</v>
      </c>
      <c r="O272" s="8">
        <f>IF(Tabela1[[#This Row],[Core-Services CPI]]="",#N/A,((Tabela1[[#This Row],[Core-Services CPI]]*1)/M260)-1)</f>
        <v>7.1197411003236288E-2</v>
      </c>
      <c r="P272" s="7">
        <v>42.1</v>
      </c>
      <c r="Q272" s="8">
        <f>IF(Tabela1[[#This Row],[Durable Goods CPI]]="",#N/A,((Tabela1[[#This Row],[Durable Goods CPI]]*1)/P271)-1)</f>
        <v>2.3809523809523725E-3</v>
      </c>
      <c r="R272" s="8">
        <f>IF(Tabela1[[#This Row],[Durable Goods CPI]]="",#N/A,((Tabela1[[#This Row],[Durable Goods CPI]]*1)/P260)-1)</f>
        <v>3.9506172839506304E-2</v>
      </c>
      <c r="S272" s="7">
        <v>6.5244476179999999</v>
      </c>
      <c r="T272" s="7">
        <v>18.858000000000001</v>
      </c>
      <c r="U272" s="8">
        <f>IF(Tabela1[[#This Row],[Personal Consumption Expenditures (PCE)]]="",#N/A,((Tabela1[[#This Row],[Personal Consumption Expenditures (PCE)]]*1)/T271)-1)</f>
        <v>4.8489369638196056E-3</v>
      </c>
      <c r="V272" s="8">
        <f>IF(Tabela1[[#This Row],[Personal Consumption Expenditures (PCE)]]="",#N/A,((Tabela1[[#This Row],[Personal Consumption Expenditures (PCE)]]*1)/T260)-1)</f>
        <v>4.5807453416149002E-2</v>
      </c>
      <c r="W272" s="7">
        <v>19.545000000000002</v>
      </c>
      <c r="X272" s="8">
        <f>IF(Tabela1[[#This Row],[Core PCE]]="",#N/A,((Tabela1[[#This Row],[Core PCE]]*1)/W271)-1)</f>
        <v>3.4397782113153585E-3</v>
      </c>
      <c r="Y272" s="8">
        <f>IF(Tabela1[[#This Row],[Core PCE]]="",#N/A,((Tabela1[[#This Row],[Core PCE]]*1)/W260)-1)</f>
        <v>4.6250200738718439E-2</v>
      </c>
      <c r="Z272" s="8">
        <f t="shared" si="9"/>
        <v>4.5157741475460256E-2</v>
      </c>
      <c r="AA272" s="8">
        <f t="shared" si="8"/>
        <v>4.6362141058891471E-2</v>
      </c>
      <c r="AB272" s="7"/>
      <c r="AC272" s="7"/>
      <c r="AD272" s="8"/>
      <c r="AE272" s="71"/>
      <c r="AF272" s="7"/>
      <c r="AG272" s="5"/>
    </row>
    <row r="273" spans="1:33" ht="12.75">
      <c r="A273" s="6">
        <v>25385</v>
      </c>
      <c r="B273" s="7">
        <v>36.799999999999997</v>
      </c>
      <c r="C273" s="8">
        <f>IF(Tabela1[[#This Row],[Consumer Price Index (CPI)]]="",#N/A,((Tabela1[[#This Row],[Consumer Price Index (CPI)]]*1)/B272)-1)</f>
        <v>5.4644808743167239E-3</v>
      </c>
      <c r="D273" s="8">
        <f>IF(Tabela1[[#This Row],[Consumer Price Index (CPI)]]="",#N/A,((Tabela1[[#This Row],[Consumer Price Index (CPI)]]*1)/B261)-1)</f>
        <v>5.4441260744985565E-2</v>
      </c>
      <c r="E273" s="25">
        <v>38.5</v>
      </c>
      <c r="F273" s="8">
        <f>IF(Tabela1[[#This Row],[Core Consumer Price Index]]="",#N/A,((Tabela1[[#This Row],[Core Consumer Price Index]]*1)/E272)-1)</f>
        <v>5.2219321148825326E-3</v>
      </c>
      <c r="G273" s="8">
        <f>IF(Tabela1[[#This Row],[Core Consumer Price Index]]="",#N/A,((Tabela1[[#This Row],[Core Consumer Price Index]]*1)/E261)-1)</f>
        <v>5.7692307692307709E-2</v>
      </c>
      <c r="H273" s="8">
        <f t="shared" si="10"/>
        <v>4.1885103787613787E-2</v>
      </c>
      <c r="I273" s="8">
        <f t="shared" si="11"/>
        <v>6.3539656523881938E-2</v>
      </c>
      <c r="J273" s="25">
        <v>32.5</v>
      </c>
      <c r="K273" s="8">
        <f>IF(Tabela1[[#This Row],[Services CPI]]="",#N/A,((Tabela1[[#This Row],[Services CPI]]*1)/J272)-1)</f>
        <v>6.1919504643963563E-3</v>
      </c>
      <c r="L273" s="8">
        <f>IF(Tabela1[[#This Row],[Services CPI]]="",#N/A,((Tabela1[[#This Row],[Services CPI]]*1)/J261)-1)</f>
        <v>6.9078947368421018E-2</v>
      </c>
      <c r="M273" s="7">
        <v>33.299999999999997</v>
      </c>
      <c r="N273" s="8">
        <f>IF(Tabela1[[#This Row],[Core-Services CPI]]="",#N/A,((Tabela1[[#This Row],[Core-Services CPI]]*1)/M272)-1)</f>
        <v>6.0422960725075026E-3</v>
      </c>
      <c r="O273" s="8">
        <f>IF(Tabela1[[#This Row],[Core-Services CPI]]="",#N/A,((Tabela1[[#This Row],[Core-Services CPI]]*1)/M261)-1)</f>
        <v>7.0739549839228255E-2</v>
      </c>
      <c r="P273" s="7">
        <v>42.2</v>
      </c>
      <c r="Q273" s="8">
        <f>IF(Tabela1[[#This Row],[Durable Goods CPI]]="",#N/A,((Tabela1[[#This Row],[Durable Goods CPI]]*1)/P272)-1)</f>
        <v>2.3752969121140222E-3</v>
      </c>
      <c r="R273" s="8">
        <f>IF(Tabela1[[#This Row],[Durable Goods CPI]]="",#N/A,((Tabela1[[#This Row],[Durable Goods CPI]]*1)/P261)-1)</f>
        <v>3.6855036855036882E-2</v>
      </c>
      <c r="S273" s="7">
        <v>6.7993469629999996</v>
      </c>
      <c r="T273" s="7">
        <v>18.940999999999999</v>
      </c>
      <c r="U273" s="8">
        <f>IF(Tabela1[[#This Row],[Personal Consumption Expenditures (PCE)]]="",#N/A,((Tabela1[[#This Row],[Personal Consumption Expenditures (PCE)]]*1)/T272)-1)</f>
        <v>4.4013150917381338E-3</v>
      </c>
      <c r="V273" s="8">
        <f>IF(Tabela1[[#This Row],[Personal Consumption Expenditures (PCE)]]="",#N/A,((Tabela1[[#This Row],[Personal Consumption Expenditures (PCE)]]*1)/T261)-1)</f>
        <v>4.7216232653286783E-2</v>
      </c>
      <c r="W273" s="7">
        <v>19.635999999999999</v>
      </c>
      <c r="X273" s="8">
        <f>IF(Tabela1[[#This Row],[Core PCE]]="",#N/A,((Tabela1[[#This Row],[Core PCE]]*1)/W272)-1)</f>
        <v>4.6559222307493986E-3</v>
      </c>
      <c r="Y273" s="8">
        <f>IF(Tabela1[[#This Row],[Core PCE]]="",#N/A,((Tabela1[[#This Row],[Core PCE]]*1)/W261)-1)</f>
        <v>4.7644453929467145E-2</v>
      </c>
      <c r="Z273" s="8">
        <f t="shared" si="9"/>
        <v>4.846527599506345E-2</v>
      </c>
      <c r="AA273" s="8">
        <f t="shared" si="8"/>
        <v>4.8133928969965822E-2</v>
      </c>
      <c r="AB273" s="7"/>
      <c r="AC273" s="7"/>
      <c r="AD273" s="8"/>
      <c r="AE273" s="71"/>
      <c r="AF273" s="7"/>
      <c r="AG273" s="5"/>
    </row>
    <row r="274" spans="1:33" ht="12.75">
      <c r="A274" s="6">
        <v>25416</v>
      </c>
      <c r="B274" s="7">
        <v>36.9</v>
      </c>
      <c r="C274" s="8">
        <f>IF(Tabela1[[#This Row],[Consumer Price Index (CPI)]]="",#N/A,((Tabela1[[#This Row],[Consumer Price Index (CPI)]]*1)/B273)-1)</f>
        <v>2.7173913043478937E-3</v>
      </c>
      <c r="D274" s="8">
        <f>IF(Tabela1[[#This Row],[Consumer Price Index (CPI)]]="",#N/A,((Tabela1[[#This Row],[Consumer Price Index (CPI)]]*1)/B262)-1)</f>
        <v>5.428571428571427E-2</v>
      </c>
      <c r="E274" s="25">
        <v>38.700000000000003</v>
      </c>
      <c r="F274" s="8">
        <f>IF(Tabela1[[#This Row],[Core Consumer Price Index]]="",#N/A,((Tabela1[[#This Row],[Core Consumer Price Index]]*1)/E273)-1)</f>
        <v>5.1948051948051965E-3</v>
      </c>
      <c r="G274" s="8">
        <f>IF(Tabela1[[#This Row],[Core Consumer Price Index]]="",#N/A,((Tabela1[[#This Row],[Core Consumer Price Index]]*1)/E262)-1)</f>
        <v>6.02739726027397E-2</v>
      </c>
      <c r="H274" s="8">
        <f t="shared" si="10"/>
        <v>6.2664324566834573E-2</v>
      </c>
      <c r="I274" s="8">
        <f t="shared" si="11"/>
        <v>5.7843476028773821E-2</v>
      </c>
      <c r="J274" s="25">
        <v>32.700000000000003</v>
      </c>
      <c r="K274" s="8">
        <f>IF(Tabela1[[#This Row],[Services CPI]]="",#N/A,((Tabela1[[#This Row],[Services CPI]]*1)/J273)-1)</f>
        <v>6.1538461538461764E-3</v>
      </c>
      <c r="L274" s="8">
        <f>IF(Tabela1[[#This Row],[Services CPI]]="",#N/A,((Tabela1[[#This Row],[Services CPI]]*1)/J262)-1)</f>
        <v>6.8627450980392135E-2</v>
      </c>
      <c r="M274" s="7">
        <v>33.5</v>
      </c>
      <c r="N274" s="8">
        <f>IF(Tabela1[[#This Row],[Core-Services CPI]]="",#N/A,((Tabela1[[#This Row],[Core-Services CPI]]*1)/M273)-1)</f>
        <v>6.0060060060060927E-3</v>
      </c>
      <c r="O274" s="8">
        <f>IF(Tabela1[[#This Row],[Core-Services CPI]]="",#N/A,((Tabela1[[#This Row],[Core-Services CPI]]*1)/M262)-1)</f>
        <v>7.0287539936102261E-2</v>
      </c>
      <c r="P274" s="7">
        <v>42.3</v>
      </c>
      <c r="Q274" s="8">
        <f>IF(Tabela1[[#This Row],[Durable Goods CPI]]="",#N/A,((Tabela1[[#This Row],[Durable Goods CPI]]*1)/P273)-1)</f>
        <v>2.3696682464453556E-3</v>
      </c>
      <c r="R274" s="8">
        <f>IF(Tabela1[[#This Row],[Durable Goods CPI]]="",#N/A,((Tabela1[[#This Row],[Durable Goods CPI]]*1)/P262)-1)</f>
        <v>3.6764705882353033E-2</v>
      </c>
      <c r="S274" s="7">
        <v>6.3921034069999996</v>
      </c>
      <c r="T274" s="7">
        <v>18.992999999999999</v>
      </c>
      <c r="U274" s="8">
        <f>IF(Tabela1[[#This Row],[Personal Consumption Expenditures (PCE)]]="",#N/A,((Tabela1[[#This Row],[Personal Consumption Expenditures (PCE)]]*1)/T273)-1)</f>
        <v>2.7453671928621137E-3</v>
      </c>
      <c r="V274" s="8">
        <f>IF(Tabela1[[#This Row],[Personal Consumption Expenditures (PCE)]]="",#N/A,((Tabela1[[#This Row],[Personal Consumption Expenditures (PCE)]]*1)/T262)-1)</f>
        <v>4.5812455261273977E-2</v>
      </c>
      <c r="W274" s="7">
        <v>19.690999999999999</v>
      </c>
      <c r="X274" s="8">
        <f>IF(Tabela1[[#This Row],[Core PCE]]="",#N/A,((Tabela1[[#This Row],[Core PCE]]*1)/W273)-1)</f>
        <v>2.8009777958850623E-3</v>
      </c>
      <c r="Y274" s="8">
        <f>IF(Tabela1[[#This Row],[Core PCE]]="",#N/A,((Tabela1[[#This Row],[Core PCE]]*1)/W262)-1)</f>
        <v>4.6502976190476275E-2</v>
      </c>
      <c r="Z274" s="8">
        <f t="shared" si="9"/>
        <v>4.3586712951799278E-2</v>
      </c>
      <c r="AA274" s="8">
        <f t="shared" si="8"/>
        <v>4.6850125563301148E-2</v>
      </c>
      <c r="AB274" s="7"/>
      <c r="AC274" s="7"/>
      <c r="AD274" s="8"/>
      <c r="AE274" s="71"/>
      <c r="AF274" s="7"/>
      <c r="AG274" s="5"/>
    </row>
    <row r="275" spans="1:33" ht="12.75">
      <c r="A275" s="6">
        <v>25447</v>
      </c>
      <c r="B275" s="7">
        <v>37.1</v>
      </c>
      <c r="C275" s="8">
        <f>IF(Tabela1[[#This Row],[Consumer Price Index (CPI)]]="",#N/A,((Tabela1[[#This Row],[Consumer Price Index (CPI)]]*1)/B274)-1)</f>
        <v>5.4200542005420349E-3</v>
      </c>
      <c r="D275" s="8">
        <f>IF(Tabela1[[#This Row],[Consumer Price Index (CPI)]]="",#N/A,((Tabela1[[#This Row],[Consumer Price Index (CPI)]]*1)/B263)-1)</f>
        <v>5.6980056980056926E-2</v>
      </c>
      <c r="E275" s="25">
        <v>38.9</v>
      </c>
      <c r="F275" s="8">
        <f>IF(Tabela1[[#This Row],[Core Consumer Price Index]]="",#N/A,((Tabela1[[#This Row],[Core Consumer Price Index]]*1)/E274)-1)</f>
        <v>5.1679586563306845E-3</v>
      </c>
      <c r="G275" s="8">
        <f>IF(Tabela1[[#This Row],[Core Consumer Price Index]]="",#N/A,((Tabela1[[#This Row],[Core Consumer Price Index]]*1)/E263)-1)</f>
        <v>5.9945504087193235E-2</v>
      </c>
      <c r="H275" s="8">
        <f t="shared" si="10"/>
        <v>6.2338783864073655E-2</v>
      </c>
      <c r="I275" s="8">
        <f t="shared" si="11"/>
        <v>5.7541095469094916E-2</v>
      </c>
      <c r="J275" s="25">
        <v>33</v>
      </c>
      <c r="K275" s="8">
        <f>IF(Tabela1[[#This Row],[Services CPI]]="",#N/A,((Tabela1[[#This Row],[Services CPI]]*1)/J274)-1)</f>
        <v>9.1743119266054496E-3</v>
      </c>
      <c r="L275" s="8">
        <f>IF(Tabela1[[#This Row],[Services CPI]]="",#N/A,((Tabela1[[#This Row],[Services CPI]]*1)/J263)-1)</f>
        <v>7.4918566775244333E-2</v>
      </c>
      <c r="M275" s="7">
        <v>33.799999999999997</v>
      </c>
      <c r="N275" s="8">
        <f>IF(Tabela1[[#This Row],[Core-Services CPI]]="",#N/A,((Tabela1[[#This Row],[Core-Services CPI]]*1)/M274)-1)</f>
        <v>8.9552238805969964E-3</v>
      </c>
      <c r="O275" s="8">
        <f>IF(Tabela1[[#This Row],[Core-Services CPI]]="",#N/A,((Tabela1[[#This Row],[Core-Services CPI]]*1)/M263)-1)</f>
        <v>7.6433121019108263E-2</v>
      </c>
      <c r="P275" s="7">
        <v>42.3</v>
      </c>
      <c r="Q275" s="8">
        <f>IF(Tabela1[[#This Row],[Durable Goods CPI]]="",#N/A,((Tabela1[[#This Row],[Durable Goods CPI]]*1)/P274)-1)</f>
        <v>0</v>
      </c>
      <c r="R275" s="8">
        <f>IF(Tabela1[[#This Row],[Durable Goods CPI]]="",#N/A,((Tabela1[[#This Row],[Durable Goods CPI]]*1)/P263)-1)</f>
        <v>3.4229828850855792E-2</v>
      </c>
      <c r="S275" s="7">
        <v>6.4049614129999997</v>
      </c>
      <c r="T275" s="7">
        <v>19.071999999999999</v>
      </c>
      <c r="U275" s="8">
        <f>IF(Tabela1[[#This Row],[Personal Consumption Expenditures (PCE)]]="",#N/A,((Tabela1[[#This Row],[Personal Consumption Expenditures (PCE)]]*1)/T274)-1)</f>
        <v>4.1594271573737185E-3</v>
      </c>
      <c r="V275" s="8">
        <f>IF(Tabela1[[#This Row],[Personal Consumption Expenditures (PCE)]]="",#N/A,((Tabela1[[#This Row],[Personal Consumption Expenditures (PCE)]]*1)/T263)-1)</f>
        <v>4.6532045654082532E-2</v>
      </c>
      <c r="W275" s="7">
        <v>19.77</v>
      </c>
      <c r="X275" s="8">
        <f>IF(Tabela1[[#This Row],[Core PCE]]="",#N/A,((Tabela1[[#This Row],[Core PCE]]*1)/W274)-1)</f>
        <v>4.0119851708901866E-3</v>
      </c>
      <c r="Y275" s="8">
        <f>IF(Tabela1[[#This Row],[Core PCE]]="",#N/A,((Tabela1[[#This Row],[Core PCE]]*1)/W263)-1)</f>
        <v>4.6474698284988403E-2</v>
      </c>
      <c r="Z275" s="8">
        <f t="shared" si="9"/>
        <v>4.587554079009859E-2</v>
      </c>
      <c r="AA275" s="8">
        <f t="shared" si="8"/>
        <v>4.5516641132779423E-2</v>
      </c>
      <c r="AB275" s="7"/>
      <c r="AC275" s="7"/>
      <c r="AD275" s="8"/>
      <c r="AE275" s="71"/>
      <c r="AF275" s="7"/>
      <c r="AG275" s="5"/>
    </row>
    <row r="276" spans="1:33" ht="12.75">
      <c r="A276" s="6">
        <v>25477</v>
      </c>
      <c r="B276" s="7">
        <v>37.299999999999997</v>
      </c>
      <c r="C276" s="8">
        <f>IF(Tabela1[[#This Row],[Consumer Price Index (CPI)]]="",#N/A,((Tabela1[[#This Row],[Consumer Price Index (CPI)]]*1)/B275)-1)</f>
        <v>5.3908355795146967E-3</v>
      </c>
      <c r="D276" s="8">
        <f>IF(Tabela1[[#This Row],[Consumer Price Index (CPI)]]="",#N/A,((Tabela1[[#This Row],[Consumer Price Index (CPI)]]*1)/B264)-1)</f>
        <v>5.6657223796034106E-2</v>
      </c>
      <c r="E276" s="25">
        <v>39.1</v>
      </c>
      <c r="F276" s="8">
        <f>IF(Tabela1[[#This Row],[Core Consumer Price Index]]="",#N/A,((Tabela1[[#This Row],[Core Consumer Price Index]]*1)/E275)-1)</f>
        <v>5.1413881748072487E-3</v>
      </c>
      <c r="G276" s="8">
        <f>IF(Tabela1[[#This Row],[Core Consumer Price Index]]="",#N/A,((Tabela1[[#This Row],[Core Consumer Price Index]]*1)/E264)-1)</f>
        <v>5.9620596205962162E-2</v>
      </c>
      <c r="H276" s="8">
        <f t="shared" si="10"/>
        <v>6.2016608103772519E-2</v>
      </c>
      <c r="I276" s="8">
        <f t="shared" si="11"/>
        <v>5.1950855945693153E-2</v>
      </c>
      <c r="J276" s="25">
        <v>33.1</v>
      </c>
      <c r="K276" s="8">
        <f>IF(Tabela1[[#This Row],[Services CPI]]="",#N/A,((Tabela1[[#This Row],[Services CPI]]*1)/J275)-1)</f>
        <v>3.0303030303031608E-3</v>
      </c>
      <c r="L276" s="8">
        <f>IF(Tabela1[[#This Row],[Services CPI]]="",#N/A,((Tabela1[[#This Row],[Services CPI]]*1)/J264)-1)</f>
        <v>7.1197411003236288E-2</v>
      </c>
      <c r="M276" s="7">
        <v>33.9</v>
      </c>
      <c r="N276" s="8">
        <f>IF(Tabela1[[#This Row],[Core-Services CPI]]="",#N/A,((Tabela1[[#This Row],[Core-Services CPI]]*1)/M275)-1)</f>
        <v>2.9585798816569309E-3</v>
      </c>
      <c r="O276" s="8">
        <f>IF(Tabela1[[#This Row],[Core-Services CPI]]="",#N/A,((Tabela1[[#This Row],[Core-Services CPI]]*1)/M264)-1)</f>
        <v>7.2784810126582222E-2</v>
      </c>
      <c r="P276" s="7">
        <v>42.7</v>
      </c>
      <c r="Q276" s="8">
        <f>IF(Tabela1[[#This Row],[Durable Goods CPI]]="",#N/A,((Tabela1[[#This Row],[Durable Goods CPI]]*1)/P275)-1)</f>
        <v>9.4562647754139473E-3</v>
      </c>
      <c r="R276" s="8">
        <f>IF(Tabela1[[#This Row],[Durable Goods CPI]]="",#N/A,((Tabela1[[#This Row],[Durable Goods CPI]]*1)/P264)-1)</f>
        <v>4.4009779951100336E-2</v>
      </c>
      <c r="S276" s="7">
        <v>6.4303857659999997</v>
      </c>
      <c r="T276" s="7">
        <v>19.137</v>
      </c>
      <c r="U276" s="8">
        <f>IF(Tabela1[[#This Row],[Personal Consumption Expenditures (PCE)]]="",#N/A,((Tabela1[[#This Row],[Personal Consumption Expenditures (PCE)]]*1)/T275)-1)</f>
        <v>3.4081375838925787E-3</v>
      </c>
      <c r="V276" s="8">
        <f>IF(Tabela1[[#This Row],[Personal Consumption Expenditures (PCE)]]="",#N/A,((Tabela1[[#This Row],[Personal Consumption Expenditures (PCE)]]*1)/T264)-1)</f>
        <v>4.5509178321678334E-2</v>
      </c>
      <c r="W276" s="7">
        <v>19.855</v>
      </c>
      <c r="X276" s="8">
        <f>IF(Tabela1[[#This Row],[Core PCE]]="",#N/A,((Tabela1[[#This Row],[Core PCE]]*1)/W275)-1)</f>
        <v>4.2994436014163195E-3</v>
      </c>
      <c r="Y276" s="8">
        <f>IF(Tabela1[[#This Row],[Core PCE]]="",#N/A,((Tabela1[[#This Row],[Core PCE]]*1)/W264)-1)</f>
        <v>4.6707786388317629E-2</v>
      </c>
      <c r="Z276" s="8">
        <f t="shared" si="9"/>
        <v>4.4449626272766274E-2</v>
      </c>
      <c r="AA276" s="8">
        <f t="shared" si="8"/>
        <v>4.6457451133914862E-2</v>
      </c>
      <c r="AB276" s="7"/>
      <c r="AC276" s="7"/>
      <c r="AD276" s="8"/>
      <c r="AE276" s="71"/>
      <c r="AF276" s="7"/>
      <c r="AG276" s="5"/>
    </row>
    <row r="277" spans="1:33" ht="12.75">
      <c r="A277" s="6">
        <v>25508</v>
      </c>
      <c r="B277" s="7">
        <v>37.5</v>
      </c>
      <c r="C277" s="8">
        <f>IF(Tabela1[[#This Row],[Consumer Price Index (CPI)]]="",#N/A,((Tabela1[[#This Row],[Consumer Price Index (CPI)]]*1)/B276)-1)</f>
        <v>5.3619302949061698E-3</v>
      </c>
      <c r="D277" s="8">
        <f>IF(Tabela1[[#This Row],[Consumer Price Index (CPI)]]="",#N/A,((Tabela1[[#This Row],[Consumer Price Index (CPI)]]*1)/B265)-1)</f>
        <v>5.9322033898305149E-2</v>
      </c>
      <c r="E277" s="25">
        <v>39.200000000000003</v>
      </c>
      <c r="F277" s="8">
        <f>IF(Tabela1[[#This Row],[Core Consumer Price Index]]="",#N/A,((Tabela1[[#This Row],[Core Consumer Price Index]]*1)/E276)-1)</f>
        <v>2.5575447570331811E-3</v>
      </c>
      <c r="G277" s="8">
        <f>IF(Tabela1[[#This Row],[Core Consumer Price Index]]="",#N/A,((Tabela1[[#This Row],[Core Consumer Price Index]]*1)/E265)-1)</f>
        <v>5.6603773584905648E-2</v>
      </c>
      <c r="H277" s="8">
        <f t="shared" si="10"/>
        <v>5.1467566352684457E-2</v>
      </c>
      <c r="I277" s="8">
        <f t="shared" si="11"/>
        <v>5.7065945459759515E-2</v>
      </c>
      <c r="J277" s="25">
        <v>33.299999999999997</v>
      </c>
      <c r="K277" s="8">
        <f>IF(Tabela1[[#This Row],[Services CPI]]="",#N/A,((Tabela1[[#This Row],[Services CPI]]*1)/J276)-1)</f>
        <v>6.0422960725075026E-3</v>
      </c>
      <c r="L277" s="8">
        <f>IF(Tabela1[[#This Row],[Services CPI]]="",#N/A,((Tabela1[[#This Row],[Services CPI]]*1)/J265)-1)</f>
        <v>7.4193548387096575E-2</v>
      </c>
      <c r="M277" s="7">
        <v>34.1</v>
      </c>
      <c r="N277" s="8">
        <f>IF(Tabela1[[#This Row],[Core-Services CPI]]="",#N/A,((Tabela1[[#This Row],[Core-Services CPI]]*1)/M276)-1)</f>
        <v>5.8997050147493457E-3</v>
      </c>
      <c r="O277" s="8">
        <f>IF(Tabela1[[#This Row],[Core-Services CPI]]="",#N/A,((Tabela1[[#This Row],[Core-Services CPI]]*1)/M265)-1)</f>
        <v>7.5709779179810699E-2</v>
      </c>
      <c r="P277" s="7">
        <v>42.8</v>
      </c>
      <c r="Q277" s="8">
        <f>IF(Tabela1[[#This Row],[Durable Goods CPI]]="",#N/A,((Tabela1[[#This Row],[Durable Goods CPI]]*1)/P276)-1)</f>
        <v>2.3419203747070405E-3</v>
      </c>
      <c r="R277" s="8">
        <f>IF(Tabela1[[#This Row],[Durable Goods CPI]]="",#N/A,((Tabela1[[#This Row],[Durable Goods CPI]]*1)/P265)-1)</f>
        <v>3.6319612590798966E-2</v>
      </c>
      <c r="S277" s="7">
        <v>6.8507957929999996</v>
      </c>
      <c r="T277" s="7">
        <v>19.22</v>
      </c>
      <c r="U277" s="8">
        <f>IF(Tabela1[[#This Row],[Personal Consumption Expenditures (PCE)]]="",#N/A,((Tabela1[[#This Row],[Personal Consumption Expenditures (PCE)]]*1)/T276)-1)</f>
        <v>4.3371479333227381E-3</v>
      </c>
      <c r="V277" s="8">
        <f>IF(Tabela1[[#This Row],[Personal Consumption Expenditures (PCE)]]="",#N/A,((Tabela1[[#This Row],[Personal Consumption Expenditures (PCE)]]*1)/T265)-1)</f>
        <v>4.649896547969079E-2</v>
      </c>
      <c r="W277" s="7">
        <v>19.931000000000001</v>
      </c>
      <c r="X277" s="8">
        <f>IF(Tabela1[[#This Row],[Core PCE]]="",#N/A,((Tabela1[[#This Row],[Core PCE]]*1)/W276)-1)</f>
        <v>3.82775119617218E-3</v>
      </c>
      <c r="Y277" s="8">
        <f>IF(Tabela1[[#This Row],[Core PCE]]="",#N/A,((Tabela1[[#This Row],[Core PCE]]*1)/W265)-1)</f>
        <v>4.6741242581797238E-2</v>
      </c>
      <c r="Z277" s="8">
        <f t="shared" si="9"/>
        <v>4.8556719873914744E-2</v>
      </c>
      <c r="AA277" s="8">
        <f t="shared" si="8"/>
        <v>4.6071716412857011E-2</v>
      </c>
      <c r="AB277" s="7"/>
      <c r="AC277" s="7"/>
      <c r="AD277" s="8"/>
      <c r="AE277" s="71"/>
      <c r="AF277" s="7"/>
      <c r="AG277" s="5"/>
    </row>
    <row r="278" spans="1:33" ht="12.75">
      <c r="A278" s="6">
        <v>25538</v>
      </c>
      <c r="B278" s="7">
        <v>37.700000000000003</v>
      </c>
      <c r="C278" s="8">
        <f>IF(Tabela1[[#This Row],[Consumer Price Index (CPI)]]="",#N/A,((Tabela1[[#This Row],[Consumer Price Index (CPI)]]*1)/B277)-1)</f>
        <v>5.3333333333334121E-3</v>
      </c>
      <c r="D278" s="8">
        <f>IF(Tabela1[[#This Row],[Consumer Price Index (CPI)]]="",#N/A,((Tabela1[[#This Row],[Consumer Price Index (CPI)]]*1)/B266)-1)</f>
        <v>5.8988764044943798E-2</v>
      </c>
      <c r="E278" s="25">
        <v>39.4</v>
      </c>
      <c r="F278" s="8">
        <f>IF(Tabela1[[#This Row],[Core Consumer Price Index]]="",#N/A,((Tabela1[[#This Row],[Core Consumer Price Index]]*1)/E277)-1)</f>
        <v>5.1020408163264808E-3</v>
      </c>
      <c r="G278" s="8">
        <f>IF(Tabela1[[#This Row],[Core Consumer Price Index]]="",#N/A,((Tabela1[[#This Row],[Core Consumer Price Index]]*1)/E266)-1)</f>
        <v>5.9139784946236507E-2</v>
      </c>
      <c r="H278" s="8">
        <f t="shared" si="10"/>
        <v>5.1203894992667642E-2</v>
      </c>
      <c r="I278" s="8">
        <f t="shared" si="11"/>
        <v>5.6771339428370649E-2</v>
      </c>
      <c r="J278" s="25">
        <v>33.5</v>
      </c>
      <c r="K278" s="8">
        <f>IF(Tabela1[[#This Row],[Services CPI]]="",#N/A,((Tabela1[[#This Row],[Services CPI]]*1)/J277)-1)</f>
        <v>6.0060060060060927E-3</v>
      </c>
      <c r="L278" s="8">
        <f>IF(Tabela1[[#This Row],[Services CPI]]="",#N/A,((Tabela1[[#This Row],[Services CPI]]*1)/J266)-1)</f>
        <v>7.3717948717948678E-2</v>
      </c>
      <c r="M278" s="7">
        <v>34.299999999999997</v>
      </c>
      <c r="N278" s="8">
        <f>IF(Tabela1[[#This Row],[Core-Services CPI]]="",#N/A,((Tabela1[[#This Row],[Core-Services CPI]]*1)/M277)-1)</f>
        <v>5.8651026392959604E-3</v>
      </c>
      <c r="O278" s="8">
        <f>IF(Tabela1[[#This Row],[Core-Services CPI]]="",#N/A,((Tabela1[[#This Row],[Core-Services CPI]]*1)/M266)-1)</f>
        <v>7.5235109717868287E-2</v>
      </c>
      <c r="P278" s="7">
        <v>42.9</v>
      </c>
      <c r="Q278" s="8">
        <f>IF(Tabela1[[#This Row],[Durable Goods CPI]]="",#N/A,((Tabela1[[#This Row],[Durable Goods CPI]]*1)/P277)-1)</f>
        <v>2.3364485981309802E-3</v>
      </c>
      <c r="R278" s="8">
        <f>IF(Tabela1[[#This Row],[Durable Goods CPI]]="",#N/A,((Tabela1[[#This Row],[Durable Goods CPI]]*1)/P266)-1)</f>
        <v>4.3795620437956151E-2</v>
      </c>
      <c r="S278" s="7">
        <v>6.5747212340000001</v>
      </c>
      <c r="T278" s="7">
        <v>19.308</v>
      </c>
      <c r="U278" s="8">
        <f>IF(Tabela1[[#This Row],[Personal Consumption Expenditures (PCE)]]="",#N/A,((Tabela1[[#This Row],[Personal Consumption Expenditures (PCE)]]*1)/T277)-1)</f>
        <v>4.5785639958377811E-3</v>
      </c>
      <c r="V278" s="8">
        <f>IF(Tabela1[[#This Row],[Personal Consumption Expenditures (PCE)]]="",#N/A,((Tabela1[[#This Row],[Personal Consumption Expenditures (PCE)]]*1)/T266)-1)</f>
        <v>4.9119756574657725E-2</v>
      </c>
      <c r="W278" s="7">
        <v>20.004999999999999</v>
      </c>
      <c r="X278" s="8">
        <f>IF(Tabela1[[#This Row],[Core PCE]]="",#N/A,((Tabela1[[#This Row],[Core PCE]]*1)/W277)-1)</f>
        <v>3.7128091917113526E-3</v>
      </c>
      <c r="Y278" s="8">
        <f>IF(Tabela1[[#This Row],[Core PCE]]="",#N/A,((Tabela1[[#This Row],[Core PCE]]*1)/W266)-1)</f>
        <v>4.7491883966907622E-2</v>
      </c>
      <c r="Z278" s="8">
        <f t="shared" si="9"/>
        <v>4.7360015957199408E-2</v>
      </c>
      <c r="AA278" s="8">
        <f t="shared" si="8"/>
        <v>4.6617778373648999E-2</v>
      </c>
      <c r="AB278" s="7"/>
      <c r="AC278" s="7"/>
      <c r="AD278" s="8"/>
      <c r="AE278" s="71"/>
      <c r="AF278" s="7"/>
      <c r="AG278" s="5"/>
    </row>
    <row r="279" spans="1:33" ht="12.75">
      <c r="A279" s="6">
        <v>25569</v>
      </c>
      <c r="B279" s="7">
        <v>37.9</v>
      </c>
      <c r="C279" s="8">
        <f>IF(Tabela1[[#This Row],[Consumer Price Index (CPI)]]="",#N/A,((Tabela1[[#This Row],[Consumer Price Index (CPI)]]*1)/B278)-1)</f>
        <v>5.3050397877982824E-3</v>
      </c>
      <c r="D279" s="8">
        <f>IF(Tabela1[[#This Row],[Consumer Price Index (CPI)]]="",#N/A,((Tabela1[[#This Row],[Consumer Price Index (CPI)]]*1)/B267)-1)</f>
        <v>6.1624649859943759E-2</v>
      </c>
      <c r="E279" s="25">
        <v>39.6</v>
      </c>
      <c r="F279" s="8">
        <f>IF(Tabela1[[#This Row],[Core Consumer Price Index]]="",#N/A,((Tabela1[[#This Row],[Core Consumer Price Index]]*1)/E278)-1)</f>
        <v>5.0761421319798217E-3</v>
      </c>
      <c r="G279" s="8">
        <f>IF(Tabela1[[#This Row],[Core Consumer Price Index]]="",#N/A,((Tabela1[[#This Row],[Core Consumer Price Index]]*1)/E267)-1)</f>
        <v>6.1662198391420953E-2</v>
      </c>
      <c r="H279" s="8">
        <f t="shared" si="10"/>
        <v>5.0942910821357934E-2</v>
      </c>
      <c r="I279" s="8">
        <f t="shared" si="11"/>
        <v>5.6479759462565227E-2</v>
      </c>
      <c r="J279" s="25">
        <v>33.799999999999997</v>
      </c>
      <c r="K279" s="8">
        <f>IF(Tabela1[[#This Row],[Services CPI]]="",#N/A,((Tabela1[[#This Row],[Services CPI]]*1)/J278)-1)</f>
        <v>8.9552238805969964E-3</v>
      </c>
      <c r="L279" s="8">
        <f>IF(Tabela1[[#This Row],[Services CPI]]="",#N/A,((Tabela1[[#This Row],[Services CPI]]*1)/J267)-1)</f>
        <v>7.6433121019108263E-2</v>
      </c>
      <c r="M279" s="7">
        <v>34.6</v>
      </c>
      <c r="N279" s="8">
        <f>IF(Tabela1[[#This Row],[Core-Services CPI]]="",#N/A,((Tabela1[[#This Row],[Core-Services CPI]]*1)/M278)-1)</f>
        <v>8.7463556851312685E-3</v>
      </c>
      <c r="O279" s="8">
        <f>IF(Tabela1[[#This Row],[Core-Services CPI]]="",#N/A,((Tabela1[[#This Row],[Core-Services CPI]]*1)/M267)-1)</f>
        <v>7.7881619937694602E-2</v>
      </c>
      <c r="P279" s="7">
        <v>43</v>
      </c>
      <c r="Q279" s="8">
        <f>IF(Tabela1[[#This Row],[Durable Goods CPI]]="",#N/A,((Tabela1[[#This Row],[Durable Goods CPI]]*1)/P278)-1)</f>
        <v>2.3310023310023631E-3</v>
      </c>
      <c r="R279" s="8">
        <f>IF(Tabela1[[#This Row],[Durable Goods CPI]]="",#N/A,((Tabela1[[#This Row],[Durable Goods CPI]]*1)/P267)-1)</f>
        <v>4.6228710462287159E-2</v>
      </c>
      <c r="S279" s="7">
        <v>6.4517069070000002</v>
      </c>
      <c r="T279" s="7">
        <v>19.376999999999999</v>
      </c>
      <c r="U279" s="8">
        <f>IF(Tabela1[[#This Row],[Personal Consumption Expenditures (PCE)]]="",#N/A,((Tabela1[[#This Row],[Personal Consumption Expenditures (PCE)]]*1)/T278)-1)</f>
        <v>3.5736482287134219E-3</v>
      </c>
      <c r="V279" s="8">
        <f>IF(Tabela1[[#This Row],[Personal Consumption Expenditures (PCE)]]="",#N/A,((Tabela1[[#This Row],[Personal Consumption Expenditures (PCE)]]*1)/T267)-1)</f>
        <v>4.8765966659449989E-2</v>
      </c>
      <c r="W279" s="7">
        <v>20.071000000000002</v>
      </c>
      <c r="X279" s="8">
        <f>IF(Tabela1[[#This Row],[Core PCE]]="",#N/A,((Tabela1[[#This Row],[Core PCE]]*1)/W278)-1)</f>
        <v>3.2991752061986013E-3</v>
      </c>
      <c r="Y279" s="8">
        <f>IF(Tabela1[[#This Row],[Core PCE]]="",#N/A,((Tabela1[[#This Row],[Core PCE]]*1)/W267)-1)</f>
        <v>4.7000521648409066E-2</v>
      </c>
      <c r="Z279" s="8">
        <f t="shared" si="9"/>
        <v>4.3358942376328535E-2</v>
      </c>
      <c r="AA279" s="8">
        <f t="shared" si="8"/>
        <v>4.3904284324547405E-2</v>
      </c>
      <c r="AB279" s="7"/>
      <c r="AC279" s="7"/>
      <c r="AD279" s="8"/>
      <c r="AE279" s="71"/>
      <c r="AF279" s="7"/>
      <c r="AG279" s="5"/>
    </row>
    <row r="280" spans="1:33" ht="12.75">
      <c r="A280" s="6">
        <v>25600</v>
      </c>
      <c r="B280" s="7">
        <v>38.1</v>
      </c>
      <c r="C280" s="8">
        <f>IF(Tabela1[[#This Row],[Consumer Price Index (CPI)]]="",#N/A,((Tabela1[[#This Row],[Consumer Price Index (CPI)]]*1)/B279)-1)</f>
        <v>5.2770448548813409E-3</v>
      </c>
      <c r="D280" s="8">
        <f>IF(Tabela1[[#This Row],[Consumer Price Index (CPI)]]="",#N/A,((Tabela1[[#This Row],[Consumer Price Index (CPI)]]*1)/B268)-1)</f>
        <v>6.4245810055866048E-2</v>
      </c>
      <c r="E280" s="25">
        <v>39.799999999999997</v>
      </c>
      <c r="F280" s="8">
        <f>IF(Tabela1[[#This Row],[Core Consumer Price Index]]="",#N/A,((Tabela1[[#This Row],[Core Consumer Price Index]]*1)/E279)-1)</f>
        <v>5.050505050504972E-3</v>
      </c>
      <c r="G280" s="8">
        <f>IF(Tabela1[[#This Row],[Core Consumer Price Index]]="",#N/A,((Tabela1[[#This Row],[Core Consumer Price Index]]*1)/E268)-1)</f>
        <v>5.8510638297872175E-2</v>
      </c>
      <c r="H280" s="8">
        <f t="shared" si="10"/>
        <v>6.0914751995245098E-2</v>
      </c>
      <c r="I280" s="8">
        <f t="shared" si="11"/>
        <v>5.6191159173964778E-2</v>
      </c>
      <c r="J280" s="25">
        <v>34</v>
      </c>
      <c r="K280" s="8">
        <f>IF(Tabela1[[#This Row],[Services CPI]]="",#N/A,((Tabela1[[#This Row],[Services CPI]]*1)/J279)-1)</f>
        <v>5.9171597633136397E-3</v>
      </c>
      <c r="L280" s="8">
        <f>IF(Tabela1[[#This Row],[Services CPI]]="",#N/A,((Tabela1[[#This Row],[Services CPI]]*1)/J268)-1)</f>
        <v>7.9365079365079305E-2</v>
      </c>
      <c r="M280" s="7">
        <v>34.9</v>
      </c>
      <c r="N280" s="8">
        <f>IF(Tabela1[[#This Row],[Core-Services CPI]]="",#N/A,((Tabela1[[#This Row],[Core-Services CPI]]*1)/M279)-1)</f>
        <v>8.6705202312138407E-3</v>
      </c>
      <c r="O280" s="8">
        <f>IF(Tabela1[[#This Row],[Core-Services CPI]]="",#N/A,((Tabela1[[#This Row],[Core-Services CPI]]*1)/M268)-1)</f>
        <v>8.0495356037151744E-2</v>
      </c>
      <c r="P280" s="7">
        <v>43.2</v>
      </c>
      <c r="Q280" s="8">
        <f>IF(Tabela1[[#This Row],[Durable Goods CPI]]="",#N/A,((Tabela1[[#This Row],[Durable Goods CPI]]*1)/P279)-1)</f>
        <v>4.6511627906977715E-3</v>
      </c>
      <c r="R280" s="8">
        <f>IF(Tabela1[[#This Row],[Durable Goods CPI]]="",#N/A,((Tabela1[[#This Row],[Durable Goods CPI]]*1)/P268)-1)</f>
        <v>3.8461538461538547E-2</v>
      </c>
      <c r="S280" s="7">
        <v>6.4251168620000003</v>
      </c>
      <c r="T280" s="7">
        <v>19.454000000000001</v>
      </c>
      <c r="U280" s="8">
        <f>IF(Tabela1[[#This Row],[Personal Consumption Expenditures (PCE)]]="",#N/A,((Tabela1[[#This Row],[Personal Consumption Expenditures (PCE)]]*1)/T279)-1)</f>
        <v>3.9737833513959764E-3</v>
      </c>
      <c r="V280" s="8">
        <f>IF(Tabela1[[#This Row],[Personal Consumption Expenditures (PCE)]]="",#N/A,((Tabela1[[#This Row],[Personal Consumption Expenditures (PCE)]]*1)/T268)-1)</f>
        <v>5.0261836635534296E-2</v>
      </c>
      <c r="W280" s="7">
        <v>20.148</v>
      </c>
      <c r="X280" s="8">
        <f>IF(Tabela1[[#This Row],[Core PCE]]="",#N/A,((Tabela1[[#This Row],[Core PCE]]*1)/W279)-1)</f>
        <v>3.83638084798954E-3</v>
      </c>
      <c r="Y280" s="8">
        <f>IF(Tabela1[[#This Row],[Core PCE]]="",#N/A,((Tabela1[[#This Row],[Core PCE]]*1)/W268)-1)</f>
        <v>4.7411104179662988E-2</v>
      </c>
      <c r="Z280" s="8">
        <f t="shared" si="9"/>
        <v>4.3393460983597976E-2</v>
      </c>
      <c r="AA280" s="8">
        <f t="shared" si="8"/>
        <v>4.597509042875636E-2</v>
      </c>
      <c r="AB280" s="7"/>
      <c r="AC280" s="7"/>
      <c r="AD280" s="8"/>
      <c r="AE280" s="71"/>
      <c r="AF280" s="7"/>
      <c r="AG280" s="5"/>
    </row>
    <row r="281" spans="1:33" ht="12.75">
      <c r="A281" s="6">
        <v>25628</v>
      </c>
      <c r="B281" s="7">
        <v>38.299999999999997</v>
      </c>
      <c r="C281" s="8">
        <f>IF(Tabela1[[#This Row],[Consumer Price Index (CPI)]]="",#N/A,((Tabela1[[#This Row],[Consumer Price Index (CPI)]]*1)/B280)-1)</f>
        <v>5.249343832020914E-3</v>
      </c>
      <c r="D281" s="8">
        <f>IF(Tabela1[[#This Row],[Consumer Price Index (CPI)]]="",#N/A,((Tabela1[[#This Row],[Consumer Price Index (CPI)]]*1)/B269)-1)</f>
        <v>6.0941828254847508E-2</v>
      </c>
      <c r="E281" s="25">
        <v>40.1</v>
      </c>
      <c r="F281" s="8">
        <f>IF(Tabela1[[#This Row],[Core Consumer Price Index]]="",#N/A,((Tabela1[[#This Row],[Core Consumer Price Index]]*1)/E280)-1)</f>
        <v>7.5376884422111434E-3</v>
      </c>
      <c r="G281" s="8">
        <f>IF(Tabela1[[#This Row],[Core Consumer Price Index]]="",#N/A,((Tabela1[[#This Row],[Core Consumer Price Index]]*1)/E269)-1)</f>
        <v>6.0846560846560926E-2</v>
      </c>
      <c r="H281" s="8">
        <f t="shared" si="10"/>
        <v>7.0657342498783748E-2</v>
      </c>
      <c r="I281" s="8">
        <f t="shared" si="11"/>
        <v>6.0930618745725695E-2</v>
      </c>
      <c r="J281" s="25">
        <v>34.4</v>
      </c>
      <c r="K281" s="8">
        <f>IF(Tabela1[[#This Row],[Services CPI]]="",#N/A,((Tabela1[[#This Row],[Services CPI]]*1)/J280)-1)</f>
        <v>1.1764705882352899E-2</v>
      </c>
      <c r="L281" s="8">
        <f>IF(Tabela1[[#This Row],[Services CPI]]="",#N/A,((Tabela1[[#This Row],[Services CPI]]*1)/J269)-1)</f>
        <v>8.1761006289308158E-2</v>
      </c>
      <c r="M281" s="7">
        <v>35.299999999999997</v>
      </c>
      <c r="N281" s="8">
        <f>IF(Tabela1[[#This Row],[Core-Services CPI]]="",#N/A,((Tabela1[[#This Row],[Core-Services CPI]]*1)/M280)-1)</f>
        <v>1.1461318051575908E-2</v>
      </c>
      <c r="O281" s="8">
        <f>IF(Tabela1[[#This Row],[Core-Services CPI]]="",#N/A,((Tabela1[[#This Row],[Core-Services CPI]]*1)/M269)-1)</f>
        <v>8.2822085889570518E-2</v>
      </c>
      <c r="P281" s="7">
        <v>43.3</v>
      </c>
      <c r="Q281" s="8">
        <f>IF(Tabela1[[#This Row],[Durable Goods CPI]]="",#N/A,((Tabela1[[#This Row],[Durable Goods CPI]]*1)/P280)-1)</f>
        <v>2.3148148148146586E-3</v>
      </c>
      <c r="R281" s="8">
        <f>IF(Tabela1[[#This Row],[Durable Goods CPI]]="",#N/A,((Tabela1[[#This Row],[Durable Goods CPI]]*1)/P269)-1)</f>
        <v>2.8503562945368044E-2</v>
      </c>
      <c r="S281" s="7">
        <v>6.6282790609999997</v>
      </c>
      <c r="T281" s="7">
        <v>19.501999999999999</v>
      </c>
      <c r="U281" s="8">
        <f>IF(Tabela1[[#This Row],[Personal Consumption Expenditures (PCE)]]="",#N/A,((Tabela1[[#This Row],[Personal Consumption Expenditures (PCE)]]*1)/T280)-1)</f>
        <v>2.4673588979129413E-3</v>
      </c>
      <c r="V281" s="8">
        <f>IF(Tabela1[[#This Row],[Personal Consumption Expenditures (PCE)]]="",#N/A,((Tabela1[[#This Row],[Personal Consumption Expenditures (PCE)]]*1)/T269)-1)</f>
        <v>4.7931219774314915E-2</v>
      </c>
      <c r="W281" s="7">
        <v>20.222999999999999</v>
      </c>
      <c r="X281" s="8">
        <f>IF(Tabela1[[#This Row],[Core PCE]]="",#N/A,((Tabela1[[#This Row],[Core PCE]]*1)/W280)-1)</f>
        <v>3.7224538415723263E-3</v>
      </c>
      <c r="Y281" s="8">
        <f>IF(Tabela1[[#This Row],[Core PCE]]="",#N/A,((Tabela1[[#This Row],[Core PCE]]*1)/W269)-1)</f>
        <v>4.6414157094070152E-2</v>
      </c>
      <c r="Z281" s="8">
        <f t="shared" si="9"/>
        <v>4.343203958304187E-2</v>
      </c>
      <c r="AA281" s="8">
        <f t="shared" ref="AA281:AA344" si="12">SUM(X276:X281)*2</f>
        <v>4.5396027770120639E-2</v>
      </c>
      <c r="AB281" s="7"/>
      <c r="AC281" s="7"/>
      <c r="AD281" s="8"/>
      <c r="AE281" s="71"/>
      <c r="AF281" s="7"/>
      <c r="AG281" s="5"/>
    </row>
    <row r="282" spans="1:33" ht="12.75">
      <c r="A282" s="6">
        <v>25659</v>
      </c>
      <c r="B282" s="7">
        <v>38.5</v>
      </c>
      <c r="C282" s="8">
        <f>IF(Tabela1[[#This Row],[Consumer Price Index (CPI)]]="",#N/A,((Tabela1[[#This Row],[Consumer Price Index (CPI)]]*1)/B281)-1)</f>
        <v>5.2219321148825326E-3</v>
      </c>
      <c r="D282" s="8">
        <f>IF(Tabela1[[#This Row],[Consumer Price Index (CPI)]]="",#N/A,((Tabela1[[#This Row],[Consumer Price Index (CPI)]]*1)/B270)-1)</f>
        <v>6.0606060606060774E-2</v>
      </c>
      <c r="E282" s="25">
        <v>40.4</v>
      </c>
      <c r="F282" s="8">
        <f>IF(Tabela1[[#This Row],[Core Consumer Price Index]]="",#N/A,((Tabela1[[#This Row],[Core Consumer Price Index]]*1)/E281)-1)</f>
        <v>7.4812967581046053E-3</v>
      </c>
      <c r="G282" s="8">
        <f>IF(Tabela1[[#This Row],[Core Consumer Price Index]]="",#N/A,((Tabela1[[#This Row],[Core Consumer Price Index]]*1)/E270)-1)</f>
        <v>6.0367454068241289E-2</v>
      </c>
      <c r="H282" s="8">
        <f t="shared" si="10"/>
        <v>8.0277961003282883E-2</v>
      </c>
      <c r="I282" s="8">
        <f t="shared" si="11"/>
        <v>6.5610435912320408E-2</v>
      </c>
      <c r="J282" s="25">
        <v>34.6</v>
      </c>
      <c r="K282" s="8">
        <f>IF(Tabela1[[#This Row],[Services CPI]]="",#N/A,((Tabela1[[#This Row],[Services CPI]]*1)/J281)-1)</f>
        <v>5.8139534883721034E-3</v>
      </c>
      <c r="L282" s="8">
        <f>IF(Tabela1[[#This Row],[Services CPI]]="",#N/A,((Tabela1[[#This Row],[Services CPI]]*1)/J270)-1)</f>
        <v>8.1250000000000044E-2</v>
      </c>
      <c r="M282" s="7">
        <v>35.5</v>
      </c>
      <c r="N282" s="8">
        <f>IF(Tabela1[[#This Row],[Core-Services CPI]]="",#N/A,((Tabela1[[#This Row],[Core-Services CPI]]*1)/M281)-1)</f>
        <v>5.6657223796034994E-3</v>
      </c>
      <c r="O282" s="8">
        <f>IF(Tabela1[[#This Row],[Core-Services CPI]]="",#N/A,((Tabela1[[#This Row],[Core-Services CPI]]*1)/M270)-1)</f>
        <v>8.2317073170731891E-2</v>
      </c>
      <c r="P282" s="7">
        <v>43.5</v>
      </c>
      <c r="Q282" s="8">
        <f>IF(Tabela1[[#This Row],[Durable Goods CPI]]="",#N/A,((Tabela1[[#This Row],[Durable Goods CPI]]*1)/P281)-1)</f>
        <v>4.6189376443419583E-3</v>
      </c>
      <c r="R282" s="8">
        <f>IF(Tabela1[[#This Row],[Durable Goods CPI]]="",#N/A,((Tabela1[[#This Row],[Durable Goods CPI]]*1)/P270)-1)</f>
        <v>3.0805687203791399E-2</v>
      </c>
      <c r="S282" s="7">
        <v>7.0914474900000002</v>
      </c>
      <c r="T282" s="7">
        <v>19.600999999999999</v>
      </c>
      <c r="U282" s="8">
        <f>IF(Tabela1[[#This Row],[Personal Consumption Expenditures (PCE)]]="",#N/A,((Tabela1[[#This Row],[Personal Consumption Expenditures (PCE)]]*1)/T281)-1)</f>
        <v>5.0764024202645253E-3</v>
      </c>
      <c r="V282" s="8">
        <f>IF(Tabela1[[#This Row],[Personal Consumption Expenditures (PCE)]]="",#N/A,((Tabela1[[#This Row],[Personal Consumption Expenditures (PCE)]]*1)/T270)-1)</f>
        <v>4.8630430130537139E-2</v>
      </c>
      <c r="W282" s="7">
        <v>20.303000000000001</v>
      </c>
      <c r="X282" s="8">
        <f>IF(Tabela1[[#This Row],[Core PCE]]="",#N/A,((Tabela1[[#This Row],[Core PCE]]*1)/W281)-1)</f>
        <v>3.9558918063591353E-3</v>
      </c>
      <c r="Y282" s="8">
        <f>IF(Tabela1[[#This Row],[Core PCE]]="",#N/A,((Tabela1[[#This Row],[Core PCE]]*1)/W270)-1)</f>
        <v>4.6546391752577465E-2</v>
      </c>
      <c r="Z282" s="8">
        <f t="shared" si="9"/>
        <v>4.6058905983684006E-2</v>
      </c>
      <c r="AA282" s="8">
        <f t="shared" si="12"/>
        <v>4.4708924180006271E-2</v>
      </c>
      <c r="AB282" s="7"/>
      <c r="AC282" s="7"/>
      <c r="AD282" s="8"/>
      <c r="AE282" s="71"/>
      <c r="AF282" s="7"/>
      <c r="AG282" s="5"/>
    </row>
    <row r="283" spans="1:33" ht="12.75">
      <c r="A283" s="6">
        <v>25689</v>
      </c>
      <c r="B283" s="7">
        <v>38.6</v>
      </c>
      <c r="C283" s="8">
        <f>IF(Tabela1[[#This Row],[Consumer Price Index (CPI)]]="",#N/A,((Tabela1[[#This Row],[Consumer Price Index (CPI)]]*1)/B282)-1)</f>
        <v>2.5974025974027093E-3</v>
      </c>
      <c r="D283" s="8">
        <f>IF(Tabela1[[#This Row],[Consumer Price Index (CPI)]]="",#N/A,((Tabela1[[#This Row],[Consumer Price Index (CPI)]]*1)/B271)-1)</f>
        <v>6.0439560439560447E-2</v>
      </c>
      <c r="E283" s="25">
        <v>40.5</v>
      </c>
      <c r="F283" s="8">
        <f>IF(Tabela1[[#This Row],[Core Consumer Price Index]]="",#N/A,((Tabela1[[#This Row],[Core Consumer Price Index]]*1)/E282)-1)</f>
        <v>2.4752475247524774E-3</v>
      </c>
      <c r="G283" s="8">
        <f>IF(Tabela1[[#This Row],[Core Consumer Price Index]]="",#N/A,((Tabela1[[#This Row],[Core Consumer Price Index]]*1)/E271)-1)</f>
        <v>6.2992125984251857E-2</v>
      </c>
      <c r="H283" s="8">
        <f t="shared" si="10"/>
        <v>6.9976930900272905E-2</v>
      </c>
      <c r="I283" s="8">
        <f t="shared" si="11"/>
        <v>6.5445841447759001E-2</v>
      </c>
      <c r="J283" s="25">
        <v>34.799999999999997</v>
      </c>
      <c r="K283" s="8">
        <f>IF(Tabela1[[#This Row],[Services CPI]]="",#N/A,((Tabela1[[#This Row],[Services CPI]]*1)/J282)-1)</f>
        <v>5.7803468208090791E-3</v>
      </c>
      <c r="L283" s="8">
        <f>IF(Tabela1[[#This Row],[Services CPI]]="",#N/A,((Tabela1[[#This Row],[Services CPI]]*1)/J271)-1)</f>
        <v>8.0745341614906652E-2</v>
      </c>
      <c r="M283" s="7">
        <v>35.700000000000003</v>
      </c>
      <c r="N283" s="8">
        <f>IF(Tabela1[[#This Row],[Core-Services CPI]]="",#N/A,((Tabela1[[#This Row],[Core-Services CPI]]*1)/M282)-1)</f>
        <v>5.6338028169014009E-3</v>
      </c>
      <c r="O283" s="8">
        <f>IF(Tabela1[[#This Row],[Core-Services CPI]]="",#N/A,((Tabela1[[#This Row],[Core-Services CPI]]*1)/M271)-1)</f>
        <v>8.1818181818182012E-2</v>
      </c>
      <c r="P283" s="7">
        <v>43.8</v>
      </c>
      <c r="Q283" s="8">
        <f>IF(Tabela1[[#This Row],[Durable Goods CPI]]="",#N/A,((Tabela1[[#This Row],[Durable Goods CPI]]*1)/P282)-1)</f>
        <v>6.8965517241379448E-3</v>
      </c>
      <c r="R283" s="8">
        <f>IF(Tabela1[[#This Row],[Durable Goods CPI]]="",#N/A,((Tabela1[[#This Row],[Durable Goods CPI]]*1)/P271)-1)</f>
        <v>4.2857142857142705E-2</v>
      </c>
      <c r="S283" s="7">
        <v>7.0305436959999996</v>
      </c>
      <c r="T283" s="7">
        <v>19.663</v>
      </c>
      <c r="U283" s="8">
        <f>IF(Tabela1[[#This Row],[Personal Consumption Expenditures (PCE)]]="",#N/A,((Tabela1[[#This Row],[Personal Consumption Expenditures (PCE)]]*1)/T282)-1)</f>
        <v>3.1631039232693503E-3</v>
      </c>
      <c r="V283" s="8">
        <f>IF(Tabela1[[#This Row],[Personal Consumption Expenditures (PCE)]]="",#N/A,((Tabela1[[#This Row],[Personal Consumption Expenditures (PCE)]]*1)/T271)-1)</f>
        <v>4.7743379336068648E-2</v>
      </c>
      <c r="W283" s="7">
        <v>20.375</v>
      </c>
      <c r="X283" s="8">
        <f>IF(Tabela1[[#This Row],[Core PCE]]="",#N/A,((Tabela1[[#This Row],[Core PCE]]*1)/W282)-1)</f>
        <v>3.5462739496625595E-3</v>
      </c>
      <c r="Y283" s="8">
        <f>IF(Tabela1[[#This Row],[Core PCE]]="",#N/A,((Tabela1[[#This Row],[Core PCE]]*1)/W271)-1)</f>
        <v>4.6051956052982845E-2</v>
      </c>
      <c r="Z283" s="8">
        <f t="shared" si="9"/>
        <v>4.4898478390376084E-2</v>
      </c>
      <c r="AA283" s="8">
        <f t="shared" si="12"/>
        <v>4.414596968698703E-2</v>
      </c>
      <c r="AB283" s="7"/>
      <c r="AC283" s="7"/>
      <c r="AD283" s="8"/>
      <c r="AE283" s="71"/>
      <c r="AF283" s="7"/>
      <c r="AG283" s="5"/>
    </row>
    <row r="284" spans="1:33" ht="12.75">
      <c r="A284" s="6">
        <v>25720</v>
      </c>
      <c r="B284" s="7">
        <v>38.799999999999997</v>
      </c>
      <c r="C284" s="8">
        <f>IF(Tabela1[[#This Row],[Consumer Price Index (CPI)]]="",#N/A,((Tabela1[[#This Row],[Consumer Price Index (CPI)]]*1)/B283)-1)</f>
        <v>5.1813471502588637E-3</v>
      </c>
      <c r="D284" s="8">
        <f>IF(Tabela1[[#This Row],[Consumer Price Index (CPI)]]="",#N/A,((Tabela1[[#This Row],[Consumer Price Index (CPI)]]*1)/B272)-1)</f>
        <v>6.0109289617486183E-2</v>
      </c>
      <c r="E284" s="25">
        <v>40.799999999999997</v>
      </c>
      <c r="F284" s="8">
        <f>IF(Tabela1[[#This Row],[Core Consumer Price Index]]="",#N/A,((Tabela1[[#This Row],[Core Consumer Price Index]]*1)/E283)-1)</f>
        <v>7.4074074074073071E-3</v>
      </c>
      <c r="G284" s="8">
        <f>IF(Tabela1[[#This Row],[Core Consumer Price Index]]="",#N/A,((Tabela1[[#This Row],[Core Consumer Price Index]]*1)/E272)-1)</f>
        <v>6.5274151436031325E-2</v>
      </c>
      <c r="H284" s="8">
        <f t="shared" si="10"/>
        <v>6.9455806761057559E-2</v>
      </c>
      <c r="I284" s="8">
        <f t="shared" si="11"/>
        <v>7.0056574629920654E-2</v>
      </c>
      <c r="J284" s="25">
        <v>35</v>
      </c>
      <c r="K284" s="8">
        <f>IF(Tabela1[[#This Row],[Services CPI]]="",#N/A,((Tabela1[[#This Row],[Services CPI]]*1)/J283)-1)</f>
        <v>5.7471264367816577E-3</v>
      </c>
      <c r="L284" s="8">
        <f>IF(Tabela1[[#This Row],[Services CPI]]="",#N/A,((Tabela1[[#This Row],[Services CPI]]*1)/J272)-1)</f>
        <v>8.3591331269349922E-2</v>
      </c>
      <c r="M284" s="7">
        <v>36</v>
      </c>
      <c r="N284" s="8">
        <f>IF(Tabela1[[#This Row],[Core-Services CPI]]="",#N/A,((Tabela1[[#This Row],[Core-Services CPI]]*1)/M283)-1)</f>
        <v>8.4033613445377853E-3</v>
      </c>
      <c r="O284" s="8">
        <f>IF(Tabela1[[#This Row],[Core-Services CPI]]="",#N/A,((Tabela1[[#This Row],[Core-Services CPI]]*1)/M272)-1)</f>
        <v>8.7613293051359564E-2</v>
      </c>
      <c r="P284" s="7">
        <v>44</v>
      </c>
      <c r="Q284" s="8">
        <f>IF(Tabela1[[#This Row],[Durable Goods CPI]]="",#N/A,((Tabela1[[#This Row],[Durable Goods CPI]]*1)/P283)-1)</f>
        <v>4.5662100456622667E-3</v>
      </c>
      <c r="R284" s="8">
        <f>IF(Tabela1[[#This Row],[Durable Goods CPI]]="",#N/A,((Tabela1[[#This Row],[Durable Goods CPI]]*1)/P272)-1)</f>
        <v>4.5130641330166199E-2</v>
      </c>
      <c r="S284" s="7">
        <v>6.8554231249999997</v>
      </c>
      <c r="T284" s="7">
        <v>19.713999999999999</v>
      </c>
      <c r="U284" s="8">
        <f>IF(Tabela1[[#This Row],[Personal Consumption Expenditures (PCE)]]="",#N/A,((Tabela1[[#This Row],[Personal Consumption Expenditures (PCE)]]*1)/T283)-1)</f>
        <v>2.593703910898526E-3</v>
      </c>
      <c r="V284" s="8">
        <f>IF(Tabela1[[#This Row],[Personal Consumption Expenditures (PCE)]]="",#N/A,((Tabela1[[#This Row],[Personal Consumption Expenditures (PCE)]]*1)/T272)-1)</f>
        <v>4.539187612684259E-2</v>
      </c>
      <c r="W284" s="7">
        <v>20.448</v>
      </c>
      <c r="X284" s="8">
        <f>IF(Tabela1[[#This Row],[Core PCE]]="",#N/A,((Tabela1[[#This Row],[Core PCE]]*1)/W283)-1)</f>
        <v>3.5828220858895587E-3</v>
      </c>
      <c r="Y284" s="8">
        <f>IF(Tabela1[[#This Row],[Core PCE]]="",#N/A,((Tabela1[[#This Row],[Core PCE]]*1)/W272)-1)</f>
        <v>4.6201074443591672E-2</v>
      </c>
      <c r="Z284" s="8">
        <f t="shared" si="9"/>
        <v>4.4339951367645014E-2</v>
      </c>
      <c r="AA284" s="8">
        <f t="shared" si="12"/>
        <v>4.3885995475343442E-2</v>
      </c>
      <c r="AB284" s="7"/>
      <c r="AC284" s="7"/>
      <c r="AD284" s="8"/>
      <c r="AE284" s="71"/>
      <c r="AF284" s="7"/>
      <c r="AG284" s="5"/>
    </row>
    <row r="285" spans="1:33" ht="12.75">
      <c r="A285" s="6">
        <v>25750</v>
      </c>
      <c r="B285" s="7">
        <v>38.9</v>
      </c>
      <c r="C285" s="8">
        <f>IF(Tabela1[[#This Row],[Consumer Price Index (CPI)]]="",#N/A,((Tabela1[[#This Row],[Consumer Price Index (CPI)]]*1)/B284)-1)</f>
        <v>2.5773195876288568E-3</v>
      </c>
      <c r="D285" s="8">
        <f>IF(Tabela1[[#This Row],[Consumer Price Index (CPI)]]="",#N/A,((Tabela1[[#This Row],[Consumer Price Index (CPI)]]*1)/B273)-1)</f>
        <v>5.7065217391304435E-2</v>
      </c>
      <c r="E285" s="25">
        <v>40.9</v>
      </c>
      <c r="F285" s="8">
        <f>IF(Tabela1[[#This Row],[Core Consumer Price Index]]="",#N/A,((Tabela1[[#This Row],[Core Consumer Price Index]]*1)/E284)-1)</f>
        <v>2.450980392156854E-3</v>
      </c>
      <c r="G285" s="8">
        <f>IF(Tabela1[[#This Row],[Core Consumer Price Index]]="",#N/A,((Tabela1[[#This Row],[Core Consumer Price Index]]*1)/E273)-1)</f>
        <v>6.2337662337662358E-2</v>
      </c>
      <c r="H285" s="8">
        <f t="shared" si="10"/>
        <v>4.9334541297266554E-2</v>
      </c>
      <c r="I285" s="8">
        <f t="shared" si="11"/>
        <v>6.4806251150274718E-2</v>
      </c>
      <c r="J285" s="25">
        <v>35.200000000000003</v>
      </c>
      <c r="K285" s="8">
        <f>IF(Tabela1[[#This Row],[Services CPI]]="",#N/A,((Tabela1[[#This Row],[Services CPI]]*1)/J284)-1)</f>
        <v>5.7142857142857828E-3</v>
      </c>
      <c r="L285" s="8">
        <f>IF(Tabela1[[#This Row],[Services CPI]]="",#N/A,((Tabela1[[#This Row],[Services CPI]]*1)/J273)-1)</f>
        <v>8.307692307692327E-2</v>
      </c>
      <c r="M285" s="7">
        <v>36.200000000000003</v>
      </c>
      <c r="N285" s="8">
        <f>IF(Tabela1[[#This Row],[Core-Services CPI]]="",#N/A,((Tabela1[[#This Row],[Core-Services CPI]]*1)/M284)-1)</f>
        <v>5.5555555555555358E-3</v>
      </c>
      <c r="O285" s="8">
        <f>IF(Tabela1[[#This Row],[Core-Services CPI]]="",#N/A,((Tabela1[[#This Row],[Core-Services CPI]]*1)/M273)-1)</f>
        <v>8.7087087087087234E-2</v>
      </c>
      <c r="P285" s="7">
        <v>44.1</v>
      </c>
      <c r="Q285" s="8">
        <f>IF(Tabela1[[#This Row],[Durable Goods CPI]]="",#N/A,((Tabela1[[#This Row],[Durable Goods CPI]]*1)/P284)-1)</f>
        <v>2.2727272727272041E-3</v>
      </c>
      <c r="R285" s="8">
        <f>IF(Tabela1[[#This Row],[Durable Goods CPI]]="",#N/A,((Tabela1[[#This Row],[Durable Goods CPI]]*1)/P273)-1)</f>
        <v>4.502369668246442E-2</v>
      </c>
      <c r="S285" s="7">
        <v>6.9858569800000003</v>
      </c>
      <c r="T285" s="7">
        <v>19.786000000000001</v>
      </c>
      <c r="U285" s="8">
        <f>IF(Tabela1[[#This Row],[Personal Consumption Expenditures (PCE)]]="",#N/A,((Tabela1[[#This Row],[Personal Consumption Expenditures (PCE)]]*1)/T284)-1)</f>
        <v>3.6522268438674566E-3</v>
      </c>
      <c r="V285" s="8">
        <f>IF(Tabela1[[#This Row],[Personal Consumption Expenditures (PCE)]]="",#N/A,((Tabela1[[#This Row],[Personal Consumption Expenditures (PCE)]]*1)/T273)-1)</f>
        <v>4.4612216884008404E-2</v>
      </c>
      <c r="W285" s="7">
        <v>20.526</v>
      </c>
      <c r="X285" s="8">
        <f>IF(Tabela1[[#This Row],[Core PCE]]="",#N/A,((Tabela1[[#This Row],[Core PCE]]*1)/W284)-1)</f>
        <v>3.8145539906102588E-3</v>
      </c>
      <c r="Y285" s="8">
        <f>IF(Tabela1[[#This Row],[Core PCE]]="",#N/A,((Tabela1[[#This Row],[Core PCE]]*1)/W273)-1)</f>
        <v>4.5324913424322766E-2</v>
      </c>
      <c r="Z285" s="8">
        <f t="shared" si="9"/>
        <v>4.3774600104649508E-2</v>
      </c>
      <c r="AA285" s="8">
        <f t="shared" si="12"/>
        <v>4.4916753044166757E-2</v>
      </c>
      <c r="AB285" s="7"/>
      <c r="AC285" s="7"/>
      <c r="AD285" s="8"/>
      <c r="AE285" s="71"/>
      <c r="AF285" s="7"/>
      <c r="AG285" s="5"/>
    </row>
    <row r="286" spans="1:33" ht="12.75">
      <c r="A286" s="6">
        <v>25781</v>
      </c>
      <c r="B286" s="7">
        <v>39</v>
      </c>
      <c r="C286" s="8">
        <f>IF(Tabela1[[#This Row],[Consumer Price Index (CPI)]]="",#N/A,((Tabela1[[#This Row],[Consumer Price Index (CPI)]]*1)/B285)-1)</f>
        <v>2.5706940874037354E-3</v>
      </c>
      <c r="D286" s="8">
        <f>IF(Tabela1[[#This Row],[Consumer Price Index (CPI)]]="",#N/A,((Tabela1[[#This Row],[Consumer Price Index (CPI)]]*1)/B274)-1)</f>
        <v>5.6910569105691033E-2</v>
      </c>
      <c r="E286" s="25">
        <v>41.1</v>
      </c>
      <c r="F286" s="8">
        <f>IF(Tabela1[[#This Row],[Core Consumer Price Index]]="",#N/A,((Tabela1[[#This Row],[Core Consumer Price Index]]*1)/E285)-1)</f>
        <v>4.8899755501223829E-3</v>
      </c>
      <c r="G286" s="8">
        <f>IF(Tabela1[[#This Row],[Core Consumer Price Index]]="",#N/A,((Tabela1[[#This Row],[Core Consumer Price Index]]*1)/E274)-1)</f>
        <v>6.201550387596888E-2</v>
      </c>
      <c r="H286" s="8">
        <f t="shared" si="10"/>
        <v>5.8993453398746176E-2</v>
      </c>
      <c r="I286" s="8">
        <f t="shared" si="11"/>
        <v>6.448519214950954E-2</v>
      </c>
      <c r="J286" s="25">
        <v>35.4</v>
      </c>
      <c r="K286" s="8">
        <f>IF(Tabela1[[#This Row],[Services CPI]]="",#N/A,((Tabela1[[#This Row],[Services CPI]]*1)/J285)-1)</f>
        <v>5.6818181818181213E-3</v>
      </c>
      <c r="L286" s="8">
        <f>IF(Tabela1[[#This Row],[Services CPI]]="",#N/A,((Tabela1[[#This Row],[Services CPI]]*1)/J274)-1)</f>
        <v>8.256880733944949E-2</v>
      </c>
      <c r="M286" s="7">
        <v>36.4</v>
      </c>
      <c r="N286" s="8">
        <f>IF(Tabela1[[#This Row],[Core-Services CPI]]="",#N/A,((Tabela1[[#This Row],[Core-Services CPI]]*1)/M285)-1)</f>
        <v>5.5248618784529135E-3</v>
      </c>
      <c r="O286" s="8">
        <f>IF(Tabela1[[#This Row],[Core-Services CPI]]="",#N/A,((Tabela1[[#This Row],[Core-Services CPI]]*1)/M274)-1)</f>
        <v>8.6567164179104372E-2</v>
      </c>
      <c r="P286" s="7">
        <v>44.3</v>
      </c>
      <c r="Q286" s="8">
        <f>IF(Tabela1[[#This Row],[Durable Goods CPI]]="",#N/A,((Tabela1[[#This Row],[Durable Goods CPI]]*1)/P285)-1)</f>
        <v>4.5351473922901064E-3</v>
      </c>
      <c r="R286" s="8">
        <f>IF(Tabela1[[#This Row],[Durable Goods CPI]]="",#N/A,((Tabela1[[#This Row],[Durable Goods CPI]]*1)/P274)-1)</f>
        <v>4.7281323877068626E-2</v>
      </c>
      <c r="S286" s="7">
        <v>7.1913081060000001</v>
      </c>
      <c r="T286" s="7">
        <v>19.838000000000001</v>
      </c>
      <c r="U286" s="8">
        <f>IF(Tabela1[[#This Row],[Personal Consumption Expenditures (PCE)]]="",#N/A,((Tabela1[[#This Row],[Personal Consumption Expenditures (PCE)]]*1)/T285)-1)</f>
        <v>2.6281208935610145E-3</v>
      </c>
      <c r="V286" s="8">
        <f>IF(Tabela1[[#This Row],[Personal Consumption Expenditures (PCE)]]="",#N/A,((Tabela1[[#This Row],[Personal Consumption Expenditures (PCE)]]*1)/T274)-1)</f>
        <v>4.4490075290896769E-2</v>
      </c>
      <c r="W286" s="7">
        <v>20.597000000000001</v>
      </c>
      <c r="X286" s="8">
        <f>IF(Tabela1[[#This Row],[Core PCE]]="",#N/A,((Tabela1[[#This Row],[Core PCE]]*1)/W285)-1)</f>
        <v>3.4590275747832244E-3</v>
      </c>
      <c r="Y286" s="8">
        <f>IF(Tabela1[[#This Row],[Core PCE]]="",#N/A,((Tabela1[[#This Row],[Core PCE]]*1)/W274)-1)</f>
        <v>4.6010867909197284E-2</v>
      </c>
      <c r="Z286" s="8">
        <f t="shared" si="9"/>
        <v>4.3425614605132168E-2</v>
      </c>
      <c r="AA286" s="8">
        <f t="shared" si="12"/>
        <v>4.4162046497754126E-2</v>
      </c>
      <c r="AB286" s="7"/>
      <c r="AC286" s="7"/>
      <c r="AD286" s="8"/>
      <c r="AE286" s="71"/>
      <c r="AF286" s="7"/>
      <c r="AG286" s="5"/>
    </row>
    <row r="287" spans="1:33" ht="12.75">
      <c r="A287" s="6">
        <v>25812</v>
      </c>
      <c r="B287" s="7">
        <v>39.200000000000003</v>
      </c>
      <c r="C287" s="8">
        <f>IF(Tabela1[[#This Row],[Consumer Price Index (CPI)]]="",#N/A,((Tabela1[[#This Row],[Consumer Price Index (CPI)]]*1)/B286)-1)</f>
        <v>5.12820512820511E-3</v>
      </c>
      <c r="D287" s="8">
        <f>IF(Tabela1[[#This Row],[Consumer Price Index (CPI)]]="",#N/A,((Tabela1[[#This Row],[Consumer Price Index (CPI)]]*1)/B275)-1)</f>
        <v>5.6603773584905648E-2</v>
      </c>
      <c r="E287" s="25">
        <v>41.3</v>
      </c>
      <c r="F287" s="8">
        <f>IF(Tabela1[[#This Row],[Core Consumer Price Index]]="",#N/A,((Tabela1[[#This Row],[Core Consumer Price Index]]*1)/E286)-1)</f>
        <v>4.8661800486617945E-3</v>
      </c>
      <c r="G287" s="8">
        <f>IF(Tabela1[[#This Row],[Core Consumer Price Index]]="",#N/A,((Tabela1[[#This Row],[Core Consumer Price Index]]*1)/E275)-1)</f>
        <v>6.1696658097686319E-2</v>
      </c>
      <c r="H287" s="8">
        <f t="shared" si="10"/>
        <v>4.8828543963764126E-2</v>
      </c>
      <c r="I287" s="8">
        <f t="shared" si="11"/>
        <v>5.9142175362410843E-2</v>
      </c>
      <c r="J287" s="25">
        <v>35.6</v>
      </c>
      <c r="K287" s="8">
        <f>IF(Tabela1[[#This Row],[Services CPI]]="",#N/A,((Tabela1[[#This Row],[Services CPI]]*1)/J286)-1)</f>
        <v>5.6497175141243527E-3</v>
      </c>
      <c r="L287" s="8">
        <f>IF(Tabela1[[#This Row],[Services CPI]]="",#N/A,((Tabela1[[#This Row],[Services CPI]]*1)/J275)-1)</f>
        <v>7.8787878787878851E-2</v>
      </c>
      <c r="M287" s="7">
        <v>36.6</v>
      </c>
      <c r="N287" s="8">
        <f>IF(Tabela1[[#This Row],[Core-Services CPI]]="",#N/A,((Tabela1[[#This Row],[Core-Services CPI]]*1)/M286)-1)</f>
        <v>5.494505494505475E-3</v>
      </c>
      <c r="O287" s="8">
        <f>IF(Tabela1[[#This Row],[Core-Services CPI]]="",#N/A,((Tabela1[[#This Row],[Core-Services CPI]]*1)/M275)-1)</f>
        <v>8.2840236686390734E-2</v>
      </c>
      <c r="P287" s="7">
        <v>44.5</v>
      </c>
      <c r="Q287" s="8">
        <f>IF(Tabela1[[#This Row],[Durable Goods CPI]]="",#N/A,((Tabela1[[#This Row],[Durable Goods CPI]]*1)/P286)-1)</f>
        <v>4.5146726862304032E-3</v>
      </c>
      <c r="R287" s="8">
        <f>IF(Tabela1[[#This Row],[Durable Goods CPI]]="",#N/A,((Tabela1[[#This Row],[Durable Goods CPI]]*1)/P275)-1)</f>
        <v>5.2009456264775489E-2</v>
      </c>
      <c r="S287" s="7">
        <v>7.0471403700000002</v>
      </c>
      <c r="T287" s="7">
        <v>19.927</v>
      </c>
      <c r="U287" s="8">
        <f>IF(Tabela1[[#This Row],[Personal Consumption Expenditures (PCE)]]="",#N/A,((Tabela1[[#This Row],[Personal Consumption Expenditures (PCE)]]*1)/T286)-1)</f>
        <v>4.4863393487246661E-3</v>
      </c>
      <c r="V287" s="8">
        <f>IF(Tabela1[[#This Row],[Personal Consumption Expenditures (PCE)]]="",#N/A,((Tabela1[[#This Row],[Personal Consumption Expenditures (PCE)]]*1)/T275)-1)</f>
        <v>4.4830117449664364E-2</v>
      </c>
      <c r="W287" s="7">
        <v>20.683</v>
      </c>
      <c r="X287" s="8">
        <f>IF(Tabela1[[#This Row],[Core PCE]]="",#N/A,((Tabela1[[#This Row],[Core PCE]]*1)/W286)-1)</f>
        <v>4.1753653444676075E-3</v>
      </c>
      <c r="Y287" s="8">
        <f>IF(Tabela1[[#This Row],[Core PCE]]="",#N/A,((Tabela1[[#This Row],[Core PCE]]*1)/W275)-1)</f>
        <v>4.6181082448153887E-2</v>
      </c>
      <c r="Z287" s="8">
        <f t="shared" si="9"/>
        <v>4.5795787639444363E-2</v>
      </c>
      <c r="AA287" s="8">
        <f t="shared" si="12"/>
        <v>4.5067869503544689E-2</v>
      </c>
      <c r="AB287" s="7"/>
      <c r="AC287" s="7"/>
      <c r="AD287" s="8"/>
      <c r="AE287" s="71"/>
      <c r="AF287" s="7"/>
      <c r="AG287" s="5"/>
    </row>
    <row r="288" spans="1:33" ht="12.75">
      <c r="A288" s="6">
        <v>25842</v>
      </c>
      <c r="B288" s="7">
        <v>39.4</v>
      </c>
      <c r="C288" s="8">
        <f>IF(Tabela1[[#This Row],[Consumer Price Index (CPI)]]="",#N/A,((Tabela1[[#This Row],[Consumer Price Index (CPI)]]*1)/B287)-1)</f>
        <v>5.1020408163264808E-3</v>
      </c>
      <c r="D288" s="8">
        <f>IF(Tabela1[[#This Row],[Consumer Price Index (CPI)]]="",#N/A,((Tabela1[[#This Row],[Consumer Price Index (CPI)]]*1)/B276)-1)</f>
        <v>5.6300268096514783E-2</v>
      </c>
      <c r="E288" s="25">
        <v>41.5</v>
      </c>
      <c r="F288" s="8">
        <f>IF(Tabela1[[#This Row],[Core Consumer Price Index]]="",#N/A,((Tabela1[[#This Row],[Core Consumer Price Index]]*1)/E287)-1)</f>
        <v>4.8426150121065881E-3</v>
      </c>
      <c r="G288" s="8">
        <f>IF(Tabela1[[#This Row],[Core Consumer Price Index]]="",#N/A,((Tabela1[[#This Row],[Core Consumer Price Index]]*1)/E276)-1)</f>
        <v>6.13810741687979E-2</v>
      </c>
      <c r="H288" s="8">
        <f t="shared" si="10"/>
        <v>5.8395082443563062E-2</v>
      </c>
      <c r="I288" s="8">
        <f t="shared" si="11"/>
        <v>5.3864811870414808E-2</v>
      </c>
      <c r="J288" s="25">
        <v>35.799999999999997</v>
      </c>
      <c r="K288" s="8">
        <f>IF(Tabela1[[#This Row],[Services CPI]]="",#N/A,((Tabela1[[#This Row],[Services CPI]]*1)/J287)-1)</f>
        <v>5.6179775280897903E-3</v>
      </c>
      <c r="L288" s="8">
        <f>IF(Tabela1[[#This Row],[Services CPI]]="",#N/A,((Tabela1[[#This Row],[Services CPI]]*1)/J276)-1)</f>
        <v>8.157099697885184E-2</v>
      </c>
      <c r="M288" s="7">
        <v>36.799999999999997</v>
      </c>
      <c r="N288" s="8">
        <f>IF(Tabela1[[#This Row],[Core-Services CPI]]="",#N/A,((Tabela1[[#This Row],[Core-Services CPI]]*1)/M287)-1)</f>
        <v>5.4644808743167239E-3</v>
      </c>
      <c r="O288" s="8">
        <f>IF(Tabela1[[#This Row],[Core-Services CPI]]="",#N/A,((Tabela1[[#This Row],[Core-Services CPI]]*1)/M276)-1)</f>
        <v>8.5545722713864292E-2</v>
      </c>
      <c r="P288" s="7">
        <v>44.8</v>
      </c>
      <c r="Q288" s="8">
        <f>IF(Tabela1[[#This Row],[Durable Goods CPI]]="",#N/A,((Tabela1[[#This Row],[Durable Goods CPI]]*1)/P287)-1)</f>
        <v>6.741573033707704E-3</v>
      </c>
      <c r="R288" s="8">
        <f>IF(Tabela1[[#This Row],[Durable Goods CPI]]="",#N/A,((Tabela1[[#This Row],[Durable Goods CPI]]*1)/P276)-1)</f>
        <v>4.9180327868852292E-2</v>
      </c>
      <c r="S288" s="7">
        <v>7.1544754130000001</v>
      </c>
      <c r="T288" s="7">
        <v>20.026</v>
      </c>
      <c r="U288" s="8">
        <f>IF(Tabela1[[#This Row],[Personal Consumption Expenditures (PCE)]]="",#N/A,((Tabela1[[#This Row],[Personal Consumption Expenditures (PCE)]]*1)/T287)-1)</f>
        <v>4.9681336879610072E-3</v>
      </c>
      <c r="V288" s="8">
        <f>IF(Tabela1[[#This Row],[Personal Consumption Expenditures (PCE)]]="",#N/A,((Tabela1[[#This Row],[Personal Consumption Expenditures (PCE)]]*1)/T276)-1)</f>
        <v>4.6454512201494547E-2</v>
      </c>
      <c r="W288" s="7">
        <v>20.785</v>
      </c>
      <c r="X288" s="8">
        <f>IF(Tabela1[[#This Row],[Core PCE]]="",#N/A,((Tabela1[[#This Row],[Core PCE]]*1)/W287)-1)</f>
        <v>4.9315863269352445E-3</v>
      </c>
      <c r="Y288" s="8">
        <f>IF(Tabela1[[#This Row],[Core PCE]]="",#N/A,((Tabela1[[#This Row],[Core PCE]]*1)/W276)-1)</f>
        <v>4.6839587005792049E-2</v>
      </c>
      <c r="Z288" s="8">
        <f t="shared" si="9"/>
        <v>5.0263916984744306E-2</v>
      </c>
      <c r="AA288" s="8">
        <f t="shared" si="12"/>
        <v>4.7019258544696907E-2</v>
      </c>
      <c r="AB288" s="7"/>
      <c r="AC288" s="7"/>
      <c r="AD288" s="8"/>
      <c r="AE288" s="71"/>
      <c r="AF288" s="7"/>
      <c r="AG288" s="5"/>
    </row>
    <row r="289" spans="1:33" ht="12.75">
      <c r="A289" s="6">
        <v>25873</v>
      </c>
      <c r="B289" s="7">
        <v>39.6</v>
      </c>
      <c r="C289" s="8">
        <f>IF(Tabela1[[#This Row],[Consumer Price Index (CPI)]]="",#N/A,((Tabela1[[#This Row],[Consumer Price Index (CPI)]]*1)/B288)-1)</f>
        <v>5.0761421319798217E-3</v>
      </c>
      <c r="D289" s="8">
        <f>IF(Tabela1[[#This Row],[Consumer Price Index (CPI)]]="",#N/A,((Tabela1[[#This Row],[Consumer Price Index (CPI)]]*1)/B277)-1)</f>
        <v>5.600000000000005E-2</v>
      </c>
      <c r="E289" s="25">
        <v>41.8</v>
      </c>
      <c r="F289" s="8">
        <f>IF(Tabela1[[#This Row],[Core Consumer Price Index]]="",#N/A,((Tabela1[[#This Row],[Core Consumer Price Index]]*1)/E288)-1)</f>
        <v>7.2289156626506035E-3</v>
      </c>
      <c r="G289" s="8">
        <f>IF(Tabela1[[#This Row],[Core Consumer Price Index]]="",#N/A,((Tabela1[[#This Row],[Core Consumer Price Index]]*1)/E277)-1)</f>
        <v>6.6326530612244694E-2</v>
      </c>
      <c r="H289" s="8">
        <f t="shared" si="10"/>
        <v>6.7750842893675944E-2</v>
      </c>
      <c r="I289" s="8">
        <f t="shared" si="11"/>
        <v>6.337214814621106E-2</v>
      </c>
      <c r="J289" s="25">
        <v>36</v>
      </c>
      <c r="K289" s="8">
        <f>IF(Tabela1[[#This Row],[Services CPI]]="",#N/A,((Tabela1[[#This Row],[Services CPI]]*1)/J288)-1)</f>
        <v>5.5865921787709993E-3</v>
      </c>
      <c r="L289" s="8">
        <f>IF(Tabela1[[#This Row],[Services CPI]]="",#N/A,((Tabela1[[#This Row],[Services CPI]]*1)/J277)-1)</f>
        <v>8.1081081081081141E-2</v>
      </c>
      <c r="M289" s="7">
        <v>37</v>
      </c>
      <c r="N289" s="8">
        <f>IF(Tabela1[[#This Row],[Core-Services CPI]]="",#N/A,((Tabela1[[#This Row],[Core-Services CPI]]*1)/M288)-1)</f>
        <v>5.4347826086957873E-3</v>
      </c>
      <c r="O289" s="8">
        <f>IF(Tabela1[[#This Row],[Core-Services CPI]]="",#N/A,((Tabela1[[#This Row],[Core-Services CPI]]*1)/M277)-1)</f>
        <v>8.5043988269794646E-2</v>
      </c>
      <c r="P289" s="7">
        <v>45.1</v>
      </c>
      <c r="Q289" s="8">
        <f>IF(Tabela1[[#This Row],[Durable Goods CPI]]="",#N/A,((Tabela1[[#This Row],[Durable Goods CPI]]*1)/P288)-1)</f>
        <v>6.6964285714286031E-3</v>
      </c>
      <c r="R289" s="8">
        <f>IF(Tabela1[[#This Row],[Durable Goods CPI]]="",#N/A,((Tabela1[[#This Row],[Durable Goods CPI]]*1)/P277)-1)</f>
        <v>5.3738317757009435E-2</v>
      </c>
      <c r="S289" s="7">
        <v>7.1211840909999999</v>
      </c>
      <c r="T289" s="7">
        <v>20.105</v>
      </c>
      <c r="U289" s="8">
        <f>IF(Tabela1[[#This Row],[Personal Consumption Expenditures (PCE)]]="",#N/A,((Tabela1[[#This Row],[Personal Consumption Expenditures (PCE)]]*1)/T288)-1)</f>
        <v>3.9448716668331052E-3</v>
      </c>
      <c r="V289" s="8">
        <f>IF(Tabela1[[#This Row],[Personal Consumption Expenditures (PCE)]]="",#N/A,((Tabela1[[#This Row],[Personal Consumption Expenditures (PCE)]]*1)/T277)-1)</f>
        <v>4.6045785639958536E-2</v>
      </c>
      <c r="W289" s="7">
        <v>20.891999999999999</v>
      </c>
      <c r="X289" s="8">
        <f>IF(Tabela1[[#This Row],[Core PCE]]="",#N/A,((Tabela1[[#This Row],[Core PCE]]*1)/W288)-1)</f>
        <v>5.1479432282897086E-3</v>
      </c>
      <c r="Y289" s="8">
        <f>IF(Tabela1[[#This Row],[Core PCE]]="",#N/A,((Tabela1[[#This Row],[Core PCE]]*1)/W277)-1)</f>
        <v>4.8216346395062892E-2</v>
      </c>
      <c r="Z289" s="8">
        <f t="shared" si="9"/>
        <v>5.7019579598770243E-2</v>
      </c>
      <c r="AA289" s="8">
        <f t="shared" si="12"/>
        <v>5.0222597101951205E-2</v>
      </c>
      <c r="AB289" s="7"/>
      <c r="AC289" s="7"/>
      <c r="AD289" s="8"/>
      <c r="AE289" s="71"/>
      <c r="AF289" s="7"/>
      <c r="AG289" s="5"/>
    </row>
    <row r="290" spans="1:33" ht="12.75">
      <c r="A290" s="6">
        <v>25903</v>
      </c>
      <c r="B290" s="7">
        <v>39.799999999999997</v>
      </c>
      <c r="C290" s="8">
        <f>IF(Tabela1[[#This Row],[Consumer Price Index (CPI)]]="",#N/A,((Tabela1[[#This Row],[Consumer Price Index (CPI)]]*1)/B289)-1)</f>
        <v>5.050505050504972E-3</v>
      </c>
      <c r="D290" s="8">
        <f>IF(Tabela1[[#This Row],[Consumer Price Index (CPI)]]="",#N/A,((Tabela1[[#This Row],[Consumer Price Index (CPI)]]*1)/B278)-1)</f>
        <v>5.5702917771883076E-2</v>
      </c>
      <c r="E290" s="25">
        <v>42</v>
      </c>
      <c r="F290" s="8">
        <f>IF(Tabela1[[#This Row],[Core Consumer Price Index]]="",#N/A,((Tabela1[[#This Row],[Core Consumer Price Index]]*1)/E289)-1)</f>
        <v>4.784688995215447E-3</v>
      </c>
      <c r="G290" s="8">
        <f>IF(Tabela1[[#This Row],[Core Consumer Price Index]]="",#N/A,((Tabela1[[#This Row],[Core Consumer Price Index]]*1)/E278)-1)</f>
        <v>6.5989847715736127E-2</v>
      </c>
      <c r="H290" s="8">
        <f t="shared" si="10"/>
        <v>6.7424878679890554E-2</v>
      </c>
      <c r="I290" s="8">
        <f t="shared" si="11"/>
        <v>5.812671132182734E-2</v>
      </c>
      <c r="J290" s="25">
        <v>36.200000000000003</v>
      </c>
      <c r="K290" s="8">
        <f>IF(Tabela1[[#This Row],[Services CPI]]="",#N/A,((Tabela1[[#This Row],[Services CPI]]*1)/J289)-1)</f>
        <v>5.5555555555555358E-3</v>
      </c>
      <c r="L290" s="8">
        <f>IF(Tabela1[[#This Row],[Services CPI]]="",#N/A,((Tabela1[[#This Row],[Services CPI]]*1)/J278)-1)</f>
        <v>8.0597014925373189E-2</v>
      </c>
      <c r="M290" s="7">
        <v>37.200000000000003</v>
      </c>
      <c r="N290" s="8">
        <f>IF(Tabela1[[#This Row],[Core-Services CPI]]="",#N/A,((Tabela1[[#This Row],[Core-Services CPI]]*1)/M289)-1)</f>
        <v>5.4054054054055722E-3</v>
      </c>
      <c r="O290" s="8">
        <f>IF(Tabela1[[#This Row],[Core-Services CPI]]="",#N/A,((Tabela1[[#This Row],[Core-Services CPI]]*1)/M278)-1)</f>
        <v>8.4548104956268411E-2</v>
      </c>
      <c r="P290" s="7">
        <v>45.4</v>
      </c>
      <c r="Q290" s="8">
        <f>IF(Tabela1[[#This Row],[Durable Goods CPI]]="",#N/A,((Tabela1[[#This Row],[Durable Goods CPI]]*1)/P289)-1)</f>
        <v>6.6518847006651338E-3</v>
      </c>
      <c r="R290" s="8">
        <f>IF(Tabela1[[#This Row],[Durable Goods CPI]]="",#N/A,((Tabela1[[#This Row],[Durable Goods CPI]]*1)/P278)-1)</f>
        <v>5.8275058275058189E-2</v>
      </c>
      <c r="S290" s="7">
        <v>7.097174731</v>
      </c>
      <c r="T290" s="7">
        <v>20.193999999999999</v>
      </c>
      <c r="U290" s="8">
        <f>IF(Tabela1[[#This Row],[Personal Consumption Expenditures (PCE)]]="",#N/A,((Tabela1[[#This Row],[Personal Consumption Expenditures (PCE)]]*1)/T289)-1)</f>
        <v>4.4267595125588866E-3</v>
      </c>
      <c r="V290" s="8">
        <f>IF(Tabela1[[#This Row],[Personal Consumption Expenditures (PCE)]]="",#N/A,((Tabela1[[#This Row],[Personal Consumption Expenditures (PCE)]]*1)/T278)-1)</f>
        <v>4.5887714936813762E-2</v>
      </c>
      <c r="W290" s="7">
        <v>20.997</v>
      </c>
      <c r="X290" s="8">
        <f>IF(Tabela1[[#This Row],[Core PCE]]="",#N/A,((Tabela1[[#This Row],[Core PCE]]*1)/W289)-1)</f>
        <v>5.0258472142448163E-3</v>
      </c>
      <c r="Y290" s="8">
        <f>IF(Tabela1[[#This Row],[Core PCE]]="",#N/A,((Tabela1[[#This Row],[Core PCE]]*1)/W278)-1)</f>
        <v>4.9587603099225275E-2</v>
      </c>
      <c r="Z290" s="8">
        <f t="shared" si="9"/>
        <v>6.0421507077879077E-2</v>
      </c>
      <c r="AA290" s="8">
        <f t="shared" si="12"/>
        <v>5.310864735866172E-2</v>
      </c>
      <c r="AB290" s="7"/>
      <c r="AC290" s="7"/>
      <c r="AD290" s="8"/>
      <c r="AE290" s="71"/>
      <c r="AF290" s="7"/>
      <c r="AG290" s="5"/>
    </row>
    <row r="291" spans="1:33" ht="12.75">
      <c r="A291" s="6">
        <v>25934</v>
      </c>
      <c r="B291" s="7">
        <v>39.9</v>
      </c>
      <c r="C291" s="8">
        <f>IF(Tabela1[[#This Row],[Consumer Price Index (CPI)]]="",#N/A,((Tabela1[[#This Row],[Consumer Price Index (CPI)]]*1)/B290)-1)</f>
        <v>2.5125628140703071E-3</v>
      </c>
      <c r="D291" s="8">
        <f>IF(Tabela1[[#This Row],[Consumer Price Index (CPI)]]="",#N/A,((Tabela1[[#This Row],[Consumer Price Index (CPI)]]*1)/B279)-1)</f>
        <v>5.2770448548812743E-2</v>
      </c>
      <c r="E291" s="25">
        <v>42.1</v>
      </c>
      <c r="F291" s="8">
        <f>IF(Tabela1[[#This Row],[Core Consumer Price Index]]="",#N/A,((Tabela1[[#This Row],[Core Consumer Price Index]]*1)/E290)-1)</f>
        <v>2.3809523809523725E-3</v>
      </c>
      <c r="G291" s="8">
        <f>IF(Tabela1[[#This Row],[Core Consumer Price Index]]="",#N/A,((Tabela1[[#This Row],[Core Consumer Price Index]]*1)/E279)-1)</f>
        <v>6.3131313131313149E-2</v>
      </c>
      <c r="H291" s="8">
        <f t="shared" si="10"/>
        <v>5.7578228155273692E-2</v>
      </c>
      <c r="I291" s="8">
        <f t="shared" si="11"/>
        <v>5.7986655299418377E-2</v>
      </c>
      <c r="J291" s="25">
        <v>36.4</v>
      </c>
      <c r="K291" s="8">
        <f>IF(Tabela1[[#This Row],[Services CPI]]="",#N/A,((Tabela1[[#This Row],[Services CPI]]*1)/J290)-1)</f>
        <v>5.5248618784529135E-3</v>
      </c>
      <c r="L291" s="8">
        <f>IF(Tabela1[[#This Row],[Services CPI]]="",#N/A,((Tabela1[[#This Row],[Services CPI]]*1)/J279)-1)</f>
        <v>7.6923076923076872E-2</v>
      </c>
      <c r="M291" s="7">
        <v>37.4</v>
      </c>
      <c r="N291" s="8">
        <f>IF(Tabela1[[#This Row],[Core-Services CPI]]="",#N/A,((Tabela1[[#This Row],[Core-Services CPI]]*1)/M290)-1)</f>
        <v>5.3763440860215006E-3</v>
      </c>
      <c r="O291" s="8">
        <f>IF(Tabela1[[#This Row],[Core-Services CPI]]="",#N/A,((Tabela1[[#This Row],[Core-Services CPI]]*1)/M279)-1)</f>
        <v>8.0924855491329328E-2</v>
      </c>
      <c r="P291" s="7">
        <v>45.5</v>
      </c>
      <c r="Q291" s="8">
        <f>IF(Tabela1[[#This Row],[Durable Goods CPI]]="",#N/A,((Tabela1[[#This Row],[Durable Goods CPI]]*1)/P290)-1)</f>
        <v>2.2026431718062955E-3</v>
      </c>
      <c r="R291" s="8">
        <f>IF(Tabela1[[#This Row],[Durable Goods CPI]]="",#N/A,((Tabela1[[#This Row],[Durable Goods CPI]]*1)/P279)-1)</f>
        <v>5.8139534883721034E-2</v>
      </c>
      <c r="S291" s="7">
        <v>7.3767945819999996</v>
      </c>
      <c r="T291" s="7">
        <v>20.236999999999998</v>
      </c>
      <c r="U291" s="8">
        <f>IF(Tabela1[[#This Row],[Personal Consumption Expenditures (PCE)]]="",#N/A,((Tabela1[[#This Row],[Personal Consumption Expenditures (PCE)]]*1)/T290)-1)</f>
        <v>2.129345350103895E-3</v>
      </c>
      <c r="V291" s="8">
        <f>IF(Tabela1[[#This Row],[Personal Consumption Expenditures (PCE)]]="",#N/A,((Tabela1[[#This Row],[Personal Consumption Expenditures (PCE)]]*1)/T279)-1)</f>
        <v>4.4382515353253771E-2</v>
      </c>
      <c r="W291" s="7">
        <v>21.08</v>
      </c>
      <c r="X291" s="8">
        <f>IF(Tabela1[[#This Row],[Core PCE]]="",#N/A,((Tabela1[[#This Row],[Core PCE]]*1)/W290)-1)</f>
        <v>3.9529456589035838E-3</v>
      </c>
      <c r="Y291" s="8">
        <f>IF(Tabela1[[#This Row],[Core PCE]]="",#N/A,((Tabela1[[#This Row],[Core PCE]]*1)/W279)-1)</f>
        <v>5.0271536047032939E-2</v>
      </c>
      <c r="Z291" s="8">
        <f t="shared" si="9"/>
        <v>5.6506944405752435E-2</v>
      </c>
      <c r="AA291" s="8">
        <f t="shared" si="12"/>
        <v>5.338543069524837E-2</v>
      </c>
      <c r="AB291" s="7"/>
      <c r="AC291" s="7"/>
      <c r="AD291" s="8"/>
      <c r="AE291" s="71"/>
      <c r="AF291" s="7"/>
      <c r="AG291" s="5"/>
    </row>
    <row r="292" spans="1:33" ht="12.75">
      <c r="A292" s="6">
        <v>25965</v>
      </c>
      <c r="B292" s="7">
        <v>39.9</v>
      </c>
      <c r="C292" s="8">
        <f>IF(Tabela1[[#This Row],[Consumer Price Index (CPI)]]="",#N/A,((Tabela1[[#This Row],[Consumer Price Index (CPI)]]*1)/B291)-1)</f>
        <v>0</v>
      </c>
      <c r="D292" s="8">
        <f>IF(Tabela1[[#This Row],[Consumer Price Index (CPI)]]="",#N/A,((Tabela1[[#This Row],[Consumer Price Index (CPI)]]*1)/B280)-1)</f>
        <v>4.7244094488188892E-2</v>
      </c>
      <c r="E292" s="25">
        <v>42.2</v>
      </c>
      <c r="F292" s="8">
        <f>IF(Tabela1[[#This Row],[Core Consumer Price Index]]="",#N/A,((Tabela1[[#This Row],[Core Consumer Price Index]]*1)/E291)-1)</f>
        <v>2.3752969121140222E-3</v>
      </c>
      <c r="G292" s="8">
        <f>IF(Tabela1[[#This Row],[Core Consumer Price Index]]="",#N/A,((Tabela1[[#This Row],[Core Consumer Price Index]]*1)/E280)-1)</f>
        <v>6.0301507537688481E-2</v>
      </c>
      <c r="H292" s="8">
        <f t="shared" si="10"/>
        <v>3.8163753153127367E-2</v>
      </c>
      <c r="I292" s="8">
        <f t="shared" si="11"/>
        <v>5.2957298023401655E-2</v>
      </c>
      <c r="J292" s="25">
        <v>36.5</v>
      </c>
      <c r="K292" s="8">
        <f>IF(Tabela1[[#This Row],[Services CPI]]="",#N/A,((Tabela1[[#This Row],[Services CPI]]*1)/J291)-1)</f>
        <v>2.7472527472527375E-3</v>
      </c>
      <c r="L292" s="8">
        <f>IF(Tabela1[[#This Row],[Services CPI]]="",#N/A,((Tabela1[[#This Row],[Services CPI]]*1)/J280)-1)</f>
        <v>7.3529411764705843E-2</v>
      </c>
      <c r="M292" s="7">
        <v>37.5</v>
      </c>
      <c r="N292" s="8">
        <f>IF(Tabela1[[#This Row],[Core-Services CPI]]="",#N/A,((Tabela1[[#This Row],[Core-Services CPI]]*1)/M291)-1)</f>
        <v>2.673796791443861E-3</v>
      </c>
      <c r="O292" s="8">
        <f>IF(Tabela1[[#This Row],[Core-Services CPI]]="",#N/A,((Tabela1[[#This Row],[Core-Services CPI]]*1)/M280)-1)</f>
        <v>7.4498567335243626E-2</v>
      </c>
      <c r="P292" s="7">
        <v>45.6</v>
      </c>
      <c r="Q292" s="8">
        <f>IF(Tabela1[[#This Row],[Durable Goods CPI]]="",#N/A,((Tabela1[[#This Row],[Durable Goods CPI]]*1)/P291)-1)</f>
        <v>2.19780219780219E-3</v>
      </c>
      <c r="R292" s="8">
        <f>IF(Tabela1[[#This Row],[Durable Goods CPI]]="",#N/A,((Tabela1[[#This Row],[Durable Goods CPI]]*1)/P280)-1)</f>
        <v>5.555555555555558E-2</v>
      </c>
      <c r="S292" s="7">
        <v>7.3810007740000003</v>
      </c>
      <c r="T292" s="7">
        <v>20.295999999999999</v>
      </c>
      <c r="U292" s="8">
        <f>IF(Tabela1[[#This Row],[Personal Consumption Expenditures (PCE)]]="",#N/A,((Tabela1[[#This Row],[Personal Consumption Expenditures (PCE)]]*1)/T291)-1)</f>
        <v>2.9154518950438302E-3</v>
      </c>
      <c r="V292" s="8">
        <f>IF(Tabela1[[#This Row],[Personal Consumption Expenditures (PCE)]]="",#N/A,((Tabela1[[#This Row],[Personal Consumption Expenditures (PCE)]]*1)/T280)-1)</f>
        <v>4.328158733422427E-2</v>
      </c>
      <c r="W292" s="7">
        <v>21.16</v>
      </c>
      <c r="X292" s="8">
        <f>IF(Tabela1[[#This Row],[Core PCE]]="",#N/A,((Tabela1[[#This Row],[Core PCE]]*1)/W291)-1)</f>
        <v>3.7950664136623402E-3</v>
      </c>
      <c r="Y292" s="8">
        <f>IF(Tabela1[[#This Row],[Core PCE]]="",#N/A,((Tabela1[[#This Row],[Core PCE]]*1)/W280)-1)</f>
        <v>5.0228310502283158E-2</v>
      </c>
      <c r="Z292" s="8">
        <f t="shared" si="9"/>
        <v>5.1095437147242961E-2</v>
      </c>
      <c r="AA292" s="8">
        <f t="shared" si="12"/>
        <v>5.4057508373006602E-2</v>
      </c>
      <c r="AB292" s="7"/>
      <c r="AC292" s="7"/>
      <c r="AD292" s="8"/>
      <c r="AE292" s="71"/>
      <c r="AF292" s="7"/>
      <c r="AG292" s="5"/>
    </row>
    <row r="293" spans="1:33" ht="12.75">
      <c r="A293" s="6">
        <v>25993</v>
      </c>
      <c r="B293" s="7">
        <v>40</v>
      </c>
      <c r="C293" s="8">
        <f>IF(Tabela1[[#This Row],[Consumer Price Index (CPI)]]="",#N/A,((Tabela1[[#This Row],[Consumer Price Index (CPI)]]*1)/B292)-1)</f>
        <v>2.5062656641603454E-3</v>
      </c>
      <c r="D293" s="8">
        <f>IF(Tabela1[[#This Row],[Consumer Price Index (CPI)]]="",#N/A,((Tabela1[[#This Row],[Consumer Price Index (CPI)]]*1)/B281)-1)</f>
        <v>4.4386422976501416E-2</v>
      </c>
      <c r="E293" s="25">
        <v>42.2</v>
      </c>
      <c r="F293" s="8">
        <f>IF(Tabela1[[#This Row],[Core Consumer Price Index]]="",#N/A,((Tabela1[[#This Row],[Core Consumer Price Index]]*1)/E292)-1)</f>
        <v>0</v>
      </c>
      <c r="G293" s="8">
        <f>IF(Tabela1[[#This Row],[Core Consumer Price Index]]="",#N/A,((Tabela1[[#This Row],[Core Consumer Price Index]]*1)/E281)-1)</f>
        <v>5.2369077306733125E-2</v>
      </c>
      <c r="H293" s="8">
        <f t="shared" si="10"/>
        <v>1.9024997172265579E-2</v>
      </c>
      <c r="I293" s="8">
        <f t="shared" si="11"/>
        <v>4.3224937926078066E-2</v>
      </c>
      <c r="J293" s="25">
        <v>36.5</v>
      </c>
      <c r="K293" s="8">
        <f>IF(Tabela1[[#This Row],[Services CPI]]="",#N/A,((Tabela1[[#This Row],[Services CPI]]*1)/J292)-1)</f>
        <v>0</v>
      </c>
      <c r="L293" s="8">
        <f>IF(Tabela1[[#This Row],[Services CPI]]="",#N/A,((Tabela1[[#This Row],[Services CPI]]*1)/J281)-1)</f>
        <v>6.1046511627907085E-2</v>
      </c>
      <c r="M293" s="7">
        <v>37.4</v>
      </c>
      <c r="N293" s="8">
        <f>IF(Tabela1[[#This Row],[Core-Services CPI]]="",#N/A,((Tabela1[[#This Row],[Core-Services CPI]]*1)/M292)-1)</f>
        <v>-2.666666666666706E-3</v>
      </c>
      <c r="O293" s="8">
        <f>IF(Tabela1[[#This Row],[Core-Services CPI]]="",#N/A,((Tabela1[[#This Row],[Core-Services CPI]]*1)/M281)-1)</f>
        <v>5.9490084985835745E-2</v>
      </c>
      <c r="P293" s="7">
        <v>45.7</v>
      </c>
      <c r="Q293" s="8">
        <f>IF(Tabela1[[#This Row],[Durable Goods CPI]]="",#N/A,((Tabela1[[#This Row],[Durable Goods CPI]]*1)/P292)-1)</f>
        <v>2.1929824561404132E-3</v>
      </c>
      <c r="R293" s="8">
        <f>IF(Tabela1[[#This Row],[Durable Goods CPI]]="",#N/A,((Tabela1[[#This Row],[Durable Goods CPI]]*1)/P281)-1)</f>
        <v>5.5427251732101723E-2</v>
      </c>
      <c r="S293" s="7">
        <v>7.0426614049999996</v>
      </c>
      <c r="T293" s="7">
        <v>20.363</v>
      </c>
      <c r="U293" s="8">
        <f>IF(Tabela1[[#This Row],[Personal Consumption Expenditures (PCE)]]="",#N/A,((Tabela1[[#This Row],[Personal Consumption Expenditures (PCE)]]*1)/T292)-1)</f>
        <v>3.3011430823808308E-3</v>
      </c>
      <c r="V293" s="8">
        <f>IF(Tabela1[[#This Row],[Personal Consumption Expenditures (PCE)]]="",#N/A,((Tabela1[[#This Row],[Personal Consumption Expenditures (PCE)]]*1)/T281)-1)</f>
        <v>4.4149318018664729E-2</v>
      </c>
      <c r="W293" s="7">
        <v>21.228000000000002</v>
      </c>
      <c r="X293" s="8">
        <f>IF(Tabela1[[#This Row],[Core PCE]]="",#N/A,((Tabela1[[#This Row],[Core PCE]]*1)/W292)-1)</f>
        <v>3.2136105860114395E-3</v>
      </c>
      <c r="Y293" s="8">
        <f>IF(Tabela1[[#This Row],[Core PCE]]="",#N/A,((Tabela1[[#This Row],[Core PCE]]*1)/W281)-1)</f>
        <v>4.9695890817386346E-2</v>
      </c>
      <c r="Z293" s="8">
        <f t="shared" si="9"/>
        <v>4.3846490634309454E-2</v>
      </c>
      <c r="AA293" s="8">
        <f t="shared" si="12"/>
        <v>5.2133998856094266E-2</v>
      </c>
      <c r="AB293" s="7"/>
      <c r="AC293" s="7"/>
      <c r="AD293" s="8"/>
      <c r="AE293" s="71"/>
      <c r="AF293" s="7"/>
      <c r="AG293" s="5"/>
    </row>
    <row r="294" spans="1:33" ht="12.75">
      <c r="A294" s="6">
        <v>26024</v>
      </c>
      <c r="B294" s="7">
        <v>40.1</v>
      </c>
      <c r="C294" s="8">
        <f>IF(Tabela1[[#This Row],[Consumer Price Index (CPI)]]="",#N/A,((Tabela1[[#This Row],[Consumer Price Index (CPI)]]*1)/B293)-1)</f>
        <v>2.4999999999999467E-3</v>
      </c>
      <c r="D294" s="8">
        <f>IF(Tabela1[[#This Row],[Consumer Price Index (CPI)]]="",#N/A,((Tabela1[[#This Row],[Consumer Price Index (CPI)]]*1)/B282)-1)</f>
        <v>4.1558441558441572E-2</v>
      </c>
      <c r="E294" s="25">
        <v>42.4</v>
      </c>
      <c r="F294" s="8">
        <f>IF(Tabela1[[#This Row],[Core Consumer Price Index]]="",#N/A,((Tabela1[[#This Row],[Core Consumer Price Index]]*1)/E293)-1)</f>
        <v>4.7393364928909332E-3</v>
      </c>
      <c r="G294" s="8">
        <f>IF(Tabela1[[#This Row],[Core Consumer Price Index]]="",#N/A,((Tabela1[[#This Row],[Core Consumer Price Index]]*1)/E282)-1)</f>
        <v>4.9504950495049549E-2</v>
      </c>
      <c r="H294" s="8">
        <f t="shared" si="10"/>
        <v>2.8458533620019821E-2</v>
      </c>
      <c r="I294" s="8">
        <f t="shared" si="11"/>
        <v>4.3018380887646757E-2</v>
      </c>
      <c r="J294" s="25">
        <v>36.6</v>
      </c>
      <c r="K294" s="8">
        <f>IF(Tabela1[[#This Row],[Services CPI]]="",#N/A,((Tabela1[[#This Row],[Services CPI]]*1)/J293)-1)</f>
        <v>2.73972602739736E-3</v>
      </c>
      <c r="L294" s="8">
        <f>IF(Tabela1[[#This Row],[Services CPI]]="",#N/A,((Tabela1[[#This Row],[Services CPI]]*1)/J282)-1)</f>
        <v>5.7803468208092568E-2</v>
      </c>
      <c r="M294" s="7">
        <v>37.5</v>
      </c>
      <c r="N294" s="8">
        <f>IF(Tabela1[[#This Row],[Core-Services CPI]]="",#N/A,((Tabela1[[#This Row],[Core-Services CPI]]*1)/M293)-1)</f>
        <v>2.673796791443861E-3</v>
      </c>
      <c r="O294" s="8">
        <f>IF(Tabela1[[#This Row],[Core-Services CPI]]="",#N/A,((Tabela1[[#This Row],[Core-Services CPI]]*1)/M282)-1)</f>
        <v>5.6338028169014009E-2</v>
      </c>
      <c r="P294" s="7">
        <v>45.8</v>
      </c>
      <c r="Q294" s="8">
        <f>IF(Tabela1[[#This Row],[Durable Goods CPI]]="",#N/A,((Tabela1[[#This Row],[Durable Goods CPI]]*1)/P293)-1)</f>
        <v>2.1881838074397919E-3</v>
      </c>
      <c r="R294" s="8">
        <f>IF(Tabela1[[#This Row],[Durable Goods CPI]]="",#N/A,((Tabela1[[#This Row],[Durable Goods CPI]]*1)/P282)-1)</f>
        <v>5.2873563218390762E-2</v>
      </c>
      <c r="S294" s="7">
        <v>6.3603898980000002</v>
      </c>
      <c r="T294" s="7">
        <v>20.443000000000001</v>
      </c>
      <c r="U294" s="8">
        <f>IF(Tabela1[[#This Row],[Personal Consumption Expenditures (PCE)]]="",#N/A,((Tabela1[[#This Row],[Personal Consumption Expenditures (PCE)]]*1)/T293)-1)</f>
        <v>3.9286942002652037E-3</v>
      </c>
      <c r="V294" s="8">
        <f>IF(Tabela1[[#This Row],[Personal Consumption Expenditures (PCE)]]="",#N/A,((Tabela1[[#This Row],[Personal Consumption Expenditures (PCE)]]*1)/T282)-1)</f>
        <v>4.295699199020464E-2</v>
      </c>
      <c r="W294" s="7">
        <v>21.306999999999999</v>
      </c>
      <c r="X294" s="8">
        <f>IF(Tabela1[[#This Row],[Core PCE]]="",#N/A,((Tabela1[[#This Row],[Core PCE]]*1)/W293)-1)</f>
        <v>3.721499905784631E-3</v>
      </c>
      <c r="Y294" s="8">
        <f>IF(Tabela1[[#This Row],[Core PCE]]="",#N/A,((Tabela1[[#This Row],[Core PCE]]*1)/W282)-1)</f>
        <v>4.9450820075850777E-2</v>
      </c>
      <c r="Z294" s="8">
        <f t="shared" si="9"/>
        <v>4.2920707621833643E-2</v>
      </c>
      <c r="AA294" s="8">
        <f t="shared" si="12"/>
        <v>4.9713826013793039E-2</v>
      </c>
      <c r="AB294" s="7"/>
      <c r="AC294" s="7"/>
      <c r="AD294" s="8"/>
      <c r="AE294" s="71"/>
      <c r="AF294" s="7"/>
      <c r="AG294" s="5"/>
    </row>
    <row r="295" spans="1:33" ht="12.75">
      <c r="A295" s="6">
        <v>26054</v>
      </c>
      <c r="B295" s="7">
        <v>40.299999999999997</v>
      </c>
      <c r="C295" s="8">
        <f>IF(Tabela1[[#This Row],[Consumer Price Index (CPI)]]="",#N/A,((Tabela1[[#This Row],[Consumer Price Index (CPI)]]*1)/B294)-1)</f>
        <v>4.9875311720697368E-3</v>
      </c>
      <c r="D295" s="8">
        <f>IF(Tabela1[[#This Row],[Consumer Price Index (CPI)]]="",#N/A,((Tabela1[[#This Row],[Consumer Price Index (CPI)]]*1)/B283)-1)</f>
        <v>4.4041450777202007E-2</v>
      </c>
      <c r="E295" s="25">
        <v>42.6</v>
      </c>
      <c r="F295" s="8">
        <f>IF(Tabela1[[#This Row],[Core Consumer Price Index]]="",#N/A,((Tabela1[[#This Row],[Core Consumer Price Index]]*1)/E294)-1)</f>
        <v>4.7169811320755262E-3</v>
      </c>
      <c r="G295" s="8">
        <f>IF(Tabela1[[#This Row],[Core Consumer Price Index]]="",#N/A,((Tabela1[[#This Row],[Core Consumer Price Index]]*1)/E283)-1)</f>
        <v>5.1851851851851816E-2</v>
      </c>
      <c r="H295" s="8">
        <f t="shared" si="10"/>
        <v>3.7825270499865837E-2</v>
      </c>
      <c r="I295" s="8">
        <f t="shared" si="11"/>
        <v>3.7994511826496602E-2</v>
      </c>
      <c r="J295" s="25">
        <v>36.700000000000003</v>
      </c>
      <c r="K295" s="8">
        <f>IF(Tabela1[[#This Row],[Services CPI]]="",#N/A,((Tabela1[[#This Row],[Services CPI]]*1)/J294)-1)</f>
        <v>2.732240437158584E-3</v>
      </c>
      <c r="L295" s="8">
        <f>IF(Tabela1[[#This Row],[Services CPI]]="",#N/A,((Tabela1[[#This Row],[Services CPI]]*1)/J283)-1)</f>
        <v>5.4597701149425415E-2</v>
      </c>
      <c r="M295" s="7">
        <v>37.700000000000003</v>
      </c>
      <c r="N295" s="8">
        <f>IF(Tabela1[[#This Row],[Core-Services CPI]]="",#N/A,((Tabela1[[#This Row],[Core-Services CPI]]*1)/M294)-1)</f>
        <v>5.3333333333334121E-3</v>
      </c>
      <c r="O295" s="8">
        <f>IF(Tabela1[[#This Row],[Core-Services CPI]]="",#N/A,((Tabela1[[#This Row],[Core-Services CPI]]*1)/M283)-1)</f>
        <v>5.6022408963585457E-2</v>
      </c>
      <c r="P295" s="7">
        <v>46</v>
      </c>
      <c r="Q295" s="8">
        <f>IF(Tabela1[[#This Row],[Durable Goods CPI]]="",#N/A,((Tabela1[[#This Row],[Durable Goods CPI]]*1)/P294)-1)</f>
        <v>4.366812227074357E-3</v>
      </c>
      <c r="R295" s="8">
        <f>IF(Tabela1[[#This Row],[Durable Goods CPI]]="",#N/A,((Tabela1[[#This Row],[Durable Goods CPI]]*1)/P283)-1)</f>
        <v>5.0228310502283158E-2</v>
      </c>
      <c r="S295" s="7">
        <v>5.5335592360000003</v>
      </c>
      <c r="T295" s="7">
        <v>20.527999999999999</v>
      </c>
      <c r="U295" s="8">
        <f>IF(Tabela1[[#This Row],[Personal Consumption Expenditures (PCE)]]="",#N/A,((Tabela1[[#This Row],[Personal Consumption Expenditures (PCE)]]*1)/T294)-1)</f>
        <v>4.1579024604998516E-3</v>
      </c>
      <c r="V295" s="8">
        <f>IF(Tabela1[[#This Row],[Personal Consumption Expenditures (PCE)]]="",#N/A,((Tabela1[[#This Row],[Personal Consumption Expenditures (PCE)]]*1)/T283)-1)</f>
        <v>4.3991252606418119E-2</v>
      </c>
      <c r="W295" s="7">
        <v>21.4</v>
      </c>
      <c r="X295" s="8">
        <f>IF(Tabela1[[#This Row],[Core PCE]]="",#N/A,((Tabela1[[#This Row],[Core PCE]]*1)/W294)-1)</f>
        <v>4.3647627540244205E-3</v>
      </c>
      <c r="Y295" s="8">
        <f>IF(Tabela1[[#This Row],[Core PCE]]="",#N/A,((Tabela1[[#This Row],[Core PCE]]*1)/W283)-1)</f>
        <v>5.03067484662576E-2</v>
      </c>
      <c r="Z295" s="8">
        <f t="shared" ref="Z295:Z358" si="13">SUM(X293:X295)*4</f>
        <v>4.5199492983281964E-2</v>
      </c>
      <c r="AA295" s="8">
        <f t="shared" si="12"/>
        <v>4.8147465065262463E-2</v>
      </c>
      <c r="AB295" s="7"/>
      <c r="AC295" s="7"/>
      <c r="AD295" s="8"/>
      <c r="AE295" s="71"/>
      <c r="AF295" s="7"/>
      <c r="AG295" s="5"/>
    </row>
    <row r="296" spans="1:33" ht="12.75">
      <c r="A296" s="6">
        <v>26085</v>
      </c>
      <c r="B296" s="7">
        <v>40.5</v>
      </c>
      <c r="C296" s="8">
        <f>IF(Tabela1[[#This Row],[Consumer Price Index (CPI)]]="",#N/A,((Tabela1[[#This Row],[Consumer Price Index (CPI)]]*1)/B295)-1)</f>
        <v>4.9627791563275903E-3</v>
      </c>
      <c r="D296" s="8">
        <f>IF(Tabela1[[#This Row],[Consumer Price Index (CPI)]]="",#N/A,((Tabela1[[#This Row],[Consumer Price Index (CPI)]]*1)/B284)-1)</f>
        <v>4.3814432989690788E-2</v>
      </c>
      <c r="E296" s="25">
        <v>42.8</v>
      </c>
      <c r="F296" s="8">
        <f>IF(Tabela1[[#This Row],[Core Consumer Price Index]]="",#N/A,((Tabela1[[#This Row],[Core Consumer Price Index]]*1)/E295)-1)</f>
        <v>4.6948356807510194E-3</v>
      </c>
      <c r="G296" s="8">
        <f>IF(Tabela1[[#This Row],[Core Consumer Price Index]]="",#N/A,((Tabela1[[#This Row],[Core Consumer Price Index]]*1)/E284)-1)</f>
        <v>4.9019607843137303E-2</v>
      </c>
      <c r="H296" s="8">
        <f t="shared" si="10"/>
        <v>5.6604613222869915E-2</v>
      </c>
      <c r="I296" s="8">
        <f t="shared" si="11"/>
        <v>3.7814805197567747E-2</v>
      </c>
      <c r="J296" s="25">
        <v>37</v>
      </c>
      <c r="K296" s="8">
        <f>IF(Tabela1[[#This Row],[Services CPI]]="",#N/A,((Tabela1[[#This Row],[Services CPI]]*1)/J295)-1)</f>
        <v>8.1743869209809361E-3</v>
      </c>
      <c r="L296" s="8">
        <f>IF(Tabela1[[#This Row],[Services CPI]]="",#N/A,((Tabela1[[#This Row],[Services CPI]]*1)/J284)-1)</f>
        <v>5.7142857142857162E-2</v>
      </c>
      <c r="M296" s="7">
        <v>37.9</v>
      </c>
      <c r="N296" s="8">
        <f>IF(Tabela1[[#This Row],[Core-Services CPI]]="",#N/A,((Tabela1[[#This Row],[Core-Services CPI]]*1)/M295)-1)</f>
        <v>5.3050397877982824E-3</v>
      </c>
      <c r="O296" s="8">
        <f>IF(Tabela1[[#This Row],[Core-Services CPI]]="",#N/A,((Tabela1[[#This Row],[Core-Services CPI]]*1)/M284)-1)</f>
        <v>5.2777777777777812E-2</v>
      </c>
      <c r="P296" s="7">
        <v>46.1</v>
      </c>
      <c r="Q296" s="8">
        <f>IF(Tabela1[[#This Row],[Durable Goods CPI]]="",#N/A,((Tabela1[[#This Row],[Durable Goods CPI]]*1)/P295)-1)</f>
        <v>2.1739130434783593E-3</v>
      </c>
      <c r="R296" s="8">
        <f>IF(Tabela1[[#This Row],[Durable Goods CPI]]="",#N/A,((Tabela1[[#This Row],[Durable Goods CPI]]*1)/P284)-1)</f>
        <v>4.772727272727284E-2</v>
      </c>
      <c r="S296" s="7">
        <v>5.3382913829999996</v>
      </c>
      <c r="T296" s="7">
        <v>20.619</v>
      </c>
      <c r="U296" s="8">
        <f>IF(Tabela1[[#This Row],[Personal Consumption Expenditures (PCE)]]="",#N/A,((Tabela1[[#This Row],[Personal Consumption Expenditures (PCE)]]*1)/T295)-1)</f>
        <v>4.4329696024942855E-3</v>
      </c>
      <c r="V296" s="8">
        <f>IF(Tabela1[[#This Row],[Personal Consumption Expenditures (PCE)]]="",#N/A,((Tabela1[[#This Row],[Personal Consumption Expenditures (PCE)]]*1)/T284)-1)</f>
        <v>4.5906462412498739E-2</v>
      </c>
      <c r="W296" s="7">
        <v>21.484999999999999</v>
      </c>
      <c r="X296" s="8">
        <f>IF(Tabela1[[#This Row],[Core PCE]]="",#N/A,((Tabela1[[#This Row],[Core PCE]]*1)/W295)-1)</f>
        <v>3.971962616822422E-3</v>
      </c>
      <c r="Y296" s="8">
        <f>IF(Tabela1[[#This Row],[Core PCE]]="",#N/A,((Tabela1[[#This Row],[Core PCE]]*1)/W284)-1)</f>
        <v>5.0714006259780842E-2</v>
      </c>
      <c r="Z296" s="8">
        <f t="shared" si="13"/>
        <v>4.8232901106525894E-2</v>
      </c>
      <c r="AA296" s="8">
        <f t="shared" si="12"/>
        <v>4.6039695870417674E-2</v>
      </c>
      <c r="AB296" s="7"/>
      <c r="AC296" s="7"/>
      <c r="AD296" s="8"/>
      <c r="AE296" s="71"/>
      <c r="AF296" s="7"/>
      <c r="AG296" s="5"/>
    </row>
    <row r="297" spans="1:33" ht="12.75">
      <c r="A297" s="6">
        <v>26115</v>
      </c>
      <c r="B297" s="7">
        <v>40.6</v>
      </c>
      <c r="C297" s="8">
        <f>IF(Tabela1[[#This Row],[Consumer Price Index (CPI)]]="",#N/A,((Tabela1[[#This Row],[Consumer Price Index (CPI)]]*1)/B296)-1)</f>
        <v>2.4691358024691024E-3</v>
      </c>
      <c r="D297" s="8">
        <f>IF(Tabela1[[#This Row],[Consumer Price Index (CPI)]]="",#N/A,((Tabela1[[#This Row],[Consumer Price Index (CPI)]]*1)/B285)-1)</f>
        <v>4.3701799485861281E-2</v>
      </c>
      <c r="E297" s="25">
        <v>42.9</v>
      </c>
      <c r="F297" s="8">
        <f>IF(Tabela1[[#This Row],[Core Consumer Price Index]]="",#N/A,((Tabela1[[#This Row],[Core Consumer Price Index]]*1)/E296)-1)</f>
        <v>2.3364485981309802E-3</v>
      </c>
      <c r="G297" s="8">
        <f>IF(Tabela1[[#This Row],[Core Consumer Price Index]]="",#N/A,((Tabela1[[#This Row],[Core Consumer Price Index]]*1)/E285)-1)</f>
        <v>4.8899755501222497E-2</v>
      </c>
      <c r="H297" s="8">
        <f t="shared" si="10"/>
        <v>4.6993061643830103E-2</v>
      </c>
      <c r="I297" s="8">
        <f t="shared" si="11"/>
        <v>3.7725797631924962E-2</v>
      </c>
      <c r="J297" s="25">
        <v>37.1</v>
      </c>
      <c r="K297" s="8">
        <f>IF(Tabela1[[#This Row],[Services CPI]]="",#N/A,((Tabela1[[#This Row],[Services CPI]]*1)/J296)-1)</f>
        <v>2.7027027027026751E-3</v>
      </c>
      <c r="L297" s="8">
        <f>IF(Tabela1[[#This Row],[Services CPI]]="",#N/A,((Tabela1[[#This Row],[Services CPI]]*1)/J285)-1)</f>
        <v>5.3977272727272707E-2</v>
      </c>
      <c r="M297" s="7">
        <v>38.1</v>
      </c>
      <c r="N297" s="8">
        <f>IF(Tabela1[[#This Row],[Core-Services CPI]]="",#N/A,((Tabela1[[#This Row],[Core-Services CPI]]*1)/M296)-1)</f>
        <v>5.2770448548813409E-3</v>
      </c>
      <c r="O297" s="8">
        <f>IF(Tabela1[[#This Row],[Core-Services CPI]]="",#N/A,((Tabela1[[#This Row],[Core-Services CPI]]*1)/M285)-1)</f>
        <v>5.2486187845303789E-2</v>
      </c>
      <c r="P297" s="7">
        <v>46.2</v>
      </c>
      <c r="Q297" s="8">
        <f>IF(Tabela1[[#This Row],[Durable Goods CPI]]="",#N/A,((Tabela1[[#This Row],[Durable Goods CPI]]*1)/P296)-1)</f>
        <v>2.1691973969630851E-3</v>
      </c>
      <c r="R297" s="8">
        <f>IF(Tabela1[[#This Row],[Durable Goods CPI]]="",#N/A,((Tabela1[[#This Row],[Durable Goods CPI]]*1)/P285)-1)</f>
        <v>4.7619047619047672E-2</v>
      </c>
      <c r="S297" s="7">
        <v>5.0942363960000003</v>
      </c>
      <c r="T297" s="7">
        <v>20.681000000000001</v>
      </c>
      <c r="U297" s="8">
        <f>IF(Tabela1[[#This Row],[Personal Consumption Expenditures (PCE)]]="",#N/A,((Tabela1[[#This Row],[Personal Consumption Expenditures (PCE)]]*1)/T296)-1)</f>
        <v>3.0069353508899166E-3</v>
      </c>
      <c r="V297" s="8">
        <f>IF(Tabela1[[#This Row],[Personal Consumption Expenditures (PCE)]]="",#N/A,((Tabela1[[#This Row],[Personal Consumption Expenditures (PCE)]]*1)/T285)-1)</f>
        <v>4.5234003841099657E-2</v>
      </c>
      <c r="W297" s="7">
        <v>21.567</v>
      </c>
      <c r="X297" s="8">
        <f>IF(Tabela1[[#This Row],[Core PCE]]="",#N/A,((Tabela1[[#This Row],[Core PCE]]*1)/W296)-1)</f>
        <v>3.8166162438910689E-3</v>
      </c>
      <c r="Y297" s="8">
        <f>IF(Tabela1[[#This Row],[Core PCE]]="",#N/A,((Tabela1[[#This Row],[Core PCE]]*1)/W285)-1)</f>
        <v>5.071616486407482E-2</v>
      </c>
      <c r="Z297" s="8">
        <f t="shared" si="13"/>
        <v>4.8613366458951646E-2</v>
      </c>
      <c r="AA297" s="8">
        <f t="shared" si="12"/>
        <v>4.5767037040392644E-2</v>
      </c>
      <c r="AB297" s="7"/>
      <c r="AC297" s="7"/>
      <c r="AD297" s="8"/>
      <c r="AE297" s="71"/>
      <c r="AF297" s="7"/>
      <c r="AG297" s="5"/>
    </row>
    <row r="298" spans="1:33" ht="12.75">
      <c r="A298" s="6">
        <v>26146</v>
      </c>
      <c r="B298" s="7">
        <v>40.700000000000003</v>
      </c>
      <c r="C298" s="8">
        <f>IF(Tabela1[[#This Row],[Consumer Price Index (CPI)]]="",#N/A,((Tabela1[[#This Row],[Consumer Price Index (CPI)]]*1)/B297)-1)</f>
        <v>2.4630541871921707E-3</v>
      </c>
      <c r="D298" s="8">
        <f>IF(Tabela1[[#This Row],[Consumer Price Index (CPI)]]="",#N/A,((Tabela1[[#This Row],[Consumer Price Index (CPI)]]*1)/B286)-1)</f>
        <v>4.3589743589743657E-2</v>
      </c>
      <c r="E298" s="25">
        <v>43</v>
      </c>
      <c r="F298" s="8">
        <f>IF(Tabela1[[#This Row],[Core Consumer Price Index]]="",#N/A,((Tabela1[[#This Row],[Core Consumer Price Index]]*1)/E297)-1)</f>
        <v>2.3310023310023631E-3</v>
      </c>
      <c r="G298" s="8">
        <f>IF(Tabela1[[#This Row],[Core Consumer Price Index]]="",#N/A,((Tabela1[[#This Row],[Core Consumer Price Index]]*1)/E286)-1)</f>
        <v>4.6228710462287159E-2</v>
      </c>
      <c r="H298" s="8">
        <f t="shared" si="10"/>
        <v>3.7449146439537451E-2</v>
      </c>
      <c r="I298" s="8">
        <f t="shared" si="11"/>
        <v>3.7637208469701644E-2</v>
      </c>
      <c r="J298" s="25">
        <v>37.299999999999997</v>
      </c>
      <c r="K298" s="8">
        <f>IF(Tabela1[[#This Row],[Services CPI]]="",#N/A,((Tabela1[[#This Row],[Services CPI]]*1)/J297)-1)</f>
        <v>5.3908355795146967E-3</v>
      </c>
      <c r="L298" s="8">
        <f>IF(Tabela1[[#This Row],[Services CPI]]="",#N/A,((Tabela1[[#This Row],[Services CPI]]*1)/J286)-1)</f>
        <v>5.3672316384180796E-2</v>
      </c>
      <c r="M298" s="7">
        <v>38.299999999999997</v>
      </c>
      <c r="N298" s="8">
        <f>IF(Tabela1[[#This Row],[Core-Services CPI]]="",#N/A,((Tabela1[[#This Row],[Core-Services CPI]]*1)/M297)-1)</f>
        <v>5.249343832020914E-3</v>
      </c>
      <c r="O298" s="8">
        <f>IF(Tabela1[[#This Row],[Core-Services CPI]]="",#N/A,((Tabela1[[#This Row],[Core-Services CPI]]*1)/M286)-1)</f>
        <v>5.2197802197802234E-2</v>
      </c>
      <c r="P298" s="7">
        <v>46.1</v>
      </c>
      <c r="Q298" s="8">
        <f>IF(Tabela1[[#This Row],[Durable Goods CPI]]="",#N/A,((Tabela1[[#This Row],[Durable Goods CPI]]*1)/P297)-1)</f>
        <v>-2.1645021645021467E-3</v>
      </c>
      <c r="R298" s="8">
        <f>IF(Tabela1[[#This Row],[Durable Goods CPI]]="",#N/A,((Tabela1[[#This Row],[Durable Goods CPI]]*1)/P286)-1)</f>
        <v>4.0632054176072296E-2</v>
      </c>
      <c r="S298" s="7">
        <v>5.2732682290000001</v>
      </c>
      <c r="T298" s="7">
        <v>20.741</v>
      </c>
      <c r="U298" s="8">
        <f>IF(Tabela1[[#This Row],[Personal Consumption Expenditures (PCE)]]="",#N/A,((Tabela1[[#This Row],[Personal Consumption Expenditures (PCE)]]*1)/T297)-1)</f>
        <v>2.9012136743871153E-3</v>
      </c>
      <c r="V298" s="8">
        <f>IF(Tabela1[[#This Row],[Personal Consumption Expenditures (PCE)]]="",#N/A,((Tabela1[[#This Row],[Personal Consumption Expenditures (PCE)]]*1)/T286)-1)</f>
        <v>4.5518701482004209E-2</v>
      </c>
      <c r="W298" s="7">
        <v>21.597000000000001</v>
      </c>
      <c r="X298" s="8">
        <f>IF(Tabela1[[#This Row],[Core PCE]]="",#N/A,((Tabela1[[#This Row],[Core PCE]]*1)/W297)-1)</f>
        <v>1.3910140492419121E-3</v>
      </c>
      <c r="Y298" s="8">
        <f>IF(Tabela1[[#This Row],[Core PCE]]="",#N/A,((Tabela1[[#This Row],[Core PCE]]*1)/W286)-1)</f>
        <v>4.8550759819391276E-2</v>
      </c>
      <c r="Z298" s="8">
        <f t="shared" si="13"/>
        <v>3.6718371639821612E-2</v>
      </c>
      <c r="AA298" s="8">
        <f t="shared" si="12"/>
        <v>4.0958932311551788E-2</v>
      </c>
      <c r="AB298" s="7"/>
      <c r="AC298" s="7"/>
      <c r="AD298" s="8"/>
      <c r="AE298" s="71"/>
      <c r="AF298" s="7"/>
      <c r="AG298" s="5"/>
    </row>
    <row r="299" spans="1:33" ht="12.75">
      <c r="A299" s="6">
        <v>26177</v>
      </c>
      <c r="B299" s="7">
        <v>40.799999999999997</v>
      </c>
      <c r="C299" s="8">
        <f>IF(Tabela1[[#This Row],[Consumer Price Index (CPI)]]="",#N/A,((Tabela1[[#This Row],[Consumer Price Index (CPI)]]*1)/B298)-1)</f>
        <v>2.4570024570023108E-3</v>
      </c>
      <c r="D299" s="8">
        <f>IF(Tabela1[[#This Row],[Consumer Price Index (CPI)]]="",#N/A,((Tabela1[[#This Row],[Consumer Price Index (CPI)]]*1)/B287)-1)</f>
        <v>4.0816326530612068E-2</v>
      </c>
      <c r="E299" s="25">
        <v>43</v>
      </c>
      <c r="F299" s="8">
        <f>IF(Tabela1[[#This Row],[Core Consumer Price Index]]="",#N/A,((Tabela1[[#This Row],[Core Consumer Price Index]]*1)/E298)-1)</f>
        <v>0</v>
      </c>
      <c r="G299" s="8">
        <f>IF(Tabela1[[#This Row],[Core Consumer Price Index]]="",#N/A,((Tabela1[[#This Row],[Core Consumer Price Index]]*1)/E287)-1)</f>
        <v>4.1162227602905554E-2</v>
      </c>
      <c r="H299" s="8">
        <f t="shared" si="10"/>
        <v>1.8669803716533373E-2</v>
      </c>
      <c r="I299" s="8">
        <f t="shared" si="11"/>
        <v>3.7637208469701644E-2</v>
      </c>
      <c r="J299" s="25">
        <v>37.4</v>
      </c>
      <c r="K299" s="8">
        <f>IF(Tabela1[[#This Row],[Services CPI]]="",#N/A,((Tabela1[[#This Row],[Services CPI]]*1)/J298)-1)</f>
        <v>2.6809651474530849E-3</v>
      </c>
      <c r="L299" s="8">
        <f>IF(Tabela1[[#This Row],[Services CPI]]="",#N/A,((Tabela1[[#This Row],[Services CPI]]*1)/J287)-1)</f>
        <v>5.0561797752809001E-2</v>
      </c>
      <c r="M299" s="7">
        <v>38.4</v>
      </c>
      <c r="N299" s="8">
        <f>IF(Tabela1[[#This Row],[Core-Services CPI]]="",#N/A,((Tabela1[[#This Row],[Core-Services CPI]]*1)/M298)-1)</f>
        <v>2.6109660574413773E-3</v>
      </c>
      <c r="O299" s="8">
        <f>IF(Tabela1[[#This Row],[Core-Services CPI]]="",#N/A,((Tabela1[[#This Row],[Core-Services CPI]]*1)/M287)-1)</f>
        <v>4.9180327868852292E-2</v>
      </c>
      <c r="P299" s="7">
        <v>46</v>
      </c>
      <c r="Q299" s="8">
        <f>IF(Tabela1[[#This Row],[Durable Goods CPI]]="",#N/A,((Tabela1[[#This Row],[Durable Goods CPI]]*1)/P298)-1)</f>
        <v>-2.1691973969631961E-3</v>
      </c>
      <c r="R299" s="8">
        <f>IF(Tabela1[[#This Row],[Durable Goods CPI]]="",#N/A,((Tabela1[[#This Row],[Durable Goods CPI]]*1)/P287)-1)</f>
        <v>3.3707865168539408E-2</v>
      </c>
      <c r="S299" s="7">
        <v>5.1995428639999997</v>
      </c>
      <c r="T299" s="7">
        <v>20.771999999999998</v>
      </c>
      <c r="U299" s="8">
        <f>IF(Tabela1[[#This Row],[Personal Consumption Expenditures (PCE)]]="",#N/A,((Tabela1[[#This Row],[Personal Consumption Expenditures (PCE)]]*1)/T298)-1)</f>
        <v>1.494624174340542E-3</v>
      </c>
      <c r="V299" s="8">
        <f>IF(Tabela1[[#This Row],[Personal Consumption Expenditures (PCE)]]="",#N/A,((Tabela1[[#This Row],[Personal Consumption Expenditures (PCE)]]*1)/T287)-1)</f>
        <v>4.2404777437647256E-2</v>
      </c>
      <c r="W299" s="7">
        <v>21.632999999999999</v>
      </c>
      <c r="X299" s="8">
        <f>IF(Tabela1[[#This Row],[Core PCE]]="",#N/A,((Tabela1[[#This Row],[Core PCE]]*1)/W298)-1)</f>
        <v>1.6668981803027449E-3</v>
      </c>
      <c r="Y299" s="8">
        <f>IF(Tabela1[[#This Row],[Core PCE]]="",#N/A,((Tabela1[[#This Row],[Core PCE]]*1)/W287)-1)</f>
        <v>4.5931441280278484E-2</v>
      </c>
      <c r="Z299" s="8">
        <f t="shared" si="13"/>
        <v>2.7498113893742904E-2</v>
      </c>
      <c r="AA299" s="8">
        <f t="shared" si="12"/>
        <v>3.7865507500134399E-2</v>
      </c>
      <c r="AB299" s="7"/>
      <c r="AC299" s="7"/>
      <c r="AD299" s="8"/>
      <c r="AE299" s="71"/>
      <c r="AF299" s="7"/>
      <c r="AG299" s="5"/>
    </row>
    <row r="300" spans="1:33" ht="12.75">
      <c r="A300" s="6">
        <v>26207</v>
      </c>
      <c r="B300" s="7">
        <v>40.9</v>
      </c>
      <c r="C300" s="8">
        <f>IF(Tabela1[[#This Row],[Consumer Price Index (CPI)]]="",#N/A,((Tabela1[[#This Row],[Consumer Price Index (CPI)]]*1)/B299)-1)</f>
        <v>2.450980392156854E-3</v>
      </c>
      <c r="D300" s="8">
        <f>IF(Tabela1[[#This Row],[Consumer Price Index (CPI)]]="",#N/A,((Tabela1[[#This Row],[Consumer Price Index (CPI)]]*1)/B288)-1)</f>
        <v>3.8071065989847774E-2</v>
      </c>
      <c r="E300" s="25">
        <v>43.1</v>
      </c>
      <c r="F300" s="8">
        <f>IF(Tabela1[[#This Row],[Core Consumer Price Index]]="",#N/A,((Tabela1[[#This Row],[Core Consumer Price Index]]*1)/E299)-1)</f>
        <v>2.3255813953488857E-3</v>
      </c>
      <c r="G300" s="8">
        <f>IF(Tabela1[[#This Row],[Core Consumer Price Index]]="",#N/A,((Tabela1[[#This Row],[Core Consumer Price Index]]*1)/E288)-1)</f>
        <v>3.8554216867469959E-2</v>
      </c>
      <c r="H300" s="8">
        <f t="shared" si="10"/>
        <v>1.8626334905404995E-2</v>
      </c>
      <c r="I300" s="8">
        <f t="shared" si="11"/>
        <v>3.2809698274617549E-2</v>
      </c>
      <c r="J300" s="25">
        <v>37.5</v>
      </c>
      <c r="K300" s="8">
        <f>IF(Tabela1[[#This Row],[Services CPI]]="",#N/A,((Tabela1[[#This Row],[Services CPI]]*1)/J299)-1)</f>
        <v>2.673796791443861E-3</v>
      </c>
      <c r="L300" s="8">
        <f>IF(Tabela1[[#This Row],[Services CPI]]="",#N/A,((Tabela1[[#This Row],[Services CPI]]*1)/J288)-1)</f>
        <v>4.748603351955305E-2</v>
      </c>
      <c r="M300" s="7">
        <v>38.5</v>
      </c>
      <c r="N300" s="8">
        <f>IF(Tabela1[[#This Row],[Core-Services CPI]]="",#N/A,((Tabela1[[#This Row],[Core-Services CPI]]*1)/M299)-1)</f>
        <v>2.6041666666667407E-3</v>
      </c>
      <c r="O300" s="8">
        <f>IF(Tabela1[[#This Row],[Core-Services CPI]]="",#N/A,((Tabela1[[#This Row],[Core-Services CPI]]*1)/M288)-1)</f>
        <v>4.6195652173913082E-2</v>
      </c>
      <c r="P300" s="7">
        <v>46</v>
      </c>
      <c r="Q300" s="8">
        <f>IF(Tabela1[[#This Row],[Durable Goods CPI]]="",#N/A,((Tabela1[[#This Row],[Durable Goods CPI]]*1)/P299)-1)</f>
        <v>0</v>
      </c>
      <c r="R300" s="8">
        <f>IF(Tabela1[[#This Row],[Durable Goods CPI]]="",#N/A,((Tabela1[[#This Row],[Durable Goods CPI]]*1)/P288)-1)</f>
        <v>2.6785714285714413E-2</v>
      </c>
      <c r="S300" s="7">
        <v>4.9479267010000001</v>
      </c>
      <c r="T300" s="7">
        <v>20.803999999999998</v>
      </c>
      <c r="U300" s="8">
        <f>IF(Tabela1[[#This Row],[Personal Consumption Expenditures (PCE)]]="",#N/A,((Tabela1[[#This Row],[Personal Consumption Expenditures (PCE)]]*1)/T299)-1)</f>
        <v>1.5405353360293805E-3</v>
      </c>
      <c r="V300" s="8">
        <f>IF(Tabela1[[#This Row],[Personal Consumption Expenditures (PCE)]]="",#N/A,((Tabela1[[#This Row],[Personal Consumption Expenditures (PCE)]]*1)/T288)-1)</f>
        <v>3.8849495655647548E-2</v>
      </c>
      <c r="W300" s="7">
        <v>21.667000000000002</v>
      </c>
      <c r="X300" s="8">
        <f>IF(Tabela1[[#This Row],[Core PCE]]="",#N/A,((Tabela1[[#This Row],[Core PCE]]*1)/W299)-1)</f>
        <v>1.5716729071326707E-3</v>
      </c>
      <c r="Y300" s="8">
        <f>IF(Tabela1[[#This Row],[Core PCE]]="",#N/A,((Tabela1[[#This Row],[Core PCE]]*1)/W288)-1)</f>
        <v>4.2434447919172502E-2</v>
      </c>
      <c r="Z300" s="8">
        <f t="shared" si="13"/>
        <v>1.8518340546709311E-2</v>
      </c>
      <c r="AA300" s="8">
        <f t="shared" si="12"/>
        <v>3.3565853502830478E-2</v>
      </c>
      <c r="AB300" s="7"/>
      <c r="AC300" s="7"/>
      <c r="AD300" s="8"/>
      <c r="AE300" s="71"/>
      <c r="AF300" s="7"/>
      <c r="AG300" s="5"/>
    </row>
    <row r="301" spans="1:33" ht="12.75">
      <c r="A301" s="6">
        <v>26238</v>
      </c>
      <c r="B301" s="7">
        <v>41</v>
      </c>
      <c r="C301" s="8">
        <f>IF(Tabela1[[#This Row],[Consumer Price Index (CPI)]]="",#N/A,((Tabela1[[#This Row],[Consumer Price Index (CPI)]]*1)/B300)-1)</f>
        <v>2.4449877750611915E-3</v>
      </c>
      <c r="D301" s="8">
        <f>IF(Tabela1[[#This Row],[Consumer Price Index (CPI)]]="",#N/A,((Tabela1[[#This Row],[Consumer Price Index (CPI)]]*1)/B289)-1)</f>
        <v>3.5353535353535248E-2</v>
      </c>
      <c r="E301" s="25">
        <v>43.2</v>
      </c>
      <c r="F301" s="8">
        <f>IF(Tabela1[[#This Row],[Core Consumer Price Index]]="",#N/A,((Tabela1[[#This Row],[Core Consumer Price Index]]*1)/E300)-1)</f>
        <v>2.3201856148491462E-3</v>
      </c>
      <c r="G301" s="8">
        <f>IF(Tabela1[[#This Row],[Core Consumer Price Index]]="",#N/A,((Tabela1[[#This Row],[Core Consumer Price Index]]*1)/E289)-1)</f>
        <v>3.3492822966507241E-2</v>
      </c>
      <c r="H301" s="8">
        <f t="shared" si="10"/>
        <v>1.8583068040792128E-2</v>
      </c>
      <c r="I301" s="8">
        <f t="shared" si="11"/>
        <v>2.8016107240164789E-2</v>
      </c>
      <c r="J301" s="25">
        <v>37.6</v>
      </c>
      <c r="K301" s="8">
        <f>IF(Tabela1[[#This Row],[Services CPI]]="",#N/A,((Tabela1[[#This Row],[Services CPI]]*1)/J300)-1)</f>
        <v>2.666666666666595E-3</v>
      </c>
      <c r="L301" s="8">
        <f>IF(Tabela1[[#This Row],[Services CPI]]="",#N/A,((Tabela1[[#This Row],[Services CPI]]*1)/J289)-1)</f>
        <v>4.4444444444444509E-2</v>
      </c>
      <c r="M301" s="7">
        <v>38.6</v>
      </c>
      <c r="N301" s="8">
        <f>IF(Tabela1[[#This Row],[Core-Services CPI]]="",#N/A,((Tabela1[[#This Row],[Core-Services CPI]]*1)/M300)-1)</f>
        <v>2.5974025974027093E-3</v>
      </c>
      <c r="O301" s="8">
        <f>IF(Tabela1[[#This Row],[Core-Services CPI]]="",#N/A,((Tabela1[[#This Row],[Core-Services CPI]]*1)/M289)-1)</f>
        <v>4.3243243243243246E-2</v>
      </c>
      <c r="P301" s="7">
        <v>46.1</v>
      </c>
      <c r="Q301" s="8">
        <f>IF(Tabela1[[#This Row],[Durable Goods CPI]]="",#N/A,((Tabela1[[#This Row],[Durable Goods CPI]]*1)/P300)-1)</f>
        <v>2.1739130434783593E-3</v>
      </c>
      <c r="R301" s="8">
        <f>IF(Tabela1[[#This Row],[Durable Goods CPI]]="",#N/A,((Tabela1[[#This Row],[Durable Goods CPI]]*1)/P289)-1)</f>
        <v>2.2172949002217335E-2</v>
      </c>
      <c r="S301" s="7">
        <v>4.7075225950000004</v>
      </c>
      <c r="T301" s="7">
        <v>20.847000000000001</v>
      </c>
      <c r="U301" s="8">
        <f>IF(Tabela1[[#This Row],[Personal Consumption Expenditures (PCE)]]="",#N/A,((Tabela1[[#This Row],[Personal Consumption Expenditures (PCE)]]*1)/T300)-1)</f>
        <v>2.0669102095751679E-3</v>
      </c>
      <c r="V301" s="8">
        <f>IF(Tabela1[[#This Row],[Personal Consumption Expenditures (PCE)]]="",#N/A,((Tabela1[[#This Row],[Personal Consumption Expenditures (PCE)]]*1)/T289)-1)</f>
        <v>3.6906242228301522E-2</v>
      </c>
      <c r="W301" s="7">
        <v>21.716000000000001</v>
      </c>
      <c r="X301" s="8">
        <f>IF(Tabela1[[#This Row],[Core PCE]]="",#N/A,((Tabela1[[#This Row],[Core PCE]]*1)/W300)-1)</f>
        <v>2.2615036691742141E-3</v>
      </c>
      <c r="Y301" s="8">
        <f>IF(Tabela1[[#This Row],[Core PCE]]="",#N/A,((Tabela1[[#This Row],[Core PCE]]*1)/W289)-1)</f>
        <v>3.9440934328929922E-2</v>
      </c>
      <c r="Z301" s="8">
        <f t="shared" si="13"/>
        <v>2.2000299026438519E-2</v>
      </c>
      <c r="AA301" s="8">
        <f t="shared" si="12"/>
        <v>2.9359335333130065E-2</v>
      </c>
      <c r="AB301" s="7"/>
      <c r="AC301" s="7"/>
      <c r="AD301" s="8"/>
      <c r="AE301" s="71"/>
      <c r="AF301" s="7"/>
      <c r="AG301" s="5"/>
    </row>
    <row r="302" spans="1:33" ht="12.75">
      <c r="A302" s="6">
        <v>26268</v>
      </c>
      <c r="B302" s="7">
        <v>41.1</v>
      </c>
      <c r="C302" s="8">
        <f>IF(Tabela1[[#This Row],[Consumer Price Index (CPI)]]="",#N/A,((Tabela1[[#This Row],[Consumer Price Index (CPI)]]*1)/B301)-1)</f>
        <v>2.4390243902439046E-3</v>
      </c>
      <c r="D302" s="8">
        <f>IF(Tabela1[[#This Row],[Consumer Price Index (CPI)]]="",#N/A,((Tabela1[[#This Row],[Consumer Price Index (CPI)]]*1)/B290)-1)</f>
        <v>3.2663316582914659E-2</v>
      </c>
      <c r="E302" s="25">
        <v>43.3</v>
      </c>
      <c r="F302" s="8">
        <f>IF(Tabela1[[#This Row],[Core Consumer Price Index]]="",#N/A,((Tabela1[[#This Row],[Core Consumer Price Index]]*1)/E301)-1)</f>
        <v>2.3148148148146586E-3</v>
      </c>
      <c r="G302" s="8">
        <f>IF(Tabela1[[#This Row],[Core Consumer Price Index]]="",#N/A,((Tabela1[[#This Row],[Core Consumer Price Index]]*1)/E290)-1)</f>
        <v>3.0952380952380842E-2</v>
      </c>
      <c r="H302" s="8">
        <f t="shared" si="10"/>
        <v>2.7842327300050762E-2</v>
      </c>
      <c r="I302" s="8">
        <f t="shared" si="11"/>
        <v>2.3256065508292068E-2</v>
      </c>
      <c r="J302" s="25">
        <v>37.700000000000003</v>
      </c>
      <c r="K302" s="8">
        <f>IF(Tabela1[[#This Row],[Services CPI]]="",#N/A,((Tabela1[[#This Row],[Services CPI]]*1)/J301)-1)</f>
        <v>2.6595744680850686E-3</v>
      </c>
      <c r="L302" s="8">
        <f>IF(Tabela1[[#This Row],[Services CPI]]="",#N/A,((Tabela1[[#This Row],[Services CPI]]*1)/J290)-1)</f>
        <v>4.143646408839774E-2</v>
      </c>
      <c r="M302" s="7">
        <v>38.700000000000003</v>
      </c>
      <c r="N302" s="8">
        <f>IF(Tabela1[[#This Row],[Core-Services CPI]]="",#N/A,((Tabela1[[#This Row],[Core-Services CPI]]*1)/M301)-1)</f>
        <v>2.5906735751295429E-3</v>
      </c>
      <c r="O302" s="8">
        <f>IF(Tabela1[[#This Row],[Core-Services CPI]]="",#N/A,((Tabela1[[#This Row],[Core-Services CPI]]*1)/M290)-1)</f>
        <v>4.0322580645161255E-2</v>
      </c>
      <c r="P302" s="7">
        <v>46.2</v>
      </c>
      <c r="Q302" s="8">
        <f>IF(Tabela1[[#This Row],[Durable Goods CPI]]="",#N/A,((Tabela1[[#This Row],[Durable Goods CPI]]*1)/P301)-1)</f>
        <v>2.1691973969630851E-3</v>
      </c>
      <c r="R302" s="8">
        <f>IF(Tabela1[[#This Row],[Durable Goods CPI]]="",#N/A,((Tabela1[[#This Row],[Durable Goods CPI]]*1)/P290)-1)</f>
        <v>1.7621145374449476E-2</v>
      </c>
      <c r="S302" s="7">
        <v>4.4112370199999997</v>
      </c>
      <c r="T302" s="7">
        <v>20.928999999999998</v>
      </c>
      <c r="U302" s="8">
        <f>IF(Tabela1[[#This Row],[Personal Consumption Expenditures (PCE)]]="",#N/A,((Tabela1[[#This Row],[Personal Consumption Expenditures (PCE)]]*1)/T301)-1)</f>
        <v>3.9334196766920293E-3</v>
      </c>
      <c r="V302" s="8">
        <f>IF(Tabela1[[#This Row],[Personal Consumption Expenditures (PCE)]]="",#N/A,((Tabela1[[#This Row],[Personal Consumption Expenditures (PCE)]]*1)/T290)-1)</f>
        <v>3.6396949588986871E-2</v>
      </c>
      <c r="W302" s="7">
        <v>21.783999999999999</v>
      </c>
      <c r="X302" s="8">
        <f>IF(Tabela1[[#This Row],[Core PCE]]="",#N/A,((Tabela1[[#This Row],[Core PCE]]*1)/W301)-1)</f>
        <v>3.1313317369681126E-3</v>
      </c>
      <c r="Y302" s="8">
        <f>IF(Tabela1[[#This Row],[Core PCE]]="",#N/A,((Tabela1[[#This Row],[Core PCE]]*1)/W290)-1)</f>
        <v>3.7481544982616466E-2</v>
      </c>
      <c r="Z302" s="8">
        <f t="shared" si="13"/>
        <v>2.785803325309999E-2</v>
      </c>
      <c r="AA302" s="8">
        <f t="shared" si="12"/>
        <v>2.7678073573421447E-2</v>
      </c>
      <c r="AB302" s="7"/>
      <c r="AC302" s="7"/>
      <c r="AD302" s="8"/>
      <c r="AE302" s="71"/>
      <c r="AF302" s="7"/>
      <c r="AG302" s="5"/>
    </row>
    <row r="303" spans="1:33" ht="12.75">
      <c r="A303" s="6">
        <v>26299</v>
      </c>
      <c r="B303" s="7">
        <v>41.2</v>
      </c>
      <c r="C303" s="8">
        <f>IF(Tabela1[[#This Row],[Consumer Price Index (CPI)]]="",#N/A,((Tabela1[[#This Row],[Consumer Price Index (CPI)]]*1)/B302)-1)</f>
        <v>2.4330900243310083E-3</v>
      </c>
      <c r="D303" s="8">
        <f>IF(Tabela1[[#This Row],[Consumer Price Index (CPI)]]="",#N/A,((Tabela1[[#This Row],[Consumer Price Index (CPI)]]*1)/B291)-1)</f>
        <v>3.2581453634085378E-2</v>
      </c>
      <c r="E303" s="25">
        <v>43.5</v>
      </c>
      <c r="F303" s="8">
        <f>IF(Tabela1[[#This Row],[Core Consumer Price Index]]="",#N/A,((Tabela1[[#This Row],[Core Consumer Price Index]]*1)/E302)-1)</f>
        <v>4.6189376443419583E-3</v>
      </c>
      <c r="G303" s="8">
        <f>IF(Tabela1[[#This Row],[Core Consumer Price Index]]="",#N/A,((Tabela1[[#This Row],[Core Consumer Price Index]]*1)/E291)-1)</f>
        <v>3.3254156769596088E-2</v>
      </c>
      <c r="H303" s="8">
        <f t="shared" si="10"/>
        <v>3.7015752296023052E-2</v>
      </c>
      <c r="I303" s="8">
        <f t="shared" si="11"/>
        <v>2.7821043600714024E-2</v>
      </c>
      <c r="J303" s="25">
        <v>37.9</v>
      </c>
      <c r="K303" s="8">
        <f>IF(Tabela1[[#This Row],[Services CPI]]="",#N/A,((Tabela1[[#This Row],[Services CPI]]*1)/J302)-1)</f>
        <v>5.3050397877982824E-3</v>
      </c>
      <c r="L303" s="8">
        <f>IF(Tabela1[[#This Row],[Services CPI]]="",#N/A,((Tabela1[[#This Row],[Services CPI]]*1)/J291)-1)</f>
        <v>4.1208791208791284E-2</v>
      </c>
      <c r="M303" s="7">
        <v>38.9</v>
      </c>
      <c r="N303" s="8">
        <f>IF(Tabela1[[#This Row],[Core-Services CPI]]="",#N/A,((Tabela1[[#This Row],[Core-Services CPI]]*1)/M302)-1)</f>
        <v>5.1679586563306845E-3</v>
      </c>
      <c r="O303" s="8">
        <f>IF(Tabela1[[#This Row],[Core-Services CPI]]="",#N/A,((Tabela1[[#This Row],[Core-Services CPI]]*1)/M291)-1)</f>
        <v>4.0106951871657692E-2</v>
      </c>
      <c r="P303" s="7">
        <v>46.4</v>
      </c>
      <c r="Q303" s="8">
        <f>IF(Tabela1[[#This Row],[Durable Goods CPI]]="",#N/A,((Tabela1[[#This Row],[Durable Goods CPI]]*1)/P302)-1)</f>
        <v>4.3290043290042934E-3</v>
      </c>
      <c r="R303" s="8">
        <f>IF(Tabela1[[#This Row],[Durable Goods CPI]]="",#N/A,((Tabela1[[#This Row],[Durable Goods CPI]]*1)/P291)-1)</f>
        <v>1.978021978021971E-2</v>
      </c>
      <c r="S303" s="7">
        <v>3.9786623849999998</v>
      </c>
      <c r="T303" s="7">
        <v>21.015000000000001</v>
      </c>
      <c r="U303" s="8">
        <f>IF(Tabela1[[#This Row],[Personal Consumption Expenditures (PCE)]]="",#N/A,((Tabela1[[#This Row],[Personal Consumption Expenditures (PCE)]]*1)/T302)-1)</f>
        <v>4.1091308710403673E-3</v>
      </c>
      <c r="V303" s="8">
        <f>IF(Tabela1[[#This Row],[Personal Consumption Expenditures (PCE)]]="",#N/A,((Tabela1[[#This Row],[Personal Consumption Expenditures (PCE)]]*1)/T291)-1)</f>
        <v>3.8444433463458161E-2</v>
      </c>
      <c r="W303" s="7">
        <v>21.876999999999999</v>
      </c>
      <c r="X303" s="8">
        <f>IF(Tabela1[[#This Row],[Core PCE]]="",#N/A,((Tabela1[[#This Row],[Core PCE]]*1)/W302)-1)</f>
        <v>4.2691883951524456E-3</v>
      </c>
      <c r="Y303" s="8">
        <f>IF(Tabela1[[#This Row],[Core PCE]]="",#N/A,((Tabela1[[#This Row],[Core PCE]]*1)/W291)-1)</f>
        <v>3.7808349146110087E-2</v>
      </c>
      <c r="Z303" s="8">
        <f t="shared" si="13"/>
        <v>3.8648095205179089E-2</v>
      </c>
      <c r="AA303" s="8">
        <f t="shared" si="12"/>
        <v>2.85832178759442E-2</v>
      </c>
      <c r="AB303" s="7"/>
      <c r="AC303" s="7"/>
      <c r="AD303" s="8"/>
      <c r="AE303" s="71"/>
      <c r="AF303" s="7"/>
      <c r="AG303" s="5"/>
    </row>
    <row r="304" spans="1:33" ht="12.75">
      <c r="A304" s="6">
        <v>26330</v>
      </c>
      <c r="B304" s="7">
        <v>41.4</v>
      </c>
      <c r="C304" s="8">
        <f>IF(Tabela1[[#This Row],[Consumer Price Index (CPI)]]="",#N/A,((Tabela1[[#This Row],[Consumer Price Index (CPI)]]*1)/B303)-1)</f>
        <v>4.8543689320388328E-3</v>
      </c>
      <c r="D304" s="8">
        <f>IF(Tabela1[[#This Row],[Consumer Price Index (CPI)]]="",#N/A,((Tabela1[[#This Row],[Consumer Price Index (CPI)]]*1)/B292)-1)</f>
        <v>3.7593984962406068E-2</v>
      </c>
      <c r="E304" s="25">
        <v>43.6</v>
      </c>
      <c r="F304" s="8">
        <f>IF(Tabela1[[#This Row],[Core Consumer Price Index]]="",#N/A,((Tabela1[[#This Row],[Core Consumer Price Index]]*1)/E303)-1)</f>
        <v>2.2988505747125743E-3</v>
      </c>
      <c r="G304" s="8">
        <f>IF(Tabela1[[#This Row],[Core Consumer Price Index]]="",#N/A,((Tabela1[[#This Row],[Core Consumer Price Index]]*1)/E292)-1)</f>
        <v>3.3175355450236976E-2</v>
      </c>
      <c r="H304" s="8">
        <f t="shared" si="10"/>
        <v>3.6930412135476764E-2</v>
      </c>
      <c r="I304" s="8">
        <f t="shared" si="11"/>
        <v>2.7756740088134446E-2</v>
      </c>
      <c r="J304" s="25">
        <v>38</v>
      </c>
      <c r="K304" s="8">
        <f>IF(Tabela1[[#This Row],[Services CPI]]="",#N/A,((Tabela1[[#This Row],[Services CPI]]*1)/J303)-1)</f>
        <v>2.6385224274407815E-3</v>
      </c>
      <c r="L304" s="8">
        <f>IF(Tabela1[[#This Row],[Services CPI]]="",#N/A,((Tabela1[[#This Row],[Services CPI]]*1)/J292)-1)</f>
        <v>4.1095890410958846E-2</v>
      </c>
      <c r="M304" s="7">
        <v>39</v>
      </c>
      <c r="N304" s="8">
        <f>IF(Tabela1[[#This Row],[Core-Services CPI]]="",#N/A,((Tabela1[[#This Row],[Core-Services CPI]]*1)/M303)-1)</f>
        <v>2.5706940874037354E-3</v>
      </c>
      <c r="O304" s="8">
        <f>IF(Tabela1[[#This Row],[Core-Services CPI]]="",#N/A,((Tabela1[[#This Row],[Core-Services CPI]]*1)/M292)-1)</f>
        <v>4.0000000000000036E-2</v>
      </c>
      <c r="P304" s="7">
        <v>46.5</v>
      </c>
      <c r="Q304" s="8">
        <f>IF(Tabela1[[#This Row],[Durable Goods CPI]]="",#N/A,((Tabela1[[#This Row],[Durable Goods CPI]]*1)/P303)-1)</f>
        <v>2.1551724137931494E-3</v>
      </c>
      <c r="R304" s="8">
        <f>IF(Tabela1[[#This Row],[Durable Goods CPI]]="",#N/A,((Tabela1[[#This Row],[Durable Goods CPI]]*1)/P292)-1)</f>
        <v>1.9736842105263053E-2</v>
      </c>
      <c r="S304" s="7">
        <v>3.7080406209999999</v>
      </c>
      <c r="T304" s="7">
        <v>21.097999999999999</v>
      </c>
      <c r="U304" s="8">
        <f>IF(Tabela1[[#This Row],[Personal Consumption Expenditures (PCE)]]="",#N/A,((Tabela1[[#This Row],[Personal Consumption Expenditures (PCE)]]*1)/T303)-1)</f>
        <v>3.9495598382106589E-3</v>
      </c>
      <c r="V304" s="8">
        <f>IF(Tabela1[[#This Row],[Personal Consumption Expenditures (PCE)]]="",#N/A,((Tabela1[[#This Row],[Personal Consumption Expenditures (PCE)]]*1)/T292)-1)</f>
        <v>3.9515175404020386E-2</v>
      </c>
      <c r="W304" s="7">
        <v>21.936</v>
      </c>
      <c r="X304" s="8">
        <f>IF(Tabela1[[#This Row],[Core PCE]]="",#N/A,((Tabela1[[#This Row],[Core PCE]]*1)/W303)-1)</f>
        <v>2.6968962837683463E-3</v>
      </c>
      <c r="Y304" s="8">
        <f>IF(Tabela1[[#This Row],[Core PCE]]="",#N/A,((Tabela1[[#This Row],[Core PCE]]*1)/W292)-1)</f>
        <v>3.6672967863894179E-2</v>
      </c>
      <c r="Z304" s="8">
        <f t="shared" si="13"/>
        <v>4.0389665663555618E-2</v>
      </c>
      <c r="AA304" s="8">
        <f t="shared" si="12"/>
        <v>3.1194982344997069E-2</v>
      </c>
      <c r="AB304" s="7"/>
      <c r="AC304" s="7"/>
      <c r="AD304" s="8"/>
      <c r="AE304" s="71"/>
      <c r="AF304" s="7"/>
      <c r="AG304" s="5"/>
    </row>
    <row r="305" spans="1:33" ht="12.75">
      <c r="A305" s="6">
        <v>26359</v>
      </c>
      <c r="B305" s="7">
        <v>41.4</v>
      </c>
      <c r="C305" s="8">
        <f>IF(Tabela1[[#This Row],[Consumer Price Index (CPI)]]="",#N/A,((Tabela1[[#This Row],[Consumer Price Index (CPI)]]*1)/B304)-1)</f>
        <v>0</v>
      </c>
      <c r="D305" s="8">
        <f>IF(Tabela1[[#This Row],[Consumer Price Index (CPI)]]="",#N/A,((Tabela1[[#This Row],[Consumer Price Index (CPI)]]*1)/B293)-1)</f>
        <v>3.499999999999992E-2</v>
      </c>
      <c r="E305" s="25">
        <v>43.6</v>
      </c>
      <c r="F305" s="8">
        <f>IF(Tabela1[[#This Row],[Core Consumer Price Index]]="",#N/A,((Tabela1[[#This Row],[Core Consumer Price Index]]*1)/E304)-1)</f>
        <v>0</v>
      </c>
      <c r="G305" s="8">
        <f>IF(Tabela1[[#This Row],[Core Consumer Price Index]]="",#N/A,((Tabela1[[#This Row],[Core Consumer Price Index]]*1)/E293)-1)</f>
        <v>3.3175355450236976E-2</v>
      </c>
      <c r="H305" s="8">
        <f t="shared" si="10"/>
        <v>2.767115287621813E-2</v>
      </c>
      <c r="I305" s="8">
        <f t="shared" si="11"/>
        <v>2.7756740088134446E-2</v>
      </c>
      <c r="J305" s="25">
        <v>38.1</v>
      </c>
      <c r="K305" s="8">
        <f>IF(Tabela1[[#This Row],[Services CPI]]="",#N/A,((Tabela1[[#This Row],[Services CPI]]*1)/J304)-1)</f>
        <v>2.6315789473685403E-3</v>
      </c>
      <c r="L305" s="8">
        <f>IF(Tabela1[[#This Row],[Services CPI]]="",#N/A,((Tabela1[[#This Row],[Services CPI]]*1)/J293)-1)</f>
        <v>4.3835616438356206E-2</v>
      </c>
      <c r="M305" s="7">
        <v>39.1</v>
      </c>
      <c r="N305" s="8">
        <f>IF(Tabela1[[#This Row],[Core-Services CPI]]="",#N/A,((Tabela1[[#This Row],[Core-Services CPI]]*1)/M304)-1)</f>
        <v>2.564102564102555E-3</v>
      </c>
      <c r="O305" s="8">
        <f>IF(Tabela1[[#This Row],[Core-Services CPI]]="",#N/A,((Tabela1[[#This Row],[Core-Services CPI]]*1)/M293)-1)</f>
        <v>4.5454545454545636E-2</v>
      </c>
      <c r="P305" s="7">
        <v>46.5</v>
      </c>
      <c r="Q305" s="8">
        <f>IF(Tabela1[[#This Row],[Durable Goods CPI]]="",#N/A,((Tabela1[[#This Row],[Durable Goods CPI]]*1)/P304)-1)</f>
        <v>0</v>
      </c>
      <c r="R305" s="8">
        <f>IF(Tabela1[[#This Row],[Durable Goods CPI]]="",#N/A,((Tabela1[[#This Row],[Durable Goods CPI]]*1)/P293)-1)</f>
        <v>1.7505470459518557E-2</v>
      </c>
      <c r="S305" s="7">
        <v>3.7559462579999998</v>
      </c>
      <c r="T305" s="7">
        <v>21.128</v>
      </c>
      <c r="U305" s="8">
        <f>IF(Tabela1[[#This Row],[Personal Consumption Expenditures (PCE)]]="",#N/A,((Tabela1[[#This Row],[Personal Consumption Expenditures (PCE)]]*1)/T304)-1)</f>
        <v>1.4219357285050194E-3</v>
      </c>
      <c r="V305" s="8">
        <f>IF(Tabela1[[#This Row],[Personal Consumption Expenditures (PCE)]]="",#N/A,((Tabela1[[#This Row],[Personal Consumption Expenditures (PCE)]]*1)/T293)-1)</f>
        <v>3.7568138290035913E-2</v>
      </c>
      <c r="W305" s="7">
        <v>21.978999999999999</v>
      </c>
      <c r="X305" s="8">
        <f>IF(Tabela1[[#This Row],[Core PCE]]="",#N/A,((Tabela1[[#This Row],[Core PCE]]*1)/W304)-1)</f>
        <v>1.9602479941647211E-3</v>
      </c>
      <c r="Y305" s="8">
        <f>IF(Tabela1[[#This Row],[Core PCE]]="",#N/A,((Tabela1[[#This Row],[Core PCE]]*1)/W293)-1)</f>
        <v>3.5377802901827682E-2</v>
      </c>
      <c r="Z305" s="8">
        <f t="shared" si="13"/>
        <v>3.5705330692342052E-2</v>
      </c>
      <c r="AA305" s="8">
        <f t="shared" si="12"/>
        <v>3.1781681972721021E-2</v>
      </c>
      <c r="AB305" s="7"/>
      <c r="AC305" s="7"/>
      <c r="AD305" s="8"/>
      <c r="AE305" s="71"/>
      <c r="AF305" s="7"/>
      <c r="AG305" s="5"/>
    </row>
    <row r="306" spans="1:33" ht="12.75">
      <c r="A306" s="6">
        <v>26390</v>
      </c>
      <c r="B306" s="7">
        <v>41.5</v>
      </c>
      <c r="C306" s="8">
        <f>IF(Tabela1[[#This Row],[Consumer Price Index (CPI)]]="",#N/A,((Tabela1[[#This Row],[Consumer Price Index (CPI)]]*1)/B305)-1)</f>
        <v>2.4154589371980784E-3</v>
      </c>
      <c r="D306" s="8">
        <f>IF(Tabela1[[#This Row],[Consumer Price Index (CPI)]]="",#N/A,((Tabela1[[#This Row],[Consumer Price Index (CPI)]]*1)/B294)-1)</f>
        <v>3.4912718204488824E-2</v>
      </c>
      <c r="E306" s="25">
        <v>43.8</v>
      </c>
      <c r="F306" s="8">
        <f>IF(Tabela1[[#This Row],[Core Consumer Price Index]]="",#N/A,((Tabela1[[#This Row],[Core Consumer Price Index]]*1)/E305)-1)</f>
        <v>4.5871559633026138E-3</v>
      </c>
      <c r="G306" s="8">
        <f>IF(Tabela1[[#This Row],[Core Consumer Price Index]]="",#N/A,((Tabela1[[#This Row],[Core Consumer Price Index]]*1)/E294)-1)</f>
        <v>3.3018867924528239E-2</v>
      </c>
      <c r="H306" s="8">
        <f t="shared" si="10"/>
        <v>2.7544026152060752E-2</v>
      </c>
      <c r="I306" s="8">
        <f t="shared" si="11"/>
        <v>3.2279889224041902E-2</v>
      </c>
      <c r="J306" s="25">
        <v>38.200000000000003</v>
      </c>
      <c r="K306" s="8">
        <f>IF(Tabela1[[#This Row],[Services CPI]]="",#N/A,((Tabela1[[#This Row],[Services CPI]]*1)/J305)-1)</f>
        <v>2.624671916010568E-3</v>
      </c>
      <c r="L306" s="8">
        <f>IF(Tabela1[[#This Row],[Services CPI]]="",#N/A,((Tabela1[[#This Row],[Services CPI]]*1)/J294)-1)</f>
        <v>4.3715846994535568E-2</v>
      </c>
      <c r="M306" s="7">
        <v>39.1</v>
      </c>
      <c r="N306" s="8">
        <f>IF(Tabela1[[#This Row],[Core-Services CPI]]="",#N/A,((Tabela1[[#This Row],[Core-Services CPI]]*1)/M305)-1)</f>
        <v>0</v>
      </c>
      <c r="O306" s="8">
        <f>IF(Tabela1[[#This Row],[Core-Services CPI]]="",#N/A,((Tabela1[[#This Row],[Core-Services CPI]]*1)/M294)-1)</f>
        <v>4.2666666666666631E-2</v>
      </c>
      <c r="P306" s="7">
        <v>46.6</v>
      </c>
      <c r="Q306" s="8">
        <f>IF(Tabela1[[#This Row],[Durable Goods CPI]]="",#N/A,((Tabela1[[#This Row],[Durable Goods CPI]]*1)/P305)-1)</f>
        <v>2.1505376344086446E-3</v>
      </c>
      <c r="R306" s="8">
        <f>IF(Tabela1[[#This Row],[Durable Goods CPI]]="",#N/A,((Tabela1[[#This Row],[Durable Goods CPI]]*1)/P294)-1)</f>
        <v>1.7467248908296984E-2</v>
      </c>
      <c r="S306" s="7">
        <v>3.8646437310000001</v>
      </c>
      <c r="T306" s="7">
        <v>21.16</v>
      </c>
      <c r="U306" s="8">
        <f>IF(Tabela1[[#This Row],[Personal Consumption Expenditures (PCE)]]="",#N/A,((Tabela1[[#This Row],[Personal Consumption Expenditures (PCE)]]*1)/T305)-1)</f>
        <v>1.5145778114351582E-3</v>
      </c>
      <c r="V306" s="8">
        <f>IF(Tabela1[[#This Row],[Personal Consumption Expenditures (PCE)]]="",#N/A,((Tabela1[[#This Row],[Personal Consumption Expenditures (PCE)]]*1)/T294)-1)</f>
        <v>3.5073130166805244E-2</v>
      </c>
      <c r="W306" s="7">
        <v>22.03</v>
      </c>
      <c r="X306" s="8">
        <f>IF(Tabela1[[#This Row],[Core PCE]]="",#N/A,((Tabela1[[#This Row],[Core PCE]]*1)/W305)-1)</f>
        <v>2.3203967423450766E-3</v>
      </c>
      <c r="Y306" s="8">
        <f>IF(Tabela1[[#This Row],[Core PCE]]="",#N/A,((Tabela1[[#This Row],[Core PCE]]*1)/W294)-1)</f>
        <v>3.3932510442577613E-2</v>
      </c>
      <c r="Z306" s="8">
        <f t="shared" si="13"/>
        <v>2.7910164081112576E-2</v>
      </c>
      <c r="AA306" s="8">
        <f t="shared" si="12"/>
        <v>3.3279129643145833E-2</v>
      </c>
      <c r="AB306" s="7"/>
      <c r="AC306" s="7"/>
      <c r="AD306" s="8"/>
      <c r="AE306" s="71"/>
      <c r="AF306" s="7"/>
      <c r="AG306" s="5"/>
    </row>
    <row r="307" spans="1:33" ht="12.75">
      <c r="A307" s="6">
        <v>26420</v>
      </c>
      <c r="B307" s="7">
        <v>41.6</v>
      </c>
      <c r="C307" s="8">
        <f>IF(Tabela1[[#This Row],[Consumer Price Index (CPI)]]="",#N/A,((Tabela1[[#This Row],[Consumer Price Index (CPI)]]*1)/B306)-1)</f>
        <v>2.4096385542169418E-3</v>
      </c>
      <c r="D307" s="8">
        <f>IF(Tabela1[[#This Row],[Consumer Price Index (CPI)]]="",#N/A,((Tabela1[[#This Row],[Consumer Price Index (CPI)]]*1)/B295)-1)</f>
        <v>3.2258064516129226E-2</v>
      </c>
      <c r="E307" s="25">
        <v>43.9</v>
      </c>
      <c r="F307" s="8">
        <f>IF(Tabela1[[#This Row],[Core Consumer Price Index]]="",#N/A,((Tabela1[[#This Row],[Core Consumer Price Index]]*1)/E306)-1)</f>
        <v>2.2831050228311334E-3</v>
      </c>
      <c r="G307" s="8">
        <f>IF(Tabela1[[#This Row],[Core Consumer Price Index]]="",#N/A,((Tabela1[[#This Row],[Core Consumer Price Index]]*1)/E295)-1)</f>
        <v>3.0516431924882514E-2</v>
      </c>
      <c r="H307" s="8">
        <f t="shared" si="10"/>
        <v>2.7481043944534989E-2</v>
      </c>
      <c r="I307" s="8">
        <f t="shared" si="11"/>
        <v>3.2205728040005877E-2</v>
      </c>
      <c r="J307" s="25">
        <v>38.299999999999997</v>
      </c>
      <c r="K307" s="8">
        <f>IF(Tabela1[[#This Row],[Services CPI]]="",#N/A,((Tabela1[[#This Row],[Services CPI]]*1)/J306)-1)</f>
        <v>2.6178010471202828E-3</v>
      </c>
      <c r="L307" s="8">
        <f>IF(Tabela1[[#This Row],[Services CPI]]="",#N/A,((Tabela1[[#This Row],[Services CPI]]*1)/J295)-1)</f>
        <v>4.3596730245231363E-2</v>
      </c>
      <c r="M307" s="7">
        <v>39.200000000000003</v>
      </c>
      <c r="N307" s="8">
        <f>IF(Tabela1[[#This Row],[Core-Services CPI]]="",#N/A,((Tabela1[[#This Row],[Core-Services CPI]]*1)/M306)-1)</f>
        <v>2.5575447570331811E-3</v>
      </c>
      <c r="O307" s="8">
        <f>IF(Tabela1[[#This Row],[Core-Services CPI]]="",#N/A,((Tabela1[[#This Row],[Core-Services CPI]]*1)/M295)-1)</f>
        <v>3.9787798408488007E-2</v>
      </c>
      <c r="P307" s="7">
        <v>46.7</v>
      </c>
      <c r="Q307" s="8">
        <f>IF(Tabela1[[#This Row],[Durable Goods CPI]]="",#N/A,((Tabela1[[#This Row],[Durable Goods CPI]]*1)/P306)-1)</f>
        <v>2.1459227467810482E-3</v>
      </c>
      <c r="R307" s="8">
        <f>IF(Tabela1[[#This Row],[Durable Goods CPI]]="",#N/A,((Tabela1[[#This Row],[Durable Goods CPI]]*1)/P295)-1)</f>
        <v>1.5217391304347849E-2</v>
      </c>
      <c r="S307" s="7">
        <v>4.0785804450000001</v>
      </c>
      <c r="T307" s="7">
        <v>21.207000000000001</v>
      </c>
      <c r="U307" s="8">
        <f>IF(Tabela1[[#This Row],[Personal Consumption Expenditures (PCE)]]="",#N/A,((Tabela1[[#This Row],[Personal Consumption Expenditures (PCE)]]*1)/T306)-1)</f>
        <v>2.2211720226843479E-3</v>
      </c>
      <c r="V307" s="8">
        <f>IF(Tabela1[[#This Row],[Personal Consumption Expenditures (PCE)]]="",#N/A,((Tabela1[[#This Row],[Personal Consumption Expenditures (PCE)]]*1)/T295)-1)</f>
        <v>3.3076773187841191E-2</v>
      </c>
      <c r="W307" s="7">
        <v>22.081</v>
      </c>
      <c r="X307" s="8">
        <f>IF(Tabela1[[#This Row],[Core PCE]]="",#N/A,((Tabela1[[#This Row],[Core PCE]]*1)/W306)-1)</f>
        <v>2.3150249659553701E-3</v>
      </c>
      <c r="Y307" s="8">
        <f>IF(Tabela1[[#This Row],[Core PCE]]="",#N/A,((Tabela1[[#This Row],[Core PCE]]*1)/W295)-1)</f>
        <v>3.182242990654216E-2</v>
      </c>
      <c r="Z307" s="8">
        <f t="shared" si="13"/>
        <v>2.6382678809860671E-2</v>
      </c>
      <c r="AA307" s="8">
        <f t="shared" si="12"/>
        <v>3.3386172236708145E-2</v>
      </c>
      <c r="AB307" s="7"/>
      <c r="AC307" s="7"/>
      <c r="AD307" s="8"/>
      <c r="AE307" s="71"/>
      <c r="AF307" s="7"/>
      <c r="AG307" s="5"/>
    </row>
    <row r="308" spans="1:33" ht="12.75">
      <c r="A308" s="6">
        <v>26451</v>
      </c>
      <c r="B308" s="7">
        <v>41.7</v>
      </c>
      <c r="C308" s="8">
        <f>IF(Tabela1[[#This Row],[Consumer Price Index (CPI)]]="",#N/A,((Tabela1[[#This Row],[Consumer Price Index (CPI)]]*1)/B307)-1)</f>
        <v>2.4038461538462563E-3</v>
      </c>
      <c r="D308" s="8">
        <f>IF(Tabela1[[#This Row],[Consumer Price Index (CPI)]]="",#N/A,((Tabela1[[#This Row],[Consumer Price Index (CPI)]]*1)/B296)-1)</f>
        <v>2.9629629629629672E-2</v>
      </c>
      <c r="E308" s="25">
        <v>44</v>
      </c>
      <c r="F308" s="8">
        <f>IF(Tabela1[[#This Row],[Core Consumer Price Index]]="",#N/A,((Tabela1[[#This Row],[Core Consumer Price Index]]*1)/E307)-1)</f>
        <v>2.277904328018332E-3</v>
      </c>
      <c r="G308" s="8">
        <f>IF(Tabela1[[#This Row],[Core Consumer Price Index]]="",#N/A,((Tabela1[[#This Row],[Core Consumer Price Index]]*1)/E296)-1)</f>
        <v>2.8037383177570208E-2</v>
      </c>
      <c r="H308" s="8">
        <f t="shared" si="10"/>
        <v>3.6592661256608316E-2</v>
      </c>
      <c r="I308" s="8">
        <f t="shared" si="11"/>
        <v>3.2131907066413223E-2</v>
      </c>
      <c r="J308" s="25">
        <v>38.4</v>
      </c>
      <c r="K308" s="8">
        <f>IF(Tabela1[[#This Row],[Services CPI]]="",#N/A,((Tabela1[[#This Row],[Services CPI]]*1)/J307)-1)</f>
        <v>2.6109660574413773E-3</v>
      </c>
      <c r="L308" s="8">
        <f>IF(Tabela1[[#This Row],[Services CPI]]="",#N/A,((Tabela1[[#This Row],[Services CPI]]*1)/J296)-1)</f>
        <v>3.7837837837837895E-2</v>
      </c>
      <c r="M308" s="7">
        <v>39.4</v>
      </c>
      <c r="N308" s="8">
        <f>IF(Tabela1[[#This Row],[Core-Services CPI]]="",#N/A,((Tabela1[[#This Row],[Core-Services CPI]]*1)/M307)-1)</f>
        <v>5.1020408163264808E-3</v>
      </c>
      <c r="O308" s="8">
        <f>IF(Tabela1[[#This Row],[Core-Services CPI]]="",#N/A,((Tabela1[[#This Row],[Core-Services CPI]]*1)/M296)-1)</f>
        <v>3.9577836411609502E-2</v>
      </c>
      <c r="P308" s="7">
        <v>46.8</v>
      </c>
      <c r="Q308" s="8">
        <f>IF(Tabela1[[#This Row],[Durable Goods CPI]]="",#N/A,((Tabela1[[#This Row],[Durable Goods CPI]]*1)/P307)-1)</f>
        <v>2.1413276231261325E-3</v>
      </c>
      <c r="R308" s="8">
        <f>IF(Tabela1[[#This Row],[Durable Goods CPI]]="",#N/A,((Tabela1[[#This Row],[Durable Goods CPI]]*1)/P296)-1)</f>
        <v>1.5184381778741818E-2</v>
      </c>
      <c r="S308" s="7">
        <v>3.9910158080000002</v>
      </c>
      <c r="T308" s="7">
        <v>21.239000000000001</v>
      </c>
      <c r="U308" s="8">
        <f>IF(Tabela1[[#This Row],[Personal Consumption Expenditures (PCE)]]="",#N/A,((Tabela1[[#This Row],[Personal Consumption Expenditures (PCE)]]*1)/T307)-1)</f>
        <v>1.5089357287687566E-3</v>
      </c>
      <c r="V308" s="8">
        <f>IF(Tabela1[[#This Row],[Personal Consumption Expenditures (PCE)]]="",#N/A,((Tabela1[[#This Row],[Personal Consumption Expenditures (PCE)]]*1)/T296)-1)</f>
        <v>3.006935350889961E-2</v>
      </c>
      <c r="W308" s="7">
        <v>22.126000000000001</v>
      </c>
      <c r="X308" s="8">
        <f>IF(Tabela1[[#This Row],[Core PCE]]="",#N/A,((Tabela1[[#This Row],[Core PCE]]*1)/W307)-1)</f>
        <v>2.037951179747477E-3</v>
      </c>
      <c r="Y308" s="8">
        <f>IF(Tabela1[[#This Row],[Core PCE]]="",#N/A,((Tabela1[[#This Row],[Core PCE]]*1)/W296)-1)</f>
        <v>2.9834768443099957E-2</v>
      </c>
      <c r="Z308" s="8">
        <f t="shared" si="13"/>
        <v>2.6693491552191695E-2</v>
      </c>
      <c r="AA308" s="8">
        <f t="shared" si="12"/>
        <v>3.1199411122266874E-2</v>
      </c>
      <c r="AB308" s="7"/>
      <c r="AC308" s="7"/>
      <c r="AD308" s="8"/>
      <c r="AE308" s="71"/>
      <c r="AF308" s="7"/>
      <c r="AG308" s="5"/>
    </row>
    <row r="309" spans="1:33" ht="12.75">
      <c r="A309" s="6">
        <v>26481</v>
      </c>
      <c r="B309" s="7">
        <v>41.8</v>
      </c>
      <c r="C309" s="8">
        <f>IF(Tabela1[[#This Row],[Consumer Price Index (CPI)]]="",#N/A,((Tabela1[[#This Row],[Consumer Price Index (CPI)]]*1)/B308)-1)</f>
        <v>2.3980815347719453E-3</v>
      </c>
      <c r="D309" s="8">
        <f>IF(Tabela1[[#This Row],[Consumer Price Index (CPI)]]="",#N/A,((Tabela1[[#This Row],[Consumer Price Index (CPI)]]*1)/B297)-1)</f>
        <v>2.9556650246305383E-2</v>
      </c>
      <c r="E309" s="25">
        <v>44.1</v>
      </c>
      <c r="F309" s="8">
        <f>IF(Tabela1[[#This Row],[Core Consumer Price Index]]="",#N/A,((Tabela1[[#This Row],[Core Consumer Price Index]]*1)/E308)-1)</f>
        <v>2.2727272727272041E-3</v>
      </c>
      <c r="G309" s="8">
        <f>IF(Tabela1[[#This Row],[Core Consumer Price Index]]="",#N/A,((Tabela1[[#This Row],[Core Consumer Price Index]]*1)/E297)-1)</f>
        <v>2.7972027972028135E-2</v>
      </c>
      <c r="H309" s="8">
        <f t="shared" si="10"/>
        <v>2.7334946494306678E-2</v>
      </c>
      <c r="I309" s="8">
        <f t="shared" si="11"/>
        <v>2.7439486323183715E-2</v>
      </c>
      <c r="J309" s="25">
        <v>38.5</v>
      </c>
      <c r="K309" s="8">
        <f>IF(Tabela1[[#This Row],[Services CPI]]="",#N/A,((Tabela1[[#This Row],[Services CPI]]*1)/J308)-1)</f>
        <v>2.6041666666667407E-3</v>
      </c>
      <c r="L309" s="8">
        <f>IF(Tabela1[[#This Row],[Services CPI]]="",#N/A,((Tabela1[[#This Row],[Services CPI]]*1)/J297)-1)</f>
        <v>3.7735849056603765E-2</v>
      </c>
      <c r="M309" s="7">
        <v>39.5</v>
      </c>
      <c r="N309" s="8">
        <f>IF(Tabela1[[#This Row],[Core-Services CPI]]="",#N/A,((Tabela1[[#This Row],[Core-Services CPI]]*1)/M308)-1)</f>
        <v>2.5380710659899108E-3</v>
      </c>
      <c r="O309" s="8">
        <f>IF(Tabela1[[#This Row],[Core-Services CPI]]="",#N/A,((Tabela1[[#This Row],[Core-Services CPI]]*1)/M297)-1)</f>
        <v>3.6745406824146842E-2</v>
      </c>
      <c r="P309" s="7">
        <v>47</v>
      </c>
      <c r="Q309" s="8">
        <f>IF(Tabela1[[#This Row],[Durable Goods CPI]]="",#N/A,((Tabela1[[#This Row],[Durable Goods CPI]]*1)/P308)-1)</f>
        <v>4.2735042735042583E-3</v>
      </c>
      <c r="R309" s="8">
        <f>IF(Tabela1[[#This Row],[Durable Goods CPI]]="",#N/A,((Tabela1[[#This Row],[Durable Goods CPI]]*1)/P297)-1)</f>
        <v>1.7316017316017174E-2</v>
      </c>
      <c r="S309" s="7">
        <v>3.8807131290000001</v>
      </c>
      <c r="T309" s="7">
        <v>21.315000000000001</v>
      </c>
      <c r="U309" s="8">
        <f>IF(Tabela1[[#This Row],[Personal Consumption Expenditures (PCE)]]="",#N/A,((Tabela1[[#This Row],[Personal Consumption Expenditures (PCE)]]*1)/T308)-1)</f>
        <v>3.5783228965582392E-3</v>
      </c>
      <c r="V309" s="8">
        <f>IF(Tabela1[[#This Row],[Personal Consumption Expenditures (PCE)]]="",#N/A,((Tabela1[[#This Row],[Personal Consumption Expenditures (PCE)]]*1)/T297)-1)</f>
        <v>3.0656157826023822E-2</v>
      </c>
      <c r="W309" s="7">
        <v>22.189</v>
      </c>
      <c r="X309" s="8">
        <f>IF(Tabela1[[#This Row],[Core PCE]]="",#N/A,((Tabela1[[#This Row],[Core PCE]]*1)/W308)-1)</f>
        <v>2.8473289342854091E-3</v>
      </c>
      <c r="Y309" s="8">
        <f>IF(Tabela1[[#This Row],[Core PCE]]="",#N/A,((Tabela1[[#This Row],[Core PCE]]*1)/W297)-1)</f>
        <v>2.884035795428197E-2</v>
      </c>
      <c r="Z309" s="8">
        <f t="shared" si="13"/>
        <v>2.8801220319953025E-2</v>
      </c>
      <c r="AA309" s="8">
        <f t="shared" si="12"/>
        <v>2.83556922005328E-2</v>
      </c>
      <c r="AB309" s="7"/>
      <c r="AC309" s="7"/>
      <c r="AD309" s="8"/>
      <c r="AE309" s="71"/>
      <c r="AF309" s="7"/>
      <c r="AG309" s="5"/>
    </row>
    <row r="310" spans="1:33" ht="12.75">
      <c r="A310" s="6">
        <v>26512</v>
      </c>
      <c r="B310" s="7">
        <v>41.9</v>
      </c>
      <c r="C310" s="8">
        <f>IF(Tabela1[[#This Row],[Consumer Price Index (CPI)]]="",#N/A,((Tabela1[[#This Row],[Consumer Price Index (CPI)]]*1)/B309)-1)</f>
        <v>2.3923444976077235E-3</v>
      </c>
      <c r="D310" s="8">
        <f>IF(Tabela1[[#This Row],[Consumer Price Index (CPI)]]="",#N/A,((Tabela1[[#This Row],[Consumer Price Index (CPI)]]*1)/B298)-1)</f>
        <v>2.9484029484029284E-2</v>
      </c>
      <c r="E310" s="25">
        <v>44.3</v>
      </c>
      <c r="F310" s="8">
        <f>IF(Tabela1[[#This Row],[Core Consumer Price Index]]="",#N/A,((Tabela1[[#This Row],[Core Consumer Price Index]]*1)/E309)-1)</f>
        <v>4.5351473922901064E-3</v>
      </c>
      <c r="G310" s="8">
        <f>IF(Tabela1[[#This Row],[Core Consumer Price Index]]="",#N/A,((Tabela1[[#This Row],[Core Consumer Price Index]]*1)/E298)-1)</f>
        <v>3.0232558139534849E-2</v>
      </c>
      <c r="H310" s="8">
        <f t="shared" si="10"/>
        <v>3.634311597214257E-2</v>
      </c>
      <c r="I310" s="8">
        <f t="shared" si="11"/>
        <v>3.1912079958338779E-2</v>
      </c>
      <c r="J310" s="25">
        <v>38.6</v>
      </c>
      <c r="K310" s="8">
        <f>IF(Tabela1[[#This Row],[Services CPI]]="",#N/A,((Tabela1[[#This Row],[Services CPI]]*1)/J309)-1)</f>
        <v>2.5974025974027093E-3</v>
      </c>
      <c r="L310" s="8">
        <f>IF(Tabela1[[#This Row],[Services CPI]]="",#N/A,((Tabela1[[#This Row],[Services CPI]]*1)/J298)-1)</f>
        <v>3.4852546916890104E-2</v>
      </c>
      <c r="M310" s="7">
        <v>39.6</v>
      </c>
      <c r="N310" s="8">
        <f>IF(Tabela1[[#This Row],[Core-Services CPI]]="",#N/A,((Tabela1[[#This Row],[Core-Services CPI]]*1)/M309)-1)</f>
        <v>2.5316455696202667E-3</v>
      </c>
      <c r="O310" s="8">
        <f>IF(Tabela1[[#This Row],[Core-Services CPI]]="",#N/A,((Tabela1[[#This Row],[Core-Services CPI]]*1)/M298)-1)</f>
        <v>3.3942558746736351E-2</v>
      </c>
      <c r="P310" s="7">
        <v>47.1</v>
      </c>
      <c r="Q310" s="8">
        <f>IF(Tabela1[[#This Row],[Durable Goods CPI]]="",#N/A,((Tabela1[[#This Row],[Durable Goods CPI]]*1)/P309)-1)</f>
        <v>2.1276595744681437E-3</v>
      </c>
      <c r="R310" s="8">
        <f>IF(Tabela1[[#This Row],[Durable Goods CPI]]="",#N/A,((Tabela1[[#This Row],[Durable Goods CPI]]*1)/P298)-1)</f>
        <v>2.1691973969631295E-2</v>
      </c>
      <c r="S310" s="7">
        <v>3.5042406060000002</v>
      </c>
      <c r="T310" s="7">
        <v>21.376999999999999</v>
      </c>
      <c r="U310" s="8">
        <f>IF(Tabela1[[#This Row],[Personal Consumption Expenditures (PCE)]]="",#N/A,((Tabela1[[#This Row],[Personal Consumption Expenditures (PCE)]]*1)/T309)-1)</f>
        <v>2.9087497067792345E-3</v>
      </c>
      <c r="V310" s="8">
        <f>IF(Tabela1[[#This Row],[Personal Consumption Expenditures (PCE)]]="",#N/A,((Tabela1[[#This Row],[Personal Consumption Expenditures (PCE)]]*1)/T298)-1)</f>
        <v>3.066390241550554E-2</v>
      </c>
      <c r="W310" s="7">
        <v>22.236000000000001</v>
      </c>
      <c r="X310" s="8">
        <f>IF(Tabela1[[#This Row],[Core PCE]]="",#N/A,((Tabela1[[#This Row],[Core PCE]]*1)/W309)-1)</f>
        <v>2.1181666591554293E-3</v>
      </c>
      <c r="Y310" s="8">
        <f>IF(Tabela1[[#This Row],[Core PCE]]="",#N/A,((Tabela1[[#This Row],[Core PCE]]*1)/W298)-1)</f>
        <v>2.9587442700375055E-2</v>
      </c>
      <c r="Z310" s="8">
        <f t="shared" si="13"/>
        <v>2.8013787092753262E-2</v>
      </c>
      <c r="AA310" s="8">
        <f t="shared" si="12"/>
        <v>2.7198232951306966E-2</v>
      </c>
      <c r="AB310" s="7"/>
      <c r="AC310" s="7"/>
      <c r="AD310" s="8"/>
      <c r="AE310" s="71"/>
      <c r="AF310" s="7"/>
      <c r="AG310" s="5"/>
    </row>
    <row r="311" spans="1:33" ht="12.75">
      <c r="A311" s="6">
        <v>26543</v>
      </c>
      <c r="B311" s="7">
        <v>42.1</v>
      </c>
      <c r="C311" s="8">
        <f>IF(Tabela1[[#This Row],[Consumer Price Index (CPI)]]="",#N/A,((Tabela1[[#This Row],[Consumer Price Index (CPI)]]*1)/B310)-1)</f>
        <v>4.7732696897375693E-3</v>
      </c>
      <c r="D311" s="8">
        <f>IF(Tabela1[[#This Row],[Consumer Price Index (CPI)]]="",#N/A,((Tabela1[[#This Row],[Consumer Price Index (CPI)]]*1)/B299)-1)</f>
        <v>3.1862745098039325E-2</v>
      </c>
      <c r="E311" s="25">
        <v>44.3</v>
      </c>
      <c r="F311" s="8">
        <f>IF(Tabela1[[#This Row],[Core Consumer Price Index]]="",#N/A,((Tabela1[[#This Row],[Core Consumer Price Index]]*1)/E310)-1)</f>
        <v>0</v>
      </c>
      <c r="G311" s="8">
        <f>IF(Tabela1[[#This Row],[Core Consumer Price Index]]="",#N/A,((Tabela1[[#This Row],[Core Consumer Price Index]]*1)/E299)-1)</f>
        <v>3.0232558139534849E-2</v>
      </c>
      <c r="H311" s="8">
        <f t="shared" si="10"/>
        <v>2.7231498660069242E-2</v>
      </c>
      <c r="I311" s="8">
        <f t="shared" si="11"/>
        <v>3.1912079958338779E-2</v>
      </c>
      <c r="J311" s="25">
        <v>38.700000000000003</v>
      </c>
      <c r="K311" s="8">
        <f>IF(Tabela1[[#This Row],[Services CPI]]="",#N/A,((Tabela1[[#This Row],[Services CPI]]*1)/J310)-1)</f>
        <v>2.5906735751295429E-3</v>
      </c>
      <c r="L311" s="8">
        <f>IF(Tabela1[[#This Row],[Services CPI]]="",#N/A,((Tabela1[[#This Row],[Services CPI]]*1)/J299)-1)</f>
        <v>3.4759358288770192E-2</v>
      </c>
      <c r="M311" s="7">
        <v>39.700000000000003</v>
      </c>
      <c r="N311" s="8">
        <f>IF(Tabela1[[#This Row],[Core-Services CPI]]="",#N/A,((Tabela1[[#This Row],[Core-Services CPI]]*1)/M310)-1)</f>
        <v>2.525252525252597E-3</v>
      </c>
      <c r="O311" s="8">
        <f>IF(Tabela1[[#This Row],[Core-Services CPI]]="",#N/A,((Tabela1[[#This Row],[Core-Services CPI]]*1)/M299)-1)</f>
        <v>3.3854166666666741E-2</v>
      </c>
      <c r="P311" s="7">
        <v>47.2</v>
      </c>
      <c r="Q311" s="8">
        <f>IF(Tabela1[[#This Row],[Durable Goods CPI]]="",#N/A,((Tabela1[[#This Row],[Durable Goods CPI]]*1)/P310)-1)</f>
        <v>2.1231422505307851E-3</v>
      </c>
      <c r="R311" s="8">
        <f>IF(Tabela1[[#This Row],[Durable Goods CPI]]="",#N/A,((Tabela1[[#This Row],[Durable Goods CPI]]*1)/P299)-1)</f>
        <v>2.6086956521739202E-2</v>
      </c>
      <c r="S311" s="7">
        <v>3.481835749</v>
      </c>
      <c r="T311" s="7">
        <v>21.472999999999999</v>
      </c>
      <c r="U311" s="8">
        <f>IF(Tabela1[[#This Row],[Personal Consumption Expenditures (PCE)]]="",#N/A,((Tabela1[[#This Row],[Personal Consumption Expenditures (PCE)]]*1)/T310)-1)</f>
        <v>4.4908078776255689E-3</v>
      </c>
      <c r="V311" s="8">
        <f>IF(Tabela1[[#This Row],[Personal Consumption Expenditures (PCE)]]="",#N/A,((Tabela1[[#This Row],[Personal Consumption Expenditures (PCE)]]*1)/T299)-1)</f>
        <v>3.3747352204891223E-2</v>
      </c>
      <c r="W311" s="7">
        <v>22.31</v>
      </c>
      <c r="X311" s="8">
        <f>IF(Tabela1[[#This Row],[Core PCE]]="",#N/A,((Tabela1[[#This Row],[Core PCE]]*1)/W310)-1)</f>
        <v>3.3279366792586806E-3</v>
      </c>
      <c r="Y311" s="8">
        <f>IF(Tabela1[[#This Row],[Core PCE]]="",#N/A,((Tabela1[[#This Row],[Core PCE]]*1)/W299)-1)</f>
        <v>3.12947811214348E-2</v>
      </c>
      <c r="Z311" s="8">
        <f t="shared" si="13"/>
        <v>3.3173729090798076E-2</v>
      </c>
      <c r="AA311" s="8">
        <f t="shared" si="12"/>
        <v>2.9933610321494886E-2</v>
      </c>
      <c r="AB311" s="7"/>
      <c r="AC311" s="7"/>
      <c r="AD311" s="8"/>
      <c r="AE311" s="71"/>
      <c r="AF311" s="7"/>
      <c r="AG311" s="5"/>
    </row>
    <row r="312" spans="1:33" ht="12.75">
      <c r="A312" s="6">
        <v>26573</v>
      </c>
      <c r="B312" s="7">
        <v>42.2</v>
      </c>
      <c r="C312" s="8">
        <f>IF(Tabela1[[#This Row],[Consumer Price Index (CPI)]]="",#N/A,((Tabela1[[#This Row],[Consumer Price Index (CPI)]]*1)/B311)-1)</f>
        <v>2.3752969121140222E-3</v>
      </c>
      <c r="D312" s="8">
        <f>IF(Tabela1[[#This Row],[Consumer Price Index (CPI)]]="",#N/A,((Tabela1[[#This Row],[Consumer Price Index (CPI)]]*1)/B300)-1)</f>
        <v>3.1784841075794823E-2</v>
      </c>
      <c r="E312" s="25">
        <v>44.4</v>
      </c>
      <c r="F312" s="8">
        <f>IF(Tabela1[[#This Row],[Core Consumer Price Index]]="",#N/A,((Tabela1[[#This Row],[Core Consumer Price Index]]*1)/E311)-1)</f>
        <v>2.2573363431150906E-3</v>
      </c>
      <c r="G312" s="8">
        <f>IF(Tabela1[[#This Row],[Core Consumer Price Index]]="",#N/A,((Tabela1[[#This Row],[Core Consumer Price Index]]*1)/E300)-1)</f>
        <v>3.0162412993039345E-2</v>
      </c>
      <c r="H312" s="8">
        <f t="shared" si="10"/>
        <v>2.7169934941620788E-2</v>
      </c>
      <c r="I312" s="8">
        <f t="shared" si="11"/>
        <v>2.7252440717963733E-2</v>
      </c>
      <c r="J312" s="25">
        <v>38.799999999999997</v>
      </c>
      <c r="K312" s="8">
        <f>IF(Tabela1[[#This Row],[Services CPI]]="",#N/A,((Tabela1[[#This Row],[Services CPI]]*1)/J311)-1)</f>
        <v>2.5839793281652312E-3</v>
      </c>
      <c r="L312" s="8">
        <f>IF(Tabela1[[#This Row],[Services CPI]]="",#N/A,((Tabela1[[#This Row],[Services CPI]]*1)/J300)-1)</f>
        <v>3.4666666666666623E-2</v>
      </c>
      <c r="M312" s="7">
        <v>39.799999999999997</v>
      </c>
      <c r="N312" s="8">
        <f>IF(Tabela1[[#This Row],[Core-Services CPI]]="",#N/A,((Tabela1[[#This Row],[Core-Services CPI]]*1)/M311)-1)</f>
        <v>2.5188916876572875E-3</v>
      </c>
      <c r="O312" s="8">
        <f>IF(Tabela1[[#This Row],[Core-Services CPI]]="",#N/A,((Tabela1[[#This Row],[Core-Services CPI]]*1)/M300)-1)</f>
        <v>3.3766233766233666E-2</v>
      </c>
      <c r="P312" s="7">
        <v>47.2</v>
      </c>
      <c r="Q312" s="8">
        <f>IF(Tabela1[[#This Row],[Durable Goods CPI]]="",#N/A,((Tabela1[[#This Row],[Durable Goods CPI]]*1)/P311)-1)</f>
        <v>0</v>
      </c>
      <c r="R312" s="8">
        <f>IF(Tabela1[[#This Row],[Durable Goods CPI]]="",#N/A,((Tabela1[[#This Row],[Durable Goods CPI]]*1)/P300)-1)</f>
        <v>2.6086956521739202E-2</v>
      </c>
      <c r="S312" s="7">
        <v>3.3806013190000002</v>
      </c>
      <c r="T312" s="7">
        <v>21.497</v>
      </c>
      <c r="U312" s="8">
        <f>IF(Tabela1[[#This Row],[Personal Consumption Expenditures (PCE)]]="",#N/A,((Tabela1[[#This Row],[Personal Consumption Expenditures (PCE)]]*1)/T311)-1)</f>
        <v>1.1176826712615551E-3</v>
      </c>
      <c r="V312" s="8">
        <f>IF(Tabela1[[#This Row],[Personal Consumption Expenditures (PCE)]]="",#N/A,((Tabela1[[#This Row],[Personal Consumption Expenditures (PCE)]]*1)/T300)-1)</f>
        <v>3.3310901749663557E-2</v>
      </c>
      <c r="W312" s="7">
        <v>22.323</v>
      </c>
      <c r="X312" s="8">
        <f>IF(Tabela1[[#This Row],[Core PCE]]="",#N/A,((Tabela1[[#This Row],[Core PCE]]*1)/W311)-1)</f>
        <v>5.8269834155089129E-4</v>
      </c>
      <c r="Y312" s="8">
        <f>IF(Tabela1[[#This Row],[Core PCE]]="",#N/A,((Tabela1[[#This Row],[Core PCE]]*1)/W300)-1)</f>
        <v>3.0276457285272507E-2</v>
      </c>
      <c r="Z312" s="8">
        <f t="shared" si="13"/>
        <v>2.4115206719860005E-2</v>
      </c>
      <c r="AA312" s="8">
        <f t="shared" si="12"/>
        <v>2.6458213519906515E-2</v>
      </c>
      <c r="AB312" s="7"/>
      <c r="AC312" s="7"/>
      <c r="AD312" s="8"/>
      <c r="AE312" s="71"/>
      <c r="AF312" s="7"/>
      <c r="AG312" s="5"/>
    </row>
    <row r="313" spans="1:33" ht="12.75">
      <c r="A313" s="6">
        <v>26604</v>
      </c>
      <c r="B313" s="7">
        <v>42.4</v>
      </c>
      <c r="C313" s="8">
        <f>IF(Tabela1[[#This Row],[Consumer Price Index (CPI)]]="",#N/A,((Tabela1[[#This Row],[Consumer Price Index (CPI)]]*1)/B312)-1)</f>
        <v>4.7393364928909332E-3</v>
      </c>
      <c r="D313" s="8">
        <f>IF(Tabela1[[#This Row],[Consumer Price Index (CPI)]]="",#N/A,((Tabela1[[#This Row],[Consumer Price Index (CPI)]]*1)/B301)-1)</f>
        <v>3.4146341463414664E-2</v>
      </c>
      <c r="E313" s="25">
        <v>44.4</v>
      </c>
      <c r="F313" s="8">
        <f>IF(Tabela1[[#This Row],[Core Consumer Price Index]]="",#N/A,((Tabela1[[#This Row],[Core Consumer Price Index]]*1)/E312)-1)</f>
        <v>0</v>
      </c>
      <c r="G313" s="8">
        <f>IF(Tabela1[[#This Row],[Core Consumer Price Index]]="",#N/A,((Tabela1[[#This Row],[Core Consumer Price Index]]*1)/E301)-1)</f>
        <v>2.7777777777777679E-2</v>
      </c>
      <c r="H313" s="8">
        <f t="shared" si="10"/>
        <v>9.0293453724603623E-3</v>
      </c>
      <c r="I313" s="8">
        <f t="shared" si="11"/>
        <v>2.2686230672301466E-2</v>
      </c>
      <c r="J313" s="25">
        <v>38.9</v>
      </c>
      <c r="K313" s="8">
        <f>IF(Tabela1[[#This Row],[Services CPI]]="",#N/A,((Tabela1[[#This Row],[Services CPI]]*1)/J312)-1)</f>
        <v>2.5773195876288568E-3</v>
      </c>
      <c r="L313" s="8">
        <f>IF(Tabela1[[#This Row],[Services CPI]]="",#N/A,((Tabela1[[#This Row],[Services CPI]]*1)/J301)-1)</f>
        <v>3.4574468085106336E-2</v>
      </c>
      <c r="M313" s="7">
        <v>39.9</v>
      </c>
      <c r="N313" s="8">
        <f>IF(Tabela1[[#This Row],[Core-Services CPI]]="",#N/A,((Tabela1[[#This Row],[Core-Services CPI]]*1)/M312)-1)</f>
        <v>2.5125628140703071E-3</v>
      </c>
      <c r="O313" s="8">
        <f>IF(Tabela1[[#This Row],[Core-Services CPI]]="",#N/A,((Tabela1[[#This Row],[Core-Services CPI]]*1)/M301)-1)</f>
        <v>3.3678756476683835E-2</v>
      </c>
      <c r="P313" s="7">
        <v>47.3</v>
      </c>
      <c r="Q313" s="8">
        <f>IF(Tabela1[[#This Row],[Durable Goods CPI]]="",#N/A,((Tabela1[[#This Row],[Durable Goods CPI]]*1)/P312)-1)</f>
        <v>2.1186440677964935E-3</v>
      </c>
      <c r="R313" s="8">
        <f>IF(Tabela1[[#This Row],[Durable Goods CPI]]="",#N/A,((Tabela1[[#This Row],[Durable Goods CPI]]*1)/P301)-1)</f>
        <v>2.6030368763557465E-2</v>
      </c>
      <c r="S313" s="7">
        <v>3.1378354659999999</v>
      </c>
      <c r="T313" s="7">
        <v>21.561</v>
      </c>
      <c r="U313" s="8">
        <f>IF(Tabela1[[#This Row],[Personal Consumption Expenditures (PCE)]]="",#N/A,((Tabela1[[#This Row],[Personal Consumption Expenditures (PCE)]]*1)/T312)-1)</f>
        <v>2.9771596036656245E-3</v>
      </c>
      <c r="V313" s="8">
        <f>IF(Tabela1[[#This Row],[Personal Consumption Expenditures (PCE)]]="",#N/A,((Tabela1[[#This Row],[Personal Consumption Expenditures (PCE)]]*1)/T301)-1)</f>
        <v>3.4249532306806607E-2</v>
      </c>
      <c r="W313" s="7">
        <v>22.382000000000001</v>
      </c>
      <c r="X313" s="8">
        <f>IF(Tabela1[[#This Row],[Core PCE]]="",#N/A,((Tabela1[[#This Row],[Core PCE]]*1)/W312)-1)</f>
        <v>2.6430139318192047E-3</v>
      </c>
      <c r="Y313" s="8">
        <f>IF(Tabela1[[#This Row],[Core PCE]]="",#N/A,((Tabela1[[#This Row],[Core PCE]]*1)/W301)-1)</f>
        <v>3.0668631423834913E-2</v>
      </c>
      <c r="Z313" s="8">
        <f t="shared" si="13"/>
        <v>2.6214595810515107E-2</v>
      </c>
      <c r="AA313" s="8">
        <f t="shared" si="12"/>
        <v>2.7114191451634184E-2</v>
      </c>
      <c r="AB313" s="7"/>
      <c r="AC313" s="7"/>
      <c r="AD313" s="8"/>
      <c r="AE313" s="71"/>
      <c r="AF313" s="7"/>
      <c r="AG313" s="5"/>
    </row>
    <row r="314" spans="1:33" ht="12.75">
      <c r="A314" s="6">
        <v>26634</v>
      </c>
      <c r="B314" s="7">
        <v>42.5</v>
      </c>
      <c r="C314" s="8">
        <f>IF(Tabela1[[#This Row],[Consumer Price Index (CPI)]]="",#N/A,((Tabela1[[#This Row],[Consumer Price Index (CPI)]]*1)/B313)-1)</f>
        <v>2.3584905660378741E-3</v>
      </c>
      <c r="D314" s="8">
        <f>IF(Tabela1[[#This Row],[Consumer Price Index (CPI)]]="",#N/A,((Tabela1[[#This Row],[Consumer Price Index (CPI)]]*1)/B302)-1)</f>
        <v>3.4063260340632562E-2</v>
      </c>
      <c r="E314" s="25">
        <v>44.6</v>
      </c>
      <c r="F314" s="8">
        <f>IF(Tabela1[[#This Row],[Core Consumer Price Index]]="",#N/A,((Tabela1[[#This Row],[Core Consumer Price Index]]*1)/E313)-1)</f>
        <v>4.5045045045044585E-3</v>
      </c>
      <c r="G314" s="8">
        <f>IF(Tabela1[[#This Row],[Core Consumer Price Index]]="",#N/A,((Tabela1[[#This Row],[Core Consumer Price Index]]*1)/E302)-1)</f>
        <v>3.0023094688221841E-2</v>
      </c>
      <c r="H314" s="8">
        <f t="shared" si="10"/>
        <v>2.7047363390478196E-2</v>
      </c>
      <c r="I314" s="8">
        <f t="shared" si="11"/>
        <v>2.7139431025273719E-2</v>
      </c>
      <c r="J314" s="25">
        <v>39</v>
      </c>
      <c r="K314" s="8">
        <f>IF(Tabela1[[#This Row],[Services CPI]]="",#N/A,((Tabela1[[#This Row],[Services CPI]]*1)/J313)-1)</f>
        <v>2.5706940874037354E-3</v>
      </c>
      <c r="L314" s="8">
        <f>IF(Tabela1[[#This Row],[Services CPI]]="",#N/A,((Tabela1[[#This Row],[Services CPI]]*1)/J302)-1)</f>
        <v>3.4482758620689502E-2</v>
      </c>
      <c r="M314" s="7">
        <v>40</v>
      </c>
      <c r="N314" s="8">
        <f>IF(Tabela1[[#This Row],[Core-Services CPI]]="",#N/A,((Tabela1[[#This Row],[Core-Services CPI]]*1)/M313)-1)</f>
        <v>2.5062656641603454E-3</v>
      </c>
      <c r="O314" s="8">
        <f>IF(Tabela1[[#This Row],[Core-Services CPI]]="",#N/A,((Tabela1[[#This Row],[Core-Services CPI]]*1)/M302)-1)</f>
        <v>3.3591731266149782E-2</v>
      </c>
      <c r="P314" s="7">
        <v>47.5</v>
      </c>
      <c r="Q314" s="8">
        <f>IF(Tabela1[[#This Row],[Durable Goods CPI]]="",#N/A,((Tabela1[[#This Row],[Durable Goods CPI]]*1)/P313)-1)</f>
        <v>4.2283298097252064E-3</v>
      </c>
      <c r="R314" s="8">
        <f>IF(Tabela1[[#This Row],[Durable Goods CPI]]="",#N/A,((Tabela1[[#This Row],[Durable Goods CPI]]*1)/P302)-1)</f>
        <v>2.8138528138528018E-2</v>
      </c>
      <c r="S314" s="7">
        <v>3.3441400469999998</v>
      </c>
      <c r="T314" s="7">
        <v>21.63</v>
      </c>
      <c r="U314" s="8">
        <f>IF(Tabela1[[#This Row],[Personal Consumption Expenditures (PCE)]]="",#N/A,((Tabela1[[#This Row],[Personal Consumption Expenditures (PCE)]]*1)/T313)-1)</f>
        <v>3.2002226241825138E-3</v>
      </c>
      <c r="V314" s="8">
        <f>IF(Tabela1[[#This Row],[Personal Consumption Expenditures (PCE)]]="",#N/A,((Tabela1[[#This Row],[Personal Consumption Expenditures (PCE)]]*1)/T302)-1)</f>
        <v>3.3494194658129972E-2</v>
      </c>
      <c r="W314" s="7">
        <v>22.449000000000002</v>
      </c>
      <c r="X314" s="8">
        <f>IF(Tabela1[[#This Row],[Core PCE]]="",#N/A,((Tabela1[[#This Row],[Core PCE]]*1)/W313)-1)</f>
        <v>2.9934769010813156E-3</v>
      </c>
      <c r="Y314" s="8">
        <f>IF(Tabela1[[#This Row],[Core PCE]]="",#N/A,((Tabela1[[#This Row],[Core PCE]]*1)/W302)-1)</f>
        <v>3.0526992287917887E-2</v>
      </c>
      <c r="Z314" s="8">
        <f t="shared" si="13"/>
        <v>2.4876756697805646E-2</v>
      </c>
      <c r="AA314" s="8">
        <f t="shared" si="12"/>
        <v>2.9025242894301861E-2</v>
      </c>
      <c r="AB314" s="7"/>
      <c r="AC314" s="7"/>
      <c r="AD314" s="8"/>
      <c r="AE314" s="71"/>
      <c r="AF314" s="7"/>
      <c r="AG314" s="5"/>
    </row>
    <row r="315" spans="1:33" ht="12.75">
      <c r="A315" s="6">
        <v>26665</v>
      </c>
      <c r="B315" s="7">
        <v>42.7</v>
      </c>
      <c r="C315" s="8">
        <f>IF(Tabela1[[#This Row],[Consumer Price Index (CPI)]]="",#N/A,((Tabela1[[#This Row],[Consumer Price Index (CPI)]]*1)/B314)-1)</f>
        <v>4.7058823529413374E-3</v>
      </c>
      <c r="D315" s="8">
        <f>IF(Tabela1[[#This Row],[Consumer Price Index (CPI)]]="",#N/A,((Tabela1[[#This Row],[Consumer Price Index (CPI)]]*1)/B303)-1)</f>
        <v>3.6407766990291357E-2</v>
      </c>
      <c r="E315" s="25">
        <v>44.6</v>
      </c>
      <c r="F315" s="8">
        <f>IF(Tabela1[[#This Row],[Core Consumer Price Index]]="",#N/A,((Tabela1[[#This Row],[Core Consumer Price Index]]*1)/E314)-1)</f>
        <v>0</v>
      </c>
      <c r="G315" s="8">
        <f>IF(Tabela1[[#This Row],[Core Consumer Price Index]]="",#N/A,((Tabela1[[#This Row],[Core Consumer Price Index]]*1)/E303)-1)</f>
        <v>2.5287356321839205E-2</v>
      </c>
      <c r="H315" s="8">
        <f t="shared" si="10"/>
        <v>1.8018018018017834E-2</v>
      </c>
      <c r="I315" s="8">
        <f t="shared" si="11"/>
        <v>2.2593976479819311E-2</v>
      </c>
      <c r="J315" s="25">
        <v>39.1</v>
      </c>
      <c r="K315" s="8">
        <f>IF(Tabela1[[#This Row],[Services CPI]]="",#N/A,((Tabela1[[#This Row],[Services CPI]]*1)/J314)-1)</f>
        <v>2.564102564102555E-3</v>
      </c>
      <c r="L315" s="8">
        <f>IF(Tabela1[[#This Row],[Services CPI]]="",#N/A,((Tabela1[[#This Row],[Services CPI]]*1)/J303)-1)</f>
        <v>3.1662269129287601E-2</v>
      </c>
      <c r="M315" s="7">
        <v>40.1</v>
      </c>
      <c r="N315" s="8">
        <f>IF(Tabela1[[#This Row],[Core-Services CPI]]="",#N/A,((Tabela1[[#This Row],[Core-Services CPI]]*1)/M314)-1)</f>
        <v>2.4999999999999467E-3</v>
      </c>
      <c r="O315" s="8">
        <f>IF(Tabela1[[#This Row],[Core-Services CPI]]="",#N/A,((Tabela1[[#This Row],[Core-Services CPI]]*1)/M303)-1)</f>
        <v>3.084832904884327E-2</v>
      </c>
      <c r="P315" s="7">
        <v>47.5</v>
      </c>
      <c r="Q315" s="8">
        <f>IF(Tabela1[[#This Row],[Durable Goods CPI]]="",#N/A,((Tabela1[[#This Row],[Durable Goods CPI]]*1)/P314)-1)</f>
        <v>0</v>
      </c>
      <c r="R315" s="8">
        <f>IF(Tabela1[[#This Row],[Durable Goods CPI]]="",#N/A,((Tabela1[[#This Row],[Durable Goods CPI]]*1)/P303)-1)</f>
        <v>2.3706896551724199E-2</v>
      </c>
      <c r="S315" s="7">
        <v>3.2810958440000002</v>
      </c>
      <c r="T315" s="7">
        <v>21.695</v>
      </c>
      <c r="U315" s="8">
        <f>IF(Tabela1[[#This Row],[Personal Consumption Expenditures (PCE)]]="",#N/A,((Tabela1[[#This Row],[Personal Consumption Expenditures (PCE)]]*1)/T314)-1)</f>
        <v>3.0050855293575207E-3</v>
      </c>
      <c r="V315" s="8">
        <f>IF(Tabela1[[#This Row],[Personal Consumption Expenditures (PCE)]]="",#N/A,((Tabela1[[#This Row],[Personal Consumption Expenditures (PCE)]]*1)/T303)-1)</f>
        <v>3.2357839638353481E-2</v>
      </c>
      <c r="W315" s="7">
        <v>22.463000000000001</v>
      </c>
      <c r="X315" s="8">
        <f>IF(Tabela1[[#This Row],[Core PCE]]="",#N/A,((Tabela1[[#This Row],[Core PCE]]*1)/W314)-1)</f>
        <v>6.2363579669466596E-4</v>
      </c>
      <c r="Y315" s="8">
        <f>IF(Tabela1[[#This Row],[Core PCE]]="",#N/A,((Tabela1[[#This Row],[Core PCE]]*1)/W303)-1)</f>
        <v>2.6786122411665225E-2</v>
      </c>
      <c r="Z315" s="8">
        <f t="shared" si="13"/>
        <v>2.5040506518380745E-2</v>
      </c>
      <c r="AA315" s="8">
        <f t="shared" si="12"/>
        <v>2.4577856619120375E-2</v>
      </c>
      <c r="AB315" s="7"/>
      <c r="AC315" s="7"/>
      <c r="AD315" s="8"/>
      <c r="AE315" s="71"/>
      <c r="AF315" s="7"/>
      <c r="AG315" s="5"/>
    </row>
    <row r="316" spans="1:33" ht="12.75">
      <c r="A316" s="6">
        <v>26696</v>
      </c>
      <c r="B316" s="7">
        <v>43</v>
      </c>
      <c r="C316" s="8">
        <f>IF(Tabela1[[#This Row],[Consumer Price Index (CPI)]]="",#N/A,((Tabela1[[#This Row],[Consumer Price Index (CPI)]]*1)/B315)-1)</f>
        <v>7.0257611241217877E-3</v>
      </c>
      <c r="D316" s="8">
        <f>IF(Tabela1[[#This Row],[Consumer Price Index (CPI)]]="",#N/A,((Tabela1[[#This Row],[Consumer Price Index (CPI)]]*1)/B304)-1)</f>
        <v>3.8647342995169032E-2</v>
      </c>
      <c r="E316" s="25">
        <v>44.8</v>
      </c>
      <c r="F316" s="8">
        <f>IF(Tabela1[[#This Row],[Core Consumer Price Index]]="",#N/A,((Tabela1[[#This Row],[Core Consumer Price Index]]*1)/E315)-1)</f>
        <v>4.484304932735439E-3</v>
      </c>
      <c r="G316" s="8">
        <f>IF(Tabela1[[#This Row],[Core Consumer Price Index]]="",#N/A,((Tabela1[[#This Row],[Core Consumer Price Index]]*1)/E304)-1)</f>
        <v>2.7522935779816349E-2</v>
      </c>
      <c r="H316" s="8">
        <f t="shared" si="10"/>
        <v>3.595523774895959E-2</v>
      </c>
      <c r="I316" s="8">
        <f t="shared" si="11"/>
        <v>2.2492291560709976E-2</v>
      </c>
      <c r="J316" s="25">
        <v>39.200000000000003</v>
      </c>
      <c r="K316" s="8">
        <f>IF(Tabela1[[#This Row],[Services CPI]]="",#N/A,((Tabela1[[#This Row],[Services CPI]]*1)/J315)-1)</f>
        <v>2.5575447570331811E-3</v>
      </c>
      <c r="L316" s="8">
        <f>IF(Tabela1[[#This Row],[Services CPI]]="",#N/A,((Tabela1[[#This Row],[Services CPI]]*1)/J304)-1)</f>
        <v>3.1578947368421151E-2</v>
      </c>
      <c r="M316" s="7">
        <v>40.200000000000003</v>
      </c>
      <c r="N316" s="8">
        <f>IF(Tabela1[[#This Row],[Core-Services CPI]]="",#N/A,((Tabela1[[#This Row],[Core-Services CPI]]*1)/M315)-1)</f>
        <v>2.4937655860348684E-3</v>
      </c>
      <c r="O316" s="8">
        <f>IF(Tabela1[[#This Row],[Core-Services CPI]]="",#N/A,((Tabela1[[#This Row],[Core-Services CPI]]*1)/M304)-1)</f>
        <v>3.0769230769230882E-2</v>
      </c>
      <c r="P316" s="7">
        <v>47.6</v>
      </c>
      <c r="Q316" s="8">
        <f>IF(Tabela1[[#This Row],[Durable Goods CPI]]="",#N/A,((Tabela1[[#This Row],[Durable Goods CPI]]*1)/P315)-1)</f>
        <v>2.1052631578948322E-3</v>
      </c>
      <c r="R316" s="8">
        <f>IF(Tabela1[[#This Row],[Durable Goods CPI]]="",#N/A,((Tabela1[[#This Row],[Durable Goods CPI]]*1)/P304)-1)</f>
        <v>2.3655913978494647E-2</v>
      </c>
      <c r="S316" s="7">
        <v>3.153985901</v>
      </c>
      <c r="T316" s="7">
        <v>21.809000000000001</v>
      </c>
      <c r="U316" s="8">
        <f>IF(Tabela1[[#This Row],[Personal Consumption Expenditures (PCE)]]="",#N/A,((Tabela1[[#This Row],[Personal Consumption Expenditures (PCE)]]*1)/T315)-1)</f>
        <v>5.2546669739572671E-3</v>
      </c>
      <c r="V316" s="8">
        <f>IF(Tabela1[[#This Row],[Personal Consumption Expenditures (PCE)]]="",#N/A,((Tabela1[[#This Row],[Personal Consumption Expenditures (PCE)]]*1)/T304)-1)</f>
        <v>3.3699876765570291E-2</v>
      </c>
      <c r="W316" s="7">
        <v>22.533999999999999</v>
      </c>
      <c r="X316" s="8">
        <f>IF(Tabela1[[#This Row],[Core PCE]]="",#N/A,((Tabela1[[#This Row],[Core PCE]]*1)/W315)-1)</f>
        <v>3.1607532386590531E-3</v>
      </c>
      <c r="Y316" s="8">
        <f>IF(Tabela1[[#This Row],[Core PCE]]="",#N/A,((Tabela1[[#This Row],[Core PCE]]*1)/W304)-1)</f>
        <v>2.7261123267687815E-2</v>
      </c>
      <c r="Z316" s="8">
        <f t="shared" si="13"/>
        <v>2.7111463745740139E-2</v>
      </c>
      <c r="AA316" s="8">
        <f t="shared" si="12"/>
        <v>2.6663029778127623E-2</v>
      </c>
      <c r="AB316" s="7"/>
      <c r="AC316" s="7"/>
      <c r="AD316" s="8"/>
      <c r="AE316" s="71"/>
      <c r="AF316" s="7"/>
      <c r="AG316" s="5"/>
    </row>
    <row r="317" spans="1:33" ht="12.75">
      <c r="A317" s="6">
        <v>26724</v>
      </c>
      <c r="B317" s="7">
        <v>43.4</v>
      </c>
      <c r="C317" s="8">
        <f>IF(Tabela1[[#This Row],[Consumer Price Index (CPI)]]="",#N/A,((Tabela1[[#This Row],[Consumer Price Index (CPI)]]*1)/B316)-1)</f>
        <v>9.302325581395321E-3</v>
      </c>
      <c r="D317" s="8">
        <f>IF(Tabela1[[#This Row],[Consumer Price Index (CPI)]]="",#N/A,((Tabela1[[#This Row],[Consumer Price Index (CPI)]]*1)/B305)-1)</f>
        <v>4.8309178743961345E-2</v>
      </c>
      <c r="E317" s="25">
        <v>45</v>
      </c>
      <c r="F317" s="8">
        <f>IF(Tabela1[[#This Row],[Core Consumer Price Index]]="",#N/A,((Tabela1[[#This Row],[Core Consumer Price Index]]*1)/E316)-1)</f>
        <v>4.4642857142858094E-3</v>
      </c>
      <c r="G317" s="8">
        <f>IF(Tabela1[[#This Row],[Core Consumer Price Index]]="",#N/A,((Tabela1[[#This Row],[Core Consumer Price Index]]*1)/E305)-1)</f>
        <v>3.2110091743119185E-2</v>
      </c>
      <c r="H317" s="8">
        <f t="shared" si="10"/>
        <v>3.5794362588084994E-2</v>
      </c>
      <c r="I317" s="8">
        <f t="shared" si="11"/>
        <v>3.1420862989281595E-2</v>
      </c>
      <c r="J317" s="25">
        <v>39.4</v>
      </c>
      <c r="K317" s="8">
        <f>IF(Tabela1[[#This Row],[Services CPI]]="",#N/A,((Tabela1[[#This Row],[Services CPI]]*1)/J316)-1)</f>
        <v>5.1020408163264808E-3</v>
      </c>
      <c r="L317" s="8">
        <f>IF(Tabela1[[#This Row],[Services CPI]]="",#N/A,((Tabela1[[#This Row],[Services CPI]]*1)/J305)-1)</f>
        <v>3.4120734908136496E-2</v>
      </c>
      <c r="M317" s="7">
        <v>40.4</v>
      </c>
      <c r="N317" s="8">
        <f>IF(Tabela1[[#This Row],[Core-Services CPI]]="",#N/A,((Tabela1[[#This Row],[Core-Services CPI]]*1)/M316)-1)</f>
        <v>4.9751243781093191E-3</v>
      </c>
      <c r="O317" s="8">
        <f>IF(Tabela1[[#This Row],[Core-Services CPI]]="",#N/A,((Tabela1[[#This Row],[Core-Services CPI]]*1)/M305)-1)</f>
        <v>3.3248081841432242E-2</v>
      </c>
      <c r="P317" s="7">
        <v>47.7</v>
      </c>
      <c r="Q317" s="8">
        <f>IF(Tabela1[[#This Row],[Durable Goods CPI]]="",#N/A,((Tabela1[[#This Row],[Durable Goods CPI]]*1)/P316)-1)</f>
        <v>2.1008403361344463E-3</v>
      </c>
      <c r="R317" s="8">
        <f>IF(Tabela1[[#This Row],[Durable Goods CPI]]="",#N/A,((Tabela1[[#This Row],[Durable Goods CPI]]*1)/P305)-1)</f>
        <v>2.5806451612903292E-2</v>
      </c>
      <c r="S317" s="7">
        <v>2.847928102</v>
      </c>
      <c r="T317" s="7">
        <v>21.963999999999999</v>
      </c>
      <c r="U317" s="8">
        <f>IF(Tabela1[[#This Row],[Personal Consumption Expenditures (PCE)]]="",#N/A,((Tabela1[[#This Row],[Personal Consumption Expenditures (PCE)]]*1)/T316)-1)</f>
        <v>7.1071575954879673E-3</v>
      </c>
      <c r="V317" s="8">
        <f>IF(Tabela1[[#This Row],[Personal Consumption Expenditures (PCE)]]="",#N/A,((Tabela1[[#This Row],[Personal Consumption Expenditures (PCE)]]*1)/T305)-1)</f>
        <v>3.9568345323740983E-2</v>
      </c>
      <c r="W317" s="7">
        <v>22.625</v>
      </c>
      <c r="X317" s="8">
        <f>IF(Tabela1[[#This Row],[Core PCE]]="",#N/A,((Tabela1[[#This Row],[Core PCE]]*1)/W316)-1)</f>
        <v>4.0383420608858245E-3</v>
      </c>
      <c r="Y317" s="8">
        <f>IF(Tabela1[[#This Row],[Core PCE]]="",#N/A,((Tabela1[[#This Row],[Core PCE]]*1)/W305)-1)</f>
        <v>2.9391692069703046E-2</v>
      </c>
      <c r="Z317" s="8">
        <f t="shared" si="13"/>
        <v>3.1290924384958174E-2</v>
      </c>
      <c r="AA317" s="8">
        <f t="shared" si="12"/>
        <v>2.808384054138191E-2</v>
      </c>
      <c r="AB317" s="7"/>
      <c r="AC317" s="7"/>
      <c r="AD317" s="8"/>
      <c r="AE317" s="71"/>
      <c r="AF317" s="7"/>
      <c r="AG317" s="5"/>
    </row>
    <row r="318" spans="1:33" ht="12.75">
      <c r="A318" s="6">
        <v>26755</v>
      </c>
      <c r="B318" s="7">
        <v>43.7</v>
      </c>
      <c r="C318" s="8">
        <f>IF(Tabela1[[#This Row],[Consumer Price Index (CPI)]]="",#N/A,((Tabela1[[#This Row],[Consumer Price Index (CPI)]]*1)/B317)-1)</f>
        <v>6.9124423963133896E-3</v>
      </c>
      <c r="D318" s="8">
        <f>IF(Tabela1[[#This Row],[Consumer Price Index (CPI)]]="",#N/A,((Tabela1[[#This Row],[Consumer Price Index (CPI)]]*1)/B306)-1)</f>
        <v>5.3012048192771166E-2</v>
      </c>
      <c r="E318" s="25">
        <v>45.1</v>
      </c>
      <c r="F318" s="8">
        <f>IF(Tabela1[[#This Row],[Core Consumer Price Index]]="",#N/A,((Tabela1[[#This Row],[Core Consumer Price Index]]*1)/E317)-1)</f>
        <v>2.2222222222223476E-3</v>
      </c>
      <c r="G318" s="8">
        <f>IF(Tabela1[[#This Row],[Core Consumer Price Index]]="",#N/A,((Tabela1[[#This Row],[Core Consumer Price Index]]*1)/E306)-1)</f>
        <v>2.9680365296803846E-2</v>
      </c>
      <c r="H318" s="8">
        <f t="shared" ref="H318:H381" si="14">SUM(F316:F318)*4</f>
        <v>4.4683251476974384E-2</v>
      </c>
      <c r="I318" s="8">
        <f t="shared" si="11"/>
        <v>3.1350634747496109E-2</v>
      </c>
      <c r="J318" s="25">
        <v>39.5</v>
      </c>
      <c r="K318" s="8">
        <f>IF(Tabela1[[#This Row],[Services CPI]]="",#N/A,((Tabela1[[#This Row],[Services CPI]]*1)/J317)-1)</f>
        <v>2.5380710659899108E-3</v>
      </c>
      <c r="L318" s="8">
        <f>IF(Tabela1[[#This Row],[Services CPI]]="",#N/A,((Tabela1[[#This Row],[Services CPI]]*1)/J306)-1)</f>
        <v>3.4031413612565453E-2</v>
      </c>
      <c r="M318" s="7">
        <v>40.5</v>
      </c>
      <c r="N318" s="8">
        <f>IF(Tabela1[[#This Row],[Core-Services CPI]]="",#N/A,((Tabela1[[#This Row],[Core-Services CPI]]*1)/M317)-1)</f>
        <v>2.4752475247524774E-3</v>
      </c>
      <c r="O318" s="8">
        <f>IF(Tabela1[[#This Row],[Core-Services CPI]]="",#N/A,((Tabela1[[#This Row],[Core-Services CPI]]*1)/M306)-1)</f>
        <v>3.5805626598465423E-2</v>
      </c>
      <c r="P318" s="7">
        <v>47.9</v>
      </c>
      <c r="Q318" s="8">
        <f>IF(Tabela1[[#This Row],[Durable Goods CPI]]="",#N/A,((Tabela1[[#This Row],[Durable Goods CPI]]*1)/P317)-1)</f>
        <v>4.1928721174002703E-3</v>
      </c>
      <c r="R318" s="8">
        <f>IF(Tabela1[[#This Row],[Durable Goods CPI]]="",#N/A,((Tabela1[[#This Row],[Durable Goods CPI]]*1)/P306)-1)</f>
        <v>2.7896995708154515E-2</v>
      </c>
      <c r="S318" s="7">
        <v>2.8862586640000001</v>
      </c>
      <c r="T318" s="7">
        <v>22.126999999999999</v>
      </c>
      <c r="U318" s="8">
        <f>IF(Tabela1[[#This Row],[Personal Consumption Expenditures (PCE)]]="",#N/A,((Tabela1[[#This Row],[Personal Consumption Expenditures (PCE)]]*1)/T317)-1)</f>
        <v>7.4212347477691232E-3</v>
      </c>
      <c r="V318" s="8">
        <f>IF(Tabela1[[#This Row],[Personal Consumption Expenditures (PCE)]]="",#N/A,((Tabela1[[#This Row],[Personal Consumption Expenditures (PCE)]]*1)/T306)-1)</f>
        <v>4.5699432892249536E-2</v>
      </c>
      <c r="W318" s="7">
        <v>22.756</v>
      </c>
      <c r="X318" s="8">
        <f>IF(Tabela1[[#This Row],[Core PCE]]="",#N/A,((Tabela1[[#This Row],[Core PCE]]*1)/W317)-1)</f>
        <v>5.7900552486187529E-3</v>
      </c>
      <c r="Y318" s="8">
        <f>IF(Tabela1[[#This Row],[Core PCE]]="",#N/A,((Tabela1[[#This Row],[Core PCE]]*1)/W306)-1)</f>
        <v>3.2955061280072639E-2</v>
      </c>
      <c r="Z318" s="8">
        <f t="shared" si="13"/>
        <v>5.1956602192654522E-2</v>
      </c>
      <c r="AA318" s="8">
        <f t="shared" si="12"/>
        <v>3.8498554355517633E-2</v>
      </c>
      <c r="AB318" s="7"/>
      <c r="AC318" s="7"/>
      <c r="AD318" s="8"/>
      <c r="AE318" s="71"/>
      <c r="AF318" s="7"/>
      <c r="AG318" s="5"/>
    </row>
    <row r="319" spans="1:33" ht="12.75">
      <c r="A319" s="6">
        <v>26785</v>
      </c>
      <c r="B319" s="7">
        <v>43.9</v>
      </c>
      <c r="C319" s="8">
        <f>IF(Tabela1[[#This Row],[Consumer Price Index (CPI)]]="",#N/A,((Tabela1[[#This Row],[Consumer Price Index (CPI)]]*1)/B318)-1)</f>
        <v>4.5766590389015871E-3</v>
      </c>
      <c r="D319" s="8">
        <f>IF(Tabela1[[#This Row],[Consumer Price Index (CPI)]]="",#N/A,((Tabela1[[#This Row],[Consumer Price Index (CPI)]]*1)/B307)-1)</f>
        <v>5.5288461538461453E-2</v>
      </c>
      <c r="E319" s="25">
        <v>45.3</v>
      </c>
      <c r="F319" s="8">
        <f>IF(Tabela1[[#This Row],[Core Consumer Price Index]]="",#N/A,((Tabela1[[#This Row],[Core Consumer Price Index]]*1)/E318)-1)</f>
        <v>4.4345898004434225E-3</v>
      </c>
      <c r="G319" s="8">
        <f>IF(Tabela1[[#This Row],[Core Consumer Price Index]]="",#N/A,((Tabela1[[#This Row],[Core Consumer Price Index]]*1)/E307)-1)</f>
        <v>3.1890660592255093E-2</v>
      </c>
      <c r="H319" s="8">
        <f t="shared" si="14"/>
        <v>4.4484390947806318E-2</v>
      </c>
      <c r="I319" s="8">
        <f t="shared" si="11"/>
        <v>4.0219814348382954E-2</v>
      </c>
      <c r="J319" s="25">
        <v>39.6</v>
      </c>
      <c r="K319" s="8">
        <f>IF(Tabela1[[#This Row],[Services CPI]]="",#N/A,((Tabela1[[#This Row],[Services CPI]]*1)/J318)-1)</f>
        <v>2.5316455696202667E-3</v>
      </c>
      <c r="L319" s="8">
        <f>IF(Tabela1[[#This Row],[Services CPI]]="",#N/A,((Tabela1[[#This Row],[Services CPI]]*1)/J307)-1)</f>
        <v>3.3942558746736351E-2</v>
      </c>
      <c r="M319" s="7">
        <v>40.6</v>
      </c>
      <c r="N319" s="8">
        <f>IF(Tabela1[[#This Row],[Core-Services CPI]]="",#N/A,((Tabela1[[#This Row],[Core-Services CPI]]*1)/M318)-1)</f>
        <v>2.4691358024691024E-3</v>
      </c>
      <c r="O319" s="8">
        <f>IF(Tabela1[[#This Row],[Core-Services CPI]]="",#N/A,((Tabela1[[#This Row],[Core-Services CPI]]*1)/M307)-1)</f>
        <v>3.5714285714285587E-2</v>
      </c>
      <c r="P319" s="7">
        <v>48</v>
      </c>
      <c r="Q319" s="8">
        <f>IF(Tabela1[[#This Row],[Durable Goods CPI]]="",#N/A,((Tabela1[[#This Row],[Durable Goods CPI]]*1)/P318)-1)</f>
        <v>2.0876826722338038E-3</v>
      </c>
      <c r="R319" s="8">
        <f>IF(Tabela1[[#This Row],[Durable Goods CPI]]="",#N/A,((Tabela1[[#This Row],[Durable Goods CPI]]*1)/P307)-1)</f>
        <v>2.7837259100642386E-2</v>
      </c>
      <c r="S319" s="7">
        <v>2.9342480279999998</v>
      </c>
      <c r="T319" s="7">
        <v>22.236000000000001</v>
      </c>
      <c r="U319" s="8">
        <f>IF(Tabela1[[#This Row],[Personal Consumption Expenditures (PCE)]]="",#N/A,((Tabela1[[#This Row],[Personal Consumption Expenditures (PCE)]]*1)/T318)-1)</f>
        <v>4.9261083743843415E-3</v>
      </c>
      <c r="V319" s="8">
        <f>IF(Tabela1[[#This Row],[Personal Consumption Expenditures (PCE)]]="",#N/A,((Tabela1[[#This Row],[Personal Consumption Expenditures (PCE)]]*1)/T307)-1)</f>
        <v>4.8521714528221738E-2</v>
      </c>
      <c r="W319" s="7">
        <v>22.844000000000001</v>
      </c>
      <c r="X319" s="8">
        <f>IF(Tabela1[[#This Row],[Core PCE]]="",#N/A,((Tabela1[[#This Row],[Core PCE]]*1)/W318)-1)</f>
        <v>3.8671119704694057E-3</v>
      </c>
      <c r="Y319" s="8">
        <f>IF(Tabela1[[#This Row],[Core PCE]]="",#N/A,((Tabela1[[#This Row],[Core PCE]]*1)/W307)-1)</f>
        <v>3.4554594447715248E-2</v>
      </c>
      <c r="Z319" s="8">
        <f t="shared" si="13"/>
        <v>5.4782037119895932E-2</v>
      </c>
      <c r="AA319" s="8">
        <f t="shared" si="12"/>
        <v>4.0946750432818035E-2</v>
      </c>
      <c r="AB319" s="7"/>
      <c r="AC319" s="7"/>
      <c r="AD319" s="8"/>
      <c r="AE319" s="71"/>
      <c r="AF319" s="7"/>
      <c r="AG319" s="5"/>
    </row>
    <row r="320" spans="1:33" ht="12.75">
      <c r="A320" s="6">
        <v>26816</v>
      </c>
      <c r="B320" s="7">
        <v>44.2</v>
      </c>
      <c r="C320" s="8">
        <f>IF(Tabela1[[#This Row],[Consumer Price Index (CPI)]]="",#N/A,((Tabela1[[#This Row],[Consumer Price Index (CPI)]]*1)/B319)-1)</f>
        <v>6.8337129840547739E-3</v>
      </c>
      <c r="D320" s="8">
        <f>IF(Tabela1[[#This Row],[Consumer Price Index (CPI)]]="",#N/A,((Tabela1[[#This Row],[Consumer Price Index (CPI)]]*1)/B308)-1)</f>
        <v>5.9952038369304628E-2</v>
      </c>
      <c r="E320" s="25">
        <v>45.4</v>
      </c>
      <c r="F320" s="8">
        <f>IF(Tabela1[[#This Row],[Core Consumer Price Index]]="",#N/A,((Tabela1[[#This Row],[Core Consumer Price Index]]*1)/E319)-1)</f>
        <v>2.2075055187638082E-3</v>
      </c>
      <c r="G320" s="8">
        <f>IF(Tabela1[[#This Row],[Core Consumer Price Index]]="",#N/A,((Tabela1[[#This Row],[Core Consumer Price Index]]*1)/E308)-1)</f>
        <v>3.1818181818181746E-2</v>
      </c>
      <c r="H320" s="8">
        <f t="shared" si="14"/>
        <v>3.5457270165718313E-2</v>
      </c>
      <c r="I320" s="8">
        <f t="shared" si="11"/>
        <v>3.5625816376901653E-2</v>
      </c>
      <c r="J320" s="25">
        <v>39.799999999999997</v>
      </c>
      <c r="K320" s="8">
        <f>IF(Tabela1[[#This Row],[Services CPI]]="",#N/A,((Tabela1[[#This Row],[Services CPI]]*1)/J319)-1)</f>
        <v>5.050505050504972E-3</v>
      </c>
      <c r="L320" s="8">
        <f>IF(Tabela1[[#This Row],[Services CPI]]="",#N/A,((Tabela1[[#This Row],[Services CPI]]*1)/J308)-1)</f>
        <v>3.6458333333333259E-2</v>
      </c>
      <c r="M320" s="7">
        <v>40.799999999999997</v>
      </c>
      <c r="N320" s="8">
        <f>IF(Tabela1[[#This Row],[Core-Services CPI]]="",#N/A,((Tabela1[[#This Row],[Core-Services CPI]]*1)/M319)-1)</f>
        <v>4.9261083743841194E-3</v>
      </c>
      <c r="O320" s="8">
        <f>IF(Tabela1[[#This Row],[Core-Services CPI]]="",#N/A,((Tabela1[[#This Row],[Core-Services CPI]]*1)/M308)-1)</f>
        <v>3.5532994923857864E-2</v>
      </c>
      <c r="P320" s="7">
        <v>48</v>
      </c>
      <c r="Q320" s="8">
        <f>IF(Tabela1[[#This Row],[Durable Goods CPI]]="",#N/A,((Tabela1[[#This Row],[Durable Goods CPI]]*1)/P319)-1)</f>
        <v>0</v>
      </c>
      <c r="R320" s="8">
        <f>IF(Tabela1[[#This Row],[Durable Goods CPI]]="",#N/A,((Tabela1[[#This Row],[Durable Goods CPI]]*1)/P308)-1)</f>
        <v>2.5641025641025772E-2</v>
      </c>
      <c r="S320" s="7">
        <v>3.036614659</v>
      </c>
      <c r="T320" s="7">
        <v>22.363</v>
      </c>
      <c r="U320" s="8">
        <f>IF(Tabela1[[#This Row],[Personal Consumption Expenditures (PCE)]]="",#N/A,((Tabela1[[#This Row],[Personal Consumption Expenditures (PCE)]]*1)/T319)-1)</f>
        <v>5.7114588954847445E-3</v>
      </c>
      <c r="V320" s="8">
        <f>IF(Tabela1[[#This Row],[Personal Consumption Expenditures (PCE)]]="",#N/A,((Tabela1[[#This Row],[Personal Consumption Expenditures (PCE)]]*1)/T308)-1)</f>
        <v>5.2921512312255725E-2</v>
      </c>
      <c r="W320" s="7">
        <v>22.943000000000001</v>
      </c>
      <c r="X320" s="8">
        <f>IF(Tabela1[[#This Row],[Core PCE]]="",#N/A,((Tabela1[[#This Row],[Core PCE]]*1)/W319)-1)</f>
        <v>4.3337419015934131E-3</v>
      </c>
      <c r="Y320" s="8">
        <f>IF(Tabela1[[#This Row],[Core PCE]]="",#N/A,((Tabela1[[#This Row],[Core PCE]]*1)/W308)-1)</f>
        <v>3.6924884750971776E-2</v>
      </c>
      <c r="Z320" s="8">
        <f t="shared" si="13"/>
        <v>5.5963636482726287E-2</v>
      </c>
      <c r="AA320" s="8">
        <f t="shared" si="12"/>
        <v>4.362728043384223E-2</v>
      </c>
      <c r="AB320" s="7"/>
      <c r="AC320" s="7"/>
      <c r="AD320" s="8"/>
      <c r="AE320" s="71"/>
      <c r="AF320" s="7"/>
      <c r="AG320" s="5"/>
    </row>
    <row r="321" spans="1:33" ht="12.75">
      <c r="A321" s="6">
        <v>26846</v>
      </c>
      <c r="B321" s="7">
        <v>44.2</v>
      </c>
      <c r="C321" s="8">
        <f>IF(Tabela1[[#This Row],[Consumer Price Index (CPI)]]="",#N/A,((Tabela1[[#This Row],[Consumer Price Index (CPI)]]*1)/B320)-1)</f>
        <v>0</v>
      </c>
      <c r="D321" s="8">
        <f>IF(Tabela1[[#This Row],[Consumer Price Index (CPI)]]="",#N/A,((Tabela1[[#This Row],[Consumer Price Index (CPI)]]*1)/B309)-1)</f>
        <v>5.741626794258381E-2</v>
      </c>
      <c r="E321" s="25">
        <v>45.5</v>
      </c>
      <c r="F321" s="8">
        <f>IF(Tabela1[[#This Row],[Core Consumer Price Index]]="",#N/A,((Tabela1[[#This Row],[Core Consumer Price Index]]*1)/E320)-1)</f>
        <v>2.2026431718062955E-3</v>
      </c>
      <c r="G321" s="8">
        <f>IF(Tabela1[[#This Row],[Core Consumer Price Index]]="",#N/A,((Tabela1[[#This Row],[Core Consumer Price Index]]*1)/E309)-1)</f>
        <v>3.1746031746031633E-2</v>
      </c>
      <c r="H321" s="8">
        <f t="shared" si="14"/>
        <v>3.5378953964054105E-2</v>
      </c>
      <c r="I321" s="8">
        <f t="shared" ref="I321:I384" si="15">SUM(F316:F321)*2</f>
        <v>4.0031102720514244E-2</v>
      </c>
      <c r="J321" s="25">
        <v>39.9</v>
      </c>
      <c r="K321" s="8">
        <f>IF(Tabela1[[#This Row],[Services CPI]]="",#N/A,((Tabela1[[#This Row],[Services CPI]]*1)/J320)-1)</f>
        <v>2.5125628140703071E-3</v>
      </c>
      <c r="L321" s="8">
        <f>IF(Tabela1[[#This Row],[Services CPI]]="",#N/A,((Tabela1[[#This Row],[Services CPI]]*1)/J309)-1)</f>
        <v>3.6363636363636376E-2</v>
      </c>
      <c r="M321" s="7">
        <v>40.9</v>
      </c>
      <c r="N321" s="8">
        <f>IF(Tabela1[[#This Row],[Core-Services CPI]]="",#N/A,((Tabela1[[#This Row],[Core-Services CPI]]*1)/M320)-1)</f>
        <v>2.450980392156854E-3</v>
      </c>
      <c r="O321" s="8">
        <f>IF(Tabela1[[#This Row],[Core-Services CPI]]="",#N/A,((Tabela1[[#This Row],[Core-Services CPI]]*1)/M309)-1)</f>
        <v>3.5443037974683511E-2</v>
      </c>
      <c r="P321" s="7">
        <v>48.1</v>
      </c>
      <c r="Q321" s="8">
        <f>IF(Tabela1[[#This Row],[Durable Goods CPI]]="",#N/A,((Tabela1[[#This Row],[Durable Goods CPI]]*1)/P320)-1)</f>
        <v>2.083333333333437E-3</v>
      </c>
      <c r="R321" s="8">
        <f>IF(Tabela1[[#This Row],[Durable Goods CPI]]="",#N/A,((Tabela1[[#This Row],[Durable Goods CPI]]*1)/P309)-1)</f>
        <v>2.3404255319148914E-2</v>
      </c>
      <c r="S321" s="7">
        <v>3.1807359549999998</v>
      </c>
      <c r="T321" s="7">
        <v>22.443999999999999</v>
      </c>
      <c r="U321" s="8">
        <f>IF(Tabela1[[#This Row],[Personal Consumption Expenditures (PCE)]]="",#N/A,((Tabela1[[#This Row],[Personal Consumption Expenditures (PCE)]]*1)/T320)-1)</f>
        <v>3.6220542860976312E-3</v>
      </c>
      <c r="V321" s="8">
        <f>IF(Tabela1[[#This Row],[Personal Consumption Expenditures (PCE)]]="",#N/A,((Tabela1[[#This Row],[Personal Consumption Expenditures (PCE)]]*1)/T309)-1)</f>
        <v>5.2967393854093325E-2</v>
      </c>
      <c r="W321" s="7">
        <v>23.041</v>
      </c>
      <c r="X321" s="8">
        <f>IF(Tabela1[[#This Row],[Core PCE]]="",#N/A,((Tabela1[[#This Row],[Core PCE]]*1)/W320)-1)</f>
        <v>4.2714553458571558E-3</v>
      </c>
      <c r="Y321" s="8">
        <f>IF(Tabela1[[#This Row],[Core PCE]]="",#N/A,((Tabela1[[#This Row],[Core PCE]]*1)/W309)-1)</f>
        <v>3.8397404119158152E-2</v>
      </c>
      <c r="Z321" s="8">
        <f t="shared" si="13"/>
        <v>4.9889236871679898E-2</v>
      </c>
      <c r="AA321" s="8">
        <f t="shared" si="12"/>
        <v>5.092291953216721E-2</v>
      </c>
      <c r="AB321" s="7"/>
      <c r="AC321" s="7"/>
      <c r="AD321" s="8"/>
      <c r="AE321" s="71"/>
      <c r="AF321" s="7"/>
      <c r="AG321" s="5"/>
    </row>
    <row r="322" spans="1:33" ht="12.75">
      <c r="A322" s="6">
        <v>26877</v>
      </c>
      <c r="B322" s="7">
        <v>45</v>
      </c>
      <c r="C322" s="8">
        <f>IF(Tabela1[[#This Row],[Consumer Price Index (CPI)]]="",#N/A,((Tabela1[[#This Row],[Consumer Price Index (CPI)]]*1)/B321)-1)</f>
        <v>1.8099547511312153E-2</v>
      </c>
      <c r="D322" s="8">
        <f>IF(Tabela1[[#This Row],[Consumer Price Index (CPI)]]="",#N/A,((Tabela1[[#This Row],[Consumer Price Index (CPI)]]*1)/B310)-1)</f>
        <v>7.398568019093088E-2</v>
      </c>
      <c r="E322" s="25">
        <v>45.7</v>
      </c>
      <c r="F322" s="8">
        <f>IF(Tabela1[[#This Row],[Core Consumer Price Index]]="",#N/A,((Tabela1[[#This Row],[Core Consumer Price Index]]*1)/E321)-1)</f>
        <v>4.39560439560438E-3</v>
      </c>
      <c r="G322" s="8">
        <f>IF(Tabela1[[#This Row],[Core Consumer Price Index]]="",#N/A,((Tabela1[[#This Row],[Core Consumer Price Index]]*1)/E310)-1)</f>
        <v>3.1602708803611934E-2</v>
      </c>
      <c r="H322" s="8">
        <f t="shared" si="14"/>
        <v>3.5223012344697935E-2</v>
      </c>
      <c r="I322" s="8">
        <f t="shared" si="15"/>
        <v>3.9853701646252127E-2</v>
      </c>
      <c r="J322" s="25">
        <v>40.200000000000003</v>
      </c>
      <c r="K322" s="8">
        <f>IF(Tabela1[[#This Row],[Services CPI]]="",#N/A,((Tabela1[[#This Row],[Services CPI]]*1)/J321)-1)</f>
        <v>7.5187969924812581E-3</v>
      </c>
      <c r="L322" s="8">
        <f>IF(Tabela1[[#This Row],[Services CPI]]="",#N/A,((Tabela1[[#This Row],[Services CPI]]*1)/J310)-1)</f>
        <v>4.1450777202072464E-2</v>
      </c>
      <c r="M322" s="7">
        <v>41.2</v>
      </c>
      <c r="N322" s="8">
        <f>IF(Tabela1[[#This Row],[Core-Services CPI]]="",#N/A,((Tabela1[[#This Row],[Core-Services CPI]]*1)/M321)-1)</f>
        <v>7.3349633251835744E-3</v>
      </c>
      <c r="O322" s="8">
        <f>IF(Tabela1[[#This Row],[Core-Services CPI]]="",#N/A,((Tabela1[[#This Row],[Core-Services CPI]]*1)/M310)-1)</f>
        <v>4.0404040404040442E-2</v>
      </c>
      <c r="P322" s="7">
        <v>48.2</v>
      </c>
      <c r="Q322" s="8">
        <f>IF(Tabela1[[#This Row],[Durable Goods CPI]]="",#N/A,((Tabela1[[#This Row],[Durable Goods CPI]]*1)/P321)-1)</f>
        <v>2.0790020790020236E-3</v>
      </c>
      <c r="R322" s="8">
        <f>IF(Tabela1[[#This Row],[Durable Goods CPI]]="",#N/A,((Tabela1[[#This Row],[Durable Goods CPI]]*1)/P310)-1)</f>
        <v>2.3354564755838636E-2</v>
      </c>
      <c r="S322" s="7">
        <v>3.1042064479999998</v>
      </c>
      <c r="T322" s="7">
        <v>22.702999999999999</v>
      </c>
      <c r="U322" s="8">
        <f>IF(Tabela1[[#This Row],[Personal Consumption Expenditures (PCE)]]="",#N/A,((Tabela1[[#This Row],[Personal Consumption Expenditures (PCE)]]*1)/T321)-1)</f>
        <v>1.1539832471930245E-2</v>
      </c>
      <c r="V322" s="8">
        <f>IF(Tabela1[[#This Row],[Personal Consumption Expenditures (PCE)]]="",#N/A,((Tabela1[[#This Row],[Personal Consumption Expenditures (PCE)]]*1)/T310)-1)</f>
        <v>6.2029283809702074E-2</v>
      </c>
      <c r="W322" s="7">
        <v>23.148</v>
      </c>
      <c r="X322" s="8">
        <f>IF(Tabela1[[#This Row],[Core PCE]]="",#N/A,((Tabela1[[#This Row],[Core PCE]]*1)/W321)-1)</f>
        <v>4.643895664250719E-3</v>
      </c>
      <c r="Y322" s="8">
        <f>IF(Tabela1[[#This Row],[Core PCE]]="",#N/A,((Tabela1[[#This Row],[Core PCE]]*1)/W310)-1)</f>
        <v>4.1014570966001029E-2</v>
      </c>
      <c r="Z322" s="8">
        <f t="shared" si="13"/>
        <v>5.2996371646805152E-2</v>
      </c>
      <c r="AA322" s="8">
        <f t="shared" si="12"/>
        <v>5.3889204383350542E-2</v>
      </c>
      <c r="AB322" s="7"/>
      <c r="AC322" s="7"/>
      <c r="AD322" s="8"/>
      <c r="AE322" s="71"/>
      <c r="AF322" s="7"/>
      <c r="AG322" s="5"/>
    </row>
    <row r="323" spans="1:33" ht="12.75">
      <c r="A323" s="6">
        <v>26908</v>
      </c>
      <c r="B323" s="7">
        <v>45.2</v>
      </c>
      <c r="C323" s="8">
        <f>IF(Tabela1[[#This Row],[Consumer Price Index (CPI)]]="",#N/A,((Tabela1[[#This Row],[Consumer Price Index (CPI)]]*1)/B322)-1)</f>
        <v>4.4444444444444731E-3</v>
      </c>
      <c r="D323" s="8">
        <f>IF(Tabela1[[#This Row],[Consumer Price Index (CPI)]]="",#N/A,((Tabela1[[#This Row],[Consumer Price Index (CPI)]]*1)/B311)-1)</f>
        <v>7.3634204275534465E-2</v>
      </c>
      <c r="E323" s="25">
        <v>46</v>
      </c>
      <c r="F323" s="8">
        <f>IF(Tabela1[[#This Row],[Core Consumer Price Index]]="",#N/A,((Tabela1[[#This Row],[Core Consumer Price Index]]*1)/E322)-1)</f>
        <v>6.5645514223193757E-3</v>
      </c>
      <c r="G323" s="8">
        <f>IF(Tabela1[[#This Row],[Core Consumer Price Index]]="",#N/A,((Tabela1[[#This Row],[Core Consumer Price Index]]*1)/E311)-1)</f>
        <v>3.8374717832957206E-2</v>
      </c>
      <c r="H323" s="8">
        <f t="shared" si="14"/>
        <v>5.2651195958920205E-2</v>
      </c>
      <c r="I323" s="8">
        <f t="shared" si="15"/>
        <v>4.4054233062319259E-2</v>
      </c>
      <c r="J323" s="25">
        <v>40.5</v>
      </c>
      <c r="K323" s="8">
        <f>IF(Tabela1[[#This Row],[Services CPI]]="",#N/A,((Tabela1[[#This Row],[Services CPI]]*1)/J322)-1)</f>
        <v>7.4626865671640896E-3</v>
      </c>
      <c r="L323" s="8">
        <f>IF(Tabela1[[#This Row],[Services CPI]]="",#N/A,((Tabela1[[#This Row],[Services CPI]]*1)/J311)-1)</f>
        <v>4.6511627906976605E-2</v>
      </c>
      <c r="M323" s="7">
        <v>41.6</v>
      </c>
      <c r="N323" s="8">
        <f>IF(Tabela1[[#This Row],[Core-Services CPI]]="",#N/A,((Tabela1[[#This Row],[Core-Services CPI]]*1)/M322)-1)</f>
        <v>9.7087378640776656E-3</v>
      </c>
      <c r="O323" s="8">
        <f>IF(Tabela1[[#This Row],[Core-Services CPI]]="",#N/A,((Tabela1[[#This Row],[Core-Services CPI]]*1)/M311)-1)</f>
        <v>4.7858942065491128E-2</v>
      </c>
      <c r="P323" s="7">
        <v>48.2</v>
      </c>
      <c r="Q323" s="8">
        <f>IF(Tabela1[[#This Row],[Durable Goods CPI]]="",#N/A,((Tabela1[[#This Row],[Durable Goods CPI]]*1)/P322)-1)</f>
        <v>0</v>
      </c>
      <c r="R323" s="8">
        <f>IF(Tabela1[[#This Row],[Durable Goods CPI]]="",#N/A,((Tabela1[[#This Row],[Durable Goods CPI]]*1)/P311)-1)</f>
        <v>2.1186440677966045E-2</v>
      </c>
      <c r="S323" s="7">
        <v>3.0185523559999998</v>
      </c>
      <c r="T323" s="7">
        <v>22.792999999999999</v>
      </c>
      <c r="U323" s="8">
        <f>IF(Tabela1[[#This Row],[Personal Consumption Expenditures (PCE)]]="",#N/A,((Tabela1[[#This Row],[Personal Consumption Expenditures (PCE)]]*1)/T322)-1)</f>
        <v>3.9642338017003009E-3</v>
      </c>
      <c r="V323" s="8">
        <f>IF(Tabela1[[#This Row],[Personal Consumption Expenditures (PCE)]]="",#N/A,((Tabela1[[#This Row],[Personal Consumption Expenditures (PCE)]]*1)/T311)-1)</f>
        <v>6.1472546919387083E-2</v>
      </c>
      <c r="W323" s="7">
        <v>23.265000000000001</v>
      </c>
      <c r="X323" s="8">
        <f>IF(Tabela1[[#This Row],[Core PCE]]="",#N/A,((Tabela1[[#This Row],[Core PCE]]*1)/W322)-1)</f>
        <v>5.0544323483669995E-3</v>
      </c>
      <c r="Y323" s="8">
        <f>IF(Tabela1[[#This Row],[Core PCE]]="",#N/A,((Tabela1[[#This Row],[Core PCE]]*1)/W311)-1)</f>
        <v>4.2805916629314211E-2</v>
      </c>
      <c r="Z323" s="8">
        <f t="shared" si="13"/>
        <v>5.5879133433899497E-2</v>
      </c>
      <c r="AA323" s="8">
        <f t="shared" si="12"/>
        <v>5.5921384958312892E-2</v>
      </c>
      <c r="AB323" s="7"/>
      <c r="AC323" s="7"/>
      <c r="AD323" s="8"/>
      <c r="AE323" s="71"/>
      <c r="AF323" s="7"/>
      <c r="AG323" s="5"/>
    </row>
    <row r="324" spans="1:33" ht="12.75">
      <c r="A324" s="6">
        <v>26938</v>
      </c>
      <c r="B324" s="7">
        <v>45.6</v>
      </c>
      <c r="C324" s="8">
        <f>IF(Tabela1[[#This Row],[Consumer Price Index (CPI)]]="",#N/A,((Tabela1[[#This Row],[Consumer Price Index (CPI)]]*1)/B323)-1)</f>
        <v>8.8495575221239076E-3</v>
      </c>
      <c r="D324" s="8">
        <f>IF(Tabela1[[#This Row],[Consumer Price Index (CPI)]]="",#N/A,((Tabela1[[#This Row],[Consumer Price Index (CPI)]]*1)/B312)-1)</f>
        <v>8.0568720379146974E-2</v>
      </c>
      <c r="E324" s="25">
        <v>46.3</v>
      </c>
      <c r="F324" s="8">
        <f>IF(Tabela1[[#This Row],[Core Consumer Price Index]]="",#N/A,((Tabela1[[#This Row],[Core Consumer Price Index]]*1)/E323)-1)</f>
        <v>6.5217391304346339E-3</v>
      </c>
      <c r="G324" s="8">
        <f>IF(Tabela1[[#This Row],[Core Consumer Price Index]]="",#N/A,((Tabela1[[#This Row],[Core Consumer Price Index]]*1)/E312)-1)</f>
        <v>4.2792792792792689E-2</v>
      </c>
      <c r="H324" s="8">
        <f t="shared" si="14"/>
        <v>6.9927579793433559E-2</v>
      </c>
      <c r="I324" s="8">
        <f t="shared" si="15"/>
        <v>5.2653266878743832E-2</v>
      </c>
      <c r="J324" s="25">
        <v>41</v>
      </c>
      <c r="K324" s="8">
        <f>IF(Tabela1[[#This Row],[Services CPI]]="",#N/A,((Tabela1[[#This Row],[Services CPI]]*1)/J323)-1)</f>
        <v>1.2345679012345734E-2</v>
      </c>
      <c r="L324" s="8">
        <f>IF(Tabela1[[#This Row],[Services CPI]]="",#N/A,((Tabela1[[#This Row],[Services CPI]]*1)/J312)-1)</f>
        <v>5.6701030927835072E-2</v>
      </c>
      <c r="M324" s="7">
        <v>42.1</v>
      </c>
      <c r="N324" s="8">
        <f>IF(Tabela1[[#This Row],[Core-Services CPI]]="",#N/A,((Tabela1[[#This Row],[Core-Services CPI]]*1)/M323)-1)</f>
        <v>1.2019230769230838E-2</v>
      </c>
      <c r="O324" s="8">
        <f>IF(Tabela1[[#This Row],[Core-Services CPI]]="",#N/A,((Tabela1[[#This Row],[Core-Services CPI]]*1)/M312)-1)</f>
        <v>5.7788944723618174E-2</v>
      </c>
      <c r="P324" s="7">
        <v>48.4</v>
      </c>
      <c r="Q324" s="8">
        <f>IF(Tabela1[[#This Row],[Durable Goods CPI]]="",#N/A,((Tabela1[[#This Row],[Durable Goods CPI]]*1)/P323)-1)</f>
        <v>4.1493775933609811E-3</v>
      </c>
      <c r="R324" s="8">
        <f>IF(Tabela1[[#This Row],[Durable Goods CPI]]="",#N/A,((Tabela1[[#This Row],[Durable Goods CPI]]*1)/P312)-1)</f>
        <v>2.5423728813559254E-2</v>
      </c>
      <c r="S324" s="7">
        <v>3.3290721639999998</v>
      </c>
      <c r="T324" s="7">
        <v>22.922000000000001</v>
      </c>
      <c r="U324" s="8">
        <f>IF(Tabela1[[#This Row],[Personal Consumption Expenditures (PCE)]]="",#N/A,((Tabela1[[#This Row],[Personal Consumption Expenditures (PCE)]]*1)/T323)-1)</f>
        <v>5.6596323432633877E-3</v>
      </c>
      <c r="V324" s="8">
        <f>IF(Tabela1[[#This Row],[Personal Consumption Expenditures (PCE)]]="",#N/A,((Tabela1[[#This Row],[Personal Consumption Expenditures (PCE)]]*1)/T312)-1)</f>
        <v>6.6288319300367604E-2</v>
      </c>
      <c r="W324" s="7">
        <v>23.355</v>
      </c>
      <c r="X324" s="8">
        <f>IF(Tabela1[[#This Row],[Core PCE]]="",#N/A,((Tabela1[[#This Row],[Core PCE]]*1)/W323)-1)</f>
        <v>3.8684719535784229E-3</v>
      </c>
      <c r="Y324" s="8">
        <f>IF(Tabela1[[#This Row],[Core PCE]]="",#N/A,((Tabela1[[#This Row],[Core PCE]]*1)/W312)-1)</f>
        <v>4.6230345383684979E-2</v>
      </c>
      <c r="Z324" s="8">
        <f t="shared" si="13"/>
        <v>5.4267199864784565E-2</v>
      </c>
      <c r="AA324" s="8">
        <f t="shared" si="12"/>
        <v>5.2078218368232232E-2</v>
      </c>
      <c r="AB324" s="7"/>
      <c r="AC324" s="7"/>
      <c r="AD324" s="8"/>
      <c r="AE324" s="71"/>
      <c r="AF324" s="7"/>
      <c r="AG324" s="5"/>
    </row>
    <row r="325" spans="1:33" ht="12.75">
      <c r="A325" s="6">
        <v>26969</v>
      </c>
      <c r="B325" s="7">
        <v>45.9</v>
      </c>
      <c r="C325" s="8">
        <f>IF(Tabela1[[#This Row],[Consumer Price Index (CPI)]]="",#N/A,((Tabela1[[#This Row],[Consumer Price Index (CPI)]]*1)/B324)-1)</f>
        <v>6.5789473684210176E-3</v>
      </c>
      <c r="D325" s="8">
        <f>IF(Tabela1[[#This Row],[Consumer Price Index (CPI)]]="",#N/A,((Tabela1[[#This Row],[Consumer Price Index (CPI)]]*1)/B313)-1)</f>
        <v>8.2547169811320709E-2</v>
      </c>
      <c r="E325" s="25">
        <v>46.5</v>
      </c>
      <c r="F325" s="8">
        <f>IF(Tabela1[[#This Row],[Core Consumer Price Index]]="",#N/A,((Tabela1[[#This Row],[Core Consumer Price Index]]*1)/E324)-1)</f>
        <v>4.3196544276458138E-3</v>
      </c>
      <c r="G325" s="8">
        <f>IF(Tabela1[[#This Row],[Core Consumer Price Index]]="",#N/A,((Tabela1[[#This Row],[Core Consumer Price Index]]*1)/E313)-1)</f>
        <v>4.7297297297297369E-2</v>
      </c>
      <c r="H325" s="8">
        <f t="shared" si="14"/>
        <v>6.9623779921599294E-2</v>
      </c>
      <c r="I325" s="8">
        <f t="shared" si="15"/>
        <v>5.2423396133148614E-2</v>
      </c>
      <c r="J325" s="25">
        <v>41.3</v>
      </c>
      <c r="K325" s="8">
        <f>IF(Tabela1[[#This Row],[Services CPI]]="",#N/A,((Tabela1[[#This Row],[Services CPI]]*1)/J324)-1)</f>
        <v>7.3170731707317138E-3</v>
      </c>
      <c r="L325" s="8">
        <f>IF(Tabela1[[#This Row],[Services CPI]]="",#N/A,((Tabela1[[#This Row],[Services CPI]]*1)/J313)-1)</f>
        <v>6.1696658097686319E-2</v>
      </c>
      <c r="M325" s="7">
        <v>42.3</v>
      </c>
      <c r="N325" s="8">
        <f>IF(Tabela1[[#This Row],[Core-Services CPI]]="",#N/A,((Tabela1[[#This Row],[Core-Services CPI]]*1)/M324)-1)</f>
        <v>4.7505938242278223E-3</v>
      </c>
      <c r="O325" s="8">
        <f>IF(Tabela1[[#This Row],[Core-Services CPI]]="",#N/A,((Tabela1[[#This Row],[Core-Services CPI]]*1)/M313)-1)</f>
        <v>6.0150375939849621E-2</v>
      </c>
      <c r="P325" s="7">
        <v>48.5</v>
      </c>
      <c r="Q325" s="8">
        <f>IF(Tabela1[[#This Row],[Durable Goods CPI]]="",#N/A,((Tabela1[[#This Row],[Durable Goods CPI]]*1)/P324)-1)</f>
        <v>2.0661157024792765E-3</v>
      </c>
      <c r="R325" s="8">
        <f>IF(Tabela1[[#This Row],[Durable Goods CPI]]="",#N/A,((Tabela1[[#This Row],[Durable Goods CPI]]*1)/P313)-1)</f>
        <v>2.5369978858351017E-2</v>
      </c>
      <c r="S325" s="7">
        <v>3.952644678</v>
      </c>
      <c r="T325" s="7">
        <v>23.11</v>
      </c>
      <c r="U325" s="8">
        <f>IF(Tabela1[[#This Row],[Personal Consumption Expenditures (PCE)]]="",#N/A,((Tabela1[[#This Row],[Personal Consumption Expenditures (PCE)]]*1)/T324)-1)</f>
        <v>8.201727597940689E-3</v>
      </c>
      <c r="V325" s="8">
        <f>IF(Tabela1[[#This Row],[Personal Consumption Expenditures (PCE)]]="",#N/A,((Tabela1[[#This Row],[Personal Consumption Expenditures (PCE)]]*1)/T313)-1)</f>
        <v>7.1842678910996716E-2</v>
      </c>
      <c r="W325" s="7">
        <v>23.468</v>
      </c>
      <c r="X325" s="8">
        <f>IF(Tabela1[[#This Row],[Core PCE]]="",#N/A,((Tabela1[[#This Row],[Core PCE]]*1)/W324)-1)</f>
        <v>4.8383643759366546E-3</v>
      </c>
      <c r="Y325" s="8">
        <f>IF(Tabela1[[#This Row],[Core PCE]]="",#N/A,((Tabela1[[#This Row],[Core PCE]]*1)/W313)-1)</f>
        <v>4.8521133053346377E-2</v>
      </c>
      <c r="Z325" s="8">
        <f t="shared" si="13"/>
        <v>5.5045074711528308E-2</v>
      </c>
      <c r="AA325" s="8">
        <f t="shared" si="12"/>
        <v>5.402072317916673E-2</v>
      </c>
      <c r="AB325" s="7"/>
      <c r="AC325" s="7"/>
      <c r="AD325" s="8"/>
      <c r="AE325" s="71"/>
      <c r="AF325" s="7"/>
      <c r="AG325" s="5"/>
    </row>
    <row r="326" spans="1:33" ht="12.75">
      <c r="A326" s="6">
        <v>26999</v>
      </c>
      <c r="B326" s="7">
        <v>46.3</v>
      </c>
      <c r="C326" s="8">
        <f>IF(Tabela1[[#This Row],[Consumer Price Index (CPI)]]="",#N/A,((Tabela1[[#This Row],[Consumer Price Index (CPI)]]*1)/B325)-1)</f>
        <v>8.7145969498909626E-3</v>
      </c>
      <c r="D326" s="8">
        <f>IF(Tabela1[[#This Row],[Consumer Price Index (CPI)]]="",#N/A,((Tabela1[[#This Row],[Consumer Price Index (CPI)]]*1)/B314)-1)</f>
        <v>8.9411764705882302E-2</v>
      </c>
      <c r="E326" s="25">
        <v>46.7</v>
      </c>
      <c r="F326" s="8">
        <f>IF(Tabela1[[#This Row],[Core Consumer Price Index]]="",#N/A,((Tabela1[[#This Row],[Core Consumer Price Index]]*1)/E325)-1)</f>
        <v>4.3010752688172893E-3</v>
      </c>
      <c r="G326" s="8">
        <f>IF(Tabela1[[#This Row],[Core Consumer Price Index]]="",#N/A,((Tabela1[[#This Row],[Core Consumer Price Index]]*1)/E314)-1)</f>
        <v>4.7085201793721998E-2</v>
      </c>
      <c r="H326" s="8">
        <f t="shared" si="14"/>
        <v>6.0569875307590948E-2</v>
      </c>
      <c r="I326" s="8">
        <f t="shared" si="15"/>
        <v>5.6610535633255576E-2</v>
      </c>
      <c r="J326" s="25">
        <v>41.5</v>
      </c>
      <c r="K326" s="8">
        <f>IF(Tabela1[[#This Row],[Services CPI]]="",#N/A,((Tabela1[[#This Row],[Services CPI]]*1)/J325)-1)</f>
        <v>4.8426150121065881E-3</v>
      </c>
      <c r="L326" s="8">
        <f>IF(Tabela1[[#This Row],[Services CPI]]="",#N/A,((Tabela1[[#This Row],[Services CPI]]*1)/J314)-1)</f>
        <v>6.4102564102564097E-2</v>
      </c>
      <c r="M326" s="7">
        <v>42.5</v>
      </c>
      <c r="N326" s="8">
        <f>IF(Tabela1[[#This Row],[Core-Services CPI]]="",#N/A,((Tabela1[[#This Row],[Core-Services CPI]]*1)/M325)-1)</f>
        <v>4.7281323877068626E-3</v>
      </c>
      <c r="O326" s="8">
        <f>IF(Tabela1[[#This Row],[Core-Services CPI]]="",#N/A,((Tabela1[[#This Row],[Core-Services CPI]]*1)/M314)-1)</f>
        <v>6.25E-2</v>
      </c>
      <c r="P326" s="7">
        <v>48.6</v>
      </c>
      <c r="Q326" s="8">
        <f>IF(Tabela1[[#This Row],[Durable Goods CPI]]="",#N/A,((Tabela1[[#This Row],[Durable Goods CPI]]*1)/P325)-1)</f>
        <v>2.0618556701030855E-3</v>
      </c>
      <c r="R326" s="8">
        <f>IF(Tabela1[[#This Row],[Durable Goods CPI]]="",#N/A,((Tabela1[[#This Row],[Durable Goods CPI]]*1)/P314)-1)</f>
        <v>2.3157894736842044E-2</v>
      </c>
      <c r="S326" s="7">
        <v>4.7756387560000002</v>
      </c>
      <c r="T326" s="7">
        <v>23.3</v>
      </c>
      <c r="U326" s="8">
        <f>IF(Tabela1[[#This Row],[Personal Consumption Expenditures (PCE)]]="",#N/A,((Tabela1[[#This Row],[Personal Consumption Expenditures (PCE)]]*1)/T325)-1)</f>
        <v>8.2215491129382645E-3</v>
      </c>
      <c r="V326" s="8">
        <f>IF(Tabela1[[#This Row],[Personal Consumption Expenditures (PCE)]]="",#N/A,((Tabela1[[#This Row],[Personal Consumption Expenditures (PCE)]]*1)/T314)-1)</f>
        <v>7.7207582061951108E-2</v>
      </c>
      <c r="W326" s="7">
        <v>23.597999999999999</v>
      </c>
      <c r="X326" s="8">
        <f>IF(Tabela1[[#This Row],[Core PCE]]="",#N/A,((Tabela1[[#This Row],[Core PCE]]*1)/W325)-1)</f>
        <v>5.5394579853416115E-3</v>
      </c>
      <c r="Y326" s="8">
        <f>IF(Tabela1[[#This Row],[Core PCE]]="",#N/A,((Tabela1[[#This Row],[Core PCE]]*1)/W314)-1)</f>
        <v>5.118268074301735E-2</v>
      </c>
      <c r="Z326" s="8">
        <f t="shared" si="13"/>
        <v>5.6985177259426756E-2</v>
      </c>
      <c r="AA326" s="8">
        <f t="shared" si="12"/>
        <v>5.6432155346663126E-2</v>
      </c>
      <c r="AB326" s="7"/>
      <c r="AC326" s="7"/>
      <c r="AD326" s="8"/>
      <c r="AE326" s="71"/>
      <c r="AF326" s="7"/>
      <c r="AG326" s="5"/>
    </row>
    <row r="327" spans="1:33" ht="12.75">
      <c r="A327" s="6">
        <v>27030</v>
      </c>
      <c r="B327" s="7">
        <v>46.8</v>
      </c>
      <c r="C327" s="8">
        <f>IF(Tabela1[[#This Row],[Consumer Price Index (CPI)]]="",#N/A,((Tabela1[[#This Row],[Consumer Price Index (CPI)]]*1)/B326)-1)</f>
        <v>1.0799136069114423E-2</v>
      </c>
      <c r="D327" s="8">
        <f>IF(Tabela1[[#This Row],[Consumer Price Index (CPI)]]="",#N/A,((Tabela1[[#This Row],[Consumer Price Index (CPI)]]*1)/B315)-1)</f>
        <v>9.6018735362997543E-2</v>
      </c>
      <c r="E327" s="25">
        <v>46.9</v>
      </c>
      <c r="F327" s="8">
        <f>IF(Tabela1[[#This Row],[Core Consumer Price Index]]="",#N/A,((Tabela1[[#This Row],[Core Consumer Price Index]]*1)/E326)-1)</f>
        <v>4.2826552462524869E-3</v>
      </c>
      <c r="G327" s="8">
        <f>IF(Tabela1[[#This Row],[Core Consumer Price Index]]="",#N/A,((Tabela1[[#This Row],[Core Consumer Price Index]]*1)/E315)-1)</f>
        <v>5.1569506726457437E-2</v>
      </c>
      <c r="H327" s="8">
        <f t="shared" si="14"/>
        <v>5.161353977086236E-2</v>
      </c>
      <c r="I327" s="8">
        <f t="shared" si="15"/>
        <v>6.0770559782147959E-2</v>
      </c>
      <c r="J327" s="25">
        <v>41.8</v>
      </c>
      <c r="K327" s="8">
        <f>IF(Tabela1[[#This Row],[Services CPI]]="",#N/A,((Tabela1[[#This Row],[Services CPI]]*1)/J326)-1)</f>
        <v>7.2289156626506035E-3</v>
      </c>
      <c r="L327" s="8">
        <f>IF(Tabela1[[#This Row],[Services CPI]]="",#N/A,((Tabela1[[#This Row],[Services CPI]]*1)/J315)-1)</f>
        <v>6.9053708439897665E-2</v>
      </c>
      <c r="M327" s="7">
        <v>42.8</v>
      </c>
      <c r="N327" s="8">
        <f>IF(Tabela1[[#This Row],[Core-Services CPI]]="",#N/A,((Tabela1[[#This Row],[Core-Services CPI]]*1)/M326)-1)</f>
        <v>7.058823529411784E-3</v>
      </c>
      <c r="O327" s="8">
        <f>IF(Tabela1[[#This Row],[Core-Services CPI]]="",#N/A,((Tabela1[[#This Row],[Core-Services CPI]]*1)/M315)-1)</f>
        <v>6.7331670822942558E-2</v>
      </c>
      <c r="P327" s="7">
        <v>48.9</v>
      </c>
      <c r="Q327" s="8">
        <f>IF(Tabela1[[#This Row],[Durable Goods CPI]]="",#N/A,((Tabela1[[#This Row],[Durable Goods CPI]]*1)/P326)-1)</f>
        <v>6.1728395061728669E-3</v>
      </c>
      <c r="R327" s="8">
        <f>IF(Tabela1[[#This Row],[Durable Goods CPI]]="",#N/A,((Tabela1[[#This Row],[Durable Goods CPI]]*1)/P315)-1)</f>
        <v>2.9473684210526319E-2</v>
      </c>
      <c r="S327" s="7">
        <v>4.938670847</v>
      </c>
      <c r="T327" s="7">
        <v>23.523</v>
      </c>
      <c r="U327" s="8">
        <f>IF(Tabela1[[#This Row],[Personal Consumption Expenditures (PCE)]]="",#N/A,((Tabela1[[#This Row],[Personal Consumption Expenditures (PCE)]]*1)/T326)-1)</f>
        <v>9.5708154506437548E-3</v>
      </c>
      <c r="V327" s="8">
        <f>IF(Tabela1[[#This Row],[Personal Consumption Expenditures (PCE)]]="",#N/A,((Tabela1[[#This Row],[Personal Consumption Expenditures (PCE)]]*1)/T315)-1)</f>
        <v>8.4259045863102067E-2</v>
      </c>
      <c r="W327" s="7">
        <v>23.713999999999999</v>
      </c>
      <c r="X327" s="8">
        <f>IF(Tabela1[[#This Row],[Core PCE]]="",#N/A,((Tabela1[[#This Row],[Core PCE]]*1)/W326)-1)</f>
        <v>4.9156708195610133E-3</v>
      </c>
      <c r="Y327" s="8">
        <f>IF(Tabela1[[#This Row],[Core PCE]]="",#N/A,((Tabela1[[#This Row],[Core PCE]]*1)/W315)-1)</f>
        <v>5.569158171214883E-2</v>
      </c>
      <c r="Z327" s="8">
        <f t="shared" si="13"/>
        <v>6.1173972723357117E-2</v>
      </c>
      <c r="AA327" s="8">
        <f t="shared" si="12"/>
        <v>5.7720586294070841E-2</v>
      </c>
      <c r="AB327" s="7"/>
      <c r="AC327" s="7"/>
      <c r="AD327" s="8"/>
      <c r="AE327" s="71"/>
      <c r="AF327" s="7"/>
      <c r="AG327" s="5"/>
    </row>
    <row r="328" spans="1:33" ht="12.75">
      <c r="A328" s="6">
        <v>27061</v>
      </c>
      <c r="B328" s="7">
        <v>47.3</v>
      </c>
      <c r="C328" s="8">
        <f>IF(Tabela1[[#This Row],[Consumer Price Index (CPI)]]="",#N/A,((Tabela1[[#This Row],[Consumer Price Index (CPI)]]*1)/B327)-1)</f>
        <v>1.0683760683760646E-2</v>
      </c>
      <c r="D328" s="8">
        <f>IF(Tabela1[[#This Row],[Consumer Price Index (CPI)]]="",#N/A,((Tabela1[[#This Row],[Consumer Price Index (CPI)]]*1)/B316)-1)</f>
        <v>9.9999999999999867E-2</v>
      </c>
      <c r="E328" s="25">
        <v>47.2</v>
      </c>
      <c r="F328" s="8">
        <f>IF(Tabela1[[#This Row],[Core Consumer Price Index]]="",#N/A,((Tabela1[[#This Row],[Core Consumer Price Index]]*1)/E327)-1)</f>
        <v>6.3965884861407751E-3</v>
      </c>
      <c r="G328" s="8">
        <f>IF(Tabela1[[#This Row],[Core Consumer Price Index]]="",#N/A,((Tabela1[[#This Row],[Core Consumer Price Index]]*1)/E316)-1)</f>
        <v>5.3571428571428603E-2</v>
      </c>
      <c r="H328" s="8">
        <f t="shared" si="14"/>
        <v>5.9921276004842206E-2</v>
      </c>
      <c r="I328" s="8">
        <f t="shared" si="15"/>
        <v>6.477252796322075E-2</v>
      </c>
      <c r="J328" s="25">
        <v>42</v>
      </c>
      <c r="K328" s="8">
        <f>IF(Tabela1[[#This Row],[Services CPI]]="",#N/A,((Tabela1[[#This Row],[Services CPI]]*1)/J327)-1)</f>
        <v>4.784688995215447E-3</v>
      </c>
      <c r="L328" s="8">
        <f>IF(Tabela1[[#This Row],[Services CPI]]="",#N/A,((Tabela1[[#This Row],[Services CPI]]*1)/J316)-1)</f>
        <v>7.1428571428571397E-2</v>
      </c>
      <c r="M328" s="7">
        <v>43</v>
      </c>
      <c r="N328" s="8">
        <f>IF(Tabela1[[#This Row],[Core-Services CPI]]="",#N/A,((Tabela1[[#This Row],[Core-Services CPI]]*1)/M327)-1)</f>
        <v>4.6728971962617383E-3</v>
      </c>
      <c r="O328" s="8">
        <f>IF(Tabela1[[#This Row],[Core-Services CPI]]="",#N/A,((Tabela1[[#This Row],[Core-Services CPI]]*1)/M316)-1)</f>
        <v>6.9651741293532243E-2</v>
      </c>
      <c r="P328" s="7">
        <v>49.1</v>
      </c>
      <c r="Q328" s="8">
        <f>IF(Tabela1[[#This Row],[Durable Goods CPI]]="",#N/A,((Tabela1[[#This Row],[Durable Goods CPI]]*1)/P327)-1)</f>
        <v>4.0899795501023739E-3</v>
      </c>
      <c r="R328" s="8">
        <f>IF(Tabela1[[#This Row],[Durable Goods CPI]]="",#N/A,((Tabela1[[#This Row],[Durable Goods CPI]]*1)/P316)-1)</f>
        <v>3.1512605042016695E-2</v>
      </c>
      <c r="S328" s="7">
        <v>5.3198430979999998</v>
      </c>
      <c r="T328" s="7">
        <v>23.797000000000001</v>
      </c>
      <c r="U328" s="8">
        <f>IF(Tabela1[[#This Row],[Personal Consumption Expenditures (PCE)]]="",#N/A,((Tabela1[[#This Row],[Personal Consumption Expenditures (PCE)]]*1)/T327)-1)</f>
        <v>1.1648174127449673E-2</v>
      </c>
      <c r="V328" s="8">
        <f>IF(Tabela1[[#This Row],[Personal Consumption Expenditures (PCE)]]="",#N/A,((Tabela1[[#This Row],[Personal Consumption Expenditures (PCE)]]*1)/T316)-1)</f>
        <v>9.1155027740840833E-2</v>
      </c>
      <c r="W328" s="7">
        <v>23.864999999999998</v>
      </c>
      <c r="X328" s="8">
        <f>IF(Tabela1[[#This Row],[Core PCE]]="",#N/A,((Tabela1[[#This Row],[Core PCE]]*1)/W327)-1)</f>
        <v>6.3675465969470491E-3</v>
      </c>
      <c r="Y328" s="8">
        <f>IF(Tabela1[[#This Row],[Core PCE]]="",#N/A,((Tabela1[[#This Row],[Core PCE]]*1)/W316)-1)</f>
        <v>5.9066299813614886E-2</v>
      </c>
      <c r="Z328" s="8">
        <f t="shared" si="13"/>
        <v>6.7290701607398695E-2</v>
      </c>
      <c r="AA328" s="8">
        <f t="shared" si="12"/>
        <v>6.1167888159463502E-2</v>
      </c>
      <c r="AB328" s="7"/>
      <c r="AC328" s="7"/>
      <c r="AD328" s="8"/>
      <c r="AE328" s="71"/>
      <c r="AF328" s="7"/>
      <c r="AG328" s="5"/>
    </row>
    <row r="329" spans="1:33" ht="12.75">
      <c r="A329" s="6">
        <v>27089</v>
      </c>
      <c r="B329" s="7">
        <v>47.8</v>
      </c>
      <c r="C329" s="8">
        <f>IF(Tabela1[[#This Row],[Consumer Price Index (CPI)]]="",#N/A,((Tabela1[[#This Row],[Consumer Price Index (CPI)]]*1)/B328)-1)</f>
        <v>1.0570824524312794E-2</v>
      </c>
      <c r="D329" s="8">
        <f>IF(Tabela1[[#This Row],[Consumer Price Index (CPI)]]="",#N/A,((Tabela1[[#This Row],[Consumer Price Index (CPI)]]*1)/B317)-1)</f>
        <v>0.10138248847926268</v>
      </c>
      <c r="E329" s="25">
        <v>47.6</v>
      </c>
      <c r="F329" s="8">
        <f>IF(Tabela1[[#This Row],[Core Consumer Price Index]]="",#N/A,((Tabela1[[#This Row],[Core Consumer Price Index]]*1)/E328)-1)</f>
        <v>8.4745762711864181E-3</v>
      </c>
      <c r="G329" s="8">
        <f>IF(Tabela1[[#This Row],[Core Consumer Price Index]]="",#N/A,((Tabela1[[#This Row],[Core Consumer Price Index]]*1)/E317)-1)</f>
        <v>5.7777777777777706E-2</v>
      </c>
      <c r="H329" s="8">
        <f t="shared" si="14"/>
        <v>7.6615280014318721E-2</v>
      </c>
      <c r="I329" s="8">
        <f t="shared" si="15"/>
        <v>6.8592577660954834E-2</v>
      </c>
      <c r="J329" s="25">
        <v>42.4</v>
      </c>
      <c r="K329" s="8">
        <f>IF(Tabela1[[#This Row],[Services CPI]]="",#N/A,((Tabela1[[#This Row],[Services CPI]]*1)/J328)-1)</f>
        <v>9.52380952380949E-3</v>
      </c>
      <c r="L329" s="8">
        <f>IF(Tabela1[[#This Row],[Services CPI]]="",#N/A,((Tabela1[[#This Row],[Services CPI]]*1)/J317)-1)</f>
        <v>7.6142131979695327E-2</v>
      </c>
      <c r="M329" s="7">
        <v>43.3</v>
      </c>
      <c r="N329" s="8">
        <f>IF(Tabela1[[#This Row],[Core-Services CPI]]="",#N/A,((Tabela1[[#This Row],[Core-Services CPI]]*1)/M328)-1)</f>
        <v>6.9767441860464352E-3</v>
      </c>
      <c r="O329" s="8">
        <f>IF(Tabela1[[#This Row],[Core-Services CPI]]="",#N/A,((Tabela1[[#This Row],[Core-Services CPI]]*1)/M317)-1)</f>
        <v>7.1782178217821846E-2</v>
      </c>
      <c r="P329" s="7">
        <v>49.3</v>
      </c>
      <c r="Q329" s="8">
        <f>IF(Tabela1[[#This Row],[Durable Goods CPI]]="",#N/A,((Tabela1[[#This Row],[Durable Goods CPI]]*1)/P328)-1)</f>
        <v>4.0733197556006573E-3</v>
      </c>
      <c r="R329" s="8">
        <f>IF(Tabela1[[#This Row],[Durable Goods CPI]]="",#N/A,((Tabela1[[#This Row],[Durable Goods CPI]]*1)/P317)-1)</f>
        <v>3.3542976939203273E-2</v>
      </c>
      <c r="S329" s="7">
        <v>5.8575069649999998</v>
      </c>
      <c r="T329" s="7">
        <v>24.073</v>
      </c>
      <c r="U329" s="8">
        <f>IF(Tabela1[[#This Row],[Personal Consumption Expenditures (PCE)]]="",#N/A,((Tabela1[[#This Row],[Personal Consumption Expenditures (PCE)]]*1)/T328)-1)</f>
        <v>1.1598100600916039E-2</v>
      </c>
      <c r="V329" s="8">
        <f>IF(Tabela1[[#This Row],[Personal Consumption Expenditures (PCE)]]="",#N/A,((Tabela1[[#This Row],[Personal Consumption Expenditures (PCE)]]*1)/T317)-1)</f>
        <v>9.6020761245674935E-2</v>
      </c>
      <c r="W329" s="7">
        <v>24.050999999999998</v>
      </c>
      <c r="X329" s="8">
        <f>IF(Tabela1[[#This Row],[Core PCE]]="",#N/A,((Tabela1[[#This Row],[Core PCE]]*1)/W328)-1)</f>
        <v>7.7938403519799415E-3</v>
      </c>
      <c r="Y329" s="8">
        <f>IF(Tabela1[[#This Row],[Core PCE]]="",#N/A,((Tabela1[[#This Row],[Core PCE]]*1)/W317)-1)</f>
        <v>6.3027624309392127E-2</v>
      </c>
      <c r="Z329" s="8">
        <f t="shared" si="13"/>
        <v>7.6308231073952015E-2</v>
      </c>
      <c r="AA329" s="8">
        <f t="shared" si="12"/>
        <v>6.6646704166689386E-2</v>
      </c>
      <c r="AB329" s="7"/>
      <c r="AC329" s="7"/>
      <c r="AD329" s="8"/>
      <c r="AE329" s="71"/>
      <c r="AF329" s="7"/>
      <c r="AG329" s="5"/>
    </row>
    <row r="330" spans="1:33" ht="12.75">
      <c r="A330" s="6">
        <v>27120</v>
      </c>
      <c r="B330" s="7">
        <v>48.1</v>
      </c>
      <c r="C330" s="8">
        <f>IF(Tabela1[[#This Row],[Consumer Price Index (CPI)]]="",#N/A,((Tabela1[[#This Row],[Consumer Price Index (CPI)]]*1)/B329)-1)</f>
        <v>6.2761506276152179E-3</v>
      </c>
      <c r="D330" s="8">
        <f>IF(Tabela1[[#This Row],[Consumer Price Index (CPI)]]="",#N/A,((Tabela1[[#This Row],[Consumer Price Index (CPI)]]*1)/B318)-1)</f>
        <v>0.10068649885583514</v>
      </c>
      <c r="E330" s="25">
        <v>47.9</v>
      </c>
      <c r="F330" s="8">
        <f>IF(Tabela1[[#This Row],[Core Consumer Price Index]]="",#N/A,((Tabela1[[#This Row],[Core Consumer Price Index]]*1)/E329)-1)</f>
        <v>6.302521008403339E-3</v>
      </c>
      <c r="G330" s="8">
        <f>IF(Tabela1[[#This Row],[Core Consumer Price Index]]="",#N/A,((Tabela1[[#This Row],[Core Consumer Price Index]]*1)/E318)-1)</f>
        <v>6.208425720620836E-2</v>
      </c>
      <c r="H330" s="8">
        <f t="shared" si="14"/>
        <v>8.4694743062922129E-2</v>
      </c>
      <c r="I330" s="8">
        <f t="shared" si="15"/>
        <v>6.8154141416892244E-2</v>
      </c>
      <c r="J330" s="25">
        <v>42.6</v>
      </c>
      <c r="K330" s="8">
        <f>IF(Tabela1[[#This Row],[Services CPI]]="",#N/A,((Tabela1[[#This Row],[Services CPI]]*1)/J329)-1)</f>
        <v>4.7169811320755262E-3</v>
      </c>
      <c r="L330" s="8">
        <f>IF(Tabela1[[#This Row],[Services CPI]]="",#N/A,((Tabela1[[#This Row],[Services CPI]]*1)/J318)-1)</f>
        <v>7.8481012658227822E-2</v>
      </c>
      <c r="M330" s="7">
        <v>43.5</v>
      </c>
      <c r="N330" s="8">
        <f>IF(Tabela1[[#This Row],[Core-Services CPI]]="",#N/A,((Tabela1[[#This Row],[Core-Services CPI]]*1)/M329)-1)</f>
        <v>4.6189376443419583E-3</v>
      </c>
      <c r="O330" s="8">
        <f>IF(Tabela1[[#This Row],[Core-Services CPI]]="",#N/A,((Tabela1[[#This Row],[Core-Services CPI]]*1)/M318)-1)</f>
        <v>7.4074074074074181E-2</v>
      </c>
      <c r="P330" s="7">
        <v>49.7</v>
      </c>
      <c r="Q330" s="8">
        <f>IF(Tabela1[[#This Row],[Durable Goods CPI]]="",#N/A,((Tabela1[[#This Row],[Durable Goods CPI]]*1)/P329)-1)</f>
        <v>8.113590263691739E-3</v>
      </c>
      <c r="R330" s="8">
        <f>IF(Tabela1[[#This Row],[Durable Goods CPI]]="",#N/A,((Tabela1[[#This Row],[Durable Goods CPI]]*1)/P318)-1)</f>
        <v>3.7578288100208912E-2</v>
      </c>
      <c r="S330" s="7">
        <v>6.3039691309999997</v>
      </c>
      <c r="T330" s="7">
        <v>24.242999999999999</v>
      </c>
      <c r="U330" s="8">
        <f>IF(Tabela1[[#This Row],[Personal Consumption Expenditures (PCE)]]="",#N/A,((Tabela1[[#This Row],[Personal Consumption Expenditures (PCE)]]*1)/T329)-1)</f>
        <v>7.0618535288495821E-3</v>
      </c>
      <c r="V330" s="8">
        <f>IF(Tabela1[[#This Row],[Personal Consumption Expenditures (PCE)]]="",#N/A,((Tabela1[[#This Row],[Personal Consumption Expenditures (PCE)]]*1)/T318)-1)</f>
        <v>9.5629773579789301E-2</v>
      </c>
      <c r="W330" s="7">
        <v>24.231000000000002</v>
      </c>
      <c r="X330" s="8">
        <f>IF(Tabela1[[#This Row],[Core PCE]]="",#N/A,((Tabela1[[#This Row],[Core PCE]]*1)/W329)-1)</f>
        <v>7.4840962953723889E-3</v>
      </c>
      <c r="Y330" s="8">
        <f>IF(Tabela1[[#This Row],[Core PCE]]="",#N/A,((Tabela1[[#This Row],[Core PCE]]*1)/W318)-1)</f>
        <v>6.4818069959571067E-2</v>
      </c>
      <c r="Z330" s="8">
        <f t="shared" si="13"/>
        <v>8.6581932977197518E-2</v>
      </c>
      <c r="AA330" s="8">
        <f t="shared" si="12"/>
        <v>7.3877952850277318E-2</v>
      </c>
      <c r="AB330" s="7"/>
      <c r="AC330" s="7"/>
      <c r="AD330" s="8"/>
      <c r="AE330" s="71"/>
      <c r="AF330" s="7"/>
      <c r="AG330" s="5"/>
    </row>
    <row r="331" spans="1:33" ht="12.75">
      <c r="A331" s="6">
        <v>27150</v>
      </c>
      <c r="B331" s="7">
        <v>48.6</v>
      </c>
      <c r="C331" s="8">
        <f>IF(Tabela1[[#This Row],[Consumer Price Index (CPI)]]="",#N/A,((Tabela1[[#This Row],[Consumer Price Index (CPI)]]*1)/B330)-1)</f>
        <v>1.039501039501034E-2</v>
      </c>
      <c r="D331" s="8">
        <f>IF(Tabela1[[#This Row],[Consumer Price Index (CPI)]]="",#N/A,((Tabela1[[#This Row],[Consumer Price Index (CPI)]]*1)/B319)-1)</f>
        <v>0.1070615034168565</v>
      </c>
      <c r="E331" s="25">
        <v>48.5</v>
      </c>
      <c r="F331" s="8">
        <f>IF(Tabela1[[#This Row],[Core Consumer Price Index]]="",#N/A,((Tabela1[[#This Row],[Core Consumer Price Index]]*1)/E330)-1)</f>
        <v>1.2526096033403045E-2</v>
      </c>
      <c r="G331" s="8">
        <f>IF(Tabela1[[#This Row],[Core Consumer Price Index]]="",#N/A,((Tabela1[[#This Row],[Core Consumer Price Index]]*1)/E319)-1)</f>
        <v>7.064017660044164E-2</v>
      </c>
      <c r="H331" s="8">
        <f t="shared" si="14"/>
        <v>0.10921277325197121</v>
      </c>
      <c r="I331" s="8">
        <f t="shared" si="15"/>
        <v>8.4567024628406706E-2</v>
      </c>
      <c r="J331" s="25">
        <v>43.1</v>
      </c>
      <c r="K331" s="8">
        <f>IF(Tabela1[[#This Row],[Services CPI]]="",#N/A,((Tabela1[[#This Row],[Services CPI]]*1)/J330)-1)</f>
        <v>1.1737089201877993E-2</v>
      </c>
      <c r="L331" s="8">
        <f>IF(Tabela1[[#This Row],[Services CPI]]="",#N/A,((Tabela1[[#This Row],[Services CPI]]*1)/J319)-1)</f>
        <v>8.8383838383838453E-2</v>
      </c>
      <c r="M331" s="7">
        <v>44</v>
      </c>
      <c r="N331" s="8">
        <f>IF(Tabela1[[#This Row],[Core-Services CPI]]="",#N/A,((Tabela1[[#This Row],[Core-Services CPI]]*1)/M330)-1)</f>
        <v>1.1494252873563315E-2</v>
      </c>
      <c r="O331" s="8">
        <f>IF(Tabela1[[#This Row],[Core-Services CPI]]="",#N/A,((Tabela1[[#This Row],[Core-Services CPI]]*1)/M319)-1)</f>
        <v>8.3743842364532028E-2</v>
      </c>
      <c r="P331" s="7">
        <v>50.3</v>
      </c>
      <c r="Q331" s="8">
        <f>IF(Tabela1[[#This Row],[Durable Goods CPI]]="",#N/A,((Tabela1[[#This Row],[Durable Goods CPI]]*1)/P330)-1)</f>
        <v>1.2072434607645732E-2</v>
      </c>
      <c r="R331" s="8">
        <f>IF(Tabela1[[#This Row],[Durable Goods CPI]]="",#N/A,((Tabela1[[#This Row],[Durable Goods CPI]]*1)/P319)-1)</f>
        <v>4.7916666666666607E-2</v>
      </c>
      <c r="S331" s="7">
        <v>6.8313937249999999</v>
      </c>
      <c r="T331" s="7">
        <v>24.481999999999999</v>
      </c>
      <c r="U331" s="8">
        <f>IF(Tabela1[[#This Row],[Personal Consumption Expenditures (PCE)]]="",#N/A,((Tabela1[[#This Row],[Personal Consumption Expenditures (PCE)]]*1)/T330)-1)</f>
        <v>9.8585158602484402E-3</v>
      </c>
      <c r="V331" s="8">
        <f>IF(Tabela1[[#This Row],[Personal Consumption Expenditures (PCE)]]="",#N/A,((Tabela1[[#This Row],[Personal Consumption Expenditures (PCE)]]*1)/T319)-1)</f>
        <v>0.10100737542723515</v>
      </c>
      <c r="W331" s="7">
        <v>24.463999999999999</v>
      </c>
      <c r="X331" s="8">
        <f>IF(Tabela1[[#This Row],[Core PCE]]="",#N/A,((Tabela1[[#This Row],[Core PCE]]*1)/W330)-1)</f>
        <v>9.6157814370021466E-3</v>
      </c>
      <c r="Y331" s="8">
        <f>IF(Tabela1[[#This Row],[Core PCE]]="",#N/A,((Tabela1[[#This Row],[Core PCE]]*1)/W319)-1)</f>
        <v>7.0915776571528477E-2</v>
      </c>
      <c r="Z331" s="8">
        <f t="shared" si="13"/>
        <v>9.9574872337417908E-2</v>
      </c>
      <c r="AA331" s="8">
        <f t="shared" si="12"/>
        <v>8.3432786972408302E-2</v>
      </c>
      <c r="AB331" s="7"/>
      <c r="AC331" s="7"/>
      <c r="AD331" s="8"/>
      <c r="AE331" s="71"/>
      <c r="AF331" s="7"/>
      <c r="AG331" s="5"/>
    </row>
    <row r="332" spans="1:33" ht="12.75">
      <c r="A332" s="6">
        <v>27181</v>
      </c>
      <c r="B332" s="7">
        <v>49</v>
      </c>
      <c r="C332" s="8">
        <f>IF(Tabela1[[#This Row],[Consumer Price Index (CPI)]]="",#N/A,((Tabela1[[#This Row],[Consumer Price Index (CPI)]]*1)/B331)-1)</f>
        <v>8.2304526748970819E-3</v>
      </c>
      <c r="D332" s="8">
        <f>IF(Tabela1[[#This Row],[Consumer Price Index (CPI)]]="",#N/A,((Tabela1[[#This Row],[Consumer Price Index (CPI)]]*1)/B320)-1)</f>
        <v>0.10859728506787314</v>
      </c>
      <c r="E332" s="25">
        <v>49</v>
      </c>
      <c r="F332" s="8">
        <f>IF(Tabela1[[#This Row],[Core Consumer Price Index]]="",#N/A,((Tabela1[[#This Row],[Core Consumer Price Index]]*1)/E331)-1)</f>
        <v>1.0309278350515427E-2</v>
      </c>
      <c r="G332" s="8">
        <f>IF(Tabela1[[#This Row],[Core Consumer Price Index]]="",#N/A,((Tabela1[[#This Row],[Core Consumer Price Index]]*1)/E320)-1)</f>
        <v>7.9295154185021977E-2</v>
      </c>
      <c r="H332" s="8">
        <f t="shared" si="14"/>
        <v>0.11655158156928724</v>
      </c>
      <c r="I332" s="8">
        <f t="shared" si="15"/>
        <v>9.6583430791802982E-2</v>
      </c>
      <c r="J332" s="25">
        <v>43.5</v>
      </c>
      <c r="K332" s="8">
        <f>IF(Tabela1[[#This Row],[Services CPI]]="",#N/A,((Tabela1[[#This Row],[Services CPI]]*1)/J331)-1)</f>
        <v>9.2807424593968069E-3</v>
      </c>
      <c r="L332" s="8">
        <f>IF(Tabela1[[#This Row],[Services CPI]]="",#N/A,((Tabela1[[#This Row],[Services CPI]]*1)/J320)-1)</f>
        <v>9.296482412060314E-2</v>
      </c>
      <c r="M332" s="7">
        <v>44.5</v>
      </c>
      <c r="N332" s="8">
        <f>IF(Tabela1[[#This Row],[Core-Services CPI]]="",#N/A,((Tabela1[[#This Row],[Core-Services CPI]]*1)/M331)-1)</f>
        <v>1.1363636363636465E-2</v>
      </c>
      <c r="O332" s="8">
        <f>IF(Tabela1[[#This Row],[Core-Services CPI]]="",#N/A,((Tabela1[[#This Row],[Core-Services CPI]]*1)/M320)-1)</f>
        <v>9.0686274509804043E-2</v>
      </c>
      <c r="P332" s="7">
        <v>51</v>
      </c>
      <c r="Q332" s="8">
        <f>IF(Tabela1[[#This Row],[Durable Goods CPI]]="",#N/A,((Tabela1[[#This Row],[Durable Goods CPI]]*1)/P331)-1)</f>
        <v>1.3916500994035852E-2</v>
      </c>
      <c r="R332" s="8">
        <f>IF(Tabela1[[#This Row],[Durable Goods CPI]]="",#N/A,((Tabela1[[#This Row],[Durable Goods CPI]]*1)/P320)-1)</f>
        <v>6.25E-2</v>
      </c>
      <c r="S332" s="7">
        <v>7.1203842069999999</v>
      </c>
      <c r="T332" s="7">
        <v>24.69</v>
      </c>
      <c r="U332" s="8">
        <f>IF(Tabela1[[#This Row],[Personal Consumption Expenditures (PCE)]]="",#N/A,((Tabela1[[#This Row],[Personal Consumption Expenditures (PCE)]]*1)/T331)-1)</f>
        <v>8.496037905399989E-3</v>
      </c>
      <c r="V332" s="8">
        <f>IF(Tabela1[[#This Row],[Personal Consumption Expenditures (PCE)]]="",#N/A,((Tabela1[[#This Row],[Personal Consumption Expenditures (PCE)]]*1)/T320)-1)</f>
        <v>0.10405580646603774</v>
      </c>
      <c r="W332" s="7">
        <v>24.715</v>
      </c>
      <c r="X332" s="8">
        <f>IF(Tabela1[[#This Row],[Core PCE]]="",#N/A,((Tabela1[[#This Row],[Core PCE]]*1)/W331)-1)</f>
        <v>1.0259973839110481E-2</v>
      </c>
      <c r="Y332" s="8">
        <f>IF(Tabela1[[#This Row],[Core PCE]]="",#N/A,((Tabela1[[#This Row],[Core PCE]]*1)/W320)-1)</f>
        <v>7.7234886457743013E-2</v>
      </c>
      <c r="Z332" s="8">
        <f t="shared" si="13"/>
        <v>0.10943940628594007</v>
      </c>
      <c r="AA332" s="8">
        <f t="shared" si="12"/>
        <v>9.2873818679946041E-2</v>
      </c>
      <c r="AB332" s="7"/>
      <c r="AC332" s="7"/>
      <c r="AD332" s="8"/>
      <c r="AE332" s="71"/>
      <c r="AF332" s="7"/>
      <c r="AG332" s="5"/>
    </row>
    <row r="333" spans="1:33" ht="12.75">
      <c r="A333" s="6">
        <v>27211</v>
      </c>
      <c r="B333" s="7">
        <v>49.3</v>
      </c>
      <c r="C333" s="8">
        <f>IF(Tabela1[[#This Row],[Consumer Price Index (CPI)]]="",#N/A,((Tabela1[[#This Row],[Consumer Price Index (CPI)]]*1)/B332)-1)</f>
        <v>6.1224489795916881E-3</v>
      </c>
      <c r="D333" s="8">
        <f>IF(Tabela1[[#This Row],[Consumer Price Index (CPI)]]="",#N/A,((Tabela1[[#This Row],[Consumer Price Index (CPI)]]*1)/B321)-1)</f>
        <v>0.1153846153846152</v>
      </c>
      <c r="E333" s="25">
        <v>49.5</v>
      </c>
      <c r="F333" s="8">
        <f>IF(Tabela1[[#This Row],[Core Consumer Price Index]]="",#N/A,((Tabela1[[#This Row],[Core Consumer Price Index]]*1)/E332)-1)</f>
        <v>1.0204081632652962E-2</v>
      </c>
      <c r="G333" s="8">
        <f>IF(Tabela1[[#This Row],[Core Consumer Price Index]]="",#N/A,((Tabela1[[#This Row],[Core Consumer Price Index]]*1)/E321)-1)</f>
        <v>8.7912087912087822E-2</v>
      </c>
      <c r="H333" s="8">
        <f t="shared" si="14"/>
        <v>0.13215782406628573</v>
      </c>
      <c r="I333" s="8">
        <f t="shared" si="15"/>
        <v>0.10842628356460393</v>
      </c>
      <c r="J333" s="25">
        <v>44</v>
      </c>
      <c r="K333" s="8">
        <f>IF(Tabela1[[#This Row],[Services CPI]]="",#N/A,((Tabela1[[#This Row],[Services CPI]]*1)/J332)-1)</f>
        <v>1.1494252873563315E-2</v>
      </c>
      <c r="L333" s="8">
        <f>IF(Tabela1[[#This Row],[Services CPI]]="",#N/A,((Tabela1[[#This Row],[Services CPI]]*1)/J321)-1)</f>
        <v>0.10275689223057638</v>
      </c>
      <c r="M333" s="7">
        <v>44.9</v>
      </c>
      <c r="N333" s="8">
        <f>IF(Tabela1[[#This Row],[Core-Services CPI]]="",#N/A,((Tabela1[[#This Row],[Core-Services CPI]]*1)/M332)-1)</f>
        <v>8.9887640449437534E-3</v>
      </c>
      <c r="O333" s="8">
        <f>IF(Tabela1[[#This Row],[Core-Services CPI]]="",#N/A,((Tabela1[[#This Row],[Core-Services CPI]]*1)/M321)-1)</f>
        <v>9.7799511002444994E-2</v>
      </c>
      <c r="P333" s="7">
        <v>51.6</v>
      </c>
      <c r="Q333" s="8">
        <f>IF(Tabela1[[#This Row],[Durable Goods CPI]]="",#N/A,((Tabela1[[#This Row],[Durable Goods CPI]]*1)/P332)-1)</f>
        <v>1.1764705882352899E-2</v>
      </c>
      <c r="R333" s="8">
        <f>IF(Tabela1[[#This Row],[Durable Goods CPI]]="",#N/A,((Tabela1[[#This Row],[Durable Goods CPI]]*1)/P321)-1)</f>
        <v>7.2765072765072825E-2</v>
      </c>
      <c r="S333" s="7">
        <v>7.7496505820000001</v>
      </c>
      <c r="T333" s="7">
        <v>24.872</v>
      </c>
      <c r="U333" s="8">
        <f>IF(Tabela1[[#This Row],[Personal Consumption Expenditures (PCE)]]="",#N/A,((Tabela1[[#This Row],[Personal Consumption Expenditures (PCE)]]*1)/T332)-1)</f>
        <v>7.3714054272984164E-3</v>
      </c>
      <c r="V333" s="8">
        <f>IF(Tabela1[[#This Row],[Personal Consumption Expenditures (PCE)]]="",#N/A,((Tabela1[[#This Row],[Personal Consumption Expenditures (PCE)]]*1)/T321)-1)</f>
        <v>0.10818036000712894</v>
      </c>
      <c r="W333" s="7">
        <v>24.934000000000001</v>
      </c>
      <c r="X333" s="8">
        <f>IF(Tabela1[[#This Row],[Core PCE]]="",#N/A,((Tabela1[[#This Row],[Core PCE]]*1)/W332)-1)</f>
        <v>8.8610155775845634E-3</v>
      </c>
      <c r="Y333" s="8">
        <f>IF(Tabela1[[#This Row],[Core PCE]]="",#N/A,((Tabela1[[#This Row],[Core PCE]]*1)/W321)-1)</f>
        <v>8.2157892452584536E-2</v>
      </c>
      <c r="Z333" s="8">
        <f t="shared" si="13"/>
        <v>0.11494708341478876</v>
      </c>
      <c r="AA333" s="8">
        <f t="shared" si="12"/>
        <v>0.10076450819599314</v>
      </c>
      <c r="AB333" s="7"/>
      <c r="AC333" s="7"/>
      <c r="AD333" s="8"/>
      <c r="AE333" s="71"/>
      <c r="AF333" s="7"/>
      <c r="AG333" s="5"/>
    </row>
    <row r="334" spans="1:33" ht="12.75">
      <c r="A334" s="6">
        <v>27242</v>
      </c>
      <c r="B334" s="7">
        <v>49.9</v>
      </c>
      <c r="C334" s="8">
        <f>IF(Tabela1[[#This Row],[Consumer Price Index (CPI)]]="",#N/A,((Tabela1[[#This Row],[Consumer Price Index (CPI)]]*1)/B333)-1)</f>
        <v>1.2170385395537497E-2</v>
      </c>
      <c r="D334" s="8">
        <f>IF(Tabela1[[#This Row],[Consumer Price Index (CPI)]]="",#N/A,((Tabela1[[#This Row],[Consumer Price Index (CPI)]]*1)/B322)-1)</f>
        <v>0.10888888888888881</v>
      </c>
      <c r="E334" s="25">
        <v>50.2</v>
      </c>
      <c r="F334" s="8">
        <f>IF(Tabela1[[#This Row],[Core Consumer Price Index]]="",#N/A,((Tabela1[[#This Row],[Core Consumer Price Index]]*1)/E333)-1)</f>
        <v>1.4141414141414232E-2</v>
      </c>
      <c r="G334" s="8">
        <f>IF(Tabela1[[#This Row],[Core Consumer Price Index]]="",#N/A,((Tabela1[[#This Row],[Core Consumer Price Index]]*1)/E322)-1)</f>
        <v>9.846827133479219E-2</v>
      </c>
      <c r="H334" s="8">
        <f t="shared" si="14"/>
        <v>0.13861909649833049</v>
      </c>
      <c r="I334" s="8">
        <f t="shared" si="15"/>
        <v>0.12391593487515085</v>
      </c>
      <c r="J334" s="25">
        <v>44.5</v>
      </c>
      <c r="K334" s="8">
        <f>IF(Tabela1[[#This Row],[Services CPI]]="",#N/A,((Tabela1[[#This Row],[Services CPI]]*1)/J333)-1)</f>
        <v>1.1363636363636465E-2</v>
      </c>
      <c r="L334" s="8">
        <f>IF(Tabela1[[#This Row],[Services CPI]]="",#N/A,((Tabela1[[#This Row],[Services CPI]]*1)/J322)-1)</f>
        <v>0.10696517412935314</v>
      </c>
      <c r="M334" s="7">
        <v>45.4</v>
      </c>
      <c r="N334" s="8">
        <f>IF(Tabela1[[#This Row],[Core-Services CPI]]="",#N/A,((Tabela1[[#This Row],[Core-Services CPI]]*1)/M333)-1)</f>
        <v>1.1135857461024523E-2</v>
      </c>
      <c r="O334" s="8">
        <f>IF(Tabela1[[#This Row],[Core-Services CPI]]="",#N/A,((Tabela1[[#This Row],[Core-Services CPI]]*1)/M322)-1)</f>
        <v>0.10194174757281549</v>
      </c>
      <c r="P334" s="7">
        <v>52.3</v>
      </c>
      <c r="Q334" s="8">
        <f>IF(Tabela1[[#This Row],[Durable Goods CPI]]="",#N/A,((Tabela1[[#This Row],[Durable Goods CPI]]*1)/P333)-1)</f>
        <v>1.3565891472868241E-2</v>
      </c>
      <c r="R334" s="8">
        <f>IF(Tabela1[[#This Row],[Durable Goods CPI]]="",#N/A,((Tabela1[[#This Row],[Durable Goods CPI]]*1)/P322)-1)</f>
        <v>8.5062240663900335E-2</v>
      </c>
      <c r="S334" s="7">
        <v>8.6403215259999993</v>
      </c>
      <c r="T334" s="7">
        <v>25.132000000000001</v>
      </c>
      <c r="U334" s="8">
        <f>IF(Tabela1[[#This Row],[Personal Consumption Expenditures (PCE)]]="",#N/A,((Tabela1[[#This Row],[Personal Consumption Expenditures (PCE)]]*1)/T333)-1)</f>
        <v>1.0453522032808138E-2</v>
      </c>
      <c r="V334" s="8">
        <f>IF(Tabela1[[#This Row],[Personal Consumption Expenditures (PCE)]]="",#N/A,((Tabela1[[#This Row],[Personal Consumption Expenditures (PCE)]]*1)/T322)-1)</f>
        <v>0.10699026560366476</v>
      </c>
      <c r="W334" s="7">
        <v>25.173999999999999</v>
      </c>
      <c r="X334" s="8">
        <f>IF(Tabela1[[#This Row],[Core PCE]]="",#N/A,((Tabela1[[#This Row],[Core PCE]]*1)/W333)-1)</f>
        <v>9.6254110852649344E-3</v>
      </c>
      <c r="Y334" s="8">
        <f>IF(Tabela1[[#This Row],[Core PCE]]="",#N/A,((Tabela1[[#This Row],[Core PCE]]*1)/W322)-1)</f>
        <v>8.7523760152064867E-2</v>
      </c>
      <c r="Z334" s="8">
        <f t="shared" si="13"/>
        <v>0.11498560200783992</v>
      </c>
      <c r="AA334" s="8">
        <f t="shared" si="12"/>
        <v>0.10728023717262891</v>
      </c>
      <c r="AB334" s="7"/>
      <c r="AC334" s="7"/>
      <c r="AD334" s="8"/>
      <c r="AE334" s="71"/>
      <c r="AF334" s="7"/>
      <c r="AG334" s="5"/>
    </row>
    <row r="335" spans="1:33" ht="12.75">
      <c r="A335" s="6">
        <v>27273</v>
      </c>
      <c r="B335" s="7">
        <v>50.6</v>
      </c>
      <c r="C335" s="8">
        <f>IF(Tabela1[[#This Row],[Consumer Price Index (CPI)]]="",#N/A,((Tabela1[[#This Row],[Consumer Price Index (CPI)]]*1)/B334)-1)</f>
        <v>1.4028056112224574E-2</v>
      </c>
      <c r="D335" s="8">
        <f>IF(Tabela1[[#This Row],[Consumer Price Index (CPI)]]="",#N/A,((Tabela1[[#This Row],[Consumer Price Index (CPI)]]*1)/B323)-1)</f>
        <v>0.11946902654867242</v>
      </c>
      <c r="E335" s="25">
        <v>50.7</v>
      </c>
      <c r="F335" s="8">
        <f>IF(Tabela1[[#This Row],[Core Consumer Price Index]]="",#N/A,((Tabela1[[#This Row],[Core Consumer Price Index]]*1)/E334)-1)</f>
        <v>9.960159362549792E-3</v>
      </c>
      <c r="G335" s="8">
        <f>IF(Tabela1[[#This Row],[Core Consumer Price Index]]="",#N/A,((Tabela1[[#This Row],[Core Consumer Price Index]]*1)/E323)-1)</f>
        <v>0.10217391304347823</v>
      </c>
      <c r="H335" s="8">
        <f t="shared" si="14"/>
        <v>0.13722262054646794</v>
      </c>
      <c r="I335" s="8">
        <f t="shared" si="15"/>
        <v>0.12688710105787759</v>
      </c>
      <c r="J335" s="25">
        <v>45</v>
      </c>
      <c r="K335" s="8">
        <f>IF(Tabela1[[#This Row],[Services CPI]]="",#N/A,((Tabela1[[#This Row],[Services CPI]]*1)/J334)-1)</f>
        <v>1.1235955056179803E-2</v>
      </c>
      <c r="L335" s="8">
        <f>IF(Tabela1[[#This Row],[Services CPI]]="",#N/A,((Tabela1[[#This Row],[Services CPI]]*1)/J323)-1)</f>
        <v>0.11111111111111116</v>
      </c>
      <c r="M335" s="7">
        <v>45.9</v>
      </c>
      <c r="N335" s="8">
        <f>IF(Tabela1[[#This Row],[Core-Services CPI]]="",#N/A,((Tabela1[[#This Row],[Core-Services CPI]]*1)/M334)-1)</f>
        <v>1.1013215859030812E-2</v>
      </c>
      <c r="O335" s="8">
        <f>IF(Tabela1[[#This Row],[Core-Services CPI]]="",#N/A,((Tabela1[[#This Row],[Core-Services CPI]]*1)/M323)-1)</f>
        <v>0.10336538461538458</v>
      </c>
      <c r="P335" s="7">
        <v>53</v>
      </c>
      <c r="Q335" s="8">
        <f>IF(Tabela1[[#This Row],[Durable Goods CPI]]="",#N/A,((Tabela1[[#This Row],[Durable Goods CPI]]*1)/P334)-1)</f>
        <v>1.3384321223709472E-2</v>
      </c>
      <c r="R335" s="8">
        <f>IF(Tabela1[[#This Row],[Durable Goods CPI]]="",#N/A,((Tabela1[[#This Row],[Durable Goods CPI]]*1)/P323)-1)</f>
        <v>9.9585062240663769E-2</v>
      </c>
      <c r="S335" s="7">
        <v>9.5528603709999995</v>
      </c>
      <c r="T335" s="7">
        <v>25.393000000000001</v>
      </c>
      <c r="U335" s="8">
        <f>IF(Tabela1[[#This Row],[Personal Consumption Expenditures (PCE)]]="",#N/A,((Tabela1[[#This Row],[Personal Consumption Expenditures (PCE)]]*1)/T334)-1)</f>
        <v>1.0385166321820849E-2</v>
      </c>
      <c r="V335" s="8">
        <f>IF(Tabela1[[#This Row],[Personal Consumption Expenditures (PCE)]]="",#N/A,((Tabela1[[#This Row],[Personal Consumption Expenditures (PCE)]]*1)/T323)-1)</f>
        <v>0.11407010924406613</v>
      </c>
      <c r="W335" s="7">
        <v>25.4</v>
      </c>
      <c r="X335" s="8">
        <f>IF(Tabela1[[#This Row],[Core PCE]]="",#N/A,((Tabela1[[#This Row],[Core PCE]]*1)/W334)-1)</f>
        <v>8.9775164852625711E-3</v>
      </c>
      <c r="Y335" s="8">
        <f>IF(Tabela1[[#This Row],[Core PCE]]="",#N/A,((Tabela1[[#This Row],[Core PCE]]*1)/W323)-1)</f>
        <v>9.1768751343219268E-2</v>
      </c>
      <c r="Z335" s="8">
        <f t="shared" si="13"/>
        <v>0.10985577259244828</v>
      </c>
      <c r="AA335" s="8">
        <f t="shared" si="12"/>
        <v>0.10964758943919417</v>
      </c>
      <c r="AB335" s="7"/>
      <c r="AC335" s="7"/>
      <c r="AD335" s="8"/>
      <c r="AE335" s="71"/>
      <c r="AF335" s="7"/>
      <c r="AG335" s="5"/>
    </row>
    <row r="336" spans="1:33" ht="12.75">
      <c r="A336" s="6">
        <v>27303</v>
      </c>
      <c r="B336" s="7">
        <v>51</v>
      </c>
      <c r="C336" s="8">
        <f>IF(Tabela1[[#This Row],[Consumer Price Index (CPI)]]="",#N/A,((Tabela1[[#This Row],[Consumer Price Index (CPI)]]*1)/B335)-1)</f>
        <v>7.905138339920903E-3</v>
      </c>
      <c r="D336" s="8">
        <f>IF(Tabela1[[#This Row],[Consumer Price Index (CPI)]]="",#N/A,((Tabela1[[#This Row],[Consumer Price Index (CPI)]]*1)/B324)-1)</f>
        <v>0.11842105263157898</v>
      </c>
      <c r="E336" s="25">
        <v>51.2</v>
      </c>
      <c r="F336" s="8">
        <f>IF(Tabela1[[#This Row],[Core Consumer Price Index]]="",#N/A,((Tabela1[[#This Row],[Core Consumer Price Index]]*1)/E335)-1)</f>
        <v>9.8619329388560661E-3</v>
      </c>
      <c r="G336" s="8">
        <f>IF(Tabela1[[#This Row],[Core Consumer Price Index]]="",#N/A,((Tabela1[[#This Row],[Core Consumer Price Index]]*1)/E324)-1)</f>
        <v>0.10583153347732188</v>
      </c>
      <c r="H336" s="8">
        <f t="shared" si="14"/>
        <v>0.13585402577128036</v>
      </c>
      <c r="I336" s="8">
        <f t="shared" si="15"/>
        <v>0.13400592491878305</v>
      </c>
      <c r="J336" s="25">
        <v>45.4</v>
      </c>
      <c r="K336" s="8">
        <f>IF(Tabela1[[#This Row],[Services CPI]]="",#N/A,((Tabela1[[#This Row],[Services CPI]]*1)/J335)-1)</f>
        <v>8.8888888888889461E-3</v>
      </c>
      <c r="L336" s="8">
        <f>IF(Tabela1[[#This Row],[Services CPI]]="",#N/A,((Tabela1[[#This Row],[Services CPI]]*1)/J324)-1)</f>
        <v>0.10731707317073158</v>
      </c>
      <c r="M336" s="7">
        <v>46.3</v>
      </c>
      <c r="N336" s="8">
        <f>IF(Tabela1[[#This Row],[Core-Services CPI]]="",#N/A,((Tabela1[[#This Row],[Core-Services CPI]]*1)/M335)-1)</f>
        <v>8.7145969498909626E-3</v>
      </c>
      <c r="O336" s="8">
        <f>IF(Tabela1[[#This Row],[Core-Services CPI]]="",#N/A,((Tabela1[[#This Row],[Core-Services CPI]]*1)/M324)-1)</f>
        <v>9.9762470308788487E-2</v>
      </c>
      <c r="P336" s="7">
        <v>53.8</v>
      </c>
      <c r="Q336" s="8">
        <f>IF(Tabela1[[#This Row],[Durable Goods CPI]]="",#N/A,((Tabela1[[#This Row],[Durable Goods CPI]]*1)/P335)-1)</f>
        <v>1.5094339622641506E-2</v>
      </c>
      <c r="R336" s="8">
        <f>IF(Tabela1[[#This Row],[Durable Goods CPI]]="",#N/A,((Tabela1[[#This Row],[Durable Goods CPI]]*1)/P324)-1)</f>
        <v>0.11157024793388426</v>
      </c>
      <c r="S336" s="7">
        <v>10.130319088</v>
      </c>
      <c r="T336" s="7">
        <v>25.574999999999999</v>
      </c>
      <c r="U336" s="8">
        <f>IF(Tabela1[[#This Row],[Personal Consumption Expenditures (PCE)]]="",#N/A,((Tabela1[[#This Row],[Personal Consumption Expenditures (PCE)]]*1)/T335)-1)</f>
        <v>7.1673295790177782E-3</v>
      </c>
      <c r="V336" s="8">
        <f>IF(Tabela1[[#This Row],[Personal Consumption Expenditures (PCE)]]="",#N/A,((Tabela1[[#This Row],[Personal Consumption Expenditures (PCE)]]*1)/T324)-1)</f>
        <v>0.11574033679434592</v>
      </c>
      <c r="W336" s="7">
        <v>25.599</v>
      </c>
      <c r="X336" s="8">
        <f>IF(Tabela1[[#This Row],[Core PCE]]="",#N/A,((Tabela1[[#This Row],[Core PCE]]*1)/W335)-1)</f>
        <v>7.8346456692914845E-3</v>
      </c>
      <c r="Y336" s="8">
        <f>IF(Tabela1[[#This Row],[Core PCE]]="",#N/A,((Tabela1[[#This Row],[Core PCE]]*1)/W324)-1)</f>
        <v>9.6082209377007066E-2</v>
      </c>
      <c r="Z336" s="8">
        <f t="shared" si="13"/>
        <v>0.10575029295927596</v>
      </c>
      <c r="AA336" s="8">
        <f t="shared" si="12"/>
        <v>0.11034868818703236</v>
      </c>
      <c r="AB336" s="7"/>
      <c r="AC336" s="7"/>
      <c r="AD336" s="8"/>
      <c r="AE336" s="71"/>
      <c r="AF336" s="7"/>
      <c r="AG336" s="5"/>
    </row>
    <row r="337" spans="1:33" ht="12.75">
      <c r="A337" s="6">
        <v>27334</v>
      </c>
      <c r="B337" s="7">
        <v>51.5</v>
      </c>
      <c r="C337" s="8">
        <f>IF(Tabela1[[#This Row],[Consumer Price Index (CPI)]]="",#N/A,((Tabela1[[#This Row],[Consumer Price Index (CPI)]]*1)/B336)-1)</f>
        <v>9.8039215686274161E-3</v>
      </c>
      <c r="D337" s="8">
        <f>IF(Tabela1[[#This Row],[Consumer Price Index (CPI)]]="",#N/A,((Tabela1[[#This Row],[Consumer Price Index (CPI)]]*1)/B325)-1)</f>
        <v>0.12200435729847503</v>
      </c>
      <c r="E337" s="25">
        <v>51.6</v>
      </c>
      <c r="F337" s="8">
        <f>IF(Tabela1[[#This Row],[Core Consumer Price Index]]="",#N/A,((Tabela1[[#This Row],[Core Consumer Price Index]]*1)/E336)-1)</f>
        <v>7.8125E-3</v>
      </c>
      <c r="G337" s="8">
        <f>IF(Tabela1[[#This Row],[Core Consumer Price Index]]="",#N/A,((Tabela1[[#This Row],[Core Consumer Price Index]]*1)/E325)-1)</f>
        <v>0.10967741935483866</v>
      </c>
      <c r="H337" s="8">
        <f t="shared" si="14"/>
        <v>0.11053836920562343</v>
      </c>
      <c r="I337" s="8">
        <f t="shared" si="15"/>
        <v>0.12457873285197696</v>
      </c>
      <c r="J337" s="25">
        <v>45.8</v>
      </c>
      <c r="K337" s="8">
        <f>IF(Tabela1[[#This Row],[Services CPI]]="",#N/A,((Tabela1[[#This Row],[Services CPI]]*1)/J336)-1)</f>
        <v>8.8105726872247381E-3</v>
      </c>
      <c r="L337" s="8">
        <f>IF(Tabela1[[#This Row],[Services CPI]]="",#N/A,((Tabela1[[#This Row],[Services CPI]]*1)/J325)-1)</f>
        <v>0.10895883777239712</v>
      </c>
      <c r="M337" s="7">
        <v>46.7</v>
      </c>
      <c r="N337" s="8">
        <f>IF(Tabela1[[#This Row],[Core-Services CPI]]="",#N/A,((Tabela1[[#This Row],[Core-Services CPI]]*1)/M336)-1)</f>
        <v>8.6393088552916275E-3</v>
      </c>
      <c r="O337" s="8">
        <f>IF(Tabela1[[#This Row],[Core-Services CPI]]="",#N/A,((Tabela1[[#This Row],[Core-Services CPI]]*1)/M325)-1)</f>
        <v>0.10401891252955098</v>
      </c>
      <c r="P337" s="7">
        <v>54.3</v>
      </c>
      <c r="Q337" s="8">
        <f>IF(Tabela1[[#This Row],[Durable Goods CPI]]="",#N/A,((Tabela1[[#This Row],[Durable Goods CPI]]*1)/P336)-1)</f>
        <v>9.2936802973977439E-3</v>
      </c>
      <c r="R337" s="8">
        <f>IF(Tabela1[[#This Row],[Durable Goods CPI]]="",#N/A,((Tabela1[[#This Row],[Durable Goods CPI]]*1)/P325)-1)</f>
        <v>0.1195876288659794</v>
      </c>
      <c r="S337" s="7">
        <v>10.621603910999999</v>
      </c>
      <c r="T337" s="7">
        <v>25.766999999999999</v>
      </c>
      <c r="U337" s="8">
        <f>IF(Tabela1[[#This Row],[Personal Consumption Expenditures (PCE)]]="",#N/A,((Tabela1[[#This Row],[Personal Consumption Expenditures (PCE)]]*1)/T336)-1)</f>
        <v>7.5073313782991757E-3</v>
      </c>
      <c r="V337" s="8">
        <f>IF(Tabela1[[#This Row],[Personal Consumption Expenditures (PCE)]]="",#N/A,((Tabela1[[#This Row],[Personal Consumption Expenditures (PCE)]]*1)/T325)-1)</f>
        <v>0.11497187364777162</v>
      </c>
      <c r="W337" s="7">
        <v>25.786000000000001</v>
      </c>
      <c r="X337" s="8">
        <f>IF(Tabela1[[#This Row],[Core PCE]]="",#N/A,((Tabela1[[#This Row],[Core PCE]]*1)/W336)-1)</f>
        <v>7.3049728505019118E-3</v>
      </c>
      <c r="Y337" s="8">
        <f>IF(Tabela1[[#This Row],[Core PCE]]="",#N/A,((Tabela1[[#This Row],[Core PCE]]*1)/W325)-1)</f>
        <v>9.8772797000170609E-2</v>
      </c>
      <c r="Z337" s="8">
        <f t="shared" si="13"/>
        <v>9.646854002022387E-2</v>
      </c>
      <c r="AA337" s="8">
        <f t="shared" si="12"/>
        <v>0.10572707101403189</v>
      </c>
      <c r="AB337" s="7"/>
      <c r="AC337" s="7"/>
      <c r="AD337" s="8"/>
      <c r="AE337" s="71"/>
      <c r="AF337" s="7"/>
      <c r="AG337" s="5"/>
    </row>
    <row r="338" spans="1:33" ht="12.75">
      <c r="A338" s="6">
        <v>27364</v>
      </c>
      <c r="B338" s="7">
        <v>51.9</v>
      </c>
      <c r="C338" s="8">
        <f>IF(Tabela1[[#This Row],[Consumer Price Index (CPI)]]="",#N/A,((Tabela1[[#This Row],[Consumer Price Index (CPI)]]*1)/B337)-1)</f>
        <v>7.7669902912620437E-3</v>
      </c>
      <c r="D338" s="8">
        <f>IF(Tabela1[[#This Row],[Consumer Price Index (CPI)]]="",#N/A,((Tabela1[[#This Row],[Consumer Price Index (CPI)]]*1)/B326)-1)</f>
        <v>0.12095032397408212</v>
      </c>
      <c r="E338" s="25">
        <v>52</v>
      </c>
      <c r="F338" s="8">
        <f>IF(Tabela1[[#This Row],[Core Consumer Price Index]]="",#N/A,((Tabela1[[#This Row],[Core Consumer Price Index]]*1)/E337)-1)</f>
        <v>7.7519379844961378E-3</v>
      </c>
      <c r="G338" s="8">
        <f>IF(Tabela1[[#This Row],[Core Consumer Price Index]]="",#N/A,((Tabela1[[#This Row],[Core Consumer Price Index]]*1)/E326)-1)</f>
        <v>0.1134903640256959</v>
      </c>
      <c r="H338" s="8">
        <f t="shared" si="14"/>
        <v>0.10170548369340882</v>
      </c>
      <c r="I338" s="8">
        <f t="shared" si="15"/>
        <v>0.11946405211993838</v>
      </c>
      <c r="J338" s="25">
        <v>46.2</v>
      </c>
      <c r="K338" s="8">
        <f>IF(Tabela1[[#This Row],[Services CPI]]="",#N/A,((Tabela1[[#This Row],[Services CPI]]*1)/J337)-1)</f>
        <v>8.733624454148492E-3</v>
      </c>
      <c r="L338" s="8">
        <f>IF(Tabela1[[#This Row],[Services CPI]]="",#N/A,((Tabela1[[#This Row],[Services CPI]]*1)/J326)-1)</f>
        <v>0.11325301204819294</v>
      </c>
      <c r="M338" s="7">
        <v>47.1</v>
      </c>
      <c r="N338" s="8">
        <f>IF(Tabela1[[#This Row],[Core-Services CPI]]="",#N/A,((Tabela1[[#This Row],[Core-Services CPI]]*1)/M337)-1)</f>
        <v>8.565310492505418E-3</v>
      </c>
      <c r="O338" s="8">
        <f>IF(Tabela1[[#This Row],[Core-Services CPI]]="",#N/A,((Tabela1[[#This Row],[Core-Services CPI]]*1)/M326)-1)</f>
        <v>0.10823529411764699</v>
      </c>
      <c r="P338" s="7">
        <v>54.8</v>
      </c>
      <c r="Q338" s="8">
        <f>IF(Tabela1[[#This Row],[Durable Goods CPI]]="",#N/A,((Tabela1[[#This Row],[Durable Goods CPI]]*1)/P337)-1)</f>
        <v>9.208103130755152E-3</v>
      </c>
      <c r="R338" s="8">
        <f>IF(Tabela1[[#This Row],[Durable Goods CPI]]="",#N/A,((Tabela1[[#This Row],[Durable Goods CPI]]*1)/P326)-1)</f>
        <v>0.12757201646090532</v>
      </c>
      <c r="S338" s="7">
        <v>10.591306867</v>
      </c>
      <c r="T338" s="7">
        <v>25.971</v>
      </c>
      <c r="U338" s="8">
        <f>IF(Tabela1[[#This Row],[Personal Consumption Expenditures (PCE)]]="",#N/A,((Tabela1[[#This Row],[Personal Consumption Expenditures (PCE)]]*1)/T337)-1)</f>
        <v>7.9171032716265355E-3</v>
      </c>
      <c r="V338" s="8">
        <f>IF(Tabela1[[#This Row],[Personal Consumption Expenditures (PCE)]]="",#N/A,((Tabela1[[#This Row],[Personal Consumption Expenditures (PCE)]]*1)/T326)-1)</f>
        <v>0.11463519313304715</v>
      </c>
      <c r="W338" s="7">
        <v>25.968</v>
      </c>
      <c r="X338" s="8">
        <f>IF(Tabela1[[#This Row],[Core PCE]]="",#N/A,((Tabela1[[#This Row],[Core PCE]]*1)/W337)-1)</f>
        <v>7.0580935391297839E-3</v>
      </c>
      <c r="Y338" s="8">
        <f>IF(Tabela1[[#This Row],[Core PCE]]="",#N/A,((Tabela1[[#This Row],[Core PCE]]*1)/W326)-1)</f>
        <v>0.10043224002034079</v>
      </c>
      <c r="Z338" s="8">
        <f t="shared" si="13"/>
        <v>8.8790848235692721E-2</v>
      </c>
      <c r="AA338" s="8">
        <f t="shared" si="12"/>
        <v>9.9323310414070498E-2</v>
      </c>
      <c r="AB338" s="7"/>
      <c r="AC338" s="7"/>
      <c r="AD338" s="8"/>
      <c r="AE338" s="71"/>
      <c r="AF338" s="7"/>
      <c r="AG338" s="5"/>
    </row>
    <row r="339" spans="1:33" ht="12.75">
      <c r="A339" s="6">
        <v>27395</v>
      </c>
      <c r="B339" s="7">
        <v>52.3</v>
      </c>
      <c r="C339" s="8">
        <f>IF(Tabela1[[#This Row],[Consumer Price Index (CPI)]]="",#N/A,((Tabela1[[#This Row],[Consumer Price Index (CPI)]]*1)/B338)-1)</f>
        <v>7.7071290944124016E-3</v>
      </c>
      <c r="D339" s="8">
        <f>IF(Tabela1[[#This Row],[Consumer Price Index (CPI)]]="",#N/A,((Tabela1[[#This Row],[Consumer Price Index (CPI)]]*1)/B327)-1)</f>
        <v>0.11752136752136755</v>
      </c>
      <c r="E339" s="25">
        <v>52.3</v>
      </c>
      <c r="F339" s="8">
        <f>IF(Tabela1[[#This Row],[Core Consumer Price Index]]="",#N/A,((Tabela1[[#This Row],[Core Consumer Price Index]]*1)/E338)-1)</f>
        <v>5.7692307692307487E-3</v>
      </c>
      <c r="G339" s="8">
        <f>IF(Tabela1[[#This Row],[Core Consumer Price Index]]="",#N/A,((Tabela1[[#This Row],[Core Consumer Price Index]]*1)/E327)-1)</f>
        <v>0.11513859275053306</v>
      </c>
      <c r="H339" s="8">
        <f t="shared" si="14"/>
        <v>8.5334675014907546E-2</v>
      </c>
      <c r="I339" s="8">
        <f t="shared" si="15"/>
        <v>0.11059435039309395</v>
      </c>
      <c r="J339" s="25">
        <v>46.5</v>
      </c>
      <c r="K339" s="8">
        <f>IF(Tabela1[[#This Row],[Services CPI]]="",#N/A,((Tabela1[[#This Row],[Services CPI]]*1)/J338)-1)</f>
        <v>6.4935064935063291E-3</v>
      </c>
      <c r="L339" s="8">
        <f>IF(Tabela1[[#This Row],[Services CPI]]="",#N/A,((Tabela1[[#This Row],[Services CPI]]*1)/J327)-1)</f>
        <v>0.1124401913875599</v>
      </c>
      <c r="M339" s="7">
        <v>47.4</v>
      </c>
      <c r="N339" s="8">
        <f>IF(Tabela1[[#This Row],[Core-Services CPI]]="",#N/A,((Tabela1[[#This Row],[Core-Services CPI]]*1)/M338)-1)</f>
        <v>6.3694267515923553E-3</v>
      </c>
      <c r="O339" s="8">
        <f>IF(Tabela1[[#This Row],[Core-Services CPI]]="",#N/A,((Tabela1[[#This Row],[Core-Services CPI]]*1)/M327)-1)</f>
        <v>0.10747663551401865</v>
      </c>
      <c r="P339" s="7">
        <v>55.3</v>
      </c>
      <c r="Q339" s="8">
        <f>IF(Tabela1[[#This Row],[Durable Goods CPI]]="",#N/A,((Tabela1[[#This Row],[Durable Goods CPI]]*1)/P338)-1)</f>
        <v>9.124087591240837E-3</v>
      </c>
      <c r="R339" s="8">
        <f>IF(Tabela1[[#This Row],[Durable Goods CPI]]="",#N/A,((Tabela1[[#This Row],[Durable Goods CPI]]*1)/P327)-1)</f>
        <v>0.13087934560327197</v>
      </c>
      <c r="S339" s="7">
        <v>11.017162794000001</v>
      </c>
      <c r="T339" s="7">
        <v>26.132000000000001</v>
      </c>
      <c r="U339" s="8">
        <f>IF(Tabela1[[#This Row],[Personal Consumption Expenditures (PCE)]]="",#N/A,((Tabela1[[#This Row],[Personal Consumption Expenditures (PCE)]]*1)/T338)-1)</f>
        <v>6.1992222093874005E-3</v>
      </c>
      <c r="V339" s="8">
        <f>IF(Tabela1[[#This Row],[Personal Consumption Expenditures (PCE)]]="",#N/A,((Tabela1[[#This Row],[Personal Consumption Expenditures (PCE)]]*1)/T327)-1)</f>
        <v>0.11091272371721295</v>
      </c>
      <c r="W339" s="7">
        <v>26.119</v>
      </c>
      <c r="X339" s="8">
        <f>IF(Tabela1[[#This Row],[Core PCE]]="",#N/A,((Tabela1[[#This Row],[Core PCE]]*1)/W338)-1)</f>
        <v>5.8148490449785317E-3</v>
      </c>
      <c r="Y339" s="8">
        <f>IF(Tabela1[[#This Row],[Core PCE]]="",#N/A,((Tabela1[[#This Row],[Core PCE]]*1)/W327)-1)</f>
        <v>0.10141688454077769</v>
      </c>
      <c r="Z339" s="8">
        <f t="shared" si="13"/>
        <v>8.071166173844091E-2</v>
      </c>
      <c r="AA339" s="8">
        <f t="shared" si="12"/>
        <v>9.3230977348858435E-2</v>
      </c>
      <c r="AB339" s="7"/>
      <c r="AC339" s="7"/>
      <c r="AD339" s="8"/>
      <c r="AE339" s="71"/>
      <c r="AF339" s="7"/>
      <c r="AG339" s="5"/>
    </row>
    <row r="340" spans="1:33" ht="12.75">
      <c r="A340" s="6">
        <v>27426</v>
      </c>
      <c r="B340" s="7">
        <v>52.6</v>
      </c>
      <c r="C340" s="8">
        <f>IF(Tabela1[[#This Row],[Consumer Price Index (CPI)]]="",#N/A,((Tabela1[[#This Row],[Consumer Price Index (CPI)]]*1)/B339)-1)</f>
        <v>5.7361376673041864E-3</v>
      </c>
      <c r="D340" s="8">
        <f>IF(Tabela1[[#This Row],[Consumer Price Index (CPI)]]="",#N/A,((Tabela1[[#This Row],[Consumer Price Index (CPI)]]*1)/B328)-1)</f>
        <v>0.11205073995771686</v>
      </c>
      <c r="E340" s="25">
        <v>52.8</v>
      </c>
      <c r="F340" s="8">
        <f>IF(Tabela1[[#This Row],[Core Consumer Price Index]]="",#N/A,((Tabela1[[#This Row],[Core Consumer Price Index]]*1)/E339)-1)</f>
        <v>9.5602294455066072E-3</v>
      </c>
      <c r="G340" s="8">
        <f>IF(Tabela1[[#This Row],[Core Consumer Price Index]]="",#N/A,((Tabela1[[#This Row],[Core Consumer Price Index]]*1)/E328)-1)</f>
        <v>0.11864406779661008</v>
      </c>
      <c r="H340" s="8">
        <f t="shared" si="14"/>
        <v>9.2325592796933975E-2</v>
      </c>
      <c r="I340" s="8">
        <f t="shared" si="15"/>
        <v>0.1014319810012787</v>
      </c>
      <c r="J340" s="25">
        <v>46.9</v>
      </c>
      <c r="K340" s="8">
        <f>IF(Tabela1[[#This Row],[Services CPI]]="",#N/A,((Tabela1[[#This Row],[Services CPI]]*1)/J339)-1)</f>
        <v>8.6021505376343566E-3</v>
      </c>
      <c r="L340" s="8">
        <f>IF(Tabela1[[#This Row],[Services CPI]]="",#N/A,((Tabela1[[#This Row],[Services CPI]]*1)/J328)-1)</f>
        <v>0.1166666666666667</v>
      </c>
      <c r="M340" s="7">
        <v>47.7</v>
      </c>
      <c r="N340" s="8">
        <f>IF(Tabela1[[#This Row],[Core-Services CPI]]="",#N/A,((Tabela1[[#This Row],[Core-Services CPI]]*1)/M339)-1)</f>
        <v>6.3291139240506666E-3</v>
      </c>
      <c r="O340" s="8">
        <f>IF(Tabela1[[#This Row],[Core-Services CPI]]="",#N/A,((Tabela1[[#This Row],[Core-Services CPI]]*1)/M328)-1)</f>
        <v>0.10930232558139541</v>
      </c>
      <c r="P340" s="7">
        <v>55.8</v>
      </c>
      <c r="Q340" s="8">
        <f>IF(Tabela1[[#This Row],[Durable Goods CPI]]="",#N/A,((Tabela1[[#This Row],[Durable Goods CPI]]*1)/P339)-1)</f>
        <v>9.0415913200723175E-3</v>
      </c>
      <c r="R340" s="8">
        <f>IF(Tabela1[[#This Row],[Durable Goods CPI]]="",#N/A,((Tabela1[[#This Row],[Durable Goods CPI]]*1)/P328)-1)</f>
        <v>0.13645621181262713</v>
      </c>
      <c r="S340" s="7">
        <v>11.527439415</v>
      </c>
      <c r="T340" s="7">
        <v>26.274000000000001</v>
      </c>
      <c r="U340" s="8">
        <f>IF(Tabela1[[#This Row],[Personal Consumption Expenditures (PCE)]]="",#N/A,((Tabela1[[#This Row],[Personal Consumption Expenditures (PCE)]]*1)/T339)-1)</f>
        <v>5.4339507117708852E-3</v>
      </c>
      <c r="V340" s="8">
        <f>IF(Tabela1[[#This Row],[Personal Consumption Expenditures (PCE)]]="",#N/A,((Tabela1[[#This Row],[Personal Consumption Expenditures (PCE)]]*1)/T328)-1)</f>
        <v>0.10408875068285917</v>
      </c>
      <c r="W340" s="7">
        <v>26.303999999999998</v>
      </c>
      <c r="X340" s="8">
        <f>IF(Tabela1[[#This Row],[Core PCE]]="",#N/A,((Tabela1[[#This Row],[Core PCE]]*1)/W339)-1)</f>
        <v>7.0829664229103972E-3</v>
      </c>
      <c r="Y340" s="8">
        <f>IF(Tabela1[[#This Row],[Core PCE]]="",#N/A,((Tabela1[[#This Row],[Core PCE]]*1)/W328)-1)</f>
        <v>0.10219987429289756</v>
      </c>
      <c r="Z340" s="8">
        <f t="shared" si="13"/>
        <v>7.9823636028074851E-2</v>
      </c>
      <c r="AA340" s="8">
        <f t="shared" si="12"/>
        <v>8.8146088024149361E-2</v>
      </c>
      <c r="AB340" s="7"/>
      <c r="AC340" s="7"/>
      <c r="AD340" s="8"/>
      <c r="AE340" s="71"/>
      <c r="AF340" s="7"/>
      <c r="AG340" s="5"/>
    </row>
    <row r="341" spans="1:33" ht="12.75">
      <c r="A341" s="6">
        <v>27454</v>
      </c>
      <c r="B341" s="7">
        <v>52.8</v>
      </c>
      <c r="C341" s="8">
        <f>IF(Tabela1[[#This Row],[Consumer Price Index (CPI)]]="",#N/A,((Tabela1[[#This Row],[Consumer Price Index (CPI)]]*1)/B340)-1)</f>
        <v>3.8022813688212143E-3</v>
      </c>
      <c r="D341" s="8">
        <f>IF(Tabela1[[#This Row],[Consumer Price Index (CPI)]]="",#N/A,((Tabela1[[#This Row],[Consumer Price Index (CPI)]]*1)/B329)-1)</f>
        <v>0.10460251046025104</v>
      </c>
      <c r="E341" s="25">
        <v>53</v>
      </c>
      <c r="F341" s="8">
        <f>IF(Tabela1[[#This Row],[Core Consumer Price Index]]="",#N/A,((Tabela1[[#This Row],[Core Consumer Price Index]]*1)/E340)-1)</f>
        <v>3.7878787878788955E-3</v>
      </c>
      <c r="G341" s="8">
        <f>IF(Tabela1[[#This Row],[Core Consumer Price Index]]="",#N/A,((Tabela1[[#This Row],[Core Consumer Price Index]]*1)/E329)-1)</f>
        <v>0.11344537815126055</v>
      </c>
      <c r="H341" s="8">
        <f t="shared" si="14"/>
        <v>7.6469356010465006E-2</v>
      </c>
      <c r="I341" s="8">
        <f t="shared" si="15"/>
        <v>8.9087419851936911E-2</v>
      </c>
      <c r="J341" s="25">
        <v>47</v>
      </c>
      <c r="K341" s="8">
        <f>IF(Tabela1[[#This Row],[Services CPI]]="",#N/A,((Tabela1[[#This Row],[Services CPI]]*1)/J340)-1)</f>
        <v>2.132196162046851E-3</v>
      </c>
      <c r="L341" s="8">
        <f>IF(Tabela1[[#This Row],[Services CPI]]="",#N/A,((Tabela1[[#This Row],[Services CPI]]*1)/J329)-1)</f>
        <v>0.10849056603773599</v>
      </c>
      <c r="M341" s="7">
        <v>47.9</v>
      </c>
      <c r="N341" s="8">
        <f>IF(Tabela1[[#This Row],[Core-Services CPI]]="",#N/A,((Tabela1[[#This Row],[Core-Services CPI]]*1)/M340)-1)</f>
        <v>4.1928721174002703E-3</v>
      </c>
      <c r="O341" s="8">
        <f>IF(Tabela1[[#This Row],[Core-Services CPI]]="",#N/A,((Tabela1[[#This Row],[Core-Services CPI]]*1)/M329)-1)</f>
        <v>0.10623556581986149</v>
      </c>
      <c r="P341" s="7">
        <v>56.4</v>
      </c>
      <c r="Q341" s="8">
        <f>IF(Tabela1[[#This Row],[Durable Goods CPI]]="",#N/A,((Tabela1[[#This Row],[Durable Goods CPI]]*1)/P340)-1)</f>
        <v>1.0752688172043001E-2</v>
      </c>
      <c r="R341" s="8">
        <f>IF(Tabela1[[#This Row],[Durable Goods CPI]]="",#N/A,((Tabela1[[#This Row],[Durable Goods CPI]]*1)/P329)-1)</f>
        <v>0.14401622718052742</v>
      </c>
      <c r="S341" s="7">
        <v>11.656676859999999</v>
      </c>
      <c r="T341" s="7">
        <v>26.363</v>
      </c>
      <c r="U341" s="8">
        <f>IF(Tabela1[[#This Row],[Personal Consumption Expenditures (PCE)]]="",#N/A,((Tabela1[[#This Row],[Personal Consumption Expenditures (PCE)]]*1)/T340)-1)</f>
        <v>3.3873791581029433E-3</v>
      </c>
      <c r="V341" s="8">
        <f>IF(Tabela1[[#This Row],[Personal Consumption Expenditures (PCE)]]="",#N/A,((Tabela1[[#This Row],[Personal Consumption Expenditures (PCE)]]*1)/T329)-1)</f>
        <v>9.5127321065093584E-2</v>
      </c>
      <c r="W341" s="7">
        <v>26.440999999999999</v>
      </c>
      <c r="X341" s="8">
        <f>IF(Tabela1[[#This Row],[Core PCE]]="",#N/A,((Tabela1[[#This Row],[Core PCE]]*1)/W340)-1)</f>
        <v>5.2083333333332593E-3</v>
      </c>
      <c r="Y341" s="8">
        <f>IF(Tabela1[[#This Row],[Core PCE]]="",#N/A,((Tabela1[[#This Row],[Core PCE]]*1)/W329)-1)</f>
        <v>9.9372167477443707E-2</v>
      </c>
      <c r="Z341" s="8">
        <f t="shared" si="13"/>
        <v>7.2424595204888753E-2</v>
      </c>
      <c r="AA341" s="8">
        <f t="shared" si="12"/>
        <v>8.0607721720290737E-2</v>
      </c>
      <c r="AB341" s="7"/>
      <c r="AC341" s="7"/>
      <c r="AD341" s="8"/>
      <c r="AE341" s="71"/>
      <c r="AF341" s="7"/>
      <c r="AG341" s="5"/>
    </row>
    <row r="342" spans="1:33" ht="12.75">
      <c r="A342" s="6">
        <v>27485</v>
      </c>
      <c r="B342" s="7">
        <v>53</v>
      </c>
      <c r="C342" s="8">
        <f>IF(Tabela1[[#This Row],[Consumer Price Index (CPI)]]="",#N/A,((Tabela1[[#This Row],[Consumer Price Index (CPI)]]*1)/B341)-1)</f>
        <v>3.7878787878788955E-3</v>
      </c>
      <c r="D342" s="8">
        <f>IF(Tabela1[[#This Row],[Consumer Price Index (CPI)]]="",#N/A,((Tabela1[[#This Row],[Consumer Price Index (CPI)]]*1)/B330)-1)</f>
        <v>0.10187110187110182</v>
      </c>
      <c r="E342" s="25">
        <v>53.3</v>
      </c>
      <c r="F342" s="8">
        <f>IF(Tabela1[[#This Row],[Core Consumer Price Index]]="",#N/A,((Tabela1[[#This Row],[Core Consumer Price Index]]*1)/E341)-1)</f>
        <v>5.6603773584904538E-3</v>
      </c>
      <c r="G342" s="8">
        <f>IF(Tabela1[[#This Row],[Core Consumer Price Index]]="",#N/A,((Tabela1[[#This Row],[Core Consumer Price Index]]*1)/E330)-1)</f>
        <v>0.11273486430062629</v>
      </c>
      <c r="H342" s="8">
        <f t="shared" si="14"/>
        <v>7.6033942367503826E-2</v>
      </c>
      <c r="I342" s="8">
        <f t="shared" si="15"/>
        <v>8.0684308691205686E-2</v>
      </c>
      <c r="J342" s="25">
        <v>47.3</v>
      </c>
      <c r="K342" s="8">
        <f>IF(Tabela1[[#This Row],[Services CPI]]="",#N/A,((Tabela1[[#This Row],[Services CPI]]*1)/J341)-1)</f>
        <v>6.382978723404209E-3</v>
      </c>
      <c r="L342" s="8">
        <f>IF(Tabela1[[#This Row],[Services CPI]]="",#N/A,((Tabela1[[#This Row],[Services CPI]]*1)/J330)-1)</f>
        <v>0.11032863849765251</v>
      </c>
      <c r="M342" s="7">
        <v>48.1</v>
      </c>
      <c r="N342" s="8">
        <f>IF(Tabela1[[#This Row],[Core-Services CPI]]="",#N/A,((Tabela1[[#This Row],[Core-Services CPI]]*1)/M341)-1)</f>
        <v>4.1753653444676075E-3</v>
      </c>
      <c r="O342" s="8">
        <f>IF(Tabela1[[#This Row],[Core-Services CPI]]="",#N/A,((Tabela1[[#This Row],[Core-Services CPI]]*1)/M330)-1)</f>
        <v>0.10574712643678175</v>
      </c>
      <c r="P342" s="7">
        <v>56.8</v>
      </c>
      <c r="Q342" s="8">
        <f>IF(Tabela1[[#This Row],[Durable Goods CPI]]="",#N/A,((Tabela1[[#This Row],[Durable Goods CPI]]*1)/P341)-1)</f>
        <v>7.0921985815601829E-3</v>
      </c>
      <c r="R342" s="8">
        <f>IF(Tabela1[[#This Row],[Durable Goods CPI]]="",#N/A,((Tabela1[[#This Row],[Durable Goods CPI]]*1)/P330)-1)</f>
        <v>0.14285714285714279</v>
      </c>
      <c r="S342" s="7">
        <v>11.816414420999999</v>
      </c>
      <c r="T342" s="7">
        <v>26.452000000000002</v>
      </c>
      <c r="U342" s="8">
        <f>IF(Tabela1[[#This Row],[Personal Consumption Expenditures (PCE)]]="",#N/A,((Tabela1[[#This Row],[Personal Consumption Expenditures (PCE)]]*1)/T341)-1)</f>
        <v>3.375943557258454E-3</v>
      </c>
      <c r="V342" s="8">
        <f>IF(Tabela1[[#This Row],[Personal Consumption Expenditures (PCE)]]="",#N/A,((Tabela1[[#This Row],[Personal Consumption Expenditures (PCE)]]*1)/T330)-1)</f>
        <v>9.1119085921709475E-2</v>
      </c>
      <c r="W342" s="7">
        <v>26.57</v>
      </c>
      <c r="X342" s="8">
        <f>IF(Tabela1[[#This Row],[Core PCE]]="",#N/A,((Tabela1[[#This Row],[Core PCE]]*1)/W341)-1)</f>
        <v>4.8787867327257928E-3</v>
      </c>
      <c r="Y342" s="8">
        <f>IF(Tabela1[[#This Row],[Core PCE]]="",#N/A,((Tabela1[[#This Row],[Core PCE]]*1)/W330)-1)</f>
        <v>9.65292394040691E-2</v>
      </c>
      <c r="Z342" s="8">
        <f t="shared" si="13"/>
        <v>6.8680345955877797E-2</v>
      </c>
      <c r="AA342" s="8">
        <f t="shared" si="12"/>
        <v>7.4696003847159353E-2</v>
      </c>
      <c r="AB342" s="7"/>
      <c r="AC342" s="7"/>
      <c r="AD342" s="8"/>
      <c r="AE342" s="71"/>
      <c r="AF342" s="7"/>
      <c r="AG342" s="5"/>
    </row>
    <row r="343" spans="1:33" ht="12.75">
      <c r="A343" s="6">
        <v>27515</v>
      </c>
      <c r="B343" s="7">
        <v>53.1</v>
      </c>
      <c r="C343" s="8">
        <f>IF(Tabela1[[#This Row],[Consumer Price Index (CPI)]]="",#N/A,((Tabela1[[#This Row],[Consumer Price Index (CPI)]]*1)/B342)-1)</f>
        <v>1.8867924528302993E-3</v>
      </c>
      <c r="D343" s="8">
        <f>IF(Tabela1[[#This Row],[Consumer Price Index (CPI)]]="",#N/A,((Tabela1[[#This Row],[Consumer Price Index (CPI)]]*1)/B331)-1)</f>
        <v>9.259259259259256E-2</v>
      </c>
      <c r="E343" s="25">
        <v>53.5</v>
      </c>
      <c r="F343" s="8">
        <f>IF(Tabela1[[#This Row],[Core Consumer Price Index]]="",#N/A,((Tabela1[[#This Row],[Core Consumer Price Index]]*1)/E342)-1)</f>
        <v>3.7523452157599557E-3</v>
      </c>
      <c r="G343" s="8">
        <f>IF(Tabela1[[#This Row],[Core Consumer Price Index]]="",#N/A,((Tabela1[[#This Row],[Core Consumer Price Index]]*1)/E331)-1)</f>
        <v>0.10309278350515472</v>
      </c>
      <c r="H343" s="8">
        <f t="shared" si="14"/>
        <v>5.280240544851722E-2</v>
      </c>
      <c r="I343" s="8">
        <f t="shared" si="15"/>
        <v>7.2563999122725598E-2</v>
      </c>
      <c r="J343" s="25">
        <v>47.5</v>
      </c>
      <c r="K343" s="8">
        <f>IF(Tabela1[[#This Row],[Services CPI]]="",#N/A,((Tabela1[[#This Row],[Services CPI]]*1)/J342)-1)</f>
        <v>4.2283298097252064E-3</v>
      </c>
      <c r="L343" s="8">
        <f>IF(Tabela1[[#This Row],[Services CPI]]="",#N/A,((Tabela1[[#This Row],[Services CPI]]*1)/J331)-1)</f>
        <v>0.10208816705336421</v>
      </c>
      <c r="M343" s="7">
        <v>48.2</v>
      </c>
      <c r="N343" s="8">
        <f>IF(Tabela1[[#This Row],[Core-Services CPI]]="",#N/A,((Tabela1[[#This Row],[Core-Services CPI]]*1)/M342)-1)</f>
        <v>2.0790020790020236E-3</v>
      </c>
      <c r="O343" s="8">
        <f>IF(Tabela1[[#This Row],[Core-Services CPI]]="",#N/A,((Tabela1[[#This Row],[Core-Services CPI]]*1)/M331)-1)</f>
        <v>9.5454545454545459E-2</v>
      </c>
      <c r="P343" s="7">
        <v>57</v>
      </c>
      <c r="Q343" s="8">
        <f>IF(Tabela1[[#This Row],[Durable Goods CPI]]="",#N/A,((Tabela1[[#This Row],[Durable Goods CPI]]*1)/P342)-1)</f>
        <v>3.5211267605634866E-3</v>
      </c>
      <c r="R343" s="8">
        <f>IF(Tabela1[[#This Row],[Durable Goods CPI]]="",#N/A,((Tabela1[[#This Row],[Durable Goods CPI]]*1)/P331)-1)</f>
        <v>0.13320079522862827</v>
      </c>
      <c r="S343" s="7">
        <v>11.603717424999999</v>
      </c>
      <c r="T343" s="7">
        <v>26.558</v>
      </c>
      <c r="U343" s="8">
        <f>IF(Tabela1[[#This Row],[Personal Consumption Expenditures (PCE)]]="",#N/A,((Tabela1[[#This Row],[Personal Consumption Expenditures (PCE)]]*1)/T342)-1)</f>
        <v>4.0072584303643133E-3</v>
      </c>
      <c r="V343" s="8">
        <f>IF(Tabela1[[#This Row],[Personal Consumption Expenditures (PCE)]]="",#N/A,((Tabela1[[#This Row],[Personal Consumption Expenditures (PCE)]]*1)/T331)-1)</f>
        <v>8.4796993709664203E-2</v>
      </c>
      <c r="W343" s="7">
        <v>26.683</v>
      </c>
      <c r="X343" s="8">
        <f>IF(Tabela1[[#This Row],[Core PCE]]="",#N/A,((Tabela1[[#This Row],[Core PCE]]*1)/W342)-1)</f>
        <v>4.2529168234850534E-3</v>
      </c>
      <c r="Y343" s="8">
        <f>IF(Tabela1[[#This Row],[Core PCE]]="",#N/A,((Tabela1[[#This Row],[Core PCE]]*1)/W331)-1)</f>
        <v>9.0704708960104741E-2</v>
      </c>
      <c r="Z343" s="8">
        <f t="shared" si="13"/>
        <v>5.7360147558176422E-2</v>
      </c>
      <c r="AA343" s="8">
        <f t="shared" si="12"/>
        <v>6.8591891793125637E-2</v>
      </c>
      <c r="AB343" s="7"/>
      <c r="AC343" s="7"/>
      <c r="AD343" s="8"/>
      <c r="AE343" s="71"/>
      <c r="AF343" s="7"/>
      <c r="AG343" s="5"/>
    </row>
    <row r="344" spans="1:33" ht="12.75">
      <c r="A344" s="6">
        <v>27546</v>
      </c>
      <c r="B344" s="7">
        <v>53.5</v>
      </c>
      <c r="C344" s="8">
        <f>IF(Tabela1[[#This Row],[Consumer Price Index (CPI)]]="",#N/A,((Tabela1[[#This Row],[Consumer Price Index (CPI)]]*1)/B343)-1)</f>
        <v>7.532956685499137E-3</v>
      </c>
      <c r="D344" s="8">
        <f>IF(Tabela1[[#This Row],[Consumer Price Index (CPI)]]="",#N/A,((Tabela1[[#This Row],[Consumer Price Index (CPI)]]*1)/B332)-1)</f>
        <v>9.1836734693877542E-2</v>
      </c>
      <c r="E344" s="25">
        <v>53.8</v>
      </c>
      <c r="F344" s="8">
        <f>IF(Tabela1[[#This Row],[Core Consumer Price Index]]="",#N/A,((Tabela1[[#This Row],[Core Consumer Price Index]]*1)/E343)-1)</f>
        <v>5.6074766355138639E-3</v>
      </c>
      <c r="G344" s="8">
        <f>IF(Tabela1[[#This Row],[Core Consumer Price Index]]="",#N/A,((Tabela1[[#This Row],[Core Consumer Price Index]]*1)/E332)-1)</f>
        <v>9.795918367346923E-2</v>
      </c>
      <c r="H344" s="8">
        <f t="shared" si="14"/>
        <v>6.0080796839057093E-2</v>
      </c>
      <c r="I344" s="8">
        <f t="shared" si="15"/>
        <v>6.827507642476105E-2</v>
      </c>
      <c r="J344" s="25">
        <v>47.8</v>
      </c>
      <c r="K344" s="8">
        <f>IF(Tabela1[[#This Row],[Services CPI]]="",#N/A,((Tabela1[[#This Row],[Services CPI]]*1)/J343)-1)</f>
        <v>6.3157894736840525E-3</v>
      </c>
      <c r="L344" s="8">
        <f>IF(Tabela1[[#This Row],[Services CPI]]="",#N/A,((Tabela1[[#This Row],[Services CPI]]*1)/J332)-1)</f>
        <v>9.885057471264358E-2</v>
      </c>
      <c r="M344" s="7">
        <v>48.6</v>
      </c>
      <c r="N344" s="8">
        <f>IF(Tabela1[[#This Row],[Core-Services CPI]]="",#N/A,((Tabela1[[#This Row],[Core-Services CPI]]*1)/M343)-1)</f>
        <v>8.2987551867219622E-3</v>
      </c>
      <c r="O344" s="8">
        <f>IF(Tabela1[[#This Row],[Core-Services CPI]]="",#N/A,((Tabela1[[#This Row],[Core-Services CPI]]*1)/M332)-1)</f>
        <v>9.2134831460674249E-2</v>
      </c>
      <c r="P344" s="7">
        <v>57.2</v>
      </c>
      <c r="Q344" s="8">
        <f>IF(Tabela1[[#This Row],[Durable Goods CPI]]="",#N/A,((Tabela1[[#This Row],[Durable Goods CPI]]*1)/P343)-1)</f>
        <v>3.5087719298245723E-3</v>
      </c>
      <c r="R344" s="8">
        <f>IF(Tabela1[[#This Row],[Durable Goods CPI]]="",#N/A,((Tabela1[[#This Row],[Durable Goods CPI]]*1)/P332)-1)</f>
        <v>0.1215686274509804</v>
      </c>
      <c r="S344" s="7">
        <v>11.729239119000001</v>
      </c>
      <c r="T344" s="7">
        <v>26.724</v>
      </c>
      <c r="U344" s="8">
        <f>IF(Tabela1[[#This Row],[Personal Consumption Expenditures (PCE)]]="",#N/A,((Tabela1[[#This Row],[Personal Consumption Expenditures (PCE)]]*1)/T343)-1)</f>
        <v>6.250470667972019E-3</v>
      </c>
      <c r="V344" s="8">
        <f>IF(Tabela1[[#This Row],[Personal Consumption Expenditures (PCE)]]="",#N/A,((Tabela1[[#This Row],[Personal Consumption Expenditures (PCE)]]*1)/T332)-1)</f>
        <v>8.2381530984203977E-2</v>
      </c>
      <c r="W344" s="7">
        <v>26.812999999999999</v>
      </c>
      <c r="X344" s="8">
        <f>IF(Tabela1[[#This Row],[Core PCE]]="",#N/A,((Tabela1[[#This Row],[Core PCE]]*1)/W343)-1)</f>
        <v>4.8720158902670896E-3</v>
      </c>
      <c r="Y344" s="8">
        <f>IF(Tabela1[[#This Row],[Core PCE]]="",#N/A,((Tabela1[[#This Row],[Core PCE]]*1)/W332)-1)</f>
        <v>8.4887720008092193E-2</v>
      </c>
      <c r="Z344" s="8">
        <f t="shared" si="13"/>
        <v>5.6014877785911743E-2</v>
      </c>
      <c r="AA344" s="8">
        <f t="shared" si="12"/>
        <v>6.4219736495400248E-2</v>
      </c>
      <c r="AB344" s="7"/>
      <c r="AC344" s="7"/>
      <c r="AD344" s="8"/>
      <c r="AE344" s="71"/>
      <c r="AF344" s="7"/>
      <c r="AG344" s="5"/>
    </row>
    <row r="345" spans="1:33" ht="12.75">
      <c r="A345" s="6">
        <v>27576</v>
      </c>
      <c r="B345" s="7">
        <v>54</v>
      </c>
      <c r="C345" s="8">
        <f>IF(Tabela1[[#This Row],[Consumer Price Index (CPI)]]="",#N/A,((Tabela1[[#This Row],[Consumer Price Index (CPI)]]*1)/B344)-1)</f>
        <v>9.3457943925232545E-3</v>
      </c>
      <c r="D345" s="8">
        <f>IF(Tabela1[[#This Row],[Consumer Price Index (CPI)]]="",#N/A,((Tabela1[[#This Row],[Consumer Price Index (CPI)]]*1)/B333)-1)</f>
        <v>9.5334685598377433E-2</v>
      </c>
      <c r="E345" s="25">
        <v>54</v>
      </c>
      <c r="F345" s="8">
        <f>IF(Tabela1[[#This Row],[Core Consumer Price Index]]="",#N/A,((Tabela1[[#This Row],[Core Consumer Price Index]]*1)/E344)-1)</f>
        <v>3.7174721189592308E-3</v>
      </c>
      <c r="G345" s="8">
        <f>IF(Tabela1[[#This Row],[Core Consumer Price Index]]="",#N/A,((Tabela1[[#This Row],[Core Consumer Price Index]]*1)/E333)-1)</f>
        <v>9.0909090909090828E-2</v>
      </c>
      <c r="H345" s="8">
        <f t="shared" si="14"/>
        <v>5.2309175880932202E-2</v>
      </c>
      <c r="I345" s="8">
        <f t="shared" si="15"/>
        <v>6.4171559124218014E-2</v>
      </c>
      <c r="J345" s="25">
        <v>48</v>
      </c>
      <c r="K345" s="8">
        <f>IF(Tabela1[[#This Row],[Services CPI]]="",#N/A,((Tabela1[[#This Row],[Services CPI]]*1)/J344)-1)</f>
        <v>4.1841004184099972E-3</v>
      </c>
      <c r="L345" s="8">
        <f>IF(Tabela1[[#This Row],[Services CPI]]="",#N/A,((Tabela1[[#This Row],[Services CPI]]*1)/J333)-1)</f>
        <v>9.0909090909090828E-2</v>
      </c>
      <c r="M345" s="7">
        <v>48.8</v>
      </c>
      <c r="N345" s="8">
        <f>IF(Tabela1[[#This Row],[Core-Services CPI]]="",#N/A,((Tabela1[[#This Row],[Core-Services CPI]]*1)/M344)-1)</f>
        <v>4.1152263374484299E-3</v>
      </c>
      <c r="O345" s="8">
        <f>IF(Tabela1[[#This Row],[Core-Services CPI]]="",#N/A,((Tabela1[[#This Row],[Core-Services CPI]]*1)/M333)-1)</f>
        <v>8.6859688195991103E-2</v>
      </c>
      <c r="P345" s="7">
        <v>57.6</v>
      </c>
      <c r="Q345" s="8">
        <f>IF(Tabela1[[#This Row],[Durable Goods CPI]]="",#N/A,((Tabela1[[#This Row],[Durable Goods CPI]]*1)/P344)-1)</f>
        <v>6.9930069930068672E-3</v>
      </c>
      <c r="R345" s="8">
        <f>IF(Tabela1[[#This Row],[Durable Goods CPI]]="",#N/A,((Tabela1[[#This Row],[Durable Goods CPI]]*1)/P333)-1)</f>
        <v>0.11627906976744184</v>
      </c>
      <c r="S345" s="7">
        <v>10.951529410999999</v>
      </c>
      <c r="T345" s="7">
        <v>26.952999999999999</v>
      </c>
      <c r="U345" s="8">
        <f>IF(Tabela1[[#This Row],[Personal Consumption Expenditures (PCE)]]="",#N/A,((Tabela1[[#This Row],[Personal Consumption Expenditures (PCE)]]*1)/T344)-1)</f>
        <v>8.5690764855559376E-3</v>
      </c>
      <c r="V345" s="8">
        <f>IF(Tabela1[[#This Row],[Personal Consumption Expenditures (PCE)]]="",#N/A,((Tabela1[[#This Row],[Personal Consumption Expenditures (PCE)]]*1)/T333)-1)</f>
        <v>8.3668382116436124E-2</v>
      </c>
      <c r="W345" s="7">
        <v>26.978000000000002</v>
      </c>
      <c r="X345" s="8">
        <f>IF(Tabela1[[#This Row],[Core PCE]]="",#N/A,((Tabela1[[#This Row],[Core PCE]]*1)/W344)-1)</f>
        <v>6.15373139894837E-3</v>
      </c>
      <c r="Y345" s="8">
        <f>IF(Tabela1[[#This Row],[Core PCE]]="",#N/A,((Tabela1[[#This Row],[Core PCE]]*1)/W333)-1)</f>
        <v>8.1976417742841035E-2</v>
      </c>
      <c r="Z345" s="8">
        <f t="shared" si="13"/>
        <v>6.1114656450802052E-2</v>
      </c>
      <c r="AA345" s="8">
        <f t="shared" ref="AA345:AA408" si="16">SUM(X340:X345)*2</f>
        <v>6.4897501203339925E-2</v>
      </c>
      <c r="AB345" s="7"/>
      <c r="AC345" s="7"/>
      <c r="AD345" s="8"/>
      <c r="AE345" s="71"/>
      <c r="AF345" s="7"/>
      <c r="AG345" s="5"/>
    </row>
    <row r="346" spans="1:33" ht="12.75">
      <c r="A346" s="6">
        <v>27607</v>
      </c>
      <c r="B346" s="7">
        <v>54.2</v>
      </c>
      <c r="C346" s="8">
        <f>IF(Tabela1[[#This Row],[Consumer Price Index (CPI)]]="",#N/A,((Tabela1[[#This Row],[Consumer Price Index (CPI)]]*1)/B345)-1)</f>
        <v>3.7037037037037646E-3</v>
      </c>
      <c r="D346" s="8">
        <f>IF(Tabela1[[#This Row],[Consumer Price Index (CPI)]]="",#N/A,((Tabela1[[#This Row],[Consumer Price Index (CPI)]]*1)/B334)-1)</f>
        <v>8.6172344689378955E-2</v>
      </c>
      <c r="E346" s="25">
        <v>54.2</v>
      </c>
      <c r="F346" s="8">
        <f>IF(Tabela1[[#This Row],[Core Consumer Price Index]]="",#N/A,((Tabela1[[#This Row],[Core Consumer Price Index]]*1)/E345)-1)</f>
        <v>3.7037037037037646E-3</v>
      </c>
      <c r="G346" s="8">
        <f>IF(Tabela1[[#This Row],[Core Consumer Price Index]]="",#N/A,((Tabela1[[#This Row],[Core Consumer Price Index]]*1)/E334)-1)</f>
        <v>7.9681274900398336E-2</v>
      </c>
      <c r="H346" s="8">
        <f t="shared" si="14"/>
        <v>5.2114609832707437E-2</v>
      </c>
      <c r="I346" s="8">
        <f t="shared" si="15"/>
        <v>5.2458507640612329E-2</v>
      </c>
      <c r="J346" s="25">
        <v>48.3</v>
      </c>
      <c r="K346" s="8">
        <f>IF(Tabela1[[#This Row],[Services CPI]]="",#N/A,((Tabela1[[#This Row],[Services CPI]]*1)/J345)-1)</f>
        <v>6.2499999999998668E-3</v>
      </c>
      <c r="L346" s="8">
        <f>IF(Tabela1[[#This Row],[Services CPI]]="",#N/A,((Tabela1[[#This Row],[Services CPI]]*1)/J334)-1)</f>
        <v>8.5393258426966323E-2</v>
      </c>
      <c r="M346" s="7">
        <v>49</v>
      </c>
      <c r="N346" s="8">
        <f>IF(Tabela1[[#This Row],[Core-Services CPI]]="",#N/A,((Tabela1[[#This Row],[Core-Services CPI]]*1)/M345)-1)</f>
        <v>4.098360655737654E-3</v>
      </c>
      <c r="O346" s="8">
        <f>IF(Tabela1[[#This Row],[Core-Services CPI]]="",#N/A,((Tabela1[[#This Row],[Core-Services CPI]]*1)/M334)-1)</f>
        <v>7.9295154185021977E-2</v>
      </c>
      <c r="P346" s="7">
        <v>57.9</v>
      </c>
      <c r="Q346" s="8">
        <f>IF(Tabela1[[#This Row],[Durable Goods CPI]]="",#N/A,((Tabela1[[#This Row],[Durable Goods CPI]]*1)/P345)-1)</f>
        <v>5.2083333333332593E-3</v>
      </c>
      <c r="R346" s="8">
        <f>IF(Tabela1[[#This Row],[Durable Goods CPI]]="",#N/A,((Tabela1[[#This Row],[Durable Goods CPI]]*1)/P334)-1)</f>
        <v>0.10707456978967489</v>
      </c>
      <c r="S346" s="7">
        <v>10.455057330000001</v>
      </c>
      <c r="T346" s="7">
        <v>27.07</v>
      </c>
      <c r="U346" s="8">
        <f>IF(Tabela1[[#This Row],[Personal Consumption Expenditures (PCE)]]="",#N/A,((Tabela1[[#This Row],[Personal Consumption Expenditures (PCE)]]*1)/T345)-1)</f>
        <v>4.340889696879735E-3</v>
      </c>
      <c r="V346" s="8">
        <f>IF(Tabela1[[#This Row],[Personal Consumption Expenditures (PCE)]]="",#N/A,((Tabela1[[#This Row],[Personal Consumption Expenditures (PCE)]]*1)/T334)-1)</f>
        <v>7.7112844182715135E-2</v>
      </c>
      <c r="W346" s="7">
        <v>27.071000000000002</v>
      </c>
      <c r="X346" s="8">
        <f>IF(Tabela1[[#This Row],[Core PCE]]="",#N/A,((Tabela1[[#This Row],[Core PCE]]*1)/W345)-1)</f>
        <v>3.4472533175180509E-3</v>
      </c>
      <c r="Y346" s="8">
        <f>IF(Tabela1[[#This Row],[Core PCE]]="",#N/A,((Tabela1[[#This Row],[Core PCE]]*1)/W334)-1)</f>
        <v>7.5355525542226243E-2</v>
      </c>
      <c r="Z346" s="8">
        <f t="shared" si="13"/>
        <v>5.7892002426934042E-2</v>
      </c>
      <c r="AA346" s="8">
        <f t="shared" si="16"/>
        <v>5.7626074992555232E-2</v>
      </c>
      <c r="AB346" s="7"/>
      <c r="AC346" s="7"/>
      <c r="AD346" s="8"/>
      <c r="AE346" s="71"/>
      <c r="AF346" s="7"/>
      <c r="AG346" s="5"/>
    </row>
    <row r="347" spans="1:33" ht="12.75">
      <c r="A347" s="6">
        <v>27638</v>
      </c>
      <c r="B347" s="7">
        <v>54.6</v>
      </c>
      <c r="C347" s="8">
        <f>IF(Tabela1[[#This Row],[Consumer Price Index (CPI)]]="",#N/A,((Tabela1[[#This Row],[Consumer Price Index (CPI)]]*1)/B346)-1)</f>
        <v>7.3800738007379074E-3</v>
      </c>
      <c r="D347" s="8">
        <f>IF(Tabela1[[#This Row],[Consumer Price Index (CPI)]]="",#N/A,((Tabela1[[#This Row],[Consumer Price Index (CPI)]]*1)/B335)-1)</f>
        <v>7.9051383399209474E-2</v>
      </c>
      <c r="E347" s="25">
        <v>54.5</v>
      </c>
      <c r="F347" s="8">
        <f>IF(Tabela1[[#This Row],[Core Consumer Price Index]]="",#N/A,((Tabela1[[#This Row],[Core Consumer Price Index]]*1)/E346)-1)</f>
        <v>5.5350553505535416E-3</v>
      </c>
      <c r="G347" s="8">
        <f>IF(Tabela1[[#This Row],[Core Consumer Price Index]]="",#N/A,((Tabela1[[#This Row],[Core Consumer Price Index]]*1)/E335)-1)</f>
        <v>7.4950690335305659E-2</v>
      </c>
      <c r="H347" s="8">
        <f t="shared" si="14"/>
        <v>5.1824924692866148E-2</v>
      </c>
      <c r="I347" s="8">
        <f t="shared" si="15"/>
        <v>5.5952860765961621E-2</v>
      </c>
      <c r="J347" s="25">
        <v>48.7</v>
      </c>
      <c r="K347" s="8">
        <f>IF(Tabela1[[#This Row],[Services CPI]]="",#N/A,((Tabela1[[#This Row],[Services CPI]]*1)/J346)-1)</f>
        <v>8.281573498964967E-3</v>
      </c>
      <c r="L347" s="8">
        <f>IF(Tabela1[[#This Row],[Services CPI]]="",#N/A,((Tabela1[[#This Row],[Services CPI]]*1)/J335)-1)</f>
        <v>8.2222222222222197E-2</v>
      </c>
      <c r="M347" s="7">
        <v>49.5</v>
      </c>
      <c r="N347" s="8">
        <f>IF(Tabela1[[#This Row],[Core-Services CPI]]="",#N/A,((Tabela1[[#This Row],[Core-Services CPI]]*1)/M346)-1)</f>
        <v>1.0204081632652962E-2</v>
      </c>
      <c r="O347" s="8">
        <f>IF(Tabela1[[#This Row],[Core-Services CPI]]="",#N/A,((Tabela1[[#This Row],[Core-Services CPI]]*1)/M335)-1)</f>
        <v>7.8431372549019551E-2</v>
      </c>
      <c r="P347" s="7">
        <v>58.3</v>
      </c>
      <c r="Q347" s="8">
        <f>IF(Tabela1[[#This Row],[Durable Goods CPI]]="",#N/A,((Tabela1[[#This Row],[Durable Goods CPI]]*1)/P346)-1)</f>
        <v>6.9084628670119663E-3</v>
      </c>
      <c r="R347" s="8">
        <f>IF(Tabela1[[#This Row],[Durable Goods CPI]]="",#N/A,((Tabela1[[#This Row],[Durable Goods CPI]]*1)/P335)-1)</f>
        <v>9.9999999999999867E-2</v>
      </c>
      <c r="S347" s="7">
        <v>9.787927045</v>
      </c>
      <c r="T347" s="7">
        <v>27.204000000000001</v>
      </c>
      <c r="U347" s="8">
        <f>IF(Tabela1[[#This Row],[Personal Consumption Expenditures (PCE)]]="",#N/A,((Tabela1[[#This Row],[Personal Consumption Expenditures (PCE)]]*1)/T346)-1)</f>
        <v>4.9501292944218456E-3</v>
      </c>
      <c r="V347" s="8">
        <f>IF(Tabela1[[#This Row],[Personal Consumption Expenditures (PCE)]]="",#N/A,((Tabela1[[#This Row],[Personal Consumption Expenditures (PCE)]]*1)/T335)-1)</f>
        <v>7.1318867404402742E-2</v>
      </c>
      <c r="W347" s="7">
        <v>27.218</v>
      </c>
      <c r="X347" s="8">
        <f>IF(Tabela1[[#This Row],[Core PCE]]="",#N/A,((Tabela1[[#This Row],[Core PCE]]*1)/W346)-1)</f>
        <v>5.4301651213475299E-3</v>
      </c>
      <c r="Y347" s="8">
        <f>IF(Tabela1[[#This Row],[Core PCE]]="",#N/A,((Tabela1[[#This Row],[Core PCE]]*1)/W335)-1)</f>
        <v>7.1574803149606403E-2</v>
      </c>
      <c r="Z347" s="8">
        <f t="shared" si="13"/>
        <v>6.0124599351255803E-2</v>
      </c>
      <c r="AA347" s="8">
        <f t="shared" si="16"/>
        <v>5.8069738568583773E-2</v>
      </c>
      <c r="AB347" s="7"/>
      <c r="AC347" s="7"/>
      <c r="AD347" s="8"/>
      <c r="AE347" s="71"/>
      <c r="AF347" s="7"/>
      <c r="AG347" s="5"/>
    </row>
    <row r="348" spans="1:33" ht="12.75">
      <c r="A348" s="6">
        <v>27668</v>
      </c>
      <c r="B348" s="7">
        <v>54.9</v>
      </c>
      <c r="C348" s="8">
        <f>IF(Tabela1[[#This Row],[Consumer Price Index (CPI)]]="",#N/A,((Tabela1[[#This Row],[Consumer Price Index (CPI)]]*1)/B347)-1)</f>
        <v>5.494505494505475E-3</v>
      </c>
      <c r="D348" s="8">
        <f>IF(Tabela1[[#This Row],[Consumer Price Index (CPI)]]="",#N/A,((Tabela1[[#This Row],[Consumer Price Index (CPI)]]*1)/B336)-1)</f>
        <v>7.6470588235294068E-2</v>
      </c>
      <c r="E348" s="25">
        <v>54.8</v>
      </c>
      <c r="F348" s="8">
        <f>IF(Tabela1[[#This Row],[Core Consumer Price Index]]="",#N/A,((Tabela1[[#This Row],[Core Consumer Price Index]]*1)/E347)-1)</f>
        <v>5.5045871559633586E-3</v>
      </c>
      <c r="G348" s="8">
        <f>IF(Tabela1[[#This Row],[Core Consumer Price Index]]="",#N/A,((Tabela1[[#This Row],[Core Consumer Price Index]]*1)/E336)-1)</f>
        <v>7.0312499999999778E-2</v>
      </c>
      <c r="H348" s="8">
        <f t="shared" si="14"/>
        <v>5.8973384840882659E-2</v>
      </c>
      <c r="I348" s="8">
        <f t="shared" si="15"/>
        <v>5.564128036090743E-2</v>
      </c>
      <c r="J348" s="25">
        <v>49</v>
      </c>
      <c r="K348" s="8">
        <f>IF(Tabela1[[#This Row],[Services CPI]]="",#N/A,((Tabela1[[#This Row],[Services CPI]]*1)/J347)-1)</f>
        <v>6.1601642710471527E-3</v>
      </c>
      <c r="L348" s="8">
        <f>IF(Tabela1[[#This Row],[Services CPI]]="",#N/A,((Tabela1[[#This Row],[Services CPI]]*1)/J336)-1)</f>
        <v>7.9295154185021977E-2</v>
      </c>
      <c r="M348" s="7">
        <v>49.8</v>
      </c>
      <c r="N348" s="8">
        <f>IF(Tabela1[[#This Row],[Core-Services CPI]]="",#N/A,((Tabela1[[#This Row],[Core-Services CPI]]*1)/M347)-1)</f>
        <v>6.0606060606060996E-3</v>
      </c>
      <c r="O348" s="8">
        <f>IF(Tabela1[[#This Row],[Core-Services CPI]]="",#N/A,((Tabela1[[#This Row],[Core-Services CPI]]*1)/M336)-1)</f>
        <v>7.5593952483801408E-2</v>
      </c>
      <c r="P348" s="7">
        <v>58.5</v>
      </c>
      <c r="Q348" s="8">
        <f>IF(Tabela1[[#This Row],[Durable Goods CPI]]="",#N/A,((Tabela1[[#This Row],[Durable Goods CPI]]*1)/P347)-1)</f>
        <v>3.4305317324185847E-3</v>
      </c>
      <c r="R348" s="8">
        <f>IF(Tabela1[[#This Row],[Durable Goods CPI]]="",#N/A,((Tabela1[[#This Row],[Durable Goods CPI]]*1)/P336)-1)</f>
        <v>8.7360594795539148E-2</v>
      </c>
      <c r="S348" s="7">
        <v>8.9383801950000006</v>
      </c>
      <c r="T348" s="7">
        <v>27.361999999999998</v>
      </c>
      <c r="U348" s="8">
        <f>IF(Tabela1[[#This Row],[Personal Consumption Expenditures (PCE)]]="",#N/A,((Tabela1[[#This Row],[Personal Consumption Expenditures (PCE)]]*1)/T347)-1)</f>
        <v>5.8079694162622708E-3</v>
      </c>
      <c r="V348" s="8">
        <f>IF(Tabela1[[#This Row],[Personal Consumption Expenditures (PCE)]]="",#N/A,((Tabela1[[#This Row],[Personal Consumption Expenditures (PCE)]]*1)/T336)-1)</f>
        <v>6.9872922776148538E-2</v>
      </c>
      <c r="W348" s="7">
        <v>27.353999999999999</v>
      </c>
      <c r="X348" s="8">
        <f>IF(Tabela1[[#This Row],[Core PCE]]="",#N/A,((Tabela1[[#This Row],[Core PCE]]*1)/W347)-1)</f>
        <v>4.9966933646850009E-3</v>
      </c>
      <c r="Y348" s="8">
        <f>IF(Tabela1[[#This Row],[Core PCE]]="",#N/A,((Tabela1[[#This Row],[Core PCE]]*1)/W336)-1)</f>
        <v>6.8557365522090574E-2</v>
      </c>
      <c r="Z348" s="8">
        <f t="shared" si="13"/>
        <v>5.5496447214202327E-2</v>
      </c>
      <c r="AA348" s="8">
        <f t="shared" si="16"/>
        <v>5.8305551832502189E-2</v>
      </c>
      <c r="AB348" s="7"/>
      <c r="AC348" s="7"/>
      <c r="AD348" s="8"/>
      <c r="AE348" s="71"/>
      <c r="AF348" s="7"/>
      <c r="AG348" s="5"/>
    </row>
    <row r="349" spans="1:33" ht="12.75">
      <c r="A349" s="6">
        <v>27699</v>
      </c>
      <c r="B349" s="7">
        <v>55.3</v>
      </c>
      <c r="C349" s="8">
        <f>IF(Tabela1[[#This Row],[Consumer Price Index (CPI)]]="",#N/A,((Tabela1[[#This Row],[Consumer Price Index (CPI)]]*1)/B348)-1)</f>
        <v>7.2859744990891873E-3</v>
      </c>
      <c r="D349" s="8">
        <f>IF(Tabela1[[#This Row],[Consumer Price Index (CPI)]]="",#N/A,((Tabela1[[#This Row],[Consumer Price Index (CPI)]]*1)/B337)-1)</f>
        <v>7.3786407766990303E-2</v>
      </c>
      <c r="E349" s="25">
        <v>55.2</v>
      </c>
      <c r="F349" s="8">
        <f>IF(Tabela1[[#This Row],[Core Consumer Price Index]]="",#N/A,((Tabela1[[#This Row],[Core Consumer Price Index]]*1)/E348)-1)</f>
        <v>7.2992700729928028E-3</v>
      </c>
      <c r="G349" s="8">
        <f>IF(Tabela1[[#This Row],[Core Consumer Price Index]]="",#N/A,((Tabela1[[#This Row],[Core Consumer Price Index]]*1)/E337)-1)</f>
        <v>6.976744186046524E-2</v>
      </c>
      <c r="H349" s="8">
        <f t="shared" si="14"/>
        <v>7.3355650318038812E-2</v>
      </c>
      <c r="I349" s="8">
        <f t="shared" si="15"/>
        <v>6.2735130075373124E-2</v>
      </c>
      <c r="J349" s="25">
        <v>49.6</v>
      </c>
      <c r="K349" s="8">
        <f>IF(Tabela1[[#This Row],[Services CPI]]="",#N/A,((Tabela1[[#This Row],[Services CPI]]*1)/J348)-1)</f>
        <v>1.2244897959183598E-2</v>
      </c>
      <c r="L349" s="8">
        <f>IF(Tabela1[[#This Row],[Services CPI]]="",#N/A,((Tabela1[[#This Row],[Services CPI]]*1)/J337)-1)</f>
        <v>8.2969432314410563E-2</v>
      </c>
      <c r="M349" s="7">
        <v>50.4</v>
      </c>
      <c r="N349" s="8">
        <f>IF(Tabela1[[#This Row],[Core-Services CPI]]="",#N/A,((Tabela1[[#This Row],[Core-Services CPI]]*1)/M348)-1)</f>
        <v>1.2048192771084265E-2</v>
      </c>
      <c r="O349" s="8">
        <f>IF(Tabela1[[#This Row],[Core-Services CPI]]="",#N/A,((Tabela1[[#This Row],[Core-Services CPI]]*1)/M337)-1)</f>
        <v>7.922912205567445E-2</v>
      </c>
      <c r="P349" s="7">
        <v>58.8</v>
      </c>
      <c r="Q349" s="8">
        <f>IF(Tabela1[[#This Row],[Durable Goods CPI]]="",#N/A,((Tabela1[[#This Row],[Durable Goods CPI]]*1)/P348)-1)</f>
        <v>5.12820512820511E-3</v>
      </c>
      <c r="R349" s="8">
        <f>IF(Tabela1[[#This Row],[Durable Goods CPI]]="",#N/A,((Tabela1[[#This Row],[Durable Goods CPI]]*1)/P337)-1)</f>
        <v>8.287292817679548E-2</v>
      </c>
      <c r="S349" s="7">
        <v>8.5543540530000008</v>
      </c>
      <c r="T349" s="7">
        <v>27.538</v>
      </c>
      <c r="U349" s="8">
        <f>IF(Tabela1[[#This Row],[Personal Consumption Expenditures (PCE)]]="",#N/A,((Tabela1[[#This Row],[Personal Consumption Expenditures (PCE)]]*1)/T348)-1)</f>
        <v>6.4322783422265939E-3</v>
      </c>
      <c r="V349" s="8">
        <f>IF(Tabela1[[#This Row],[Personal Consumption Expenditures (PCE)]]="",#N/A,((Tabela1[[#This Row],[Personal Consumption Expenditures (PCE)]]*1)/T337)-1)</f>
        <v>6.8731323010051693E-2</v>
      </c>
      <c r="W349" s="7">
        <v>27.535</v>
      </c>
      <c r="X349" s="8">
        <f>IF(Tabela1[[#This Row],[Core PCE]]="",#N/A,((Tabela1[[#This Row],[Core PCE]]*1)/W348)-1)</f>
        <v>6.6169481611464409E-3</v>
      </c>
      <c r="Y349" s="8">
        <f>IF(Tabela1[[#This Row],[Core PCE]]="",#N/A,((Tabela1[[#This Row],[Core PCE]]*1)/W337)-1)</f>
        <v>6.7827503296362224E-2</v>
      </c>
      <c r="Z349" s="8">
        <f t="shared" si="13"/>
        <v>6.8175226588715887E-2</v>
      </c>
      <c r="AA349" s="8">
        <f t="shared" si="16"/>
        <v>6.3033614507824964E-2</v>
      </c>
      <c r="AB349" s="7"/>
      <c r="AC349" s="7"/>
      <c r="AD349" s="8"/>
      <c r="AE349" s="71"/>
      <c r="AF349" s="7"/>
      <c r="AG349" s="5"/>
    </row>
    <row r="350" spans="1:33" ht="12.75">
      <c r="A350" s="6">
        <v>27729</v>
      </c>
      <c r="B350" s="7">
        <v>55.6</v>
      </c>
      <c r="C350" s="8">
        <f>IF(Tabela1[[#This Row],[Consumer Price Index (CPI)]]="",#N/A,((Tabela1[[#This Row],[Consumer Price Index (CPI)]]*1)/B349)-1)</f>
        <v>5.4249547920435237E-3</v>
      </c>
      <c r="D350" s="8">
        <f>IF(Tabela1[[#This Row],[Consumer Price Index (CPI)]]="",#N/A,((Tabela1[[#This Row],[Consumer Price Index (CPI)]]*1)/B338)-1)</f>
        <v>7.1290944123314048E-2</v>
      </c>
      <c r="E350" s="25">
        <v>55.5</v>
      </c>
      <c r="F350" s="8">
        <f>IF(Tabela1[[#This Row],[Core Consumer Price Index]]="",#N/A,((Tabela1[[#This Row],[Core Consumer Price Index]]*1)/E349)-1)</f>
        <v>5.4347826086955653E-3</v>
      </c>
      <c r="G350" s="8">
        <f>IF(Tabela1[[#This Row],[Core Consumer Price Index]]="",#N/A,((Tabela1[[#This Row],[Core Consumer Price Index]]*1)/E338)-1)</f>
        <v>6.7307692307692291E-2</v>
      </c>
      <c r="H350" s="8">
        <f t="shared" si="14"/>
        <v>7.2954559350606907E-2</v>
      </c>
      <c r="I350" s="8">
        <f t="shared" si="15"/>
        <v>6.2389742021736527E-2</v>
      </c>
      <c r="J350" s="25">
        <v>49.9</v>
      </c>
      <c r="K350" s="8">
        <f>IF(Tabela1[[#This Row],[Services CPI]]="",#N/A,((Tabela1[[#This Row],[Services CPI]]*1)/J349)-1)</f>
        <v>6.0483870967742437E-3</v>
      </c>
      <c r="L350" s="8">
        <f>IF(Tabela1[[#This Row],[Services CPI]]="",#N/A,((Tabela1[[#This Row],[Services CPI]]*1)/J338)-1)</f>
        <v>8.0086580086579984E-2</v>
      </c>
      <c r="M350" s="7">
        <v>50.7</v>
      </c>
      <c r="N350" s="8">
        <f>IF(Tabela1[[#This Row],[Core-Services CPI]]="",#N/A,((Tabela1[[#This Row],[Core-Services CPI]]*1)/M349)-1)</f>
        <v>5.9523809523809312E-3</v>
      </c>
      <c r="O350" s="8">
        <f>IF(Tabela1[[#This Row],[Core-Services CPI]]="",#N/A,((Tabela1[[#This Row],[Core-Services CPI]]*1)/M338)-1)</f>
        <v>7.6433121019108263E-2</v>
      </c>
      <c r="P350" s="7">
        <v>59</v>
      </c>
      <c r="Q350" s="8">
        <f>IF(Tabela1[[#This Row],[Durable Goods CPI]]="",#N/A,((Tabela1[[#This Row],[Durable Goods CPI]]*1)/P349)-1)</f>
        <v>3.4013605442178019E-3</v>
      </c>
      <c r="R350" s="8">
        <f>IF(Tabela1[[#This Row],[Durable Goods CPI]]="",#N/A,((Tabela1[[#This Row],[Durable Goods CPI]]*1)/P338)-1)</f>
        <v>7.6642335766423431E-2</v>
      </c>
      <c r="S350" s="7">
        <v>8.1421027919999993</v>
      </c>
      <c r="T350" s="7">
        <v>27.69</v>
      </c>
      <c r="U350" s="8">
        <f>IF(Tabela1[[#This Row],[Personal Consumption Expenditures (PCE)]]="",#N/A,((Tabela1[[#This Row],[Personal Consumption Expenditures (PCE)]]*1)/T349)-1)</f>
        <v>5.5196455806523215E-3</v>
      </c>
      <c r="V350" s="8">
        <f>IF(Tabela1[[#This Row],[Personal Consumption Expenditures (PCE)]]="",#N/A,((Tabela1[[#This Row],[Personal Consumption Expenditures (PCE)]]*1)/T338)-1)</f>
        <v>6.6189211043086615E-2</v>
      </c>
      <c r="W350" s="7">
        <v>27.702000000000002</v>
      </c>
      <c r="X350" s="8">
        <f>IF(Tabela1[[#This Row],[Core PCE]]="",#N/A,((Tabela1[[#This Row],[Core PCE]]*1)/W349)-1)</f>
        <v>6.0650081714181958E-3</v>
      </c>
      <c r="Y350" s="8">
        <f>IF(Tabela1[[#This Row],[Core PCE]]="",#N/A,((Tabela1[[#This Row],[Core PCE]]*1)/W338)-1)</f>
        <v>6.6774491682070281E-2</v>
      </c>
      <c r="Z350" s="8">
        <f t="shared" si="13"/>
        <v>7.0714598788998551E-2</v>
      </c>
      <c r="AA350" s="8">
        <f t="shared" si="16"/>
        <v>6.5419599070127177E-2</v>
      </c>
      <c r="AB350" s="7"/>
      <c r="AC350" s="7"/>
      <c r="AD350" s="8"/>
      <c r="AE350" s="71"/>
      <c r="AF350" s="7"/>
      <c r="AG350" s="5"/>
    </row>
    <row r="351" spans="1:33" ht="12.75">
      <c r="A351" s="6">
        <v>27760</v>
      </c>
      <c r="B351" s="7">
        <v>55.8</v>
      </c>
      <c r="C351" s="8">
        <f>IF(Tabela1[[#This Row],[Consumer Price Index (CPI)]]="",#N/A,((Tabela1[[#This Row],[Consumer Price Index (CPI)]]*1)/B350)-1)</f>
        <v>3.597122302158251E-3</v>
      </c>
      <c r="D351" s="8">
        <f>IF(Tabela1[[#This Row],[Consumer Price Index (CPI)]]="",#N/A,((Tabela1[[#This Row],[Consumer Price Index (CPI)]]*1)/B339)-1)</f>
        <v>6.6921606118546917E-2</v>
      </c>
      <c r="E351" s="25">
        <v>55.9</v>
      </c>
      <c r="F351" s="8">
        <f>IF(Tabela1[[#This Row],[Core Consumer Price Index]]="",#N/A,((Tabela1[[#This Row],[Core Consumer Price Index]]*1)/E350)-1)</f>
        <v>7.2072072072071336E-3</v>
      </c>
      <c r="G351" s="8">
        <f>IF(Tabela1[[#This Row],[Core Consumer Price Index]]="",#N/A,((Tabela1[[#This Row],[Core Consumer Price Index]]*1)/E339)-1)</f>
        <v>6.8833652007648238E-2</v>
      </c>
      <c r="H351" s="8">
        <f t="shared" si="14"/>
        <v>7.9765039555582007E-2</v>
      </c>
      <c r="I351" s="8">
        <f t="shared" si="15"/>
        <v>6.9369212198232333E-2</v>
      </c>
      <c r="J351" s="25">
        <v>50.5</v>
      </c>
      <c r="K351" s="8">
        <f>IF(Tabela1[[#This Row],[Services CPI]]="",#N/A,((Tabela1[[#This Row],[Services CPI]]*1)/J350)-1)</f>
        <v>1.2024048096192397E-2</v>
      </c>
      <c r="L351" s="8">
        <f>IF(Tabela1[[#This Row],[Services CPI]]="",#N/A,((Tabela1[[#This Row],[Services CPI]]*1)/J339)-1)</f>
        <v>8.602150537634401E-2</v>
      </c>
      <c r="M351" s="7">
        <v>51.2</v>
      </c>
      <c r="N351" s="8">
        <f>IF(Tabela1[[#This Row],[Core-Services CPI]]="",#N/A,((Tabela1[[#This Row],[Core-Services CPI]]*1)/M350)-1)</f>
        <v>9.8619329388560661E-3</v>
      </c>
      <c r="O351" s="8">
        <f>IF(Tabela1[[#This Row],[Core-Services CPI]]="",#N/A,((Tabela1[[#This Row],[Core-Services CPI]]*1)/M339)-1)</f>
        <v>8.0168776371308148E-2</v>
      </c>
      <c r="P351" s="7">
        <v>59.1</v>
      </c>
      <c r="Q351" s="8">
        <f>IF(Tabela1[[#This Row],[Durable Goods CPI]]="",#N/A,((Tabela1[[#This Row],[Durable Goods CPI]]*1)/P350)-1)</f>
        <v>1.6949152542373724E-3</v>
      </c>
      <c r="R351" s="8">
        <f>IF(Tabela1[[#This Row],[Durable Goods CPI]]="",#N/A,((Tabela1[[#This Row],[Durable Goods CPI]]*1)/P339)-1)</f>
        <v>6.8716094032549746E-2</v>
      </c>
      <c r="S351" s="7">
        <v>8.1359116599999997</v>
      </c>
      <c r="T351" s="7">
        <v>27.795000000000002</v>
      </c>
      <c r="U351" s="8">
        <f>IF(Tabela1[[#This Row],[Personal Consumption Expenditures (PCE)]]="",#N/A,((Tabela1[[#This Row],[Personal Consumption Expenditures (PCE)]]*1)/T350)-1)</f>
        <v>3.7919826652221822E-3</v>
      </c>
      <c r="V351" s="8">
        <f>IF(Tabela1[[#This Row],[Personal Consumption Expenditures (PCE)]]="",#N/A,((Tabela1[[#This Row],[Personal Consumption Expenditures (PCE)]]*1)/T339)-1)</f>
        <v>6.3638450941374547E-2</v>
      </c>
      <c r="W351" s="7">
        <v>27.844000000000001</v>
      </c>
      <c r="X351" s="8">
        <f>IF(Tabela1[[#This Row],[Core PCE]]="",#N/A,((Tabela1[[#This Row],[Core PCE]]*1)/W350)-1)</f>
        <v>5.1259836834884887E-3</v>
      </c>
      <c r="Y351" s="8">
        <f>IF(Tabela1[[#This Row],[Core PCE]]="",#N/A,((Tabela1[[#This Row],[Core PCE]]*1)/W339)-1)</f>
        <v>6.6043876105517096E-2</v>
      </c>
      <c r="Z351" s="8">
        <f t="shared" si="13"/>
        <v>7.1231760064212502E-2</v>
      </c>
      <c r="AA351" s="8">
        <f t="shared" si="16"/>
        <v>6.3364103639207414E-2</v>
      </c>
      <c r="AB351" s="7"/>
      <c r="AC351" s="7"/>
      <c r="AD351" s="8"/>
      <c r="AE351" s="71"/>
      <c r="AF351" s="7"/>
      <c r="AG351" s="5"/>
    </row>
    <row r="352" spans="1:33" ht="12.75">
      <c r="A352" s="6">
        <v>27791</v>
      </c>
      <c r="B352" s="7">
        <v>55.9</v>
      </c>
      <c r="C352" s="8">
        <f>IF(Tabela1[[#This Row],[Consumer Price Index (CPI)]]="",#N/A,((Tabela1[[#This Row],[Consumer Price Index (CPI)]]*1)/B351)-1)</f>
        <v>1.7921146953405742E-3</v>
      </c>
      <c r="D352" s="8">
        <f>IF(Tabela1[[#This Row],[Consumer Price Index (CPI)]]="",#N/A,((Tabela1[[#This Row],[Consumer Price Index (CPI)]]*1)/B340)-1)</f>
        <v>6.2737642585551257E-2</v>
      </c>
      <c r="E352" s="25">
        <v>56.2</v>
      </c>
      <c r="F352" s="8">
        <f>IF(Tabela1[[#This Row],[Core Consumer Price Index]]="",#N/A,((Tabela1[[#This Row],[Core Consumer Price Index]]*1)/E351)-1)</f>
        <v>5.3667262969590013E-3</v>
      </c>
      <c r="G352" s="8">
        <f>IF(Tabela1[[#This Row],[Core Consumer Price Index]]="",#N/A,((Tabela1[[#This Row],[Core Consumer Price Index]]*1)/E340)-1)</f>
        <v>6.4393939393939448E-2</v>
      </c>
      <c r="H352" s="8">
        <f t="shared" si="14"/>
        <v>7.2034864451446801E-2</v>
      </c>
      <c r="I352" s="8">
        <f t="shared" si="15"/>
        <v>7.2695257384742806E-2</v>
      </c>
      <c r="J352" s="25">
        <v>50.8</v>
      </c>
      <c r="K352" s="8">
        <f>IF(Tabela1[[#This Row],[Services CPI]]="",#N/A,((Tabela1[[#This Row],[Services CPI]]*1)/J351)-1)</f>
        <v>5.9405940594059459E-3</v>
      </c>
      <c r="L352" s="8">
        <f>IF(Tabela1[[#This Row],[Services CPI]]="",#N/A,((Tabela1[[#This Row],[Services CPI]]*1)/J340)-1)</f>
        <v>8.3155650319829411E-2</v>
      </c>
      <c r="M352" s="7">
        <v>51.5</v>
      </c>
      <c r="N352" s="8">
        <f>IF(Tabela1[[#This Row],[Core-Services CPI]]="",#N/A,((Tabela1[[#This Row],[Core-Services CPI]]*1)/M351)-1)</f>
        <v>5.859375E-3</v>
      </c>
      <c r="O352" s="8">
        <f>IF(Tabela1[[#This Row],[Core-Services CPI]]="",#N/A,((Tabela1[[#This Row],[Core-Services CPI]]*1)/M340)-1)</f>
        <v>7.9664570230607801E-2</v>
      </c>
      <c r="P352" s="7">
        <v>59.4</v>
      </c>
      <c r="Q352" s="8">
        <f>IF(Tabela1[[#This Row],[Durable Goods CPI]]="",#N/A,((Tabela1[[#This Row],[Durable Goods CPI]]*1)/P351)-1)</f>
        <v>5.0761421319795996E-3</v>
      </c>
      <c r="R352" s="8">
        <f>IF(Tabela1[[#This Row],[Durable Goods CPI]]="",#N/A,((Tabela1[[#This Row],[Durable Goods CPI]]*1)/P340)-1)</f>
        <v>6.4516129032258007E-2</v>
      </c>
      <c r="S352" s="7">
        <v>7.727553082</v>
      </c>
      <c r="T352" s="7">
        <v>27.831</v>
      </c>
      <c r="U352" s="8">
        <f>IF(Tabela1[[#This Row],[Personal Consumption Expenditures (PCE)]]="",#N/A,((Tabela1[[#This Row],[Personal Consumption Expenditures (PCE)]]*1)/T351)-1)</f>
        <v>1.2951969778736139E-3</v>
      </c>
      <c r="V352" s="8">
        <f>IF(Tabela1[[#This Row],[Personal Consumption Expenditures (PCE)]]="",#N/A,((Tabela1[[#This Row],[Personal Consumption Expenditures (PCE)]]*1)/T340)-1)</f>
        <v>5.9260105046814227E-2</v>
      </c>
      <c r="W352" s="7">
        <v>27.954999999999998</v>
      </c>
      <c r="X352" s="8">
        <f>IF(Tabela1[[#This Row],[Core PCE]]="",#N/A,((Tabela1[[#This Row],[Core PCE]]*1)/W351)-1)</f>
        <v>3.9864961930755616E-3</v>
      </c>
      <c r="Y352" s="8">
        <f>IF(Tabela1[[#This Row],[Core PCE]]="",#N/A,((Tabela1[[#This Row],[Core PCE]]*1)/W340)-1)</f>
        <v>6.2766119221411287E-2</v>
      </c>
      <c r="Z352" s="8">
        <f t="shared" si="13"/>
        <v>6.0709952191928984E-2</v>
      </c>
      <c r="AA352" s="8">
        <f t="shared" si="16"/>
        <v>6.4442589390322436E-2</v>
      </c>
      <c r="AB352" s="7"/>
      <c r="AC352" s="7"/>
      <c r="AD352" s="8"/>
      <c r="AE352" s="71"/>
      <c r="AF352" s="7"/>
      <c r="AG352" s="5"/>
    </row>
    <row r="353" spans="1:33" ht="12.75">
      <c r="A353" s="6">
        <v>27820</v>
      </c>
      <c r="B353" s="7">
        <v>56</v>
      </c>
      <c r="C353" s="8">
        <f>IF(Tabela1[[#This Row],[Consumer Price Index (CPI)]]="",#N/A,((Tabela1[[#This Row],[Consumer Price Index (CPI)]]*1)/B352)-1)</f>
        <v>1.7889087656530744E-3</v>
      </c>
      <c r="D353" s="8">
        <f>IF(Tabela1[[#This Row],[Consumer Price Index (CPI)]]="",#N/A,((Tabela1[[#This Row],[Consumer Price Index (CPI)]]*1)/B341)-1)</f>
        <v>6.0606060606060552E-2</v>
      </c>
      <c r="E353" s="25">
        <v>56.5</v>
      </c>
      <c r="F353" s="8">
        <f>IF(Tabela1[[#This Row],[Core Consumer Price Index]]="",#N/A,((Tabela1[[#This Row],[Core Consumer Price Index]]*1)/E352)-1)</f>
        <v>5.3380782918148739E-3</v>
      </c>
      <c r="G353" s="8">
        <f>IF(Tabela1[[#This Row],[Core Consumer Price Index]]="",#N/A,((Tabela1[[#This Row],[Core Consumer Price Index]]*1)/E341)-1)</f>
        <v>6.60377358490567E-2</v>
      </c>
      <c r="H353" s="8">
        <f t="shared" si="14"/>
        <v>7.1648047183924035E-2</v>
      </c>
      <c r="I353" s="8">
        <f t="shared" si="15"/>
        <v>7.2301303267265471E-2</v>
      </c>
      <c r="J353" s="25">
        <v>51.1</v>
      </c>
      <c r="K353" s="8">
        <f>IF(Tabela1[[#This Row],[Services CPI]]="",#N/A,((Tabela1[[#This Row],[Services CPI]]*1)/J352)-1)</f>
        <v>5.9055118110236116E-3</v>
      </c>
      <c r="L353" s="8">
        <f>IF(Tabela1[[#This Row],[Services CPI]]="",#N/A,((Tabela1[[#This Row],[Services CPI]]*1)/J341)-1)</f>
        <v>8.7234042553191449E-2</v>
      </c>
      <c r="M353" s="7">
        <v>51.8</v>
      </c>
      <c r="N353" s="8">
        <f>IF(Tabela1[[#This Row],[Core-Services CPI]]="",#N/A,((Tabela1[[#This Row],[Core-Services CPI]]*1)/M352)-1)</f>
        <v>5.8252427184466438E-3</v>
      </c>
      <c r="O353" s="8">
        <f>IF(Tabela1[[#This Row],[Core-Services CPI]]="",#N/A,((Tabela1[[#This Row],[Core-Services CPI]]*1)/M341)-1)</f>
        <v>8.1419624217119013E-2</v>
      </c>
      <c r="P353" s="7">
        <v>59.7</v>
      </c>
      <c r="Q353" s="8">
        <f>IF(Tabela1[[#This Row],[Durable Goods CPI]]="",#N/A,((Tabela1[[#This Row],[Durable Goods CPI]]*1)/P352)-1)</f>
        <v>5.050505050505194E-3</v>
      </c>
      <c r="R353" s="8">
        <f>IF(Tabela1[[#This Row],[Durable Goods CPI]]="",#N/A,((Tabela1[[#This Row],[Durable Goods CPI]]*1)/P341)-1)</f>
        <v>5.8510638297872397E-2</v>
      </c>
      <c r="S353" s="7">
        <v>7.7413635449999996</v>
      </c>
      <c r="T353" s="7">
        <v>27.873000000000001</v>
      </c>
      <c r="U353" s="8">
        <f>IF(Tabela1[[#This Row],[Personal Consumption Expenditures (PCE)]]="",#N/A,((Tabela1[[#This Row],[Personal Consumption Expenditures (PCE)]]*1)/T352)-1)</f>
        <v>1.5091085480221089E-3</v>
      </c>
      <c r="V353" s="8">
        <f>IF(Tabela1[[#This Row],[Personal Consumption Expenditures (PCE)]]="",#N/A,((Tabela1[[#This Row],[Personal Consumption Expenditures (PCE)]]*1)/T341)-1)</f>
        <v>5.7277244623146206E-2</v>
      </c>
      <c r="W353" s="7">
        <v>28.047000000000001</v>
      </c>
      <c r="X353" s="8">
        <f>IF(Tabela1[[#This Row],[Core PCE]]="",#N/A,((Tabela1[[#This Row],[Core PCE]]*1)/W352)-1)</f>
        <v>3.2910033983188924E-3</v>
      </c>
      <c r="Y353" s="8">
        <f>IF(Tabela1[[#This Row],[Core PCE]]="",#N/A,((Tabela1[[#This Row],[Core PCE]]*1)/W341)-1)</f>
        <v>6.0739003819825443E-2</v>
      </c>
      <c r="Z353" s="8">
        <f t="shared" si="13"/>
        <v>4.9613933099531771E-2</v>
      </c>
      <c r="AA353" s="8">
        <f t="shared" si="16"/>
        <v>6.0164265944265161E-2</v>
      </c>
      <c r="AB353" s="7"/>
      <c r="AC353" s="7"/>
      <c r="AD353" s="8"/>
      <c r="AE353" s="71"/>
      <c r="AF353" s="7"/>
      <c r="AG353" s="5"/>
    </row>
    <row r="354" spans="1:33" ht="12.75">
      <c r="A354" s="6">
        <v>27851</v>
      </c>
      <c r="B354" s="7">
        <v>56.1</v>
      </c>
      <c r="C354" s="8">
        <f>IF(Tabela1[[#This Row],[Consumer Price Index (CPI)]]="",#N/A,((Tabela1[[#This Row],[Consumer Price Index (CPI)]]*1)/B353)-1)</f>
        <v>1.7857142857142794E-3</v>
      </c>
      <c r="D354" s="8">
        <f>IF(Tabela1[[#This Row],[Consumer Price Index (CPI)]]="",#N/A,((Tabela1[[#This Row],[Consumer Price Index (CPI)]]*1)/B342)-1)</f>
        <v>5.8490566037735947E-2</v>
      </c>
      <c r="E354" s="25">
        <v>56.7</v>
      </c>
      <c r="F354" s="8">
        <f>IF(Tabela1[[#This Row],[Core Consumer Price Index]]="",#N/A,((Tabela1[[#This Row],[Core Consumer Price Index]]*1)/E353)-1)</f>
        <v>3.5398230088496963E-3</v>
      </c>
      <c r="G354" s="8">
        <f>IF(Tabela1[[#This Row],[Core Consumer Price Index]]="",#N/A,((Tabela1[[#This Row],[Core Consumer Price Index]]*1)/E342)-1)</f>
        <v>6.3789868667917471E-2</v>
      </c>
      <c r="H354" s="8">
        <f t="shared" si="14"/>
        <v>5.6978510390494286E-2</v>
      </c>
      <c r="I354" s="8">
        <f t="shared" si="15"/>
        <v>6.8371774973038146E-2</v>
      </c>
      <c r="J354" s="25">
        <v>51.3</v>
      </c>
      <c r="K354" s="8">
        <f>IF(Tabela1[[#This Row],[Services CPI]]="",#N/A,((Tabela1[[#This Row],[Services CPI]]*1)/J353)-1)</f>
        <v>3.9138943248531177E-3</v>
      </c>
      <c r="L354" s="8">
        <f>IF(Tabela1[[#This Row],[Services CPI]]="",#N/A,((Tabela1[[#This Row],[Services CPI]]*1)/J342)-1)</f>
        <v>8.4566596194503241E-2</v>
      </c>
      <c r="M354" s="7">
        <v>52</v>
      </c>
      <c r="N354" s="8">
        <f>IF(Tabela1[[#This Row],[Core-Services CPI]]="",#N/A,((Tabela1[[#This Row],[Core-Services CPI]]*1)/M353)-1)</f>
        <v>3.8610038610038533E-3</v>
      </c>
      <c r="O354" s="8">
        <f>IF(Tabela1[[#This Row],[Core-Services CPI]]="",#N/A,((Tabela1[[#This Row],[Core-Services CPI]]*1)/M342)-1)</f>
        <v>8.1081081081081141E-2</v>
      </c>
      <c r="P354" s="7">
        <v>60</v>
      </c>
      <c r="Q354" s="8">
        <f>IF(Tabela1[[#This Row],[Durable Goods CPI]]="",#N/A,((Tabela1[[#This Row],[Durable Goods CPI]]*1)/P353)-1)</f>
        <v>5.0251256281406143E-3</v>
      </c>
      <c r="R354" s="8">
        <f>IF(Tabela1[[#This Row],[Durable Goods CPI]]="",#N/A,((Tabela1[[#This Row],[Durable Goods CPI]]*1)/P342)-1)</f>
        <v>5.6338028169014231E-2</v>
      </c>
      <c r="S354" s="7">
        <v>7.4257624089999998</v>
      </c>
      <c r="T354" s="7">
        <v>27.936</v>
      </c>
      <c r="U354" s="8">
        <f>IF(Tabela1[[#This Row],[Personal Consumption Expenditures (PCE)]]="",#N/A,((Tabela1[[#This Row],[Personal Consumption Expenditures (PCE)]]*1)/T353)-1)</f>
        <v>2.2602518566354757E-3</v>
      </c>
      <c r="V354" s="8">
        <f>IF(Tabela1[[#This Row],[Personal Consumption Expenditures (PCE)]]="",#N/A,((Tabela1[[#This Row],[Personal Consumption Expenditures (PCE)]]*1)/T342)-1)</f>
        <v>5.610161802510194E-2</v>
      </c>
      <c r="W354" s="7">
        <v>28.157</v>
      </c>
      <c r="X354" s="8">
        <f>IF(Tabela1[[#This Row],[Core PCE]]="",#N/A,((Tabela1[[#This Row],[Core PCE]]*1)/W353)-1)</f>
        <v>3.9219880914178606E-3</v>
      </c>
      <c r="Y354" s="8">
        <f>IF(Tabela1[[#This Row],[Core PCE]]="",#N/A,((Tabela1[[#This Row],[Core PCE]]*1)/W342)-1)</f>
        <v>5.9729017689122976E-2</v>
      </c>
      <c r="Z354" s="8">
        <f t="shared" si="13"/>
        <v>4.4797950731249259E-2</v>
      </c>
      <c r="AA354" s="8">
        <f t="shared" si="16"/>
        <v>5.801485539773088E-2</v>
      </c>
      <c r="AB354" s="7"/>
      <c r="AC354" s="7"/>
      <c r="AD354" s="8"/>
      <c r="AE354" s="71"/>
      <c r="AF354" s="7"/>
      <c r="AG354" s="5"/>
    </row>
    <row r="355" spans="1:33" ht="12.75">
      <c r="A355" s="6">
        <v>27881</v>
      </c>
      <c r="B355" s="7">
        <v>56.4</v>
      </c>
      <c r="C355" s="8">
        <f>IF(Tabela1[[#This Row],[Consumer Price Index (CPI)]]="",#N/A,((Tabela1[[#This Row],[Consumer Price Index (CPI)]]*1)/B354)-1)</f>
        <v>5.3475935828877219E-3</v>
      </c>
      <c r="D355" s="8">
        <f>IF(Tabela1[[#This Row],[Consumer Price Index (CPI)]]="",#N/A,((Tabela1[[#This Row],[Consumer Price Index (CPI)]]*1)/B343)-1)</f>
        <v>6.2146892655367214E-2</v>
      </c>
      <c r="E355" s="25">
        <v>57</v>
      </c>
      <c r="F355" s="8">
        <f>IF(Tabela1[[#This Row],[Core Consumer Price Index]]="",#N/A,((Tabela1[[#This Row],[Core Consumer Price Index]]*1)/E354)-1)</f>
        <v>5.2910052910053462E-3</v>
      </c>
      <c r="G355" s="8">
        <f>IF(Tabela1[[#This Row],[Core Consumer Price Index]]="",#N/A,((Tabela1[[#This Row],[Core Consumer Price Index]]*1)/E343)-1)</f>
        <v>6.5420560747663448E-2</v>
      </c>
      <c r="H355" s="8">
        <f t="shared" si="14"/>
        <v>5.6675626366679666E-2</v>
      </c>
      <c r="I355" s="8">
        <f t="shared" si="15"/>
        <v>6.4355245409063233E-2</v>
      </c>
      <c r="J355" s="25">
        <v>51.4</v>
      </c>
      <c r="K355" s="8">
        <f>IF(Tabela1[[#This Row],[Services CPI]]="",#N/A,((Tabela1[[#This Row],[Services CPI]]*1)/J354)-1)</f>
        <v>1.9493177387914784E-3</v>
      </c>
      <c r="L355" s="8">
        <f>IF(Tabela1[[#This Row],[Services CPI]]="",#N/A,((Tabela1[[#This Row],[Services CPI]]*1)/J343)-1)</f>
        <v>8.2105263157894681E-2</v>
      </c>
      <c r="M355" s="7">
        <v>52.2</v>
      </c>
      <c r="N355" s="8">
        <f>IF(Tabela1[[#This Row],[Core-Services CPI]]="",#N/A,((Tabela1[[#This Row],[Core-Services CPI]]*1)/M354)-1)</f>
        <v>3.8461538461538325E-3</v>
      </c>
      <c r="O355" s="8">
        <f>IF(Tabela1[[#This Row],[Core-Services CPI]]="",#N/A,((Tabela1[[#This Row],[Core-Services CPI]]*1)/M343)-1)</f>
        <v>8.2987551867219844E-2</v>
      </c>
      <c r="P355" s="7">
        <v>60.4</v>
      </c>
      <c r="Q355" s="8">
        <f>IF(Tabela1[[#This Row],[Durable Goods CPI]]="",#N/A,((Tabela1[[#This Row],[Durable Goods CPI]]*1)/P354)-1)</f>
        <v>6.6666666666665986E-3</v>
      </c>
      <c r="R355" s="8">
        <f>IF(Tabela1[[#This Row],[Durable Goods CPI]]="",#N/A,((Tabela1[[#This Row],[Durable Goods CPI]]*1)/P343)-1)</f>
        <v>5.9649122807017507E-2</v>
      </c>
      <c r="S355" s="7">
        <v>7.3884262620000003</v>
      </c>
      <c r="T355" s="7">
        <v>28.068999999999999</v>
      </c>
      <c r="U355" s="8">
        <f>IF(Tabela1[[#This Row],[Personal Consumption Expenditures (PCE)]]="",#N/A,((Tabela1[[#This Row],[Personal Consumption Expenditures (PCE)]]*1)/T354)-1)</f>
        <v>4.7608820160365273E-3</v>
      </c>
      <c r="V355" s="8">
        <f>IF(Tabela1[[#This Row],[Personal Consumption Expenditures (PCE)]]="",#N/A,((Tabela1[[#This Row],[Personal Consumption Expenditures (PCE)]]*1)/T343)-1)</f>
        <v>5.6894344453648493E-2</v>
      </c>
      <c r="W355" s="7">
        <v>28.29</v>
      </c>
      <c r="X355" s="8">
        <f>IF(Tabela1[[#This Row],[Core PCE]]="",#N/A,((Tabela1[[#This Row],[Core PCE]]*1)/W354)-1)</f>
        <v>4.7235145789679134E-3</v>
      </c>
      <c r="Y355" s="8">
        <f>IF(Tabela1[[#This Row],[Core PCE]]="",#N/A,((Tabela1[[#This Row],[Core PCE]]*1)/W343)-1)</f>
        <v>6.0225611812764646E-2</v>
      </c>
      <c r="Z355" s="8">
        <f t="shared" si="13"/>
        <v>4.7746024274818666E-2</v>
      </c>
      <c r="AA355" s="8">
        <f t="shared" si="16"/>
        <v>5.4227988233373825E-2</v>
      </c>
      <c r="AB355" s="7"/>
      <c r="AC355" s="7"/>
      <c r="AD355" s="8"/>
      <c r="AE355" s="71"/>
      <c r="AF355" s="7"/>
      <c r="AG355" s="5"/>
    </row>
    <row r="356" spans="1:33" ht="12.75">
      <c r="A356" s="6">
        <v>27912</v>
      </c>
      <c r="B356" s="7">
        <v>56.7</v>
      </c>
      <c r="C356" s="8">
        <f>IF(Tabela1[[#This Row],[Consumer Price Index (CPI)]]="",#N/A,((Tabela1[[#This Row],[Consumer Price Index (CPI)]]*1)/B355)-1)</f>
        <v>5.3191489361703592E-3</v>
      </c>
      <c r="D356" s="8">
        <f>IF(Tabela1[[#This Row],[Consumer Price Index (CPI)]]="",#N/A,((Tabela1[[#This Row],[Consumer Price Index (CPI)]]*1)/B344)-1)</f>
        <v>5.9813084112149584E-2</v>
      </c>
      <c r="E356" s="25">
        <v>57.2</v>
      </c>
      <c r="F356" s="8">
        <f>IF(Tabela1[[#This Row],[Core Consumer Price Index]]="",#N/A,((Tabela1[[#This Row],[Core Consumer Price Index]]*1)/E355)-1)</f>
        <v>3.5087719298245723E-3</v>
      </c>
      <c r="G356" s="8">
        <f>IF(Tabela1[[#This Row],[Core Consumer Price Index]]="",#N/A,((Tabela1[[#This Row],[Core Consumer Price Index]]*1)/E344)-1)</f>
        <v>6.3197026022304925E-2</v>
      </c>
      <c r="H356" s="8">
        <f t="shared" si="14"/>
        <v>4.9358400918718459E-2</v>
      </c>
      <c r="I356" s="8">
        <f t="shared" si="15"/>
        <v>6.0503224051321247E-2</v>
      </c>
      <c r="J356" s="25">
        <v>51.7</v>
      </c>
      <c r="K356" s="8">
        <f>IF(Tabela1[[#This Row],[Services CPI]]="",#N/A,((Tabela1[[#This Row],[Services CPI]]*1)/J355)-1)</f>
        <v>5.8365758754863606E-3</v>
      </c>
      <c r="L356" s="8">
        <f>IF(Tabela1[[#This Row],[Services CPI]]="",#N/A,((Tabela1[[#This Row],[Services CPI]]*1)/J344)-1)</f>
        <v>8.1589958158995834E-2</v>
      </c>
      <c r="M356" s="7">
        <v>52.5</v>
      </c>
      <c r="N356" s="8">
        <f>IF(Tabela1[[#This Row],[Core-Services CPI]]="",#N/A,((Tabela1[[#This Row],[Core-Services CPI]]*1)/M355)-1)</f>
        <v>5.7471264367816577E-3</v>
      </c>
      <c r="O356" s="8">
        <f>IF(Tabela1[[#This Row],[Core-Services CPI]]="",#N/A,((Tabela1[[#This Row],[Core-Services CPI]]*1)/M344)-1)</f>
        <v>8.0246913580246826E-2</v>
      </c>
      <c r="P356" s="7">
        <v>60.7</v>
      </c>
      <c r="Q356" s="8">
        <f>IF(Tabela1[[#This Row],[Durable Goods CPI]]="",#N/A,((Tabela1[[#This Row],[Durable Goods CPI]]*1)/P355)-1)</f>
        <v>4.9668874172186239E-3</v>
      </c>
      <c r="R356" s="8">
        <f>IF(Tabela1[[#This Row],[Durable Goods CPI]]="",#N/A,((Tabela1[[#This Row],[Durable Goods CPI]]*1)/P344)-1)</f>
        <v>6.1188811188811254E-2</v>
      </c>
      <c r="S356" s="7">
        <v>6.8996299729999997</v>
      </c>
      <c r="T356" s="7">
        <v>28.192</v>
      </c>
      <c r="U356" s="8">
        <f>IF(Tabela1[[#This Row],[Personal Consumption Expenditures (PCE)]]="",#N/A,((Tabela1[[#This Row],[Personal Consumption Expenditures (PCE)]]*1)/T355)-1)</f>
        <v>4.3820584986997702E-3</v>
      </c>
      <c r="V356" s="8">
        <f>IF(Tabela1[[#This Row],[Personal Consumption Expenditures (PCE)]]="",#N/A,((Tabela1[[#This Row],[Personal Consumption Expenditures (PCE)]]*1)/T344)-1)</f>
        <v>5.4931896422691251E-2</v>
      </c>
      <c r="W356" s="7">
        <v>28.405000000000001</v>
      </c>
      <c r="X356" s="8">
        <f>IF(Tabela1[[#This Row],[Core PCE]]="",#N/A,((Tabela1[[#This Row],[Core PCE]]*1)/W355)-1)</f>
        <v>4.0650406504065817E-3</v>
      </c>
      <c r="Y356" s="8">
        <f>IF(Tabela1[[#This Row],[Core PCE]]="",#N/A,((Tabela1[[#This Row],[Core PCE]]*1)/W344)-1)</f>
        <v>5.9374184164397992E-2</v>
      </c>
      <c r="Z356" s="8">
        <f t="shared" si="13"/>
        <v>5.0842173283169423E-2</v>
      </c>
      <c r="AA356" s="8">
        <f t="shared" si="16"/>
        <v>5.0228053191350597E-2</v>
      </c>
      <c r="AB356" s="7"/>
      <c r="AC356" s="7"/>
      <c r="AD356" s="8"/>
      <c r="AE356" s="71"/>
      <c r="AF356" s="7"/>
      <c r="AG356" s="5"/>
    </row>
    <row r="357" spans="1:33" ht="12.75">
      <c r="A357" s="6">
        <v>27942</v>
      </c>
      <c r="B357" s="7">
        <v>57</v>
      </c>
      <c r="C357" s="8">
        <f>IF(Tabela1[[#This Row],[Consumer Price Index (CPI)]]="",#N/A,((Tabela1[[#This Row],[Consumer Price Index (CPI)]]*1)/B356)-1)</f>
        <v>5.2910052910053462E-3</v>
      </c>
      <c r="D357" s="8">
        <f>IF(Tabela1[[#This Row],[Consumer Price Index (CPI)]]="",#N/A,((Tabela1[[#This Row],[Consumer Price Index (CPI)]]*1)/B345)-1)</f>
        <v>5.555555555555558E-2</v>
      </c>
      <c r="E357" s="25">
        <v>57.6</v>
      </c>
      <c r="F357" s="8">
        <f>IF(Tabela1[[#This Row],[Core Consumer Price Index]]="",#N/A,((Tabela1[[#This Row],[Core Consumer Price Index]]*1)/E356)-1)</f>
        <v>6.9930069930068672E-3</v>
      </c>
      <c r="G357" s="8">
        <f>IF(Tabela1[[#This Row],[Core Consumer Price Index]]="",#N/A,((Tabela1[[#This Row],[Core Consumer Price Index]]*1)/E345)-1)</f>
        <v>6.6666666666666652E-2</v>
      </c>
      <c r="H357" s="8">
        <f t="shared" si="14"/>
        <v>6.3171136855347143E-2</v>
      </c>
      <c r="I357" s="8">
        <f t="shared" si="15"/>
        <v>6.0074823622920714E-2</v>
      </c>
      <c r="J357" s="25">
        <v>52.1</v>
      </c>
      <c r="K357" s="8">
        <f>IF(Tabela1[[#This Row],[Services CPI]]="",#N/A,((Tabela1[[#This Row],[Services CPI]]*1)/J356)-1)</f>
        <v>7.7369439071566237E-3</v>
      </c>
      <c r="L357" s="8">
        <f>IF(Tabela1[[#This Row],[Services CPI]]="",#N/A,((Tabela1[[#This Row],[Services CPI]]*1)/J345)-1)</f>
        <v>8.5416666666666696E-2</v>
      </c>
      <c r="M357" s="7">
        <v>52.9</v>
      </c>
      <c r="N357" s="8">
        <f>IF(Tabela1[[#This Row],[Core-Services CPI]]="",#N/A,((Tabela1[[#This Row],[Core-Services CPI]]*1)/M356)-1)</f>
        <v>7.6190476190476364E-3</v>
      </c>
      <c r="O357" s="8">
        <f>IF(Tabela1[[#This Row],[Core-Services CPI]]="",#N/A,((Tabela1[[#This Row],[Core-Services CPI]]*1)/M345)-1)</f>
        <v>8.4016393442623016E-2</v>
      </c>
      <c r="P357" s="7">
        <v>61.1</v>
      </c>
      <c r="Q357" s="8">
        <f>IF(Tabela1[[#This Row],[Durable Goods CPI]]="",#N/A,((Tabela1[[#This Row],[Durable Goods CPI]]*1)/P356)-1)</f>
        <v>6.5897858319603486E-3</v>
      </c>
      <c r="R357" s="8">
        <f>IF(Tabela1[[#This Row],[Durable Goods CPI]]="",#N/A,((Tabela1[[#This Row],[Durable Goods CPI]]*1)/P345)-1)</f>
        <v>6.076388888888884E-2</v>
      </c>
      <c r="S357" s="7">
        <v>7.0182985809999998</v>
      </c>
      <c r="T357" s="7">
        <v>28.335000000000001</v>
      </c>
      <c r="U357" s="8">
        <f>IF(Tabela1[[#This Row],[Personal Consumption Expenditures (PCE)]]="",#N/A,((Tabela1[[#This Row],[Personal Consumption Expenditures (PCE)]]*1)/T356)-1)</f>
        <v>5.072360953461974E-3</v>
      </c>
      <c r="V357" s="8">
        <f>IF(Tabela1[[#This Row],[Personal Consumption Expenditures (PCE)]]="",#N/A,((Tabela1[[#This Row],[Personal Consumption Expenditures (PCE)]]*1)/T345)-1)</f>
        <v>5.127444069305831E-2</v>
      </c>
      <c r="W357" s="7">
        <v>28.561</v>
      </c>
      <c r="X357" s="8">
        <f>IF(Tabela1[[#This Row],[Core PCE]]="",#N/A,((Tabela1[[#This Row],[Core PCE]]*1)/W356)-1)</f>
        <v>5.4919908466819489E-3</v>
      </c>
      <c r="Y357" s="8">
        <f>IF(Tabela1[[#This Row],[Core PCE]]="",#N/A,((Tabela1[[#This Row],[Core PCE]]*1)/W345)-1)</f>
        <v>5.8677440877752174E-2</v>
      </c>
      <c r="Z357" s="8">
        <f t="shared" si="13"/>
        <v>5.7122184304225776E-2</v>
      </c>
      <c r="AA357" s="8">
        <f t="shared" si="16"/>
        <v>5.0960067517737517E-2</v>
      </c>
      <c r="AB357" s="7"/>
      <c r="AC357" s="7"/>
      <c r="AD357" s="8"/>
      <c r="AE357" s="71"/>
      <c r="AF357" s="7"/>
      <c r="AG357" s="5"/>
    </row>
    <row r="358" spans="1:33" ht="12.75">
      <c r="A358" s="6">
        <v>27973</v>
      </c>
      <c r="B358" s="7">
        <v>57.3</v>
      </c>
      <c r="C358" s="8">
        <f>IF(Tabela1[[#This Row],[Consumer Price Index (CPI)]]="",#N/A,((Tabela1[[#This Row],[Consumer Price Index (CPI)]]*1)/B357)-1)</f>
        <v>5.2631578947368585E-3</v>
      </c>
      <c r="D358" s="8">
        <f>IF(Tabela1[[#This Row],[Consumer Price Index (CPI)]]="",#N/A,((Tabela1[[#This Row],[Consumer Price Index (CPI)]]*1)/B346)-1)</f>
        <v>5.719557195571956E-2</v>
      </c>
      <c r="E358" s="25">
        <v>57.9</v>
      </c>
      <c r="F358" s="8">
        <f>IF(Tabela1[[#This Row],[Core Consumer Price Index]]="",#N/A,((Tabela1[[#This Row],[Core Consumer Price Index]]*1)/E357)-1)</f>
        <v>5.2083333333332593E-3</v>
      </c>
      <c r="G358" s="8">
        <f>IF(Tabela1[[#This Row],[Core Consumer Price Index]]="",#N/A,((Tabela1[[#This Row],[Core Consumer Price Index]]*1)/E346)-1)</f>
        <v>6.8265682656826421E-2</v>
      </c>
      <c r="H358" s="8">
        <f t="shared" si="14"/>
        <v>6.2840449024658795E-2</v>
      </c>
      <c r="I358" s="8">
        <f t="shared" si="15"/>
        <v>5.9758037695669231E-2</v>
      </c>
      <c r="J358" s="25">
        <v>52.4</v>
      </c>
      <c r="K358" s="8">
        <f>IF(Tabela1[[#This Row],[Services CPI]]="",#N/A,((Tabela1[[#This Row],[Services CPI]]*1)/J357)-1)</f>
        <v>5.7581573896352545E-3</v>
      </c>
      <c r="L358" s="8">
        <f>IF(Tabela1[[#This Row],[Services CPI]]="",#N/A,((Tabela1[[#This Row],[Services CPI]]*1)/J346)-1)</f>
        <v>8.4886128364389357E-2</v>
      </c>
      <c r="M358" s="7">
        <v>53.2</v>
      </c>
      <c r="N358" s="8">
        <f>IF(Tabela1[[#This Row],[Core-Services CPI]]="",#N/A,((Tabela1[[#This Row],[Core-Services CPI]]*1)/M357)-1)</f>
        <v>5.6710775047259521E-3</v>
      </c>
      <c r="O358" s="8">
        <f>IF(Tabela1[[#This Row],[Core-Services CPI]]="",#N/A,((Tabela1[[#This Row],[Core-Services CPI]]*1)/M346)-1)</f>
        <v>8.5714285714285854E-2</v>
      </c>
      <c r="P358" s="7">
        <v>61.5</v>
      </c>
      <c r="Q358" s="8">
        <f>IF(Tabela1[[#This Row],[Durable Goods CPI]]="",#N/A,((Tabela1[[#This Row],[Durable Goods CPI]]*1)/P357)-1)</f>
        <v>6.5466448445170577E-3</v>
      </c>
      <c r="R358" s="8">
        <f>IF(Tabela1[[#This Row],[Durable Goods CPI]]="",#N/A,((Tabela1[[#This Row],[Durable Goods CPI]]*1)/P346)-1)</f>
        <v>6.2176165803108807E-2</v>
      </c>
      <c r="S358" s="7">
        <v>6.9228506980000004</v>
      </c>
      <c r="T358" s="7">
        <v>28.491</v>
      </c>
      <c r="U358" s="8">
        <f>IF(Tabela1[[#This Row],[Personal Consumption Expenditures (PCE)]]="",#N/A,((Tabela1[[#This Row],[Personal Consumption Expenditures (PCE)]]*1)/T357)-1)</f>
        <v>5.5055584965590931E-3</v>
      </c>
      <c r="V358" s="8">
        <f>IF(Tabela1[[#This Row],[Personal Consumption Expenditures (PCE)]]="",#N/A,((Tabela1[[#This Row],[Personal Consumption Expenditures (PCE)]]*1)/T346)-1)</f>
        <v>5.2493535278906434E-2</v>
      </c>
      <c r="W358" s="7">
        <v>28.725999999999999</v>
      </c>
      <c r="X358" s="8">
        <f>IF(Tabela1[[#This Row],[Core PCE]]="",#N/A,((Tabela1[[#This Row],[Core PCE]]*1)/W357)-1)</f>
        <v>5.7771086446551934E-3</v>
      </c>
      <c r="Y358" s="8">
        <f>IF(Tabela1[[#This Row],[Core PCE]]="",#N/A,((Tabela1[[#This Row],[Core PCE]]*1)/W346)-1)</f>
        <v>6.1135532488640898E-2</v>
      </c>
      <c r="Z358" s="8">
        <f t="shared" si="13"/>
        <v>6.1336560566974896E-2</v>
      </c>
      <c r="AA358" s="8">
        <f t="shared" si="16"/>
        <v>5.4541292420896781E-2</v>
      </c>
      <c r="AB358" s="7"/>
      <c r="AC358" s="7"/>
      <c r="AD358" s="8"/>
      <c r="AE358" s="71"/>
      <c r="AF358" s="7"/>
      <c r="AG358" s="5"/>
    </row>
    <row r="359" spans="1:33" ht="12.75">
      <c r="A359" s="6">
        <v>28004</v>
      </c>
      <c r="B359" s="7">
        <v>57.6</v>
      </c>
      <c r="C359" s="8">
        <f>IF(Tabela1[[#This Row],[Consumer Price Index (CPI)]]="",#N/A,((Tabela1[[#This Row],[Consumer Price Index (CPI)]]*1)/B358)-1)</f>
        <v>5.2356020942410098E-3</v>
      </c>
      <c r="D359" s="8">
        <f>IF(Tabela1[[#This Row],[Consumer Price Index (CPI)]]="",#N/A,((Tabela1[[#This Row],[Consumer Price Index (CPI)]]*1)/B347)-1)</f>
        <v>5.4945054945054972E-2</v>
      </c>
      <c r="E359" s="25">
        <v>58.2</v>
      </c>
      <c r="F359" s="8">
        <f>IF(Tabela1[[#This Row],[Core Consumer Price Index]]="",#N/A,((Tabela1[[#This Row],[Core Consumer Price Index]]*1)/E358)-1)</f>
        <v>5.1813471502590858E-3</v>
      </c>
      <c r="G359" s="8">
        <f>IF(Tabela1[[#This Row],[Core Consumer Price Index]]="",#N/A,((Tabela1[[#This Row],[Core Consumer Price Index]]*1)/E347)-1)</f>
        <v>6.7889908256880682E-2</v>
      </c>
      <c r="H359" s="8">
        <f t="shared" si="14"/>
        <v>6.9530749906396849E-2</v>
      </c>
      <c r="I359" s="8">
        <f t="shared" si="15"/>
        <v>5.9444575412557654E-2</v>
      </c>
      <c r="J359" s="25">
        <v>52.8</v>
      </c>
      <c r="K359" s="8">
        <f>IF(Tabela1[[#This Row],[Services CPI]]="",#N/A,((Tabela1[[#This Row],[Services CPI]]*1)/J358)-1)</f>
        <v>7.6335877862594437E-3</v>
      </c>
      <c r="L359" s="8">
        <f>IF(Tabela1[[#This Row],[Services CPI]]="",#N/A,((Tabela1[[#This Row],[Services CPI]]*1)/J347)-1)</f>
        <v>8.4188911704311975E-2</v>
      </c>
      <c r="M359" s="7">
        <v>53.5</v>
      </c>
      <c r="N359" s="8">
        <f>IF(Tabela1[[#This Row],[Core-Services CPI]]="",#N/A,((Tabela1[[#This Row],[Core-Services CPI]]*1)/M358)-1)</f>
        <v>5.639097744360777E-3</v>
      </c>
      <c r="O359" s="8">
        <f>IF(Tabela1[[#This Row],[Core-Services CPI]]="",#N/A,((Tabela1[[#This Row],[Core-Services CPI]]*1)/M347)-1)</f>
        <v>8.0808080808080884E-2</v>
      </c>
      <c r="P359" s="7">
        <v>61.8</v>
      </c>
      <c r="Q359" s="8">
        <f>IF(Tabela1[[#This Row],[Durable Goods CPI]]="",#N/A,((Tabela1[[#This Row],[Durable Goods CPI]]*1)/P358)-1)</f>
        <v>4.8780487804878092E-3</v>
      </c>
      <c r="R359" s="8">
        <f>IF(Tabela1[[#This Row],[Durable Goods CPI]]="",#N/A,((Tabela1[[#This Row],[Durable Goods CPI]]*1)/P347)-1)</f>
        <v>6.0034305317324232E-2</v>
      </c>
      <c r="S359" s="7">
        <v>7.1409922239999997</v>
      </c>
      <c r="T359" s="7">
        <v>28.651</v>
      </c>
      <c r="U359" s="8">
        <f>IF(Tabela1[[#This Row],[Personal Consumption Expenditures (PCE)]]="",#N/A,((Tabela1[[#This Row],[Personal Consumption Expenditures (PCE)]]*1)/T358)-1)</f>
        <v>5.6158085009301306E-3</v>
      </c>
      <c r="V359" s="8">
        <f>IF(Tabela1[[#This Row],[Personal Consumption Expenditures (PCE)]]="",#N/A,((Tabela1[[#This Row],[Personal Consumption Expenditures (PCE)]]*1)/T347)-1)</f>
        <v>5.3190707248933933E-2</v>
      </c>
      <c r="W359" s="7">
        <v>28.893999999999998</v>
      </c>
      <c r="X359" s="8">
        <f>IF(Tabela1[[#This Row],[Core PCE]]="",#N/A,((Tabela1[[#This Row],[Core PCE]]*1)/W358)-1)</f>
        <v>5.8483603703960441E-3</v>
      </c>
      <c r="Y359" s="8">
        <f>IF(Tabela1[[#This Row],[Core PCE]]="",#N/A,((Tabela1[[#This Row],[Core PCE]]*1)/W347)-1)</f>
        <v>6.1576897641266726E-2</v>
      </c>
      <c r="Z359" s="8">
        <f t="shared" ref="Z359:Z422" si="17">SUM(X357:X359)*4</f>
        <v>6.8469839446932745E-2</v>
      </c>
      <c r="AA359" s="8">
        <f t="shared" si="16"/>
        <v>5.9656006365051084E-2</v>
      </c>
      <c r="AB359" s="7"/>
      <c r="AC359" s="7"/>
      <c r="AD359" s="8"/>
      <c r="AE359" s="71"/>
      <c r="AF359" s="7"/>
      <c r="AG359" s="5"/>
    </row>
    <row r="360" spans="1:33" ht="12.75">
      <c r="A360" s="6">
        <v>28034</v>
      </c>
      <c r="B360" s="7">
        <v>57.9</v>
      </c>
      <c r="C360" s="8">
        <f>IF(Tabela1[[#This Row],[Consumer Price Index (CPI)]]="",#N/A,((Tabela1[[#This Row],[Consumer Price Index (CPI)]]*1)/B359)-1)</f>
        <v>5.2083333333332593E-3</v>
      </c>
      <c r="D360" s="8">
        <f>IF(Tabela1[[#This Row],[Consumer Price Index (CPI)]]="",#N/A,((Tabela1[[#This Row],[Consumer Price Index (CPI)]]*1)/B348)-1)</f>
        <v>5.464480874316946E-2</v>
      </c>
      <c r="E360" s="25">
        <v>58.5</v>
      </c>
      <c r="F360" s="8">
        <f>IF(Tabela1[[#This Row],[Core Consumer Price Index]]="",#N/A,((Tabela1[[#This Row],[Core Consumer Price Index]]*1)/E359)-1)</f>
        <v>5.1546391752577136E-3</v>
      </c>
      <c r="G360" s="8">
        <f>IF(Tabela1[[#This Row],[Core Consumer Price Index]]="",#N/A,((Tabela1[[#This Row],[Core Consumer Price Index]]*1)/E348)-1)</f>
        <v>6.7518248175182594E-2</v>
      </c>
      <c r="H360" s="8">
        <f t="shared" si="14"/>
        <v>6.2177278635400235E-2</v>
      </c>
      <c r="I360" s="8">
        <f t="shared" si="15"/>
        <v>6.2674207745373689E-2</v>
      </c>
      <c r="J360" s="25">
        <v>53.1</v>
      </c>
      <c r="K360" s="8">
        <f>IF(Tabela1[[#This Row],[Services CPI]]="",#N/A,((Tabela1[[#This Row],[Services CPI]]*1)/J359)-1)</f>
        <v>5.6818181818183433E-3</v>
      </c>
      <c r="L360" s="8">
        <f>IF(Tabela1[[#This Row],[Services CPI]]="",#N/A,((Tabela1[[#This Row],[Services CPI]]*1)/J348)-1)</f>
        <v>8.3673469387755217E-2</v>
      </c>
      <c r="M360" s="7">
        <v>53.8</v>
      </c>
      <c r="N360" s="8">
        <f>IF(Tabela1[[#This Row],[Core-Services CPI]]="",#N/A,((Tabela1[[#This Row],[Core-Services CPI]]*1)/M359)-1)</f>
        <v>5.6074766355138639E-3</v>
      </c>
      <c r="O360" s="8">
        <f>IF(Tabela1[[#This Row],[Core-Services CPI]]="",#N/A,((Tabela1[[#This Row],[Core-Services CPI]]*1)/M348)-1)</f>
        <v>8.032128514056236E-2</v>
      </c>
      <c r="P360" s="7">
        <v>62.1</v>
      </c>
      <c r="Q360" s="8">
        <f>IF(Tabela1[[#This Row],[Durable Goods CPI]]="",#N/A,((Tabela1[[#This Row],[Durable Goods CPI]]*1)/P359)-1)</f>
        <v>4.8543689320388328E-3</v>
      </c>
      <c r="R360" s="8">
        <f>IF(Tabela1[[#This Row],[Durable Goods CPI]]="",#N/A,((Tabela1[[#This Row],[Durable Goods CPI]]*1)/P348)-1)</f>
        <v>6.1538461538461542E-2</v>
      </c>
      <c r="S360" s="7">
        <v>7.4053800609999998</v>
      </c>
      <c r="T360" s="7">
        <v>28.800999999999998</v>
      </c>
      <c r="U360" s="8">
        <f>IF(Tabela1[[#This Row],[Personal Consumption Expenditures (PCE)]]="",#N/A,((Tabela1[[#This Row],[Personal Consumption Expenditures (PCE)]]*1)/T359)-1)</f>
        <v>5.2354193570904872E-3</v>
      </c>
      <c r="V360" s="8">
        <f>IF(Tabela1[[#This Row],[Personal Consumption Expenditures (PCE)]]="",#N/A,((Tabela1[[#This Row],[Personal Consumption Expenditures (PCE)]]*1)/T348)-1)</f>
        <v>5.2591184854908324E-2</v>
      </c>
      <c r="W360" s="7">
        <v>29.036000000000001</v>
      </c>
      <c r="X360" s="8">
        <f>IF(Tabela1[[#This Row],[Core PCE]]="",#N/A,((Tabela1[[#This Row],[Core PCE]]*1)/W359)-1)</f>
        <v>4.9145151242473428E-3</v>
      </c>
      <c r="Y360" s="8">
        <f>IF(Tabela1[[#This Row],[Core PCE]]="",#N/A,((Tabela1[[#This Row],[Core PCE]]*1)/W348)-1)</f>
        <v>6.1490092856620659E-2</v>
      </c>
      <c r="Z360" s="8">
        <f t="shared" si="17"/>
        <v>6.6159936557194321E-2</v>
      </c>
      <c r="AA360" s="8">
        <f t="shared" si="16"/>
        <v>6.1641060430710048E-2</v>
      </c>
      <c r="AB360" s="7"/>
      <c r="AC360" s="7"/>
      <c r="AD360" s="8"/>
      <c r="AE360" s="71"/>
      <c r="AF360" s="7"/>
      <c r="AG360" s="5"/>
    </row>
    <row r="361" spans="1:33" ht="12.75">
      <c r="A361" s="6">
        <v>28065</v>
      </c>
      <c r="B361" s="7">
        <v>58.1</v>
      </c>
      <c r="C361" s="8">
        <f>IF(Tabela1[[#This Row],[Consumer Price Index (CPI)]]="",#N/A,((Tabela1[[#This Row],[Consumer Price Index (CPI)]]*1)/B360)-1)</f>
        <v>3.4542314335059832E-3</v>
      </c>
      <c r="D361" s="8">
        <f>IF(Tabela1[[#This Row],[Consumer Price Index (CPI)]]="",#N/A,((Tabela1[[#This Row],[Consumer Price Index (CPI)]]*1)/B349)-1)</f>
        <v>5.0632911392405111E-2</v>
      </c>
      <c r="E361" s="25">
        <v>58.7</v>
      </c>
      <c r="F361" s="8">
        <f>IF(Tabela1[[#This Row],[Core Consumer Price Index]]="",#N/A,((Tabela1[[#This Row],[Core Consumer Price Index]]*1)/E360)-1)</f>
        <v>3.4188034188034067E-3</v>
      </c>
      <c r="G361" s="8">
        <f>IF(Tabela1[[#This Row],[Core Consumer Price Index]]="",#N/A,((Tabela1[[#This Row],[Core Consumer Price Index]]*1)/E349)-1)</f>
        <v>6.3405797101449224E-2</v>
      </c>
      <c r="H361" s="8">
        <f t="shared" si="14"/>
        <v>5.5019158977280824E-2</v>
      </c>
      <c r="I361" s="8">
        <f t="shared" si="15"/>
        <v>5.892980400096981E-2</v>
      </c>
      <c r="J361" s="25">
        <v>53.4</v>
      </c>
      <c r="K361" s="8">
        <f>IF(Tabela1[[#This Row],[Services CPI]]="",#N/A,((Tabela1[[#This Row],[Services CPI]]*1)/J360)-1)</f>
        <v>5.6497175141241307E-3</v>
      </c>
      <c r="L361" s="8">
        <f>IF(Tabela1[[#This Row],[Services CPI]]="",#N/A,((Tabela1[[#This Row],[Services CPI]]*1)/J349)-1)</f>
        <v>7.6612903225806495E-2</v>
      </c>
      <c r="M361" s="7">
        <v>54.1</v>
      </c>
      <c r="N361" s="8">
        <f>IF(Tabela1[[#This Row],[Core-Services CPI]]="",#N/A,((Tabela1[[#This Row],[Core-Services CPI]]*1)/M360)-1)</f>
        <v>5.5762081784387352E-3</v>
      </c>
      <c r="O361" s="8">
        <f>IF(Tabela1[[#This Row],[Core-Services CPI]]="",#N/A,((Tabela1[[#This Row],[Core-Services CPI]]*1)/M349)-1)</f>
        <v>7.3412698412698374E-2</v>
      </c>
      <c r="P361" s="7">
        <v>62.2</v>
      </c>
      <c r="Q361" s="8">
        <f>IF(Tabela1[[#This Row],[Durable Goods CPI]]="",#N/A,((Tabela1[[#This Row],[Durable Goods CPI]]*1)/P360)-1)</f>
        <v>1.6103059581320522E-3</v>
      </c>
      <c r="R361" s="8">
        <f>IF(Tabela1[[#This Row],[Durable Goods CPI]]="",#N/A,((Tabela1[[#This Row],[Durable Goods CPI]]*1)/P349)-1)</f>
        <v>5.7823129251700855E-2</v>
      </c>
      <c r="S361" s="7">
        <v>7.1253815249999999</v>
      </c>
      <c r="T361" s="7">
        <v>28.931999999999999</v>
      </c>
      <c r="U361" s="8">
        <f>IF(Tabela1[[#This Row],[Personal Consumption Expenditures (PCE)]]="",#N/A,((Tabela1[[#This Row],[Personal Consumption Expenditures (PCE)]]*1)/T360)-1)</f>
        <v>4.5484531787089999E-3</v>
      </c>
      <c r="V361" s="8">
        <f>IF(Tabela1[[#This Row],[Personal Consumption Expenditures (PCE)]]="",#N/A,((Tabela1[[#This Row],[Personal Consumption Expenditures (PCE)]]*1)/T349)-1)</f>
        <v>5.0620960127823356E-2</v>
      </c>
      <c r="W361" s="7">
        <v>29.167999999999999</v>
      </c>
      <c r="X361" s="8">
        <f>IF(Tabela1[[#This Row],[Core PCE]]="",#N/A,((Tabela1[[#This Row],[Core PCE]]*1)/W360)-1)</f>
        <v>4.5460807273729475E-3</v>
      </c>
      <c r="Y361" s="8">
        <f>IF(Tabela1[[#This Row],[Core PCE]]="",#N/A,((Tabela1[[#This Row],[Core PCE]]*1)/W349)-1)</f>
        <v>5.9306337388777886E-2</v>
      </c>
      <c r="Z361" s="8">
        <f t="shared" si="17"/>
        <v>6.1235824888065338E-2</v>
      </c>
      <c r="AA361" s="8">
        <f t="shared" si="16"/>
        <v>6.1286192727520117E-2</v>
      </c>
      <c r="AB361" s="7"/>
      <c r="AC361" s="7"/>
      <c r="AD361" s="8"/>
      <c r="AE361" s="71"/>
      <c r="AF361" s="7"/>
      <c r="AG361" s="5"/>
    </row>
    <row r="362" spans="1:33" ht="12.75">
      <c r="A362" s="6">
        <v>28095</v>
      </c>
      <c r="B362" s="7">
        <v>58.4</v>
      </c>
      <c r="C362" s="8">
        <f>IF(Tabela1[[#This Row],[Consumer Price Index (CPI)]]="",#N/A,((Tabela1[[#This Row],[Consumer Price Index (CPI)]]*1)/B361)-1)</f>
        <v>5.1635111876076056E-3</v>
      </c>
      <c r="D362" s="8">
        <f>IF(Tabela1[[#This Row],[Consumer Price Index (CPI)]]="",#N/A,((Tabela1[[#This Row],[Consumer Price Index (CPI)]]*1)/B350)-1)</f>
        <v>5.0359712230215736E-2</v>
      </c>
      <c r="E362" s="25">
        <v>58.9</v>
      </c>
      <c r="F362" s="8">
        <f>IF(Tabela1[[#This Row],[Core Consumer Price Index]]="",#N/A,((Tabela1[[#This Row],[Core Consumer Price Index]]*1)/E361)-1)</f>
        <v>3.4071550255536653E-3</v>
      </c>
      <c r="G362" s="8">
        <f>IF(Tabela1[[#This Row],[Core Consumer Price Index]]="",#N/A,((Tabela1[[#This Row],[Core Consumer Price Index]]*1)/E350)-1)</f>
        <v>6.1261261261261302E-2</v>
      </c>
      <c r="H362" s="8">
        <f t="shared" si="14"/>
        <v>4.7922390478459143E-2</v>
      </c>
      <c r="I362" s="8">
        <f t="shared" si="15"/>
        <v>5.8726570192427996E-2</v>
      </c>
      <c r="J362" s="25">
        <v>53.7</v>
      </c>
      <c r="K362" s="8">
        <f>IF(Tabela1[[#This Row],[Services CPI]]="",#N/A,((Tabela1[[#This Row],[Services CPI]]*1)/J361)-1)</f>
        <v>5.6179775280900124E-3</v>
      </c>
      <c r="L362" s="8">
        <f>IF(Tabela1[[#This Row],[Services CPI]]="",#N/A,((Tabela1[[#This Row],[Services CPI]]*1)/J350)-1)</f>
        <v>7.6152304609218513E-2</v>
      </c>
      <c r="M362" s="7">
        <v>54.2</v>
      </c>
      <c r="N362" s="8">
        <f>IF(Tabela1[[#This Row],[Core-Services CPI]]="",#N/A,((Tabela1[[#This Row],[Core-Services CPI]]*1)/M361)-1)</f>
        <v>1.848428835489857E-3</v>
      </c>
      <c r="O362" s="8">
        <f>IF(Tabela1[[#This Row],[Core-Services CPI]]="",#N/A,((Tabela1[[#This Row],[Core-Services CPI]]*1)/M350)-1)</f>
        <v>6.9033530571992019E-2</v>
      </c>
      <c r="P362" s="7">
        <v>62.6</v>
      </c>
      <c r="Q362" s="8">
        <f>IF(Tabela1[[#This Row],[Durable Goods CPI]]="",#N/A,((Tabela1[[#This Row],[Durable Goods CPI]]*1)/P361)-1)</f>
        <v>6.4308681672025081E-3</v>
      </c>
      <c r="R362" s="8">
        <f>IF(Tabela1[[#This Row],[Durable Goods CPI]]="",#N/A,((Tabela1[[#This Row],[Durable Goods CPI]]*1)/P350)-1)</f>
        <v>6.1016949152542299E-2</v>
      </c>
      <c r="S362" s="7">
        <v>6.9107866820000003</v>
      </c>
      <c r="T362" s="7">
        <v>29.094000000000001</v>
      </c>
      <c r="U362" s="8">
        <f>IF(Tabela1[[#This Row],[Personal Consumption Expenditures (PCE)]]="",#N/A,((Tabela1[[#This Row],[Personal Consumption Expenditures (PCE)]]*1)/T361)-1)</f>
        <v>5.5993363749482494E-3</v>
      </c>
      <c r="V362" s="8">
        <f>IF(Tabela1[[#This Row],[Personal Consumption Expenditures (PCE)]]="",#N/A,((Tabela1[[#This Row],[Personal Consumption Expenditures (PCE)]]*1)/T350)-1)</f>
        <v>5.0704225352112609E-2</v>
      </c>
      <c r="W362" s="7">
        <v>29.326000000000001</v>
      </c>
      <c r="X362" s="8">
        <f>IF(Tabela1[[#This Row],[Core PCE]]="",#N/A,((Tabela1[[#This Row],[Core PCE]]*1)/W361)-1)</f>
        <v>5.4168952276467675E-3</v>
      </c>
      <c r="Y362" s="8">
        <f>IF(Tabela1[[#This Row],[Core PCE]]="",#N/A,((Tabela1[[#This Row],[Core PCE]]*1)/W350)-1)</f>
        <v>5.8623926070319854E-2</v>
      </c>
      <c r="Z362" s="8">
        <f t="shared" si="17"/>
        <v>5.9509964317068231E-2</v>
      </c>
      <c r="AA362" s="8">
        <f t="shared" si="16"/>
        <v>6.3989901882000488E-2</v>
      </c>
      <c r="AB362" s="7"/>
      <c r="AC362" s="7"/>
      <c r="AD362" s="8"/>
      <c r="AE362" s="71"/>
      <c r="AF362" s="7"/>
      <c r="AG362" s="5"/>
    </row>
    <row r="363" spans="1:33" ht="12.75">
      <c r="A363" s="6">
        <v>28126</v>
      </c>
      <c r="B363" s="7">
        <v>58.7</v>
      </c>
      <c r="C363" s="8">
        <f>IF(Tabela1[[#This Row],[Consumer Price Index (CPI)]]="",#N/A,((Tabela1[[#This Row],[Consumer Price Index (CPI)]]*1)/B362)-1)</f>
        <v>5.1369863013699391E-3</v>
      </c>
      <c r="D363" s="8">
        <f>IF(Tabela1[[#This Row],[Consumer Price Index (CPI)]]="",#N/A,((Tabela1[[#This Row],[Consumer Price Index (CPI)]]*1)/B351)-1)</f>
        <v>5.1971326164874654E-2</v>
      </c>
      <c r="E363" s="25">
        <v>59.3</v>
      </c>
      <c r="F363" s="8">
        <f>IF(Tabela1[[#This Row],[Core Consumer Price Index]]="",#N/A,((Tabela1[[#This Row],[Core Consumer Price Index]]*1)/E362)-1)</f>
        <v>6.7911714770798604E-3</v>
      </c>
      <c r="G363" s="8">
        <f>IF(Tabela1[[#This Row],[Core Consumer Price Index]]="",#N/A,((Tabela1[[#This Row],[Core Consumer Price Index]]*1)/E351)-1)</f>
        <v>6.0822898032200312E-2</v>
      </c>
      <c r="H363" s="8">
        <f t="shared" si="14"/>
        <v>5.4468519685747729E-2</v>
      </c>
      <c r="I363" s="8">
        <f t="shared" si="15"/>
        <v>5.8322899160573982E-2</v>
      </c>
      <c r="J363" s="25">
        <v>54.1</v>
      </c>
      <c r="K363" s="8">
        <f>IF(Tabela1[[#This Row],[Services CPI]]="",#N/A,((Tabela1[[#This Row],[Services CPI]]*1)/J362)-1)</f>
        <v>7.4487895716945918E-3</v>
      </c>
      <c r="L363" s="8">
        <f>IF(Tabela1[[#This Row],[Services CPI]]="",#N/A,((Tabela1[[#This Row],[Services CPI]]*1)/J351)-1)</f>
        <v>7.128712871287135E-2</v>
      </c>
      <c r="M363" s="7">
        <v>54.6</v>
      </c>
      <c r="N363" s="8">
        <f>IF(Tabela1[[#This Row],[Core-Services CPI]]="",#N/A,((Tabela1[[#This Row],[Core-Services CPI]]*1)/M362)-1)</f>
        <v>7.3800738007379074E-3</v>
      </c>
      <c r="O363" s="8">
        <f>IF(Tabela1[[#This Row],[Core-Services CPI]]="",#N/A,((Tabela1[[#This Row],[Core-Services CPI]]*1)/M351)-1)</f>
        <v>6.640625E-2</v>
      </c>
      <c r="P363" s="7">
        <v>63</v>
      </c>
      <c r="Q363" s="8">
        <f>IF(Tabela1[[#This Row],[Durable Goods CPI]]="",#N/A,((Tabela1[[#This Row],[Durable Goods CPI]]*1)/P362)-1)</f>
        <v>6.389776357827559E-3</v>
      </c>
      <c r="R363" s="8">
        <f>IF(Tabela1[[#This Row],[Durable Goods CPI]]="",#N/A,((Tabela1[[#This Row],[Durable Goods CPI]]*1)/P351)-1)</f>
        <v>6.5989847715735905E-2</v>
      </c>
      <c r="S363" s="7">
        <v>6.6339418229999998</v>
      </c>
      <c r="T363" s="7">
        <v>29.263000000000002</v>
      </c>
      <c r="U363" s="8">
        <f>IF(Tabela1[[#This Row],[Personal Consumption Expenditures (PCE)]]="",#N/A,((Tabela1[[#This Row],[Personal Consumption Expenditures (PCE)]]*1)/T362)-1)</f>
        <v>5.8087578194816469E-3</v>
      </c>
      <c r="V363" s="8">
        <f>IF(Tabela1[[#This Row],[Personal Consumption Expenditures (PCE)]]="",#N/A,((Tabela1[[#This Row],[Personal Consumption Expenditures (PCE)]]*1)/T351)-1)</f>
        <v>5.2815254542183832E-2</v>
      </c>
      <c r="W363" s="7">
        <v>29.504999999999999</v>
      </c>
      <c r="X363" s="8">
        <f>IF(Tabela1[[#This Row],[Core PCE]]="",#N/A,((Tabela1[[#This Row],[Core PCE]]*1)/W362)-1)</f>
        <v>6.103798676941885E-3</v>
      </c>
      <c r="Y363" s="8">
        <f>IF(Tabela1[[#This Row],[Core PCE]]="",#N/A,((Tabela1[[#This Row],[Core PCE]]*1)/W351)-1)</f>
        <v>5.9653785375664237E-2</v>
      </c>
      <c r="Z363" s="8">
        <f t="shared" si="17"/>
        <v>6.42670985278464E-2</v>
      </c>
      <c r="AA363" s="8">
        <f t="shared" si="16"/>
        <v>6.5213517542520361E-2</v>
      </c>
      <c r="AB363" s="7"/>
      <c r="AC363" s="7"/>
      <c r="AD363" s="8"/>
      <c r="AE363" s="71"/>
      <c r="AF363" s="7"/>
      <c r="AG363" s="5"/>
    </row>
    <row r="364" spans="1:33" ht="12.75">
      <c r="A364" s="6">
        <v>28157</v>
      </c>
      <c r="B364" s="7">
        <v>59.3</v>
      </c>
      <c r="C364" s="8">
        <f>IF(Tabela1[[#This Row],[Consumer Price Index (CPI)]]="",#N/A,((Tabela1[[#This Row],[Consumer Price Index (CPI)]]*1)/B363)-1)</f>
        <v>1.0221465076660996E-2</v>
      </c>
      <c r="D364" s="8">
        <f>IF(Tabela1[[#This Row],[Consumer Price Index (CPI)]]="",#N/A,((Tabela1[[#This Row],[Consumer Price Index (CPI)]]*1)/B352)-1)</f>
        <v>6.0822898032200312E-2</v>
      </c>
      <c r="E364" s="25">
        <v>59.7</v>
      </c>
      <c r="F364" s="8">
        <f>IF(Tabela1[[#This Row],[Core Consumer Price Index]]="",#N/A,((Tabela1[[#This Row],[Core Consumer Price Index]]*1)/E363)-1)</f>
        <v>6.7453625632378778E-3</v>
      </c>
      <c r="G364" s="8">
        <f>IF(Tabela1[[#This Row],[Core Consumer Price Index]]="",#N/A,((Tabela1[[#This Row],[Core Consumer Price Index]]*1)/E352)-1)</f>
        <v>6.2277580071174343E-2</v>
      </c>
      <c r="H364" s="8">
        <f t="shared" si="14"/>
        <v>6.7774756263485614E-2</v>
      </c>
      <c r="I364" s="8">
        <f t="shared" si="15"/>
        <v>6.1396957620383219E-2</v>
      </c>
      <c r="J364" s="25">
        <v>54.4</v>
      </c>
      <c r="K364" s="8">
        <f>IF(Tabela1[[#This Row],[Services CPI]]="",#N/A,((Tabela1[[#This Row],[Services CPI]]*1)/J363)-1)</f>
        <v>5.5452865064693491E-3</v>
      </c>
      <c r="L364" s="8">
        <f>IF(Tabela1[[#This Row],[Services CPI]]="",#N/A,((Tabela1[[#This Row],[Services CPI]]*1)/J352)-1)</f>
        <v>7.0866141732283561E-2</v>
      </c>
      <c r="M364" s="7">
        <v>55</v>
      </c>
      <c r="N364" s="8">
        <f>IF(Tabela1[[#This Row],[Core-Services CPI]]="",#N/A,((Tabela1[[#This Row],[Core-Services CPI]]*1)/M363)-1)</f>
        <v>7.3260073260073E-3</v>
      </c>
      <c r="O364" s="8">
        <f>IF(Tabela1[[#This Row],[Core-Services CPI]]="",#N/A,((Tabela1[[#This Row],[Core-Services CPI]]*1)/M352)-1)</f>
        <v>6.7961165048543659E-2</v>
      </c>
      <c r="P364" s="7">
        <v>63.4</v>
      </c>
      <c r="Q364" s="8">
        <f>IF(Tabela1[[#This Row],[Durable Goods CPI]]="",#N/A,((Tabela1[[#This Row],[Durable Goods CPI]]*1)/P363)-1)</f>
        <v>6.3492063492063266E-3</v>
      </c>
      <c r="R364" s="8">
        <f>IF(Tabela1[[#This Row],[Durable Goods CPI]]="",#N/A,((Tabela1[[#This Row],[Durable Goods CPI]]*1)/P352)-1)</f>
        <v>6.7340067340067256E-2</v>
      </c>
      <c r="S364" s="7">
        <v>6.2186145110000002</v>
      </c>
      <c r="T364" s="7">
        <v>29.492000000000001</v>
      </c>
      <c r="U364" s="8">
        <f>IF(Tabela1[[#This Row],[Personal Consumption Expenditures (PCE)]]="",#N/A,((Tabela1[[#This Row],[Personal Consumption Expenditures (PCE)]]*1)/T363)-1)</f>
        <v>7.8255817927075366E-3</v>
      </c>
      <c r="V364" s="8">
        <f>IF(Tabela1[[#This Row],[Personal Consumption Expenditures (PCE)]]="",#N/A,((Tabela1[[#This Row],[Personal Consumption Expenditures (PCE)]]*1)/T352)-1)</f>
        <v>5.9681649958679195E-2</v>
      </c>
      <c r="W364" s="7">
        <v>29.686</v>
      </c>
      <c r="X364" s="8">
        <f>IF(Tabela1[[#This Row],[Core PCE]]="",#N/A,((Tabela1[[#This Row],[Core PCE]]*1)/W363)-1)</f>
        <v>6.1345534655143918E-3</v>
      </c>
      <c r="Y364" s="8">
        <f>IF(Tabela1[[#This Row],[Core PCE]]="",#N/A,((Tabela1[[#This Row],[Core PCE]]*1)/W352)-1)</f>
        <v>6.1920944374888265E-2</v>
      </c>
      <c r="Z364" s="8">
        <f t="shared" si="17"/>
        <v>7.0620989480412177E-2</v>
      </c>
      <c r="AA364" s="8">
        <f t="shared" si="16"/>
        <v>6.5928407184238758E-2</v>
      </c>
      <c r="AB364" s="7"/>
      <c r="AC364" s="7"/>
      <c r="AD364" s="8"/>
      <c r="AE364" s="71"/>
      <c r="AF364" s="7"/>
      <c r="AG364" s="5"/>
    </row>
    <row r="365" spans="1:33" ht="12.75">
      <c r="A365" s="6">
        <v>28185</v>
      </c>
      <c r="B365" s="7">
        <v>59.6</v>
      </c>
      <c r="C365" s="8">
        <f>IF(Tabela1[[#This Row],[Consumer Price Index (CPI)]]="",#N/A,((Tabela1[[#This Row],[Consumer Price Index (CPI)]]*1)/B364)-1)</f>
        <v>5.0590219224284638E-3</v>
      </c>
      <c r="D365" s="8">
        <f>IF(Tabela1[[#This Row],[Consumer Price Index (CPI)]]="",#N/A,((Tabela1[[#This Row],[Consumer Price Index (CPI)]]*1)/B353)-1)</f>
        <v>6.4285714285714279E-2</v>
      </c>
      <c r="E365" s="25">
        <v>60</v>
      </c>
      <c r="F365" s="8">
        <f>IF(Tabela1[[#This Row],[Core Consumer Price Index]]="",#N/A,((Tabela1[[#This Row],[Core Consumer Price Index]]*1)/E364)-1)</f>
        <v>5.0251256281406143E-3</v>
      </c>
      <c r="G365" s="8">
        <f>IF(Tabela1[[#This Row],[Core Consumer Price Index]]="",#N/A,((Tabela1[[#This Row],[Core Consumer Price Index]]*1)/E353)-1)</f>
        <v>6.1946902654867353E-2</v>
      </c>
      <c r="H365" s="8">
        <f t="shared" si="14"/>
        <v>7.4246638673833409E-2</v>
      </c>
      <c r="I365" s="8">
        <f t="shared" si="15"/>
        <v>6.1084514576146276E-2</v>
      </c>
      <c r="J365" s="25">
        <v>54.8</v>
      </c>
      <c r="K365" s="8">
        <f>IF(Tabela1[[#This Row],[Services CPI]]="",#N/A,((Tabela1[[#This Row],[Services CPI]]*1)/J364)-1)</f>
        <v>7.3529411764705621E-3</v>
      </c>
      <c r="L365" s="8">
        <f>IF(Tabela1[[#This Row],[Services CPI]]="",#N/A,((Tabela1[[#This Row],[Services CPI]]*1)/J353)-1)</f>
        <v>7.2407045009784676E-2</v>
      </c>
      <c r="M365" s="7">
        <v>55.3</v>
      </c>
      <c r="N365" s="8">
        <f>IF(Tabela1[[#This Row],[Core-Services CPI]]="",#N/A,((Tabela1[[#This Row],[Core-Services CPI]]*1)/M364)-1)</f>
        <v>5.4545454545453786E-3</v>
      </c>
      <c r="O365" s="8">
        <f>IF(Tabela1[[#This Row],[Core-Services CPI]]="",#N/A,((Tabela1[[#This Row],[Core-Services CPI]]*1)/M353)-1)</f>
        <v>6.7567567567567544E-2</v>
      </c>
      <c r="P365" s="7">
        <v>63.8</v>
      </c>
      <c r="Q365" s="8">
        <f>IF(Tabela1[[#This Row],[Durable Goods CPI]]="",#N/A,((Tabela1[[#This Row],[Durable Goods CPI]]*1)/P364)-1)</f>
        <v>6.3091482649841879E-3</v>
      </c>
      <c r="R365" s="8">
        <f>IF(Tabela1[[#This Row],[Durable Goods CPI]]="",#N/A,((Tabela1[[#This Row],[Durable Goods CPI]]*1)/P353)-1)</f>
        <v>6.8676716917922764E-2</v>
      </c>
      <c r="S365" s="7">
        <v>6.0623023089999997</v>
      </c>
      <c r="T365" s="7">
        <v>29.64</v>
      </c>
      <c r="U365" s="8">
        <f>IF(Tabela1[[#This Row],[Personal Consumption Expenditures (PCE)]]="",#N/A,((Tabela1[[#This Row],[Personal Consumption Expenditures (PCE)]]*1)/T364)-1)</f>
        <v>5.0183100501830502E-3</v>
      </c>
      <c r="V365" s="8">
        <f>IF(Tabela1[[#This Row],[Personal Consumption Expenditures (PCE)]]="",#N/A,((Tabela1[[#This Row],[Personal Consumption Expenditures (PCE)]]*1)/T353)-1)</f>
        <v>6.3394683026584797E-2</v>
      </c>
      <c r="W365" s="7">
        <v>29.812000000000001</v>
      </c>
      <c r="X365" s="8">
        <f>IF(Tabela1[[#This Row],[Core PCE]]="",#N/A,((Tabela1[[#This Row],[Core PCE]]*1)/W364)-1)</f>
        <v>4.2444249814728163E-3</v>
      </c>
      <c r="Y365" s="8">
        <f>IF(Tabela1[[#This Row],[Core PCE]]="",#N/A,((Tabela1[[#This Row],[Core PCE]]*1)/W353)-1)</f>
        <v>6.2930081648661096E-2</v>
      </c>
      <c r="Z365" s="8">
        <f t="shared" si="17"/>
        <v>6.5931108495716373E-2</v>
      </c>
      <c r="AA365" s="8">
        <f t="shared" si="16"/>
        <v>6.2720536406392302E-2</v>
      </c>
      <c r="AB365" s="7"/>
      <c r="AC365" s="7"/>
      <c r="AD365" s="8"/>
      <c r="AE365" s="71"/>
      <c r="AF365" s="7"/>
      <c r="AG365" s="5"/>
    </row>
    <row r="366" spans="1:33" ht="12.75">
      <c r="A366" s="6">
        <v>28216</v>
      </c>
      <c r="B366" s="7">
        <v>60</v>
      </c>
      <c r="C366" s="8">
        <f>IF(Tabela1[[#This Row],[Consumer Price Index (CPI)]]="",#N/A,((Tabela1[[#This Row],[Consumer Price Index (CPI)]]*1)/B365)-1)</f>
        <v>6.7114093959730337E-3</v>
      </c>
      <c r="D366" s="8">
        <f>IF(Tabela1[[#This Row],[Consumer Price Index (CPI)]]="",#N/A,((Tabela1[[#This Row],[Consumer Price Index (CPI)]]*1)/B354)-1)</f>
        <v>6.9518716577540163E-2</v>
      </c>
      <c r="E366" s="25">
        <v>60.3</v>
      </c>
      <c r="F366" s="8">
        <f>IF(Tabela1[[#This Row],[Core Consumer Price Index]]="",#N/A,((Tabela1[[#This Row],[Core Consumer Price Index]]*1)/E365)-1)</f>
        <v>4.9999999999998934E-3</v>
      </c>
      <c r="G366" s="8">
        <f>IF(Tabela1[[#This Row],[Core Consumer Price Index]]="",#N/A,((Tabela1[[#This Row],[Core Consumer Price Index]]*1)/E354)-1)</f>
        <v>6.3492063492063489E-2</v>
      </c>
      <c r="H366" s="8">
        <f t="shared" si="14"/>
        <v>6.7081952765513542E-2</v>
      </c>
      <c r="I366" s="8">
        <f t="shared" si="15"/>
        <v>6.0775236225630636E-2</v>
      </c>
      <c r="J366" s="25">
        <v>55.2</v>
      </c>
      <c r="K366" s="8">
        <f>IF(Tabela1[[#This Row],[Services CPI]]="",#N/A,((Tabela1[[#This Row],[Services CPI]]*1)/J365)-1)</f>
        <v>7.2992700729928028E-3</v>
      </c>
      <c r="L366" s="8">
        <f>IF(Tabela1[[#This Row],[Services CPI]]="",#N/A,((Tabela1[[#This Row],[Services CPI]]*1)/J354)-1)</f>
        <v>7.6023391812865659E-2</v>
      </c>
      <c r="M366" s="7">
        <v>55.7</v>
      </c>
      <c r="N366" s="8">
        <f>IF(Tabela1[[#This Row],[Core-Services CPI]]="",#N/A,((Tabela1[[#This Row],[Core-Services CPI]]*1)/M365)-1)</f>
        <v>7.2332730560580316E-3</v>
      </c>
      <c r="O366" s="8">
        <f>IF(Tabela1[[#This Row],[Core-Services CPI]]="",#N/A,((Tabela1[[#This Row],[Core-Services CPI]]*1)/M354)-1)</f>
        <v>7.1153846153846123E-2</v>
      </c>
      <c r="P366" s="7">
        <v>64.099999999999994</v>
      </c>
      <c r="Q366" s="8">
        <f>IF(Tabela1[[#This Row],[Durable Goods CPI]]="",#N/A,((Tabela1[[#This Row],[Durable Goods CPI]]*1)/P365)-1)</f>
        <v>4.7021943573666292E-3</v>
      </c>
      <c r="R366" s="8">
        <f>IF(Tabela1[[#This Row],[Durable Goods CPI]]="",#N/A,((Tabela1[[#This Row],[Durable Goods CPI]]*1)/P354)-1)</f>
        <v>6.8333333333333135E-2</v>
      </c>
      <c r="S366" s="7">
        <v>6.0633995870000001</v>
      </c>
      <c r="T366" s="7">
        <v>29.812000000000001</v>
      </c>
      <c r="U366" s="8">
        <f>IF(Tabela1[[#This Row],[Personal Consumption Expenditures (PCE)]]="",#N/A,((Tabela1[[#This Row],[Personal Consumption Expenditures (PCE)]]*1)/T365)-1)</f>
        <v>5.8029689608636303E-3</v>
      </c>
      <c r="V366" s="8">
        <f>IF(Tabela1[[#This Row],[Personal Consumption Expenditures (PCE)]]="",#N/A,((Tabela1[[#This Row],[Personal Consumption Expenditures (PCE)]]*1)/T354)-1)</f>
        <v>6.7153493699885436E-2</v>
      </c>
      <c r="W366" s="7">
        <v>29.959</v>
      </c>
      <c r="X366" s="8">
        <f>IF(Tabela1[[#This Row],[Core PCE]]="",#N/A,((Tabela1[[#This Row],[Core PCE]]*1)/W365)-1)</f>
        <v>4.9309003086004388E-3</v>
      </c>
      <c r="Y366" s="8">
        <f>IF(Tabela1[[#This Row],[Core PCE]]="",#N/A,((Tabela1[[#This Row],[Core PCE]]*1)/W354)-1)</f>
        <v>6.3998295272933881E-2</v>
      </c>
      <c r="Z366" s="8">
        <f t="shared" si="17"/>
        <v>6.1239515022350588E-2</v>
      </c>
      <c r="AA366" s="8">
        <f t="shared" si="16"/>
        <v>6.2753306775098494E-2</v>
      </c>
      <c r="AB366" s="7"/>
      <c r="AC366" s="7"/>
      <c r="AD366" s="8"/>
      <c r="AE366" s="71"/>
      <c r="AF366" s="7"/>
      <c r="AG366" s="5"/>
    </row>
    <row r="367" spans="1:33" ht="12.75">
      <c r="A367" s="6">
        <v>28246</v>
      </c>
      <c r="B367" s="7">
        <v>60.2</v>
      </c>
      <c r="C367" s="8">
        <f>IF(Tabela1[[#This Row],[Consumer Price Index (CPI)]]="",#N/A,((Tabela1[[#This Row],[Consumer Price Index (CPI)]]*1)/B366)-1)</f>
        <v>3.3333333333334103E-3</v>
      </c>
      <c r="D367" s="8">
        <f>IF(Tabela1[[#This Row],[Consumer Price Index (CPI)]]="",#N/A,((Tabela1[[#This Row],[Consumer Price Index (CPI)]]*1)/B355)-1)</f>
        <v>6.7375886524822848E-2</v>
      </c>
      <c r="E367" s="25">
        <v>60.6</v>
      </c>
      <c r="F367" s="8">
        <f>IF(Tabela1[[#This Row],[Core Consumer Price Index]]="",#N/A,((Tabela1[[#This Row],[Core Consumer Price Index]]*1)/E366)-1)</f>
        <v>4.9751243781095411E-3</v>
      </c>
      <c r="G367" s="8">
        <f>IF(Tabela1[[#This Row],[Core Consumer Price Index]]="",#N/A,((Tabela1[[#This Row],[Core Consumer Price Index]]*1)/E355)-1)</f>
        <v>6.315789473684208E-2</v>
      </c>
      <c r="H367" s="8">
        <f t="shared" si="14"/>
        <v>6.0001000025000195E-2</v>
      </c>
      <c r="I367" s="8">
        <f t="shared" si="15"/>
        <v>6.3887878144242904E-2</v>
      </c>
      <c r="J367" s="25">
        <v>55.4</v>
      </c>
      <c r="K367" s="8">
        <f>IF(Tabela1[[#This Row],[Services CPI]]="",#N/A,((Tabela1[[#This Row],[Services CPI]]*1)/J366)-1)</f>
        <v>3.6231884057971175E-3</v>
      </c>
      <c r="L367" s="8">
        <f>IF(Tabela1[[#This Row],[Services CPI]]="",#N/A,((Tabela1[[#This Row],[Services CPI]]*1)/J355)-1)</f>
        <v>7.7821011673151697E-2</v>
      </c>
      <c r="M367" s="7">
        <v>56</v>
      </c>
      <c r="N367" s="8">
        <f>IF(Tabela1[[#This Row],[Core-Services CPI]]="",#N/A,((Tabela1[[#This Row],[Core-Services CPI]]*1)/M366)-1)</f>
        <v>5.3859964093356805E-3</v>
      </c>
      <c r="O367" s="8">
        <f>IF(Tabela1[[#This Row],[Core-Services CPI]]="",#N/A,((Tabela1[[#This Row],[Core-Services CPI]]*1)/M355)-1)</f>
        <v>7.2796934865900331E-2</v>
      </c>
      <c r="P367" s="7">
        <v>64.3</v>
      </c>
      <c r="Q367" s="8">
        <f>IF(Tabela1[[#This Row],[Durable Goods CPI]]="",#N/A,((Tabela1[[#This Row],[Durable Goods CPI]]*1)/P366)-1)</f>
        <v>3.1201248049923525E-3</v>
      </c>
      <c r="R367" s="8">
        <f>IF(Tabela1[[#This Row],[Durable Goods CPI]]="",#N/A,((Tabela1[[#This Row],[Durable Goods CPI]]*1)/P355)-1)</f>
        <v>6.4569536423841001E-2</v>
      </c>
      <c r="S367" s="7">
        <v>6.1122292509999996</v>
      </c>
      <c r="T367" s="7">
        <v>29.963000000000001</v>
      </c>
      <c r="U367" s="8">
        <f>IF(Tabela1[[#This Row],[Personal Consumption Expenditures (PCE)]]="",#N/A,((Tabela1[[#This Row],[Personal Consumption Expenditures (PCE)]]*1)/T366)-1)</f>
        <v>5.0650744666576042E-3</v>
      </c>
      <c r="V367" s="8">
        <f>IF(Tabela1[[#This Row],[Personal Consumption Expenditures (PCE)]]="",#N/A,((Tabela1[[#This Row],[Personal Consumption Expenditures (PCE)]]*1)/T355)-1)</f>
        <v>6.7476575581602471E-2</v>
      </c>
      <c r="W367" s="7">
        <v>30.111999999999998</v>
      </c>
      <c r="X367" s="8">
        <f>IF(Tabela1[[#This Row],[Core PCE]]="",#N/A,((Tabela1[[#This Row],[Core PCE]]*1)/W366)-1)</f>
        <v>5.1069795387028716E-3</v>
      </c>
      <c r="Y367" s="8">
        <f>IF(Tabela1[[#This Row],[Core PCE]]="",#N/A,((Tabela1[[#This Row],[Core PCE]]*1)/W355)-1)</f>
        <v>6.4404383174266444E-2</v>
      </c>
      <c r="Z367" s="8">
        <f t="shared" si="17"/>
        <v>5.7129219315104507E-2</v>
      </c>
      <c r="AA367" s="8">
        <f t="shared" si="16"/>
        <v>6.3875104397758342E-2</v>
      </c>
      <c r="AB367" s="7"/>
      <c r="AC367" s="7"/>
      <c r="AD367" s="8"/>
      <c r="AE367" s="71"/>
      <c r="AF367" s="7"/>
      <c r="AG367" s="5"/>
    </row>
    <row r="368" spans="1:33" ht="12.75">
      <c r="A368" s="6">
        <v>28277</v>
      </c>
      <c r="B368" s="7">
        <v>60.5</v>
      </c>
      <c r="C368" s="8">
        <f>IF(Tabela1[[#This Row],[Consumer Price Index (CPI)]]="",#N/A,((Tabela1[[#This Row],[Consumer Price Index (CPI)]]*1)/B367)-1)</f>
        <v>4.983388704318914E-3</v>
      </c>
      <c r="D368" s="8">
        <f>IF(Tabela1[[#This Row],[Consumer Price Index (CPI)]]="",#N/A,((Tabela1[[#This Row],[Consumer Price Index (CPI)]]*1)/B356)-1)</f>
        <v>6.7019400352733571E-2</v>
      </c>
      <c r="E368" s="25">
        <v>61</v>
      </c>
      <c r="F368" s="8">
        <f>IF(Tabela1[[#This Row],[Core Consumer Price Index]]="",#N/A,((Tabela1[[#This Row],[Core Consumer Price Index]]*1)/E367)-1)</f>
        <v>6.6006600660066805E-3</v>
      </c>
      <c r="G368" s="8">
        <f>IF(Tabela1[[#This Row],[Core Consumer Price Index]]="",#N/A,((Tabela1[[#This Row],[Core Consumer Price Index]]*1)/E356)-1)</f>
        <v>6.643356643356646E-2</v>
      </c>
      <c r="H368" s="8">
        <f t="shared" si="14"/>
        <v>6.630313777646446E-2</v>
      </c>
      <c r="I368" s="8">
        <f t="shared" si="15"/>
        <v>7.0274888225148935E-2</v>
      </c>
      <c r="J368" s="25">
        <v>55.8</v>
      </c>
      <c r="K368" s="8">
        <f>IF(Tabela1[[#This Row],[Services CPI]]="",#N/A,((Tabela1[[#This Row],[Services CPI]]*1)/J367)-1)</f>
        <v>7.2202166064980755E-3</v>
      </c>
      <c r="L368" s="8">
        <f>IF(Tabela1[[#This Row],[Services CPI]]="",#N/A,((Tabela1[[#This Row],[Services CPI]]*1)/J356)-1)</f>
        <v>7.9303675048355782E-2</v>
      </c>
      <c r="M368" s="7">
        <v>56.5</v>
      </c>
      <c r="N368" s="8">
        <f>IF(Tabela1[[#This Row],[Core-Services CPI]]="",#N/A,((Tabela1[[#This Row],[Core-Services CPI]]*1)/M367)-1)</f>
        <v>8.9285714285713969E-3</v>
      </c>
      <c r="O368" s="8">
        <f>IF(Tabela1[[#This Row],[Core-Services CPI]]="",#N/A,((Tabela1[[#This Row],[Core-Services CPI]]*1)/M356)-1)</f>
        <v>7.6190476190476142E-2</v>
      </c>
      <c r="P368" s="7">
        <v>64.400000000000006</v>
      </c>
      <c r="Q368" s="8">
        <f>IF(Tabela1[[#This Row],[Durable Goods CPI]]="",#N/A,((Tabela1[[#This Row],[Durable Goods CPI]]*1)/P367)-1)</f>
        <v>1.5552099533437946E-3</v>
      </c>
      <c r="R368" s="8">
        <f>IF(Tabela1[[#This Row],[Durable Goods CPI]]="",#N/A,((Tabela1[[#This Row],[Durable Goods CPI]]*1)/P356)-1)</f>
        <v>6.0955518945634335E-2</v>
      </c>
      <c r="S368" s="7">
        <v>6.5911595209999998</v>
      </c>
      <c r="T368" s="7">
        <v>30.131</v>
      </c>
      <c r="U368" s="8">
        <f>IF(Tabela1[[#This Row],[Personal Consumption Expenditures (PCE)]]="",#N/A,((Tabela1[[#This Row],[Personal Consumption Expenditures (PCE)]]*1)/T367)-1)</f>
        <v>5.6069151954076801E-3</v>
      </c>
      <c r="V368" s="8">
        <f>IF(Tabela1[[#This Row],[Personal Consumption Expenditures (PCE)]]="",#N/A,((Tabela1[[#This Row],[Personal Consumption Expenditures (PCE)]]*1)/T356)-1)</f>
        <v>6.8778376844494948E-2</v>
      </c>
      <c r="W368" s="7">
        <v>30.292000000000002</v>
      </c>
      <c r="X368" s="8">
        <f>IF(Tabela1[[#This Row],[Core PCE]]="",#N/A,((Tabela1[[#This Row],[Core PCE]]*1)/W367)-1)</f>
        <v>5.9776833156217624E-3</v>
      </c>
      <c r="Y368" s="8">
        <f>IF(Tabela1[[#This Row],[Core PCE]]="",#N/A,((Tabela1[[#This Row],[Core PCE]]*1)/W356)-1)</f>
        <v>6.6431966203133186E-2</v>
      </c>
      <c r="Z368" s="8">
        <f t="shared" si="17"/>
        <v>6.4062252651700291E-2</v>
      </c>
      <c r="AA368" s="8">
        <f t="shared" si="16"/>
        <v>6.4996680573708332E-2</v>
      </c>
      <c r="AB368" s="7"/>
      <c r="AC368" s="7"/>
      <c r="AD368" s="8"/>
      <c r="AE368" s="71"/>
      <c r="AF368" s="7"/>
      <c r="AG368" s="5"/>
    </row>
    <row r="369" spans="1:33" ht="12.75">
      <c r="A369" s="6">
        <v>28307</v>
      </c>
      <c r="B369" s="7">
        <v>60.8</v>
      </c>
      <c r="C369" s="8">
        <f>IF(Tabela1[[#This Row],[Consumer Price Index (CPI)]]="",#N/A,((Tabela1[[#This Row],[Consumer Price Index (CPI)]]*1)/B368)-1)</f>
        <v>4.9586776859502635E-3</v>
      </c>
      <c r="D369" s="8">
        <f>IF(Tabela1[[#This Row],[Consumer Price Index (CPI)]]="",#N/A,((Tabela1[[#This Row],[Consumer Price Index (CPI)]]*1)/B357)-1)</f>
        <v>6.6666666666666652E-2</v>
      </c>
      <c r="E369" s="25">
        <v>61.2</v>
      </c>
      <c r="F369" s="8">
        <f>IF(Tabela1[[#This Row],[Core Consumer Price Index]]="",#N/A,((Tabela1[[#This Row],[Core Consumer Price Index]]*1)/E368)-1)</f>
        <v>3.2786885245901232E-3</v>
      </c>
      <c r="G369" s="8">
        <f>IF(Tabela1[[#This Row],[Core Consumer Price Index]]="",#N/A,((Tabela1[[#This Row],[Core Consumer Price Index]]*1)/E357)-1)</f>
        <v>6.25E-2</v>
      </c>
      <c r="H369" s="8">
        <f t="shared" si="14"/>
        <v>5.9417891874825379E-2</v>
      </c>
      <c r="I369" s="8">
        <f t="shared" si="15"/>
        <v>6.324992232016946E-2</v>
      </c>
      <c r="J369" s="25">
        <v>56.3</v>
      </c>
      <c r="K369" s="8">
        <f>IF(Tabela1[[#This Row],[Services CPI]]="",#N/A,((Tabela1[[#This Row],[Services CPI]]*1)/J368)-1)</f>
        <v>8.960573476702427E-3</v>
      </c>
      <c r="L369" s="8">
        <f>IF(Tabela1[[#This Row],[Services CPI]]="",#N/A,((Tabela1[[#This Row],[Services CPI]]*1)/J357)-1)</f>
        <v>8.0614203454894451E-2</v>
      </c>
      <c r="M369" s="7">
        <v>56.9</v>
      </c>
      <c r="N369" s="8">
        <f>IF(Tabela1[[#This Row],[Core-Services CPI]]="",#N/A,((Tabela1[[#This Row],[Core-Services CPI]]*1)/M368)-1)</f>
        <v>7.0796460176991705E-3</v>
      </c>
      <c r="O369" s="8">
        <f>IF(Tabela1[[#This Row],[Core-Services CPI]]="",#N/A,((Tabela1[[#This Row],[Core-Services CPI]]*1)/M357)-1)</f>
        <v>7.5614366729678695E-2</v>
      </c>
      <c r="P369" s="7">
        <v>64.5</v>
      </c>
      <c r="Q369" s="8">
        <f>IF(Tabela1[[#This Row],[Durable Goods CPI]]="",#N/A,((Tabela1[[#This Row],[Durable Goods CPI]]*1)/P368)-1)</f>
        <v>1.5527950310558758E-3</v>
      </c>
      <c r="R369" s="8">
        <f>IF(Tabela1[[#This Row],[Durable Goods CPI]]="",#N/A,((Tabela1[[#This Row],[Durable Goods CPI]]*1)/P357)-1)</f>
        <v>5.5646481178396101E-2</v>
      </c>
      <c r="S369" s="7">
        <v>6.7515449869999999</v>
      </c>
      <c r="T369" s="7">
        <v>30.286999999999999</v>
      </c>
      <c r="U369" s="8">
        <f>IF(Tabela1[[#This Row],[Personal Consumption Expenditures (PCE)]]="",#N/A,((Tabela1[[#This Row],[Personal Consumption Expenditures (PCE)]]*1)/T368)-1)</f>
        <v>5.1773920546944741E-3</v>
      </c>
      <c r="V369" s="8">
        <f>IF(Tabela1[[#This Row],[Personal Consumption Expenditures (PCE)]]="",#N/A,((Tabela1[[#This Row],[Personal Consumption Expenditures (PCE)]]*1)/T357)-1)</f>
        <v>6.889006529027708E-2</v>
      </c>
      <c r="W369" s="7">
        <v>30.478999999999999</v>
      </c>
      <c r="X369" s="8">
        <f>IF(Tabela1[[#This Row],[Core PCE]]="",#N/A,((Tabela1[[#This Row],[Core PCE]]*1)/W368)-1)</f>
        <v>6.1732470619304536E-3</v>
      </c>
      <c r="Y369" s="8">
        <f>IF(Tabela1[[#This Row],[Core PCE]]="",#N/A,((Tabela1[[#This Row],[Core PCE]]*1)/W357)-1)</f>
        <v>6.7154511396659844E-2</v>
      </c>
      <c r="Z369" s="8">
        <f t="shared" si="17"/>
        <v>6.903163966502035E-2</v>
      </c>
      <c r="AA369" s="8">
        <f t="shared" si="16"/>
        <v>6.5135577343685469E-2</v>
      </c>
      <c r="AB369" s="7"/>
      <c r="AC369" s="7"/>
      <c r="AD369" s="8"/>
      <c r="AE369" s="71"/>
      <c r="AF369" s="7"/>
      <c r="AG369" s="5"/>
    </row>
    <row r="370" spans="1:33" ht="12.75">
      <c r="A370" s="6">
        <v>28338</v>
      </c>
      <c r="B370" s="7">
        <v>61.1</v>
      </c>
      <c r="C370" s="8">
        <f>IF(Tabela1[[#This Row],[Consumer Price Index (CPI)]]="",#N/A,((Tabela1[[#This Row],[Consumer Price Index (CPI)]]*1)/B369)-1)</f>
        <v>4.9342105263159297E-3</v>
      </c>
      <c r="D370" s="8">
        <f>IF(Tabela1[[#This Row],[Consumer Price Index (CPI)]]="",#N/A,((Tabela1[[#This Row],[Consumer Price Index (CPI)]]*1)/B358)-1)</f>
        <v>6.6317626527050644E-2</v>
      </c>
      <c r="E370" s="25">
        <v>61.5</v>
      </c>
      <c r="F370" s="8">
        <f>IF(Tabela1[[#This Row],[Core Consumer Price Index]]="",#N/A,((Tabela1[[#This Row],[Core Consumer Price Index]]*1)/E369)-1)</f>
        <v>4.9019607843137081E-3</v>
      </c>
      <c r="G370" s="8">
        <f>IF(Tabela1[[#This Row],[Core Consumer Price Index]]="",#N/A,((Tabela1[[#This Row],[Core Consumer Price Index]]*1)/E358)-1)</f>
        <v>6.2176165803108807E-2</v>
      </c>
      <c r="H370" s="8">
        <f t="shared" si="14"/>
        <v>5.9125237499642047E-2</v>
      </c>
      <c r="I370" s="8">
        <f t="shared" si="15"/>
        <v>5.9563118762321121E-2</v>
      </c>
      <c r="J370" s="25">
        <v>56.6</v>
      </c>
      <c r="K370" s="8">
        <f>IF(Tabela1[[#This Row],[Services CPI]]="",#N/A,((Tabela1[[#This Row],[Services CPI]]*1)/J369)-1)</f>
        <v>5.3285968028420339E-3</v>
      </c>
      <c r="L370" s="8">
        <f>IF(Tabela1[[#This Row],[Services CPI]]="",#N/A,((Tabela1[[#This Row],[Services CPI]]*1)/J358)-1)</f>
        <v>8.0152671755725269E-2</v>
      </c>
      <c r="M370" s="7">
        <v>57.2</v>
      </c>
      <c r="N370" s="8">
        <f>IF(Tabela1[[#This Row],[Core-Services CPI]]="",#N/A,((Tabela1[[#This Row],[Core-Services CPI]]*1)/M369)-1)</f>
        <v>5.2724077328647478E-3</v>
      </c>
      <c r="O370" s="8">
        <f>IF(Tabela1[[#This Row],[Core-Services CPI]]="",#N/A,((Tabela1[[#This Row],[Core-Services CPI]]*1)/M358)-1)</f>
        <v>7.5187969924812137E-2</v>
      </c>
      <c r="P370" s="7">
        <v>64.599999999999994</v>
      </c>
      <c r="Q370" s="8">
        <f>IF(Tabela1[[#This Row],[Durable Goods CPI]]="",#N/A,((Tabela1[[#This Row],[Durable Goods CPI]]*1)/P369)-1)</f>
        <v>1.5503875968991832E-3</v>
      </c>
      <c r="R370" s="8">
        <f>IF(Tabela1[[#This Row],[Durable Goods CPI]]="",#N/A,((Tabela1[[#This Row],[Durable Goods CPI]]*1)/P358)-1)</f>
        <v>5.0406504065040547E-2</v>
      </c>
      <c r="S370" s="7">
        <v>6.9309568329999998</v>
      </c>
      <c r="T370" s="7">
        <v>30.428000000000001</v>
      </c>
      <c r="U370" s="8">
        <f>IF(Tabela1[[#This Row],[Personal Consumption Expenditures (PCE)]]="",#N/A,((Tabela1[[#This Row],[Personal Consumption Expenditures (PCE)]]*1)/T369)-1)</f>
        <v>4.655462739789451E-3</v>
      </c>
      <c r="V370" s="8">
        <f>IF(Tabela1[[#This Row],[Personal Consumption Expenditures (PCE)]]="",#N/A,((Tabela1[[#This Row],[Personal Consumption Expenditures (PCE)]]*1)/T358)-1)</f>
        <v>6.7986381664385309E-2</v>
      </c>
      <c r="W370" s="7">
        <v>30.629000000000001</v>
      </c>
      <c r="X370" s="8">
        <f>IF(Tabela1[[#This Row],[Core PCE]]="",#N/A,((Tabela1[[#This Row],[Core PCE]]*1)/W369)-1)</f>
        <v>4.9214213064734391E-3</v>
      </c>
      <c r="Y370" s="8">
        <f>IF(Tabela1[[#This Row],[Core PCE]]="",#N/A,((Tabela1[[#This Row],[Core PCE]]*1)/W358)-1)</f>
        <v>6.6246605862285035E-2</v>
      </c>
      <c r="Z370" s="8">
        <f t="shared" si="17"/>
        <v>6.828940673610262E-2</v>
      </c>
      <c r="AA370" s="8">
        <f t="shared" si="16"/>
        <v>6.2709313025603564E-2</v>
      </c>
      <c r="AB370" s="7"/>
      <c r="AC370" s="7"/>
      <c r="AD370" s="8"/>
      <c r="AE370" s="71"/>
      <c r="AF370" s="7"/>
      <c r="AG370" s="5"/>
    </row>
    <row r="371" spans="1:33" ht="12.75">
      <c r="A371" s="6">
        <v>28369</v>
      </c>
      <c r="B371" s="7">
        <v>61.3</v>
      </c>
      <c r="C371" s="8">
        <f>IF(Tabela1[[#This Row],[Consumer Price Index (CPI)]]="",#N/A,((Tabela1[[#This Row],[Consumer Price Index (CPI)]]*1)/B370)-1)</f>
        <v>3.2733224222585289E-3</v>
      </c>
      <c r="D371" s="8">
        <f>IF(Tabela1[[#This Row],[Consumer Price Index (CPI)]]="",#N/A,((Tabela1[[#This Row],[Consumer Price Index (CPI)]]*1)/B359)-1)</f>
        <v>6.4236111111110938E-2</v>
      </c>
      <c r="E371" s="25">
        <v>61.8</v>
      </c>
      <c r="F371" s="8">
        <f>IF(Tabela1[[#This Row],[Core Consumer Price Index]]="",#N/A,((Tabela1[[#This Row],[Core Consumer Price Index]]*1)/E370)-1)</f>
        <v>4.8780487804878092E-3</v>
      </c>
      <c r="G371" s="8">
        <f>IF(Tabela1[[#This Row],[Core Consumer Price Index]]="",#N/A,((Tabela1[[#This Row],[Core Consumer Price Index]]*1)/E359)-1)</f>
        <v>6.1855670103092786E-2</v>
      </c>
      <c r="H371" s="8">
        <f t="shared" si="14"/>
        <v>5.2234792357566562E-2</v>
      </c>
      <c r="I371" s="8">
        <f t="shared" si="15"/>
        <v>5.9268965067015511E-2</v>
      </c>
      <c r="J371" s="25">
        <v>56.9</v>
      </c>
      <c r="K371" s="8">
        <f>IF(Tabela1[[#This Row],[Services CPI]]="",#N/A,((Tabela1[[#This Row],[Services CPI]]*1)/J370)-1)</f>
        <v>5.300353356890497E-3</v>
      </c>
      <c r="L371" s="8">
        <f>IF(Tabela1[[#This Row],[Services CPI]]="",#N/A,((Tabela1[[#This Row],[Services CPI]]*1)/J359)-1)</f>
        <v>7.7651515151515138E-2</v>
      </c>
      <c r="M371" s="7">
        <v>57.5</v>
      </c>
      <c r="N371" s="8">
        <f>IF(Tabela1[[#This Row],[Core-Services CPI]]="",#N/A,((Tabela1[[#This Row],[Core-Services CPI]]*1)/M370)-1)</f>
        <v>5.2447552447552059E-3</v>
      </c>
      <c r="O371" s="8">
        <f>IF(Tabela1[[#This Row],[Core-Services CPI]]="",#N/A,((Tabela1[[#This Row],[Core-Services CPI]]*1)/M359)-1)</f>
        <v>7.4766355140186924E-2</v>
      </c>
      <c r="P371" s="7">
        <v>64.8</v>
      </c>
      <c r="Q371" s="8">
        <f>IF(Tabela1[[#This Row],[Durable Goods CPI]]="",#N/A,((Tabela1[[#This Row],[Durable Goods CPI]]*1)/P370)-1)</f>
        <v>3.0959752321981782E-3</v>
      </c>
      <c r="R371" s="8">
        <f>IF(Tabela1[[#This Row],[Durable Goods CPI]]="",#N/A,((Tabela1[[#This Row],[Durable Goods CPI]]*1)/P359)-1)</f>
        <v>4.8543689320388328E-2</v>
      </c>
      <c r="S371" s="7">
        <v>6.8922193319999998</v>
      </c>
      <c r="T371" s="7">
        <v>30.542999999999999</v>
      </c>
      <c r="U371" s="8">
        <f>IF(Tabela1[[#This Row],[Personal Consumption Expenditures (PCE)]]="",#N/A,((Tabela1[[#This Row],[Personal Consumption Expenditures (PCE)]]*1)/T370)-1)</f>
        <v>3.7794136979096837E-3</v>
      </c>
      <c r="V371" s="8">
        <f>IF(Tabela1[[#This Row],[Personal Consumption Expenditures (PCE)]]="",#N/A,((Tabela1[[#This Row],[Personal Consumption Expenditures (PCE)]]*1)/T359)-1)</f>
        <v>6.6036089490768113E-2</v>
      </c>
      <c r="W371" s="7">
        <v>30.757999999999999</v>
      </c>
      <c r="X371" s="8">
        <f>IF(Tabela1[[#This Row],[Core PCE]]="",#N/A,((Tabela1[[#This Row],[Core PCE]]*1)/W370)-1)</f>
        <v>4.2116947990464837E-3</v>
      </c>
      <c r="Y371" s="8">
        <f>IF(Tabela1[[#This Row],[Core PCE]]="",#N/A,((Tabela1[[#This Row],[Core PCE]]*1)/W359)-1)</f>
        <v>6.4511663321104695E-2</v>
      </c>
      <c r="Z371" s="8">
        <f t="shared" si="17"/>
        <v>6.1225452669801506E-2</v>
      </c>
      <c r="AA371" s="8">
        <f t="shared" si="16"/>
        <v>6.2643852660750898E-2</v>
      </c>
      <c r="AB371" s="7"/>
      <c r="AC371" s="7"/>
      <c r="AD371" s="8"/>
      <c r="AE371" s="71"/>
      <c r="AF371" s="7"/>
      <c r="AG371" s="5"/>
    </row>
    <row r="372" spans="1:33" ht="12.75">
      <c r="A372" s="6">
        <v>28399</v>
      </c>
      <c r="B372" s="7">
        <v>61.6</v>
      </c>
      <c r="C372" s="8">
        <f>IF(Tabela1[[#This Row],[Consumer Price Index (CPI)]]="",#N/A,((Tabela1[[#This Row],[Consumer Price Index (CPI)]]*1)/B371)-1)</f>
        <v>4.8939641109300158E-3</v>
      </c>
      <c r="D372" s="8">
        <f>IF(Tabela1[[#This Row],[Consumer Price Index (CPI)]]="",#N/A,((Tabela1[[#This Row],[Consumer Price Index (CPI)]]*1)/B360)-1)</f>
        <v>6.390328151986191E-2</v>
      </c>
      <c r="E372" s="25">
        <v>62</v>
      </c>
      <c r="F372" s="8">
        <f>IF(Tabela1[[#This Row],[Core Consumer Price Index]]="",#N/A,((Tabela1[[#This Row],[Core Consumer Price Index]]*1)/E371)-1)</f>
        <v>3.2362459546926292E-3</v>
      </c>
      <c r="G372" s="8">
        <f>IF(Tabela1[[#This Row],[Core Consumer Price Index]]="",#N/A,((Tabela1[[#This Row],[Core Consumer Price Index]]*1)/E360)-1)</f>
        <v>5.9829059829059839E-2</v>
      </c>
      <c r="H372" s="8">
        <f t="shared" si="14"/>
        <v>5.2065022077976586E-2</v>
      </c>
      <c r="I372" s="8">
        <f t="shared" si="15"/>
        <v>5.5741456976400983E-2</v>
      </c>
      <c r="J372" s="25">
        <v>57.2</v>
      </c>
      <c r="K372" s="8">
        <f>IF(Tabela1[[#This Row],[Services CPI]]="",#N/A,((Tabela1[[#This Row],[Services CPI]]*1)/J371)-1)</f>
        <v>5.2724077328647478E-3</v>
      </c>
      <c r="L372" s="8">
        <f>IF(Tabela1[[#This Row],[Services CPI]]="",#N/A,((Tabela1[[#This Row],[Services CPI]]*1)/J360)-1)</f>
        <v>7.7212806026365266E-2</v>
      </c>
      <c r="M372" s="7">
        <v>57.8</v>
      </c>
      <c r="N372" s="8">
        <f>IF(Tabela1[[#This Row],[Core-Services CPI]]="",#N/A,((Tabela1[[#This Row],[Core-Services CPI]]*1)/M371)-1)</f>
        <v>5.2173913043478404E-3</v>
      </c>
      <c r="O372" s="8">
        <f>IF(Tabela1[[#This Row],[Core-Services CPI]]="",#N/A,((Tabela1[[#This Row],[Core-Services CPI]]*1)/M360)-1)</f>
        <v>7.4349442379182173E-2</v>
      </c>
      <c r="P372" s="7">
        <v>64.900000000000006</v>
      </c>
      <c r="Q372" s="8">
        <f>IF(Tabela1[[#This Row],[Durable Goods CPI]]="",#N/A,((Tabela1[[#This Row],[Durable Goods CPI]]*1)/P371)-1)</f>
        <v>1.5432098765433278E-3</v>
      </c>
      <c r="R372" s="8">
        <f>IF(Tabela1[[#This Row],[Durable Goods CPI]]="",#N/A,((Tabela1[[#This Row],[Durable Goods CPI]]*1)/P360)-1)</f>
        <v>4.5088566827697241E-2</v>
      </c>
      <c r="S372" s="7">
        <v>6.8431996660000003</v>
      </c>
      <c r="T372" s="7">
        <v>30.684999999999999</v>
      </c>
      <c r="U372" s="8">
        <f>IF(Tabela1[[#This Row],[Personal Consumption Expenditures (PCE)]]="",#N/A,((Tabela1[[#This Row],[Personal Consumption Expenditures (PCE)]]*1)/T371)-1)</f>
        <v>4.6491831188815169E-3</v>
      </c>
      <c r="V372" s="8">
        <f>IF(Tabela1[[#This Row],[Personal Consumption Expenditures (PCE)]]="",#N/A,((Tabela1[[#This Row],[Personal Consumption Expenditures (PCE)]]*1)/T360)-1)</f>
        <v>6.5414395333495357E-2</v>
      </c>
      <c r="W372" s="7">
        <v>30.907</v>
      </c>
      <c r="X372" s="8">
        <f>IF(Tabela1[[#This Row],[Core PCE]]="",#N/A,((Tabela1[[#This Row],[Core PCE]]*1)/W371)-1)</f>
        <v>4.8442681578777513E-3</v>
      </c>
      <c r="Y372" s="8">
        <f>IF(Tabela1[[#This Row],[Core PCE]]="",#N/A,((Tabela1[[#This Row],[Core PCE]]*1)/W360)-1)</f>
        <v>6.4437250309959948E-2</v>
      </c>
      <c r="Z372" s="8">
        <f t="shared" si="17"/>
        <v>5.5909537053590697E-2</v>
      </c>
      <c r="AA372" s="8">
        <f t="shared" si="16"/>
        <v>6.2470588359305523E-2</v>
      </c>
      <c r="AB372" s="7"/>
      <c r="AC372" s="7"/>
      <c r="AD372" s="8"/>
      <c r="AE372" s="71"/>
      <c r="AF372" s="7"/>
      <c r="AG372" s="5"/>
    </row>
    <row r="373" spans="1:33" ht="12.75">
      <c r="A373" s="6">
        <v>28430</v>
      </c>
      <c r="B373" s="7">
        <v>62</v>
      </c>
      <c r="C373" s="8">
        <f>IF(Tabela1[[#This Row],[Consumer Price Index (CPI)]]="",#N/A,((Tabela1[[#This Row],[Consumer Price Index (CPI)]]*1)/B372)-1)</f>
        <v>6.4935064935065512E-3</v>
      </c>
      <c r="D373" s="8">
        <f>IF(Tabela1[[#This Row],[Consumer Price Index (CPI)]]="",#N/A,((Tabela1[[#This Row],[Consumer Price Index (CPI)]]*1)/B361)-1)</f>
        <v>6.7125645438898429E-2</v>
      </c>
      <c r="E373" s="25">
        <v>62.3</v>
      </c>
      <c r="F373" s="8">
        <f>IF(Tabela1[[#This Row],[Core Consumer Price Index]]="",#N/A,((Tabela1[[#This Row],[Core Consumer Price Index]]*1)/E372)-1)</f>
        <v>4.8387096774193949E-3</v>
      </c>
      <c r="G373" s="8">
        <f>IF(Tabela1[[#This Row],[Core Consumer Price Index]]="",#N/A,((Tabela1[[#This Row],[Core Consumer Price Index]]*1)/E361)-1)</f>
        <v>6.1328790459965754E-2</v>
      </c>
      <c r="H373" s="8">
        <f t="shared" si="14"/>
        <v>5.1812017650399333E-2</v>
      </c>
      <c r="I373" s="8">
        <f t="shared" si="15"/>
        <v>5.546862757502069E-2</v>
      </c>
      <c r="J373" s="25">
        <v>57.6</v>
      </c>
      <c r="K373" s="8">
        <f>IF(Tabela1[[#This Row],[Services CPI]]="",#N/A,((Tabela1[[#This Row],[Services CPI]]*1)/J372)-1)</f>
        <v>6.9930069930068672E-3</v>
      </c>
      <c r="L373" s="8">
        <f>IF(Tabela1[[#This Row],[Services CPI]]="",#N/A,((Tabela1[[#This Row],[Services CPI]]*1)/J361)-1)</f>
        <v>7.8651685393258397E-2</v>
      </c>
      <c r="M373" s="7">
        <v>58.1</v>
      </c>
      <c r="N373" s="8">
        <f>IF(Tabela1[[#This Row],[Core-Services CPI]]="",#N/A,((Tabela1[[#This Row],[Core-Services CPI]]*1)/M372)-1)</f>
        <v>5.1903114186850896E-3</v>
      </c>
      <c r="O373" s="8">
        <f>IF(Tabela1[[#This Row],[Core-Services CPI]]="",#N/A,((Tabela1[[#This Row],[Core-Services CPI]]*1)/M361)-1)</f>
        <v>7.3937153419593393E-2</v>
      </c>
      <c r="P373" s="7">
        <v>65.2</v>
      </c>
      <c r="Q373" s="8">
        <f>IF(Tabela1[[#This Row],[Durable Goods CPI]]="",#N/A,((Tabela1[[#This Row],[Durable Goods CPI]]*1)/P372)-1)</f>
        <v>4.6224961479197635E-3</v>
      </c>
      <c r="R373" s="8">
        <f>IF(Tabela1[[#This Row],[Durable Goods CPI]]="",#N/A,((Tabela1[[#This Row],[Durable Goods CPI]]*1)/P361)-1)</f>
        <v>4.8231511254019255E-2</v>
      </c>
      <c r="S373" s="7">
        <v>6.8835555450000001</v>
      </c>
      <c r="T373" s="7">
        <v>30.861000000000001</v>
      </c>
      <c r="U373" s="8">
        <f>IF(Tabela1[[#This Row],[Personal Consumption Expenditures (PCE)]]="",#N/A,((Tabela1[[#This Row],[Personal Consumption Expenditures (PCE)]]*1)/T372)-1)</f>
        <v>5.735701482809219E-3</v>
      </c>
      <c r="V373" s="8">
        <f>IF(Tabela1[[#This Row],[Personal Consumption Expenditures (PCE)]]="",#N/A,((Tabela1[[#This Row],[Personal Consumption Expenditures (PCE)]]*1)/T361)-1)</f>
        <v>6.6673579427623419E-2</v>
      </c>
      <c r="W373" s="7">
        <v>31.067</v>
      </c>
      <c r="X373" s="8">
        <f>IF(Tabela1[[#This Row],[Core PCE]]="",#N/A,((Tabela1[[#This Row],[Core PCE]]*1)/W372)-1)</f>
        <v>5.1768207849354209E-3</v>
      </c>
      <c r="Y373" s="8">
        <f>IF(Tabela1[[#This Row],[Core PCE]]="",#N/A,((Tabela1[[#This Row],[Core PCE]]*1)/W361)-1)</f>
        <v>6.510559517279213E-2</v>
      </c>
      <c r="Z373" s="8">
        <f t="shared" si="17"/>
        <v>5.6931134967438624E-2</v>
      </c>
      <c r="AA373" s="8">
        <f t="shared" si="16"/>
        <v>6.2610270851770622E-2</v>
      </c>
      <c r="AB373" s="7"/>
      <c r="AC373" s="7"/>
      <c r="AD373" s="8"/>
      <c r="AE373" s="71"/>
      <c r="AF373" s="7"/>
      <c r="AG373" s="5"/>
    </row>
    <row r="374" spans="1:33" ht="12.75">
      <c r="A374" s="6">
        <v>28460</v>
      </c>
      <c r="B374" s="7">
        <v>62.3</v>
      </c>
      <c r="C374" s="8">
        <f>IF(Tabela1[[#This Row],[Consumer Price Index (CPI)]]="",#N/A,((Tabela1[[#This Row],[Consumer Price Index (CPI)]]*1)/B373)-1)</f>
        <v>4.8387096774193949E-3</v>
      </c>
      <c r="D374" s="8">
        <f>IF(Tabela1[[#This Row],[Consumer Price Index (CPI)]]="",#N/A,((Tabela1[[#This Row],[Consumer Price Index (CPI)]]*1)/B362)-1)</f>
        <v>6.6780821917808098E-2</v>
      </c>
      <c r="E374" s="25">
        <v>62.7</v>
      </c>
      <c r="F374" s="8">
        <f>IF(Tabela1[[#This Row],[Core Consumer Price Index]]="",#N/A,((Tabela1[[#This Row],[Core Consumer Price Index]]*1)/E373)-1)</f>
        <v>6.4205457463886173E-3</v>
      </c>
      <c r="G374" s="8">
        <f>IF(Tabela1[[#This Row],[Core Consumer Price Index]]="",#N/A,((Tabela1[[#This Row],[Core Consumer Price Index]]*1)/E362)-1)</f>
        <v>6.4516129032258229E-2</v>
      </c>
      <c r="H374" s="8">
        <f t="shared" si="14"/>
        <v>5.7982005514002566E-2</v>
      </c>
      <c r="I374" s="8">
        <f t="shared" si="15"/>
        <v>5.5108398935784564E-2</v>
      </c>
      <c r="J374" s="25">
        <v>57.9</v>
      </c>
      <c r="K374" s="8">
        <f>IF(Tabela1[[#This Row],[Services CPI]]="",#N/A,((Tabela1[[#This Row],[Services CPI]]*1)/J373)-1)</f>
        <v>5.2083333333332593E-3</v>
      </c>
      <c r="L374" s="8">
        <f>IF(Tabela1[[#This Row],[Services CPI]]="",#N/A,((Tabela1[[#This Row],[Services CPI]]*1)/J362)-1)</f>
        <v>7.8212290502793103E-2</v>
      </c>
      <c r="M374" s="7">
        <v>58.4</v>
      </c>
      <c r="N374" s="8">
        <f>IF(Tabela1[[#This Row],[Core-Services CPI]]="",#N/A,((Tabela1[[#This Row],[Core-Services CPI]]*1)/M373)-1)</f>
        <v>5.1635111876076056E-3</v>
      </c>
      <c r="O374" s="8">
        <f>IF(Tabela1[[#This Row],[Core-Services CPI]]="",#N/A,((Tabela1[[#This Row],[Core-Services CPI]]*1)/M362)-1)</f>
        <v>7.7490774907748916E-2</v>
      </c>
      <c r="P374" s="7">
        <v>65.5</v>
      </c>
      <c r="Q374" s="8">
        <f>IF(Tabela1[[#This Row],[Durable Goods CPI]]="",#N/A,((Tabela1[[#This Row],[Durable Goods CPI]]*1)/P373)-1)</f>
        <v>4.6012269938648931E-3</v>
      </c>
      <c r="R374" s="8">
        <f>IF(Tabela1[[#This Row],[Durable Goods CPI]]="",#N/A,((Tabela1[[#This Row],[Durable Goods CPI]]*1)/P362)-1)</f>
        <v>4.6325878594249081E-2</v>
      </c>
      <c r="S374" s="7">
        <v>6.96244877</v>
      </c>
      <c r="T374" s="7">
        <v>31.010999999999999</v>
      </c>
      <c r="U374" s="8">
        <f>IF(Tabela1[[#This Row],[Personal Consumption Expenditures (PCE)]]="",#N/A,((Tabela1[[#This Row],[Personal Consumption Expenditures (PCE)]]*1)/T373)-1)</f>
        <v>4.8605035481674719E-3</v>
      </c>
      <c r="V374" s="8">
        <f>IF(Tabela1[[#This Row],[Personal Consumption Expenditures (PCE)]]="",#N/A,((Tabela1[[#This Row],[Personal Consumption Expenditures (PCE)]]*1)/T362)-1)</f>
        <v>6.5889874200866005E-2</v>
      </c>
      <c r="W374" s="7">
        <v>31.227</v>
      </c>
      <c r="X374" s="8">
        <f>IF(Tabela1[[#This Row],[Core PCE]]="",#N/A,((Tabela1[[#This Row],[Core PCE]]*1)/W373)-1)</f>
        <v>5.1501593330542939E-3</v>
      </c>
      <c r="Y374" s="8">
        <f>IF(Tabela1[[#This Row],[Core PCE]]="",#N/A,((Tabela1[[#This Row],[Core PCE]]*1)/W362)-1)</f>
        <v>6.4823023937802704E-2</v>
      </c>
      <c r="Z374" s="8">
        <f t="shared" si="17"/>
        <v>6.0684993103469864E-2</v>
      </c>
      <c r="AA374" s="8">
        <f t="shared" si="16"/>
        <v>6.0955222886635685E-2</v>
      </c>
      <c r="AB374" s="7"/>
      <c r="AC374" s="7"/>
      <c r="AD374" s="8"/>
      <c r="AE374" s="71"/>
      <c r="AF374" s="7"/>
      <c r="AG374" s="5"/>
    </row>
    <row r="375" spans="1:33" ht="12.75">
      <c r="A375" s="6">
        <v>28491</v>
      </c>
      <c r="B375" s="7">
        <v>62.7</v>
      </c>
      <c r="C375" s="8">
        <f>IF(Tabela1[[#This Row],[Consumer Price Index (CPI)]]="",#N/A,((Tabela1[[#This Row],[Consumer Price Index (CPI)]]*1)/B374)-1)</f>
        <v>6.4205457463886173E-3</v>
      </c>
      <c r="D375" s="8">
        <f>IF(Tabela1[[#This Row],[Consumer Price Index (CPI)]]="",#N/A,((Tabela1[[#This Row],[Consumer Price Index (CPI)]]*1)/B363)-1)</f>
        <v>6.8143100511073307E-2</v>
      </c>
      <c r="E375" s="25">
        <v>63.1</v>
      </c>
      <c r="F375" s="8">
        <f>IF(Tabela1[[#This Row],[Core Consumer Price Index]]="",#N/A,((Tabela1[[#This Row],[Core Consumer Price Index]]*1)/E374)-1)</f>
        <v>6.3795853269537073E-3</v>
      </c>
      <c r="G375" s="8">
        <f>IF(Tabela1[[#This Row],[Core Consumer Price Index]]="",#N/A,((Tabela1[[#This Row],[Core Consumer Price Index]]*1)/E363)-1)</f>
        <v>6.4080944350758839E-2</v>
      </c>
      <c r="H375" s="8">
        <f t="shared" si="14"/>
        <v>7.0555363003046878E-2</v>
      </c>
      <c r="I375" s="8">
        <f t="shared" si="15"/>
        <v>6.1310192540511732E-2</v>
      </c>
      <c r="J375" s="25">
        <v>58.3</v>
      </c>
      <c r="K375" s="8">
        <f>IF(Tabela1[[#This Row],[Services CPI]]="",#N/A,((Tabela1[[#This Row],[Services CPI]]*1)/J374)-1)</f>
        <v>6.9084628670119663E-3</v>
      </c>
      <c r="L375" s="8">
        <f>IF(Tabela1[[#This Row],[Services CPI]]="",#N/A,((Tabela1[[#This Row],[Services CPI]]*1)/J363)-1)</f>
        <v>7.7634011090572885E-2</v>
      </c>
      <c r="M375" s="7">
        <v>58.9</v>
      </c>
      <c r="N375" s="8">
        <f>IF(Tabela1[[#This Row],[Core-Services CPI]]="",#N/A,((Tabela1[[#This Row],[Core-Services CPI]]*1)/M374)-1)</f>
        <v>8.5616438356164171E-3</v>
      </c>
      <c r="O375" s="8">
        <f>IF(Tabela1[[#This Row],[Core-Services CPI]]="",#N/A,((Tabela1[[#This Row],[Core-Services CPI]]*1)/M363)-1)</f>
        <v>7.8754578754578697E-2</v>
      </c>
      <c r="P375" s="7">
        <v>65.8</v>
      </c>
      <c r="Q375" s="8">
        <f>IF(Tabela1[[#This Row],[Durable Goods CPI]]="",#N/A,((Tabela1[[#This Row],[Durable Goods CPI]]*1)/P374)-1)</f>
        <v>4.5801526717557106E-3</v>
      </c>
      <c r="R375" s="8">
        <f>IF(Tabela1[[#This Row],[Durable Goods CPI]]="",#N/A,((Tabela1[[#This Row],[Durable Goods CPI]]*1)/P363)-1)</f>
        <v>4.4444444444444509E-2</v>
      </c>
      <c r="S375" s="7">
        <v>7.010588577</v>
      </c>
      <c r="T375" s="7">
        <v>31.193999999999999</v>
      </c>
      <c r="U375" s="8">
        <f>IF(Tabela1[[#This Row],[Personal Consumption Expenditures (PCE)]]="",#N/A,((Tabela1[[#This Row],[Personal Consumption Expenditures (PCE)]]*1)/T374)-1)</f>
        <v>5.9011318564379245E-3</v>
      </c>
      <c r="V375" s="8">
        <f>IF(Tabela1[[#This Row],[Personal Consumption Expenditures (PCE)]]="",#N/A,((Tabela1[[#This Row],[Personal Consumption Expenditures (PCE)]]*1)/T363)-1)</f>
        <v>6.5987766121040181E-2</v>
      </c>
      <c r="W375" s="7">
        <v>31.414000000000001</v>
      </c>
      <c r="X375" s="8">
        <f>IF(Tabela1[[#This Row],[Core PCE]]="",#N/A,((Tabela1[[#This Row],[Core PCE]]*1)/W374)-1)</f>
        <v>5.9884074678964172E-3</v>
      </c>
      <c r="Y375" s="8">
        <f>IF(Tabela1[[#This Row],[Core PCE]]="",#N/A,((Tabela1[[#This Row],[Core PCE]]*1)/W363)-1)</f>
        <v>6.4700898152855624E-2</v>
      </c>
      <c r="Z375" s="8">
        <f t="shared" si="17"/>
        <v>6.5261550343544528E-2</v>
      </c>
      <c r="AA375" s="8">
        <f t="shared" si="16"/>
        <v>6.0585543698567612E-2</v>
      </c>
      <c r="AB375" s="7">
        <v>5.7</v>
      </c>
      <c r="AC375" s="7"/>
      <c r="AD375" s="8"/>
      <c r="AE375" s="71"/>
      <c r="AF375" s="7">
        <v>5.2</v>
      </c>
      <c r="AG375" s="5"/>
    </row>
    <row r="376" spans="1:33" ht="12.75">
      <c r="A376" s="6">
        <v>28522</v>
      </c>
      <c r="B376" s="7">
        <v>63</v>
      </c>
      <c r="C376" s="8">
        <f>IF(Tabela1[[#This Row],[Consumer Price Index (CPI)]]="",#N/A,((Tabela1[[#This Row],[Consumer Price Index (CPI)]]*1)/B375)-1)</f>
        <v>4.7846889952152249E-3</v>
      </c>
      <c r="D376" s="8">
        <f>IF(Tabela1[[#This Row],[Consumer Price Index (CPI)]]="",#N/A,((Tabela1[[#This Row],[Consumer Price Index (CPI)]]*1)/B364)-1)</f>
        <v>6.2394603709949426E-2</v>
      </c>
      <c r="E376" s="25">
        <v>63.4</v>
      </c>
      <c r="F376" s="8">
        <f>IF(Tabela1[[#This Row],[Core Consumer Price Index]]="",#N/A,((Tabela1[[#This Row],[Core Consumer Price Index]]*1)/E375)-1)</f>
        <v>4.7543581616480424E-3</v>
      </c>
      <c r="G376" s="8">
        <f>IF(Tabela1[[#This Row],[Core Consumer Price Index]]="",#N/A,((Tabela1[[#This Row],[Core Consumer Price Index]]*1)/E364)-1)</f>
        <v>6.1976549413735205E-2</v>
      </c>
      <c r="H376" s="8">
        <f t="shared" si="14"/>
        <v>7.0217956939961468E-2</v>
      </c>
      <c r="I376" s="8">
        <f t="shared" si="15"/>
        <v>6.1014987295180401E-2</v>
      </c>
      <c r="J376" s="25">
        <v>58.7</v>
      </c>
      <c r="K376" s="8">
        <f>IF(Tabela1[[#This Row],[Services CPI]]="",#N/A,((Tabela1[[#This Row],[Services CPI]]*1)/J375)-1)</f>
        <v>6.8610634648371693E-3</v>
      </c>
      <c r="L376" s="8">
        <f>IF(Tabela1[[#This Row],[Services CPI]]="",#N/A,((Tabela1[[#This Row],[Services CPI]]*1)/J364)-1)</f>
        <v>7.9044117647058876E-2</v>
      </c>
      <c r="M376" s="7">
        <v>59.3</v>
      </c>
      <c r="N376" s="8">
        <f>IF(Tabela1[[#This Row],[Core-Services CPI]]="",#N/A,((Tabela1[[#This Row],[Core-Services CPI]]*1)/M375)-1)</f>
        <v>6.7911714770798604E-3</v>
      </c>
      <c r="O376" s="8">
        <f>IF(Tabela1[[#This Row],[Core-Services CPI]]="",#N/A,((Tabela1[[#This Row],[Core-Services CPI]]*1)/M364)-1)</f>
        <v>7.818181818181813E-2</v>
      </c>
      <c r="P376" s="7">
        <v>66.3</v>
      </c>
      <c r="Q376" s="8">
        <f>IF(Tabela1[[#This Row],[Durable Goods CPI]]="",#N/A,((Tabela1[[#This Row],[Durable Goods CPI]]*1)/P375)-1)</f>
        <v>7.5987841945288626E-3</v>
      </c>
      <c r="R376" s="8">
        <f>IF(Tabela1[[#This Row],[Durable Goods CPI]]="",#N/A,((Tabela1[[#This Row],[Durable Goods CPI]]*1)/P364)-1)</f>
        <v>4.5741324921135584E-2</v>
      </c>
      <c r="S376" s="7">
        <v>7.3874690730000001</v>
      </c>
      <c r="T376" s="7">
        <v>31.338999999999999</v>
      </c>
      <c r="U376" s="8">
        <f>IF(Tabela1[[#This Row],[Personal Consumption Expenditures (PCE)]]="",#N/A,((Tabela1[[#This Row],[Personal Consumption Expenditures (PCE)]]*1)/T375)-1)</f>
        <v>4.6483298070141288E-3</v>
      </c>
      <c r="V376" s="8">
        <f>IF(Tabela1[[#This Row],[Personal Consumption Expenditures (PCE)]]="",#N/A,((Tabela1[[#This Row],[Personal Consumption Expenditures (PCE)]]*1)/T364)-1)</f>
        <v>6.2627153126271429E-2</v>
      </c>
      <c r="W376" s="7">
        <v>31.535</v>
      </c>
      <c r="X376" s="8">
        <f>IF(Tabela1[[#This Row],[Core PCE]]="",#N/A,((Tabela1[[#This Row],[Core PCE]]*1)/W375)-1)</f>
        <v>3.8517858279747408E-3</v>
      </c>
      <c r="Y376" s="8">
        <f>IF(Tabela1[[#This Row],[Core PCE]]="",#N/A,((Tabela1[[#This Row],[Core PCE]]*1)/W364)-1)</f>
        <v>6.2285252307485051E-2</v>
      </c>
      <c r="Z376" s="8">
        <f t="shared" si="17"/>
        <v>5.9961410515701807E-2</v>
      </c>
      <c r="AA376" s="8">
        <f t="shared" si="16"/>
        <v>5.8446272741570215E-2</v>
      </c>
      <c r="AB376" s="7">
        <v>5.57</v>
      </c>
      <c r="AC376" s="7"/>
      <c r="AD376" s="8"/>
      <c r="AE376" s="71"/>
      <c r="AF376" s="7">
        <v>6.4</v>
      </c>
      <c r="AG376" s="5"/>
    </row>
    <row r="377" spans="1:33" ht="12.75">
      <c r="A377" s="6">
        <v>28550</v>
      </c>
      <c r="B377" s="7">
        <v>63.4</v>
      </c>
      <c r="C377" s="8">
        <f>IF(Tabela1[[#This Row],[Consumer Price Index (CPI)]]="",#N/A,((Tabela1[[#This Row],[Consumer Price Index (CPI)]]*1)/B376)-1)</f>
        <v>6.3492063492063266E-3</v>
      </c>
      <c r="D377" s="8">
        <f>IF(Tabela1[[#This Row],[Consumer Price Index (CPI)]]="",#N/A,((Tabela1[[#This Row],[Consumer Price Index (CPI)]]*1)/B365)-1)</f>
        <v>6.3758389261744819E-2</v>
      </c>
      <c r="E377" s="25">
        <v>63.8</v>
      </c>
      <c r="F377" s="8">
        <f>IF(Tabela1[[#This Row],[Core Consumer Price Index]]="",#N/A,((Tabela1[[#This Row],[Core Consumer Price Index]]*1)/E376)-1)</f>
        <v>6.3091482649841879E-3</v>
      </c>
      <c r="G377" s="8">
        <f>IF(Tabela1[[#This Row],[Core Consumer Price Index]]="",#N/A,((Tabela1[[#This Row],[Core Consumer Price Index]]*1)/E365)-1)</f>
        <v>6.3333333333333242E-2</v>
      </c>
      <c r="H377" s="8">
        <f t="shared" si="14"/>
        <v>6.977236701434375E-2</v>
      </c>
      <c r="I377" s="8">
        <f t="shared" si="15"/>
        <v>6.3877186264173158E-2</v>
      </c>
      <c r="J377" s="25">
        <v>59.1</v>
      </c>
      <c r="K377" s="8">
        <f>IF(Tabela1[[#This Row],[Services CPI]]="",#N/A,((Tabela1[[#This Row],[Services CPI]]*1)/J376)-1)</f>
        <v>6.8143100511073307E-3</v>
      </c>
      <c r="L377" s="8">
        <f>IF(Tabela1[[#This Row],[Services CPI]]="",#N/A,((Tabela1[[#This Row],[Services CPI]]*1)/J365)-1)</f>
        <v>7.8467153284671687E-2</v>
      </c>
      <c r="M377" s="7">
        <v>59.6</v>
      </c>
      <c r="N377" s="8">
        <f>IF(Tabela1[[#This Row],[Core-Services CPI]]="",#N/A,((Tabela1[[#This Row],[Core-Services CPI]]*1)/M376)-1)</f>
        <v>5.0590219224284638E-3</v>
      </c>
      <c r="O377" s="8">
        <f>IF(Tabela1[[#This Row],[Core-Services CPI]]="",#N/A,((Tabela1[[#This Row],[Core-Services CPI]]*1)/M365)-1)</f>
        <v>7.7757685352622063E-2</v>
      </c>
      <c r="P377" s="7">
        <v>67</v>
      </c>
      <c r="Q377" s="8">
        <f>IF(Tabela1[[#This Row],[Durable Goods CPI]]="",#N/A,((Tabela1[[#This Row],[Durable Goods CPI]]*1)/P376)-1)</f>
        <v>1.0558069381598756E-2</v>
      </c>
      <c r="R377" s="8">
        <f>IF(Tabela1[[#This Row],[Durable Goods CPI]]="",#N/A,((Tabela1[[#This Row],[Durable Goods CPI]]*1)/P365)-1)</f>
        <v>5.0156739811912265E-2</v>
      </c>
      <c r="S377" s="7">
        <v>7.395951567</v>
      </c>
      <c r="T377" s="7">
        <v>31.542000000000002</v>
      </c>
      <c r="U377" s="8">
        <f>IF(Tabela1[[#This Row],[Personal Consumption Expenditures (PCE)]]="",#N/A,((Tabela1[[#This Row],[Personal Consumption Expenditures (PCE)]]*1)/T376)-1)</f>
        <v>6.4775519320974251E-3</v>
      </c>
      <c r="V377" s="8">
        <f>IF(Tabela1[[#This Row],[Personal Consumption Expenditures (PCE)]]="",#N/A,((Tabela1[[#This Row],[Personal Consumption Expenditures (PCE)]]*1)/T365)-1)</f>
        <v>6.4170040485830082E-2</v>
      </c>
      <c r="W377" s="7">
        <v>31.706</v>
      </c>
      <c r="X377" s="8">
        <f>IF(Tabela1[[#This Row],[Core PCE]]="",#N/A,((Tabela1[[#This Row],[Core PCE]]*1)/W376)-1)</f>
        <v>5.4225463770414262E-3</v>
      </c>
      <c r="Y377" s="8">
        <f>IF(Tabela1[[#This Row],[Core PCE]]="",#N/A,((Tabela1[[#This Row],[Core PCE]]*1)/W365)-1)</f>
        <v>6.3531463840064362E-2</v>
      </c>
      <c r="Z377" s="8">
        <f t="shared" si="17"/>
        <v>6.1050958691650337E-2</v>
      </c>
      <c r="AA377" s="8">
        <f t="shared" si="16"/>
        <v>6.08679758975601E-2</v>
      </c>
      <c r="AB377" s="7">
        <v>5.55</v>
      </c>
      <c r="AC377" s="7"/>
      <c r="AD377" s="8"/>
      <c r="AE377" s="71"/>
      <c r="AF377" s="7">
        <v>6.3</v>
      </c>
      <c r="AG377" s="5"/>
    </row>
    <row r="378" spans="1:33" ht="12.75">
      <c r="A378" s="6">
        <v>28581</v>
      </c>
      <c r="B378" s="7">
        <v>63.9</v>
      </c>
      <c r="C378" s="8">
        <f>IF(Tabela1[[#This Row],[Consumer Price Index (CPI)]]="",#N/A,((Tabela1[[#This Row],[Consumer Price Index (CPI)]]*1)/B377)-1)</f>
        <v>7.8864353312302349E-3</v>
      </c>
      <c r="D378" s="8">
        <f>IF(Tabela1[[#This Row],[Consumer Price Index (CPI)]]="",#N/A,((Tabela1[[#This Row],[Consumer Price Index (CPI)]]*1)/B366)-1)</f>
        <v>6.4999999999999947E-2</v>
      </c>
      <c r="E378" s="25">
        <v>64.3</v>
      </c>
      <c r="F378" s="8">
        <f>IF(Tabela1[[#This Row],[Core Consumer Price Index]]="",#N/A,((Tabela1[[#This Row],[Core Consumer Price Index]]*1)/E377)-1)</f>
        <v>7.8369905956112706E-3</v>
      </c>
      <c r="G378" s="8">
        <f>IF(Tabela1[[#This Row],[Core Consumer Price Index]]="",#N/A,((Tabela1[[#This Row],[Core Consumer Price Index]]*1)/E366)-1)</f>
        <v>6.6334991708125957E-2</v>
      </c>
      <c r="H378" s="8">
        <f t="shared" si="14"/>
        <v>7.5601988088974004E-2</v>
      </c>
      <c r="I378" s="8">
        <f t="shared" si="15"/>
        <v>7.3078675546010441E-2</v>
      </c>
      <c r="J378" s="25">
        <v>59.6</v>
      </c>
      <c r="K378" s="8">
        <f>IF(Tabela1[[#This Row],[Services CPI]]="",#N/A,((Tabela1[[#This Row],[Services CPI]]*1)/J377)-1)</f>
        <v>8.4602368866328881E-3</v>
      </c>
      <c r="L378" s="8">
        <f>IF(Tabela1[[#This Row],[Services CPI]]="",#N/A,((Tabela1[[#This Row],[Services CPI]]*1)/J366)-1)</f>
        <v>7.9710144927536142E-2</v>
      </c>
      <c r="M378" s="7">
        <v>60.1</v>
      </c>
      <c r="N378" s="8">
        <f>IF(Tabela1[[#This Row],[Core-Services CPI]]="",#N/A,((Tabela1[[#This Row],[Core-Services CPI]]*1)/M377)-1)</f>
        <v>8.3892617449663476E-3</v>
      </c>
      <c r="O378" s="8">
        <f>IF(Tabela1[[#This Row],[Core-Services CPI]]="",#N/A,((Tabela1[[#This Row],[Core-Services CPI]]*1)/M366)-1)</f>
        <v>7.8994614003590646E-2</v>
      </c>
      <c r="P378" s="7">
        <v>67.400000000000006</v>
      </c>
      <c r="Q378" s="8">
        <f>IF(Tabela1[[#This Row],[Durable Goods CPI]]="",#N/A,((Tabela1[[#This Row],[Durable Goods CPI]]*1)/P377)-1)</f>
        <v>5.9701492537314049E-3</v>
      </c>
      <c r="R378" s="8">
        <f>IF(Tabela1[[#This Row],[Durable Goods CPI]]="",#N/A,((Tabela1[[#This Row],[Durable Goods CPI]]*1)/P366)-1)</f>
        <v>5.1482059282371484E-2</v>
      </c>
      <c r="S378" s="7">
        <v>7.3651408920000003</v>
      </c>
      <c r="T378" s="7">
        <v>31.780999999999999</v>
      </c>
      <c r="U378" s="8">
        <f>IF(Tabela1[[#This Row],[Personal Consumption Expenditures (PCE)]]="",#N/A,((Tabela1[[#This Row],[Personal Consumption Expenditures (PCE)]]*1)/T377)-1)</f>
        <v>7.5771986557604531E-3</v>
      </c>
      <c r="V378" s="8">
        <f>IF(Tabela1[[#This Row],[Personal Consumption Expenditures (PCE)]]="",#N/A,((Tabela1[[#This Row],[Personal Consumption Expenditures (PCE)]]*1)/T366)-1)</f>
        <v>6.6047229303636046E-2</v>
      </c>
      <c r="W378" s="7">
        <v>31.911000000000001</v>
      </c>
      <c r="X378" s="8">
        <f>IF(Tabela1[[#This Row],[Core PCE]]="",#N/A,((Tabela1[[#This Row],[Core PCE]]*1)/W377)-1)</f>
        <v>6.4656531886708724E-3</v>
      </c>
      <c r="Y378" s="8">
        <f>IF(Tabela1[[#This Row],[Core PCE]]="",#N/A,((Tabela1[[#This Row],[Core PCE]]*1)/W366)-1)</f>
        <v>6.5155712807503541E-2</v>
      </c>
      <c r="Z378" s="8">
        <f t="shared" si="17"/>
        <v>6.2959941574748157E-2</v>
      </c>
      <c r="AA378" s="8">
        <f t="shared" si="16"/>
        <v>6.4110745959146342E-2</v>
      </c>
      <c r="AB378" s="7">
        <v>5.71</v>
      </c>
      <c r="AC378" s="7"/>
      <c r="AD378" s="8"/>
      <c r="AE378" s="71"/>
      <c r="AF378" s="7">
        <v>6.7</v>
      </c>
      <c r="AG378" s="5"/>
    </row>
    <row r="379" spans="1:33" ht="12.75">
      <c r="A379" s="6">
        <v>28611</v>
      </c>
      <c r="B379" s="7">
        <v>64.5</v>
      </c>
      <c r="C379" s="8">
        <f>IF(Tabela1[[#This Row],[Consumer Price Index (CPI)]]="",#N/A,((Tabela1[[#This Row],[Consumer Price Index (CPI)]]*1)/B378)-1)</f>
        <v>9.3896713615022609E-3</v>
      </c>
      <c r="D379" s="8">
        <f>IF(Tabela1[[#This Row],[Consumer Price Index (CPI)]]="",#N/A,((Tabela1[[#This Row],[Consumer Price Index (CPI)]]*1)/B367)-1)</f>
        <v>7.1428571428571397E-2</v>
      </c>
      <c r="E379" s="25">
        <v>64.7</v>
      </c>
      <c r="F379" s="8">
        <f>IF(Tabela1[[#This Row],[Core Consumer Price Index]]="",#N/A,((Tabela1[[#This Row],[Core Consumer Price Index]]*1)/E378)-1)</f>
        <v>6.2208398133749565E-3</v>
      </c>
      <c r="G379" s="8">
        <f>IF(Tabela1[[#This Row],[Core Consumer Price Index]]="",#N/A,((Tabela1[[#This Row],[Core Consumer Price Index]]*1)/E367)-1)</f>
        <v>6.7656765676567643E-2</v>
      </c>
      <c r="H379" s="8">
        <f t="shared" si="14"/>
        <v>8.146791469588166E-2</v>
      </c>
      <c r="I379" s="8">
        <f t="shared" si="15"/>
        <v>7.5842935817921564E-2</v>
      </c>
      <c r="J379" s="25">
        <v>60</v>
      </c>
      <c r="K379" s="8">
        <f>IF(Tabela1[[#This Row],[Services CPI]]="",#N/A,((Tabela1[[#This Row],[Services CPI]]*1)/J378)-1)</f>
        <v>6.7114093959730337E-3</v>
      </c>
      <c r="L379" s="8">
        <f>IF(Tabela1[[#This Row],[Services CPI]]="",#N/A,((Tabela1[[#This Row],[Services CPI]]*1)/J367)-1)</f>
        <v>8.3032490974729312E-2</v>
      </c>
      <c r="M379" s="7">
        <v>60.5</v>
      </c>
      <c r="N379" s="8">
        <f>IF(Tabela1[[#This Row],[Core-Services CPI]]="",#N/A,((Tabela1[[#This Row],[Core-Services CPI]]*1)/M378)-1)</f>
        <v>6.6555740432612254E-3</v>
      </c>
      <c r="O379" s="8">
        <f>IF(Tabela1[[#This Row],[Core-Services CPI]]="",#N/A,((Tabela1[[#This Row],[Core-Services CPI]]*1)/M367)-1)</f>
        <v>8.0357142857142794E-2</v>
      </c>
      <c r="P379" s="7">
        <v>68</v>
      </c>
      <c r="Q379" s="8">
        <f>IF(Tabela1[[#This Row],[Durable Goods CPI]]="",#N/A,((Tabela1[[#This Row],[Durable Goods CPI]]*1)/P378)-1)</f>
        <v>8.9020771513352859E-3</v>
      </c>
      <c r="R379" s="8">
        <f>IF(Tabela1[[#This Row],[Durable Goods CPI]]="",#N/A,((Tabela1[[#This Row],[Durable Goods CPI]]*1)/P367)-1)</f>
        <v>5.7542768273717071E-2</v>
      </c>
      <c r="S379" s="7">
        <v>7.4578682880000002</v>
      </c>
      <c r="T379" s="7">
        <v>32.008000000000003</v>
      </c>
      <c r="U379" s="8">
        <f>IF(Tabela1[[#This Row],[Personal Consumption Expenditures (PCE)]]="",#N/A,((Tabela1[[#This Row],[Personal Consumption Expenditures (PCE)]]*1)/T378)-1)</f>
        <v>7.1426323904220101E-3</v>
      </c>
      <c r="V379" s="8">
        <f>IF(Tabela1[[#This Row],[Personal Consumption Expenditures (PCE)]]="",#N/A,((Tabela1[[#This Row],[Personal Consumption Expenditures (PCE)]]*1)/T367)-1)</f>
        <v>6.8250842706004233E-2</v>
      </c>
      <c r="W379" s="7">
        <v>32.098999999999997</v>
      </c>
      <c r="X379" s="8">
        <f>IF(Tabela1[[#This Row],[Core PCE]]="",#N/A,((Tabela1[[#This Row],[Core PCE]]*1)/W378)-1)</f>
        <v>5.8913854156872336E-3</v>
      </c>
      <c r="Y379" s="8">
        <f>IF(Tabela1[[#This Row],[Core PCE]]="",#N/A,((Tabela1[[#This Row],[Core PCE]]*1)/W367)-1)</f>
        <v>6.5986981934112565E-2</v>
      </c>
      <c r="Z379" s="8">
        <f t="shared" si="17"/>
        <v>7.1118339925598129E-2</v>
      </c>
      <c r="AA379" s="8">
        <f t="shared" si="16"/>
        <v>6.5539875220649968E-2</v>
      </c>
      <c r="AB379" s="7">
        <v>5.89</v>
      </c>
      <c r="AC379" s="7"/>
      <c r="AD379" s="8"/>
      <c r="AE379" s="71"/>
      <c r="AF379" s="7">
        <v>6.9</v>
      </c>
      <c r="AG379" s="5"/>
    </row>
    <row r="380" spans="1:33" ht="12.75">
      <c r="A380" s="6">
        <v>28642</v>
      </c>
      <c r="B380" s="7">
        <v>65</v>
      </c>
      <c r="C380" s="8">
        <f>IF(Tabela1[[#This Row],[Consumer Price Index (CPI)]]="",#N/A,((Tabela1[[#This Row],[Consumer Price Index (CPI)]]*1)/B379)-1)</f>
        <v>7.7519379844961378E-3</v>
      </c>
      <c r="D380" s="8">
        <f>IF(Tabela1[[#This Row],[Consumer Price Index (CPI)]]="",#N/A,((Tabela1[[#This Row],[Consumer Price Index (CPI)]]*1)/B368)-1)</f>
        <v>7.4380165289256173E-2</v>
      </c>
      <c r="E380" s="25">
        <v>65.2</v>
      </c>
      <c r="F380" s="8">
        <f>IF(Tabela1[[#This Row],[Core Consumer Price Index]]="",#N/A,((Tabela1[[#This Row],[Core Consumer Price Index]]*1)/E379)-1)</f>
        <v>7.7279752704790816E-3</v>
      </c>
      <c r="G380" s="8">
        <f>IF(Tabela1[[#This Row],[Core Consumer Price Index]]="",#N/A,((Tabela1[[#This Row],[Core Consumer Price Index]]*1)/E368)-1)</f>
        <v>6.8852459016393475E-2</v>
      </c>
      <c r="H380" s="8">
        <f t="shared" si="14"/>
        <v>8.7143222717861235E-2</v>
      </c>
      <c r="I380" s="8">
        <f t="shared" si="15"/>
        <v>7.8457794866102493E-2</v>
      </c>
      <c r="J380" s="25">
        <v>60.5</v>
      </c>
      <c r="K380" s="8">
        <f>IF(Tabela1[[#This Row],[Services CPI]]="",#N/A,((Tabela1[[#This Row],[Services CPI]]*1)/J379)-1)</f>
        <v>8.3333333333333037E-3</v>
      </c>
      <c r="L380" s="8">
        <f>IF(Tabela1[[#This Row],[Services CPI]]="",#N/A,((Tabela1[[#This Row],[Services CPI]]*1)/J368)-1)</f>
        <v>8.4229390681003657E-2</v>
      </c>
      <c r="M380" s="7">
        <v>61.1</v>
      </c>
      <c r="N380" s="8">
        <f>IF(Tabela1[[#This Row],[Core-Services CPI]]="",#N/A,((Tabela1[[#This Row],[Core-Services CPI]]*1)/M379)-1)</f>
        <v>9.917355371900749E-3</v>
      </c>
      <c r="O380" s="8">
        <f>IF(Tabela1[[#This Row],[Core-Services CPI]]="",#N/A,((Tabela1[[#This Row],[Core-Services CPI]]*1)/M368)-1)</f>
        <v>8.1415929203539905E-2</v>
      </c>
      <c r="P380" s="7">
        <v>68.5</v>
      </c>
      <c r="Q380" s="8">
        <f>IF(Tabela1[[#This Row],[Durable Goods CPI]]="",#N/A,((Tabela1[[#This Row],[Durable Goods CPI]]*1)/P379)-1)</f>
        <v>7.3529411764705621E-3</v>
      </c>
      <c r="R380" s="8">
        <f>IF(Tabela1[[#This Row],[Durable Goods CPI]]="",#N/A,((Tabela1[[#This Row],[Durable Goods CPI]]*1)/P368)-1)</f>
        <v>6.3664596273291796E-2</v>
      </c>
      <c r="S380" s="7">
        <v>7.4372113239999997</v>
      </c>
      <c r="T380" s="7">
        <v>32.216999999999999</v>
      </c>
      <c r="U380" s="8">
        <f>IF(Tabela1[[#This Row],[Personal Consumption Expenditures (PCE)]]="",#N/A,((Tabela1[[#This Row],[Personal Consumption Expenditures (PCE)]]*1)/T379)-1)</f>
        <v>6.5296175956008895E-3</v>
      </c>
      <c r="V380" s="8">
        <f>IF(Tabela1[[#This Row],[Personal Consumption Expenditures (PCE)]]="",#N/A,((Tabela1[[#This Row],[Personal Consumption Expenditures (PCE)]]*1)/T368)-1)</f>
        <v>6.9231024526235307E-2</v>
      </c>
      <c r="W380" s="7">
        <v>32.277999999999999</v>
      </c>
      <c r="X380" s="8">
        <f>IF(Tabela1[[#This Row],[Core PCE]]="",#N/A,((Tabela1[[#This Row],[Core PCE]]*1)/W379)-1)</f>
        <v>5.5764977102090718E-3</v>
      </c>
      <c r="Y380" s="8">
        <f>IF(Tabela1[[#This Row],[Core PCE]]="",#N/A,((Tabela1[[#This Row],[Core PCE]]*1)/W368)-1)</f>
        <v>6.5561864518684621E-2</v>
      </c>
      <c r="Z380" s="8">
        <f t="shared" si="17"/>
        <v>7.1734145258268711E-2</v>
      </c>
      <c r="AA380" s="8">
        <f t="shared" si="16"/>
        <v>6.6392551974959524E-2</v>
      </c>
      <c r="AB380" s="7">
        <v>5.91</v>
      </c>
      <c r="AC380" s="7"/>
      <c r="AD380" s="8"/>
      <c r="AE380" s="71"/>
      <c r="AF380" s="7">
        <v>6.5</v>
      </c>
      <c r="AG380" s="5"/>
    </row>
    <row r="381" spans="1:33" ht="12.75">
      <c r="A381" s="6">
        <v>28672</v>
      </c>
      <c r="B381" s="7">
        <v>65.5</v>
      </c>
      <c r="C381" s="8">
        <f>IF(Tabela1[[#This Row],[Consumer Price Index (CPI)]]="",#N/A,((Tabela1[[#This Row],[Consumer Price Index (CPI)]]*1)/B380)-1)</f>
        <v>7.692307692307665E-3</v>
      </c>
      <c r="D381" s="8">
        <f>IF(Tabela1[[#This Row],[Consumer Price Index (CPI)]]="",#N/A,((Tabela1[[#This Row],[Consumer Price Index (CPI)]]*1)/B369)-1)</f>
        <v>7.7302631578947345E-2</v>
      </c>
      <c r="E381" s="25">
        <v>65.599999999999994</v>
      </c>
      <c r="F381" s="8">
        <f>IF(Tabela1[[#This Row],[Core Consumer Price Index]]="",#N/A,((Tabela1[[#This Row],[Core Consumer Price Index]]*1)/E380)-1)</f>
        <v>6.1349693251533388E-3</v>
      </c>
      <c r="G381" s="8">
        <f>IF(Tabela1[[#This Row],[Core Consumer Price Index]]="",#N/A,((Tabela1[[#This Row],[Core Consumer Price Index]]*1)/E369)-1)</f>
        <v>7.1895424836601274E-2</v>
      </c>
      <c r="H381" s="8">
        <f t="shared" si="14"/>
        <v>8.0335137636029508E-2</v>
      </c>
      <c r="I381" s="8">
        <f t="shared" si="15"/>
        <v>7.7968562862501756E-2</v>
      </c>
      <c r="J381" s="25">
        <v>61</v>
      </c>
      <c r="K381" s="8">
        <f>IF(Tabela1[[#This Row],[Services CPI]]="",#N/A,((Tabela1[[#This Row],[Services CPI]]*1)/J380)-1)</f>
        <v>8.2644628099173278E-3</v>
      </c>
      <c r="L381" s="8">
        <f>IF(Tabela1[[#This Row],[Services CPI]]="",#N/A,((Tabela1[[#This Row],[Services CPI]]*1)/J369)-1)</f>
        <v>8.3481349911190161E-2</v>
      </c>
      <c r="M381" s="7">
        <v>61.6</v>
      </c>
      <c r="N381" s="8">
        <f>IF(Tabela1[[#This Row],[Core-Services CPI]]="",#N/A,((Tabela1[[#This Row],[Core-Services CPI]]*1)/M380)-1)</f>
        <v>8.1833060556464332E-3</v>
      </c>
      <c r="O381" s="8">
        <f>IF(Tabela1[[#This Row],[Core-Services CPI]]="",#N/A,((Tabela1[[#This Row],[Core-Services CPI]]*1)/M369)-1)</f>
        <v>8.2601054481546532E-2</v>
      </c>
      <c r="P381" s="7">
        <v>68.8</v>
      </c>
      <c r="Q381" s="8">
        <f>IF(Tabela1[[#This Row],[Durable Goods CPI]]="",#N/A,((Tabela1[[#This Row],[Durable Goods CPI]]*1)/P380)-1)</f>
        <v>4.3795620437956373E-3</v>
      </c>
      <c r="R381" s="8">
        <f>IF(Tabela1[[#This Row],[Durable Goods CPI]]="",#N/A,((Tabela1[[#This Row],[Durable Goods CPI]]*1)/P369)-1)</f>
        <v>6.6666666666666652E-2</v>
      </c>
      <c r="S381" s="7">
        <v>7.6676509060000004</v>
      </c>
      <c r="T381" s="7">
        <v>32.393000000000001</v>
      </c>
      <c r="U381" s="8">
        <f>IF(Tabela1[[#This Row],[Personal Consumption Expenditures (PCE)]]="",#N/A,((Tabela1[[#This Row],[Personal Consumption Expenditures (PCE)]]*1)/T380)-1)</f>
        <v>5.4629543408759584E-3</v>
      </c>
      <c r="V381" s="8">
        <f>IF(Tabela1[[#This Row],[Personal Consumption Expenditures (PCE)]]="",#N/A,((Tabela1[[#This Row],[Personal Consumption Expenditures (PCE)]]*1)/T369)-1)</f>
        <v>6.9534783900683461E-2</v>
      </c>
      <c r="W381" s="7">
        <v>32.468000000000004</v>
      </c>
      <c r="X381" s="8">
        <f>IF(Tabela1[[#This Row],[Core PCE]]="",#N/A,((Tabela1[[#This Row],[Core PCE]]*1)/W380)-1)</f>
        <v>5.8863622281430938E-3</v>
      </c>
      <c r="Y381" s="8">
        <f>IF(Tabela1[[#This Row],[Core PCE]]="",#N/A,((Tabela1[[#This Row],[Core PCE]]*1)/W369)-1)</f>
        <v>6.5258046523836155E-2</v>
      </c>
      <c r="Z381" s="8">
        <f t="shared" si="17"/>
        <v>6.9416981416157597E-2</v>
      </c>
      <c r="AA381" s="8">
        <f t="shared" si="16"/>
        <v>6.6188461495452877E-2</v>
      </c>
      <c r="AB381" s="7">
        <v>5.99</v>
      </c>
      <c r="AC381" s="7"/>
      <c r="AD381" s="8"/>
      <c r="AE381" s="71"/>
      <c r="AF381" s="7">
        <v>6.6</v>
      </c>
      <c r="AG381" s="5"/>
    </row>
    <row r="382" spans="1:33" ht="12.75">
      <c r="A382" s="6">
        <v>28703</v>
      </c>
      <c r="B382" s="7">
        <v>65.900000000000006</v>
      </c>
      <c r="C382" s="8">
        <f>IF(Tabela1[[#This Row],[Consumer Price Index (CPI)]]="",#N/A,((Tabela1[[#This Row],[Consumer Price Index (CPI)]]*1)/B381)-1)</f>
        <v>6.1068702290076882E-3</v>
      </c>
      <c r="D382" s="8">
        <f>IF(Tabela1[[#This Row],[Consumer Price Index (CPI)]]="",#N/A,((Tabela1[[#This Row],[Consumer Price Index (CPI)]]*1)/B370)-1)</f>
        <v>7.8559738134206247E-2</v>
      </c>
      <c r="E382" s="25">
        <v>66.099999999999994</v>
      </c>
      <c r="F382" s="8">
        <f>IF(Tabela1[[#This Row],[Core Consumer Price Index]]="",#N/A,((Tabela1[[#This Row],[Core Consumer Price Index]]*1)/E381)-1)</f>
        <v>7.6219512195121464E-3</v>
      </c>
      <c r="G382" s="8">
        <f>IF(Tabela1[[#This Row],[Core Consumer Price Index]]="",#N/A,((Tabela1[[#This Row],[Core Consumer Price Index]]*1)/E370)-1)</f>
        <v>7.4796747967479593E-2</v>
      </c>
      <c r="H382" s="8">
        <f t="shared" ref="H382:H445" si="18">SUM(F380:F382)*4</f>
        <v>8.5939583260578267E-2</v>
      </c>
      <c r="I382" s="8">
        <f t="shared" si="15"/>
        <v>8.3703748978229964E-2</v>
      </c>
      <c r="J382" s="25">
        <v>61.5</v>
      </c>
      <c r="K382" s="8">
        <f>IF(Tabela1[[#This Row],[Services CPI]]="",#N/A,((Tabela1[[#This Row],[Services CPI]]*1)/J381)-1)</f>
        <v>8.1967213114753079E-3</v>
      </c>
      <c r="L382" s="8">
        <f>IF(Tabela1[[#This Row],[Services CPI]]="",#N/A,((Tabela1[[#This Row],[Services CPI]]*1)/J370)-1)</f>
        <v>8.6572438162544119E-2</v>
      </c>
      <c r="M382" s="7">
        <v>62.2</v>
      </c>
      <c r="N382" s="8">
        <f>IF(Tabela1[[#This Row],[Core-Services CPI]]="",#N/A,((Tabela1[[#This Row],[Core-Services CPI]]*1)/M381)-1)</f>
        <v>9.7402597402598268E-3</v>
      </c>
      <c r="O382" s="8">
        <f>IF(Tabela1[[#This Row],[Core-Services CPI]]="",#N/A,((Tabela1[[#This Row],[Core-Services CPI]]*1)/M370)-1)</f>
        <v>8.7412587412587506E-2</v>
      </c>
      <c r="P382" s="7">
        <v>69.2</v>
      </c>
      <c r="Q382" s="8">
        <f>IF(Tabela1[[#This Row],[Durable Goods CPI]]="",#N/A,((Tabela1[[#This Row],[Durable Goods CPI]]*1)/P381)-1)</f>
        <v>5.8139534883721034E-3</v>
      </c>
      <c r="R382" s="8">
        <f>IF(Tabela1[[#This Row],[Durable Goods CPI]]="",#N/A,((Tabela1[[#This Row],[Durable Goods CPI]]*1)/P370)-1)</f>
        <v>7.1207430340557432E-2</v>
      </c>
      <c r="S382" s="7">
        <v>7.705467144</v>
      </c>
      <c r="T382" s="7">
        <v>32.557000000000002</v>
      </c>
      <c r="U382" s="8">
        <f>IF(Tabela1[[#This Row],[Personal Consumption Expenditures (PCE)]]="",#N/A,((Tabela1[[#This Row],[Personal Consumption Expenditures (PCE)]]*1)/T381)-1)</f>
        <v>5.0628222146760216E-3</v>
      </c>
      <c r="V382" s="8">
        <f>IF(Tabela1[[#This Row],[Personal Consumption Expenditures (PCE)]]="",#N/A,((Tabela1[[#This Row],[Personal Consumption Expenditures (PCE)]]*1)/T370)-1)</f>
        <v>6.9968450111739244E-2</v>
      </c>
      <c r="W382" s="7">
        <v>32.642000000000003</v>
      </c>
      <c r="X382" s="8">
        <f>IF(Tabela1[[#This Row],[Core PCE]]="",#N/A,((Tabela1[[#This Row],[Core PCE]]*1)/W381)-1)</f>
        <v>5.3591228286311576E-3</v>
      </c>
      <c r="Y382" s="8">
        <f>IF(Tabela1[[#This Row],[Core PCE]]="",#N/A,((Tabela1[[#This Row],[Core PCE]]*1)/W370)-1)</f>
        <v>6.5722028143262889E-2</v>
      </c>
      <c r="Z382" s="8">
        <f t="shared" si="17"/>
        <v>6.7287931067933293E-2</v>
      </c>
      <c r="AA382" s="8">
        <f t="shared" si="16"/>
        <v>6.9203135496765711E-2</v>
      </c>
      <c r="AB382" s="7">
        <v>6.03</v>
      </c>
      <c r="AC382" s="7"/>
      <c r="AD382" s="8"/>
      <c r="AE382" s="71"/>
      <c r="AF382" s="7">
        <v>8.6999999999999993</v>
      </c>
      <c r="AG382" s="5"/>
    </row>
    <row r="383" spans="1:33" ht="12.75">
      <c r="A383" s="6">
        <v>28734</v>
      </c>
      <c r="B383" s="7">
        <v>66.5</v>
      </c>
      <c r="C383" s="8">
        <f>IF(Tabela1[[#This Row],[Consumer Price Index (CPI)]]="",#N/A,((Tabela1[[#This Row],[Consumer Price Index (CPI)]]*1)/B382)-1)</f>
        <v>9.1047040971168336E-3</v>
      </c>
      <c r="D383" s="8">
        <f>IF(Tabela1[[#This Row],[Consumer Price Index (CPI)]]="",#N/A,((Tabela1[[#This Row],[Consumer Price Index (CPI)]]*1)/B371)-1)</f>
        <v>8.4828711256117462E-2</v>
      </c>
      <c r="E383" s="25">
        <v>66.7</v>
      </c>
      <c r="F383" s="8">
        <f>IF(Tabela1[[#This Row],[Core Consumer Price Index]]="",#N/A,((Tabela1[[#This Row],[Core Consumer Price Index]]*1)/E382)-1)</f>
        <v>9.0771558245084094E-3</v>
      </c>
      <c r="G383" s="8">
        <f>IF(Tabela1[[#This Row],[Core Consumer Price Index]]="",#N/A,((Tabela1[[#This Row],[Core Consumer Price Index]]*1)/E371)-1)</f>
        <v>7.928802588996775E-2</v>
      </c>
      <c r="H383" s="8">
        <f t="shared" si="18"/>
        <v>9.1336305476695578E-2</v>
      </c>
      <c r="I383" s="8">
        <f t="shared" si="15"/>
        <v>8.9239764097278407E-2</v>
      </c>
      <c r="J383" s="25">
        <v>62.1</v>
      </c>
      <c r="K383" s="8">
        <f>IF(Tabela1[[#This Row],[Services CPI]]="",#N/A,((Tabela1[[#This Row],[Services CPI]]*1)/J382)-1)</f>
        <v>9.7560975609756184E-3</v>
      </c>
      <c r="L383" s="8">
        <f>IF(Tabela1[[#This Row],[Services CPI]]="",#N/A,((Tabela1[[#This Row],[Services CPI]]*1)/J371)-1)</f>
        <v>9.1388400702987704E-2</v>
      </c>
      <c r="M383" s="7">
        <v>62.8</v>
      </c>
      <c r="N383" s="8">
        <f>IF(Tabela1[[#This Row],[Core-Services CPI]]="",#N/A,((Tabela1[[#This Row],[Core-Services CPI]]*1)/M382)-1)</f>
        <v>9.6463022508037621E-3</v>
      </c>
      <c r="O383" s="8">
        <f>IF(Tabela1[[#This Row],[Core-Services CPI]]="",#N/A,((Tabela1[[#This Row],[Core-Services CPI]]*1)/M371)-1)</f>
        <v>9.2173913043478217E-2</v>
      </c>
      <c r="P383" s="7">
        <v>69.7</v>
      </c>
      <c r="Q383" s="8">
        <f>IF(Tabela1[[#This Row],[Durable Goods CPI]]="",#N/A,((Tabela1[[#This Row],[Durable Goods CPI]]*1)/P382)-1)</f>
        <v>7.225433526011571E-3</v>
      </c>
      <c r="R383" s="8">
        <f>IF(Tabela1[[#This Row],[Durable Goods CPI]]="",#N/A,((Tabela1[[#This Row],[Durable Goods CPI]]*1)/P371)-1)</f>
        <v>7.5617283950617287E-2</v>
      </c>
      <c r="S383" s="7">
        <v>7.9392109570000002</v>
      </c>
      <c r="T383" s="7">
        <v>32.741999999999997</v>
      </c>
      <c r="U383" s="8">
        <f>IF(Tabela1[[#This Row],[Personal Consumption Expenditures (PCE)]]="",#N/A,((Tabela1[[#This Row],[Personal Consumption Expenditures (PCE)]]*1)/T382)-1)</f>
        <v>5.6823417391036468E-3</v>
      </c>
      <c r="V383" s="8">
        <f>IF(Tabela1[[#This Row],[Personal Consumption Expenditures (PCE)]]="",#N/A,((Tabela1[[#This Row],[Personal Consumption Expenditures (PCE)]]*1)/T371)-1)</f>
        <v>7.1996856890285788E-2</v>
      </c>
      <c r="W383" s="7">
        <v>32.83</v>
      </c>
      <c r="X383" s="8">
        <f>IF(Tabela1[[#This Row],[Core PCE]]="",#N/A,((Tabela1[[#This Row],[Core PCE]]*1)/W382)-1)</f>
        <v>5.7594510140308586E-3</v>
      </c>
      <c r="Y383" s="8">
        <f>IF(Tabela1[[#This Row],[Core PCE]]="",#N/A,((Tabela1[[#This Row],[Core PCE]]*1)/W371)-1)</f>
        <v>6.736458807464718E-2</v>
      </c>
      <c r="Z383" s="8">
        <f t="shared" si="17"/>
        <v>6.801974428322044E-2</v>
      </c>
      <c r="AA383" s="8">
        <f t="shared" si="16"/>
        <v>6.9876944770744576E-2</v>
      </c>
      <c r="AB383" s="7">
        <v>6.21</v>
      </c>
      <c r="AC383" s="7"/>
      <c r="AD383" s="8"/>
      <c r="AE383" s="71"/>
      <c r="AF383" s="7">
        <v>6.9</v>
      </c>
      <c r="AG383" s="5"/>
    </row>
    <row r="384" spans="1:33" ht="12.75">
      <c r="A384" s="6">
        <v>28764</v>
      </c>
      <c r="B384" s="7">
        <v>67.099999999999994</v>
      </c>
      <c r="C384" s="8">
        <f>IF(Tabela1[[#This Row],[Consumer Price Index (CPI)]]="",#N/A,((Tabela1[[#This Row],[Consumer Price Index (CPI)]]*1)/B383)-1)</f>
        <v>9.0225563909773765E-3</v>
      </c>
      <c r="D384" s="8">
        <f>IF(Tabela1[[#This Row],[Consumer Price Index (CPI)]]="",#N/A,((Tabela1[[#This Row],[Consumer Price Index (CPI)]]*1)/B372)-1)</f>
        <v>8.9285714285714191E-2</v>
      </c>
      <c r="E384" s="25">
        <v>67.2</v>
      </c>
      <c r="F384" s="8">
        <f>IF(Tabela1[[#This Row],[Core Consumer Price Index]]="",#N/A,((Tabela1[[#This Row],[Core Consumer Price Index]]*1)/E383)-1)</f>
        <v>7.496251874062887E-3</v>
      </c>
      <c r="G384" s="8">
        <f>IF(Tabela1[[#This Row],[Core Consumer Price Index]]="",#N/A,((Tabela1[[#This Row],[Core Consumer Price Index]]*1)/E372)-1)</f>
        <v>8.3870967741935587E-2</v>
      </c>
      <c r="H384" s="8">
        <f t="shared" si="18"/>
        <v>9.6781435672333771E-2</v>
      </c>
      <c r="I384" s="8">
        <f t="shared" si="15"/>
        <v>8.8558286654181639E-2</v>
      </c>
      <c r="J384" s="25">
        <v>62.6</v>
      </c>
      <c r="K384" s="8">
        <f>IF(Tabela1[[#This Row],[Services CPI]]="",#N/A,((Tabela1[[#This Row],[Services CPI]]*1)/J383)-1)</f>
        <v>8.0515297906602612E-3</v>
      </c>
      <c r="L384" s="8">
        <f>IF(Tabela1[[#This Row],[Services CPI]]="",#N/A,((Tabela1[[#This Row],[Services CPI]]*1)/J372)-1)</f>
        <v>9.4405594405594373E-2</v>
      </c>
      <c r="M384" s="7">
        <v>63.3</v>
      </c>
      <c r="N384" s="8">
        <f>IF(Tabela1[[#This Row],[Core-Services CPI]]="",#N/A,((Tabela1[[#This Row],[Core-Services CPI]]*1)/M383)-1)</f>
        <v>7.9617834394904996E-3</v>
      </c>
      <c r="O384" s="8">
        <f>IF(Tabela1[[#This Row],[Core-Services CPI]]="",#N/A,((Tabela1[[#This Row],[Core-Services CPI]]*1)/M372)-1)</f>
        <v>9.5155709342560568E-2</v>
      </c>
      <c r="P384" s="7">
        <v>70.2</v>
      </c>
      <c r="Q384" s="8">
        <f>IF(Tabela1[[#This Row],[Durable Goods CPI]]="",#N/A,((Tabela1[[#This Row],[Durable Goods CPI]]*1)/P383)-1)</f>
        <v>7.1736011477760986E-3</v>
      </c>
      <c r="R384" s="8">
        <f>IF(Tabela1[[#This Row],[Durable Goods CPI]]="",#N/A,((Tabela1[[#This Row],[Durable Goods CPI]]*1)/P372)-1)</f>
        <v>8.1664098613251079E-2</v>
      </c>
      <c r="S384" s="7">
        <v>8.2040468959999995</v>
      </c>
      <c r="T384" s="7">
        <v>33.003</v>
      </c>
      <c r="U384" s="8">
        <f>IF(Tabela1[[#This Row],[Personal Consumption Expenditures (PCE)]]="",#N/A,((Tabela1[[#This Row],[Personal Consumption Expenditures (PCE)]]*1)/T383)-1)</f>
        <v>7.9714128642112136E-3</v>
      </c>
      <c r="V384" s="8">
        <f>IF(Tabela1[[#This Row],[Personal Consumption Expenditures (PCE)]]="",#N/A,((Tabela1[[#This Row],[Personal Consumption Expenditures (PCE)]]*1)/T372)-1)</f>
        <v>7.5541795665634792E-2</v>
      </c>
      <c r="W384" s="7">
        <v>33.070999999999998</v>
      </c>
      <c r="X384" s="8">
        <f>IF(Tabela1[[#This Row],[Core PCE]]="",#N/A,((Tabela1[[#This Row],[Core PCE]]*1)/W383)-1)</f>
        <v>7.3408467864757299E-3</v>
      </c>
      <c r="Y384" s="8">
        <f>IF(Tabela1[[#This Row],[Core PCE]]="",#N/A,((Tabela1[[#This Row],[Core PCE]]*1)/W372)-1)</f>
        <v>7.0016501116251906E-2</v>
      </c>
      <c r="Z384" s="8">
        <f t="shared" si="17"/>
        <v>7.3837682516550984E-2</v>
      </c>
      <c r="AA384" s="8">
        <f t="shared" si="16"/>
        <v>7.1627331966354291E-2</v>
      </c>
      <c r="AB384" s="7">
        <v>6.54</v>
      </c>
      <c r="AC384" s="7"/>
      <c r="AD384" s="8"/>
      <c r="AE384" s="71"/>
      <c r="AF384" s="7">
        <v>7.4</v>
      </c>
      <c r="AG384" s="5"/>
    </row>
    <row r="385" spans="1:33" ht="12.75">
      <c r="A385" s="6">
        <v>28795</v>
      </c>
      <c r="B385" s="7">
        <v>67.5</v>
      </c>
      <c r="C385" s="8">
        <f>IF(Tabela1[[#This Row],[Consumer Price Index (CPI)]]="",#N/A,((Tabela1[[#This Row],[Consumer Price Index (CPI)]]*1)/B384)-1)</f>
        <v>5.9612518628913147E-3</v>
      </c>
      <c r="D385" s="8">
        <f>IF(Tabela1[[#This Row],[Consumer Price Index (CPI)]]="",#N/A,((Tabela1[[#This Row],[Consumer Price Index (CPI)]]*1)/B373)-1)</f>
        <v>8.870967741935476E-2</v>
      </c>
      <c r="E385" s="25">
        <v>67.599999999999994</v>
      </c>
      <c r="F385" s="8">
        <f>IF(Tabela1[[#This Row],[Core Consumer Price Index]]="",#N/A,((Tabela1[[#This Row],[Core Consumer Price Index]]*1)/E384)-1)</f>
        <v>5.9523809523809312E-3</v>
      </c>
      <c r="G385" s="8">
        <f>IF(Tabela1[[#This Row],[Core Consumer Price Index]]="",#N/A,((Tabela1[[#This Row],[Core Consumer Price Index]]*1)/E373)-1)</f>
        <v>8.5072231139646792E-2</v>
      </c>
      <c r="H385" s="8">
        <f t="shared" si="18"/>
        <v>9.010315460380891E-2</v>
      </c>
      <c r="I385" s="8">
        <f t="shared" ref="I385:I448" si="19">SUM(F380:F385)*2</f>
        <v>8.8021368932193589E-2</v>
      </c>
      <c r="J385" s="25">
        <v>63.1</v>
      </c>
      <c r="K385" s="8">
        <f>IF(Tabela1[[#This Row],[Services CPI]]="",#N/A,((Tabela1[[#This Row],[Services CPI]]*1)/J384)-1)</f>
        <v>7.9872204472843933E-3</v>
      </c>
      <c r="L385" s="8">
        <f>IF(Tabela1[[#This Row],[Services CPI]]="",#N/A,((Tabela1[[#This Row],[Services CPI]]*1)/J373)-1)</f>
        <v>9.548611111111116E-2</v>
      </c>
      <c r="M385" s="7">
        <v>63.8</v>
      </c>
      <c r="N385" s="8">
        <f>IF(Tabela1[[#This Row],[Core-Services CPI]]="",#N/A,((Tabela1[[#This Row],[Core-Services CPI]]*1)/M384)-1)</f>
        <v>7.89889415481837E-3</v>
      </c>
      <c r="O385" s="8">
        <f>IF(Tabela1[[#This Row],[Core-Services CPI]]="",#N/A,((Tabela1[[#This Row],[Core-Services CPI]]*1)/M373)-1)</f>
        <v>9.8106712564543841E-2</v>
      </c>
      <c r="P385" s="7">
        <v>70.599999999999994</v>
      </c>
      <c r="Q385" s="8">
        <f>IF(Tabela1[[#This Row],[Durable Goods CPI]]="",#N/A,((Tabela1[[#This Row],[Durable Goods CPI]]*1)/P384)-1)</f>
        <v>5.6980056980056037E-3</v>
      </c>
      <c r="R385" s="8">
        <f>IF(Tabela1[[#This Row],[Durable Goods CPI]]="",#N/A,((Tabela1[[#This Row],[Durable Goods CPI]]*1)/P373)-1)</f>
        <v>8.2822085889570518E-2</v>
      </c>
      <c r="S385" s="7">
        <v>8.6055779940000008</v>
      </c>
      <c r="T385" s="7">
        <v>33.19</v>
      </c>
      <c r="U385" s="8">
        <f>IF(Tabela1[[#This Row],[Personal Consumption Expenditures (PCE)]]="",#N/A,((Tabela1[[#This Row],[Personal Consumption Expenditures (PCE)]]*1)/T384)-1)</f>
        <v>5.6661515619791381E-3</v>
      </c>
      <c r="V385" s="8">
        <f>IF(Tabela1[[#This Row],[Personal Consumption Expenditures (PCE)]]="",#N/A,((Tabela1[[#This Row],[Personal Consumption Expenditures (PCE)]]*1)/T373)-1)</f>
        <v>7.5467418424548738E-2</v>
      </c>
      <c r="W385" s="7">
        <v>33.249000000000002</v>
      </c>
      <c r="X385" s="8">
        <f>IF(Tabela1[[#This Row],[Core PCE]]="",#N/A,((Tabela1[[#This Row],[Core PCE]]*1)/W384)-1)</f>
        <v>5.3823591666415371E-3</v>
      </c>
      <c r="Y385" s="8">
        <f>IF(Tabela1[[#This Row],[Core PCE]]="",#N/A,((Tabela1[[#This Row],[Core PCE]]*1)/W373)-1)</f>
        <v>7.0235297904529093E-2</v>
      </c>
      <c r="Z385" s="8">
        <f t="shared" si="17"/>
        <v>7.3930627868592502E-2</v>
      </c>
      <c r="AA385" s="8">
        <f t="shared" si="16"/>
        <v>7.0609279468262898E-2</v>
      </c>
      <c r="AB385" s="7">
        <v>6.65</v>
      </c>
      <c r="AC385" s="7"/>
      <c r="AD385" s="8"/>
      <c r="AE385" s="71"/>
      <c r="AF385" s="7">
        <v>7.5</v>
      </c>
      <c r="AG385" s="5"/>
    </row>
    <row r="386" spans="1:33" ht="12.75">
      <c r="A386" s="6">
        <v>28825</v>
      </c>
      <c r="B386" s="7">
        <v>67.900000000000006</v>
      </c>
      <c r="C386" s="8">
        <f>IF(Tabela1[[#This Row],[Consumer Price Index (CPI)]]="",#N/A,((Tabela1[[#This Row],[Consumer Price Index (CPI)]]*1)/B385)-1)</f>
        <v>5.9259259259261121E-3</v>
      </c>
      <c r="D386" s="8">
        <f>IF(Tabela1[[#This Row],[Consumer Price Index (CPI)]]="",#N/A,((Tabela1[[#This Row],[Consumer Price Index (CPI)]]*1)/B374)-1)</f>
        <v>8.9887640449438422E-2</v>
      </c>
      <c r="E386" s="25">
        <v>68</v>
      </c>
      <c r="F386" s="8">
        <f>IF(Tabela1[[#This Row],[Core Consumer Price Index]]="",#N/A,((Tabela1[[#This Row],[Core Consumer Price Index]]*1)/E385)-1)</f>
        <v>5.9171597633136397E-3</v>
      </c>
      <c r="G386" s="8">
        <f>IF(Tabela1[[#This Row],[Core Consumer Price Index]]="",#N/A,((Tabela1[[#This Row],[Core Consumer Price Index]]*1)/E374)-1)</f>
        <v>8.4529505582137121E-2</v>
      </c>
      <c r="H386" s="8">
        <f t="shared" si="18"/>
        <v>7.7463170359029832E-2</v>
      </c>
      <c r="I386" s="8">
        <f t="shared" si="19"/>
        <v>8.4399737917862705E-2</v>
      </c>
      <c r="J386" s="25">
        <v>63.3</v>
      </c>
      <c r="K386" s="8">
        <f>IF(Tabela1[[#This Row],[Services CPI]]="",#N/A,((Tabela1[[#This Row],[Services CPI]]*1)/J385)-1)</f>
        <v>3.1695721077653616E-3</v>
      </c>
      <c r="L386" s="8">
        <f>IF(Tabela1[[#This Row],[Services CPI]]="",#N/A,((Tabela1[[#This Row],[Services CPI]]*1)/J374)-1)</f>
        <v>9.32642487046631E-2</v>
      </c>
      <c r="M386" s="7">
        <v>64</v>
      </c>
      <c r="N386" s="8">
        <f>IF(Tabela1[[#This Row],[Core-Services CPI]]="",#N/A,((Tabela1[[#This Row],[Core-Services CPI]]*1)/M385)-1)</f>
        <v>3.1347962382446415E-3</v>
      </c>
      <c r="O386" s="8">
        <f>IF(Tabela1[[#This Row],[Core-Services CPI]]="",#N/A,((Tabela1[[#This Row],[Core-Services CPI]]*1)/M374)-1)</f>
        <v>9.5890410958904049E-2</v>
      </c>
      <c r="P386" s="7">
        <v>71.2</v>
      </c>
      <c r="Q386" s="8">
        <f>IF(Tabela1[[#This Row],[Durable Goods CPI]]="",#N/A,((Tabela1[[#This Row],[Durable Goods CPI]]*1)/P385)-1)</f>
        <v>8.4985835694051381E-3</v>
      </c>
      <c r="R386" s="8">
        <f>IF(Tabela1[[#This Row],[Durable Goods CPI]]="",#N/A,((Tabela1[[#This Row],[Durable Goods CPI]]*1)/P374)-1)</f>
        <v>8.7022900763358724E-2</v>
      </c>
      <c r="S386" s="7">
        <v>9.0624216670000006</v>
      </c>
      <c r="T386" s="7">
        <v>33.344999999999999</v>
      </c>
      <c r="U386" s="8">
        <f>IF(Tabela1[[#This Row],[Personal Consumption Expenditures (PCE)]]="",#N/A,((Tabela1[[#This Row],[Personal Consumption Expenditures (PCE)]]*1)/T385)-1)</f>
        <v>4.6700813498041782E-3</v>
      </c>
      <c r="V386" s="8">
        <f>IF(Tabela1[[#This Row],[Personal Consumption Expenditures (PCE)]]="",#N/A,((Tabela1[[#This Row],[Personal Consumption Expenditures (PCE)]]*1)/T374)-1)</f>
        <v>7.5263616136209688E-2</v>
      </c>
      <c r="W386" s="7">
        <v>33.378</v>
      </c>
      <c r="X386" s="8">
        <f>IF(Tabela1[[#This Row],[Core PCE]]="",#N/A,((Tabela1[[#This Row],[Core PCE]]*1)/W385)-1)</f>
        <v>3.8798159343138572E-3</v>
      </c>
      <c r="Y386" s="8">
        <f>IF(Tabela1[[#This Row],[Core PCE]]="",#N/A,((Tabela1[[#This Row],[Core PCE]]*1)/W374)-1)</f>
        <v>6.8882697665481718E-2</v>
      </c>
      <c r="Z386" s="8">
        <f t="shared" si="17"/>
        <v>6.6412087549724497E-2</v>
      </c>
      <c r="AA386" s="8">
        <f t="shared" si="16"/>
        <v>6.7215915916472468E-2</v>
      </c>
      <c r="AB386" s="7">
        <v>6.71</v>
      </c>
      <c r="AC386" s="7"/>
      <c r="AD386" s="8"/>
      <c r="AE386" s="71"/>
      <c r="AF386" s="7">
        <v>7.3</v>
      </c>
      <c r="AG386" s="5"/>
    </row>
    <row r="387" spans="1:33" ht="12.75">
      <c r="A387" s="6">
        <v>28856</v>
      </c>
      <c r="B387" s="7">
        <v>68.5</v>
      </c>
      <c r="C387" s="8">
        <f>IF(Tabela1[[#This Row],[Consumer Price Index (CPI)]]="",#N/A,((Tabela1[[#This Row],[Consumer Price Index (CPI)]]*1)/B386)-1)</f>
        <v>8.8365243004417948E-3</v>
      </c>
      <c r="D387" s="8">
        <f>IF(Tabela1[[#This Row],[Consumer Price Index (CPI)]]="",#N/A,((Tabela1[[#This Row],[Consumer Price Index (CPI)]]*1)/B375)-1)</f>
        <v>9.2503987240829311E-2</v>
      </c>
      <c r="E387" s="25">
        <v>68.5</v>
      </c>
      <c r="F387" s="8">
        <f>IF(Tabela1[[#This Row],[Core Consumer Price Index]]="",#N/A,((Tabela1[[#This Row],[Core Consumer Price Index]]*1)/E386)-1)</f>
        <v>7.3529411764705621E-3</v>
      </c>
      <c r="G387" s="8">
        <f>IF(Tabela1[[#This Row],[Core Consumer Price Index]]="",#N/A,((Tabela1[[#This Row],[Core Consumer Price Index]]*1)/E375)-1)</f>
        <v>8.5578446909667205E-2</v>
      </c>
      <c r="H387" s="8">
        <f t="shared" si="18"/>
        <v>7.6889927568660532E-2</v>
      </c>
      <c r="I387" s="8">
        <f t="shared" si="19"/>
        <v>8.6835681620497152E-2</v>
      </c>
      <c r="J387" s="25">
        <v>63.8</v>
      </c>
      <c r="K387" s="8">
        <f>IF(Tabela1[[#This Row],[Services CPI]]="",#N/A,((Tabela1[[#This Row],[Services CPI]]*1)/J386)-1)</f>
        <v>7.89889415481837E-3</v>
      </c>
      <c r="L387" s="8">
        <f>IF(Tabela1[[#This Row],[Services CPI]]="",#N/A,((Tabela1[[#This Row],[Services CPI]]*1)/J375)-1)</f>
        <v>9.4339622641509413E-2</v>
      </c>
      <c r="M387" s="7">
        <v>64.5</v>
      </c>
      <c r="N387" s="8">
        <f>IF(Tabela1[[#This Row],[Core-Services CPI]]="",#N/A,((Tabela1[[#This Row],[Core-Services CPI]]*1)/M386)-1)</f>
        <v>7.8125E-3</v>
      </c>
      <c r="O387" s="8">
        <f>IF(Tabela1[[#This Row],[Core-Services CPI]]="",#N/A,((Tabela1[[#This Row],[Core-Services CPI]]*1)/M375)-1)</f>
        <v>9.5076400679117157E-2</v>
      </c>
      <c r="P387" s="7">
        <v>71.900000000000006</v>
      </c>
      <c r="Q387" s="8">
        <f>IF(Tabela1[[#This Row],[Durable Goods CPI]]="",#N/A,((Tabela1[[#This Row],[Durable Goods CPI]]*1)/P386)-1)</f>
        <v>9.8314606741574107E-3</v>
      </c>
      <c r="R387" s="8">
        <f>IF(Tabela1[[#This Row],[Durable Goods CPI]]="",#N/A,((Tabela1[[#This Row],[Durable Goods CPI]]*1)/P375)-1)</f>
        <v>9.270516717325239E-2</v>
      </c>
      <c r="S387" s="7">
        <v>9.2375578059999999</v>
      </c>
      <c r="T387" s="7">
        <v>33.597000000000001</v>
      </c>
      <c r="U387" s="8">
        <f>IF(Tabela1[[#This Row],[Personal Consumption Expenditures (PCE)]]="",#N/A,((Tabela1[[#This Row],[Personal Consumption Expenditures (PCE)]]*1)/T386)-1)</f>
        <v>7.5573549257761385E-3</v>
      </c>
      <c r="V387" s="8">
        <f>IF(Tabela1[[#This Row],[Personal Consumption Expenditures (PCE)]]="",#N/A,((Tabela1[[#This Row],[Personal Consumption Expenditures (PCE)]]*1)/T375)-1)</f>
        <v>7.7034045008655516E-2</v>
      </c>
      <c r="W387" s="7">
        <v>33.548999999999999</v>
      </c>
      <c r="X387" s="8">
        <f>IF(Tabela1[[#This Row],[Core PCE]]="",#N/A,((Tabela1[[#This Row],[Core PCE]]*1)/W386)-1)</f>
        <v>5.1231349991012198E-3</v>
      </c>
      <c r="Y387" s="8">
        <f>IF(Tabela1[[#This Row],[Core PCE]]="",#N/A,((Tabela1[[#This Row],[Core PCE]]*1)/W375)-1)</f>
        <v>6.7963328452282257E-2</v>
      </c>
      <c r="Z387" s="8">
        <f t="shared" si="17"/>
        <v>5.7541240400226457E-2</v>
      </c>
      <c r="AA387" s="8">
        <f t="shared" si="16"/>
        <v>6.568946145838872E-2</v>
      </c>
      <c r="AB387" s="7">
        <v>7.02</v>
      </c>
      <c r="AC387" s="7"/>
      <c r="AD387" s="8"/>
      <c r="AE387" s="71"/>
      <c r="AF387" s="7">
        <v>7.8</v>
      </c>
      <c r="AG387" s="5"/>
    </row>
    <row r="388" spans="1:33" ht="12.75">
      <c r="A388" s="6">
        <v>28887</v>
      </c>
      <c r="B388" s="7">
        <v>69.2</v>
      </c>
      <c r="C388" s="8">
        <f>IF(Tabela1[[#This Row],[Consumer Price Index (CPI)]]="",#N/A,((Tabela1[[#This Row],[Consumer Price Index (CPI)]]*1)/B387)-1)</f>
        <v>1.0218978102189746E-2</v>
      </c>
      <c r="D388" s="8">
        <f>IF(Tabela1[[#This Row],[Consumer Price Index (CPI)]]="",#N/A,((Tabela1[[#This Row],[Consumer Price Index (CPI)]]*1)/B376)-1)</f>
        <v>9.8412698412698507E-2</v>
      </c>
      <c r="E388" s="25">
        <v>69.2</v>
      </c>
      <c r="F388" s="8">
        <f>IF(Tabela1[[#This Row],[Core Consumer Price Index]]="",#N/A,((Tabela1[[#This Row],[Core Consumer Price Index]]*1)/E387)-1)</f>
        <v>1.0218978102189746E-2</v>
      </c>
      <c r="G388" s="8">
        <f>IF(Tabela1[[#This Row],[Core Consumer Price Index]]="",#N/A,((Tabela1[[#This Row],[Core Consumer Price Index]]*1)/E376)-1)</f>
        <v>9.1482649842271391E-2</v>
      </c>
      <c r="H388" s="8">
        <f t="shared" si="18"/>
        <v>9.3956316167895793E-2</v>
      </c>
      <c r="I388" s="8">
        <f t="shared" si="19"/>
        <v>9.2029735385852351E-2</v>
      </c>
      <c r="J388" s="25">
        <v>64.400000000000006</v>
      </c>
      <c r="K388" s="8">
        <f>IF(Tabela1[[#This Row],[Services CPI]]="",#N/A,((Tabela1[[#This Row],[Services CPI]]*1)/J387)-1)</f>
        <v>9.4043887147337024E-3</v>
      </c>
      <c r="L388" s="8">
        <f>IF(Tabela1[[#This Row],[Services CPI]]="",#N/A,((Tabela1[[#This Row],[Services CPI]]*1)/J376)-1)</f>
        <v>9.7103918228279351E-2</v>
      </c>
      <c r="M388" s="7">
        <v>65.099999999999994</v>
      </c>
      <c r="N388" s="8">
        <f>IF(Tabela1[[#This Row],[Core-Services CPI]]="",#N/A,((Tabela1[[#This Row],[Core-Services CPI]]*1)/M387)-1)</f>
        <v>9.302325581395321E-3</v>
      </c>
      <c r="O388" s="8">
        <f>IF(Tabela1[[#This Row],[Core-Services CPI]]="",#N/A,((Tabela1[[#This Row],[Core-Services CPI]]*1)/M376)-1)</f>
        <v>9.7807757166947784E-2</v>
      </c>
      <c r="P388" s="7">
        <v>72.8</v>
      </c>
      <c r="Q388" s="8">
        <f>IF(Tabela1[[#This Row],[Durable Goods CPI]]="",#N/A,((Tabela1[[#This Row],[Durable Goods CPI]]*1)/P387)-1)</f>
        <v>1.2517385257301727E-2</v>
      </c>
      <c r="R388" s="8">
        <f>IF(Tabela1[[#This Row],[Durable Goods CPI]]="",#N/A,((Tabela1[[#This Row],[Durable Goods CPI]]*1)/P376)-1)</f>
        <v>9.8039215686274606E-2</v>
      </c>
      <c r="S388" s="7">
        <v>9.0711158750000003</v>
      </c>
      <c r="T388" s="7">
        <v>33.776000000000003</v>
      </c>
      <c r="U388" s="8">
        <f>IF(Tabela1[[#This Row],[Personal Consumption Expenditures (PCE)]]="",#N/A,((Tabela1[[#This Row],[Personal Consumption Expenditures (PCE)]]*1)/T387)-1)</f>
        <v>5.327856653867924E-3</v>
      </c>
      <c r="V388" s="8">
        <f>IF(Tabela1[[#This Row],[Personal Consumption Expenditures (PCE)]]="",#N/A,((Tabela1[[#This Row],[Personal Consumption Expenditures (PCE)]]*1)/T376)-1)</f>
        <v>7.7762532307986909E-2</v>
      </c>
      <c r="W388" s="7">
        <v>33.658999999999999</v>
      </c>
      <c r="X388" s="8">
        <f>IF(Tabela1[[#This Row],[Core PCE]]="",#N/A,((Tabela1[[#This Row],[Core PCE]]*1)/W387)-1)</f>
        <v>3.278786252943533E-3</v>
      </c>
      <c r="Y388" s="8">
        <f>IF(Tabela1[[#This Row],[Core PCE]]="",#N/A,((Tabela1[[#This Row],[Core PCE]]*1)/W376)-1)</f>
        <v>6.7353733946408756E-2</v>
      </c>
      <c r="Z388" s="8">
        <f t="shared" si="17"/>
        <v>4.912694874543444E-2</v>
      </c>
      <c r="AA388" s="8">
        <f t="shared" si="16"/>
        <v>6.1528788307013471E-2</v>
      </c>
      <c r="AB388" s="7">
        <v>7.21</v>
      </c>
      <c r="AC388" s="7"/>
      <c r="AD388" s="8"/>
      <c r="AE388" s="71"/>
      <c r="AF388" s="7">
        <v>9.3000000000000007</v>
      </c>
      <c r="AG388" s="5"/>
    </row>
    <row r="389" spans="1:33" ht="12.75">
      <c r="A389" s="6">
        <v>28915</v>
      </c>
      <c r="B389" s="7">
        <v>69.900000000000006</v>
      </c>
      <c r="C389" s="8">
        <f>IF(Tabela1[[#This Row],[Consumer Price Index (CPI)]]="",#N/A,((Tabela1[[#This Row],[Consumer Price Index (CPI)]]*1)/B388)-1)</f>
        <v>1.0115606936416333E-2</v>
      </c>
      <c r="D389" s="8">
        <f>IF(Tabela1[[#This Row],[Consumer Price Index (CPI)]]="",#N/A,((Tabela1[[#This Row],[Consumer Price Index (CPI)]]*1)/B377)-1)</f>
        <v>0.10252365930599372</v>
      </c>
      <c r="E389" s="25">
        <v>69.8</v>
      </c>
      <c r="F389" s="8">
        <f>IF(Tabela1[[#This Row],[Core Consumer Price Index]]="",#N/A,((Tabela1[[#This Row],[Core Consumer Price Index]]*1)/E388)-1)</f>
        <v>8.6705202312138407E-3</v>
      </c>
      <c r="G389" s="8">
        <f>IF(Tabela1[[#This Row],[Core Consumer Price Index]]="",#N/A,((Tabela1[[#This Row],[Core Consumer Price Index]]*1)/E377)-1)</f>
        <v>9.404388714733547E-2</v>
      </c>
      <c r="H389" s="8">
        <f t="shared" si="18"/>
        <v>0.1049697580394966</v>
      </c>
      <c r="I389" s="8">
        <f t="shared" si="19"/>
        <v>9.1216464199263214E-2</v>
      </c>
      <c r="J389" s="25">
        <v>64.900000000000006</v>
      </c>
      <c r="K389" s="8">
        <f>IF(Tabela1[[#This Row],[Services CPI]]="",#N/A,((Tabela1[[#This Row],[Services CPI]]*1)/J388)-1)</f>
        <v>7.763975155279601E-3</v>
      </c>
      <c r="L389" s="8">
        <f>IF(Tabela1[[#This Row],[Services CPI]]="",#N/A,((Tabela1[[#This Row],[Services CPI]]*1)/J377)-1)</f>
        <v>9.8138747884940924E-2</v>
      </c>
      <c r="M389" s="7">
        <v>65.599999999999994</v>
      </c>
      <c r="N389" s="8">
        <f>IF(Tabela1[[#This Row],[Core-Services CPI]]="",#N/A,((Tabela1[[#This Row],[Core-Services CPI]]*1)/M388)-1)</f>
        <v>7.6804915514592231E-3</v>
      </c>
      <c r="O389" s="8">
        <f>IF(Tabela1[[#This Row],[Core-Services CPI]]="",#N/A,((Tabela1[[#This Row],[Core-Services CPI]]*1)/M377)-1)</f>
        <v>0.10067114093959728</v>
      </c>
      <c r="P389" s="7">
        <v>73.599999999999994</v>
      </c>
      <c r="Q389" s="8">
        <f>IF(Tabela1[[#This Row],[Durable Goods CPI]]="",#N/A,((Tabela1[[#This Row],[Durable Goods CPI]]*1)/P388)-1)</f>
        <v>1.098901098901095E-2</v>
      </c>
      <c r="R389" s="8">
        <f>IF(Tabela1[[#This Row],[Durable Goods CPI]]="",#N/A,((Tabela1[[#This Row],[Durable Goods CPI]]*1)/P377)-1)</f>
        <v>9.8507462686567182E-2</v>
      </c>
      <c r="S389" s="7">
        <v>9.0837509220000001</v>
      </c>
      <c r="T389" s="7">
        <v>34.04</v>
      </c>
      <c r="U389" s="8">
        <f>IF(Tabela1[[#This Row],[Personal Consumption Expenditures (PCE)]]="",#N/A,((Tabela1[[#This Row],[Personal Consumption Expenditures (PCE)]]*1)/T388)-1)</f>
        <v>7.8162008526763138E-3</v>
      </c>
      <c r="V389" s="8">
        <f>IF(Tabela1[[#This Row],[Personal Consumption Expenditures (PCE)]]="",#N/A,((Tabela1[[#This Row],[Personal Consumption Expenditures (PCE)]]*1)/T377)-1)</f>
        <v>7.9195992644727653E-2</v>
      </c>
      <c r="W389" s="7">
        <v>33.851999999999997</v>
      </c>
      <c r="X389" s="8">
        <f>IF(Tabela1[[#This Row],[Core PCE]]="",#N/A,((Tabela1[[#This Row],[Core PCE]]*1)/W388)-1)</f>
        <v>5.73397902492645E-3</v>
      </c>
      <c r="Y389" s="8">
        <f>IF(Tabela1[[#This Row],[Core PCE]]="",#N/A,((Tabela1[[#This Row],[Core PCE]]*1)/W377)-1)</f>
        <v>6.7684349965306145E-2</v>
      </c>
      <c r="Z389" s="8">
        <f t="shared" si="17"/>
        <v>5.6543601107884811E-2</v>
      </c>
      <c r="AA389" s="8">
        <f t="shared" si="16"/>
        <v>6.1477844328804654E-2</v>
      </c>
      <c r="AB389" s="7">
        <v>7.25</v>
      </c>
      <c r="AC389" s="7"/>
      <c r="AD389" s="8"/>
      <c r="AE389" s="71"/>
      <c r="AF389" s="7">
        <v>8.8000000000000007</v>
      </c>
      <c r="AG389" s="5"/>
    </row>
    <row r="390" spans="1:33" ht="12.75">
      <c r="A390" s="6">
        <v>28946</v>
      </c>
      <c r="B390" s="7">
        <v>70.599999999999994</v>
      </c>
      <c r="C390" s="8">
        <f>IF(Tabela1[[#This Row],[Consumer Price Index (CPI)]]="",#N/A,((Tabela1[[#This Row],[Consumer Price Index (CPI)]]*1)/B389)-1)</f>
        <v>1.0014306151645114E-2</v>
      </c>
      <c r="D390" s="8">
        <f>IF(Tabela1[[#This Row],[Consumer Price Index (CPI)]]="",#N/A,((Tabela1[[#This Row],[Consumer Price Index (CPI)]]*1)/B378)-1)</f>
        <v>0.10485133020344284</v>
      </c>
      <c r="E390" s="25">
        <v>70.3</v>
      </c>
      <c r="F390" s="8">
        <f>IF(Tabela1[[#This Row],[Core Consumer Price Index]]="",#N/A,((Tabela1[[#This Row],[Core Consumer Price Index]]*1)/E389)-1)</f>
        <v>7.1633237822350537E-3</v>
      </c>
      <c r="G390" s="8">
        <f>IF(Tabela1[[#This Row],[Core Consumer Price Index]]="",#N/A,((Tabela1[[#This Row],[Core Consumer Price Index]]*1)/E378)-1)</f>
        <v>9.3312597200622127E-2</v>
      </c>
      <c r="H390" s="8">
        <f t="shared" si="18"/>
        <v>0.10421128846255456</v>
      </c>
      <c r="I390" s="8">
        <f t="shared" si="19"/>
        <v>9.0550608015607548E-2</v>
      </c>
      <c r="J390" s="25">
        <v>65.5</v>
      </c>
      <c r="K390" s="8">
        <f>IF(Tabela1[[#This Row],[Services CPI]]="",#N/A,((Tabela1[[#This Row],[Services CPI]]*1)/J389)-1)</f>
        <v>9.244992295839749E-3</v>
      </c>
      <c r="L390" s="8">
        <f>IF(Tabela1[[#This Row],[Services CPI]]="",#N/A,((Tabela1[[#This Row],[Services CPI]]*1)/J378)-1)</f>
        <v>9.8993288590603967E-2</v>
      </c>
      <c r="M390" s="7">
        <v>66.2</v>
      </c>
      <c r="N390" s="8">
        <f>IF(Tabela1[[#This Row],[Core-Services CPI]]="",#N/A,((Tabela1[[#This Row],[Core-Services CPI]]*1)/M389)-1)</f>
        <v>9.1463414634147533E-3</v>
      </c>
      <c r="O390" s="8">
        <f>IF(Tabela1[[#This Row],[Core-Services CPI]]="",#N/A,((Tabela1[[#This Row],[Core-Services CPI]]*1)/M378)-1)</f>
        <v>0.10149750415973391</v>
      </c>
      <c r="P390" s="7">
        <v>74.400000000000006</v>
      </c>
      <c r="Q390" s="8">
        <f>IF(Tabela1[[#This Row],[Durable Goods CPI]]="",#N/A,((Tabela1[[#This Row],[Durable Goods CPI]]*1)/P389)-1)</f>
        <v>1.0869565217391353E-2</v>
      </c>
      <c r="R390" s="8">
        <f>IF(Tabela1[[#This Row],[Durable Goods CPI]]="",#N/A,((Tabela1[[#This Row],[Durable Goods CPI]]*1)/P378)-1)</f>
        <v>0.10385756676557856</v>
      </c>
      <c r="S390" s="7">
        <v>9.5860347059999995</v>
      </c>
      <c r="T390" s="7">
        <v>34.395000000000003</v>
      </c>
      <c r="U390" s="8">
        <f>IF(Tabela1[[#This Row],[Personal Consumption Expenditures (PCE)]]="",#N/A,((Tabela1[[#This Row],[Personal Consumption Expenditures (PCE)]]*1)/T389)-1)</f>
        <v>1.0428907168037682E-2</v>
      </c>
      <c r="V390" s="8">
        <f>IF(Tabela1[[#This Row],[Personal Consumption Expenditures (PCE)]]="",#N/A,((Tabela1[[#This Row],[Personal Consumption Expenditures (PCE)]]*1)/T378)-1)</f>
        <v>8.22504011830969E-2</v>
      </c>
      <c r="W390" s="7">
        <v>34.164999999999999</v>
      </c>
      <c r="X390" s="8">
        <f>IF(Tabela1[[#This Row],[Core PCE]]="",#N/A,((Tabela1[[#This Row],[Core PCE]]*1)/W389)-1)</f>
        <v>9.2461302138722168E-3</v>
      </c>
      <c r="Y390" s="8">
        <f>IF(Tabela1[[#This Row],[Core PCE]]="",#N/A,((Tabela1[[#This Row],[Core PCE]]*1)/W378)-1)</f>
        <v>7.0633950675315749E-2</v>
      </c>
      <c r="Z390" s="8">
        <f t="shared" si="17"/>
        <v>7.3035581966968799E-2</v>
      </c>
      <c r="AA390" s="8">
        <f t="shared" si="16"/>
        <v>6.5288411183597628E-2</v>
      </c>
      <c r="AB390" s="7">
        <v>7.25</v>
      </c>
      <c r="AC390" s="7"/>
      <c r="AD390" s="8"/>
      <c r="AE390" s="71"/>
      <c r="AF390" s="7">
        <v>9.6999999999999993</v>
      </c>
      <c r="AG390" s="5"/>
    </row>
    <row r="391" spans="1:33" ht="12.75">
      <c r="A391" s="6">
        <v>28976</v>
      </c>
      <c r="B391" s="7">
        <v>71.400000000000006</v>
      </c>
      <c r="C391" s="8">
        <f>IF(Tabela1[[#This Row],[Consumer Price Index (CPI)]]="",#N/A,((Tabela1[[#This Row],[Consumer Price Index (CPI)]]*1)/B390)-1)</f>
        <v>1.1331444759206999E-2</v>
      </c>
      <c r="D391" s="8">
        <f>IF(Tabela1[[#This Row],[Consumer Price Index (CPI)]]="",#N/A,((Tabela1[[#This Row],[Consumer Price Index (CPI)]]*1)/B379)-1)</f>
        <v>0.10697674418604652</v>
      </c>
      <c r="E391" s="25">
        <v>70.8</v>
      </c>
      <c r="F391" s="8">
        <f>IF(Tabela1[[#This Row],[Core Consumer Price Index]]="",#N/A,((Tabela1[[#This Row],[Core Consumer Price Index]]*1)/E390)-1)</f>
        <v>7.1123755334281391E-3</v>
      </c>
      <c r="G391" s="8">
        <f>IF(Tabela1[[#This Row],[Core Consumer Price Index]]="",#N/A,((Tabela1[[#This Row],[Core Consumer Price Index]]*1)/E379)-1)</f>
        <v>9.4281298299845329E-2</v>
      </c>
      <c r="H391" s="8">
        <f t="shared" si="18"/>
        <v>9.1784878187508134E-2</v>
      </c>
      <c r="I391" s="8">
        <f t="shared" si="19"/>
        <v>9.2870597177701963E-2</v>
      </c>
      <c r="J391" s="25">
        <v>66.2</v>
      </c>
      <c r="K391" s="8">
        <f>IF(Tabela1[[#This Row],[Services CPI]]="",#N/A,((Tabela1[[#This Row],[Services CPI]]*1)/J390)-1)</f>
        <v>1.0687022900763399E-2</v>
      </c>
      <c r="L391" s="8">
        <f>IF(Tabela1[[#This Row],[Services CPI]]="",#N/A,((Tabela1[[#This Row],[Services CPI]]*1)/J379)-1)</f>
        <v>0.10333333333333328</v>
      </c>
      <c r="M391" s="7">
        <v>66.900000000000006</v>
      </c>
      <c r="N391" s="8">
        <f>IF(Tabela1[[#This Row],[Core-Services CPI]]="",#N/A,((Tabela1[[#This Row],[Core-Services CPI]]*1)/M390)-1)</f>
        <v>1.0574018126888296E-2</v>
      </c>
      <c r="O391" s="8">
        <f>IF(Tabela1[[#This Row],[Core-Services CPI]]="",#N/A,((Tabela1[[#This Row],[Core-Services CPI]]*1)/M379)-1)</f>
        <v>0.10578512396694228</v>
      </c>
      <c r="P391" s="7">
        <v>74.8</v>
      </c>
      <c r="Q391" s="8">
        <f>IF(Tabela1[[#This Row],[Durable Goods CPI]]="",#N/A,((Tabela1[[#This Row],[Durable Goods CPI]]*1)/P390)-1)</f>
        <v>5.3763440860215006E-3</v>
      </c>
      <c r="R391" s="8">
        <f>IF(Tabela1[[#This Row],[Durable Goods CPI]]="",#N/A,((Tabela1[[#This Row],[Durable Goods CPI]]*1)/P379)-1)</f>
        <v>9.9999999999999867E-2</v>
      </c>
      <c r="S391" s="7">
        <v>9.6898524239999997</v>
      </c>
      <c r="T391" s="7">
        <v>34.750999999999998</v>
      </c>
      <c r="U391" s="8">
        <f>IF(Tabela1[[#This Row],[Personal Consumption Expenditures (PCE)]]="",#N/A,((Tabela1[[#This Row],[Personal Consumption Expenditures (PCE)]]*1)/T390)-1)</f>
        <v>1.0350341619421277E-2</v>
      </c>
      <c r="V391" s="8">
        <f>IF(Tabela1[[#This Row],[Personal Consumption Expenditures (PCE)]]="",#N/A,((Tabela1[[#This Row],[Personal Consumption Expenditures (PCE)]]*1)/T379)-1)</f>
        <v>8.569732566858268E-2</v>
      </c>
      <c r="W391" s="7">
        <v>34.462000000000003</v>
      </c>
      <c r="X391" s="8">
        <f>IF(Tabela1[[#This Row],[Core PCE]]="",#N/A,((Tabela1[[#This Row],[Core PCE]]*1)/W390)-1)</f>
        <v>8.69310698082848E-3</v>
      </c>
      <c r="Y391" s="8">
        <f>IF(Tabela1[[#This Row],[Core PCE]]="",#N/A,((Tabela1[[#This Row],[Core PCE]]*1)/W379)-1)</f>
        <v>7.3616000498458067E-2</v>
      </c>
      <c r="Z391" s="8">
        <f t="shared" si="17"/>
        <v>9.4692864878508587E-2</v>
      </c>
      <c r="AA391" s="8">
        <f t="shared" si="16"/>
        <v>7.1909906811971513E-2</v>
      </c>
      <c r="AB391" s="7">
        <v>7.35</v>
      </c>
      <c r="AC391" s="7"/>
      <c r="AD391" s="8"/>
      <c r="AE391" s="71"/>
      <c r="AF391" s="7">
        <v>9.8000000000000007</v>
      </c>
      <c r="AG391" s="5"/>
    </row>
    <row r="392" spans="1:33" ht="12.75">
      <c r="A392" s="6">
        <v>29007</v>
      </c>
      <c r="B392" s="7">
        <v>72.2</v>
      </c>
      <c r="C392" s="8">
        <f>IF(Tabela1[[#This Row],[Consumer Price Index (CPI)]]="",#N/A,((Tabela1[[#This Row],[Consumer Price Index (CPI)]]*1)/B391)-1)</f>
        <v>1.1204481792717047E-2</v>
      </c>
      <c r="D392" s="8">
        <f>IF(Tabela1[[#This Row],[Consumer Price Index (CPI)]]="",#N/A,((Tabela1[[#This Row],[Consumer Price Index (CPI)]]*1)/B380)-1)</f>
        <v>0.11076923076923073</v>
      </c>
      <c r="E392" s="25">
        <v>71.3</v>
      </c>
      <c r="F392" s="8">
        <f>IF(Tabela1[[#This Row],[Core Consumer Price Index]]="",#N/A,((Tabela1[[#This Row],[Core Consumer Price Index]]*1)/E391)-1)</f>
        <v>7.0621468926552744E-3</v>
      </c>
      <c r="G392" s="8">
        <f>IF(Tabela1[[#This Row],[Core Consumer Price Index]]="",#N/A,((Tabela1[[#This Row],[Core Consumer Price Index]]*1)/E380)-1)</f>
        <v>9.3558282208588972E-2</v>
      </c>
      <c r="H392" s="8">
        <f t="shared" si="18"/>
        <v>8.5351384833273869E-2</v>
      </c>
      <c r="I392" s="8">
        <f t="shared" si="19"/>
        <v>9.5160571436385233E-2</v>
      </c>
      <c r="J392" s="25">
        <v>66.8</v>
      </c>
      <c r="K392" s="8">
        <f>IF(Tabela1[[#This Row],[Services CPI]]="",#N/A,((Tabela1[[#This Row],[Services CPI]]*1)/J391)-1)</f>
        <v>9.0634441087611428E-3</v>
      </c>
      <c r="L392" s="8">
        <f>IF(Tabela1[[#This Row],[Services CPI]]="",#N/A,((Tabela1[[#This Row],[Services CPI]]*1)/J380)-1)</f>
        <v>0.10413223140495864</v>
      </c>
      <c r="M392" s="7">
        <v>67.5</v>
      </c>
      <c r="N392" s="8">
        <f>IF(Tabela1[[#This Row],[Core-Services CPI]]="",#N/A,((Tabela1[[#This Row],[Core-Services CPI]]*1)/M391)-1)</f>
        <v>8.9686098654706559E-3</v>
      </c>
      <c r="O392" s="8">
        <f>IF(Tabela1[[#This Row],[Core-Services CPI]]="",#N/A,((Tabela1[[#This Row],[Core-Services CPI]]*1)/M380)-1)</f>
        <v>0.10474631751227492</v>
      </c>
      <c r="P392" s="7">
        <v>75.3</v>
      </c>
      <c r="Q392" s="8">
        <f>IF(Tabela1[[#This Row],[Durable Goods CPI]]="",#N/A,((Tabela1[[#This Row],[Durable Goods CPI]]*1)/P391)-1)</f>
        <v>6.6844919786095414E-3</v>
      </c>
      <c r="R392" s="8">
        <f>IF(Tabela1[[#This Row],[Durable Goods CPI]]="",#N/A,((Tabela1[[#This Row],[Durable Goods CPI]]*1)/P380)-1)</f>
        <v>9.9270072992700742E-2</v>
      </c>
      <c r="S392" s="7">
        <v>9.9340986390000001</v>
      </c>
      <c r="T392" s="7">
        <v>35.037999999999997</v>
      </c>
      <c r="U392" s="8">
        <f>IF(Tabela1[[#This Row],[Personal Consumption Expenditures (PCE)]]="",#N/A,((Tabela1[[#This Row],[Personal Consumption Expenditures (PCE)]]*1)/T391)-1)</f>
        <v>8.2587551437367512E-3</v>
      </c>
      <c r="V392" s="8">
        <f>IF(Tabela1[[#This Row],[Personal Consumption Expenditures (PCE)]]="",#N/A,((Tabela1[[#This Row],[Personal Consumption Expenditures (PCE)]]*1)/T380)-1)</f>
        <v>8.7562467020517065E-2</v>
      </c>
      <c r="W392" s="7">
        <v>34.655000000000001</v>
      </c>
      <c r="X392" s="8">
        <f>IF(Tabela1[[#This Row],[Core PCE]]="",#N/A,((Tabela1[[#This Row],[Core PCE]]*1)/W391)-1)</f>
        <v>5.6003714235970392E-3</v>
      </c>
      <c r="Y392" s="8">
        <f>IF(Tabela1[[#This Row],[Core PCE]]="",#N/A,((Tabela1[[#This Row],[Core PCE]]*1)/W380)-1)</f>
        <v>7.3641489559452378E-2</v>
      </c>
      <c r="Z392" s="8">
        <f t="shared" si="17"/>
        <v>9.4158434473190944E-2</v>
      </c>
      <c r="AA392" s="8">
        <f t="shared" si="16"/>
        <v>7.5351017790537878E-2</v>
      </c>
      <c r="AB392" s="7">
        <v>7.39</v>
      </c>
      <c r="AC392" s="7"/>
      <c r="AD392" s="8"/>
      <c r="AE392" s="71"/>
      <c r="AF392" s="7">
        <v>9.9</v>
      </c>
      <c r="AG392" s="5"/>
    </row>
    <row r="393" spans="1:33" ht="12.75">
      <c r="A393" s="6">
        <v>29037</v>
      </c>
      <c r="B393" s="7">
        <v>73</v>
      </c>
      <c r="C393" s="8">
        <f>IF(Tabela1[[#This Row],[Consumer Price Index (CPI)]]="",#N/A,((Tabela1[[#This Row],[Consumer Price Index (CPI)]]*1)/B392)-1)</f>
        <v>1.1080332409972193E-2</v>
      </c>
      <c r="D393" s="8">
        <f>IF(Tabela1[[#This Row],[Consumer Price Index (CPI)]]="",#N/A,((Tabela1[[#This Row],[Consumer Price Index (CPI)]]*1)/B381)-1)</f>
        <v>0.11450381679389321</v>
      </c>
      <c r="E393" s="25">
        <v>71.900000000000006</v>
      </c>
      <c r="F393" s="8">
        <f>IF(Tabela1[[#This Row],[Core Consumer Price Index]]="",#N/A,((Tabela1[[#This Row],[Core Consumer Price Index]]*1)/E392)-1)</f>
        <v>8.4151472650773051E-3</v>
      </c>
      <c r="G393" s="8">
        <f>IF(Tabela1[[#This Row],[Core Consumer Price Index]]="",#N/A,((Tabela1[[#This Row],[Core Consumer Price Index]]*1)/E381)-1)</f>
        <v>9.6036585365853799E-2</v>
      </c>
      <c r="H393" s="8">
        <f t="shared" si="18"/>
        <v>9.0358678764642875E-2</v>
      </c>
      <c r="I393" s="8">
        <f t="shared" si="19"/>
        <v>9.7284983613598719E-2</v>
      </c>
      <c r="J393" s="25">
        <v>67.599999999999994</v>
      </c>
      <c r="K393" s="8">
        <f>IF(Tabela1[[#This Row],[Services CPI]]="",#N/A,((Tabela1[[#This Row],[Services CPI]]*1)/J392)-1)</f>
        <v>1.1976047904191489E-2</v>
      </c>
      <c r="L393" s="8">
        <f>IF(Tabela1[[#This Row],[Services CPI]]="",#N/A,((Tabela1[[#This Row],[Services CPI]]*1)/J381)-1)</f>
        <v>0.1081967213114754</v>
      </c>
      <c r="M393" s="7">
        <v>68.3</v>
      </c>
      <c r="N393" s="8">
        <f>IF(Tabela1[[#This Row],[Core-Services CPI]]="",#N/A,((Tabela1[[#This Row],[Core-Services CPI]]*1)/M392)-1)</f>
        <v>1.185185185185178E-2</v>
      </c>
      <c r="O393" s="8">
        <f>IF(Tabela1[[#This Row],[Core-Services CPI]]="",#N/A,((Tabela1[[#This Row],[Core-Services CPI]]*1)/M381)-1)</f>
        <v>0.10876623376623362</v>
      </c>
      <c r="P393" s="7">
        <v>75.599999999999994</v>
      </c>
      <c r="Q393" s="8">
        <f>IF(Tabela1[[#This Row],[Durable Goods CPI]]="",#N/A,((Tabela1[[#This Row],[Durable Goods CPI]]*1)/P392)-1)</f>
        <v>3.9840637450199168E-3</v>
      </c>
      <c r="R393" s="8">
        <f>IF(Tabela1[[#This Row],[Durable Goods CPI]]="",#N/A,((Tabela1[[#This Row],[Durable Goods CPI]]*1)/P381)-1)</f>
        <v>9.8837209302325535E-2</v>
      </c>
      <c r="S393" s="7">
        <v>10.09794116</v>
      </c>
      <c r="T393" s="7">
        <v>35.305</v>
      </c>
      <c r="U393" s="8">
        <f>IF(Tabela1[[#This Row],[Personal Consumption Expenditures (PCE)]]="",#N/A,((Tabela1[[#This Row],[Personal Consumption Expenditures (PCE)]]*1)/T392)-1)</f>
        <v>7.620297962212641E-3</v>
      </c>
      <c r="V393" s="8">
        <f>IF(Tabela1[[#This Row],[Personal Consumption Expenditures (PCE)]]="",#N/A,((Tabela1[[#This Row],[Personal Consumption Expenditures (PCE)]]*1)/T381)-1)</f>
        <v>8.9895965177661852E-2</v>
      </c>
      <c r="W393" s="7">
        <v>34.829000000000001</v>
      </c>
      <c r="X393" s="8">
        <f>IF(Tabela1[[#This Row],[Core PCE]]="",#N/A,((Tabela1[[#This Row],[Core PCE]]*1)/W392)-1)</f>
        <v>5.0209205020921299E-3</v>
      </c>
      <c r="Y393" s="8">
        <f>IF(Tabela1[[#This Row],[Core PCE]]="",#N/A,((Tabela1[[#This Row],[Core PCE]]*1)/W381)-1)</f>
        <v>7.2717752864358554E-2</v>
      </c>
      <c r="Z393" s="8">
        <f t="shared" si="17"/>
        <v>7.7257595626070596E-2</v>
      </c>
      <c r="AA393" s="8">
        <f t="shared" si="16"/>
        <v>7.5146588796519698E-2</v>
      </c>
      <c r="AB393" s="7">
        <v>7.5</v>
      </c>
      <c r="AC393" s="7"/>
      <c r="AD393" s="8"/>
      <c r="AE393" s="71"/>
      <c r="AF393" s="7">
        <v>9.9</v>
      </c>
      <c r="AG393" s="5"/>
    </row>
    <row r="394" spans="1:33" ht="12.75">
      <c r="A394" s="6">
        <v>29068</v>
      </c>
      <c r="B394" s="7">
        <v>73.7</v>
      </c>
      <c r="C394" s="8">
        <f>IF(Tabela1[[#This Row],[Consumer Price Index (CPI)]]="",#N/A,((Tabela1[[#This Row],[Consumer Price Index (CPI)]]*1)/B393)-1)</f>
        <v>9.5890410958905381E-3</v>
      </c>
      <c r="D394" s="8">
        <f>IF(Tabela1[[#This Row],[Consumer Price Index (CPI)]]="",#N/A,((Tabela1[[#This Row],[Consumer Price Index (CPI)]]*1)/B382)-1)</f>
        <v>0.11836115326251884</v>
      </c>
      <c r="E394" s="25">
        <v>72.7</v>
      </c>
      <c r="F394" s="8">
        <f>IF(Tabela1[[#This Row],[Core Consumer Price Index]]="",#N/A,((Tabela1[[#This Row],[Core Consumer Price Index]]*1)/E393)-1)</f>
        <v>1.1126564673157091E-2</v>
      </c>
      <c r="G394" s="8">
        <f>IF(Tabela1[[#This Row],[Core Consumer Price Index]]="",#N/A,((Tabela1[[#This Row],[Core Consumer Price Index]]*1)/E382)-1)</f>
        <v>9.9848714069591615E-2</v>
      </c>
      <c r="H394" s="8">
        <f t="shared" si="18"/>
        <v>0.10641543532355868</v>
      </c>
      <c r="I394" s="8">
        <f t="shared" si="19"/>
        <v>9.9100156755533408E-2</v>
      </c>
      <c r="J394" s="25">
        <v>68.5</v>
      </c>
      <c r="K394" s="8">
        <f>IF(Tabela1[[#This Row],[Services CPI]]="",#N/A,((Tabela1[[#This Row],[Services CPI]]*1)/J393)-1)</f>
        <v>1.3313609467455745E-2</v>
      </c>
      <c r="L394" s="8">
        <f>IF(Tabela1[[#This Row],[Services CPI]]="",#N/A,((Tabela1[[#This Row],[Services CPI]]*1)/J382)-1)</f>
        <v>0.11382113821138207</v>
      </c>
      <c r="M394" s="7">
        <v>69.2</v>
      </c>
      <c r="N394" s="8">
        <f>IF(Tabela1[[#This Row],[Core-Services CPI]]="",#N/A,((Tabela1[[#This Row],[Core-Services CPI]]*1)/M393)-1)</f>
        <v>1.3177159590044063E-2</v>
      </c>
      <c r="O394" s="8">
        <f>IF(Tabela1[[#This Row],[Core-Services CPI]]="",#N/A,((Tabela1[[#This Row],[Core-Services CPI]]*1)/M382)-1)</f>
        <v>0.112540192926045</v>
      </c>
      <c r="P394" s="7">
        <v>76.099999999999994</v>
      </c>
      <c r="Q394" s="8">
        <f>IF(Tabela1[[#This Row],[Durable Goods CPI]]="",#N/A,((Tabela1[[#This Row],[Durable Goods CPI]]*1)/P393)-1)</f>
        <v>6.6137566137565162E-3</v>
      </c>
      <c r="R394" s="8">
        <f>IF(Tabela1[[#This Row],[Durable Goods CPI]]="",#N/A,((Tabela1[[#This Row],[Durable Goods CPI]]*1)/P382)-1)</f>
        <v>9.9710982658959502E-2</v>
      </c>
      <c r="S394" s="7">
        <v>10.284819787</v>
      </c>
      <c r="T394" s="7">
        <v>35.575000000000003</v>
      </c>
      <c r="U394" s="8">
        <f>IF(Tabela1[[#This Row],[Personal Consumption Expenditures (PCE)]]="",#N/A,((Tabela1[[#This Row],[Personal Consumption Expenditures (PCE)]]*1)/T393)-1)</f>
        <v>7.6476419770572512E-3</v>
      </c>
      <c r="V394" s="8">
        <f>IF(Tabela1[[#This Row],[Personal Consumption Expenditures (PCE)]]="",#N/A,((Tabela1[[#This Row],[Personal Consumption Expenditures (PCE)]]*1)/T382)-1)</f>
        <v>9.2698958749270588E-2</v>
      </c>
      <c r="W394" s="7">
        <v>35.06</v>
      </c>
      <c r="X394" s="8">
        <f>IF(Tabela1[[#This Row],[Core PCE]]="",#N/A,((Tabela1[[#This Row],[Core PCE]]*1)/W393)-1)</f>
        <v>6.6324040311236399E-3</v>
      </c>
      <c r="Y394" s="8">
        <f>IF(Tabela1[[#This Row],[Core PCE]]="",#N/A,((Tabela1[[#This Row],[Core PCE]]*1)/W382)-1)</f>
        <v>7.4076343361313635E-2</v>
      </c>
      <c r="Z394" s="8">
        <f t="shared" si="17"/>
        <v>6.9014783827251236E-2</v>
      </c>
      <c r="AA394" s="8">
        <f t="shared" si="16"/>
        <v>8.1853824352879911E-2</v>
      </c>
      <c r="AB394" s="7">
        <v>7.68</v>
      </c>
      <c r="AC394" s="7"/>
      <c r="AD394" s="8"/>
      <c r="AE394" s="71"/>
      <c r="AF394" s="7">
        <v>9.9</v>
      </c>
      <c r="AG394" s="5"/>
    </row>
    <row r="395" spans="1:33" ht="12.75">
      <c r="A395" s="6">
        <v>29099</v>
      </c>
      <c r="B395" s="7">
        <v>74.400000000000006</v>
      </c>
      <c r="C395" s="8">
        <f>IF(Tabela1[[#This Row],[Consumer Price Index (CPI)]]="",#N/A,((Tabela1[[#This Row],[Consumer Price Index (CPI)]]*1)/B394)-1)</f>
        <v>9.4979647218453866E-3</v>
      </c>
      <c r="D395" s="8">
        <f>IF(Tabela1[[#This Row],[Consumer Price Index (CPI)]]="",#N/A,((Tabela1[[#This Row],[Consumer Price Index (CPI)]]*1)/B383)-1)</f>
        <v>0.11879699248120312</v>
      </c>
      <c r="E395" s="25">
        <v>73.3</v>
      </c>
      <c r="F395" s="8">
        <f>IF(Tabela1[[#This Row],[Core Consumer Price Index]]="",#N/A,((Tabela1[[#This Row],[Core Consumer Price Index]]*1)/E394)-1)</f>
        <v>8.2530949105914519E-3</v>
      </c>
      <c r="G395" s="8">
        <f>IF(Tabela1[[#This Row],[Core Consumer Price Index]]="",#N/A,((Tabela1[[#This Row],[Core Consumer Price Index]]*1)/E383)-1)</f>
        <v>9.8950524737630996E-2</v>
      </c>
      <c r="H395" s="8">
        <f t="shared" si="18"/>
        <v>0.11117922739530339</v>
      </c>
      <c r="I395" s="8">
        <f t="shared" si="19"/>
        <v>9.8265306114288631E-2</v>
      </c>
      <c r="J395" s="25">
        <v>69.2</v>
      </c>
      <c r="K395" s="8">
        <f>IF(Tabela1[[#This Row],[Services CPI]]="",#N/A,((Tabela1[[#This Row],[Services CPI]]*1)/J394)-1)</f>
        <v>1.0218978102189746E-2</v>
      </c>
      <c r="L395" s="8">
        <f>IF(Tabela1[[#This Row],[Services CPI]]="",#N/A,((Tabela1[[#This Row],[Services CPI]]*1)/J383)-1)</f>
        <v>0.11433172302737526</v>
      </c>
      <c r="M395" s="7">
        <v>69.900000000000006</v>
      </c>
      <c r="N395" s="8">
        <f>IF(Tabela1[[#This Row],[Core-Services CPI]]="",#N/A,((Tabela1[[#This Row],[Core-Services CPI]]*1)/M394)-1)</f>
        <v>1.0115606936416333E-2</v>
      </c>
      <c r="O395" s="8">
        <f>IF(Tabela1[[#This Row],[Core-Services CPI]]="",#N/A,((Tabela1[[#This Row],[Core-Services CPI]]*1)/M383)-1)</f>
        <v>0.11305732484076447</v>
      </c>
      <c r="P395" s="7">
        <v>76.400000000000006</v>
      </c>
      <c r="Q395" s="8">
        <f>IF(Tabela1[[#This Row],[Durable Goods CPI]]="",#N/A,((Tabela1[[#This Row],[Durable Goods CPI]]*1)/P394)-1)</f>
        <v>3.9421813403417438E-3</v>
      </c>
      <c r="R395" s="8">
        <f>IF(Tabela1[[#This Row],[Durable Goods CPI]]="",#N/A,((Tabela1[[#This Row],[Durable Goods CPI]]*1)/P383)-1)</f>
        <v>9.612625538020092E-2</v>
      </c>
      <c r="S395" s="7">
        <v>10.521237318000001</v>
      </c>
      <c r="T395" s="7">
        <v>35.889000000000003</v>
      </c>
      <c r="U395" s="8">
        <f>IF(Tabela1[[#This Row],[Personal Consumption Expenditures (PCE)]]="",#N/A,((Tabela1[[#This Row],[Personal Consumption Expenditures (PCE)]]*1)/T394)-1)</f>
        <v>8.8264230498946716E-3</v>
      </c>
      <c r="V395" s="8">
        <f>IF(Tabela1[[#This Row],[Personal Consumption Expenditures (PCE)]]="",#N/A,((Tabela1[[#This Row],[Personal Consumption Expenditures (PCE)]]*1)/T383)-1)</f>
        <v>9.6115081546637615E-2</v>
      </c>
      <c r="W395" s="7">
        <v>35.298999999999999</v>
      </c>
      <c r="X395" s="8">
        <f>IF(Tabela1[[#This Row],[Core PCE]]="",#N/A,((Tabela1[[#This Row],[Core PCE]]*1)/W394)-1)</f>
        <v>6.816885339418155E-3</v>
      </c>
      <c r="Y395" s="8">
        <f>IF(Tabela1[[#This Row],[Core PCE]]="",#N/A,((Tabela1[[#This Row],[Core PCE]]*1)/W383)-1)</f>
        <v>7.520560462991166E-2</v>
      </c>
      <c r="Z395" s="8">
        <f t="shared" si="17"/>
        <v>7.3880839490535699E-2</v>
      </c>
      <c r="AA395" s="8">
        <f t="shared" si="16"/>
        <v>8.4019636981863322E-2</v>
      </c>
      <c r="AB395" s="7">
        <v>7.8</v>
      </c>
      <c r="AC395" s="7"/>
      <c r="AD395" s="8"/>
      <c r="AE395" s="71"/>
      <c r="AF395" s="7">
        <v>9.6</v>
      </c>
      <c r="AG395" s="5"/>
    </row>
    <row r="396" spans="1:33" ht="12.75">
      <c r="A396" s="6">
        <v>29129</v>
      </c>
      <c r="B396" s="7">
        <v>75.2</v>
      </c>
      <c r="C396" s="8">
        <f>IF(Tabela1[[#This Row],[Consumer Price Index (CPI)]]="",#N/A,((Tabela1[[#This Row],[Consumer Price Index (CPI)]]*1)/B395)-1)</f>
        <v>1.0752688172043001E-2</v>
      </c>
      <c r="D396" s="8">
        <f>IF(Tabela1[[#This Row],[Consumer Price Index (CPI)]]="",#N/A,((Tabela1[[#This Row],[Consumer Price Index (CPI)]]*1)/B384)-1)</f>
        <v>0.12071535022354718</v>
      </c>
      <c r="E396" s="25">
        <v>74</v>
      </c>
      <c r="F396" s="8">
        <f>IF(Tabela1[[#This Row],[Core Consumer Price Index]]="",#N/A,((Tabela1[[#This Row],[Core Consumer Price Index]]*1)/E395)-1)</f>
        <v>9.5497953615280018E-3</v>
      </c>
      <c r="G396" s="8">
        <f>IF(Tabela1[[#This Row],[Core Consumer Price Index]]="",#N/A,((Tabela1[[#This Row],[Core Consumer Price Index]]*1)/E384)-1)</f>
        <v>0.10119047619047605</v>
      </c>
      <c r="H396" s="8">
        <f t="shared" si="18"/>
        <v>0.11571781978110618</v>
      </c>
      <c r="I396" s="8">
        <f t="shared" si="19"/>
        <v>0.10303824927287453</v>
      </c>
      <c r="J396" s="25">
        <v>70.099999999999994</v>
      </c>
      <c r="K396" s="8">
        <f>IF(Tabela1[[#This Row],[Services CPI]]="",#N/A,((Tabela1[[#This Row],[Services CPI]]*1)/J395)-1)</f>
        <v>1.300578034682065E-2</v>
      </c>
      <c r="L396" s="8">
        <f>IF(Tabela1[[#This Row],[Services CPI]]="",#N/A,((Tabela1[[#This Row],[Services CPI]]*1)/J384)-1)</f>
        <v>0.11980830670926501</v>
      </c>
      <c r="M396" s="7">
        <v>70.8</v>
      </c>
      <c r="N396" s="8">
        <f>IF(Tabela1[[#This Row],[Core-Services CPI]]="",#N/A,((Tabela1[[#This Row],[Core-Services CPI]]*1)/M395)-1)</f>
        <v>1.2875536480686511E-2</v>
      </c>
      <c r="O396" s="8">
        <f>IF(Tabela1[[#This Row],[Core-Services CPI]]="",#N/A,((Tabela1[[#This Row],[Core-Services CPI]]*1)/M384)-1)</f>
        <v>0.11848341232227488</v>
      </c>
      <c r="P396" s="7">
        <v>76.900000000000006</v>
      </c>
      <c r="Q396" s="8">
        <f>IF(Tabela1[[#This Row],[Durable Goods CPI]]="",#N/A,((Tabela1[[#This Row],[Durable Goods CPI]]*1)/P395)-1)</f>
        <v>6.5445026178010401E-3</v>
      </c>
      <c r="R396" s="8">
        <f>IF(Tabela1[[#This Row],[Durable Goods CPI]]="",#N/A,((Tabela1[[#This Row],[Durable Goods CPI]]*1)/P384)-1)</f>
        <v>9.5441595441595473E-2</v>
      </c>
      <c r="S396" s="7">
        <v>10.954395742999999</v>
      </c>
      <c r="T396" s="7">
        <v>36.182000000000002</v>
      </c>
      <c r="U396" s="8">
        <f>IF(Tabela1[[#This Row],[Personal Consumption Expenditures (PCE)]]="",#N/A,((Tabela1[[#This Row],[Personal Consumption Expenditures (PCE)]]*1)/T395)-1)</f>
        <v>8.1640614115745525E-3</v>
      </c>
      <c r="V396" s="8">
        <f>IF(Tabela1[[#This Row],[Personal Consumption Expenditures (PCE)]]="",#N/A,((Tabela1[[#This Row],[Personal Consumption Expenditures (PCE)]]*1)/T384)-1)</f>
        <v>9.6324576553646679E-2</v>
      </c>
      <c r="W396" s="7">
        <v>35.557000000000002</v>
      </c>
      <c r="X396" s="8">
        <f>IF(Tabela1[[#This Row],[Core PCE]]="",#N/A,((Tabela1[[#This Row],[Core PCE]]*1)/W395)-1)</f>
        <v>7.308988923198978E-3</v>
      </c>
      <c r="Y396" s="8">
        <f>IF(Tabela1[[#This Row],[Core PCE]]="",#N/A,((Tabela1[[#This Row],[Core PCE]]*1)/W384)-1)</f>
        <v>7.5171600495902879E-2</v>
      </c>
      <c r="Z396" s="8">
        <f t="shared" si="17"/>
        <v>8.3033113174963091E-2</v>
      </c>
      <c r="AA396" s="8">
        <f t="shared" si="16"/>
        <v>8.0145354400516844E-2</v>
      </c>
      <c r="AB396" s="7">
        <v>7.89</v>
      </c>
      <c r="AC396" s="7"/>
      <c r="AD396" s="8"/>
      <c r="AE396" s="71"/>
      <c r="AF396" s="7">
        <v>9</v>
      </c>
      <c r="AG396" s="5"/>
    </row>
    <row r="397" spans="1:33" ht="12.75">
      <c r="A397" s="6">
        <v>29160</v>
      </c>
      <c r="B397" s="7">
        <v>76</v>
      </c>
      <c r="C397" s="8">
        <f>IF(Tabela1[[#This Row],[Consumer Price Index (CPI)]]="",#N/A,((Tabela1[[#This Row],[Consumer Price Index (CPI)]]*1)/B396)-1)</f>
        <v>1.0638297872340496E-2</v>
      </c>
      <c r="D397" s="8">
        <f>IF(Tabela1[[#This Row],[Consumer Price Index (CPI)]]="",#N/A,((Tabela1[[#This Row],[Consumer Price Index (CPI)]]*1)/B385)-1)</f>
        <v>0.125925925925926</v>
      </c>
      <c r="E397" s="25">
        <v>74.8</v>
      </c>
      <c r="F397" s="8">
        <f>IF(Tabela1[[#This Row],[Core Consumer Price Index]]="",#N/A,((Tabela1[[#This Row],[Core Consumer Price Index]]*1)/E396)-1)</f>
        <v>1.08108108108107E-2</v>
      </c>
      <c r="G397" s="8">
        <f>IF(Tabela1[[#This Row],[Core Consumer Price Index]]="",#N/A,((Tabela1[[#This Row],[Core Consumer Price Index]]*1)/E385)-1)</f>
        <v>0.10650887573964507</v>
      </c>
      <c r="H397" s="8">
        <f t="shared" si="18"/>
        <v>0.11445480433172062</v>
      </c>
      <c r="I397" s="8">
        <f t="shared" si="19"/>
        <v>0.11043511982763965</v>
      </c>
      <c r="J397" s="25">
        <v>71.099999999999994</v>
      </c>
      <c r="K397" s="8">
        <f>IF(Tabela1[[#This Row],[Services CPI]]="",#N/A,((Tabela1[[#This Row],[Services CPI]]*1)/J396)-1)</f>
        <v>1.4265335235378096E-2</v>
      </c>
      <c r="L397" s="8">
        <f>IF(Tabela1[[#This Row],[Services CPI]]="",#N/A,((Tabela1[[#This Row],[Services CPI]]*1)/J385)-1)</f>
        <v>0.12678288431061802</v>
      </c>
      <c r="M397" s="7">
        <v>71.8</v>
      </c>
      <c r="N397" s="8">
        <f>IF(Tabela1[[#This Row],[Core-Services CPI]]="",#N/A,((Tabela1[[#This Row],[Core-Services CPI]]*1)/M396)-1)</f>
        <v>1.4124293785310771E-2</v>
      </c>
      <c r="O397" s="8">
        <f>IF(Tabela1[[#This Row],[Core-Services CPI]]="",#N/A,((Tabela1[[#This Row],[Core-Services CPI]]*1)/M385)-1)</f>
        <v>0.12539184952978055</v>
      </c>
      <c r="P397" s="7">
        <v>77.900000000000006</v>
      </c>
      <c r="Q397" s="8">
        <f>IF(Tabela1[[#This Row],[Durable Goods CPI]]="",#N/A,((Tabela1[[#This Row],[Durable Goods CPI]]*1)/P396)-1)</f>
        <v>1.3003901170351106E-2</v>
      </c>
      <c r="R397" s="8">
        <f>IF(Tabela1[[#This Row],[Durable Goods CPI]]="",#N/A,((Tabela1[[#This Row],[Durable Goods CPI]]*1)/P385)-1)</f>
        <v>0.10339943342776214</v>
      </c>
      <c r="S397" s="7">
        <v>11.002540622</v>
      </c>
      <c r="T397" s="7">
        <v>36.433</v>
      </c>
      <c r="U397" s="8">
        <f>IF(Tabela1[[#This Row],[Personal Consumption Expenditures (PCE)]]="",#N/A,((Tabela1[[#This Row],[Personal Consumption Expenditures (PCE)]]*1)/T396)-1)</f>
        <v>6.9371510695925842E-3</v>
      </c>
      <c r="V397" s="8">
        <f>IF(Tabela1[[#This Row],[Personal Consumption Expenditures (PCE)]]="",#N/A,((Tabela1[[#This Row],[Personal Consumption Expenditures (PCE)]]*1)/T385)-1)</f>
        <v>9.7710153660741206E-2</v>
      </c>
      <c r="W397" s="7">
        <v>35.783999999999999</v>
      </c>
      <c r="X397" s="8">
        <f>IF(Tabela1[[#This Row],[Core PCE]]="",#N/A,((Tabela1[[#This Row],[Core PCE]]*1)/W396)-1)</f>
        <v>6.3841156453017245E-3</v>
      </c>
      <c r="Y397" s="8">
        <f>IF(Tabela1[[#This Row],[Core PCE]]="",#N/A,((Tabela1[[#This Row],[Core PCE]]*1)/W385)-1)</f>
        <v>7.6242894523143478E-2</v>
      </c>
      <c r="Z397" s="8">
        <f t="shared" si="17"/>
        <v>8.203995963167543E-2</v>
      </c>
      <c r="AA397" s="8">
        <f t="shared" si="16"/>
        <v>7.5527371729463333E-2</v>
      </c>
      <c r="AB397" s="7">
        <v>7.89</v>
      </c>
      <c r="AC397" s="7"/>
      <c r="AD397" s="8"/>
      <c r="AE397" s="71"/>
      <c r="AF397" s="7">
        <v>10</v>
      </c>
      <c r="AG397" s="5"/>
    </row>
    <row r="398" spans="1:33" ht="12.75">
      <c r="A398" s="6">
        <v>29190</v>
      </c>
      <c r="B398" s="7">
        <v>76.900000000000006</v>
      </c>
      <c r="C398" s="8">
        <f>IF(Tabela1[[#This Row],[Consumer Price Index (CPI)]]="",#N/A,((Tabela1[[#This Row],[Consumer Price Index (CPI)]]*1)/B397)-1)</f>
        <v>1.1842105263157876E-2</v>
      </c>
      <c r="D398" s="8">
        <f>IF(Tabela1[[#This Row],[Consumer Price Index (CPI)]]="",#N/A,((Tabela1[[#This Row],[Consumer Price Index (CPI)]]*1)/B386)-1)</f>
        <v>0.13254786450662737</v>
      </c>
      <c r="E398" s="25">
        <v>75.7</v>
      </c>
      <c r="F398" s="8">
        <f>IF(Tabela1[[#This Row],[Core Consumer Price Index]]="",#N/A,((Tabela1[[#This Row],[Core Consumer Price Index]]*1)/E397)-1)</f>
        <v>1.2032085561497485E-2</v>
      </c>
      <c r="G398" s="8">
        <f>IF(Tabela1[[#This Row],[Core Consumer Price Index]]="",#N/A,((Tabela1[[#This Row],[Core Consumer Price Index]]*1)/E386)-1)</f>
        <v>0.1132352941176471</v>
      </c>
      <c r="H398" s="8">
        <f t="shared" si="18"/>
        <v>0.12957076693534475</v>
      </c>
      <c r="I398" s="8">
        <f t="shared" si="19"/>
        <v>0.12037499716532407</v>
      </c>
      <c r="J398" s="25">
        <v>72</v>
      </c>
      <c r="K398" s="8">
        <f>IF(Tabela1[[#This Row],[Services CPI]]="",#N/A,((Tabela1[[#This Row],[Services CPI]]*1)/J397)-1)</f>
        <v>1.2658227848101333E-2</v>
      </c>
      <c r="L398" s="8">
        <f>IF(Tabela1[[#This Row],[Services CPI]]="",#N/A,((Tabela1[[#This Row],[Services CPI]]*1)/J386)-1)</f>
        <v>0.13744075829383884</v>
      </c>
      <c r="M398" s="7">
        <v>72.7</v>
      </c>
      <c r="N398" s="8">
        <f>IF(Tabela1[[#This Row],[Core-Services CPI]]="",#N/A,((Tabela1[[#This Row],[Core-Services CPI]]*1)/M397)-1)</f>
        <v>1.2534818941504211E-2</v>
      </c>
      <c r="O398" s="8">
        <f>IF(Tabela1[[#This Row],[Core-Services CPI]]="",#N/A,((Tabela1[[#This Row],[Core-Services CPI]]*1)/M386)-1)</f>
        <v>0.13593750000000004</v>
      </c>
      <c r="P398" s="7">
        <v>78.599999999999994</v>
      </c>
      <c r="Q398" s="8">
        <f>IF(Tabela1[[#This Row],[Durable Goods CPI]]="",#N/A,((Tabela1[[#This Row],[Durable Goods CPI]]*1)/P397)-1)</f>
        <v>8.9858793324772979E-3</v>
      </c>
      <c r="R398" s="8">
        <f>IF(Tabela1[[#This Row],[Durable Goods CPI]]="",#N/A,((Tabela1[[#This Row],[Durable Goods CPI]]*1)/P386)-1)</f>
        <v>0.10393258426966279</v>
      </c>
      <c r="S398" s="7">
        <v>11.279514365000001</v>
      </c>
      <c r="T398" s="7">
        <v>36.738999999999997</v>
      </c>
      <c r="U398" s="8">
        <f>IF(Tabela1[[#This Row],[Personal Consumption Expenditures (PCE)]]="",#N/A,((Tabela1[[#This Row],[Personal Consumption Expenditures (PCE)]]*1)/T397)-1)</f>
        <v>8.3989789476572874E-3</v>
      </c>
      <c r="V398" s="8">
        <f>IF(Tabela1[[#This Row],[Personal Consumption Expenditures (PCE)]]="",#N/A,((Tabela1[[#This Row],[Personal Consumption Expenditures (PCE)]]*1)/T386)-1)</f>
        <v>0.10178437546858587</v>
      </c>
      <c r="W398" s="7">
        <v>36.040999999999997</v>
      </c>
      <c r="X398" s="8">
        <f>IF(Tabela1[[#This Row],[Core PCE]]="",#N/A,((Tabela1[[#This Row],[Core PCE]]*1)/W397)-1)</f>
        <v>7.18198077353005E-3</v>
      </c>
      <c r="Y398" s="8">
        <f>IF(Tabela1[[#This Row],[Core PCE]]="",#N/A,((Tabela1[[#This Row],[Core PCE]]*1)/W386)-1)</f>
        <v>7.9783090658517519E-2</v>
      </c>
      <c r="Z398" s="8">
        <f t="shared" si="17"/>
        <v>8.350034136812301E-2</v>
      </c>
      <c r="AA398" s="8">
        <f t="shared" si="16"/>
        <v>7.8690590429329355E-2</v>
      </c>
      <c r="AB398" s="7">
        <v>8.0399999999999991</v>
      </c>
      <c r="AC398" s="7"/>
      <c r="AD398" s="8"/>
      <c r="AE398" s="71"/>
      <c r="AF398" s="7">
        <v>9.9</v>
      </c>
      <c r="AG398" s="5"/>
    </row>
    <row r="399" spans="1:33" ht="12.75">
      <c r="A399" s="6">
        <v>29221</v>
      </c>
      <c r="B399" s="7">
        <v>78</v>
      </c>
      <c r="C399" s="8">
        <f>IF(Tabela1[[#This Row],[Consumer Price Index (CPI)]]="",#N/A,((Tabela1[[#This Row],[Consumer Price Index (CPI)]]*1)/B398)-1)</f>
        <v>1.4304291287386084E-2</v>
      </c>
      <c r="D399" s="8">
        <f>IF(Tabela1[[#This Row],[Consumer Price Index (CPI)]]="",#N/A,((Tabela1[[#This Row],[Consumer Price Index (CPI)]]*1)/B387)-1)</f>
        <v>0.13868613138686126</v>
      </c>
      <c r="E399" s="25">
        <v>76.7</v>
      </c>
      <c r="F399" s="8">
        <f>IF(Tabela1[[#This Row],[Core Consumer Price Index]]="",#N/A,((Tabela1[[#This Row],[Core Consumer Price Index]]*1)/E398)-1)</f>
        <v>1.3210039630118908E-2</v>
      </c>
      <c r="G399" s="8">
        <f>IF(Tabela1[[#This Row],[Core Consumer Price Index]]="",#N/A,((Tabela1[[#This Row],[Core Consumer Price Index]]*1)/E387)-1)</f>
        <v>0.11970802919708023</v>
      </c>
      <c r="H399" s="8">
        <f t="shared" si="18"/>
        <v>0.14421174400970838</v>
      </c>
      <c r="I399" s="8">
        <f t="shared" si="19"/>
        <v>0.12996478189540728</v>
      </c>
      <c r="J399" s="25">
        <v>73.099999999999994</v>
      </c>
      <c r="K399" s="8">
        <f>IF(Tabela1[[#This Row],[Services CPI]]="",#N/A,((Tabela1[[#This Row],[Services CPI]]*1)/J398)-1)</f>
        <v>1.5277777777777724E-2</v>
      </c>
      <c r="L399" s="8">
        <f>IF(Tabela1[[#This Row],[Services CPI]]="",#N/A,((Tabela1[[#This Row],[Services CPI]]*1)/J387)-1)</f>
        <v>0.14576802507836994</v>
      </c>
      <c r="M399" s="7">
        <v>73.8</v>
      </c>
      <c r="N399" s="8">
        <f>IF(Tabela1[[#This Row],[Core-Services CPI]]="",#N/A,((Tabela1[[#This Row],[Core-Services CPI]]*1)/M398)-1)</f>
        <v>1.5130674002751032E-2</v>
      </c>
      <c r="O399" s="8">
        <f>IF(Tabela1[[#This Row],[Core-Services CPI]]="",#N/A,((Tabela1[[#This Row],[Core-Services CPI]]*1)/M387)-1)</f>
        <v>0.14418604651162781</v>
      </c>
      <c r="P399" s="7">
        <v>79.5</v>
      </c>
      <c r="Q399" s="8">
        <f>IF(Tabela1[[#This Row],[Durable Goods CPI]]="",#N/A,((Tabela1[[#This Row],[Durable Goods CPI]]*1)/P398)-1)</f>
        <v>1.1450381679389388E-2</v>
      </c>
      <c r="R399" s="8">
        <f>IF(Tabela1[[#This Row],[Durable Goods CPI]]="",#N/A,((Tabela1[[#This Row],[Durable Goods CPI]]*1)/P387)-1)</f>
        <v>0.10570236439499303</v>
      </c>
      <c r="S399" s="7">
        <v>11.951758189</v>
      </c>
      <c r="T399" s="7">
        <v>37.124000000000002</v>
      </c>
      <c r="U399" s="8">
        <f>IF(Tabela1[[#This Row],[Personal Consumption Expenditures (PCE)]]="",#N/A,((Tabela1[[#This Row],[Personal Consumption Expenditures (PCE)]]*1)/T398)-1)</f>
        <v>1.047932714554034E-2</v>
      </c>
      <c r="V399" s="8">
        <f>IF(Tabela1[[#This Row],[Personal Consumption Expenditures (PCE)]]="",#N/A,((Tabela1[[#This Row],[Personal Consumption Expenditures (PCE)]]*1)/T387)-1)</f>
        <v>0.10497961127481625</v>
      </c>
      <c r="W399" s="7">
        <v>36.314999999999998</v>
      </c>
      <c r="X399" s="8">
        <f>IF(Tabela1[[#This Row],[Core PCE]]="",#N/A,((Tabela1[[#This Row],[Core PCE]]*1)/W398)-1)</f>
        <v>7.602452762132117E-3</v>
      </c>
      <c r="Y399" s="8">
        <f>IF(Tabela1[[#This Row],[Core PCE]]="",#N/A,((Tabela1[[#This Row],[Core PCE]]*1)/W387)-1)</f>
        <v>8.2446570687650933E-2</v>
      </c>
      <c r="Z399" s="8">
        <f t="shared" si="17"/>
        <v>8.4674196723855566E-2</v>
      </c>
      <c r="AA399" s="8">
        <f t="shared" si="16"/>
        <v>8.3853654949409329E-2</v>
      </c>
      <c r="AB399" s="7">
        <v>8.15</v>
      </c>
      <c r="AC399" s="7"/>
      <c r="AD399" s="8"/>
      <c r="AE399" s="71"/>
      <c r="AF399" s="7">
        <v>10.4</v>
      </c>
      <c r="AG399" s="5"/>
    </row>
    <row r="400" spans="1:33" ht="12.75">
      <c r="A400" s="6">
        <v>29252</v>
      </c>
      <c r="B400" s="7">
        <v>79</v>
      </c>
      <c r="C400" s="8">
        <f>IF(Tabela1[[#This Row],[Consumer Price Index (CPI)]]="",#N/A,((Tabela1[[#This Row],[Consumer Price Index (CPI)]]*1)/B399)-1)</f>
        <v>1.2820512820512775E-2</v>
      </c>
      <c r="D400" s="8">
        <f>IF(Tabela1[[#This Row],[Consumer Price Index (CPI)]]="",#N/A,((Tabela1[[#This Row],[Consumer Price Index (CPI)]]*1)/B388)-1)</f>
        <v>0.14161849710982644</v>
      </c>
      <c r="E400" s="25">
        <v>77.5</v>
      </c>
      <c r="F400" s="8">
        <f>IF(Tabela1[[#This Row],[Core Consumer Price Index]]="",#N/A,((Tabela1[[#This Row],[Core Consumer Price Index]]*1)/E399)-1)</f>
        <v>1.0430247718383301E-2</v>
      </c>
      <c r="G400" s="8">
        <f>IF(Tabela1[[#This Row],[Core Consumer Price Index]]="",#N/A,((Tabela1[[#This Row],[Core Consumer Price Index]]*1)/E388)-1)</f>
        <v>0.11994219653179194</v>
      </c>
      <c r="H400" s="8">
        <f t="shared" si="18"/>
        <v>0.14268949163999878</v>
      </c>
      <c r="I400" s="8">
        <f t="shared" si="19"/>
        <v>0.1285721479858597</v>
      </c>
      <c r="J400" s="25">
        <v>74.099999999999994</v>
      </c>
      <c r="K400" s="8">
        <f>IF(Tabela1[[#This Row],[Services CPI]]="",#N/A,((Tabela1[[#This Row],[Services CPI]]*1)/J399)-1)</f>
        <v>1.3679890560875485E-2</v>
      </c>
      <c r="L400" s="8">
        <f>IF(Tabela1[[#This Row],[Services CPI]]="",#N/A,((Tabela1[[#This Row],[Services CPI]]*1)/J388)-1)</f>
        <v>0.15062111801242217</v>
      </c>
      <c r="M400" s="7">
        <v>74.8</v>
      </c>
      <c r="N400" s="8">
        <f>IF(Tabela1[[#This Row],[Core-Services CPI]]="",#N/A,((Tabela1[[#This Row],[Core-Services CPI]]*1)/M399)-1)</f>
        <v>1.3550135501354976E-2</v>
      </c>
      <c r="O400" s="8">
        <f>IF(Tabela1[[#This Row],[Core-Services CPI]]="",#N/A,((Tabela1[[#This Row],[Core-Services CPI]]*1)/M388)-1)</f>
        <v>0.14900153609831035</v>
      </c>
      <c r="P400" s="7">
        <v>80.099999999999994</v>
      </c>
      <c r="Q400" s="8">
        <f>IF(Tabela1[[#This Row],[Durable Goods CPI]]="",#N/A,((Tabela1[[#This Row],[Durable Goods CPI]]*1)/P399)-1)</f>
        <v>7.547169811320753E-3</v>
      </c>
      <c r="R400" s="8">
        <f>IF(Tabela1[[#This Row],[Durable Goods CPI]]="",#N/A,((Tabela1[[#This Row],[Durable Goods CPI]]*1)/P388)-1)</f>
        <v>0.10027472527472514</v>
      </c>
      <c r="S400" s="7">
        <v>12.761858458000001</v>
      </c>
      <c r="T400" s="7">
        <v>37.526000000000003</v>
      </c>
      <c r="U400" s="8">
        <f>IF(Tabela1[[#This Row],[Personal Consumption Expenditures (PCE)]]="",#N/A,((Tabela1[[#This Row],[Personal Consumption Expenditures (PCE)]]*1)/T399)-1)</f>
        <v>1.0828574507057542E-2</v>
      </c>
      <c r="V400" s="8">
        <f>IF(Tabela1[[#This Row],[Personal Consumption Expenditures (PCE)]]="",#N/A,((Tabela1[[#This Row],[Personal Consumption Expenditures (PCE)]]*1)/T388)-1)</f>
        <v>0.11102558029369969</v>
      </c>
      <c r="W400" s="7">
        <v>36.677</v>
      </c>
      <c r="X400" s="8">
        <f>IF(Tabela1[[#This Row],[Core PCE]]="",#N/A,((Tabela1[[#This Row],[Core PCE]]*1)/W399)-1)</f>
        <v>9.968332644912703E-3</v>
      </c>
      <c r="Y400" s="8">
        <f>IF(Tabela1[[#This Row],[Core PCE]]="",#N/A,((Tabela1[[#This Row],[Core PCE]]*1)/W388)-1)</f>
        <v>8.9663982887192129E-2</v>
      </c>
      <c r="Z400" s="8">
        <f t="shared" si="17"/>
        <v>9.901106472229948E-2</v>
      </c>
      <c r="AA400" s="8">
        <f t="shared" si="16"/>
        <v>9.0525512176987455E-2</v>
      </c>
      <c r="AB400" s="7">
        <v>8.35</v>
      </c>
      <c r="AC400" s="7"/>
      <c r="AD400" s="8"/>
      <c r="AE400" s="71"/>
      <c r="AF400" s="7">
        <v>10</v>
      </c>
      <c r="AG400" s="5"/>
    </row>
    <row r="401" spans="1:33" ht="12.75">
      <c r="A401" s="6">
        <v>29281</v>
      </c>
      <c r="B401" s="7">
        <v>80.099999999999994</v>
      </c>
      <c r="C401" s="8">
        <f>IF(Tabela1[[#This Row],[Consumer Price Index (CPI)]]="",#N/A,((Tabela1[[#This Row],[Consumer Price Index (CPI)]]*1)/B400)-1)</f>
        <v>1.3924050632911245E-2</v>
      </c>
      <c r="D401" s="8">
        <f>IF(Tabela1[[#This Row],[Consumer Price Index (CPI)]]="",#N/A,((Tabela1[[#This Row],[Consumer Price Index (CPI)]]*1)/B389)-1)</f>
        <v>0.14592274678111572</v>
      </c>
      <c r="E401" s="25">
        <v>78.599999999999994</v>
      </c>
      <c r="F401" s="8">
        <f>IF(Tabela1[[#This Row],[Core Consumer Price Index]]="",#N/A,((Tabela1[[#This Row],[Core Consumer Price Index]]*1)/E400)-1)</f>
        <v>1.4193548387096744E-2</v>
      </c>
      <c r="G401" s="8">
        <f>IF(Tabela1[[#This Row],[Core Consumer Price Index]]="",#N/A,((Tabela1[[#This Row],[Core Consumer Price Index]]*1)/E389)-1)</f>
        <v>0.12607449856733521</v>
      </c>
      <c r="H401" s="8">
        <f t="shared" si="18"/>
        <v>0.15133534294239581</v>
      </c>
      <c r="I401" s="8">
        <f t="shared" si="19"/>
        <v>0.14045305493887028</v>
      </c>
      <c r="J401" s="25">
        <v>75.400000000000006</v>
      </c>
      <c r="K401" s="8">
        <f>IF(Tabela1[[#This Row],[Services CPI]]="",#N/A,((Tabela1[[#This Row],[Services CPI]]*1)/J400)-1)</f>
        <v>1.7543859649122862E-2</v>
      </c>
      <c r="L401" s="8">
        <f>IF(Tabela1[[#This Row],[Services CPI]]="",#N/A,((Tabela1[[#This Row],[Services CPI]]*1)/J389)-1)</f>
        <v>0.16178736517719572</v>
      </c>
      <c r="M401" s="7">
        <v>76.2</v>
      </c>
      <c r="N401" s="8">
        <f>IF(Tabela1[[#This Row],[Core-Services CPI]]="",#N/A,((Tabela1[[#This Row],[Core-Services CPI]]*1)/M400)-1)</f>
        <v>1.8716577540107027E-2</v>
      </c>
      <c r="O401" s="8">
        <f>IF(Tabela1[[#This Row],[Core-Services CPI]]="",#N/A,((Tabela1[[#This Row],[Core-Services CPI]]*1)/M389)-1)</f>
        <v>0.16158536585365879</v>
      </c>
      <c r="P401" s="7">
        <v>80.8</v>
      </c>
      <c r="Q401" s="8">
        <f>IF(Tabela1[[#This Row],[Durable Goods CPI]]="",#N/A,((Tabela1[[#This Row],[Durable Goods CPI]]*1)/P400)-1)</f>
        <v>8.7390761548065132E-3</v>
      </c>
      <c r="R401" s="8">
        <f>IF(Tabela1[[#This Row],[Durable Goods CPI]]="",#N/A,((Tabela1[[#This Row],[Durable Goods CPI]]*1)/P389)-1)</f>
        <v>9.7826086956521729E-2</v>
      </c>
      <c r="S401" s="7">
        <v>13.499249243</v>
      </c>
      <c r="T401" s="7">
        <v>37.987000000000002</v>
      </c>
      <c r="U401" s="8">
        <f>IF(Tabela1[[#This Row],[Personal Consumption Expenditures (PCE)]]="",#N/A,((Tabela1[[#This Row],[Personal Consumption Expenditures (PCE)]]*1)/T400)-1)</f>
        <v>1.228481586100294E-2</v>
      </c>
      <c r="V401" s="8">
        <f>IF(Tabela1[[#This Row],[Personal Consumption Expenditures (PCE)]]="",#N/A,((Tabela1[[#This Row],[Personal Consumption Expenditures (PCE)]]*1)/T389)-1)</f>
        <v>0.11595182138660398</v>
      </c>
      <c r="W401" s="7">
        <v>37.017000000000003</v>
      </c>
      <c r="X401" s="8">
        <f>IF(Tabela1[[#This Row],[Core PCE]]="",#N/A,((Tabela1[[#This Row],[Core PCE]]*1)/W400)-1)</f>
        <v>9.2701147858331723E-3</v>
      </c>
      <c r="Y401" s="8">
        <f>IF(Tabela1[[#This Row],[Core PCE]]="",#N/A,((Tabela1[[#This Row],[Core PCE]]*1)/W389)-1)</f>
        <v>9.3495214462956611E-2</v>
      </c>
      <c r="Z401" s="8">
        <f t="shared" si="17"/>
        <v>0.10736360077151197</v>
      </c>
      <c r="AA401" s="8">
        <f t="shared" si="16"/>
        <v>9.5431971069817489E-2</v>
      </c>
      <c r="AB401" s="7">
        <v>8.6</v>
      </c>
      <c r="AC401" s="7"/>
      <c r="AD401" s="8"/>
      <c r="AE401" s="71"/>
      <c r="AF401" s="7">
        <v>10.199999999999999</v>
      </c>
      <c r="AG401" s="5"/>
    </row>
    <row r="402" spans="1:33" ht="12.75">
      <c r="A402" s="6">
        <v>29312</v>
      </c>
      <c r="B402" s="7">
        <v>80.900000000000006</v>
      </c>
      <c r="C402" s="8">
        <f>IF(Tabela1[[#This Row],[Consumer Price Index (CPI)]]="",#N/A,((Tabela1[[#This Row],[Consumer Price Index (CPI)]]*1)/B401)-1)</f>
        <v>9.98751560549338E-3</v>
      </c>
      <c r="D402" s="8">
        <f>IF(Tabela1[[#This Row],[Consumer Price Index (CPI)]]="",#N/A,((Tabela1[[#This Row],[Consumer Price Index (CPI)]]*1)/B390)-1)</f>
        <v>0.14589235127478761</v>
      </c>
      <c r="E402" s="25">
        <v>79.5</v>
      </c>
      <c r="F402" s="8">
        <f>IF(Tabela1[[#This Row],[Core Consumer Price Index]]="",#N/A,((Tabela1[[#This Row],[Core Consumer Price Index]]*1)/E401)-1)</f>
        <v>1.1450381679389388E-2</v>
      </c>
      <c r="G402" s="8">
        <f>IF(Tabela1[[#This Row],[Core Consumer Price Index]]="",#N/A,((Tabela1[[#This Row],[Core Consumer Price Index]]*1)/E390)-1)</f>
        <v>0.13086770981507834</v>
      </c>
      <c r="H402" s="8">
        <f t="shared" si="18"/>
        <v>0.14429671113947773</v>
      </c>
      <c r="I402" s="8">
        <f t="shared" si="19"/>
        <v>0.14425422757459305</v>
      </c>
      <c r="J402" s="25">
        <v>76.599999999999994</v>
      </c>
      <c r="K402" s="8">
        <f>IF(Tabela1[[#This Row],[Services CPI]]="",#N/A,((Tabela1[[#This Row],[Services CPI]]*1)/J401)-1)</f>
        <v>1.5915119363395069E-2</v>
      </c>
      <c r="L402" s="8">
        <f>IF(Tabela1[[#This Row],[Services CPI]]="",#N/A,((Tabela1[[#This Row],[Services CPI]]*1)/J390)-1)</f>
        <v>0.16946564885496174</v>
      </c>
      <c r="M402" s="7">
        <v>77.3</v>
      </c>
      <c r="N402" s="8">
        <f>IF(Tabela1[[#This Row],[Core-Services CPI]]="",#N/A,((Tabela1[[#This Row],[Core-Services CPI]]*1)/M401)-1)</f>
        <v>1.4435695538057569E-2</v>
      </c>
      <c r="O402" s="8">
        <f>IF(Tabela1[[#This Row],[Core-Services CPI]]="",#N/A,((Tabela1[[#This Row],[Core-Services CPI]]*1)/M390)-1)</f>
        <v>0.16767371601208447</v>
      </c>
      <c r="P402" s="7">
        <v>81.099999999999994</v>
      </c>
      <c r="Q402" s="8">
        <f>IF(Tabela1[[#This Row],[Durable Goods CPI]]="",#N/A,((Tabela1[[#This Row],[Durable Goods CPI]]*1)/P401)-1)</f>
        <v>3.7128712871286051E-3</v>
      </c>
      <c r="R402" s="8">
        <f>IF(Tabela1[[#This Row],[Durable Goods CPI]]="",#N/A,((Tabela1[[#This Row],[Durable Goods CPI]]*1)/P390)-1)</f>
        <v>9.0053763440860024E-2</v>
      </c>
      <c r="S402" s="7">
        <v>13.627778119</v>
      </c>
      <c r="T402" s="7">
        <v>38.185000000000002</v>
      </c>
      <c r="U402" s="8">
        <f>IF(Tabela1[[#This Row],[Personal Consumption Expenditures (PCE)]]="",#N/A,((Tabela1[[#This Row],[Personal Consumption Expenditures (PCE)]]*1)/T401)-1)</f>
        <v>5.2123094742937415E-3</v>
      </c>
      <c r="V402" s="8">
        <f>IF(Tabela1[[#This Row],[Personal Consumption Expenditures (PCE)]]="",#N/A,((Tabela1[[#This Row],[Personal Consumption Expenditures (PCE)]]*1)/T390)-1)</f>
        <v>0.11019043465619993</v>
      </c>
      <c r="W402" s="7">
        <v>37.207000000000001</v>
      </c>
      <c r="X402" s="8">
        <f>IF(Tabela1[[#This Row],[Core PCE]]="",#N/A,((Tabela1[[#This Row],[Core PCE]]*1)/W401)-1)</f>
        <v>5.132776832266206E-3</v>
      </c>
      <c r="Y402" s="8">
        <f>IF(Tabela1[[#This Row],[Core PCE]]="",#N/A,((Tabela1[[#This Row],[Core PCE]]*1)/W390)-1)</f>
        <v>8.9038489682423672E-2</v>
      </c>
      <c r="Z402" s="8">
        <f t="shared" si="17"/>
        <v>9.7484897052048325E-2</v>
      </c>
      <c r="AA402" s="8">
        <f t="shared" si="16"/>
        <v>9.1079546887951945E-2</v>
      </c>
      <c r="AB402" s="7">
        <v>8.5500000000000007</v>
      </c>
      <c r="AC402" s="7"/>
      <c r="AD402" s="8"/>
      <c r="AE402" s="71"/>
      <c r="AF402" s="7">
        <v>10.1</v>
      </c>
      <c r="AG402" s="5"/>
    </row>
    <row r="403" spans="1:33" ht="12.75">
      <c r="A403" s="6">
        <v>29342</v>
      </c>
      <c r="B403" s="7">
        <v>81.7</v>
      </c>
      <c r="C403" s="8">
        <f>IF(Tabela1[[#This Row],[Consumer Price Index (CPI)]]="",#N/A,((Tabela1[[#This Row],[Consumer Price Index (CPI)]]*1)/B402)-1)</f>
        <v>9.8887515451173691E-3</v>
      </c>
      <c r="D403" s="8">
        <f>IF(Tabela1[[#This Row],[Consumer Price Index (CPI)]]="",#N/A,((Tabela1[[#This Row],[Consumer Price Index (CPI)]]*1)/B391)-1)</f>
        <v>0.14425770308123242</v>
      </c>
      <c r="E403" s="25">
        <v>80.099999999999994</v>
      </c>
      <c r="F403" s="8">
        <f>IF(Tabela1[[#This Row],[Core Consumer Price Index]]="",#N/A,((Tabela1[[#This Row],[Core Consumer Price Index]]*1)/E402)-1)</f>
        <v>7.547169811320753E-3</v>
      </c>
      <c r="G403" s="8">
        <f>IF(Tabela1[[#This Row],[Core Consumer Price Index]]="",#N/A,((Tabela1[[#This Row],[Core Consumer Price Index]]*1)/E391)-1)</f>
        <v>0.1313559322033897</v>
      </c>
      <c r="H403" s="8">
        <f t="shared" si="18"/>
        <v>0.13276439951122754</v>
      </c>
      <c r="I403" s="8">
        <f t="shared" si="19"/>
        <v>0.13772694557561316</v>
      </c>
      <c r="J403" s="25">
        <v>77.599999999999994</v>
      </c>
      <c r="K403" s="8">
        <f>IF(Tabela1[[#This Row],[Services CPI]]="",#N/A,((Tabela1[[#This Row],[Services CPI]]*1)/J402)-1)</f>
        <v>1.3054830287206221E-2</v>
      </c>
      <c r="L403" s="8">
        <f>IF(Tabela1[[#This Row],[Services CPI]]="",#N/A,((Tabela1[[#This Row],[Services CPI]]*1)/J391)-1)</f>
        <v>0.17220543806646504</v>
      </c>
      <c r="M403" s="7">
        <v>78.400000000000006</v>
      </c>
      <c r="N403" s="8">
        <f>IF(Tabela1[[#This Row],[Core-Services CPI]]="",#N/A,((Tabela1[[#This Row],[Core-Services CPI]]*1)/M402)-1)</f>
        <v>1.4230271668822958E-2</v>
      </c>
      <c r="O403" s="8">
        <f>IF(Tabela1[[#This Row],[Core-Services CPI]]="",#N/A,((Tabela1[[#This Row],[Core-Services CPI]]*1)/M391)-1)</f>
        <v>0.1718983557548579</v>
      </c>
      <c r="P403" s="7">
        <v>81.8</v>
      </c>
      <c r="Q403" s="8">
        <f>IF(Tabela1[[#This Row],[Durable Goods CPI]]="",#N/A,((Tabela1[[#This Row],[Durable Goods CPI]]*1)/P402)-1)</f>
        <v>8.6313193588163362E-3</v>
      </c>
      <c r="R403" s="8">
        <f>IF(Tabela1[[#This Row],[Durable Goods CPI]]="",#N/A,((Tabela1[[#This Row],[Durable Goods CPI]]*1)/P391)-1)</f>
        <v>9.3582887700534689E-2</v>
      </c>
      <c r="S403" s="7">
        <v>14.361385885000001</v>
      </c>
      <c r="T403" s="7">
        <v>38.481999999999999</v>
      </c>
      <c r="U403" s="8">
        <f>IF(Tabela1[[#This Row],[Personal Consumption Expenditures (PCE)]]="",#N/A,((Tabela1[[#This Row],[Personal Consumption Expenditures (PCE)]]*1)/T402)-1)</f>
        <v>7.7779232682990695E-3</v>
      </c>
      <c r="V403" s="8">
        <f>IF(Tabela1[[#This Row],[Personal Consumption Expenditures (PCE)]]="",#N/A,((Tabela1[[#This Row],[Personal Consumption Expenditures (PCE)]]*1)/T391)-1)</f>
        <v>0.10736381686857932</v>
      </c>
      <c r="W403" s="7">
        <v>37.506999999999998</v>
      </c>
      <c r="X403" s="8">
        <f>IF(Tabela1[[#This Row],[Core PCE]]="",#N/A,((Tabela1[[#This Row],[Core PCE]]*1)/W402)-1)</f>
        <v>8.062998898056728E-3</v>
      </c>
      <c r="Y403" s="8">
        <f>IF(Tabela1[[#This Row],[Core PCE]]="",#N/A,((Tabela1[[#This Row],[Core PCE]]*1)/W391)-1)</f>
        <v>8.8358191631361827E-2</v>
      </c>
      <c r="Z403" s="8">
        <f t="shared" si="17"/>
        <v>8.9863562064624425E-2</v>
      </c>
      <c r="AA403" s="8">
        <f t="shared" si="16"/>
        <v>9.4437313393461952E-2</v>
      </c>
      <c r="AB403" s="7">
        <v>8.56</v>
      </c>
      <c r="AC403" s="7"/>
      <c r="AD403" s="8"/>
      <c r="AE403" s="71"/>
      <c r="AF403" s="7">
        <v>8.6</v>
      </c>
      <c r="AG403" s="5"/>
    </row>
    <row r="404" spans="1:33" ht="12.75">
      <c r="A404" s="6">
        <v>29373</v>
      </c>
      <c r="B404" s="7">
        <v>82.5</v>
      </c>
      <c r="C404" s="8">
        <f>IF(Tabela1[[#This Row],[Consumer Price Index (CPI)]]="",#N/A,((Tabela1[[#This Row],[Consumer Price Index (CPI)]]*1)/B403)-1)</f>
        <v>9.7919216646267238E-3</v>
      </c>
      <c r="D404" s="8">
        <f>IF(Tabela1[[#This Row],[Consumer Price Index (CPI)]]="",#N/A,((Tabela1[[#This Row],[Consumer Price Index (CPI)]]*1)/B392)-1)</f>
        <v>0.14265927977839321</v>
      </c>
      <c r="E404" s="25">
        <v>81</v>
      </c>
      <c r="F404" s="8">
        <f>IF(Tabela1[[#This Row],[Core Consumer Price Index]]="",#N/A,((Tabela1[[#This Row],[Core Consumer Price Index]]*1)/E403)-1)</f>
        <v>1.1235955056179803E-2</v>
      </c>
      <c r="G404" s="8">
        <f>IF(Tabela1[[#This Row],[Core Consumer Price Index]]="",#N/A,((Tabela1[[#This Row],[Core Consumer Price Index]]*1)/E392)-1)</f>
        <v>0.13604488078541377</v>
      </c>
      <c r="H404" s="8">
        <f t="shared" si="18"/>
        <v>0.12093402618755977</v>
      </c>
      <c r="I404" s="8">
        <f t="shared" si="19"/>
        <v>0.13613468456497779</v>
      </c>
      <c r="J404" s="25">
        <v>79</v>
      </c>
      <c r="K404" s="8">
        <f>IF(Tabela1[[#This Row],[Services CPI]]="",#N/A,((Tabela1[[#This Row],[Services CPI]]*1)/J403)-1)</f>
        <v>1.804123711340222E-2</v>
      </c>
      <c r="L404" s="8">
        <f>IF(Tabela1[[#This Row],[Services CPI]]="",#N/A,((Tabela1[[#This Row],[Services CPI]]*1)/J392)-1)</f>
        <v>0.18263473053892221</v>
      </c>
      <c r="M404" s="7">
        <v>79.8</v>
      </c>
      <c r="N404" s="8">
        <f>IF(Tabela1[[#This Row],[Core-Services CPI]]="",#N/A,((Tabela1[[#This Row],[Core-Services CPI]]*1)/M403)-1)</f>
        <v>1.7857142857142794E-2</v>
      </c>
      <c r="O404" s="8">
        <f>IF(Tabela1[[#This Row],[Core-Services CPI]]="",#N/A,((Tabela1[[#This Row],[Core-Services CPI]]*1)/M392)-1)</f>
        <v>0.18222222222222229</v>
      </c>
      <c r="P404" s="7">
        <v>82.2</v>
      </c>
      <c r="Q404" s="8">
        <f>IF(Tabela1[[#This Row],[Durable Goods CPI]]="",#N/A,((Tabela1[[#This Row],[Durable Goods CPI]]*1)/P403)-1)</f>
        <v>4.8899755501223829E-3</v>
      </c>
      <c r="R404" s="8">
        <f>IF(Tabela1[[#This Row],[Durable Goods CPI]]="",#N/A,((Tabela1[[#This Row],[Durable Goods CPI]]*1)/P392)-1)</f>
        <v>9.1633466135458308E-2</v>
      </c>
      <c r="S404" s="7">
        <v>14.786779516999999</v>
      </c>
      <c r="T404" s="7">
        <v>38.725000000000001</v>
      </c>
      <c r="U404" s="8">
        <f>IF(Tabela1[[#This Row],[Personal Consumption Expenditures (PCE)]]="",#N/A,((Tabela1[[#This Row],[Personal Consumption Expenditures (PCE)]]*1)/T403)-1)</f>
        <v>6.3146406111949105E-3</v>
      </c>
      <c r="V404" s="8">
        <f>IF(Tabela1[[#This Row],[Personal Consumption Expenditures (PCE)]]="",#N/A,((Tabela1[[#This Row],[Personal Consumption Expenditures (PCE)]]*1)/T392)-1)</f>
        <v>0.10522860893886654</v>
      </c>
      <c r="W404" s="7">
        <v>37.756</v>
      </c>
      <c r="X404" s="8">
        <f>IF(Tabela1[[#This Row],[Core PCE]]="",#N/A,((Tabela1[[#This Row],[Core PCE]]*1)/W403)-1)</f>
        <v>6.6387607646574143E-3</v>
      </c>
      <c r="Y404" s="8">
        <f>IF(Tabela1[[#This Row],[Core PCE]]="",#N/A,((Tabela1[[#This Row],[Core PCE]]*1)/W392)-1)</f>
        <v>8.9482037224065669E-2</v>
      </c>
      <c r="Z404" s="8">
        <f t="shared" si="17"/>
        <v>7.9338145979921393E-2</v>
      </c>
      <c r="AA404" s="8">
        <f t="shared" si="16"/>
        <v>9.3350873375716681E-2</v>
      </c>
      <c r="AB404" s="7">
        <v>8.7200000000000006</v>
      </c>
      <c r="AC404" s="7"/>
      <c r="AD404" s="8"/>
      <c r="AE404" s="71"/>
      <c r="AF404" s="7">
        <v>8.5</v>
      </c>
      <c r="AG404" s="5"/>
    </row>
    <row r="405" spans="1:33" ht="12.75">
      <c r="A405" s="6">
        <v>29403</v>
      </c>
      <c r="B405" s="7">
        <v>82.6</v>
      </c>
      <c r="C405" s="8">
        <f>IF(Tabela1[[#This Row],[Consumer Price Index (CPI)]]="",#N/A,((Tabela1[[#This Row],[Consumer Price Index (CPI)]]*1)/B404)-1)</f>
        <v>1.2121212121212199E-3</v>
      </c>
      <c r="D405" s="8">
        <f>IF(Tabela1[[#This Row],[Consumer Price Index (CPI)]]="",#N/A,((Tabela1[[#This Row],[Consumer Price Index (CPI)]]*1)/B393)-1)</f>
        <v>0.1315068493150684</v>
      </c>
      <c r="E405" s="25">
        <v>80.8</v>
      </c>
      <c r="F405" s="8">
        <f>IF(Tabela1[[#This Row],[Core Consumer Price Index]]="",#N/A,((Tabela1[[#This Row],[Core Consumer Price Index]]*1)/E404)-1)</f>
        <v>-2.4691358024692134E-3</v>
      </c>
      <c r="G405" s="8">
        <f>IF(Tabela1[[#This Row],[Core Consumer Price Index]]="",#N/A,((Tabela1[[#This Row],[Core Consumer Price Index]]*1)/E393)-1)</f>
        <v>0.1237830319888733</v>
      </c>
      <c r="H405" s="8">
        <f t="shared" si="18"/>
        <v>6.525595626012537E-2</v>
      </c>
      <c r="I405" s="8">
        <f t="shared" si="19"/>
        <v>0.10477633369980155</v>
      </c>
      <c r="J405" s="25">
        <v>78.5</v>
      </c>
      <c r="K405" s="8">
        <f>IF(Tabela1[[#This Row],[Services CPI]]="",#N/A,((Tabela1[[#This Row],[Services CPI]]*1)/J404)-1)</f>
        <v>-6.3291139240506666E-3</v>
      </c>
      <c r="L405" s="8">
        <f>IF(Tabela1[[#This Row],[Services CPI]]="",#N/A,((Tabela1[[#This Row],[Services CPI]]*1)/J393)-1)</f>
        <v>0.16124260355029585</v>
      </c>
      <c r="M405" s="7">
        <v>79.099999999999994</v>
      </c>
      <c r="N405" s="8">
        <f>IF(Tabela1[[#This Row],[Core-Services CPI]]="",#N/A,((Tabela1[[#This Row],[Core-Services CPI]]*1)/M404)-1)</f>
        <v>-8.7719298245614308E-3</v>
      </c>
      <c r="O405" s="8">
        <f>IF(Tabela1[[#This Row],[Core-Services CPI]]="",#N/A,((Tabela1[[#This Row],[Core-Services CPI]]*1)/M393)-1)</f>
        <v>0.15812591508052698</v>
      </c>
      <c r="P405" s="7">
        <v>82.4</v>
      </c>
      <c r="Q405" s="8">
        <f>IF(Tabela1[[#This Row],[Durable Goods CPI]]="",#N/A,((Tabela1[[#This Row],[Durable Goods CPI]]*1)/P404)-1)</f>
        <v>2.4330900243310083E-3</v>
      </c>
      <c r="R405" s="8">
        <f>IF(Tabela1[[#This Row],[Durable Goods CPI]]="",#N/A,((Tabela1[[#This Row],[Durable Goods CPI]]*1)/P393)-1)</f>
        <v>8.9947089947089998E-2</v>
      </c>
      <c r="S405" s="7">
        <v>15.147255921999999</v>
      </c>
      <c r="T405" s="7">
        <v>39.026000000000003</v>
      </c>
      <c r="U405" s="8">
        <f>IF(Tabela1[[#This Row],[Personal Consumption Expenditures (PCE)]]="",#N/A,((Tabela1[[#This Row],[Personal Consumption Expenditures (PCE)]]*1)/T404)-1)</f>
        <v>7.7727566171723605E-3</v>
      </c>
      <c r="V405" s="8">
        <f>IF(Tabela1[[#This Row],[Personal Consumption Expenditures (PCE)]]="",#N/A,((Tabela1[[#This Row],[Personal Consumption Expenditures (PCE)]]*1)/T393)-1)</f>
        <v>0.10539583628381255</v>
      </c>
      <c r="W405" s="7">
        <v>38.021000000000001</v>
      </c>
      <c r="X405" s="8">
        <f>IF(Tabela1[[#This Row],[Core PCE]]="",#N/A,((Tabela1[[#This Row],[Core PCE]]*1)/W404)-1)</f>
        <v>7.0187519864393089E-3</v>
      </c>
      <c r="Y405" s="8">
        <f>IF(Tabela1[[#This Row],[Core PCE]]="",#N/A,((Tabela1[[#This Row],[Core PCE]]*1)/W393)-1)</f>
        <v>9.1647764793706399E-2</v>
      </c>
      <c r="Z405" s="8">
        <f t="shared" si="17"/>
        <v>8.6882046596613804E-2</v>
      </c>
      <c r="AA405" s="8">
        <f t="shared" si="16"/>
        <v>9.2183471824331065E-2</v>
      </c>
      <c r="AB405" s="7">
        <v>8.6</v>
      </c>
      <c r="AC405" s="7"/>
      <c r="AD405" s="8"/>
      <c r="AE405" s="71"/>
      <c r="AF405" s="7">
        <v>9.6</v>
      </c>
      <c r="AG405" s="5"/>
    </row>
    <row r="406" spans="1:33" ht="12.75">
      <c r="A406" s="6">
        <v>29434</v>
      </c>
      <c r="B406" s="7">
        <v>83.2</v>
      </c>
      <c r="C406" s="8">
        <f>IF(Tabela1[[#This Row],[Consumer Price Index (CPI)]]="",#N/A,((Tabela1[[#This Row],[Consumer Price Index (CPI)]]*1)/B405)-1)</f>
        <v>7.2639225181598821E-3</v>
      </c>
      <c r="D406" s="8">
        <f>IF(Tabela1[[#This Row],[Consumer Price Index (CPI)]]="",#N/A,((Tabela1[[#This Row],[Consumer Price Index (CPI)]]*1)/B394)-1)</f>
        <v>0.12890094979647215</v>
      </c>
      <c r="E406" s="25">
        <v>81.3</v>
      </c>
      <c r="F406" s="8">
        <f>IF(Tabela1[[#This Row],[Core Consumer Price Index]]="",#N/A,((Tabela1[[#This Row],[Core Consumer Price Index]]*1)/E405)-1)</f>
        <v>6.1881188118810826E-3</v>
      </c>
      <c r="G406" s="8">
        <f>IF(Tabela1[[#This Row],[Core Consumer Price Index]]="",#N/A,((Tabela1[[#This Row],[Core Consumer Price Index]]*1)/E394)-1)</f>
        <v>0.11829436038514429</v>
      </c>
      <c r="H406" s="8">
        <f t="shared" si="18"/>
        <v>5.9819752262366688E-2</v>
      </c>
      <c r="I406" s="8">
        <f t="shared" si="19"/>
        <v>9.6292075886797113E-2</v>
      </c>
      <c r="J406" s="25">
        <v>78.5</v>
      </c>
      <c r="K406" s="8">
        <f>IF(Tabela1[[#This Row],[Services CPI]]="",#N/A,((Tabela1[[#This Row],[Services CPI]]*1)/J405)-1)</f>
        <v>0</v>
      </c>
      <c r="L406" s="8">
        <f>IF(Tabela1[[#This Row],[Services CPI]]="",#N/A,((Tabela1[[#This Row],[Services CPI]]*1)/J394)-1)</f>
        <v>0.14598540145985406</v>
      </c>
      <c r="M406" s="7">
        <v>79</v>
      </c>
      <c r="N406" s="8">
        <f>IF(Tabela1[[#This Row],[Core-Services CPI]]="",#N/A,((Tabela1[[#This Row],[Core-Services CPI]]*1)/M405)-1)</f>
        <v>-1.2642225031604948E-3</v>
      </c>
      <c r="O406" s="8">
        <f>IF(Tabela1[[#This Row],[Core-Services CPI]]="",#N/A,((Tabela1[[#This Row],[Core-Services CPI]]*1)/M394)-1)</f>
        <v>0.14161849710982644</v>
      </c>
      <c r="P406" s="7">
        <v>83.6</v>
      </c>
      <c r="Q406" s="8">
        <f>IF(Tabela1[[#This Row],[Durable Goods CPI]]="",#N/A,((Tabela1[[#This Row],[Durable Goods CPI]]*1)/P405)-1)</f>
        <v>1.4563106796116276E-2</v>
      </c>
      <c r="R406" s="8">
        <f>IF(Tabela1[[#This Row],[Durable Goods CPI]]="",#N/A,((Tabela1[[#This Row],[Durable Goods CPI]]*1)/P394)-1)</f>
        <v>9.8554533508541375E-2</v>
      </c>
      <c r="S406" s="7">
        <v>15.810582065</v>
      </c>
      <c r="T406" s="7">
        <v>39.350999999999999</v>
      </c>
      <c r="U406" s="8">
        <f>IF(Tabela1[[#This Row],[Personal Consumption Expenditures (PCE)]]="",#N/A,((Tabela1[[#This Row],[Personal Consumption Expenditures (PCE)]]*1)/T405)-1)</f>
        <v>8.3277814790139182E-3</v>
      </c>
      <c r="V406" s="8">
        <f>IF(Tabela1[[#This Row],[Personal Consumption Expenditures (PCE)]]="",#N/A,((Tabela1[[#This Row],[Personal Consumption Expenditures (PCE)]]*1)/T394)-1)</f>
        <v>0.10614195361911438</v>
      </c>
      <c r="W406" s="7">
        <v>38.295999999999999</v>
      </c>
      <c r="X406" s="8">
        <f>IF(Tabela1[[#This Row],[Core PCE]]="",#N/A,((Tabela1[[#This Row],[Core PCE]]*1)/W405)-1)</f>
        <v>7.232845006706734E-3</v>
      </c>
      <c r="Y406" s="8">
        <f>IF(Tabela1[[#This Row],[Core PCE]]="",#N/A,((Tabela1[[#This Row],[Core PCE]]*1)/W394)-1)</f>
        <v>9.2298916143753518E-2</v>
      </c>
      <c r="Z406" s="8">
        <f t="shared" si="17"/>
        <v>8.3561431031213829E-2</v>
      </c>
      <c r="AA406" s="8">
        <f t="shared" si="16"/>
        <v>8.6712496547919127E-2</v>
      </c>
      <c r="AB406" s="7">
        <v>8.57</v>
      </c>
      <c r="AC406" s="7"/>
      <c r="AD406" s="8"/>
      <c r="AE406" s="71"/>
      <c r="AF406" s="7">
        <v>7.6</v>
      </c>
      <c r="AG406" s="5"/>
    </row>
    <row r="407" spans="1:33" ht="12.75">
      <c r="A407" s="6">
        <v>29465</v>
      </c>
      <c r="B407" s="7">
        <v>83.9</v>
      </c>
      <c r="C407" s="8">
        <f>IF(Tabela1[[#This Row],[Consumer Price Index (CPI)]]="",#N/A,((Tabela1[[#This Row],[Consumer Price Index (CPI)]]*1)/B406)-1)</f>
        <v>8.4134615384616751E-3</v>
      </c>
      <c r="D407" s="8">
        <f>IF(Tabela1[[#This Row],[Consumer Price Index (CPI)]]="",#N/A,((Tabela1[[#This Row],[Consumer Price Index (CPI)]]*1)/B395)-1)</f>
        <v>0.12768817204301075</v>
      </c>
      <c r="E407" s="25">
        <v>82.1</v>
      </c>
      <c r="F407" s="8">
        <f>IF(Tabela1[[#This Row],[Core Consumer Price Index]]="",#N/A,((Tabela1[[#This Row],[Core Consumer Price Index]]*1)/E406)-1)</f>
        <v>9.8400984009838766E-3</v>
      </c>
      <c r="G407" s="8">
        <f>IF(Tabela1[[#This Row],[Core Consumer Price Index]]="",#N/A,((Tabela1[[#This Row],[Core Consumer Price Index]]*1)/E395)-1)</f>
        <v>0.12005457025920863</v>
      </c>
      <c r="H407" s="8">
        <f t="shared" si="18"/>
        <v>5.4236325641582983E-2</v>
      </c>
      <c r="I407" s="8">
        <f t="shared" si="19"/>
        <v>8.7585175914571378E-2</v>
      </c>
      <c r="J407" s="25">
        <v>79</v>
      </c>
      <c r="K407" s="8">
        <f>IF(Tabela1[[#This Row],[Services CPI]]="",#N/A,((Tabela1[[#This Row],[Services CPI]]*1)/J406)-1)</f>
        <v>6.3694267515923553E-3</v>
      </c>
      <c r="L407" s="8">
        <f>IF(Tabela1[[#This Row],[Services CPI]]="",#N/A,((Tabela1[[#This Row],[Services CPI]]*1)/J395)-1)</f>
        <v>0.14161849710982644</v>
      </c>
      <c r="M407" s="7">
        <v>79.599999999999994</v>
      </c>
      <c r="N407" s="8">
        <f>IF(Tabela1[[#This Row],[Core-Services CPI]]="",#N/A,((Tabela1[[#This Row],[Core-Services CPI]]*1)/M406)-1)</f>
        <v>7.5949367088605779E-3</v>
      </c>
      <c r="O407" s="8">
        <f>IF(Tabela1[[#This Row],[Core-Services CPI]]="",#N/A,((Tabela1[[#This Row],[Core-Services CPI]]*1)/M395)-1)</f>
        <v>0.138769670958512</v>
      </c>
      <c r="P407" s="7">
        <v>84.8</v>
      </c>
      <c r="Q407" s="8">
        <f>IF(Tabela1[[#This Row],[Durable Goods CPI]]="",#N/A,((Tabela1[[#This Row],[Durable Goods CPI]]*1)/P406)-1)</f>
        <v>1.4354066985645897E-2</v>
      </c>
      <c r="R407" s="8">
        <f>IF(Tabela1[[#This Row],[Durable Goods CPI]]="",#N/A,((Tabela1[[#This Row],[Durable Goods CPI]]*1)/P395)-1)</f>
        <v>0.10994764397905743</v>
      </c>
      <c r="S407" s="7">
        <v>14.178529783</v>
      </c>
      <c r="T407" s="7">
        <v>39.715000000000003</v>
      </c>
      <c r="U407" s="8">
        <f>IF(Tabela1[[#This Row],[Personal Consumption Expenditures (PCE)]]="",#N/A,((Tabela1[[#This Row],[Personal Consumption Expenditures (PCE)]]*1)/T406)-1)</f>
        <v>9.2500825900232453E-3</v>
      </c>
      <c r="V407" s="8">
        <f>IF(Tabela1[[#This Row],[Personal Consumption Expenditures (PCE)]]="",#N/A,((Tabela1[[#This Row],[Personal Consumption Expenditures (PCE)]]*1)/T395)-1)</f>
        <v>0.10660648109448578</v>
      </c>
      <c r="W407" s="7">
        <v>38.656999999999996</v>
      </c>
      <c r="X407" s="8">
        <f>IF(Tabela1[[#This Row],[Core PCE]]="",#N/A,((Tabela1[[#This Row],[Core PCE]]*1)/W406)-1)</f>
        <v>9.4265719657404823E-3</v>
      </c>
      <c r="Y407" s="8">
        <f>IF(Tabela1[[#This Row],[Core PCE]]="",#N/A,((Tabela1[[#This Row],[Core PCE]]*1)/W395)-1)</f>
        <v>9.5130173659310424E-2</v>
      </c>
      <c r="Z407" s="8">
        <f t="shared" si="17"/>
        <v>9.4712675835546101E-2</v>
      </c>
      <c r="AA407" s="8">
        <f t="shared" si="16"/>
        <v>8.7025410907733747E-2</v>
      </c>
      <c r="AB407" s="7">
        <v>8.66</v>
      </c>
      <c r="AC407" s="7"/>
      <c r="AD407" s="8"/>
      <c r="AE407" s="71"/>
      <c r="AF407" s="7">
        <v>9.1</v>
      </c>
      <c r="AG407" s="5"/>
    </row>
    <row r="408" spans="1:33" ht="12.75">
      <c r="A408" s="6">
        <v>29495</v>
      </c>
      <c r="B408" s="7">
        <v>84.7</v>
      </c>
      <c r="C408" s="8">
        <f>IF(Tabela1[[#This Row],[Consumer Price Index (CPI)]]="",#N/A,((Tabela1[[#This Row],[Consumer Price Index (CPI)]]*1)/B407)-1)</f>
        <v>9.5351609058402786E-3</v>
      </c>
      <c r="D408" s="8">
        <f>IF(Tabela1[[#This Row],[Consumer Price Index (CPI)]]="",#N/A,((Tabela1[[#This Row],[Consumer Price Index (CPI)]]*1)/B396)-1)</f>
        <v>0.12632978723404253</v>
      </c>
      <c r="E408" s="25">
        <v>83</v>
      </c>
      <c r="F408" s="8">
        <f>IF(Tabela1[[#This Row],[Core Consumer Price Index]]="",#N/A,((Tabela1[[#This Row],[Core Consumer Price Index]]*1)/E407)-1)</f>
        <v>1.0962241169305775E-2</v>
      </c>
      <c r="G408" s="8">
        <f>IF(Tabela1[[#This Row],[Core Consumer Price Index]]="",#N/A,((Tabela1[[#This Row],[Core Consumer Price Index]]*1)/E396)-1)</f>
        <v>0.12162162162162171</v>
      </c>
      <c r="H408" s="8">
        <f t="shared" si="18"/>
        <v>0.10796183352868294</v>
      </c>
      <c r="I408" s="8">
        <f t="shared" si="19"/>
        <v>8.6608894894404154E-2</v>
      </c>
      <c r="J408" s="25">
        <v>80</v>
      </c>
      <c r="K408" s="8">
        <f>IF(Tabela1[[#This Row],[Services CPI]]="",#N/A,((Tabela1[[#This Row],[Services CPI]]*1)/J407)-1)</f>
        <v>1.2658227848101333E-2</v>
      </c>
      <c r="L408" s="8">
        <f>IF(Tabela1[[#This Row],[Services CPI]]="",#N/A,((Tabela1[[#This Row],[Services CPI]]*1)/J396)-1)</f>
        <v>0.14122681883024257</v>
      </c>
      <c r="M408" s="7">
        <v>80.599999999999994</v>
      </c>
      <c r="N408" s="8">
        <f>IF(Tabela1[[#This Row],[Core-Services CPI]]="",#N/A,((Tabela1[[#This Row],[Core-Services CPI]]*1)/M407)-1)</f>
        <v>1.2562814070351758E-2</v>
      </c>
      <c r="O408" s="8">
        <f>IF(Tabela1[[#This Row],[Core-Services CPI]]="",#N/A,((Tabela1[[#This Row],[Core-Services CPI]]*1)/M396)-1)</f>
        <v>0.1384180790960452</v>
      </c>
      <c r="P408" s="7">
        <v>85.7</v>
      </c>
      <c r="Q408" s="8">
        <f>IF(Tabela1[[#This Row],[Durable Goods CPI]]="",#N/A,((Tabela1[[#This Row],[Durable Goods CPI]]*1)/P407)-1)</f>
        <v>1.0613207547169878E-2</v>
      </c>
      <c r="R408" s="8">
        <f>IF(Tabela1[[#This Row],[Durable Goods CPI]]="",#N/A,((Tabela1[[#This Row],[Durable Goods CPI]]*1)/P396)-1)</f>
        <v>0.11443433029908978</v>
      </c>
      <c r="S408" s="7">
        <v>13.314194421</v>
      </c>
      <c r="T408" s="7">
        <v>40.033000000000001</v>
      </c>
      <c r="U408" s="8">
        <f>IF(Tabela1[[#This Row],[Personal Consumption Expenditures (PCE)]]="",#N/A,((Tabela1[[#This Row],[Personal Consumption Expenditures (PCE)]]*1)/T407)-1)</f>
        <v>8.007050232909485E-3</v>
      </c>
      <c r="V408" s="8">
        <f>IF(Tabela1[[#This Row],[Personal Consumption Expenditures (PCE)]]="",#N/A,((Tabela1[[#This Row],[Personal Consumption Expenditures (PCE)]]*1)/T396)-1)</f>
        <v>0.10643413852191697</v>
      </c>
      <c r="W408" s="7">
        <v>38.975000000000001</v>
      </c>
      <c r="X408" s="8">
        <f>IF(Tabela1[[#This Row],[Core PCE]]="",#N/A,((Tabela1[[#This Row],[Core PCE]]*1)/W407)-1)</f>
        <v>8.2261944796544473E-3</v>
      </c>
      <c r="Y408" s="8">
        <f>IF(Tabela1[[#This Row],[Core PCE]]="",#N/A,((Tabela1[[#This Row],[Core PCE]]*1)/W396)-1)</f>
        <v>9.6127344826616445E-2</v>
      </c>
      <c r="Z408" s="8">
        <f t="shared" si="17"/>
        <v>9.9542445808406654E-2</v>
      </c>
      <c r="AA408" s="8">
        <f t="shared" si="16"/>
        <v>9.3212246202510229E-2</v>
      </c>
      <c r="AB408" s="7">
        <v>8.57</v>
      </c>
      <c r="AC408" s="7"/>
      <c r="AD408" s="8"/>
      <c r="AE408" s="71"/>
      <c r="AF408" s="7">
        <v>9.6</v>
      </c>
      <c r="AG408" s="5"/>
    </row>
    <row r="409" spans="1:33" ht="12.75">
      <c r="A409" s="6">
        <v>29526</v>
      </c>
      <c r="B409" s="7">
        <v>85.6</v>
      </c>
      <c r="C409" s="8">
        <f>IF(Tabela1[[#This Row],[Consumer Price Index (CPI)]]="",#N/A,((Tabela1[[#This Row],[Consumer Price Index (CPI)]]*1)/B408)-1)</f>
        <v>1.0625737898465104E-2</v>
      </c>
      <c r="D409" s="8">
        <f>IF(Tabela1[[#This Row],[Consumer Price Index (CPI)]]="",#N/A,((Tabela1[[#This Row],[Consumer Price Index (CPI)]]*1)/B397)-1)</f>
        <v>0.12631578947368416</v>
      </c>
      <c r="E409" s="25">
        <v>83.9</v>
      </c>
      <c r="F409" s="8">
        <f>IF(Tabela1[[#This Row],[Core Consumer Price Index]]="",#N/A,((Tabela1[[#This Row],[Core Consumer Price Index]]*1)/E408)-1)</f>
        <v>1.0843373493975905E-2</v>
      </c>
      <c r="G409" s="8">
        <f>IF(Tabela1[[#This Row],[Core Consumer Price Index]]="",#N/A,((Tabela1[[#This Row],[Core Consumer Price Index]]*1)/E397)-1)</f>
        <v>0.12165775401069534</v>
      </c>
      <c r="H409" s="8">
        <f t="shared" si="18"/>
        <v>0.12658285225706223</v>
      </c>
      <c r="I409" s="8">
        <f t="shared" si="19"/>
        <v>9.3201302259714458E-2</v>
      </c>
      <c r="J409" s="25">
        <v>81.099999999999994</v>
      </c>
      <c r="K409" s="8">
        <f>IF(Tabela1[[#This Row],[Services CPI]]="",#N/A,((Tabela1[[#This Row],[Services CPI]]*1)/J408)-1)</f>
        <v>1.3749999999999929E-2</v>
      </c>
      <c r="L409" s="8">
        <f>IF(Tabela1[[#This Row],[Services CPI]]="",#N/A,((Tabela1[[#This Row],[Services CPI]]*1)/J397)-1)</f>
        <v>0.14064697609001398</v>
      </c>
      <c r="M409" s="7">
        <v>81.7</v>
      </c>
      <c r="N409" s="8">
        <f>IF(Tabela1[[#This Row],[Core-Services CPI]]="",#N/A,((Tabela1[[#This Row],[Core-Services CPI]]*1)/M408)-1)</f>
        <v>1.3647642679900818E-2</v>
      </c>
      <c r="O409" s="8">
        <f>IF(Tabela1[[#This Row],[Core-Services CPI]]="",#N/A,((Tabela1[[#This Row],[Core-Services CPI]]*1)/M397)-1)</f>
        <v>0.1378830083565461</v>
      </c>
      <c r="P409" s="7">
        <v>86.6</v>
      </c>
      <c r="Q409" s="8">
        <f>IF(Tabela1[[#This Row],[Durable Goods CPI]]="",#N/A,((Tabela1[[#This Row],[Durable Goods CPI]]*1)/P408)-1)</f>
        <v>1.0501750291715295E-2</v>
      </c>
      <c r="R409" s="8">
        <f>IF(Tabela1[[#This Row],[Durable Goods CPI]]="",#N/A,((Tabela1[[#This Row],[Durable Goods CPI]]*1)/P397)-1)</f>
        <v>0.11168164313222073</v>
      </c>
      <c r="S409" s="7">
        <v>13.136608244</v>
      </c>
      <c r="T409" s="7">
        <v>40.359000000000002</v>
      </c>
      <c r="U409" s="8">
        <f>IF(Tabela1[[#This Row],[Personal Consumption Expenditures (PCE)]]="",#N/A,((Tabela1[[#This Row],[Personal Consumption Expenditures (PCE)]]*1)/T408)-1)</f>
        <v>8.1432817925211065E-3</v>
      </c>
      <c r="V409" s="8">
        <f>IF(Tabela1[[#This Row],[Personal Consumption Expenditures (PCE)]]="",#N/A,((Tabela1[[#This Row],[Personal Consumption Expenditures (PCE)]]*1)/T397)-1)</f>
        <v>0.10775944885131628</v>
      </c>
      <c r="W409" s="7">
        <v>39.281999999999996</v>
      </c>
      <c r="X409" s="8">
        <f>IF(Tabela1[[#This Row],[Core PCE]]="",#N/A,((Tabela1[[#This Row],[Core PCE]]*1)/W408)-1)</f>
        <v>7.8768441308529891E-3</v>
      </c>
      <c r="Y409" s="8">
        <f>IF(Tabela1[[#This Row],[Core PCE]]="",#N/A,((Tabela1[[#This Row],[Core PCE]]*1)/W397)-1)</f>
        <v>9.7753185781354723E-2</v>
      </c>
      <c r="Z409" s="8">
        <f t="shared" si="17"/>
        <v>0.10211844230499167</v>
      </c>
      <c r="AA409" s="8">
        <f t="shared" ref="AA409:AA472" si="20">SUM(X404:X409)*2</f>
        <v>9.2839936668102752E-2</v>
      </c>
      <c r="AB409" s="7">
        <v>8.64</v>
      </c>
      <c r="AC409" s="7"/>
      <c r="AD409" s="8"/>
      <c r="AE409" s="71"/>
      <c r="AF409" s="7">
        <v>8.6</v>
      </c>
      <c r="AG409" s="5"/>
    </row>
    <row r="410" spans="1:33" ht="12.75">
      <c r="A410" s="6">
        <v>29556</v>
      </c>
      <c r="B410" s="7">
        <v>86.4</v>
      </c>
      <c r="C410" s="8">
        <f>IF(Tabela1[[#This Row],[Consumer Price Index (CPI)]]="",#N/A,((Tabela1[[#This Row],[Consumer Price Index (CPI)]]*1)/B409)-1)</f>
        <v>9.3457943925234765E-3</v>
      </c>
      <c r="D410" s="8">
        <f>IF(Tabela1[[#This Row],[Consumer Price Index (CPI)]]="",#N/A,((Tabela1[[#This Row],[Consumer Price Index (CPI)]]*1)/B398)-1)</f>
        <v>0.12353706111833551</v>
      </c>
      <c r="E410" s="25">
        <v>84.9</v>
      </c>
      <c r="F410" s="8">
        <f>IF(Tabela1[[#This Row],[Core Consumer Price Index]]="",#N/A,((Tabela1[[#This Row],[Core Consumer Price Index]]*1)/E409)-1)</f>
        <v>1.1918951132300348E-2</v>
      </c>
      <c r="G410" s="8">
        <f>IF(Tabela1[[#This Row],[Core Consumer Price Index]]="",#N/A,((Tabela1[[#This Row],[Core Consumer Price Index]]*1)/E398)-1)</f>
        <v>0.12153236459709382</v>
      </c>
      <c r="H410" s="8">
        <f t="shared" si="18"/>
        <v>0.13489826318232812</v>
      </c>
      <c r="I410" s="8">
        <f t="shared" si="19"/>
        <v>9.4567294411955549E-2</v>
      </c>
      <c r="J410" s="25">
        <v>82.2</v>
      </c>
      <c r="K410" s="8">
        <f>IF(Tabela1[[#This Row],[Services CPI]]="",#N/A,((Tabela1[[#This Row],[Services CPI]]*1)/J409)-1)</f>
        <v>1.356350184956856E-2</v>
      </c>
      <c r="L410" s="8">
        <f>IF(Tabela1[[#This Row],[Services CPI]]="",#N/A,((Tabela1[[#This Row],[Services CPI]]*1)/J398)-1)</f>
        <v>0.14166666666666661</v>
      </c>
      <c r="M410" s="7">
        <v>82.9</v>
      </c>
      <c r="N410" s="8">
        <f>IF(Tabela1[[#This Row],[Core-Services CPI]]="",#N/A,((Tabela1[[#This Row],[Core-Services CPI]]*1)/M409)-1)</f>
        <v>1.4687882496940086E-2</v>
      </c>
      <c r="O410" s="8">
        <f>IF(Tabela1[[#This Row],[Core-Services CPI]]="",#N/A,((Tabela1[[#This Row],[Core-Services CPI]]*1)/M398)-1)</f>
        <v>0.14030261348005513</v>
      </c>
      <c r="P410" s="7">
        <v>86.9</v>
      </c>
      <c r="Q410" s="8">
        <f>IF(Tabela1[[#This Row],[Durable Goods CPI]]="",#N/A,((Tabela1[[#This Row],[Durable Goods CPI]]*1)/P409)-1)</f>
        <v>3.4642032332565798E-3</v>
      </c>
      <c r="R410" s="8">
        <f>IF(Tabela1[[#This Row],[Durable Goods CPI]]="",#N/A,((Tabela1[[#This Row],[Durable Goods CPI]]*1)/P398)-1)</f>
        <v>0.10559796437659053</v>
      </c>
      <c r="S410" s="7">
        <v>13.133051948</v>
      </c>
      <c r="T410" s="7">
        <v>40.621000000000002</v>
      </c>
      <c r="U410" s="8">
        <f>IF(Tabela1[[#This Row],[Personal Consumption Expenditures (PCE)]]="",#N/A,((Tabela1[[#This Row],[Personal Consumption Expenditures (PCE)]]*1)/T409)-1)</f>
        <v>6.491736663445602E-3</v>
      </c>
      <c r="V410" s="8">
        <f>IF(Tabela1[[#This Row],[Personal Consumption Expenditures (PCE)]]="",#N/A,((Tabela1[[#This Row],[Personal Consumption Expenditures (PCE)]]*1)/T398)-1)</f>
        <v>0.10566428046490128</v>
      </c>
      <c r="W410" s="7">
        <v>39.518000000000001</v>
      </c>
      <c r="X410" s="8">
        <f>IF(Tabela1[[#This Row],[Core PCE]]="",#N/A,((Tabela1[[#This Row],[Core PCE]]*1)/W409)-1)</f>
        <v>6.0078407413066692E-3</v>
      </c>
      <c r="Y410" s="8">
        <f>IF(Tabela1[[#This Row],[Core PCE]]="",#N/A,((Tabela1[[#This Row],[Core PCE]]*1)/W398)-1)</f>
        <v>9.6473460780777565E-2</v>
      </c>
      <c r="Z410" s="8">
        <f t="shared" si="17"/>
        <v>8.8443517407256422E-2</v>
      </c>
      <c r="AA410" s="8">
        <f t="shared" si="20"/>
        <v>9.1578096621401262E-2</v>
      </c>
      <c r="AB410" s="7">
        <v>8.64</v>
      </c>
      <c r="AC410" s="7"/>
      <c r="AD410" s="8"/>
      <c r="AE410" s="71"/>
      <c r="AF410" s="7">
        <v>9.6999999999999993</v>
      </c>
      <c r="AG410" s="5"/>
    </row>
    <row r="411" spans="1:33" ht="12.75">
      <c r="A411" s="6">
        <v>29587</v>
      </c>
      <c r="B411" s="7">
        <v>87.2</v>
      </c>
      <c r="C411" s="8">
        <f>IF(Tabela1[[#This Row],[Consumer Price Index (CPI)]]="",#N/A,((Tabela1[[#This Row],[Consumer Price Index (CPI)]]*1)/B410)-1)</f>
        <v>9.2592592592593004E-3</v>
      </c>
      <c r="D411" s="8">
        <f>IF(Tabela1[[#This Row],[Consumer Price Index (CPI)]]="",#N/A,((Tabela1[[#This Row],[Consumer Price Index (CPI)]]*1)/B399)-1)</f>
        <v>0.11794871794871797</v>
      </c>
      <c r="E411" s="25">
        <v>85.4</v>
      </c>
      <c r="F411" s="8">
        <f>IF(Tabela1[[#This Row],[Core Consumer Price Index]]="",#N/A,((Tabela1[[#This Row],[Core Consumer Price Index]]*1)/E410)-1)</f>
        <v>5.8892815076561078E-3</v>
      </c>
      <c r="G411" s="8">
        <f>IF(Tabela1[[#This Row],[Core Consumer Price Index]]="",#N/A,((Tabela1[[#This Row],[Core Consumer Price Index]]*1)/E399)-1)</f>
        <v>0.11342894393741854</v>
      </c>
      <c r="H411" s="8">
        <f t="shared" si="18"/>
        <v>0.11460642453572945</v>
      </c>
      <c r="I411" s="8">
        <f t="shared" si="19"/>
        <v>0.11128412903220619</v>
      </c>
      <c r="J411" s="25">
        <v>83</v>
      </c>
      <c r="K411" s="8">
        <f>IF(Tabela1[[#This Row],[Services CPI]]="",#N/A,((Tabela1[[#This Row],[Services CPI]]*1)/J410)-1)</f>
        <v>9.7323600973235891E-3</v>
      </c>
      <c r="L411" s="8">
        <f>IF(Tabela1[[#This Row],[Services CPI]]="",#N/A,((Tabela1[[#This Row],[Services CPI]]*1)/J399)-1)</f>
        <v>0.1354309165526677</v>
      </c>
      <c r="M411" s="7">
        <v>83.7</v>
      </c>
      <c r="N411" s="8">
        <f>IF(Tabela1[[#This Row],[Core-Services CPI]]="",#N/A,((Tabela1[[#This Row],[Core-Services CPI]]*1)/M410)-1)</f>
        <v>9.6501809408926498E-3</v>
      </c>
      <c r="O411" s="8">
        <f>IF(Tabela1[[#This Row],[Core-Services CPI]]="",#N/A,((Tabela1[[#This Row],[Core-Services CPI]]*1)/M399)-1)</f>
        <v>0.13414634146341475</v>
      </c>
      <c r="P411" s="7">
        <v>87.2</v>
      </c>
      <c r="Q411" s="8">
        <f>IF(Tabela1[[#This Row],[Durable Goods CPI]]="",#N/A,((Tabela1[[#This Row],[Durable Goods CPI]]*1)/P410)-1)</f>
        <v>3.4522439585731313E-3</v>
      </c>
      <c r="R411" s="8">
        <f>IF(Tabela1[[#This Row],[Durable Goods CPI]]="",#N/A,((Tabela1[[#This Row],[Durable Goods CPI]]*1)/P399)-1)</f>
        <v>9.6855345911949664E-2</v>
      </c>
      <c r="S411" s="7">
        <v>12.918697160000001</v>
      </c>
      <c r="T411" s="7">
        <v>41.011000000000003</v>
      </c>
      <c r="U411" s="8">
        <f>IF(Tabela1[[#This Row],[Personal Consumption Expenditures (PCE)]]="",#N/A,((Tabela1[[#This Row],[Personal Consumption Expenditures (PCE)]]*1)/T410)-1)</f>
        <v>9.6009453238472542E-3</v>
      </c>
      <c r="V411" s="8">
        <f>IF(Tabela1[[#This Row],[Personal Consumption Expenditures (PCE)]]="",#N/A,((Tabela1[[#This Row],[Personal Consumption Expenditures (PCE)]]*1)/T399)-1)</f>
        <v>0.10470315698739352</v>
      </c>
      <c r="W411" s="7">
        <v>39.860999999999997</v>
      </c>
      <c r="X411" s="8">
        <f>IF(Tabela1[[#This Row],[Core PCE]]="",#N/A,((Tabela1[[#This Row],[Core PCE]]*1)/W410)-1)</f>
        <v>8.6795890480286797E-3</v>
      </c>
      <c r="Y411" s="8">
        <f>IF(Tabela1[[#This Row],[Core PCE]]="",#N/A,((Tabela1[[#This Row],[Core PCE]]*1)/W399)-1)</f>
        <v>9.7645600991325798E-2</v>
      </c>
      <c r="Z411" s="8">
        <f t="shared" si="17"/>
        <v>9.0257095680753352E-2</v>
      </c>
      <c r="AA411" s="8">
        <f t="shared" si="20"/>
        <v>9.4899770744580003E-2</v>
      </c>
      <c r="AB411" s="7">
        <v>8.59</v>
      </c>
      <c r="AC411" s="7"/>
      <c r="AD411" s="8"/>
      <c r="AE411" s="71"/>
      <c r="AF411" s="7">
        <v>9.5</v>
      </c>
      <c r="AG411" s="5"/>
    </row>
    <row r="412" spans="1:33" ht="12.75">
      <c r="A412" s="6">
        <v>29618</v>
      </c>
      <c r="B412" s="7">
        <v>88</v>
      </c>
      <c r="C412" s="8">
        <f>IF(Tabela1[[#This Row],[Consumer Price Index (CPI)]]="",#N/A,((Tabela1[[#This Row],[Consumer Price Index (CPI)]]*1)/B411)-1)</f>
        <v>9.1743119266054496E-3</v>
      </c>
      <c r="D412" s="8">
        <f>IF(Tabela1[[#This Row],[Consumer Price Index (CPI)]]="",#N/A,((Tabela1[[#This Row],[Consumer Price Index (CPI)]]*1)/B400)-1)</f>
        <v>0.11392405063291133</v>
      </c>
      <c r="E412" s="25">
        <v>85.9</v>
      </c>
      <c r="F412" s="8">
        <f>IF(Tabela1[[#This Row],[Core Consumer Price Index]]="",#N/A,((Tabela1[[#This Row],[Core Consumer Price Index]]*1)/E411)-1)</f>
        <v>5.8548009367680454E-3</v>
      </c>
      <c r="G412" s="8">
        <f>IF(Tabela1[[#This Row],[Core Consumer Price Index]]="",#N/A,((Tabela1[[#This Row],[Core Consumer Price Index]]*1)/E400)-1)</f>
        <v>0.10838709677419356</v>
      </c>
      <c r="H412" s="8">
        <f t="shared" si="18"/>
        <v>9.4652134306898006E-2</v>
      </c>
      <c r="I412" s="8">
        <f t="shared" si="19"/>
        <v>0.11061749328198012</v>
      </c>
      <c r="J412" s="25">
        <v>83.7</v>
      </c>
      <c r="K412" s="8">
        <f>IF(Tabela1[[#This Row],[Services CPI]]="",#N/A,((Tabela1[[#This Row],[Services CPI]]*1)/J411)-1)</f>
        <v>8.4337349397589634E-3</v>
      </c>
      <c r="L412" s="8">
        <f>IF(Tabela1[[#This Row],[Services CPI]]="",#N/A,((Tabela1[[#This Row],[Services CPI]]*1)/J400)-1)</f>
        <v>0.12955465587044546</v>
      </c>
      <c r="M412" s="7">
        <v>84.3</v>
      </c>
      <c r="N412" s="8">
        <f>IF(Tabela1[[#This Row],[Core-Services CPI]]="",#N/A,((Tabela1[[#This Row],[Core-Services CPI]]*1)/M411)-1)</f>
        <v>7.1684587813618528E-3</v>
      </c>
      <c r="O412" s="8">
        <f>IF(Tabela1[[#This Row],[Core-Services CPI]]="",#N/A,((Tabela1[[#This Row],[Core-Services CPI]]*1)/M400)-1)</f>
        <v>0.12700534759358284</v>
      </c>
      <c r="P412" s="7">
        <v>87.4</v>
      </c>
      <c r="Q412" s="8">
        <f>IF(Tabela1[[#This Row],[Durable Goods CPI]]="",#N/A,((Tabela1[[#This Row],[Durable Goods CPI]]*1)/P411)-1)</f>
        <v>2.2935779816513069E-3</v>
      </c>
      <c r="R412" s="8">
        <f>IF(Tabela1[[#This Row],[Durable Goods CPI]]="",#N/A,((Tabela1[[#This Row],[Durable Goods CPI]]*1)/P400)-1)</f>
        <v>9.1136079900125067E-2</v>
      </c>
      <c r="S412" s="7">
        <v>12.732242952</v>
      </c>
      <c r="T412" s="7">
        <v>41.426000000000002</v>
      </c>
      <c r="U412" s="8">
        <f>IF(Tabela1[[#This Row],[Personal Consumption Expenditures (PCE)]]="",#N/A,((Tabela1[[#This Row],[Personal Consumption Expenditures (PCE)]]*1)/T411)-1)</f>
        <v>1.011923630245537E-2</v>
      </c>
      <c r="V412" s="8">
        <f>IF(Tabela1[[#This Row],[Personal Consumption Expenditures (PCE)]]="",#N/A,((Tabela1[[#This Row],[Personal Consumption Expenditures (PCE)]]*1)/T400)-1)</f>
        <v>0.10392794329265032</v>
      </c>
      <c r="W412" s="7">
        <v>40.152000000000001</v>
      </c>
      <c r="X412" s="8">
        <f>IF(Tabela1[[#This Row],[Core PCE]]="",#N/A,((Tabela1[[#This Row],[Core PCE]]*1)/W411)-1)</f>
        <v>7.3003687815158536E-3</v>
      </c>
      <c r="Y412" s="8">
        <f>IF(Tabela1[[#This Row],[Core PCE]]="",#N/A,((Tabela1[[#This Row],[Core PCE]]*1)/W400)-1)</f>
        <v>9.4746026119911786E-2</v>
      </c>
      <c r="Z412" s="8">
        <f t="shared" si="17"/>
        <v>8.795119428340481E-2</v>
      </c>
      <c r="AA412" s="8">
        <f t="shared" si="20"/>
        <v>9.5034818294198242E-2</v>
      </c>
      <c r="AB412" s="7">
        <v>8.6</v>
      </c>
      <c r="AC412" s="7"/>
      <c r="AD412" s="8"/>
      <c r="AE412" s="71"/>
      <c r="AF412" s="7">
        <v>8.6</v>
      </c>
      <c r="AG412" s="5"/>
    </row>
    <row r="413" spans="1:33" ht="12.75">
      <c r="A413" s="6">
        <v>29646</v>
      </c>
      <c r="B413" s="7">
        <v>88.6</v>
      </c>
      <c r="C413" s="8">
        <f>IF(Tabela1[[#This Row],[Consumer Price Index (CPI)]]="",#N/A,((Tabela1[[#This Row],[Consumer Price Index (CPI)]]*1)/B412)-1)</f>
        <v>6.8181818181818343E-3</v>
      </c>
      <c r="D413" s="8">
        <f>IF(Tabela1[[#This Row],[Consumer Price Index (CPI)]]="",#N/A,((Tabela1[[#This Row],[Consumer Price Index (CPI)]]*1)/B401)-1)</f>
        <v>0.10611735330836458</v>
      </c>
      <c r="E413" s="25">
        <v>86.4</v>
      </c>
      <c r="F413" s="8">
        <f>IF(Tabela1[[#This Row],[Core Consumer Price Index]]="",#N/A,((Tabela1[[#This Row],[Core Consumer Price Index]]*1)/E412)-1)</f>
        <v>5.8207217694994373E-3</v>
      </c>
      <c r="G413" s="8">
        <f>IF(Tabela1[[#This Row],[Core Consumer Price Index]]="",#N/A,((Tabela1[[#This Row],[Core Consumer Price Index]]*1)/E401)-1)</f>
        <v>9.92366412213741E-2</v>
      </c>
      <c r="H413" s="8">
        <f t="shared" si="18"/>
        <v>7.0259216855694362E-2</v>
      </c>
      <c r="I413" s="8">
        <f t="shared" si="19"/>
        <v>0.10257874001901124</v>
      </c>
      <c r="J413" s="25">
        <v>84.4</v>
      </c>
      <c r="K413" s="8">
        <f>IF(Tabela1[[#This Row],[Services CPI]]="",#N/A,((Tabela1[[#This Row],[Services CPI]]*1)/J412)-1)</f>
        <v>8.3632019115891243E-3</v>
      </c>
      <c r="L413" s="8">
        <f>IF(Tabela1[[#This Row],[Services CPI]]="",#N/A,((Tabela1[[#This Row],[Services CPI]]*1)/J401)-1)</f>
        <v>0.11936339522546424</v>
      </c>
      <c r="M413" s="7">
        <v>85</v>
      </c>
      <c r="N413" s="8">
        <f>IF(Tabela1[[#This Row],[Core-Services CPI]]="",#N/A,((Tabela1[[#This Row],[Core-Services CPI]]*1)/M412)-1)</f>
        <v>8.3036773428233346E-3</v>
      </c>
      <c r="O413" s="8">
        <f>IF(Tabela1[[#This Row],[Core-Services CPI]]="",#N/A,((Tabela1[[#This Row],[Core-Services CPI]]*1)/M401)-1)</f>
        <v>0.11548556430446189</v>
      </c>
      <c r="P413" s="7">
        <v>87.4</v>
      </c>
      <c r="Q413" s="8">
        <f>IF(Tabela1[[#This Row],[Durable Goods CPI]]="",#N/A,((Tabela1[[#This Row],[Durable Goods CPI]]*1)/P412)-1)</f>
        <v>0</v>
      </c>
      <c r="R413" s="8">
        <f>IF(Tabela1[[#This Row],[Durable Goods CPI]]="",#N/A,((Tabela1[[#This Row],[Durable Goods CPI]]*1)/P401)-1)</f>
        <v>8.1683168316831756E-2</v>
      </c>
      <c r="S413" s="7">
        <v>12.062863603</v>
      </c>
      <c r="T413" s="7">
        <v>41.715000000000003</v>
      </c>
      <c r="U413" s="8">
        <f>IF(Tabela1[[#This Row],[Personal Consumption Expenditures (PCE)]]="",#N/A,((Tabela1[[#This Row],[Personal Consumption Expenditures (PCE)]]*1)/T412)-1)</f>
        <v>6.9762950803844426E-3</v>
      </c>
      <c r="V413" s="8">
        <f>IF(Tabela1[[#This Row],[Personal Consumption Expenditures (PCE)]]="",#N/A,((Tabela1[[#This Row],[Personal Consumption Expenditures (PCE)]]*1)/T401)-1)</f>
        <v>9.8138836970542487E-2</v>
      </c>
      <c r="W413" s="7">
        <v>40.375</v>
      </c>
      <c r="X413" s="8">
        <f>IF(Tabela1[[#This Row],[Core PCE]]="",#N/A,((Tabela1[[#This Row],[Core PCE]]*1)/W412)-1)</f>
        <v>5.5538951982465612E-3</v>
      </c>
      <c r="Y413" s="8">
        <f>IF(Tabela1[[#This Row],[Core PCE]]="",#N/A,((Tabela1[[#This Row],[Core PCE]]*1)/W401)-1)</f>
        <v>9.0715076856579424E-2</v>
      </c>
      <c r="Z413" s="8">
        <f t="shared" si="17"/>
        <v>8.6135412111164378E-2</v>
      </c>
      <c r="AA413" s="8">
        <f t="shared" si="20"/>
        <v>8.72894647592104E-2</v>
      </c>
      <c r="AB413" s="7">
        <v>8.41</v>
      </c>
      <c r="AC413" s="7"/>
      <c r="AD413" s="8"/>
      <c r="AE413" s="71"/>
      <c r="AF413" s="7">
        <v>7.2</v>
      </c>
      <c r="AG413" s="5"/>
    </row>
    <row r="414" spans="1:33" ht="12.75">
      <c r="A414" s="6">
        <v>29677</v>
      </c>
      <c r="B414" s="7">
        <v>89.1</v>
      </c>
      <c r="C414" s="8">
        <f>IF(Tabela1[[#This Row],[Consumer Price Index (CPI)]]="",#N/A,((Tabela1[[#This Row],[Consumer Price Index (CPI)]]*1)/B413)-1)</f>
        <v>5.6433408577878375E-3</v>
      </c>
      <c r="D414" s="8">
        <f>IF(Tabela1[[#This Row],[Consumer Price Index (CPI)]]="",#N/A,((Tabela1[[#This Row],[Consumer Price Index (CPI)]]*1)/B402)-1)</f>
        <v>0.10135970333745359</v>
      </c>
      <c r="E414" s="25">
        <v>87</v>
      </c>
      <c r="F414" s="8">
        <f>IF(Tabela1[[#This Row],[Core Consumer Price Index]]="",#N/A,((Tabela1[[#This Row],[Core Consumer Price Index]]*1)/E413)-1)</f>
        <v>6.9444444444444198E-3</v>
      </c>
      <c r="G414" s="8">
        <f>IF(Tabela1[[#This Row],[Core Consumer Price Index]]="",#N/A,((Tabela1[[#This Row],[Core Consumer Price Index]]*1)/E402)-1)</f>
        <v>9.4339622641509413E-2</v>
      </c>
      <c r="H414" s="8">
        <f t="shared" si="18"/>
        <v>7.447986860284761E-2</v>
      </c>
      <c r="I414" s="8">
        <f t="shared" si="19"/>
        <v>9.4543146569288528E-2</v>
      </c>
      <c r="J414" s="25">
        <v>85.3</v>
      </c>
      <c r="K414" s="8">
        <f>IF(Tabela1[[#This Row],[Services CPI]]="",#N/A,((Tabela1[[#This Row],[Services CPI]]*1)/J413)-1)</f>
        <v>1.0663507109004655E-2</v>
      </c>
      <c r="L414" s="8">
        <f>IF(Tabela1[[#This Row],[Services CPI]]="",#N/A,((Tabela1[[#This Row],[Services CPI]]*1)/J402)-1)</f>
        <v>0.11357702349869458</v>
      </c>
      <c r="M414" s="7">
        <v>85.9</v>
      </c>
      <c r="N414" s="8">
        <f>IF(Tabela1[[#This Row],[Core-Services CPI]]="",#N/A,((Tabela1[[#This Row],[Core-Services CPI]]*1)/M413)-1)</f>
        <v>1.0588235294117787E-2</v>
      </c>
      <c r="O414" s="8">
        <f>IF(Tabela1[[#This Row],[Core-Services CPI]]="",#N/A,((Tabela1[[#This Row],[Core-Services CPI]]*1)/M402)-1)</f>
        <v>0.11125485122897816</v>
      </c>
      <c r="P414" s="7">
        <v>87.5</v>
      </c>
      <c r="Q414" s="8">
        <f>IF(Tabela1[[#This Row],[Durable Goods CPI]]="",#N/A,((Tabela1[[#This Row],[Durable Goods CPI]]*1)/P413)-1)</f>
        <v>1.1441647597252302E-3</v>
      </c>
      <c r="R414" s="8">
        <f>IF(Tabela1[[#This Row],[Durable Goods CPI]]="",#N/A,((Tabela1[[#This Row],[Durable Goods CPI]]*1)/P402)-1)</f>
        <v>7.8914919852034693E-2</v>
      </c>
      <c r="S414" s="7">
        <v>11.274926045999999</v>
      </c>
      <c r="T414" s="7">
        <v>41.896999999999998</v>
      </c>
      <c r="U414" s="8">
        <f>IF(Tabela1[[#This Row],[Personal Consumption Expenditures (PCE)]]="",#N/A,((Tabela1[[#This Row],[Personal Consumption Expenditures (PCE)]]*1)/T413)-1)</f>
        <v>4.3629389907706706E-3</v>
      </c>
      <c r="V414" s="8">
        <f>IF(Tabela1[[#This Row],[Personal Consumption Expenditures (PCE)]]="",#N/A,((Tabela1[[#This Row],[Personal Consumption Expenditures (PCE)]]*1)/T402)-1)</f>
        <v>9.7210946706821844E-2</v>
      </c>
      <c r="W414" s="7">
        <v>40.633000000000003</v>
      </c>
      <c r="X414" s="8">
        <f>IF(Tabela1[[#This Row],[Core PCE]]="",#N/A,((Tabela1[[#This Row],[Core PCE]]*1)/W413)-1)</f>
        <v>6.3900928792570699E-3</v>
      </c>
      <c r="Y414" s="8">
        <f>IF(Tabela1[[#This Row],[Core PCE]]="",#N/A,((Tabela1[[#This Row],[Core PCE]]*1)/W402)-1)</f>
        <v>9.2079447415808868E-2</v>
      </c>
      <c r="Z414" s="8">
        <f t="shared" si="17"/>
        <v>7.6977427436077939E-2</v>
      </c>
      <c r="AA414" s="8">
        <f t="shared" si="20"/>
        <v>8.3617261558415645E-2</v>
      </c>
      <c r="AB414" s="7">
        <v>8.5</v>
      </c>
      <c r="AC414" s="7"/>
      <c r="AD414" s="8"/>
      <c r="AE414" s="71"/>
      <c r="AF414" s="7">
        <v>8</v>
      </c>
      <c r="AG414" s="5"/>
    </row>
    <row r="415" spans="1:33" ht="12.75">
      <c r="A415" s="6">
        <v>29707</v>
      </c>
      <c r="B415" s="7">
        <v>89.7</v>
      </c>
      <c r="C415" s="8">
        <f>IF(Tabela1[[#This Row],[Consumer Price Index (CPI)]]="",#N/A,((Tabela1[[#This Row],[Consumer Price Index (CPI)]]*1)/B414)-1)</f>
        <v>6.7340067340069254E-3</v>
      </c>
      <c r="D415" s="8">
        <f>IF(Tabela1[[#This Row],[Consumer Price Index (CPI)]]="",#N/A,((Tabela1[[#This Row],[Consumer Price Index (CPI)]]*1)/B403)-1)</f>
        <v>9.7919216646266793E-2</v>
      </c>
      <c r="E415" s="25">
        <v>87.8</v>
      </c>
      <c r="F415" s="8">
        <f>IF(Tabela1[[#This Row],[Core Consumer Price Index]]="",#N/A,((Tabela1[[#This Row],[Core Consumer Price Index]]*1)/E414)-1)</f>
        <v>9.1954022988505191E-3</v>
      </c>
      <c r="G415" s="8">
        <f>IF(Tabela1[[#This Row],[Core Consumer Price Index]]="",#N/A,((Tabela1[[#This Row],[Core Consumer Price Index]]*1)/E403)-1)</f>
        <v>9.6129837702871423E-2</v>
      </c>
      <c r="H415" s="8">
        <f t="shared" si="18"/>
        <v>8.7842274051177505E-2</v>
      </c>
      <c r="I415" s="8">
        <f t="shared" si="19"/>
        <v>9.1247204179037755E-2</v>
      </c>
      <c r="J415" s="25">
        <v>86.4</v>
      </c>
      <c r="K415" s="8">
        <f>IF(Tabela1[[#This Row],[Services CPI]]="",#N/A,((Tabela1[[#This Row],[Services CPI]]*1)/J414)-1)</f>
        <v>1.2895662368112681E-2</v>
      </c>
      <c r="L415" s="8">
        <f>IF(Tabela1[[#This Row],[Services CPI]]="",#N/A,((Tabela1[[#This Row],[Services CPI]]*1)/J403)-1)</f>
        <v>0.11340206185567037</v>
      </c>
      <c r="M415" s="7">
        <v>87.1</v>
      </c>
      <c r="N415" s="8">
        <f>IF(Tabela1[[#This Row],[Core-Services CPI]]="",#N/A,((Tabela1[[#This Row],[Core-Services CPI]]*1)/M414)-1)</f>
        <v>1.3969732246798428E-2</v>
      </c>
      <c r="O415" s="8">
        <f>IF(Tabela1[[#This Row],[Core-Services CPI]]="",#N/A,((Tabela1[[#This Row],[Core-Services CPI]]*1)/M403)-1)</f>
        <v>0.1109693877551019</v>
      </c>
      <c r="P415" s="7">
        <v>88.5</v>
      </c>
      <c r="Q415" s="8">
        <f>IF(Tabela1[[#This Row],[Durable Goods CPI]]="",#N/A,((Tabela1[[#This Row],[Durable Goods CPI]]*1)/P414)-1)</f>
        <v>1.1428571428571344E-2</v>
      </c>
      <c r="R415" s="8">
        <f>IF(Tabela1[[#This Row],[Durable Goods CPI]]="",#N/A,((Tabela1[[#This Row],[Durable Goods CPI]]*1)/P403)-1)</f>
        <v>8.1907090464547805E-2</v>
      </c>
      <c r="S415" s="7">
        <v>10.363727852</v>
      </c>
      <c r="T415" s="7">
        <v>42.085000000000001</v>
      </c>
      <c r="U415" s="8">
        <f>IF(Tabela1[[#This Row],[Personal Consumption Expenditures (PCE)]]="",#N/A,((Tabela1[[#This Row],[Personal Consumption Expenditures (PCE)]]*1)/T414)-1)</f>
        <v>4.4871947872162643E-3</v>
      </c>
      <c r="V415" s="8">
        <f>IF(Tabela1[[#This Row],[Personal Consumption Expenditures (PCE)]]="",#N/A,((Tabela1[[#This Row],[Personal Consumption Expenditures (PCE)]]*1)/T403)-1)</f>
        <v>9.3628189803024897E-2</v>
      </c>
      <c r="W415" s="7">
        <v>40.912999999999997</v>
      </c>
      <c r="X415" s="8">
        <f>IF(Tabela1[[#This Row],[Core PCE]]="",#N/A,((Tabela1[[#This Row],[Core PCE]]*1)/W414)-1)</f>
        <v>6.8909507050918251E-3</v>
      </c>
      <c r="Y415" s="8">
        <f>IF(Tabela1[[#This Row],[Core PCE]]="",#N/A,((Tabela1[[#This Row],[Core PCE]]*1)/W403)-1)</f>
        <v>9.0809715519769574E-2</v>
      </c>
      <c r="Z415" s="8">
        <f t="shared" si="17"/>
        <v>7.5339755130381825E-2</v>
      </c>
      <c r="AA415" s="8">
        <f t="shared" si="20"/>
        <v>8.1645474706893317E-2</v>
      </c>
      <c r="AB415" s="7">
        <v>8.32</v>
      </c>
      <c r="AC415" s="7"/>
      <c r="AD415" s="8"/>
      <c r="AE415" s="71"/>
      <c r="AF415" s="7">
        <v>7.3</v>
      </c>
      <c r="AG415" s="5"/>
    </row>
    <row r="416" spans="1:33" ht="12.75">
      <c r="A416" s="6">
        <v>29738</v>
      </c>
      <c r="B416" s="7">
        <v>90.5</v>
      </c>
      <c r="C416" s="8">
        <f>IF(Tabela1[[#This Row],[Consumer Price Index (CPI)]]="",#N/A,((Tabela1[[#This Row],[Consumer Price Index (CPI)]]*1)/B415)-1)</f>
        <v>8.9186176142697082E-3</v>
      </c>
      <c r="D416" s="8">
        <f>IF(Tabela1[[#This Row],[Consumer Price Index (CPI)]]="",#N/A,((Tabela1[[#This Row],[Consumer Price Index (CPI)]]*1)/B404)-1)</f>
        <v>9.6969696969696928E-2</v>
      </c>
      <c r="E416" s="25">
        <v>88.6</v>
      </c>
      <c r="F416" s="8">
        <f>IF(Tabela1[[#This Row],[Core Consumer Price Index]]="",#N/A,((Tabela1[[#This Row],[Core Consumer Price Index]]*1)/E415)-1)</f>
        <v>9.1116173120728838E-3</v>
      </c>
      <c r="G416" s="8">
        <f>IF(Tabela1[[#This Row],[Core Consumer Price Index]]="",#N/A,((Tabela1[[#This Row],[Core Consumer Price Index]]*1)/E404)-1)</f>
        <v>9.3827160493827E-2</v>
      </c>
      <c r="H416" s="8">
        <f t="shared" si="18"/>
        <v>0.10100585622147129</v>
      </c>
      <c r="I416" s="8">
        <f t="shared" si="19"/>
        <v>8.5632536538582826E-2</v>
      </c>
      <c r="J416" s="25">
        <v>87.5</v>
      </c>
      <c r="K416" s="8">
        <f>IF(Tabela1[[#This Row],[Services CPI]]="",#N/A,((Tabela1[[#This Row],[Services CPI]]*1)/J415)-1)</f>
        <v>1.2731481481481399E-2</v>
      </c>
      <c r="L416" s="8">
        <f>IF(Tabela1[[#This Row],[Services CPI]]="",#N/A,((Tabela1[[#This Row],[Services CPI]]*1)/J404)-1)</f>
        <v>0.10759493670886067</v>
      </c>
      <c r="M416" s="7">
        <v>88.1</v>
      </c>
      <c r="N416" s="8">
        <f>IF(Tabela1[[#This Row],[Core-Services CPI]]="",#N/A,((Tabela1[[#This Row],[Core-Services CPI]]*1)/M415)-1)</f>
        <v>1.1481056257175659E-2</v>
      </c>
      <c r="O416" s="8">
        <f>IF(Tabela1[[#This Row],[Core-Services CPI]]="",#N/A,((Tabela1[[#This Row],[Core-Services CPI]]*1)/M404)-1)</f>
        <v>0.10401002506265655</v>
      </c>
      <c r="P416" s="7">
        <v>89.3</v>
      </c>
      <c r="Q416" s="8">
        <f>IF(Tabela1[[#This Row],[Durable Goods CPI]]="",#N/A,((Tabela1[[#This Row],[Durable Goods CPI]]*1)/P415)-1)</f>
        <v>9.0395480225988756E-3</v>
      </c>
      <c r="R416" s="8">
        <f>IF(Tabela1[[#This Row],[Durable Goods CPI]]="",#N/A,((Tabela1[[#This Row],[Durable Goods CPI]]*1)/P404)-1)</f>
        <v>8.6374695863746798E-2</v>
      </c>
      <c r="S416" s="7">
        <v>9.7525891530000006</v>
      </c>
      <c r="T416" s="7">
        <v>42.253</v>
      </c>
      <c r="U416" s="8">
        <f>IF(Tabela1[[#This Row],[Personal Consumption Expenditures (PCE)]]="",#N/A,((Tabela1[[#This Row],[Personal Consumption Expenditures (PCE)]]*1)/T415)-1)</f>
        <v>3.9919211120351683E-3</v>
      </c>
      <c r="V416" s="8">
        <f>IF(Tabela1[[#This Row],[Personal Consumption Expenditures (PCE)]]="",#N/A,((Tabela1[[#This Row],[Personal Consumption Expenditures (PCE)]]*1)/T404)-1)</f>
        <v>9.1103938024531983E-2</v>
      </c>
      <c r="W416" s="7">
        <v>41.116999999999997</v>
      </c>
      <c r="X416" s="8">
        <f>IF(Tabela1[[#This Row],[Core PCE]]="",#N/A,((Tabela1[[#This Row],[Core PCE]]*1)/W415)-1)</f>
        <v>4.9861902084911147E-3</v>
      </c>
      <c r="Y416" s="8">
        <f>IF(Tabela1[[#This Row],[Core PCE]]="",#N/A,((Tabela1[[#This Row],[Core PCE]]*1)/W404)-1)</f>
        <v>8.9018963873291668E-2</v>
      </c>
      <c r="Z416" s="8">
        <f t="shared" si="17"/>
        <v>7.3068935171360039E-2</v>
      </c>
      <c r="AA416" s="8">
        <f t="shared" si="20"/>
        <v>7.9602173641262208E-2</v>
      </c>
      <c r="AB416" s="7">
        <v>8.07</v>
      </c>
      <c r="AC416" s="7"/>
      <c r="AD416" s="8"/>
      <c r="AE416" s="71"/>
      <c r="AF416" s="7">
        <v>7.1</v>
      </c>
      <c r="AG416" s="5"/>
    </row>
    <row r="417" spans="1:33" ht="12.75">
      <c r="A417" s="6">
        <v>29768</v>
      </c>
      <c r="B417" s="7">
        <v>91.5</v>
      </c>
      <c r="C417" s="8">
        <f>IF(Tabela1[[#This Row],[Consumer Price Index (CPI)]]="",#N/A,((Tabela1[[#This Row],[Consumer Price Index (CPI)]]*1)/B416)-1)</f>
        <v>1.1049723756906049E-2</v>
      </c>
      <c r="D417" s="8">
        <f>IF(Tabela1[[#This Row],[Consumer Price Index (CPI)]]="",#N/A,((Tabela1[[#This Row],[Consumer Price Index (CPI)]]*1)/B405)-1)</f>
        <v>0.10774818401937059</v>
      </c>
      <c r="E417" s="25">
        <v>89.8</v>
      </c>
      <c r="F417" s="8">
        <f>IF(Tabela1[[#This Row],[Core Consumer Price Index]]="",#N/A,((Tabela1[[#This Row],[Core Consumer Price Index]]*1)/E416)-1)</f>
        <v>1.3544018058690765E-2</v>
      </c>
      <c r="G417" s="8">
        <f>IF(Tabela1[[#This Row],[Core Consumer Price Index]]="",#N/A,((Tabela1[[#This Row],[Core Consumer Price Index]]*1)/E405)-1)</f>
        <v>0.11138613861386149</v>
      </c>
      <c r="H417" s="8">
        <f t="shared" si="18"/>
        <v>0.12740415067845667</v>
      </c>
      <c r="I417" s="8">
        <f t="shared" si="19"/>
        <v>0.10094200964065214</v>
      </c>
      <c r="J417" s="25">
        <v>88.9</v>
      </c>
      <c r="K417" s="8">
        <f>IF(Tabela1[[#This Row],[Services CPI]]="",#N/A,((Tabela1[[#This Row],[Services CPI]]*1)/J416)-1)</f>
        <v>1.6000000000000014E-2</v>
      </c>
      <c r="L417" s="8">
        <f>IF(Tabela1[[#This Row],[Services CPI]]="",#N/A,((Tabela1[[#This Row],[Services CPI]]*1)/J405)-1)</f>
        <v>0.13248407643312099</v>
      </c>
      <c r="M417" s="7">
        <v>89.6</v>
      </c>
      <c r="N417" s="8">
        <f>IF(Tabela1[[#This Row],[Core-Services CPI]]="",#N/A,((Tabela1[[#This Row],[Core-Services CPI]]*1)/M416)-1)</f>
        <v>1.7026106696935273E-2</v>
      </c>
      <c r="O417" s="8">
        <f>IF(Tabela1[[#This Row],[Core-Services CPI]]="",#N/A,((Tabela1[[#This Row],[Core-Services CPI]]*1)/M405)-1)</f>
        <v>0.13274336283185839</v>
      </c>
      <c r="P417" s="7">
        <v>90.2</v>
      </c>
      <c r="Q417" s="8">
        <f>IF(Tabela1[[#This Row],[Durable Goods CPI]]="",#N/A,((Tabela1[[#This Row],[Durable Goods CPI]]*1)/P416)-1)</f>
        <v>1.0078387458006821E-2</v>
      </c>
      <c r="R417" s="8">
        <f>IF(Tabela1[[#This Row],[Durable Goods CPI]]="",#N/A,((Tabela1[[#This Row],[Durable Goods CPI]]*1)/P405)-1)</f>
        <v>9.4660194174757351E-2</v>
      </c>
      <c r="S417" s="7">
        <v>9.6458873549999993</v>
      </c>
      <c r="T417" s="7">
        <v>42.508000000000003</v>
      </c>
      <c r="U417" s="8">
        <f>IF(Tabela1[[#This Row],[Personal Consumption Expenditures (PCE)]]="",#N/A,((Tabela1[[#This Row],[Personal Consumption Expenditures (PCE)]]*1)/T416)-1)</f>
        <v>6.0350744325847749E-3</v>
      </c>
      <c r="V417" s="8">
        <f>IF(Tabela1[[#This Row],[Personal Consumption Expenditures (PCE)]]="",#N/A,((Tabela1[[#This Row],[Personal Consumption Expenditures (PCE)]]*1)/T405)-1)</f>
        <v>8.9222569569005206E-2</v>
      </c>
      <c r="W417" s="7">
        <v>41.365000000000002</v>
      </c>
      <c r="X417" s="8">
        <f>IF(Tabela1[[#This Row],[Core PCE]]="",#N/A,((Tabela1[[#This Row],[Core PCE]]*1)/W416)-1)</f>
        <v>6.0315684510057199E-3</v>
      </c>
      <c r="Y417" s="8">
        <f>IF(Tabela1[[#This Row],[Core PCE]]="",#N/A,((Tabela1[[#This Row],[Core PCE]]*1)/W405)-1)</f>
        <v>8.7951395281554934E-2</v>
      </c>
      <c r="Z417" s="8">
        <f t="shared" si="17"/>
        <v>7.1634837458354639E-2</v>
      </c>
      <c r="AA417" s="8">
        <f t="shared" si="20"/>
        <v>7.4306132447216289E-2</v>
      </c>
      <c r="AB417" s="7">
        <v>8.1</v>
      </c>
      <c r="AC417" s="7"/>
      <c r="AD417" s="8"/>
      <c r="AE417" s="71"/>
      <c r="AF417" s="7">
        <v>6.8</v>
      </c>
      <c r="AG417" s="5"/>
    </row>
    <row r="418" spans="1:33" ht="12.75">
      <c r="A418" s="6">
        <v>29799</v>
      </c>
      <c r="B418" s="7">
        <v>92.2</v>
      </c>
      <c r="C418" s="8">
        <f>IF(Tabela1[[#This Row],[Consumer Price Index (CPI)]]="",#N/A,((Tabela1[[#This Row],[Consumer Price Index (CPI)]]*1)/B417)-1)</f>
        <v>7.6502732240437687E-3</v>
      </c>
      <c r="D418" s="8">
        <f>IF(Tabela1[[#This Row],[Consumer Price Index (CPI)]]="",#N/A,((Tabela1[[#This Row],[Consumer Price Index (CPI)]]*1)/B406)-1)</f>
        <v>0.10817307692307687</v>
      </c>
      <c r="E418" s="25">
        <v>90.7</v>
      </c>
      <c r="F418" s="8">
        <f>IF(Tabela1[[#This Row],[Core Consumer Price Index]]="",#N/A,((Tabela1[[#This Row],[Core Consumer Price Index]]*1)/E417)-1)</f>
        <v>1.0022271714922093E-2</v>
      </c>
      <c r="G418" s="8">
        <f>IF(Tabela1[[#This Row],[Core Consumer Price Index]]="",#N/A,((Tabela1[[#This Row],[Core Consumer Price Index]]*1)/E406)-1)</f>
        <v>0.1156211562115621</v>
      </c>
      <c r="H418" s="8">
        <f t="shared" si="18"/>
        <v>0.13071162834274297</v>
      </c>
      <c r="I418" s="8">
        <f t="shared" si="19"/>
        <v>0.10927695119696024</v>
      </c>
      <c r="J418" s="25">
        <v>89.9</v>
      </c>
      <c r="K418" s="8">
        <f>IF(Tabela1[[#This Row],[Services CPI]]="",#N/A,((Tabela1[[#This Row],[Services CPI]]*1)/J417)-1)</f>
        <v>1.1248593925759387E-2</v>
      </c>
      <c r="L418" s="8">
        <f>IF(Tabela1[[#This Row],[Services CPI]]="",#N/A,((Tabela1[[#This Row],[Services CPI]]*1)/J406)-1)</f>
        <v>0.1452229299363057</v>
      </c>
      <c r="M418" s="7">
        <v>90.6</v>
      </c>
      <c r="N418" s="8">
        <f>IF(Tabela1[[#This Row],[Core-Services CPI]]="",#N/A,((Tabela1[[#This Row],[Core-Services CPI]]*1)/M417)-1)</f>
        <v>1.1160714285714191E-2</v>
      </c>
      <c r="O418" s="8">
        <f>IF(Tabela1[[#This Row],[Core-Services CPI]]="",#N/A,((Tabela1[[#This Row],[Core-Services CPI]]*1)/M406)-1)</f>
        <v>0.14683544303797458</v>
      </c>
      <c r="P418" s="7">
        <v>91</v>
      </c>
      <c r="Q418" s="8">
        <f>IF(Tabela1[[#This Row],[Durable Goods CPI]]="",#N/A,((Tabela1[[#This Row],[Durable Goods CPI]]*1)/P417)-1)</f>
        <v>8.8691796008868451E-3</v>
      </c>
      <c r="R418" s="8">
        <f>IF(Tabela1[[#This Row],[Durable Goods CPI]]="",#N/A,((Tabela1[[#This Row],[Durable Goods CPI]]*1)/P406)-1)</f>
        <v>8.8516746411483327E-2</v>
      </c>
      <c r="S418" s="7">
        <v>9.2502109990000001</v>
      </c>
      <c r="T418" s="7">
        <v>42.774000000000001</v>
      </c>
      <c r="U418" s="8">
        <f>IF(Tabela1[[#This Row],[Personal Consumption Expenditures (PCE)]]="",#N/A,((Tabela1[[#This Row],[Personal Consumption Expenditures (PCE)]]*1)/T417)-1)</f>
        <v>6.2576456196479224E-3</v>
      </c>
      <c r="V418" s="8">
        <f>IF(Tabela1[[#This Row],[Personal Consumption Expenditures (PCE)]]="",#N/A,((Tabela1[[#This Row],[Personal Consumption Expenditures (PCE)]]*1)/T406)-1)</f>
        <v>8.6986353586948173E-2</v>
      </c>
      <c r="W418" s="7">
        <v>41.642000000000003</v>
      </c>
      <c r="X418" s="8">
        <f>IF(Tabela1[[#This Row],[Core PCE]]="",#N/A,((Tabela1[[#This Row],[Core PCE]]*1)/W417)-1)</f>
        <v>6.6964825335429357E-3</v>
      </c>
      <c r="Y418" s="8">
        <f>IF(Tabela1[[#This Row],[Core PCE]]="",#N/A,((Tabela1[[#This Row],[Core PCE]]*1)/W406)-1)</f>
        <v>8.7372049300188159E-2</v>
      </c>
      <c r="Z418" s="8">
        <f t="shared" si="17"/>
        <v>7.0856964772159081E-2</v>
      </c>
      <c r="AA418" s="8">
        <f t="shared" si="20"/>
        <v>7.3098359951270453E-2</v>
      </c>
      <c r="AB418" s="7">
        <v>8.01</v>
      </c>
      <c r="AC418" s="7"/>
      <c r="AD418" s="8"/>
      <c r="AE418" s="71"/>
      <c r="AF418" s="7">
        <v>5.8</v>
      </c>
      <c r="AG418" s="5"/>
    </row>
    <row r="419" spans="1:33" ht="12.75">
      <c r="A419" s="6">
        <v>29830</v>
      </c>
      <c r="B419" s="7">
        <v>93.1</v>
      </c>
      <c r="C419" s="8">
        <f>IF(Tabela1[[#This Row],[Consumer Price Index (CPI)]]="",#N/A,((Tabela1[[#This Row],[Consumer Price Index (CPI)]]*1)/B418)-1)</f>
        <v>9.761388286333883E-3</v>
      </c>
      <c r="D419" s="8">
        <f>IF(Tabela1[[#This Row],[Consumer Price Index (CPI)]]="",#N/A,((Tabela1[[#This Row],[Consumer Price Index (CPI)]]*1)/B407)-1)</f>
        <v>0.1096543504171632</v>
      </c>
      <c r="E419" s="25">
        <v>91.8</v>
      </c>
      <c r="F419" s="8">
        <f>IF(Tabela1[[#This Row],[Core Consumer Price Index]]="",#N/A,((Tabela1[[#This Row],[Core Consumer Price Index]]*1)/E418)-1)</f>
        <v>1.2127894156560126E-2</v>
      </c>
      <c r="G419" s="8">
        <f>IF(Tabela1[[#This Row],[Core Consumer Price Index]]="",#N/A,((Tabela1[[#This Row],[Core Consumer Price Index]]*1)/E407)-1)</f>
        <v>0.11814859926918397</v>
      </c>
      <c r="H419" s="8">
        <f t="shared" si="18"/>
        <v>0.14277673572069194</v>
      </c>
      <c r="I419" s="8">
        <f t="shared" si="19"/>
        <v>0.12189129597108161</v>
      </c>
      <c r="J419" s="25">
        <v>91.2</v>
      </c>
      <c r="K419" s="8">
        <f>IF(Tabela1[[#This Row],[Services CPI]]="",#N/A,((Tabela1[[#This Row],[Services CPI]]*1)/J418)-1)</f>
        <v>1.4460511679643906E-2</v>
      </c>
      <c r="L419" s="8">
        <f>IF(Tabela1[[#This Row],[Services CPI]]="",#N/A,((Tabela1[[#This Row],[Services CPI]]*1)/J407)-1)</f>
        <v>0.15443037974683538</v>
      </c>
      <c r="M419" s="7">
        <v>91.9</v>
      </c>
      <c r="N419" s="8">
        <f>IF(Tabela1[[#This Row],[Core-Services CPI]]="",#N/A,((Tabela1[[#This Row],[Core-Services CPI]]*1)/M418)-1)</f>
        <v>1.4348785871964864E-2</v>
      </c>
      <c r="O419" s="8">
        <f>IF(Tabela1[[#This Row],[Core-Services CPI]]="",#N/A,((Tabela1[[#This Row],[Core-Services CPI]]*1)/M407)-1)</f>
        <v>0.15452261306532677</v>
      </c>
      <c r="P419" s="7">
        <v>91.7</v>
      </c>
      <c r="Q419" s="8">
        <f>IF(Tabela1[[#This Row],[Durable Goods CPI]]="",#N/A,((Tabela1[[#This Row],[Durable Goods CPI]]*1)/P418)-1)</f>
        <v>7.692307692307665E-3</v>
      </c>
      <c r="R419" s="8">
        <f>IF(Tabela1[[#This Row],[Durable Goods CPI]]="",#N/A,((Tabela1[[#This Row],[Durable Goods CPI]]*1)/P407)-1)</f>
        <v>8.1367924528301883E-2</v>
      </c>
      <c r="S419" s="7">
        <v>11.274384725999999</v>
      </c>
      <c r="T419" s="7">
        <v>43.033000000000001</v>
      </c>
      <c r="U419" s="8">
        <f>IF(Tabela1[[#This Row],[Personal Consumption Expenditures (PCE)]]="",#N/A,((Tabela1[[#This Row],[Personal Consumption Expenditures (PCE)]]*1)/T418)-1)</f>
        <v>6.0550801888998862E-3</v>
      </c>
      <c r="V419" s="8">
        <f>IF(Tabela1[[#This Row],[Personal Consumption Expenditures (PCE)]]="",#N/A,((Tabela1[[#This Row],[Personal Consumption Expenditures (PCE)]]*1)/T407)-1)</f>
        <v>8.3545259977338526E-2</v>
      </c>
      <c r="W419" s="7">
        <v>41.914999999999999</v>
      </c>
      <c r="X419" s="8">
        <f>IF(Tabela1[[#This Row],[Core PCE]]="",#N/A,((Tabela1[[#This Row],[Core PCE]]*1)/W418)-1)</f>
        <v>6.5558810816002122E-3</v>
      </c>
      <c r="Y419" s="8">
        <f>IF(Tabela1[[#This Row],[Core PCE]]="",#N/A,((Tabela1[[#This Row],[Core PCE]]*1)/W407)-1)</f>
        <v>8.4279690612308222E-2</v>
      </c>
      <c r="Z419" s="8">
        <f t="shared" si="17"/>
        <v>7.7135728264595471E-2</v>
      </c>
      <c r="AA419" s="8">
        <f t="shared" si="20"/>
        <v>7.5102331717977755E-2</v>
      </c>
      <c r="AB419" s="7">
        <v>7.82</v>
      </c>
      <c r="AC419" s="7"/>
      <c r="AD419" s="8"/>
      <c r="AE419" s="71"/>
      <c r="AF419" s="7">
        <v>6.9</v>
      </c>
      <c r="AG419" s="5"/>
    </row>
    <row r="420" spans="1:33" ht="12.75">
      <c r="A420" s="6">
        <v>29860</v>
      </c>
      <c r="B420" s="7">
        <v>93.4</v>
      </c>
      <c r="C420" s="8">
        <f>IF(Tabela1[[#This Row],[Consumer Price Index (CPI)]]="",#N/A,((Tabela1[[#This Row],[Consumer Price Index (CPI)]]*1)/B419)-1)</f>
        <v>3.2223415682064438E-3</v>
      </c>
      <c r="D420" s="8">
        <f>IF(Tabela1[[#This Row],[Consumer Price Index (CPI)]]="",#N/A,((Tabela1[[#This Row],[Consumer Price Index (CPI)]]*1)/B408)-1)</f>
        <v>0.10271546635182993</v>
      </c>
      <c r="E420" s="25">
        <v>92.1</v>
      </c>
      <c r="F420" s="8">
        <f>IF(Tabela1[[#This Row],[Core Consumer Price Index]]="",#N/A,((Tabela1[[#This Row],[Core Consumer Price Index]]*1)/E419)-1)</f>
        <v>3.2679738562091387E-3</v>
      </c>
      <c r="G420" s="8">
        <f>IF(Tabela1[[#This Row],[Core Consumer Price Index]]="",#N/A,((Tabela1[[#This Row],[Core Consumer Price Index]]*1)/E408)-1)</f>
        <v>0.10963855421686741</v>
      </c>
      <c r="H420" s="8">
        <f t="shared" si="18"/>
        <v>0.10167255891076543</v>
      </c>
      <c r="I420" s="8">
        <f t="shared" si="19"/>
        <v>0.11453835479461105</v>
      </c>
      <c r="J420" s="25">
        <v>91.7</v>
      </c>
      <c r="K420" s="8">
        <f>IF(Tabela1[[#This Row],[Services CPI]]="",#N/A,((Tabela1[[#This Row],[Services CPI]]*1)/J419)-1)</f>
        <v>5.482456140350811E-3</v>
      </c>
      <c r="L420" s="8">
        <f>IF(Tabela1[[#This Row],[Services CPI]]="",#N/A,((Tabela1[[#This Row],[Services CPI]]*1)/J408)-1)</f>
        <v>0.14624999999999999</v>
      </c>
      <c r="M420" s="7">
        <v>92.4</v>
      </c>
      <c r="N420" s="8">
        <f>IF(Tabela1[[#This Row],[Core-Services CPI]]="",#N/A,((Tabela1[[#This Row],[Core-Services CPI]]*1)/M419)-1)</f>
        <v>5.4406964091404664E-3</v>
      </c>
      <c r="O420" s="8">
        <f>IF(Tabela1[[#This Row],[Core-Services CPI]]="",#N/A,((Tabela1[[#This Row],[Core-Services CPI]]*1)/M408)-1)</f>
        <v>0.14640198511166269</v>
      </c>
      <c r="P420" s="7">
        <v>91.4</v>
      </c>
      <c r="Q420" s="8">
        <f>IF(Tabela1[[#This Row],[Durable Goods CPI]]="",#N/A,((Tabela1[[#This Row],[Durable Goods CPI]]*1)/P419)-1)</f>
        <v>-3.2715376226826187E-3</v>
      </c>
      <c r="R420" s="8">
        <f>IF(Tabela1[[#This Row],[Durable Goods CPI]]="",#N/A,((Tabela1[[#This Row],[Durable Goods CPI]]*1)/P408)-1)</f>
        <v>6.6511085180863461E-2</v>
      </c>
      <c r="S420" s="7">
        <v>11.853018154000001</v>
      </c>
      <c r="T420" s="7">
        <v>43.228000000000002</v>
      </c>
      <c r="U420" s="8">
        <f>IF(Tabela1[[#This Row],[Personal Consumption Expenditures (PCE)]]="",#N/A,((Tabela1[[#This Row],[Personal Consumption Expenditures (PCE)]]*1)/T419)-1)</f>
        <v>4.5314061301791053E-3</v>
      </c>
      <c r="V420" s="8">
        <f>IF(Tabela1[[#This Row],[Personal Consumption Expenditures (PCE)]]="",#N/A,((Tabela1[[#This Row],[Personal Consumption Expenditures (PCE)]]*1)/T408)-1)</f>
        <v>7.9809157445107859E-2</v>
      </c>
      <c r="W420" s="7">
        <v>42.164999999999999</v>
      </c>
      <c r="X420" s="8">
        <f>IF(Tabela1[[#This Row],[Core PCE]]="",#N/A,((Tabela1[[#This Row],[Core PCE]]*1)/W419)-1)</f>
        <v>5.9644518668733326E-3</v>
      </c>
      <c r="Y420" s="8">
        <f>IF(Tabela1[[#This Row],[Core PCE]]="",#N/A,((Tabela1[[#This Row],[Core PCE]]*1)/W408)-1)</f>
        <v>8.1847338037203343E-2</v>
      </c>
      <c r="Z420" s="8">
        <f t="shared" si="17"/>
        <v>7.6867261928065922E-2</v>
      </c>
      <c r="AA420" s="8">
        <f t="shared" si="20"/>
        <v>7.425104969321028E-2</v>
      </c>
      <c r="AB420" s="7">
        <v>7.62</v>
      </c>
      <c r="AC420" s="7"/>
      <c r="AD420" s="8"/>
      <c r="AE420" s="71"/>
      <c r="AF420" s="7">
        <v>6.7</v>
      </c>
      <c r="AG420" s="5"/>
    </row>
    <row r="421" spans="1:33" ht="12.75">
      <c r="A421" s="6">
        <v>29891</v>
      </c>
      <c r="B421" s="7">
        <v>93.8</v>
      </c>
      <c r="C421" s="8">
        <f>IF(Tabela1[[#This Row],[Consumer Price Index (CPI)]]="",#N/A,((Tabela1[[#This Row],[Consumer Price Index (CPI)]]*1)/B420)-1)</f>
        <v>4.2826552462524869E-3</v>
      </c>
      <c r="D421" s="8">
        <f>IF(Tabela1[[#This Row],[Consumer Price Index (CPI)]]="",#N/A,((Tabela1[[#This Row],[Consumer Price Index (CPI)]]*1)/B409)-1)</f>
        <v>9.5794392523364635E-2</v>
      </c>
      <c r="E421" s="25">
        <v>92.5</v>
      </c>
      <c r="F421" s="8">
        <f>IF(Tabela1[[#This Row],[Core Consumer Price Index]]="",#N/A,((Tabela1[[#This Row],[Core Consumer Price Index]]*1)/E420)-1)</f>
        <v>4.3431053203040193E-3</v>
      </c>
      <c r="G421" s="8">
        <f>IF(Tabela1[[#This Row],[Core Consumer Price Index]]="",#N/A,((Tabela1[[#This Row],[Core Consumer Price Index]]*1)/E409)-1)</f>
        <v>0.102502979737783</v>
      </c>
      <c r="H421" s="8">
        <f t="shared" si="18"/>
        <v>7.8955893332293137E-2</v>
      </c>
      <c r="I421" s="8">
        <f t="shared" si="19"/>
        <v>0.10483376083751805</v>
      </c>
      <c r="J421" s="25">
        <v>92.5</v>
      </c>
      <c r="K421" s="8">
        <f>IF(Tabela1[[#This Row],[Services CPI]]="",#N/A,((Tabela1[[#This Row],[Services CPI]]*1)/J420)-1)</f>
        <v>8.7241003271536499E-3</v>
      </c>
      <c r="L421" s="8">
        <f>IF(Tabela1[[#This Row],[Services CPI]]="",#N/A,((Tabela1[[#This Row],[Services CPI]]*1)/J409)-1)</f>
        <v>0.14056720098643649</v>
      </c>
      <c r="M421" s="7">
        <v>93.1</v>
      </c>
      <c r="N421" s="8">
        <f>IF(Tabela1[[#This Row],[Core-Services CPI]]="",#N/A,((Tabela1[[#This Row],[Core-Services CPI]]*1)/M420)-1)</f>
        <v>7.575757575757347E-3</v>
      </c>
      <c r="O421" s="8">
        <f>IF(Tabela1[[#This Row],[Core-Services CPI]]="",#N/A,((Tabela1[[#This Row],[Core-Services CPI]]*1)/M409)-1)</f>
        <v>0.13953488372093004</v>
      </c>
      <c r="P421" s="7">
        <v>91.5</v>
      </c>
      <c r="Q421" s="8">
        <f>IF(Tabela1[[#This Row],[Durable Goods CPI]]="",#N/A,((Tabela1[[#This Row],[Durable Goods CPI]]*1)/P420)-1)</f>
        <v>1.094091903719896E-3</v>
      </c>
      <c r="R421" s="8">
        <f>IF(Tabela1[[#This Row],[Durable Goods CPI]]="",#N/A,((Tabela1[[#This Row],[Durable Goods CPI]]*1)/P409)-1)</f>
        <v>5.6581986143187102E-2</v>
      </c>
      <c r="S421" s="7">
        <v>12.262533118</v>
      </c>
      <c r="T421" s="7">
        <v>43.46</v>
      </c>
      <c r="U421" s="8">
        <f>IF(Tabela1[[#This Row],[Personal Consumption Expenditures (PCE)]]="",#N/A,((Tabela1[[#This Row],[Personal Consumption Expenditures (PCE)]]*1)/T420)-1)</f>
        <v>5.3668918293698908E-3</v>
      </c>
      <c r="V421" s="8">
        <f>IF(Tabela1[[#This Row],[Personal Consumption Expenditures (PCE)]]="",#N/A,((Tabela1[[#This Row],[Personal Consumption Expenditures (PCE)]]*1)/T409)-1)</f>
        <v>7.6835402264674446E-2</v>
      </c>
      <c r="W421" s="7">
        <v>42.411000000000001</v>
      </c>
      <c r="X421" s="8">
        <f>IF(Tabela1[[#This Row],[Core PCE]]="",#N/A,((Tabela1[[#This Row],[Core PCE]]*1)/W420)-1)</f>
        <v>5.8342226965493182E-3</v>
      </c>
      <c r="Y421" s="8">
        <f>IF(Tabela1[[#This Row],[Core PCE]]="",#N/A,((Tabela1[[#This Row],[Core PCE]]*1)/W409)-1)</f>
        <v>7.9654803726898038E-2</v>
      </c>
      <c r="Z421" s="8">
        <f t="shared" si="17"/>
        <v>7.3418222580091452E-2</v>
      </c>
      <c r="AA421" s="8">
        <f t="shared" si="20"/>
        <v>7.2137593676125267E-2</v>
      </c>
      <c r="AB421" s="7">
        <v>7.41</v>
      </c>
      <c r="AC421" s="7"/>
      <c r="AD421" s="8"/>
      <c r="AE421" s="71"/>
      <c r="AF421" s="7">
        <v>7.3</v>
      </c>
      <c r="AG421" s="5"/>
    </row>
    <row r="422" spans="1:33" ht="12.75">
      <c r="A422" s="6">
        <v>29921</v>
      </c>
      <c r="B422" s="7">
        <v>94.1</v>
      </c>
      <c r="C422" s="8">
        <f>IF(Tabela1[[#This Row],[Consumer Price Index (CPI)]]="",#N/A,((Tabela1[[#This Row],[Consumer Price Index (CPI)]]*1)/B421)-1)</f>
        <v>3.1982942430703876E-3</v>
      </c>
      <c r="D422" s="8">
        <f>IF(Tabela1[[#This Row],[Consumer Price Index (CPI)]]="",#N/A,((Tabela1[[#This Row],[Consumer Price Index (CPI)]]*1)/B410)-1)</f>
        <v>8.9120370370370239E-2</v>
      </c>
      <c r="E422" s="25">
        <v>93</v>
      </c>
      <c r="F422" s="8">
        <f>IF(Tabela1[[#This Row],[Core Consumer Price Index]]="",#N/A,((Tabela1[[#This Row],[Core Consumer Price Index]]*1)/E421)-1)</f>
        <v>5.4054054054053502E-3</v>
      </c>
      <c r="G422" s="8">
        <f>IF(Tabela1[[#This Row],[Core Consumer Price Index]]="",#N/A,((Tabela1[[#This Row],[Core Consumer Price Index]]*1)/E410)-1)</f>
        <v>9.540636042402828E-2</v>
      </c>
      <c r="H422" s="8">
        <f t="shared" si="18"/>
        <v>5.2065938327674033E-2</v>
      </c>
      <c r="I422" s="8">
        <f t="shared" si="19"/>
        <v>9.7421337024182986E-2</v>
      </c>
      <c r="J422" s="25">
        <v>93</v>
      </c>
      <c r="K422" s="8">
        <f>IF(Tabela1[[#This Row],[Services CPI]]="",#N/A,((Tabela1[[#This Row],[Services CPI]]*1)/J421)-1)</f>
        <v>5.4054054054053502E-3</v>
      </c>
      <c r="L422" s="8">
        <f>IF(Tabela1[[#This Row],[Services CPI]]="",#N/A,((Tabela1[[#This Row],[Services CPI]]*1)/J410)-1)</f>
        <v>0.13138686131386867</v>
      </c>
      <c r="M422" s="7">
        <v>93.6</v>
      </c>
      <c r="N422" s="8">
        <f>IF(Tabela1[[#This Row],[Core-Services CPI]]="",#N/A,((Tabela1[[#This Row],[Core-Services CPI]]*1)/M421)-1)</f>
        <v>5.3705692803436289E-3</v>
      </c>
      <c r="O422" s="8">
        <f>IF(Tabela1[[#This Row],[Core-Services CPI]]="",#N/A,((Tabela1[[#This Row],[Core-Services CPI]]*1)/M410)-1)</f>
        <v>0.12907117008443891</v>
      </c>
      <c r="P422" s="7">
        <v>91.9</v>
      </c>
      <c r="Q422" s="8">
        <f>IF(Tabela1[[#This Row],[Durable Goods CPI]]="",#N/A,((Tabela1[[#This Row],[Durable Goods CPI]]*1)/P421)-1)</f>
        <v>4.3715846994536456E-3</v>
      </c>
      <c r="R422" s="8">
        <f>IF(Tabela1[[#This Row],[Durable Goods CPI]]="",#N/A,((Tabela1[[#This Row],[Durable Goods CPI]]*1)/P410)-1)</f>
        <v>5.7537399309551152E-2</v>
      </c>
      <c r="S422" s="7">
        <v>11.298313544000001</v>
      </c>
      <c r="T422" s="7">
        <v>43.594000000000001</v>
      </c>
      <c r="U422" s="8">
        <f>IF(Tabela1[[#This Row],[Personal Consumption Expenditures (PCE)]]="",#N/A,((Tabela1[[#This Row],[Personal Consumption Expenditures (PCE)]]*1)/T421)-1)</f>
        <v>3.0832949838932588E-3</v>
      </c>
      <c r="V422" s="8">
        <f>IF(Tabela1[[#This Row],[Personal Consumption Expenditures (PCE)]]="",#N/A,((Tabela1[[#This Row],[Personal Consumption Expenditures (PCE)]]*1)/T410)-1)</f>
        <v>7.3188744737943345E-2</v>
      </c>
      <c r="W422" s="7">
        <v>42.567999999999998</v>
      </c>
      <c r="X422" s="8">
        <f>IF(Tabela1[[#This Row],[Core PCE]]="",#N/A,((Tabela1[[#This Row],[Core PCE]]*1)/W421)-1)</f>
        <v>3.7018697979296356E-3</v>
      </c>
      <c r="Y422" s="8">
        <f>IF(Tabela1[[#This Row],[Core PCE]]="",#N/A,((Tabela1[[#This Row],[Core PCE]]*1)/W410)-1)</f>
        <v>7.7180019231742447E-2</v>
      </c>
      <c r="Z422" s="8">
        <f t="shared" si="17"/>
        <v>6.2002177445409146E-2</v>
      </c>
      <c r="AA422" s="8">
        <f t="shared" si="20"/>
        <v>6.9568952855002308E-2</v>
      </c>
      <c r="AB422" s="7">
        <v>7.14</v>
      </c>
      <c r="AC422" s="7"/>
      <c r="AD422" s="8"/>
      <c r="AE422" s="71"/>
      <c r="AF422" s="7">
        <v>5.3</v>
      </c>
      <c r="AG422" s="5"/>
    </row>
    <row r="423" spans="1:33" ht="12.75">
      <c r="A423" s="6">
        <v>29952</v>
      </c>
      <c r="B423" s="7">
        <v>94.4</v>
      </c>
      <c r="C423" s="8">
        <f>IF(Tabela1[[#This Row],[Consumer Price Index (CPI)]]="",#N/A,((Tabela1[[#This Row],[Consumer Price Index (CPI)]]*1)/B422)-1)</f>
        <v>3.1880977683316214E-3</v>
      </c>
      <c r="D423" s="8">
        <f>IF(Tabela1[[#This Row],[Consumer Price Index (CPI)]]="",#N/A,((Tabela1[[#This Row],[Consumer Price Index (CPI)]]*1)/B411)-1)</f>
        <v>8.256880733944949E-2</v>
      </c>
      <c r="E423" s="25">
        <v>93.3</v>
      </c>
      <c r="F423" s="8">
        <f>IF(Tabela1[[#This Row],[Core Consumer Price Index]]="",#N/A,((Tabela1[[#This Row],[Core Consumer Price Index]]*1)/E422)-1)</f>
        <v>3.225806451612856E-3</v>
      </c>
      <c r="G423" s="8">
        <f>IF(Tabela1[[#This Row],[Core Consumer Price Index]]="",#N/A,((Tabela1[[#This Row],[Core Consumer Price Index]]*1)/E411)-1)</f>
        <v>9.250585480093676E-2</v>
      </c>
      <c r="H423" s="8">
        <f t="shared" si="18"/>
        <v>5.1897268709288902E-2</v>
      </c>
      <c r="I423" s="8">
        <f t="shared" si="19"/>
        <v>7.6784913810027167E-2</v>
      </c>
      <c r="J423" s="25">
        <v>93.5</v>
      </c>
      <c r="K423" s="8">
        <f>IF(Tabela1[[#This Row],[Services CPI]]="",#N/A,((Tabela1[[#This Row],[Services CPI]]*1)/J422)-1)</f>
        <v>5.3763440860215006E-3</v>
      </c>
      <c r="L423" s="8">
        <f>IF(Tabela1[[#This Row],[Services CPI]]="",#N/A,((Tabela1[[#This Row],[Services CPI]]*1)/J411)-1)</f>
        <v>0.12650602409638556</v>
      </c>
      <c r="M423" s="7">
        <v>94</v>
      </c>
      <c r="N423" s="8">
        <f>IF(Tabela1[[#This Row],[Core-Services CPI]]="",#N/A,((Tabela1[[#This Row],[Core-Services CPI]]*1)/M422)-1)</f>
        <v>4.2735042735042583E-3</v>
      </c>
      <c r="O423" s="8">
        <f>IF(Tabela1[[#This Row],[Core-Services CPI]]="",#N/A,((Tabela1[[#This Row],[Core-Services CPI]]*1)/M411)-1)</f>
        <v>0.12305854241338099</v>
      </c>
      <c r="P423" s="7">
        <v>92.1</v>
      </c>
      <c r="Q423" s="8">
        <f>IF(Tabela1[[#This Row],[Durable Goods CPI]]="",#N/A,((Tabela1[[#This Row],[Durable Goods CPI]]*1)/P422)-1)</f>
        <v>2.1762785636560977E-3</v>
      </c>
      <c r="R423" s="8">
        <f>IF(Tabela1[[#This Row],[Durable Goods CPI]]="",#N/A,((Tabela1[[#This Row],[Durable Goods CPI]]*1)/P411)-1)</f>
        <v>5.6192660550458573E-2</v>
      </c>
      <c r="S423" s="7">
        <v>10.554645194000001</v>
      </c>
      <c r="T423" s="7">
        <v>43.853000000000002</v>
      </c>
      <c r="U423" s="8">
        <f>IF(Tabela1[[#This Row],[Personal Consumption Expenditures (PCE)]]="",#N/A,((Tabela1[[#This Row],[Personal Consumption Expenditures (PCE)]]*1)/T422)-1)</f>
        <v>5.9411845666834662E-3</v>
      </c>
      <c r="V423" s="8">
        <f>IF(Tabela1[[#This Row],[Personal Consumption Expenditures (PCE)]]="",#N/A,((Tabela1[[#This Row],[Personal Consumption Expenditures (PCE)]]*1)/T411)-1)</f>
        <v>6.9298480895369607E-2</v>
      </c>
      <c r="W423" s="7">
        <v>42.829000000000001</v>
      </c>
      <c r="X423" s="8">
        <f>IF(Tabela1[[#This Row],[Core PCE]]="",#N/A,((Tabela1[[#This Row],[Core PCE]]*1)/W422)-1)</f>
        <v>6.1313662845330352E-3</v>
      </c>
      <c r="Y423" s="8">
        <f>IF(Tabela1[[#This Row],[Core PCE]]="",#N/A,((Tabela1[[#This Row],[Core PCE]]*1)/W411)-1)</f>
        <v>7.4458744135872168E-2</v>
      </c>
      <c r="Z423" s="8">
        <f t="shared" ref="Z423:Z486" si="21">SUM(X421:X423)*4</f>
        <v>6.2669835116047956E-2</v>
      </c>
      <c r="AA423" s="8">
        <f t="shared" si="20"/>
        <v>6.9768548522056939E-2</v>
      </c>
      <c r="AB423" s="7">
        <v>6.83</v>
      </c>
      <c r="AC423" s="7"/>
      <c r="AD423" s="8"/>
      <c r="AE423" s="71"/>
      <c r="AF423" s="7">
        <v>5.0999999999999996</v>
      </c>
      <c r="AG423" s="5"/>
    </row>
    <row r="424" spans="1:33" ht="12.75">
      <c r="A424" s="6">
        <v>29983</v>
      </c>
      <c r="B424" s="7">
        <v>94.7</v>
      </c>
      <c r="C424" s="8">
        <f>IF(Tabela1[[#This Row],[Consumer Price Index (CPI)]]="",#N/A,((Tabela1[[#This Row],[Consumer Price Index (CPI)]]*1)/B423)-1)</f>
        <v>3.1779661016948513E-3</v>
      </c>
      <c r="D424" s="8">
        <f>IF(Tabela1[[#This Row],[Consumer Price Index (CPI)]]="",#N/A,((Tabela1[[#This Row],[Consumer Price Index (CPI)]]*1)/B412)-1)</f>
        <v>7.6136363636363669E-2</v>
      </c>
      <c r="E424" s="25">
        <v>93.8</v>
      </c>
      <c r="F424" s="8">
        <f>IF(Tabela1[[#This Row],[Core Consumer Price Index]]="",#N/A,((Tabela1[[#This Row],[Core Consumer Price Index]]*1)/E423)-1)</f>
        <v>5.3590568060022381E-3</v>
      </c>
      <c r="G424" s="8">
        <f>IF(Tabela1[[#This Row],[Core Consumer Price Index]]="",#N/A,((Tabela1[[#This Row],[Core Consumer Price Index]]*1)/E412)-1)</f>
        <v>9.1967403958090665E-2</v>
      </c>
      <c r="H424" s="8">
        <f t="shared" si="18"/>
        <v>5.5961074652081777E-2</v>
      </c>
      <c r="I424" s="8">
        <f t="shared" si="19"/>
        <v>6.7458483992187457E-2</v>
      </c>
      <c r="J424" s="25">
        <v>93.9</v>
      </c>
      <c r="K424" s="8">
        <f>IF(Tabela1[[#This Row],[Services CPI]]="",#N/A,((Tabela1[[#This Row],[Services CPI]]*1)/J423)-1)</f>
        <v>4.2780748663102663E-3</v>
      </c>
      <c r="L424" s="8">
        <f>IF(Tabela1[[#This Row],[Services CPI]]="",#N/A,((Tabela1[[#This Row],[Services CPI]]*1)/J412)-1)</f>
        <v>0.12186379928315416</v>
      </c>
      <c r="M424" s="7">
        <v>94.4</v>
      </c>
      <c r="N424" s="8">
        <f>IF(Tabela1[[#This Row],[Core-Services CPI]]="",#N/A,((Tabela1[[#This Row],[Core-Services CPI]]*1)/M423)-1)</f>
        <v>4.2553191489362874E-3</v>
      </c>
      <c r="O424" s="8">
        <f>IF(Tabela1[[#This Row],[Core-Services CPI]]="",#N/A,((Tabela1[[#This Row],[Core-Services CPI]]*1)/M412)-1)</f>
        <v>0.11981020166073564</v>
      </c>
      <c r="P424" s="7">
        <v>92.7</v>
      </c>
      <c r="Q424" s="8">
        <f>IF(Tabela1[[#This Row],[Durable Goods CPI]]="",#N/A,((Tabela1[[#This Row],[Durable Goods CPI]]*1)/P423)-1)</f>
        <v>6.514657980456029E-3</v>
      </c>
      <c r="R424" s="8">
        <f>IF(Tabela1[[#This Row],[Durable Goods CPI]]="",#N/A,((Tabela1[[#This Row],[Durable Goods CPI]]*1)/P412)-1)</f>
        <v>6.0640732265446085E-2</v>
      </c>
      <c r="S424" s="7">
        <v>9.8849847820000001</v>
      </c>
      <c r="T424" s="7">
        <v>43.984999999999999</v>
      </c>
      <c r="U424" s="8">
        <f>IF(Tabela1[[#This Row],[Personal Consumption Expenditures (PCE)]]="",#N/A,((Tabela1[[#This Row],[Personal Consumption Expenditures (PCE)]]*1)/T423)-1)</f>
        <v>3.0100563245387679E-3</v>
      </c>
      <c r="V424" s="8">
        <f>IF(Tabela1[[#This Row],[Personal Consumption Expenditures (PCE)]]="",#N/A,((Tabela1[[#This Row],[Personal Consumption Expenditures (PCE)]]*1)/T412)-1)</f>
        <v>6.1772799691015345E-2</v>
      </c>
      <c r="W424" s="7">
        <v>42.994</v>
      </c>
      <c r="X424" s="8">
        <f>IF(Tabela1[[#This Row],[Core PCE]]="",#N/A,((Tabela1[[#This Row],[Core PCE]]*1)/W423)-1)</f>
        <v>3.8525298279203923E-3</v>
      </c>
      <c r="Y424" s="8">
        <f>IF(Tabela1[[#This Row],[Core PCE]]="",#N/A,((Tabela1[[#This Row],[Core PCE]]*1)/W412)-1)</f>
        <v>7.0781032078103268E-2</v>
      </c>
      <c r="Z424" s="8">
        <f t="shared" si="21"/>
        <v>5.4743063641532252E-2</v>
      </c>
      <c r="AA424" s="8">
        <f t="shared" si="20"/>
        <v>6.4080643110811852E-2</v>
      </c>
      <c r="AB424" s="7">
        <v>6.38</v>
      </c>
      <c r="AC424" s="7"/>
      <c r="AD424" s="8"/>
      <c r="AE424" s="71"/>
      <c r="AF424" s="7">
        <v>5.2</v>
      </c>
      <c r="AG424" s="5"/>
    </row>
    <row r="425" spans="1:33" ht="12.75">
      <c r="A425" s="6">
        <v>30011</v>
      </c>
      <c r="B425" s="7">
        <v>94.7</v>
      </c>
      <c r="C425" s="8">
        <f>IF(Tabela1[[#This Row],[Consumer Price Index (CPI)]]="",#N/A,((Tabela1[[#This Row],[Consumer Price Index (CPI)]]*1)/B424)-1)</f>
        <v>0</v>
      </c>
      <c r="D425" s="8">
        <f>IF(Tabela1[[#This Row],[Consumer Price Index (CPI)]]="",#N/A,((Tabela1[[#This Row],[Consumer Price Index (CPI)]]*1)/B413)-1)</f>
        <v>6.8848758465011484E-2</v>
      </c>
      <c r="E425" s="25">
        <v>93.9</v>
      </c>
      <c r="F425" s="8">
        <f>IF(Tabela1[[#This Row],[Core Consumer Price Index]]="",#N/A,((Tabela1[[#This Row],[Core Consumer Price Index]]*1)/E424)-1)</f>
        <v>1.0660980810235365E-3</v>
      </c>
      <c r="G425" s="8">
        <f>IF(Tabela1[[#This Row],[Core Consumer Price Index]]="",#N/A,((Tabela1[[#This Row],[Core Consumer Price Index]]*1)/E413)-1)</f>
        <v>8.680555555555558E-2</v>
      </c>
      <c r="H425" s="8">
        <f t="shared" si="18"/>
        <v>3.8603845354554522E-2</v>
      </c>
      <c r="I425" s="8">
        <f t="shared" si="19"/>
        <v>4.5334891841114278E-2</v>
      </c>
      <c r="J425" s="25">
        <v>94</v>
      </c>
      <c r="K425" s="8">
        <f>IF(Tabela1[[#This Row],[Services CPI]]="",#N/A,((Tabela1[[#This Row],[Services CPI]]*1)/J424)-1)</f>
        <v>1.0649627263044081E-3</v>
      </c>
      <c r="L425" s="8">
        <f>IF(Tabela1[[#This Row],[Services CPI]]="",#N/A,((Tabela1[[#This Row],[Services CPI]]*1)/J413)-1)</f>
        <v>0.11374407582938373</v>
      </c>
      <c r="M425" s="7">
        <v>94.3</v>
      </c>
      <c r="N425" s="8">
        <f>IF(Tabela1[[#This Row],[Core-Services CPI]]="",#N/A,((Tabela1[[#This Row],[Core-Services CPI]]*1)/M424)-1)</f>
        <v>-1.0593220338983578E-3</v>
      </c>
      <c r="O425" s="8">
        <f>IF(Tabela1[[#This Row],[Core-Services CPI]]="",#N/A,((Tabela1[[#This Row],[Core-Services CPI]]*1)/M413)-1)</f>
        <v>0.10941176470588232</v>
      </c>
      <c r="P425" s="7">
        <v>92.8</v>
      </c>
      <c r="Q425" s="8">
        <f>IF(Tabela1[[#This Row],[Durable Goods CPI]]="",#N/A,((Tabela1[[#This Row],[Durable Goods CPI]]*1)/P424)-1)</f>
        <v>1.0787486515642097E-3</v>
      </c>
      <c r="R425" s="8">
        <f>IF(Tabela1[[#This Row],[Durable Goods CPI]]="",#N/A,((Tabela1[[#This Row],[Durable Goods CPI]]*1)/P413)-1)</f>
        <v>6.1784897025171537E-2</v>
      </c>
      <c r="S425" s="7">
        <v>9.4991964729999996</v>
      </c>
      <c r="T425" s="7">
        <v>44.097999999999999</v>
      </c>
      <c r="U425" s="8">
        <f>IF(Tabela1[[#This Row],[Personal Consumption Expenditures (PCE)]]="",#N/A,((Tabela1[[#This Row],[Personal Consumption Expenditures (PCE)]]*1)/T424)-1)</f>
        <v>2.5690576332839665E-3</v>
      </c>
      <c r="V425" s="8">
        <f>IF(Tabela1[[#This Row],[Personal Consumption Expenditures (PCE)]]="",#N/A,((Tabela1[[#This Row],[Personal Consumption Expenditures (PCE)]]*1)/T413)-1)</f>
        <v>5.712573414838773E-2</v>
      </c>
      <c r="W425" s="7">
        <v>43.182000000000002</v>
      </c>
      <c r="X425" s="8">
        <f>IF(Tabela1[[#This Row],[Core PCE]]="",#N/A,((Tabela1[[#This Row],[Core PCE]]*1)/W424)-1)</f>
        <v>4.3727031678839623E-3</v>
      </c>
      <c r="Y425" s="8">
        <f>IF(Tabela1[[#This Row],[Core PCE]]="",#N/A,((Tabela1[[#This Row],[Core PCE]]*1)/W413)-1)</f>
        <v>6.9523219814241477E-2</v>
      </c>
      <c r="Z425" s="8">
        <f t="shared" si="21"/>
        <v>5.7426397121349559E-2</v>
      </c>
      <c r="AA425" s="8">
        <f t="shared" si="20"/>
        <v>5.9714287283379353E-2</v>
      </c>
      <c r="AB425" s="7">
        <v>6.2</v>
      </c>
      <c r="AC425" s="7"/>
      <c r="AD425" s="8"/>
      <c r="AE425" s="71"/>
      <c r="AF425" s="7">
        <v>4.2</v>
      </c>
      <c r="AG425" s="5"/>
    </row>
    <row r="426" spans="1:33" ht="12.75">
      <c r="A426" s="6">
        <v>30042</v>
      </c>
      <c r="B426" s="7">
        <v>95</v>
      </c>
      <c r="C426" s="8">
        <f>IF(Tabela1[[#This Row],[Consumer Price Index (CPI)]]="",#N/A,((Tabela1[[#This Row],[Consumer Price Index (CPI)]]*1)/B425)-1)</f>
        <v>3.1678986272438703E-3</v>
      </c>
      <c r="D426" s="8">
        <f>IF(Tabela1[[#This Row],[Consumer Price Index (CPI)]]="",#N/A,((Tabela1[[#This Row],[Consumer Price Index (CPI)]]*1)/B414)-1)</f>
        <v>6.6217732884399583E-2</v>
      </c>
      <c r="E426" s="25">
        <v>94.7</v>
      </c>
      <c r="F426" s="8">
        <f>IF(Tabela1[[#This Row],[Core Consumer Price Index]]="",#N/A,((Tabela1[[#This Row],[Core Consumer Price Index]]*1)/E425)-1)</f>
        <v>8.5197018104365974E-3</v>
      </c>
      <c r="G426" s="8">
        <f>IF(Tabela1[[#This Row],[Core Consumer Price Index]]="",#N/A,((Tabela1[[#This Row],[Core Consumer Price Index]]*1)/E414)-1)</f>
        <v>8.8505747126436773E-2</v>
      </c>
      <c r="H426" s="8">
        <f t="shared" si="18"/>
        <v>5.9779426789849488E-2</v>
      </c>
      <c r="I426" s="8">
        <f t="shared" si="19"/>
        <v>5.5838347749569195E-2</v>
      </c>
      <c r="J426" s="25">
        <v>94.9</v>
      </c>
      <c r="K426" s="8">
        <f>IF(Tabela1[[#This Row],[Services CPI]]="",#N/A,((Tabela1[[#This Row],[Services CPI]]*1)/J425)-1)</f>
        <v>9.5744680851064246E-3</v>
      </c>
      <c r="L426" s="8">
        <f>IF(Tabela1[[#This Row],[Services CPI]]="",#N/A,((Tabela1[[#This Row],[Services CPI]]*1)/J414)-1)</f>
        <v>0.11254396248534593</v>
      </c>
      <c r="M426" s="7">
        <v>95.3</v>
      </c>
      <c r="N426" s="8">
        <f>IF(Tabela1[[#This Row],[Core-Services CPI]]="",#N/A,((Tabela1[[#This Row],[Core-Services CPI]]*1)/M425)-1)</f>
        <v>1.0604453870625585E-2</v>
      </c>
      <c r="O426" s="8">
        <f>IF(Tabela1[[#This Row],[Core-Services CPI]]="",#N/A,((Tabela1[[#This Row],[Core-Services CPI]]*1)/M414)-1)</f>
        <v>0.10942956926658898</v>
      </c>
      <c r="P426" s="7">
        <v>93.3</v>
      </c>
      <c r="Q426" s="8">
        <f>IF(Tabela1[[#This Row],[Durable Goods CPI]]="",#N/A,((Tabela1[[#This Row],[Durable Goods CPI]]*1)/P425)-1)</f>
        <v>5.3879310344826514E-3</v>
      </c>
      <c r="R426" s="8">
        <f>IF(Tabela1[[#This Row],[Durable Goods CPI]]="",#N/A,((Tabela1[[#This Row],[Durable Goods CPI]]*1)/P414)-1)</f>
        <v>6.6285714285714281E-2</v>
      </c>
      <c r="S426" s="7">
        <v>9.5676904900000004</v>
      </c>
      <c r="T426" s="7">
        <v>44.12</v>
      </c>
      <c r="U426" s="8">
        <f>IF(Tabela1[[#This Row],[Personal Consumption Expenditures (PCE)]]="",#N/A,((Tabela1[[#This Row],[Personal Consumption Expenditures (PCE)]]*1)/T425)-1)</f>
        <v>4.988888384960255E-4</v>
      </c>
      <c r="V426" s="8">
        <f>IF(Tabela1[[#This Row],[Personal Consumption Expenditures (PCE)]]="",#N/A,((Tabela1[[#This Row],[Personal Consumption Expenditures (PCE)]]*1)/T414)-1)</f>
        <v>5.3058691553094395E-2</v>
      </c>
      <c r="W426" s="7">
        <v>43.353000000000002</v>
      </c>
      <c r="X426" s="8">
        <f>IF(Tabela1[[#This Row],[Core PCE]]="",#N/A,((Tabela1[[#This Row],[Core PCE]]*1)/W425)-1)</f>
        <v>3.9599833263859185E-3</v>
      </c>
      <c r="Y426" s="8">
        <f>IF(Tabela1[[#This Row],[Core PCE]]="",#N/A,((Tabela1[[#This Row],[Core PCE]]*1)/W414)-1)</f>
        <v>6.694066399232157E-2</v>
      </c>
      <c r="Z426" s="8">
        <f t="shared" si="21"/>
        <v>4.8740865288761093E-2</v>
      </c>
      <c r="AA426" s="8">
        <f t="shared" si="20"/>
        <v>5.5705350202404524E-2</v>
      </c>
      <c r="AB426" s="7">
        <v>5.86</v>
      </c>
      <c r="AC426" s="7"/>
      <c r="AD426" s="8"/>
      <c r="AE426" s="71"/>
      <c r="AF426" s="7">
        <v>4.7</v>
      </c>
      <c r="AG426" s="5"/>
    </row>
    <row r="427" spans="1:33" ht="12.75">
      <c r="A427" s="6">
        <v>30072</v>
      </c>
      <c r="B427" s="7">
        <v>95.9</v>
      </c>
      <c r="C427" s="8">
        <f>IF(Tabela1[[#This Row],[Consumer Price Index (CPI)]]="",#N/A,((Tabela1[[#This Row],[Consumer Price Index (CPI)]]*1)/B426)-1)</f>
        <v>9.4736842105263008E-3</v>
      </c>
      <c r="D427" s="8">
        <f>IF(Tabela1[[#This Row],[Consumer Price Index (CPI)]]="",#N/A,((Tabela1[[#This Row],[Consumer Price Index (CPI)]]*1)/B415)-1)</f>
        <v>6.911928651059096E-2</v>
      </c>
      <c r="E427" s="25">
        <v>95.4</v>
      </c>
      <c r="F427" s="8">
        <f>IF(Tabela1[[#This Row],[Core Consumer Price Index]]="",#N/A,((Tabela1[[#This Row],[Core Consumer Price Index]]*1)/E426)-1)</f>
        <v>7.3917634635691787E-3</v>
      </c>
      <c r="G427" s="8">
        <f>IF(Tabela1[[#This Row],[Core Consumer Price Index]]="",#N/A,((Tabela1[[#This Row],[Core Consumer Price Index]]*1)/E415)-1)</f>
        <v>8.6560364464692618E-2</v>
      </c>
      <c r="H427" s="8">
        <f t="shared" si="18"/>
        <v>6.791025342011725E-2</v>
      </c>
      <c r="I427" s="8">
        <f t="shared" si="19"/>
        <v>6.1935664036099514E-2</v>
      </c>
      <c r="J427" s="25">
        <v>95.7</v>
      </c>
      <c r="K427" s="8">
        <f>IF(Tabela1[[#This Row],[Services CPI]]="",#N/A,((Tabela1[[#This Row],[Services CPI]]*1)/J426)-1)</f>
        <v>8.4299262381453133E-3</v>
      </c>
      <c r="L427" s="8">
        <f>IF(Tabela1[[#This Row],[Services CPI]]="",#N/A,((Tabela1[[#This Row],[Services CPI]]*1)/J415)-1)</f>
        <v>0.10763888888888884</v>
      </c>
      <c r="M427" s="7">
        <v>96.1</v>
      </c>
      <c r="N427" s="8">
        <f>IF(Tabela1[[#This Row],[Core-Services CPI]]="",#N/A,((Tabela1[[#This Row],[Core-Services CPI]]*1)/M426)-1)</f>
        <v>8.394543546694555E-3</v>
      </c>
      <c r="O427" s="8">
        <f>IF(Tabela1[[#This Row],[Core-Services CPI]]="",#N/A,((Tabela1[[#This Row],[Core-Services CPI]]*1)/M415)-1)</f>
        <v>0.10332950631458093</v>
      </c>
      <c r="P427" s="7">
        <v>94.7</v>
      </c>
      <c r="Q427" s="8">
        <f>IF(Tabela1[[#This Row],[Durable Goods CPI]]="",#N/A,((Tabela1[[#This Row],[Durable Goods CPI]]*1)/P426)-1)</f>
        <v>1.5005359056806E-2</v>
      </c>
      <c r="R427" s="8">
        <f>IF(Tabela1[[#This Row],[Durable Goods CPI]]="",#N/A,((Tabela1[[#This Row],[Durable Goods CPI]]*1)/P415)-1)</f>
        <v>7.0056497175141175E-2</v>
      </c>
      <c r="S427" s="7">
        <v>8.9206482870000006</v>
      </c>
      <c r="T427" s="7">
        <v>44.381999999999998</v>
      </c>
      <c r="U427" s="8">
        <f>IF(Tabela1[[#This Row],[Personal Consumption Expenditures (PCE)]]="",#N/A,((Tabela1[[#This Row],[Personal Consumption Expenditures (PCE)]]*1)/T426)-1)</f>
        <v>5.9383499546690199E-3</v>
      </c>
      <c r="V427" s="8">
        <f>IF(Tabela1[[#This Row],[Personal Consumption Expenditures (PCE)]]="",#N/A,((Tabela1[[#This Row],[Personal Consumption Expenditures (PCE)]]*1)/T415)-1)</f>
        <v>5.4580016633004602E-2</v>
      </c>
      <c r="W427" s="7">
        <v>43.588999999999999</v>
      </c>
      <c r="X427" s="8">
        <f>IF(Tabela1[[#This Row],[Core PCE]]="",#N/A,((Tabela1[[#This Row],[Core PCE]]*1)/W426)-1)</f>
        <v>5.4436832514472844E-3</v>
      </c>
      <c r="Y427" s="8">
        <f>IF(Tabela1[[#This Row],[Core PCE]]="",#N/A,((Tabela1[[#This Row],[Core PCE]]*1)/W415)-1)</f>
        <v>6.5407083323149262E-2</v>
      </c>
      <c r="Z427" s="8">
        <f t="shared" si="21"/>
        <v>5.5105478982868661E-2</v>
      </c>
      <c r="AA427" s="8">
        <f t="shared" si="20"/>
        <v>5.4924271312200457E-2</v>
      </c>
      <c r="AB427" s="7">
        <v>5.77</v>
      </c>
      <c r="AC427" s="7"/>
      <c r="AD427" s="8"/>
      <c r="AE427" s="71"/>
      <c r="AF427" s="7">
        <v>3.5</v>
      </c>
      <c r="AG427" s="5"/>
    </row>
    <row r="428" spans="1:33" ht="12.75">
      <c r="A428" s="6">
        <v>30103</v>
      </c>
      <c r="B428" s="7">
        <v>97</v>
      </c>
      <c r="C428" s="8">
        <f>IF(Tabela1[[#This Row],[Consumer Price Index (CPI)]]="",#N/A,((Tabela1[[#This Row],[Consumer Price Index (CPI)]]*1)/B427)-1)</f>
        <v>1.1470281543274119E-2</v>
      </c>
      <c r="D428" s="8">
        <f>IF(Tabela1[[#This Row],[Consumer Price Index (CPI)]]="",#N/A,((Tabela1[[#This Row],[Consumer Price Index (CPI)]]*1)/B416)-1)</f>
        <v>7.182320441988943E-2</v>
      </c>
      <c r="E428" s="25">
        <v>96.1</v>
      </c>
      <c r="F428" s="8">
        <f>IF(Tabela1[[#This Row],[Core Consumer Price Index]]="",#N/A,((Tabela1[[#This Row],[Core Consumer Price Index]]*1)/E427)-1)</f>
        <v>7.3375262054506951E-3</v>
      </c>
      <c r="G428" s="8">
        <f>IF(Tabela1[[#This Row],[Core Consumer Price Index]]="",#N/A,((Tabela1[[#This Row],[Core Consumer Price Index]]*1)/E416)-1)</f>
        <v>8.4650112866817118E-2</v>
      </c>
      <c r="H428" s="8">
        <f t="shared" si="18"/>
        <v>9.2995965917825885E-2</v>
      </c>
      <c r="I428" s="8">
        <f t="shared" si="19"/>
        <v>6.5799905636190203E-2</v>
      </c>
      <c r="J428" s="25">
        <v>96.5</v>
      </c>
      <c r="K428" s="8">
        <f>IF(Tabela1[[#This Row],[Services CPI]]="",#N/A,((Tabela1[[#This Row],[Services CPI]]*1)/J427)-1)</f>
        <v>8.3594566353186739E-3</v>
      </c>
      <c r="L428" s="8">
        <f>IF(Tabela1[[#This Row],[Services CPI]]="",#N/A,((Tabela1[[#This Row],[Services CPI]]*1)/J416)-1)</f>
        <v>0.10285714285714276</v>
      </c>
      <c r="M428" s="7">
        <v>97</v>
      </c>
      <c r="N428" s="8">
        <f>IF(Tabela1[[#This Row],[Core-Services CPI]]="",#N/A,((Tabela1[[#This Row],[Core-Services CPI]]*1)/M427)-1)</f>
        <v>9.3652445369407644E-3</v>
      </c>
      <c r="O428" s="8">
        <f>IF(Tabela1[[#This Row],[Core-Services CPI]]="",#N/A,((Tabela1[[#This Row],[Core-Services CPI]]*1)/M416)-1)</f>
        <v>0.10102156640181614</v>
      </c>
      <c r="P428" s="7">
        <v>95.9</v>
      </c>
      <c r="Q428" s="8">
        <f>IF(Tabela1[[#This Row],[Durable Goods CPI]]="",#N/A,((Tabela1[[#This Row],[Durable Goods CPI]]*1)/P427)-1)</f>
        <v>1.2671594508975703E-2</v>
      </c>
      <c r="R428" s="8">
        <f>IF(Tabela1[[#This Row],[Durable Goods CPI]]="",#N/A,((Tabela1[[#This Row],[Durable Goods CPI]]*1)/P416)-1)</f>
        <v>7.3908174692049355E-2</v>
      </c>
      <c r="S428" s="7">
        <v>9.1122021629999992</v>
      </c>
      <c r="T428" s="7">
        <v>44.704000000000001</v>
      </c>
      <c r="U428" s="8">
        <f>IF(Tabela1[[#This Row],[Personal Consumption Expenditures (PCE)]]="",#N/A,((Tabela1[[#This Row],[Personal Consumption Expenditures (PCE)]]*1)/T427)-1)</f>
        <v>7.2551935469336026E-3</v>
      </c>
      <c r="V428" s="8">
        <f>IF(Tabela1[[#This Row],[Personal Consumption Expenditures (PCE)]]="",#N/A,((Tabela1[[#This Row],[Personal Consumption Expenditures (PCE)]]*1)/T416)-1)</f>
        <v>5.800771542849037E-2</v>
      </c>
      <c r="W428" s="7">
        <v>43.808</v>
      </c>
      <c r="X428" s="8">
        <f>IF(Tabela1[[#This Row],[Core PCE]]="",#N/A,((Tabela1[[#This Row],[Core PCE]]*1)/W427)-1)</f>
        <v>5.0242033540572884E-3</v>
      </c>
      <c r="Y428" s="8">
        <f>IF(Tabela1[[#This Row],[Core PCE]]="",#N/A,((Tabela1[[#This Row],[Core PCE]]*1)/W416)-1)</f>
        <v>6.5447381861517107E-2</v>
      </c>
      <c r="Z428" s="8">
        <f t="shared" si="21"/>
        <v>5.7711479727561965E-2</v>
      </c>
      <c r="AA428" s="8">
        <f t="shared" si="20"/>
        <v>5.7568938424455762E-2</v>
      </c>
      <c r="AB428" s="7">
        <v>5.74</v>
      </c>
      <c r="AC428" s="7"/>
      <c r="AD428" s="8"/>
      <c r="AE428" s="71"/>
      <c r="AF428" s="7">
        <v>4.5999999999999996</v>
      </c>
      <c r="AG428" s="5"/>
    </row>
    <row r="429" spans="1:33" ht="12.75">
      <c r="A429" s="6">
        <v>30133</v>
      </c>
      <c r="B429" s="7">
        <v>97.5</v>
      </c>
      <c r="C429" s="8">
        <f>IF(Tabela1[[#This Row],[Consumer Price Index (CPI)]]="",#N/A,((Tabela1[[#This Row],[Consumer Price Index (CPI)]]*1)/B428)-1)</f>
        <v>5.1546391752577136E-3</v>
      </c>
      <c r="D429" s="8">
        <f>IF(Tabela1[[#This Row],[Consumer Price Index (CPI)]]="",#N/A,((Tabela1[[#This Row],[Consumer Price Index (CPI)]]*1)/B417)-1)</f>
        <v>6.5573770491803351E-2</v>
      </c>
      <c r="E429" s="25">
        <v>96.7</v>
      </c>
      <c r="F429" s="8">
        <f>IF(Tabela1[[#This Row],[Core Consumer Price Index]]="",#N/A,((Tabela1[[#This Row],[Core Consumer Price Index]]*1)/E428)-1)</f>
        <v>6.2434963579605096E-3</v>
      </c>
      <c r="G429" s="8">
        <f>IF(Tabela1[[#This Row],[Core Consumer Price Index]]="",#N/A,((Tabela1[[#This Row],[Core Consumer Price Index]]*1)/E417)-1)</f>
        <v>7.683741648106901E-2</v>
      </c>
      <c r="H429" s="8">
        <f t="shared" si="18"/>
        <v>8.3891144107921534E-2</v>
      </c>
      <c r="I429" s="8">
        <f t="shared" si="19"/>
        <v>7.1835285448885511E-2</v>
      </c>
      <c r="J429" s="25">
        <v>97</v>
      </c>
      <c r="K429" s="8">
        <f>IF(Tabela1[[#This Row],[Services CPI]]="",#N/A,((Tabela1[[#This Row],[Services CPI]]*1)/J428)-1)</f>
        <v>5.1813471502590858E-3</v>
      </c>
      <c r="L429" s="8">
        <f>IF(Tabela1[[#This Row],[Services CPI]]="",#N/A,((Tabela1[[#This Row],[Services CPI]]*1)/J417)-1)</f>
        <v>9.1113610798650102E-2</v>
      </c>
      <c r="M429" s="7">
        <v>97.5</v>
      </c>
      <c r="N429" s="8">
        <f>IF(Tabela1[[#This Row],[Core-Services CPI]]="",#N/A,((Tabela1[[#This Row],[Core-Services CPI]]*1)/M428)-1)</f>
        <v>5.1546391752577136E-3</v>
      </c>
      <c r="O429" s="8">
        <f>IF(Tabela1[[#This Row],[Core-Services CPI]]="",#N/A,((Tabela1[[#This Row],[Core-Services CPI]]*1)/M417)-1)</f>
        <v>8.8169642857143016E-2</v>
      </c>
      <c r="P429" s="7">
        <v>96.3</v>
      </c>
      <c r="Q429" s="8">
        <f>IF(Tabela1[[#This Row],[Durable Goods CPI]]="",#N/A,((Tabela1[[#This Row],[Durable Goods CPI]]*1)/P428)-1)</f>
        <v>4.1710114702815382E-3</v>
      </c>
      <c r="R429" s="8">
        <f>IF(Tabela1[[#This Row],[Durable Goods CPI]]="",#N/A,((Tabela1[[#This Row],[Durable Goods CPI]]*1)/P417)-1)</f>
        <v>6.7627494456762749E-2</v>
      </c>
      <c r="S429" s="7">
        <v>9.0847988500000003</v>
      </c>
      <c r="T429" s="7">
        <v>44.969000000000001</v>
      </c>
      <c r="U429" s="8">
        <f>IF(Tabela1[[#This Row],[Personal Consumption Expenditures (PCE)]]="",#N/A,((Tabela1[[#This Row],[Personal Consumption Expenditures (PCE)]]*1)/T428)-1)</f>
        <v>5.9278811739442716E-3</v>
      </c>
      <c r="V429" s="8">
        <f>IF(Tabela1[[#This Row],[Personal Consumption Expenditures (PCE)]]="",#N/A,((Tabela1[[#This Row],[Personal Consumption Expenditures (PCE)]]*1)/T417)-1)</f>
        <v>5.7894984473510824E-2</v>
      </c>
      <c r="W429" s="7">
        <v>44.091999999999999</v>
      </c>
      <c r="X429" s="8">
        <f>IF(Tabela1[[#This Row],[Core PCE]]="",#N/A,((Tabela1[[#This Row],[Core PCE]]*1)/W428)-1)</f>
        <v>6.4828341855369676E-3</v>
      </c>
      <c r="Y429" s="8">
        <f>IF(Tabela1[[#This Row],[Core PCE]]="",#N/A,((Tabela1[[#This Row],[Core PCE]]*1)/W417)-1)</f>
        <v>6.5925299165961571E-2</v>
      </c>
      <c r="Z429" s="8">
        <f t="shared" si="21"/>
        <v>6.7802883164166161E-2</v>
      </c>
      <c r="AA429" s="8">
        <f t="shared" si="20"/>
        <v>5.8271874226463627E-2</v>
      </c>
      <c r="AB429" s="7">
        <v>5.76</v>
      </c>
      <c r="AC429" s="7"/>
      <c r="AD429" s="8"/>
      <c r="AE429" s="71"/>
      <c r="AF429" s="7">
        <v>5</v>
      </c>
      <c r="AG429" s="5"/>
    </row>
    <row r="430" spans="1:33" ht="12.75">
      <c r="A430" s="6">
        <v>30164</v>
      </c>
      <c r="B430" s="7">
        <v>97.7</v>
      </c>
      <c r="C430" s="8">
        <f>IF(Tabela1[[#This Row],[Consumer Price Index (CPI)]]="",#N/A,((Tabela1[[#This Row],[Consumer Price Index (CPI)]]*1)/B429)-1)</f>
        <v>2.0512820512821328E-3</v>
      </c>
      <c r="D430" s="8">
        <f>IF(Tabela1[[#This Row],[Consumer Price Index (CPI)]]="",#N/A,((Tabela1[[#This Row],[Consumer Price Index (CPI)]]*1)/B418)-1)</f>
        <v>5.9652928416485951E-2</v>
      </c>
      <c r="E430" s="25">
        <v>97.1</v>
      </c>
      <c r="F430" s="8">
        <f>IF(Tabela1[[#This Row],[Core Consumer Price Index]]="",#N/A,((Tabela1[[#This Row],[Core Consumer Price Index]]*1)/E429)-1)</f>
        <v>4.1365046535677408E-3</v>
      </c>
      <c r="G430" s="8">
        <f>IF(Tabela1[[#This Row],[Core Consumer Price Index]]="",#N/A,((Tabela1[[#This Row],[Core Consumer Price Index]]*1)/E418)-1)</f>
        <v>7.056229327453134E-2</v>
      </c>
      <c r="H430" s="8">
        <f t="shared" si="18"/>
        <v>7.0870108867915782E-2</v>
      </c>
      <c r="I430" s="8">
        <f t="shared" si="19"/>
        <v>6.9390181144016516E-2</v>
      </c>
      <c r="J430" s="25">
        <v>97.6</v>
      </c>
      <c r="K430" s="8">
        <f>IF(Tabela1[[#This Row],[Services CPI]]="",#N/A,((Tabela1[[#This Row],[Services CPI]]*1)/J429)-1)</f>
        <v>6.1855670103092564E-3</v>
      </c>
      <c r="L430" s="8">
        <f>IF(Tabela1[[#This Row],[Services CPI]]="",#N/A,((Tabela1[[#This Row],[Services CPI]]*1)/J418)-1)</f>
        <v>8.5650723025583853E-2</v>
      </c>
      <c r="M430" s="7">
        <v>98</v>
      </c>
      <c r="N430" s="8">
        <f>IF(Tabela1[[#This Row],[Core-Services CPI]]="",#N/A,((Tabela1[[#This Row],[Core-Services CPI]]*1)/M429)-1)</f>
        <v>5.12820512820511E-3</v>
      </c>
      <c r="O430" s="8">
        <f>IF(Tabela1[[#This Row],[Core-Services CPI]]="",#N/A,((Tabela1[[#This Row],[Core-Services CPI]]*1)/M418)-1)</f>
        <v>8.1677704194260459E-2</v>
      </c>
      <c r="P430" s="7">
        <v>96.3</v>
      </c>
      <c r="Q430" s="8">
        <f>IF(Tabela1[[#This Row],[Durable Goods CPI]]="",#N/A,((Tabela1[[#This Row],[Durable Goods CPI]]*1)/P429)-1)</f>
        <v>0</v>
      </c>
      <c r="R430" s="8">
        <f>IF(Tabela1[[#This Row],[Durable Goods CPI]]="",#N/A,((Tabela1[[#This Row],[Durable Goods CPI]]*1)/P418)-1)</f>
        <v>5.8241758241758257E-2</v>
      </c>
      <c r="S430" s="7">
        <v>8.9098368269999995</v>
      </c>
      <c r="T430" s="7">
        <v>45.107999999999997</v>
      </c>
      <c r="U430" s="8">
        <f>IF(Tabela1[[#This Row],[Personal Consumption Expenditures (PCE)]]="",#N/A,((Tabela1[[#This Row],[Personal Consumption Expenditures (PCE)]]*1)/T429)-1)</f>
        <v>3.0910182570214051E-3</v>
      </c>
      <c r="V430" s="8">
        <f>IF(Tabela1[[#This Row],[Personal Consumption Expenditures (PCE)]]="",#N/A,((Tabela1[[#This Row],[Personal Consumption Expenditures (PCE)]]*1)/T418)-1)</f>
        <v>5.4565857764062198E-2</v>
      </c>
      <c r="W430" s="7">
        <v>44.295000000000002</v>
      </c>
      <c r="X430" s="8">
        <f>IF(Tabela1[[#This Row],[Core PCE]]="",#N/A,((Tabela1[[#This Row],[Core PCE]]*1)/W429)-1)</f>
        <v>4.6040097976958183E-3</v>
      </c>
      <c r="Y430" s="8">
        <f>IF(Tabela1[[#This Row],[Core PCE]]="",#N/A,((Tabela1[[#This Row],[Core PCE]]*1)/W418)-1)</f>
        <v>6.370971615196197E-2</v>
      </c>
      <c r="Z430" s="8">
        <f t="shared" si="21"/>
        <v>6.4444189349160297E-2</v>
      </c>
      <c r="AA430" s="8">
        <f t="shared" si="20"/>
        <v>5.9774834166014479E-2</v>
      </c>
      <c r="AB430" s="7">
        <v>5.49</v>
      </c>
      <c r="AC430" s="7"/>
      <c r="AD430" s="8"/>
      <c r="AE430" s="71"/>
      <c r="AF430" s="7">
        <v>4.8</v>
      </c>
      <c r="AG430" s="5"/>
    </row>
    <row r="431" spans="1:33" ht="12.75">
      <c r="A431" s="6">
        <v>30195</v>
      </c>
      <c r="B431" s="7">
        <v>97.7</v>
      </c>
      <c r="C431" s="8">
        <f>IF(Tabela1[[#This Row],[Consumer Price Index (CPI)]]="",#N/A,((Tabela1[[#This Row],[Consumer Price Index (CPI)]]*1)/B430)-1)</f>
        <v>0</v>
      </c>
      <c r="D431" s="8">
        <f>IF(Tabela1[[#This Row],[Consumer Price Index (CPI)]]="",#N/A,((Tabela1[[#This Row],[Consumer Price Index (CPI)]]*1)/B419)-1)</f>
        <v>4.9409237379162363E-2</v>
      </c>
      <c r="E431" s="25">
        <v>97.2</v>
      </c>
      <c r="F431" s="8">
        <f>IF(Tabela1[[#This Row],[Core Consumer Price Index]]="",#N/A,((Tabela1[[#This Row],[Core Consumer Price Index]]*1)/E430)-1)</f>
        <v>1.029866117404854E-3</v>
      </c>
      <c r="G431" s="8">
        <f>IF(Tabela1[[#This Row],[Core Consumer Price Index]]="",#N/A,((Tabela1[[#This Row],[Core Consumer Price Index]]*1)/E419)-1)</f>
        <v>5.8823529411764719E-2</v>
      </c>
      <c r="H431" s="8">
        <f t="shared" si="18"/>
        <v>4.5639468515732418E-2</v>
      </c>
      <c r="I431" s="8">
        <f t="shared" si="19"/>
        <v>6.9317717216779151E-2</v>
      </c>
      <c r="J431" s="25">
        <v>97.6</v>
      </c>
      <c r="K431" s="8">
        <f>IF(Tabela1[[#This Row],[Services CPI]]="",#N/A,((Tabela1[[#This Row],[Services CPI]]*1)/J430)-1)</f>
        <v>0</v>
      </c>
      <c r="L431" s="8">
        <f>IF(Tabela1[[#This Row],[Services CPI]]="",#N/A,((Tabela1[[#This Row],[Services CPI]]*1)/J419)-1)</f>
        <v>7.0175438596491224E-2</v>
      </c>
      <c r="M431" s="7">
        <v>97.9</v>
      </c>
      <c r="N431" s="8">
        <f>IF(Tabela1[[#This Row],[Core-Services CPI]]="",#N/A,((Tabela1[[#This Row],[Core-Services CPI]]*1)/M430)-1)</f>
        <v>-1.0204081632652073E-3</v>
      </c>
      <c r="O431" s="8">
        <f>IF(Tabela1[[#This Row],[Core-Services CPI]]="",#N/A,((Tabela1[[#This Row],[Core-Services CPI]]*1)/M419)-1)</f>
        <v>6.5288356909684486E-2</v>
      </c>
      <c r="P431" s="7">
        <v>96.2</v>
      </c>
      <c r="Q431" s="8">
        <f>IF(Tabela1[[#This Row],[Durable Goods CPI]]="",#N/A,((Tabela1[[#This Row],[Durable Goods CPI]]*1)/P430)-1)</f>
        <v>-1.0384215991692258E-3</v>
      </c>
      <c r="R431" s="8">
        <f>IF(Tabela1[[#This Row],[Durable Goods CPI]]="",#N/A,((Tabela1[[#This Row],[Durable Goods CPI]]*1)/P419)-1)</f>
        <v>4.9073064340239947E-2</v>
      </c>
      <c r="S431" s="7">
        <v>7.9125604279999999</v>
      </c>
      <c r="T431" s="7">
        <v>45.232999999999997</v>
      </c>
      <c r="U431" s="8">
        <f>IF(Tabela1[[#This Row],[Personal Consumption Expenditures (PCE)]]="",#N/A,((Tabela1[[#This Row],[Personal Consumption Expenditures (PCE)]]*1)/T430)-1)</f>
        <v>2.7711270728030257E-3</v>
      </c>
      <c r="V431" s="8">
        <f>IF(Tabela1[[#This Row],[Personal Consumption Expenditures (PCE)]]="",#N/A,((Tabela1[[#This Row],[Personal Consumption Expenditures (PCE)]]*1)/T419)-1)</f>
        <v>5.1123556340482823E-2</v>
      </c>
      <c r="W431" s="7">
        <v>44.459000000000003</v>
      </c>
      <c r="X431" s="8">
        <f>IF(Tabela1[[#This Row],[Core PCE]]="",#N/A,((Tabela1[[#This Row],[Core PCE]]*1)/W430)-1)</f>
        <v>3.702449486397974E-3</v>
      </c>
      <c r="Y431" s="8">
        <f>IF(Tabela1[[#This Row],[Core PCE]]="",#N/A,((Tabela1[[#This Row],[Core PCE]]*1)/W419)-1)</f>
        <v>6.0694262197304116E-2</v>
      </c>
      <c r="Z431" s="8">
        <f t="shared" si="21"/>
        <v>5.9157173878523039E-2</v>
      </c>
      <c r="AA431" s="8">
        <f t="shared" si="20"/>
        <v>5.8434326803042502E-2</v>
      </c>
      <c r="AB431" s="7">
        <v>5.13</v>
      </c>
      <c r="AC431" s="7"/>
      <c r="AD431" s="8"/>
      <c r="AE431" s="71"/>
      <c r="AF431" s="7">
        <v>4.5</v>
      </c>
      <c r="AG431" s="5"/>
    </row>
    <row r="432" spans="1:33" ht="12.75">
      <c r="A432" s="6">
        <v>30225</v>
      </c>
      <c r="B432" s="7">
        <v>98.1</v>
      </c>
      <c r="C432" s="8">
        <f>IF(Tabela1[[#This Row],[Consumer Price Index (CPI)]]="",#N/A,((Tabela1[[#This Row],[Consumer Price Index (CPI)]]*1)/B431)-1)</f>
        <v>4.0941658137154668E-3</v>
      </c>
      <c r="D432" s="8">
        <f>IF(Tabela1[[#This Row],[Consumer Price Index (CPI)]]="",#N/A,((Tabela1[[#This Row],[Consumer Price Index (CPI)]]*1)/B420)-1)</f>
        <v>5.0321199143468887E-2</v>
      </c>
      <c r="E432" s="25">
        <v>97.5</v>
      </c>
      <c r="F432" s="8">
        <f>IF(Tabela1[[#This Row],[Core Consumer Price Index]]="",#N/A,((Tabela1[[#This Row],[Core Consumer Price Index]]*1)/E431)-1)</f>
        <v>3.0864197530864335E-3</v>
      </c>
      <c r="G432" s="8">
        <f>IF(Tabela1[[#This Row],[Core Consumer Price Index]]="",#N/A,((Tabela1[[#This Row],[Core Consumer Price Index]]*1)/E420)-1)</f>
        <v>5.8631921824104261E-2</v>
      </c>
      <c r="H432" s="8">
        <f t="shared" si="18"/>
        <v>3.3011162096236113E-2</v>
      </c>
      <c r="I432" s="8">
        <f t="shared" si="19"/>
        <v>5.8451153102078823E-2</v>
      </c>
      <c r="J432" s="25">
        <v>97.9</v>
      </c>
      <c r="K432" s="8">
        <f>IF(Tabela1[[#This Row],[Services CPI]]="",#N/A,((Tabela1[[#This Row],[Services CPI]]*1)/J431)-1)</f>
        <v>3.0737704918033515E-3</v>
      </c>
      <c r="L432" s="8">
        <f>IF(Tabela1[[#This Row],[Services CPI]]="",#N/A,((Tabela1[[#This Row],[Services CPI]]*1)/J420)-1)</f>
        <v>6.7611777535441675E-2</v>
      </c>
      <c r="M432" s="7">
        <v>98</v>
      </c>
      <c r="N432" s="8">
        <f>IF(Tabela1[[#This Row],[Core-Services CPI]]="",#N/A,((Tabela1[[#This Row],[Core-Services CPI]]*1)/M431)-1)</f>
        <v>1.0214504596526286E-3</v>
      </c>
      <c r="O432" s="8">
        <f>IF(Tabela1[[#This Row],[Core-Services CPI]]="",#N/A,((Tabela1[[#This Row],[Core-Services CPI]]*1)/M420)-1)</f>
        <v>6.0606060606060552E-2</v>
      </c>
      <c r="P432" s="7">
        <v>96.6</v>
      </c>
      <c r="Q432" s="8">
        <f>IF(Tabela1[[#This Row],[Durable Goods CPI]]="",#N/A,((Tabela1[[#This Row],[Durable Goods CPI]]*1)/P431)-1)</f>
        <v>4.1580041580040472E-3</v>
      </c>
      <c r="R432" s="8">
        <f>IF(Tabela1[[#This Row],[Durable Goods CPI]]="",#N/A,((Tabela1[[#This Row],[Durable Goods CPI]]*1)/P420)-1)</f>
        <v>5.6892778993435256E-2</v>
      </c>
      <c r="S432" s="7">
        <v>7.3514673330000004</v>
      </c>
      <c r="T432" s="7">
        <v>45.487000000000002</v>
      </c>
      <c r="U432" s="8">
        <f>IF(Tabela1[[#This Row],[Personal Consumption Expenditures (PCE)]]="",#N/A,((Tabela1[[#This Row],[Personal Consumption Expenditures (PCE)]]*1)/T431)-1)</f>
        <v>5.6153693100171598E-3</v>
      </c>
      <c r="V432" s="8">
        <f>IF(Tabela1[[#This Row],[Personal Consumption Expenditures (PCE)]]="",#N/A,((Tabela1[[#This Row],[Personal Consumption Expenditures (PCE)]]*1)/T420)-1)</f>
        <v>5.2257795873045243E-2</v>
      </c>
      <c r="W432" s="7">
        <v>44.741</v>
      </c>
      <c r="X432" s="8">
        <f>IF(Tabela1[[#This Row],[Core PCE]]="",#N/A,((Tabela1[[#This Row],[Core PCE]]*1)/W431)-1)</f>
        <v>6.3429226928179983E-3</v>
      </c>
      <c r="Y432" s="8">
        <f>IF(Tabela1[[#This Row],[Core PCE]]="",#N/A,((Tabela1[[#This Row],[Core PCE]]*1)/W420)-1)</f>
        <v>6.1093323846792336E-2</v>
      </c>
      <c r="Z432" s="8">
        <f t="shared" si="21"/>
        <v>5.8597527907647162E-2</v>
      </c>
      <c r="AA432" s="8">
        <f t="shared" si="20"/>
        <v>6.3200205535906662E-2</v>
      </c>
      <c r="AB432" s="7">
        <v>5.0599999999999996</v>
      </c>
      <c r="AC432" s="7"/>
      <c r="AD432" s="8"/>
      <c r="AE432" s="71"/>
      <c r="AF432" s="7">
        <v>4.7</v>
      </c>
      <c r="AG432" s="5"/>
    </row>
    <row r="433" spans="1:33" ht="12.75">
      <c r="A433" s="6">
        <v>30256</v>
      </c>
      <c r="B433" s="7">
        <v>98</v>
      </c>
      <c r="C433" s="8">
        <f>IF(Tabela1[[#This Row],[Consumer Price Index (CPI)]]="",#N/A,((Tabela1[[#This Row],[Consumer Price Index (CPI)]]*1)/B432)-1)</f>
        <v>-1.0193679918449883E-3</v>
      </c>
      <c r="D433" s="8">
        <f>IF(Tabela1[[#This Row],[Consumer Price Index (CPI)]]="",#N/A,((Tabela1[[#This Row],[Consumer Price Index (CPI)]]*1)/B421)-1)</f>
        <v>4.4776119402985204E-2</v>
      </c>
      <c r="E433" s="25">
        <v>97.3</v>
      </c>
      <c r="F433" s="8">
        <f>IF(Tabela1[[#This Row],[Core Consumer Price Index]]="",#N/A,((Tabela1[[#This Row],[Core Consumer Price Index]]*1)/E432)-1)</f>
        <v>-2.0512820512821328E-3</v>
      </c>
      <c r="G433" s="8">
        <f>IF(Tabela1[[#This Row],[Core Consumer Price Index]]="",#N/A,((Tabela1[[#This Row],[Core Consumer Price Index]]*1)/E421)-1)</f>
        <v>5.1891891891891806E-2</v>
      </c>
      <c r="H433" s="8">
        <f t="shared" si="18"/>
        <v>8.2600152768366186E-3</v>
      </c>
      <c r="I433" s="8">
        <f t="shared" si="19"/>
        <v>3.95650620723762E-2</v>
      </c>
      <c r="J433" s="25">
        <v>97.7</v>
      </c>
      <c r="K433" s="8">
        <f>IF(Tabela1[[#This Row],[Services CPI]]="",#N/A,((Tabela1[[#This Row],[Services CPI]]*1)/J432)-1)</f>
        <v>-2.0429009193054792E-3</v>
      </c>
      <c r="L433" s="8">
        <f>IF(Tabela1[[#This Row],[Services CPI]]="",#N/A,((Tabela1[[#This Row],[Services CPI]]*1)/J421)-1)</f>
        <v>5.6216216216216308E-2</v>
      </c>
      <c r="M433" s="7">
        <v>97.7</v>
      </c>
      <c r="N433" s="8">
        <f>IF(Tabela1[[#This Row],[Core-Services CPI]]="",#N/A,((Tabela1[[#This Row],[Core-Services CPI]]*1)/M432)-1)</f>
        <v>-3.0612244897958441E-3</v>
      </c>
      <c r="O433" s="8">
        <f>IF(Tabela1[[#This Row],[Core-Services CPI]]="",#N/A,((Tabela1[[#This Row],[Core-Services CPI]]*1)/M421)-1)</f>
        <v>4.9409237379162363E-2</v>
      </c>
      <c r="P433" s="7">
        <v>96.8</v>
      </c>
      <c r="Q433" s="8">
        <f>IF(Tabela1[[#This Row],[Durable Goods CPI]]="",#N/A,((Tabela1[[#This Row],[Durable Goods CPI]]*1)/P432)-1)</f>
        <v>2.0703933747412417E-3</v>
      </c>
      <c r="R433" s="8">
        <f>IF(Tabela1[[#This Row],[Durable Goods CPI]]="",#N/A,((Tabela1[[#This Row],[Durable Goods CPI]]*1)/P421)-1)</f>
        <v>5.7923497267759583E-2</v>
      </c>
      <c r="S433" s="7">
        <v>6.0034093349999997</v>
      </c>
      <c r="T433" s="7">
        <v>45.624000000000002</v>
      </c>
      <c r="U433" s="8">
        <f>IF(Tabela1[[#This Row],[Personal Consumption Expenditures (PCE)]]="",#N/A,((Tabela1[[#This Row],[Personal Consumption Expenditures (PCE)]]*1)/T432)-1)</f>
        <v>3.0118495394289013E-3</v>
      </c>
      <c r="V433" s="8">
        <f>IF(Tabela1[[#This Row],[Personal Consumption Expenditures (PCE)]]="",#N/A,((Tabela1[[#This Row],[Personal Consumption Expenditures (PCE)]]*1)/T421)-1)</f>
        <v>4.9792913023469998E-2</v>
      </c>
      <c r="W433" s="7">
        <v>44.905999999999999</v>
      </c>
      <c r="X433" s="8">
        <f>IF(Tabela1[[#This Row],[Core PCE]]="",#N/A,((Tabela1[[#This Row],[Core PCE]]*1)/W432)-1)</f>
        <v>3.6878925370464888E-3</v>
      </c>
      <c r="Y433" s="8">
        <f>IF(Tabela1[[#This Row],[Core PCE]]="",#N/A,((Tabela1[[#This Row],[Core PCE]]*1)/W421)-1)</f>
        <v>5.8829077362005044E-2</v>
      </c>
      <c r="Z433" s="8">
        <f t="shared" si="21"/>
        <v>5.4933058865049844E-2</v>
      </c>
      <c r="AA433" s="8">
        <f t="shared" si="20"/>
        <v>5.968862410710507E-2</v>
      </c>
      <c r="AB433" s="7">
        <v>4.78</v>
      </c>
      <c r="AC433" s="7"/>
      <c r="AD433" s="8"/>
      <c r="AE433" s="71"/>
      <c r="AF433" s="7">
        <v>4.5</v>
      </c>
      <c r="AG433" s="5"/>
    </row>
    <row r="434" spans="1:33" ht="12.75">
      <c r="A434" s="6">
        <v>30286</v>
      </c>
      <c r="B434" s="7">
        <v>97.7</v>
      </c>
      <c r="C434" s="8">
        <f>IF(Tabela1[[#This Row],[Consumer Price Index (CPI)]]="",#N/A,((Tabela1[[#This Row],[Consumer Price Index (CPI)]]*1)/B433)-1)</f>
        <v>-3.0612244897958441E-3</v>
      </c>
      <c r="D434" s="8">
        <f>IF(Tabela1[[#This Row],[Consumer Price Index (CPI)]]="",#N/A,((Tabela1[[#This Row],[Consumer Price Index (CPI)]]*1)/B422)-1)</f>
        <v>3.8257173219978791E-2</v>
      </c>
      <c r="E434" s="25">
        <v>97.2</v>
      </c>
      <c r="F434" s="8">
        <f>IF(Tabela1[[#This Row],[Core Consumer Price Index]]="",#N/A,((Tabela1[[#This Row],[Core Consumer Price Index]]*1)/E433)-1)</f>
        <v>-1.0277492291880241E-3</v>
      </c>
      <c r="G434" s="8">
        <f>IF(Tabela1[[#This Row],[Core Consumer Price Index]]="",#N/A,((Tabela1[[#This Row],[Core Consumer Price Index]]*1)/E422)-1)</f>
        <v>4.5161290322580649E-2</v>
      </c>
      <c r="H434" s="8">
        <f t="shared" si="18"/>
        <v>2.9553890465106036E-5</v>
      </c>
      <c r="I434" s="8">
        <f t="shared" si="19"/>
        <v>2.2834511203098762E-2</v>
      </c>
      <c r="J434" s="25">
        <v>96.9</v>
      </c>
      <c r="K434" s="8">
        <f>IF(Tabela1[[#This Row],[Services CPI]]="",#N/A,((Tabela1[[#This Row],[Services CPI]]*1)/J433)-1)</f>
        <v>-8.1883316274309337E-3</v>
      </c>
      <c r="L434" s="8">
        <f>IF(Tabela1[[#This Row],[Services CPI]]="",#N/A,((Tabela1[[#This Row],[Services CPI]]*1)/J422)-1)</f>
        <v>4.1935483870967794E-2</v>
      </c>
      <c r="M434" s="7">
        <v>96.7</v>
      </c>
      <c r="N434" s="8">
        <f>IF(Tabela1[[#This Row],[Core-Services CPI]]="",#N/A,((Tabela1[[#This Row],[Core-Services CPI]]*1)/M433)-1)</f>
        <v>-1.0235414534288667E-2</v>
      </c>
      <c r="O434" s="8">
        <f>IF(Tabela1[[#This Row],[Core-Services CPI]]="",#N/A,((Tabela1[[#This Row],[Core-Services CPI]]*1)/M422)-1)</f>
        <v>3.3119658119658224E-2</v>
      </c>
      <c r="P434" s="7">
        <v>97.3</v>
      </c>
      <c r="Q434" s="8">
        <f>IF(Tabela1[[#This Row],[Durable Goods CPI]]="",#N/A,((Tabela1[[#This Row],[Durable Goods CPI]]*1)/P433)-1)</f>
        <v>5.1652892561984132E-3</v>
      </c>
      <c r="R434" s="8">
        <f>IF(Tabela1[[#This Row],[Durable Goods CPI]]="",#N/A,((Tabela1[[#This Row],[Durable Goods CPI]]*1)/P422)-1)</f>
        <v>5.8759521218715971E-2</v>
      </c>
      <c r="S434" s="7">
        <v>6.0009044039999999</v>
      </c>
      <c r="T434" s="7">
        <v>45.692999999999998</v>
      </c>
      <c r="U434" s="8">
        <f>IF(Tabela1[[#This Row],[Personal Consumption Expenditures (PCE)]]="",#N/A,((Tabela1[[#This Row],[Personal Consumption Expenditures (PCE)]]*1)/T433)-1)</f>
        <v>1.5123619147816569E-3</v>
      </c>
      <c r="V434" s="8">
        <f>IF(Tabela1[[#This Row],[Personal Consumption Expenditures (PCE)]]="",#N/A,((Tabela1[[#This Row],[Personal Consumption Expenditures (PCE)]]*1)/T422)-1)</f>
        <v>4.8148827820342133E-2</v>
      </c>
      <c r="W434" s="7">
        <v>45.048999999999999</v>
      </c>
      <c r="X434" s="8">
        <f>IF(Tabela1[[#This Row],[Core PCE]]="",#N/A,((Tabela1[[#This Row],[Core PCE]]*1)/W433)-1)</f>
        <v>3.184429697590474E-3</v>
      </c>
      <c r="Y434" s="8">
        <f>IF(Tabela1[[#This Row],[Core PCE]]="",#N/A,((Tabela1[[#This Row],[Core PCE]]*1)/W422)-1)</f>
        <v>5.8283217440330715E-2</v>
      </c>
      <c r="Z434" s="8">
        <f t="shared" si="21"/>
        <v>5.2860979709819844E-2</v>
      </c>
      <c r="AA434" s="8">
        <f t="shared" si="20"/>
        <v>5.6009076794171442E-2</v>
      </c>
      <c r="AB434" s="7">
        <v>4.6100000000000003</v>
      </c>
      <c r="AC434" s="7"/>
      <c r="AD434" s="8"/>
      <c r="AE434" s="71"/>
      <c r="AF434" s="7">
        <v>3.7</v>
      </c>
      <c r="AG434" s="5"/>
    </row>
    <row r="435" spans="1:33" ht="12.75">
      <c r="A435" s="6">
        <v>30317</v>
      </c>
      <c r="B435" s="7">
        <v>97.9</v>
      </c>
      <c r="C435" s="8">
        <f>IF(Tabela1[[#This Row],[Consumer Price Index (CPI)]]="",#N/A,((Tabela1[[#This Row],[Consumer Price Index (CPI)]]*1)/B434)-1)</f>
        <v>2.0470829068577334E-3</v>
      </c>
      <c r="D435" s="8">
        <f>IF(Tabela1[[#This Row],[Consumer Price Index (CPI)]]="",#N/A,((Tabela1[[#This Row],[Consumer Price Index (CPI)]]*1)/B423)-1)</f>
        <v>3.7076271186440746E-2</v>
      </c>
      <c r="E435" s="25">
        <v>97.6</v>
      </c>
      <c r="F435" s="8">
        <f>IF(Tabela1[[#This Row],[Core Consumer Price Index]]="",#N/A,((Tabela1[[#This Row],[Core Consumer Price Index]]*1)/E434)-1)</f>
        <v>4.1152263374484299E-3</v>
      </c>
      <c r="G435" s="8">
        <f>IF(Tabela1[[#This Row],[Core Consumer Price Index]]="",#N/A,((Tabela1[[#This Row],[Core Consumer Price Index]]*1)/E423)-1)</f>
        <v>4.6087888531618493E-2</v>
      </c>
      <c r="H435" s="8">
        <f t="shared" si="18"/>
        <v>4.1447802279130919E-3</v>
      </c>
      <c r="I435" s="8">
        <f t="shared" si="19"/>
        <v>1.8577971162074602E-2</v>
      </c>
      <c r="J435" s="25">
        <v>97.5</v>
      </c>
      <c r="K435" s="8">
        <f>IF(Tabela1[[#This Row],[Services CPI]]="",#N/A,((Tabela1[[#This Row],[Services CPI]]*1)/J434)-1)</f>
        <v>6.1919504643961343E-3</v>
      </c>
      <c r="L435" s="8">
        <f>IF(Tabela1[[#This Row],[Services CPI]]="",#N/A,((Tabela1[[#This Row],[Services CPI]]*1)/J423)-1)</f>
        <v>4.2780748663101553E-2</v>
      </c>
      <c r="M435" s="7">
        <v>97.3</v>
      </c>
      <c r="N435" s="8">
        <f>IF(Tabela1[[#This Row],[Core-Services CPI]]="",#N/A,((Tabela1[[#This Row],[Core-Services CPI]]*1)/M434)-1)</f>
        <v>6.2047569803516112E-3</v>
      </c>
      <c r="O435" s="8">
        <f>IF(Tabela1[[#This Row],[Core-Services CPI]]="",#N/A,((Tabela1[[#This Row],[Core-Services CPI]]*1)/M423)-1)</f>
        <v>3.5106382978723483E-2</v>
      </c>
      <c r="P435" s="7">
        <v>97.7</v>
      </c>
      <c r="Q435" s="8">
        <f>IF(Tabela1[[#This Row],[Durable Goods CPI]]="",#N/A,((Tabela1[[#This Row],[Durable Goods CPI]]*1)/P434)-1)</f>
        <v>4.1109969167523186E-3</v>
      </c>
      <c r="R435" s="8">
        <f>IF(Tabela1[[#This Row],[Durable Goods CPI]]="",#N/A,((Tabela1[[#This Row],[Durable Goods CPI]]*1)/P423)-1)</f>
        <v>6.080347448425627E-2</v>
      </c>
      <c r="S435" s="7">
        <v>5.3278237710000003</v>
      </c>
      <c r="T435" s="7">
        <v>45.905999999999999</v>
      </c>
      <c r="U435" s="8">
        <f>IF(Tabela1[[#This Row],[Personal Consumption Expenditures (PCE)]]="",#N/A,((Tabela1[[#This Row],[Personal Consumption Expenditures (PCE)]]*1)/T434)-1)</f>
        <v>4.6615455321383781E-3</v>
      </c>
      <c r="V435" s="8">
        <f>IF(Tabela1[[#This Row],[Personal Consumption Expenditures (PCE)]]="",#N/A,((Tabela1[[#This Row],[Personal Consumption Expenditures (PCE)]]*1)/T423)-1)</f>
        <v>4.6815497229379943E-2</v>
      </c>
      <c r="W435" s="7">
        <v>45.356999999999999</v>
      </c>
      <c r="X435" s="8">
        <f>IF(Tabela1[[#This Row],[Core PCE]]="",#N/A,((Tabela1[[#This Row],[Core PCE]]*1)/W434)-1)</f>
        <v>6.8369997114252623E-3</v>
      </c>
      <c r="Y435" s="8">
        <f>IF(Tabela1[[#This Row],[Core PCE]]="",#N/A,((Tabela1[[#This Row],[Core PCE]]*1)/W423)-1)</f>
        <v>5.9025426696864169E-2</v>
      </c>
      <c r="Z435" s="8">
        <f t="shared" si="21"/>
        <v>5.48372877842489E-2</v>
      </c>
      <c r="AA435" s="8">
        <f t="shared" si="20"/>
        <v>5.6717407845948031E-2</v>
      </c>
      <c r="AB435" s="7">
        <v>4.6399999999999997</v>
      </c>
      <c r="AC435" s="7"/>
      <c r="AD435" s="8"/>
      <c r="AE435" s="71"/>
      <c r="AF435" s="7">
        <v>2.8</v>
      </c>
      <c r="AG435" s="5"/>
    </row>
    <row r="436" spans="1:33" ht="12.75">
      <c r="A436" s="6">
        <v>30348</v>
      </c>
      <c r="B436" s="7">
        <v>98</v>
      </c>
      <c r="C436" s="8">
        <f>IF(Tabela1[[#This Row],[Consumer Price Index (CPI)]]="",#N/A,((Tabela1[[#This Row],[Consumer Price Index (CPI)]]*1)/B435)-1)</f>
        <v>1.0214504596526286E-3</v>
      </c>
      <c r="D436" s="8">
        <f>IF(Tabela1[[#This Row],[Consumer Price Index (CPI)]]="",#N/A,((Tabela1[[#This Row],[Consumer Price Index (CPI)]]*1)/B424)-1)</f>
        <v>3.4846884899683239E-2</v>
      </c>
      <c r="E436" s="25">
        <v>98</v>
      </c>
      <c r="F436" s="8">
        <f>IF(Tabela1[[#This Row],[Core Consumer Price Index]]="",#N/A,((Tabela1[[#This Row],[Core Consumer Price Index]]*1)/E435)-1)</f>
        <v>4.098360655737654E-3</v>
      </c>
      <c r="G436" s="8">
        <f>IF(Tabela1[[#This Row],[Core Consumer Price Index]]="",#N/A,((Tabela1[[#This Row],[Core Consumer Price Index]]*1)/E424)-1)</f>
        <v>4.4776119402985204E-2</v>
      </c>
      <c r="H436" s="8">
        <f t="shared" si="18"/>
        <v>2.8743351055992239E-2</v>
      </c>
      <c r="I436" s="8">
        <f t="shared" si="19"/>
        <v>1.8501683166414429E-2</v>
      </c>
      <c r="J436" s="25">
        <v>97.9</v>
      </c>
      <c r="K436" s="8">
        <f>IF(Tabela1[[#This Row],[Services CPI]]="",#N/A,((Tabela1[[#This Row],[Services CPI]]*1)/J435)-1)</f>
        <v>4.1025641025642656E-3</v>
      </c>
      <c r="L436" s="8">
        <f>IF(Tabela1[[#This Row],[Services CPI]]="",#N/A,((Tabela1[[#This Row],[Services CPI]]*1)/J424)-1)</f>
        <v>4.2598509052183209E-2</v>
      </c>
      <c r="M436" s="7">
        <v>97.7</v>
      </c>
      <c r="N436" s="8">
        <f>IF(Tabela1[[#This Row],[Core-Services CPI]]="",#N/A,((Tabela1[[#This Row],[Core-Services CPI]]*1)/M435)-1)</f>
        <v>4.1109969167523186E-3</v>
      </c>
      <c r="O436" s="8">
        <f>IF(Tabela1[[#This Row],[Core-Services CPI]]="",#N/A,((Tabela1[[#This Row],[Core-Services CPI]]*1)/M424)-1)</f>
        <v>3.495762711864403E-2</v>
      </c>
      <c r="P436" s="7">
        <v>97.9</v>
      </c>
      <c r="Q436" s="8">
        <f>IF(Tabela1[[#This Row],[Durable Goods CPI]]="",#N/A,((Tabela1[[#This Row],[Durable Goods CPI]]*1)/P435)-1)</f>
        <v>2.0470829068577334E-3</v>
      </c>
      <c r="R436" s="8">
        <f>IF(Tabela1[[#This Row],[Durable Goods CPI]]="",#N/A,((Tabela1[[#This Row],[Durable Goods CPI]]*1)/P424)-1)</f>
        <v>5.6094929881337574E-2</v>
      </c>
      <c r="S436" s="7">
        <v>4.518985485</v>
      </c>
      <c r="T436" s="7">
        <v>45.984000000000002</v>
      </c>
      <c r="U436" s="8">
        <f>IF(Tabela1[[#This Row],[Personal Consumption Expenditures (PCE)]]="",#N/A,((Tabela1[[#This Row],[Personal Consumption Expenditures (PCE)]]*1)/T435)-1)</f>
        <v>1.6991242974775389E-3</v>
      </c>
      <c r="V436" s="8">
        <f>IF(Tabela1[[#This Row],[Personal Consumption Expenditures (PCE)]]="",#N/A,((Tabela1[[#This Row],[Personal Consumption Expenditures (PCE)]]*1)/T424)-1)</f>
        <v>4.5447311583494354E-2</v>
      </c>
      <c r="W436" s="7">
        <v>45.524999999999999</v>
      </c>
      <c r="X436" s="8">
        <f>IF(Tabela1[[#This Row],[Core PCE]]="",#N/A,((Tabela1[[#This Row],[Core PCE]]*1)/W435)-1)</f>
        <v>3.7039486738541516E-3</v>
      </c>
      <c r="Y436" s="8">
        <f>IF(Tabela1[[#This Row],[Core PCE]]="",#N/A,((Tabela1[[#This Row],[Core PCE]]*1)/W424)-1)</f>
        <v>5.8868679350607023E-2</v>
      </c>
      <c r="Z436" s="8">
        <f t="shared" si="21"/>
        <v>5.4901512331479552E-2</v>
      </c>
      <c r="AA436" s="8">
        <f t="shared" si="20"/>
        <v>5.4917285598264698E-2</v>
      </c>
      <c r="AB436" s="7">
        <v>4.57</v>
      </c>
      <c r="AC436" s="7"/>
      <c r="AD436" s="8"/>
      <c r="AE436" s="71"/>
      <c r="AF436" s="7">
        <v>3</v>
      </c>
      <c r="AG436" s="5"/>
    </row>
    <row r="437" spans="1:33" ht="12.75">
      <c r="A437" s="6">
        <v>30376</v>
      </c>
      <c r="B437" s="7">
        <v>98.1</v>
      </c>
      <c r="C437" s="8">
        <f>IF(Tabela1[[#This Row],[Consumer Price Index (CPI)]]="",#N/A,((Tabela1[[#This Row],[Consumer Price Index (CPI)]]*1)/B436)-1)</f>
        <v>1.0204081632652073E-3</v>
      </c>
      <c r="D437" s="8">
        <f>IF(Tabela1[[#This Row],[Consumer Price Index (CPI)]]="",#N/A,((Tabela1[[#This Row],[Consumer Price Index (CPI)]]*1)/B425)-1)</f>
        <v>3.5902851108764455E-2</v>
      </c>
      <c r="E437" s="25">
        <v>98.2</v>
      </c>
      <c r="F437" s="8">
        <f>IF(Tabela1[[#This Row],[Core Consumer Price Index]]="",#N/A,((Tabela1[[#This Row],[Core Consumer Price Index]]*1)/E436)-1)</f>
        <v>2.0408163265306367E-3</v>
      </c>
      <c r="G437" s="8">
        <f>IF(Tabela1[[#This Row],[Core Consumer Price Index]]="",#N/A,((Tabela1[[#This Row],[Core Consumer Price Index]]*1)/E425)-1)</f>
        <v>4.5793397231096877E-2</v>
      </c>
      <c r="H437" s="8">
        <f t="shared" si="18"/>
        <v>4.1017613278866882E-2</v>
      </c>
      <c r="I437" s="8">
        <f t="shared" si="19"/>
        <v>2.0523583584665994E-2</v>
      </c>
      <c r="J437" s="25">
        <v>98.1</v>
      </c>
      <c r="K437" s="8">
        <f>IF(Tabela1[[#This Row],[Services CPI]]="",#N/A,((Tabela1[[#This Row],[Services CPI]]*1)/J436)-1)</f>
        <v>2.0429009193052572E-3</v>
      </c>
      <c r="L437" s="8">
        <f>IF(Tabela1[[#This Row],[Services CPI]]="",#N/A,((Tabela1[[#This Row],[Services CPI]]*1)/J425)-1)</f>
        <v>4.3617021276595613E-2</v>
      </c>
      <c r="M437" s="7">
        <v>97.8</v>
      </c>
      <c r="N437" s="8">
        <f>IF(Tabela1[[#This Row],[Core-Services CPI]]="",#N/A,((Tabela1[[#This Row],[Core-Services CPI]]*1)/M436)-1)</f>
        <v>1.0235414534287557E-3</v>
      </c>
      <c r="O437" s="8">
        <f>IF(Tabela1[[#This Row],[Core-Services CPI]]="",#N/A,((Tabela1[[#This Row],[Core-Services CPI]]*1)/M425)-1)</f>
        <v>3.7115588547189882E-2</v>
      </c>
      <c r="P437" s="7">
        <v>98.4</v>
      </c>
      <c r="Q437" s="8">
        <f>IF(Tabela1[[#This Row],[Durable Goods CPI]]="",#N/A,((Tabela1[[#This Row],[Durable Goods CPI]]*1)/P436)-1)</f>
        <v>5.1072522982635871E-3</v>
      </c>
      <c r="R437" s="8">
        <f>IF(Tabela1[[#This Row],[Durable Goods CPI]]="",#N/A,((Tabela1[[#This Row],[Durable Goods CPI]]*1)/P425)-1)</f>
        <v>6.0344827586207073E-2</v>
      </c>
      <c r="S437" s="7">
        <v>4.6955983540000004</v>
      </c>
      <c r="T437" s="7">
        <v>46.042999999999999</v>
      </c>
      <c r="U437" s="8">
        <f>IF(Tabela1[[#This Row],[Personal Consumption Expenditures (PCE)]]="",#N/A,((Tabela1[[#This Row],[Personal Consumption Expenditures (PCE)]]*1)/T436)-1)</f>
        <v>1.2830549756437382E-3</v>
      </c>
      <c r="V437" s="8">
        <f>IF(Tabela1[[#This Row],[Personal Consumption Expenditures (PCE)]]="",#N/A,((Tabela1[[#This Row],[Personal Consumption Expenditures (PCE)]]*1)/T425)-1)</f>
        <v>4.4106308676130412E-2</v>
      </c>
      <c r="W437" s="7">
        <v>45.582999999999998</v>
      </c>
      <c r="X437" s="8">
        <f>IF(Tabela1[[#This Row],[Core PCE]]="",#N/A,((Tabela1[[#This Row],[Core PCE]]*1)/W436)-1)</f>
        <v>1.2740252608456348E-3</v>
      </c>
      <c r="Y437" s="8">
        <f>IF(Tabela1[[#This Row],[Core PCE]]="",#N/A,((Tabela1[[#This Row],[Core PCE]]*1)/W425)-1)</f>
        <v>5.5601871150016136E-2</v>
      </c>
      <c r="Z437" s="8">
        <f t="shared" si="21"/>
        <v>4.7259894584500195E-2</v>
      </c>
      <c r="AA437" s="8">
        <f t="shared" si="20"/>
        <v>5.006043714716002E-2</v>
      </c>
      <c r="AB437" s="7">
        <v>4.33</v>
      </c>
      <c r="AC437" s="7"/>
      <c r="AD437" s="8"/>
      <c r="AE437" s="71"/>
      <c r="AF437" s="7">
        <v>1.8</v>
      </c>
      <c r="AG437" s="5"/>
    </row>
    <row r="438" spans="1:33" ht="12.75">
      <c r="A438" s="6">
        <v>30407</v>
      </c>
      <c r="B438" s="7">
        <v>98.8</v>
      </c>
      <c r="C438" s="8">
        <f>IF(Tabela1[[#This Row],[Consumer Price Index (CPI)]]="",#N/A,((Tabela1[[#This Row],[Consumer Price Index (CPI)]]*1)/B437)-1)</f>
        <v>7.135575942915473E-3</v>
      </c>
      <c r="D438" s="8">
        <f>IF(Tabela1[[#This Row],[Consumer Price Index (CPI)]]="",#N/A,((Tabela1[[#This Row],[Consumer Price Index (CPI)]]*1)/B426)-1)</f>
        <v>4.0000000000000036E-2</v>
      </c>
      <c r="E438" s="25">
        <v>98.6</v>
      </c>
      <c r="F438" s="8">
        <f>IF(Tabela1[[#This Row],[Core Consumer Price Index]]="",#N/A,((Tabela1[[#This Row],[Core Consumer Price Index]]*1)/E437)-1)</f>
        <v>4.0733197556006573E-3</v>
      </c>
      <c r="G438" s="8">
        <f>IF(Tabela1[[#This Row],[Core Consumer Price Index]]="",#N/A,((Tabela1[[#This Row],[Core Consumer Price Index]]*1)/E426)-1)</f>
        <v>4.118268215417098E-2</v>
      </c>
      <c r="H438" s="8">
        <f t="shared" si="18"/>
        <v>4.0849986951475792E-2</v>
      </c>
      <c r="I438" s="8">
        <f t="shared" si="19"/>
        <v>2.2497383589694442E-2</v>
      </c>
      <c r="J438" s="25">
        <v>98.7</v>
      </c>
      <c r="K438" s="8">
        <f>IF(Tabela1[[#This Row],[Services CPI]]="",#N/A,((Tabela1[[#This Row],[Services CPI]]*1)/J437)-1)</f>
        <v>6.1162079510703737E-3</v>
      </c>
      <c r="L438" s="8">
        <f>IF(Tabela1[[#This Row],[Services CPI]]="",#N/A,((Tabela1[[#This Row],[Services CPI]]*1)/J426)-1)</f>
        <v>4.0042149631190682E-2</v>
      </c>
      <c r="M438" s="7">
        <v>98.4</v>
      </c>
      <c r="N438" s="8">
        <f>IF(Tabela1[[#This Row],[Core-Services CPI]]="",#N/A,((Tabela1[[#This Row],[Core-Services CPI]]*1)/M437)-1)</f>
        <v>6.1349693251535609E-3</v>
      </c>
      <c r="O438" s="8">
        <f>IF(Tabela1[[#This Row],[Core-Services CPI]]="",#N/A,((Tabela1[[#This Row],[Core-Services CPI]]*1)/M426)-1)</f>
        <v>3.2528856243441817E-2</v>
      </c>
      <c r="P438" s="7">
        <v>98.3</v>
      </c>
      <c r="Q438" s="8">
        <f>IF(Tabela1[[#This Row],[Durable Goods CPI]]="",#N/A,((Tabela1[[#This Row],[Durable Goods CPI]]*1)/P437)-1)</f>
        <v>-1.0162601626017009E-3</v>
      </c>
      <c r="R438" s="8">
        <f>IF(Tabela1[[#This Row],[Durable Goods CPI]]="",#N/A,((Tabela1[[#This Row],[Durable Goods CPI]]*1)/P426)-1)</f>
        <v>5.3590568060021493E-2</v>
      </c>
      <c r="S438" s="7">
        <v>4.6278356699999996</v>
      </c>
      <c r="T438" s="7">
        <v>46.253</v>
      </c>
      <c r="U438" s="8">
        <f>IF(Tabela1[[#This Row],[Personal Consumption Expenditures (PCE)]]="",#N/A,((Tabela1[[#This Row],[Personal Consumption Expenditures (PCE)]]*1)/T437)-1)</f>
        <v>4.5609538909281433E-3</v>
      </c>
      <c r="V438" s="8">
        <f>IF(Tabela1[[#This Row],[Personal Consumption Expenditures (PCE)]]="",#N/A,((Tabela1[[#This Row],[Personal Consumption Expenditures (PCE)]]*1)/T426)-1)</f>
        <v>4.8345421577515868E-2</v>
      </c>
      <c r="W438" s="7">
        <v>45.720999999999997</v>
      </c>
      <c r="X438" s="8">
        <f>IF(Tabela1[[#This Row],[Core PCE]]="",#N/A,((Tabela1[[#This Row],[Core PCE]]*1)/W437)-1)</f>
        <v>3.0274444420068658E-3</v>
      </c>
      <c r="Y438" s="8">
        <f>IF(Tabela1[[#This Row],[Core PCE]]="",#N/A,((Tabela1[[#This Row],[Core PCE]]*1)/W426)-1)</f>
        <v>5.4621364150116314E-2</v>
      </c>
      <c r="Z438" s="8">
        <f t="shared" si="21"/>
        <v>3.2021673506826609E-2</v>
      </c>
      <c r="AA438" s="8">
        <f t="shared" si="20"/>
        <v>4.3429480645537755E-2</v>
      </c>
      <c r="AB438" s="7">
        <v>4.47</v>
      </c>
      <c r="AC438" s="7"/>
      <c r="AD438" s="8"/>
      <c r="AE438" s="71"/>
      <c r="AF438" s="7">
        <v>3.4</v>
      </c>
      <c r="AG438" s="5"/>
    </row>
    <row r="439" spans="1:33" ht="12.75">
      <c r="A439" s="6">
        <v>30437</v>
      </c>
      <c r="B439" s="7">
        <v>99.2</v>
      </c>
      <c r="C439" s="8">
        <f>IF(Tabela1[[#This Row],[Consumer Price Index (CPI)]]="",#N/A,((Tabela1[[#This Row],[Consumer Price Index (CPI)]]*1)/B438)-1)</f>
        <v>4.0485829959515662E-3</v>
      </c>
      <c r="D439" s="8">
        <f>IF(Tabela1[[#This Row],[Consumer Price Index (CPI)]]="",#N/A,((Tabela1[[#This Row],[Consumer Price Index (CPI)]]*1)/B427)-1)</f>
        <v>3.4410844629822801E-2</v>
      </c>
      <c r="E439" s="25">
        <v>98.9</v>
      </c>
      <c r="F439" s="8">
        <f>IF(Tabela1[[#This Row],[Core Consumer Price Index]]="",#N/A,((Tabela1[[#This Row],[Core Consumer Price Index]]*1)/E438)-1)</f>
        <v>3.0425963488844854E-3</v>
      </c>
      <c r="G439" s="8">
        <f>IF(Tabela1[[#This Row],[Core Consumer Price Index]]="",#N/A,((Tabela1[[#This Row],[Core Consumer Price Index]]*1)/E427)-1)</f>
        <v>3.6687631027253698E-2</v>
      </c>
      <c r="H439" s="8">
        <f t="shared" si="18"/>
        <v>3.6626929724063118E-2</v>
      </c>
      <c r="I439" s="8">
        <f t="shared" si="19"/>
        <v>3.2685140390027678E-2</v>
      </c>
      <c r="J439" s="25">
        <v>98.9</v>
      </c>
      <c r="K439" s="8">
        <f>IF(Tabela1[[#This Row],[Services CPI]]="",#N/A,((Tabela1[[#This Row],[Services CPI]]*1)/J438)-1)</f>
        <v>2.0263424518744966E-3</v>
      </c>
      <c r="L439" s="8">
        <f>IF(Tabela1[[#This Row],[Services CPI]]="",#N/A,((Tabela1[[#This Row],[Services CPI]]*1)/J427)-1)</f>
        <v>3.3437826541274918E-2</v>
      </c>
      <c r="M439" s="7">
        <v>98.7</v>
      </c>
      <c r="N439" s="8">
        <f>IF(Tabela1[[#This Row],[Core-Services CPI]]="",#N/A,((Tabela1[[#This Row],[Core-Services CPI]]*1)/M438)-1)</f>
        <v>3.0487804878047697E-3</v>
      </c>
      <c r="O439" s="8">
        <f>IF(Tabela1[[#This Row],[Core-Services CPI]]="",#N/A,((Tabela1[[#This Row],[Core-Services CPI]]*1)/M427)-1)</f>
        <v>2.7055150884495394E-2</v>
      </c>
      <c r="P439" s="7">
        <v>98.5</v>
      </c>
      <c r="Q439" s="8">
        <f>IF(Tabela1[[#This Row],[Durable Goods CPI]]="",#N/A,((Tabela1[[#This Row],[Durable Goods CPI]]*1)/P438)-1)</f>
        <v>2.0345879959309254E-3</v>
      </c>
      <c r="R439" s="8">
        <f>IF(Tabela1[[#This Row],[Durable Goods CPI]]="",#N/A,((Tabela1[[#This Row],[Durable Goods CPI]]*1)/P427)-1)</f>
        <v>4.0126715945089764E-2</v>
      </c>
      <c r="S439" s="7">
        <v>4.8558131429999998</v>
      </c>
      <c r="T439" s="7">
        <v>46.384</v>
      </c>
      <c r="U439" s="8">
        <f>IF(Tabela1[[#This Row],[Personal Consumption Expenditures (PCE)]]="",#N/A,((Tabela1[[#This Row],[Personal Consumption Expenditures (PCE)]]*1)/T438)-1)</f>
        <v>2.8322487190020063E-3</v>
      </c>
      <c r="V439" s="8">
        <f>IF(Tabela1[[#This Row],[Personal Consumption Expenditures (PCE)]]="",#N/A,((Tabela1[[#This Row],[Personal Consumption Expenditures (PCE)]]*1)/T427)-1)</f>
        <v>4.5108377270064448E-2</v>
      </c>
      <c r="W439" s="7">
        <v>45.786999999999999</v>
      </c>
      <c r="X439" s="8">
        <f>IF(Tabela1[[#This Row],[Core PCE]]="",#N/A,((Tabela1[[#This Row],[Core PCE]]*1)/W438)-1)</f>
        <v>1.443537980359233E-3</v>
      </c>
      <c r="Y439" s="8">
        <f>IF(Tabela1[[#This Row],[Core PCE]]="",#N/A,((Tabela1[[#This Row],[Core PCE]]*1)/W427)-1)</f>
        <v>5.0425566083186046E-2</v>
      </c>
      <c r="Z439" s="8">
        <f t="shared" si="21"/>
        <v>2.2980030732846934E-2</v>
      </c>
      <c r="AA439" s="8">
        <f t="shared" si="20"/>
        <v>3.8940771532163243E-2</v>
      </c>
      <c r="AB439" s="7">
        <v>4.24</v>
      </c>
      <c r="AC439" s="7"/>
      <c r="AD439" s="8"/>
      <c r="AE439" s="71"/>
      <c r="AF439" s="7">
        <v>3.2</v>
      </c>
      <c r="AG439" s="5"/>
    </row>
    <row r="440" spans="1:33" ht="12.75">
      <c r="A440" s="6">
        <v>30468</v>
      </c>
      <c r="B440" s="7">
        <v>99.4</v>
      </c>
      <c r="C440" s="8">
        <f>IF(Tabela1[[#This Row],[Consumer Price Index (CPI)]]="",#N/A,((Tabela1[[#This Row],[Consumer Price Index (CPI)]]*1)/B439)-1)</f>
        <v>2.0161290322580072E-3</v>
      </c>
      <c r="D440" s="8">
        <f>IF(Tabela1[[#This Row],[Consumer Price Index (CPI)]]="",#N/A,((Tabela1[[#This Row],[Consumer Price Index (CPI)]]*1)/B428)-1)</f>
        <v>2.4742268041237248E-2</v>
      </c>
      <c r="E440" s="25">
        <v>99.2</v>
      </c>
      <c r="F440" s="8">
        <f>IF(Tabela1[[#This Row],[Core Consumer Price Index]]="",#N/A,((Tabela1[[#This Row],[Core Consumer Price Index]]*1)/E439)-1)</f>
        <v>3.0333670374114163E-3</v>
      </c>
      <c r="G440" s="8">
        <f>IF(Tabela1[[#This Row],[Core Consumer Price Index]]="",#N/A,((Tabela1[[#This Row],[Core Consumer Price Index]]*1)/E428)-1)</f>
        <v>3.2258064516129226E-2</v>
      </c>
      <c r="H440" s="8">
        <f t="shared" si="18"/>
        <v>4.0597132567586236E-2</v>
      </c>
      <c r="I440" s="8">
        <f t="shared" si="19"/>
        <v>4.0807372923226559E-2</v>
      </c>
      <c r="J440" s="25">
        <v>99.2</v>
      </c>
      <c r="K440" s="8">
        <f>IF(Tabela1[[#This Row],[Services CPI]]="",#N/A,((Tabela1[[#This Row],[Services CPI]]*1)/J439)-1)</f>
        <v>3.0333670374114163E-3</v>
      </c>
      <c r="L440" s="8">
        <f>IF(Tabela1[[#This Row],[Services CPI]]="",#N/A,((Tabela1[[#This Row],[Services CPI]]*1)/J428)-1)</f>
        <v>2.797927461139893E-2</v>
      </c>
      <c r="M440" s="7">
        <v>99</v>
      </c>
      <c r="N440" s="8">
        <f>IF(Tabela1[[#This Row],[Core-Services CPI]]="",#N/A,((Tabela1[[#This Row],[Core-Services CPI]]*1)/M439)-1)</f>
        <v>3.0395136778114118E-3</v>
      </c>
      <c r="O440" s="8">
        <f>IF(Tabela1[[#This Row],[Core-Services CPI]]="",#N/A,((Tabela1[[#This Row],[Core-Services CPI]]*1)/M428)-1)</f>
        <v>2.0618556701030855E-2</v>
      </c>
      <c r="P440" s="7">
        <v>99</v>
      </c>
      <c r="Q440" s="8">
        <f>IF(Tabela1[[#This Row],[Durable Goods CPI]]="",#N/A,((Tabela1[[#This Row],[Durable Goods CPI]]*1)/P439)-1)</f>
        <v>5.0761421319795996E-3</v>
      </c>
      <c r="R440" s="8">
        <f>IF(Tabela1[[#This Row],[Durable Goods CPI]]="",#N/A,((Tabela1[[#This Row],[Durable Goods CPI]]*1)/P428)-1)</f>
        <v>3.232533889468181E-2</v>
      </c>
      <c r="S440" s="7">
        <v>4.4569335309999998</v>
      </c>
      <c r="T440" s="7">
        <v>46.557000000000002</v>
      </c>
      <c r="U440" s="8">
        <f>IF(Tabela1[[#This Row],[Personal Consumption Expenditures (PCE)]]="",#N/A,((Tabela1[[#This Row],[Personal Consumption Expenditures (PCE)]]*1)/T439)-1)</f>
        <v>3.7297343911693037E-3</v>
      </c>
      <c r="V440" s="8">
        <f>IF(Tabela1[[#This Row],[Personal Consumption Expenditures (PCE)]]="",#N/A,((Tabela1[[#This Row],[Personal Consumption Expenditures (PCE)]]*1)/T428)-1)</f>
        <v>4.1450429491768137E-2</v>
      </c>
      <c r="W440" s="7">
        <v>46.000999999999998</v>
      </c>
      <c r="X440" s="8">
        <f>IF(Tabela1[[#This Row],[Core PCE]]="",#N/A,((Tabela1[[#This Row],[Core PCE]]*1)/W439)-1)</f>
        <v>4.6738157118833001E-3</v>
      </c>
      <c r="Y440" s="8">
        <f>IF(Tabela1[[#This Row],[Core PCE]]="",#N/A,((Tabela1[[#This Row],[Core PCE]]*1)/W428)-1)</f>
        <v>5.0059349890430926E-2</v>
      </c>
      <c r="Z440" s="8">
        <f t="shared" si="21"/>
        <v>3.6579192536997596E-2</v>
      </c>
      <c r="AA440" s="8">
        <f t="shared" si="20"/>
        <v>4.1919543560748895E-2</v>
      </c>
      <c r="AB440" s="7">
        <v>4.0599999999999996</v>
      </c>
      <c r="AC440" s="7"/>
      <c r="AD440" s="8"/>
      <c r="AE440" s="71"/>
      <c r="AF440" s="7">
        <v>3.2</v>
      </c>
      <c r="AG440" s="5"/>
    </row>
    <row r="441" spans="1:33" ht="12.75">
      <c r="A441" s="6">
        <v>30498</v>
      </c>
      <c r="B441" s="7">
        <v>99.8</v>
      </c>
      <c r="C441" s="8">
        <f>IF(Tabela1[[#This Row],[Consumer Price Index (CPI)]]="",#N/A,((Tabela1[[#This Row],[Consumer Price Index (CPI)]]*1)/B440)-1)</f>
        <v>4.0241448692150961E-3</v>
      </c>
      <c r="D441" s="8">
        <f>IF(Tabela1[[#This Row],[Consumer Price Index (CPI)]]="",#N/A,((Tabela1[[#This Row],[Consumer Price Index (CPI)]]*1)/B429)-1)</f>
        <v>2.3589743589743639E-2</v>
      </c>
      <c r="E441" s="25">
        <v>99.8</v>
      </c>
      <c r="F441" s="8">
        <f>IF(Tabela1[[#This Row],[Core Consumer Price Index]]="",#N/A,((Tabela1[[#This Row],[Core Consumer Price Index]]*1)/E440)-1)</f>
        <v>6.0483870967742437E-3</v>
      </c>
      <c r="G441" s="8">
        <f>IF(Tabela1[[#This Row],[Core Consumer Price Index]]="",#N/A,((Tabela1[[#This Row],[Core Consumer Price Index]]*1)/E429)-1)</f>
        <v>3.2057911065149991E-2</v>
      </c>
      <c r="H441" s="8">
        <f t="shared" si="18"/>
        <v>4.8497401932280582E-2</v>
      </c>
      <c r="I441" s="8">
        <f t="shared" si="19"/>
        <v>4.4673694441878187E-2</v>
      </c>
      <c r="J441" s="25">
        <v>99.6</v>
      </c>
      <c r="K441" s="8">
        <f>IF(Tabela1[[#This Row],[Services CPI]]="",#N/A,((Tabela1[[#This Row],[Services CPI]]*1)/J440)-1)</f>
        <v>4.0322580645160144E-3</v>
      </c>
      <c r="L441" s="8">
        <f>IF(Tabela1[[#This Row],[Services CPI]]="",#N/A,((Tabela1[[#This Row],[Services CPI]]*1)/J429)-1)</f>
        <v>2.6804123711340111E-2</v>
      </c>
      <c r="M441" s="7">
        <v>99.4</v>
      </c>
      <c r="N441" s="8">
        <f>IF(Tabela1[[#This Row],[Core-Services CPI]]="",#N/A,((Tabela1[[#This Row],[Core-Services CPI]]*1)/M440)-1)</f>
        <v>4.0404040404040664E-3</v>
      </c>
      <c r="O441" s="8">
        <f>IF(Tabela1[[#This Row],[Core-Services CPI]]="",#N/A,((Tabela1[[#This Row],[Core-Services CPI]]*1)/M429)-1)</f>
        <v>1.9487179487179596E-2</v>
      </c>
      <c r="P441" s="7">
        <v>99.7</v>
      </c>
      <c r="Q441" s="8">
        <f>IF(Tabela1[[#This Row],[Durable Goods CPI]]="",#N/A,((Tabela1[[#This Row],[Durable Goods CPI]]*1)/P440)-1)</f>
        <v>7.0707070707070052E-3</v>
      </c>
      <c r="R441" s="8">
        <f>IF(Tabela1[[#This Row],[Durable Goods CPI]]="",#N/A,((Tabela1[[#This Row],[Durable Goods CPI]]*1)/P429)-1)</f>
        <v>3.530633437175501E-2</v>
      </c>
      <c r="S441" s="7">
        <v>3.5496237289999999</v>
      </c>
      <c r="T441" s="7">
        <v>46.82</v>
      </c>
      <c r="U441" s="8">
        <f>IF(Tabela1[[#This Row],[Personal Consumption Expenditures (PCE)]]="",#N/A,((Tabela1[[#This Row],[Personal Consumption Expenditures (PCE)]]*1)/T440)-1)</f>
        <v>5.6489894108295857E-3</v>
      </c>
      <c r="V441" s="8">
        <f>IF(Tabela1[[#This Row],[Personal Consumption Expenditures (PCE)]]="",#N/A,((Tabela1[[#This Row],[Personal Consumption Expenditures (PCE)]]*1)/T429)-1)</f>
        <v>4.1161689163646153E-2</v>
      </c>
      <c r="W441" s="7">
        <v>46.311</v>
      </c>
      <c r="X441" s="8">
        <f>IF(Tabela1[[#This Row],[Core PCE]]="",#N/A,((Tabela1[[#This Row],[Core PCE]]*1)/W440)-1)</f>
        <v>6.738983935131948E-3</v>
      </c>
      <c r="Y441" s="8">
        <f>IF(Tabela1[[#This Row],[Core PCE]]="",#N/A,((Tabela1[[#This Row],[Core PCE]]*1)/W429)-1)</f>
        <v>5.0326589857570658E-2</v>
      </c>
      <c r="Z441" s="8">
        <f t="shared" si="21"/>
        <v>5.1425350509497925E-2</v>
      </c>
      <c r="AA441" s="8">
        <f t="shared" si="20"/>
        <v>4.1723512008162267E-2</v>
      </c>
      <c r="AB441" s="7">
        <v>3.79</v>
      </c>
      <c r="AC441" s="7"/>
      <c r="AD441" s="8"/>
      <c r="AE441" s="71"/>
      <c r="AF441" s="7">
        <v>3.2</v>
      </c>
      <c r="AG441" s="5"/>
    </row>
    <row r="442" spans="1:33" ht="12.75">
      <c r="A442" s="6">
        <v>30529</v>
      </c>
      <c r="B442" s="7">
        <v>100.1</v>
      </c>
      <c r="C442" s="8">
        <f>IF(Tabela1[[#This Row],[Consumer Price Index (CPI)]]="",#N/A,((Tabela1[[#This Row],[Consumer Price Index (CPI)]]*1)/B441)-1)</f>
        <v>3.0060120240480437E-3</v>
      </c>
      <c r="D442" s="8">
        <f>IF(Tabela1[[#This Row],[Consumer Price Index (CPI)]]="",#N/A,((Tabela1[[#This Row],[Consumer Price Index (CPI)]]*1)/B430)-1)</f>
        <v>2.4564994882292579E-2</v>
      </c>
      <c r="E442" s="25">
        <v>100.1</v>
      </c>
      <c r="F442" s="8">
        <f>IF(Tabela1[[#This Row],[Core Consumer Price Index]]="",#N/A,((Tabela1[[#This Row],[Core Consumer Price Index]]*1)/E441)-1)</f>
        <v>3.0060120240480437E-3</v>
      </c>
      <c r="G442" s="8">
        <f>IF(Tabela1[[#This Row],[Core Consumer Price Index]]="",#N/A,((Tabela1[[#This Row],[Core Consumer Price Index]]*1)/E430)-1)</f>
        <v>3.0895983522142068E-2</v>
      </c>
      <c r="H442" s="8">
        <f t="shared" si="18"/>
        <v>4.8351064632934815E-2</v>
      </c>
      <c r="I442" s="8">
        <f t="shared" si="19"/>
        <v>4.2488997178498966E-2</v>
      </c>
      <c r="J442" s="25">
        <v>99.8</v>
      </c>
      <c r="K442" s="8">
        <f>IF(Tabela1[[#This Row],[Services CPI]]="",#N/A,((Tabela1[[#This Row],[Services CPI]]*1)/J441)-1)</f>
        <v>2.0080321285140812E-3</v>
      </c>
      <c r="L442" s="8">
        <f>IF(Tabela1[[#This Row],[Services CPI]]="",#N/A,((Tabela1[[#This Row],[Services CPI]]*1)/J430)-1)</f>
        <v>2.2540983606557319E-2</v>
      </c>
      <c r="M442" s="7">
        <v>99.7</v>
      </c>
      <c r="N442" s="8">
        <f>IF(Tabela1[[#This Row],[Core-Services CPI]]="",#N/A,((Tabela1[[#This Row],[Core-Services CPI]]*1)/M441)-1)</f>
        <v>3.0181086519114331E-3</v>
      </c>
      <c r="O442" s="8">
        <f>IF(Tabela1[[#This Row],[Core-Services CPI]]="",#N/A,((Tabela1[[#This Row],[Core-Services CPI]]*1)/M430)-1)</f>
        <v>1.7346938775510301E-2</v>
      </c>
      <c r="P442" s="7">
        <v>100.2</v>
      </c>
      <c r="Q442" s="8">
        <f>IF(Tabela1[[#This Row],[Durable Goods CPI]]="",#N/A,((Tabela1[[#This Row],[Durable Goods CPI]]*1)/P441)-1)</f>
        <v>5.015045135406293E-3</v>
      </c>
      <c r="R442" s="8">
        <f>IF(Tabela1[[#This Row],[Durable Goods CPI]]="",#N/A,((Tabela1[[#This Row],[Durable Goods CPI]]*1)/P430)-1)</f>
        <v>4.0498442367601362E-2</v>
      </c>
      <c r="S442" s="7">
        <v>2.8437396810000002</v>
      </c>
      <c r="T442" s="7">
        <v>47.02</v>
      </c>
      <c r="U442" s="8">
        <f>IF(Tabela1[[#This Row],[Personal Consumption Expenditures (PCE)]]="",#N/A,((Tabela1[[#This Row],[Personal Consumption Expenditures (PCE)]]*1)/T441)-1)</f>
        <v>4.2716787697565373E-3</v>
      </c>
      <c r="V442" s="8">
        <f>IF(Tabela1[[#This Row],[Personal Consumption Expenditures (PCE)]]="",#N/A,((Tabela1[[#This Row],[Personal Consumption Expenditures (PCE)]]*1)/T430)-1)</f>
        <v>4.238715970559559E-2</v>
      </c>
      <c r="W442" s="7">
        <v>46.55</v>
      </c>
      <c r="X442" s="8">
        <f>IF(Tabela1[[#This Row],[Core PCE]]="",#N/A,((Tabela1[[#This Row],[Core PCE]]*1)/W441)-1)</f>
        <v>5.1607609423247602E-3</v>
      </c>
      <c r="Y442" s="8">
        <f>IF(Tabela1[[#This Row],[Core PCE]]="",#N/A,((Tabela1[[#This Row],[Core PCE]]*1)/W430)-1)</f>
        <v>5.0908680437972587E-2</v>
      </c>
      <c r="Z442" s="8">
        <f t="shared" si="21"/>
        <v>6.6294242357360034E-2</v>
      </c>
      <c r="AA442" s="8">
        <f t="shared" si="20"/>
        <v>4.4637136545103484E-2</v>
      </c>
      <c r="AB442" s="7">
        <v>3.7</v>
      </c>
      <c r="AC442" s="7"/>
      <c r="AD442" s="8"/>
      <c r="AE442" s="71"/>
      <c r="AF442" s="7">
        <v>3.3</v>
      </c>
      <c r="AG442" s="5"/>
    </row>
    <row r="443" spans="1:33" ht="12.75">
      <c r="A443" s="6">
        <v>30560</v>
      </c>
      <c r="B443" s="7">
        <v>100.4</v>
      </c>
      <c r="C443" s="8">
        <f>IF(Tabela1[[#This Row],[Consumer Price Index (CPI)]]="",#N/A,((Tabela1[[#This Row],[Consumer Price Index (CPI)]]*1)/B442)-1)</f>
        <v>2.9970029970030065E-3</v>
      </c>
      <c r="D443" s="8">
        <f>IF(Tabela1[[#This Row],[Consumer Price Index (CPI)]]="",#N/A,((Tabela1[[#This Row],[Consumer Price Index (CPI)]]*1)/B431)-1)</f>
        <v>2.763561924257929E-2</v>
      </c>
      <c r="E443" s="25">
        <v>100.5</v>
      </c>
      <c r="F443" s="8">
        <f>IF(Tabela1[[#This Row],[Core Consumer Price Index]]="",#N/A,((Tabela1[[#This Row],[Core Consumer Price Index]]*1)/E442)-1)</f>
        <v>3.9960039960040827E-3</v>
      </c>
      <c r="G443" s="8">
        <f>IF(Tabela1[[#This Row],[Core Consumer Price Index]]="",#N/A,((Tabela1[[#This Row],[Core Consumer Price Index]]*1)/E431)-1)</f>
        <v>3.3950617283950546E-2</v>
      </c>
      <c r="H443" s="8">
        <f t="shared" si="18"/>
        <v>5.220161246730548E-2</v>
      </c>
      <c r="I443" s="8">
        <f t="shared" si="19"/>
        <v>4.6399372517445858E-2</v>
      </c>
      <c r="J443" s="25">
        <v>100.2</v>
      </c>
      <c r="K443" s="8">
        <f>IF(Tabela1[[#This Row],[Services CPI]]="",#N/A,((Tabela1[[#This Row],[Services CPI]]*1)/J442)-1)</f>
        <v>4.0080160320641323E-3</v>
      </c>
      <c r="L443" s="8">
        <f>IF(Tabela1[[#This Row],[Services CPI]]="",#N/A,((Tabela1[[#This Row],[Services CPI]]*1)/J431)-1)</f>
        <v>2.6639344262295195E-2</v>
      </c>
      <c r="M443" s="7">
        <v>100.1</v>
      </c>
      <c r="N443" s="8">
        <f>IF(Tabela1[[#This Row],[Core-Services CPI]]="",#N/A,((Tabela1[[#This Row],[Core-Services CPI]]*1)/M442)-1)</f>
        <v>4.0120361083249012E-3</v>
      </c>
      <c r="O443" s="8">
        <f>IF(Tabela1[[#This Row],[Core-Services CPI]]="",#N/A,((Tabela1[[#This Row],[Core-Services CPI]]*1)/M431)-1)</f>
        <v>2.2471910112359383E-2</v>
      </c>
      <c r="P443" s="7">
        <v>101.1</v>
      </c>
      <c r="Q443" s="8">
        <f>IF(Tabela1[[#This Row],[Durable Goods CPI]]="",#N/A,((Tabela1[[#This Row],[Durable Goods CPI]]*1)/P442)-1)</f>
        <v>8.9820359281436168E-3</v>
      </c>
      <c r="R443" s="8">
        <f>IF(Tabela1[[#This Row],[Durable Goods CPI]]="",#N/A,((Tabela1[[#This Row],[Durable Goods CPI]]*1)/P431)-1)</f>
        <v>5.0935550935550911E-2</v>
      </c>
      <c r="S443" s="7">
        <v>2.6307551980000001</v>
      </c>
      <c r="T443" s="7">
        <v>47.185000000000002</v>
      </c>
      <c r="U443" s="8">
        <f>IF(Tabela1[[#This Row],[Personal Consumption Expenditures (PCE)]]="",#N/A,((Tabela1[[#This Row],[Personal Consumption Expenditures (PCE)]]*1)/T442)-1)</f>
        <v>3.5091450446618211E-3</v>
      </c>
      <c r="V443" s="8">
        <f>IF(Tabela1[[#This Row],[Personal Consumption Expenditures (PCE)]]="",#N/A,((Tabela1[[#This Row],[Personal Consumption Expenditures (PCE)]]*1)/T431)-1)</f>
        <v>4.3154334225012914E-2</v>
      </c>
      <c r="W443" s="7">
        <v>46.738</v>
      </c>
      <c r="X443" s="8">
        <f>IF(Tabela1[[#This Row],[Core PCE]]="",#N/A,((Tabela1[[#This Row],[Core PCE]]*1)/W442)-1)</f>
        <v>4.0386680988184764E-3</v>
      </c>
      <c r="Y443" s="8">
        <f>IF(Tabela1[[#This Row],[Core PCE]]="",#N/A,((Tabela1[[#This Row],[Core PCE]]*1)/W431)-1)</f>
        <v>5.1260712116781626E-2</v>
      </c>
      <c r="Z443" s="8">
        <f t="shared" si="21"/>
        <v>6.3753651905100739E-2</v>
      </c>
      <c r="AA443" s="8">
        <f t="shared" si="20"/>
        <v>5.0166422221049167E-2</v>
      </c>
      <c r="AB443" s="7">
        <v>3.79</v>
      </c>
      <c r="AC443" s="7"/>
      <c r="AD443" s="8"/>
      <c r="AE443" s="71"/>
      <c r="AF443" s="7">
        <v>3.3</v>
      </c>
      <c r="AG443" s="5"/>
    </row>
    <row r="444" spans="1:33" ht="12.75">
      <c r="A444" s="6">
        <v>30590</v>
      </c>
      <c r="B444" s="7">
        <v>100.8</v>
      </c>
      <c r="C444" s="8">
        <f>IF(Tabela1[[#This Row],[Consumer Price Index (CPI)]]="",#N/A,((Tabela1[[#This Row],[Consumer Price Index (CPI)]]*1)/B443)-1)</f>
        <v>3.9840637450199168E-3</v>
      </c>
      <c r="D444" s="8">
        <f>IF(Tabela1[[#This Row],[Consumer Price Index (CPI)]]="",#N/A,((Tabela1[[#This Row],[Consumer Price Index (CPI)]]*1)/B432)-1)</f>
        <v>2.7522935779816571E-2</v>
      </c>
      <c r="E444" s="25">
        <v>101</v>
      </c>
      <c r="F444" s="8">
        <f>IF(Tabela1[[#This Row],[Core Consumer Price Index]]="",#N/A,((Tabela1[[#This Row],[Core Consumer Price Index]]*1)/E443)-1)</f>
        <v>4.9751243781095411E-3</v>
      </c>
      <c r="G444" s="8">
        <f>IF(Tabela1[[#This Row],[Core Consumer Price Index]]="",#N/A,((Tabela1[[#This Row],[Core Consumer Price Index]]*1)/E432)-1)</f>
        <v>3.5897435897435992E-2</v>
      </c>
      <c r="H444" s="8">
        <f t="shared" si="18"/>
        <v>4.790856159264667E-2</v>
      </c>
      <c r="I444" s="8">
        <f t="shared" si="19"/>
        <v>4.8202981762463626E-2</v>
      </c>
      <c r="J444" s="25">
        <v>100.7</v>
      </c>
      <c r="K444" s="8">
        <f>IF(Tabela1[[#This Row],[Services CPI]]="",#N/A,((Tabela1[[#This Row],[Services CPI]]*1)/J443)-1)</f>
        <v>4.9900199600798611E-3</v>
      </c>
      <c r="L444" s="8">
        <f>IF(Tabela1[[#This Row],[Services CPI]]="",#N/A,((Tabela1[[#This Row],[Services CPI]]*1)/J432)-1)</f>
        <v>2.8600612870275821E-2</v>
      </c>
      <c r="M444" s="7">
        <v>100.6</v>
      </c>
      <c r="N444" s="8">
        <f>IF(Tabela1[[#This Row],[Core-Services CPI]]="",#N/A,((Tabela1[[#This Row],[Core-Services CPI]]*1)/M443)-1)</f>
        <v>4.9950049950049369E-3</v>
      </c>
      <c r="O444" s="8">
        <f>IF(Tabela1[[#This Row],[Core-Services CPI]]="",#N/A,((Tabela1[[#This Row],[Core-Services CPI]]*1)/M432)-1)</f>
        <v>2.6530612244897833E-2</v>
      </c>
      <c r="P444" s="7">
        <v>101.7</v>
      </c>
      <c r="Q444" s="8">
        <f>IF(Tabela1[[#This Row],[Durable Goods CPI]]="",#N/A,((Tabela1[[#This Row],[Durable Goods CPI]]*1)/P443)-1)</f>
        <v>5.9347181008901906E-3</v>
      </c>
      <c r="R444" s="8">
        <f>IF(Tabela1[[#This Row],[Durable Goods CPI]]="",#N/A,((Tabela1[[#This Row],[Durable Goods CPI]]*1)/P432)-1)</f>
        <v>5.2795031055900665E-2</v>
      </c>
      <c r="S444" s="7">
        <v>2.5534009750000002</v>
      </c>
      <c r="T444" s="7">
        <v>47.265000000000001</v>
      </c>
      <c r="U444" s="8">
        <f>IF(Tabela1[[#This Row],[Personal Consumption Expenditures (PCE)]]="",#N/A,((Tabela1[[#This Row],[Personal Consumption Expenditures (PCE)]]*1)/T443)-1)</f>
        <v>1.6954540637914572E-3</v>
      </c>
      <c r="V444" s="8">
        <f>IF(Tabela1[[#This Row],[Personal Consumption Expenditures (PCE)]]="",#N/A,((Tabela1[[#This Row],[Personal Consumption Expenditures (PCE)]]*1)/T432)-1)</f>
        <v>3.9088091102952527E-2</v>
      </c>
      <c r="W444" s="7">
        <v>46.820999999999998</v>
      </c>
      <c r="X444" s="8">
        <f>IF(Tabela1[[#This Row],[Core PCE]]="",#N/A,((Tabela1[[#This Row],[Core PCE]]*1)/W443)-1)</f>
        <v>1.7758569044459271E-3</v>
      </c>
      <c r="Y444" s="8">
        <f>IF(Tabela1[[#This Row],[Core PCE]]="",#N/A,((Tabela1[[#This Row],[Core PCE]]*1)/W432)-1)</f>
        <v>4.6489796830647467E-2</v>
      </c>
      <c r="Z444" s="8">
        <f t="shared" si="21"/>
        <v>4.3901143782356655E-2</v>
      </c>
      <c r="AA444" s="8">
        <f t="shared" si="20"/>
        <v>4.766324714592729E-2</v>
      </c>
      <c r="AB444" s="7">
        <v>3.56</v>
      </c>
      <c r="AC444" s="7"/>
      <c r="AD444" s="8"/>
      <c r="AE444" s="71"/>
      <c r="AF444" s="7">
        <v>3.7</v>
      </c>
      <c r="AG444" s="5"/>
    </row>
    <row r="445" spans="1:33" ht="12.75">
      <c r="A445" s="6">
        <v>30621</v>
      </c>
      <c r="B445" s="7">
        <v>101.1</v>
      </c>
      <c r="C445" s="8">
        <f>IF(Tabela1[[#This Row],[Consumer Price Index (CPI)]]="",#N/A,((Tabela1[[#This Row],[Consumer Price Index (CPI)]]*1)/B444)-1)</f>
        <v>2.9761904761904656E-3</v>
      </c>
      <c r="D445" s="8">
        <f>IF(Tabela1[[#This Row],[Consumer Price Index (CPI)]]="",#N/A,((Tabela1[[#This Row],[Consumer Price Index (CPI)]]*1)/B433)-1)</f>
        <v>3.1632653061224536E-2</v>
      </c>
      <c r="E445" s="25">
        <v>101.5</v>
      </c>
      <c r="F445" s="8">
        <f>IF(Tabela1[[#This Row],[Core Consumer Price Index]]="",#N/A,((Tabela1[[#This Row],[Core Consumer Price Index]]*1)/E444)-1)</f>
        <v>4.9504950495049549E-3</v>
      </c>
      <c r="G445" s="8">
        <f>IF(Tabela1[[#This Row],[Core Consumer Price Index]]="",#N/A,((Tabela1[[#This Row],[Core Consumer Price Index]]*1)/E433)-1)</f>
        <v>4.3165467625899234E-2</v>
      </c>
      <c r="H445" s="8">
        <f t="shared" si="18"/>
        <v>5.5686493694474315E-2</v>
      </c>
      <c r="I445" s="8">
        <f t="shared" si="19"/>
        <v>5.2018779163704565E-2</v>
      </c>
      <c r="J445" s="25">
        <v>101.3</v>
      </c>
      <c r="K445" s="8">
        <f>IF(Tabela1[[#This Row],[Services CPI]]="",#N/A,((Tabela1[[#This Row],[Services CPI]]*1)/J444)-1)</f>
        <v>5.9582919563057057E-3</v>
      </c>
      <c r="L445" s="8">
        <f>IF(Tabela1[[#This Row],[Services CPI]]="",#N/A,((Tabela1[[#This Row],[Services CPI]]*1)/J433)-1)</f>
        <v>3.684749232343898E-2</v>
      </c>
      <c r="M445" s="7">
        <v>101.1</v>
      </c>
      <c r="N445" s="8">
        <f>IF(Tabela1[[#This Row],[Core-Services CPI]]="",#N/A,((Tabela1[[#This Row],[Core-Services CPI]]*1)/M444)-1)</f>
        <v>4.9701789264413598E-3</v>
      </c>
      <c r="O445" s="8">
        <f>IF(Tabela1[[#This Row],[Core-Services CPI]]="",#N/A,((Tabela1[[#This Row],[Core-Services CPI]]*1)/M433)-1)</f>
        <v>3.4800409416581246E-2</v>
      </c>
      <c r="P445" s="7">
        <v>102.5</v>
      </c>
      <c r="Q445" s="8">
        <f>IF(Tabela1[[#This Row],[Durable Goods CPI]]="",#N/A,((Tabela1[[#This Row],[Durable Goods CPI]]*1)/P444)-1)</f>
        <v>7.8662733529990536E-3</v>
      </c>
      <c r="R445" s="8">
        <f>IF(Tabela1[[#This Row],[Durable Goods CPI]]="",#N/A,((Tabela1[[#This Row],[Durable Goods CPI]]*1)/P433)-1)</f>
        <v>5.8884297520661155E-2</v>
      </c>
      <c r="S445" s="7">
        <v>2.9440045709999998</v>
      </c>
      <c r="T445" s="7">
        <v>47.332000000000001</v>
      </c>
      <c r="U445" s="8">
        <f>IF(Tabela1[[#This Row],[Personal Consumption Expenditures (PCE)]]="",#N/A,((Tabela1[[#This Row],[Personal Consumption Expenditures (PCE)]]*1)/T444)-1)</f>
        <v>1.4175394054798396E-3</v>
      </c>
      <c r="V445" s="8">
        <f>IF(Tabela1[[#This Row],[Personal Consumption Expenditures (PCE)]]="",#N/A,((Tabela1[[#This Row],[Personal Consumption Expenditures (PCE)]]*1)/T433)-1)</f>
        <v>3.7436436963001807E-2</v>
      </c>
      <c r="W445" s="7">
        <v>46.93</v>
      </c>
      <c r="X445" s="8">
        <f>IF(Tabela1[[#This Row],[Core PCE]]="",#N/A,((Tabela1[[#This Row],[Core PCE]]*1)/W444)-1)</f>
        <v>2.3280152068516635E-3</v>
      </c>
      <c r="Y445" s="8">
        <f>IF(Tabela1[[#This Row],[Core PCE]]="",#N/A,((Tabela1[[#This Row],[Core PCE]]*1)/W433)-1)</f>
        <v>4.5071928027435204E-2</v>
      </c>
      <c r="Z445" s="8">
        <f t="shared" si="21"/>
        <v>3.2570160840464268E-2</v>
      </c>
      <c r="AA445" s="8">
        <f t="shared" si="20"/>
        <v>4.9432201598912151E-2</v>
      </c>
      <c r="AB445" s="7">
        <v>3.67</v>
      </c>
      <c r="AC445" s="7"/>
      <c r="AD445" s="8"/>
      <c r="AE445" s="71"/>
      <c r="AF445" s="7">
        <v>3.5</v>
      </c>
      <c r="AG445" s="5"/>
    </row>
    <row r="446" spans="1:33" ht="12.75">
      <c r="A446" s="6">
        <v>30651</v>
      </c>
      <c r="B446" s="7">
        <v>101.4</v>
      </c>
      <c r="C446" s="8">
        <f>IF(Tabela1[[#This Row],[Consumer Price Index (CPI)]]="",#N/A,((Tabela1[[#This Row],[Consumer Price Index (CPI)]]*1)/B445)-1)</f>
        <v>2.9673590504453173E-3</v>
      </c>
      <c r="D446" s="8">
        <f>IF(Tabela1[[#This Row],[Consumer Price Index (CPI)]]="",#N/A,((Tabela1[[#This Row],[Consumer Price Index (CPI)]]*1)/B434)-1)</f>
        <v>3.7871033776867957E-2</v>
      </c>
      <c r="E446" s="25">
        <v>101.8</v>
      </c>
      <c r="F446" s="8">
        <f>IF(Tabela1[[#This Row],[Core Consumer Price Index]]="",#N/A,((Tabela1[[#This Row],[Core Consumer Price Index]]*1)/E445)-1)</f>
        <v>2.9556650246305161E-3</v>
      </c>
      <c r="G446" s="8">
        <f>IF(Tabela1[[#This Row],[Core Consumer Price Index]]="",#N/A,((Tabela1[[#This Row],[Core Consumer Price Index]]*1)/E434)-1)</f>
        <v>4.7325102880658276E-2</v>
      </c>
      <c r="H446" s="8">
        <f t="shared" ref="H446:H509" si="22">SUM(F444:F446)*4</f>
        <v>5.1525137808980048E-2</v>
      </c>
      <c r="I446" s="8">
        <f t="shared" si="19"/>
        <v>5.1863375138142764E-2</v>
      </c>
      <c r="J446" s="25">
        <v>101.6</v>
      </c>
      <c r="K446" s="8">
        <f>IF(Tabela1[[#This Row],[Services CPI]]="",#N/A,((Tabela1[[#This Row],[Services CPI]]*1)/J445)-1)</f>
        <v>2.9615004935834577E-3</v>
      </c>
      <c r="L446" s="8">
        <f>IF(Tabela1[[#This Row],[Services CPI]]="",#N/A,((Tabela1[[#This Row],[Services CPI]]*1)/J434)-1)</f>
        <v>4.8503611971104199E-2</v>
      </c>
      <c r="M446" s="7">
        <v>101.4</v>
      </c>
      <c r="N446" s="8">
        <f>IF(Tabela1[[#This Row],[Core-Services CPI]]="",#N/A,((Tabela1[[#This Row],[Core-Services CPI]]*1)/M445)-1)</f>
        <v>2.9673590504453173E-3</v>
      </c>
      <c r="O446" s="8">
        <f>IF(Tabela1[[#This Row],[Core-Services CPI]]="",#N/A,((Tabela1[[#This Row],[Core-Services CPI]]*1)/M434)-1)</f>
        <v>4.8603929679420954E-2</v>
      </c>
      <c r="P446" s="7">
        <v>103</v>
      </c>
      <c r="Q446" s="8">
        <f>IF(Tabela1[[#This Row],[Durable Goods CPI]]="",#N/A,((Tabela1[[#This Row],[Durable Goods CPI]]*1)/P445)-1)</f>
        <v>4.8780487804878092E-3</v>
      </c>
      <c r="R446" s="8">
        <f>IF(Tabela1[[#This Row],[Durable Goods CPI]]="",#N/A,((Tabela1[[#This Row],[Durable Goods CPI]]*1)/P434)-1)</f>
        <v>5.8581706063720373E-2</v>
      </c>
      <c r="S446" s="7">
        <v>3.0933123600000001</v>
      </c>
      <c r="T446" s="7">
        <v>47.357999999999997</v>
      </c>
      <c r="U446" s="8">
        <f>IF(Tabela1[[#This Row],[Personal Consumption Expenditures (PCE)]]="",#N/A,((Tabela1[[#This Row],[Personal Consumption Expenditures (PCE)]]*1)/T445)-1)</f>
        <v>5.4931124820400967E-4</v>
      </c>
      <c r="V446" s="8">
        <f>IF(Tabela1[[#This Row],[Personal Consumption Expenditures (PCE)]]="",#N/A,((Tabela1[[#This Row],[Personal Consumption Expenditures (PCE)]]*1)/T434)-1)</f>
        <v>3.6438841835729763E-2</v>
      </c>
      <c r="W446" s="7">
        <v>46.965000000000003</v>
      </c>
      <c r="X446" s="8">
        <f>IF(Tabela1[[#This Row],[Core PCE]]="",#N/A,((Tabela1[[#This Row],[Core PCE]]*1)/W445)-1)</f>
        <v>7.4579160451748727E-4</v>
      </c>
      <c r="Y446" s="8">
        <f>IF(Tabela1[[#This Row],[Core PCE]]="",#N/A,((Tabela1[[#This Row],[Core PCE]]*1)/W434)-1)</f>
        <v>4.2531465737308372E-2</v>
      </c>
      <c r="Z446" s="8">
        <f t="shared" si="21"/>
        <v>1.9398654863260312E-2</v>
      </c>
      <c r="AA446" s="8">
        <f t="shared" si="20"/>
        <v>4.1576153384180525E-2</v>
      </c>
      <c r="AB446" s="7">
        <v>3.63</v>
      </c>
      <c r="AC446" s="7"/>
      <c r="AD446" s="8"/>
      <c r="AE446" s="71"/>
      <c r="AF446" s="7">
        <v>3.5</v>
      </c>
      <c r="AG446" s="5"/>
    </row>
    <row r="447" spans="1:33" ht="12.75">
      <c r="A447" s="6">
        <v>30682</v>
      </c>
      <c r="B447" s="7">
        <v>102.1</v>
      </c>
      <c r="C447" s="8">
        <f>IF(Tabela1[[#This Row],[Consumer Price Index (CPI)]]="",#N/A,((Tabela1[[#This Row],[Consumer Price Index (CPI)]]*1)/B446)-1)</f>
        <v>6.9033530571991353E-3</v>
      </c>
      <c r="D447" s="8">
        <f>IF(Tabela1[[#This Row],[Consumer Price Index (CPI)]]="",#N/A,((Tabela1[[#This Row],[Consumer Price Index (CPI)]]*1)/B435)-1)</f>
        <v>4.290091930541351E-2</v>
      </c>
      <c r="E447" s="25">
        <v>102.5</v>
      </c>
      <c r="F447" s="8">
        <f>IF(Tabela1[[#This Row],[Core Consumer Price Index]]="",#N/A,((Tabela1[[#This Row],[Core Consumer Price Index]]*1)/E446)-1)</f>
        <v>6.8762278978389269E-3</v>
      </c>
      <c r="G447" s="8">
        <f>IF(Tabela1[[#This Row],[Core Consumer Price Index]]="",#N/A,((Tabela1[[#This Row],[Core Consumer Price Index]]*1)/E435)-1)</f>
        <v>5.0204918032787038E-2</v>
      </c>
      <c r="H447" s="8">
        <f t="shared" si="22"/>
        <v>5.9129551887897591E-2</v>
      </c>
      <c r="I447" s="8">
        <f t="shared" si="19"/>
        <v>5.3519056740272131E-2</v>
      </c>
      <c r="J447" s="25">
        <v>102.1</v>
      </c>
      <c r="K447" s="8">
        <f>IF(Tabela1[[#This Row],[Services CPI]]="",#N/A,((Tabela1[[#This Row],[Services CPI]]*1)/J446)-1)</f>
        <v>4.9212598425196763E-3</v>
      </c>
      <c r="L447" s="8">
        <f>IF(Tabela1[[#This Row],[Services CPI]]="",#N/A,((Tabela1[[#This Row],[Services CPI]]*1)/J435)-1)</f>
        <v>4.7179487179487056E-2</v>
      </c>
      <c r="M447" s="7">
        <v>102.1</v>
      </c>
      <c r="N447" s="8">
        <f>IF(Tabela1[[#This Row],[Core-Services CPI]]="",#N/A,((Tabela1[[#This Row],[Core-Services CPI]]*1)/M446)-1)</f>
        <v>6.9033530571991353E-3</v>
      </c>
      <c r="O447" s="8">
        <f>IF(Tabela1[[#This Row],[Core-Services CPI]]="",#N/A,((Tabela1[[#This Row],[Core-Services CPI]]*1)/M435)-1)</f>
        <v>4.9331963001027823E-2</v>
      </c>
      <c r="P447" s="7">
        <v>103</v>
      </c>
      <c r="Q447" s="8">
        <f>IF(Tabela1[[#This Row],[Durable Goods CPI]]="",#N/A,((Tabela1[[#This Row],[Durable Goods CPI]]*1)/P446)-1)</f>
        <v>0</v>
      </c>
      <c r="R447" s="8">
        <f>IF(Tabela1[[#This Row],[Durable Goods CPI]]="",#N/A,((Tabela1[[#This Row],[Durable Goods CPI]]*1)/P435)-1)</f>
        <v>5.4247697031729825E-2</v>
      </c>
      <c r="S447" s="7">
        <v>3.751793567</v>
      </c>
      <c r="T447" s="7">
        <v>47.564</v>
      </c>
      <c r="U447" s="8">
        <f>IF(Tabela1[[#This Row],[Personal Consumption Expenditures (PCE)]]="",#N/A,((Tabela1[[#This Row],[Personal Consumption Expenditures (PCE)]]*1)/T446)-1)</f>
        <v>4.349845854977108E-3</v>
      </c>
      <c r="V447" s="8">
        <f>IF(Tabela1[[#This Row],[Personal Consumption Expenditures (PCE)]]="",#N/A,((Tabela1[[#This Row],[Personal Consumption Expenditures (PCE)]]*1)/T435)-1)</f>
        <v>3.6117283143815682E-2</v>
      </c>
      <c r="W447" s="7">
        <v>47.121000000000002</v>
      </c>
      <c r="X447" s="8">
        <f>IF(Tabela1[[#This Row],[Core PCE]]="",#N/A,((Tabela1[[#This Row],[Core PCE]]*1)/W446)-1)</f>
        <v>3.3216224848291453E-3</v>
      </c>
      <c r="Y447" s="8">
        <f>IF(Tabela1[[#This Row],[Core PCE]]="",#N/A,((Tabela1[[#This Row],[Core PCE]]*1)/W435)-1)</f>
        <v>3.8891461075468037E-2</v>
      </c>
      <c r="Z447" s="8">
        <f t="shared" si="21"/>
        <v>2.5581717184793185E-2</v>
      </c>
      <c r="AA447" s="8">
        <f t="shared" si="20"/>
        <v>3.474143048357492E-2</v>
      </c>
      <c r="AB447" s="7">
        <v>3.59</v>
      </c>
      <c r="AC447" s="7"/>
      <c r="AD447" s="8"/>
      <c r="AE447" s="71"/>
      <c r="AF447" s="7">
        <v>3.2</v>
      </c>
      <c r="AG447" s="5"/>
    </row>
    <row r="448" spans="1:33" ht="12.75">
      <c r="A448" s="6">
        <v>30713</v>
      </c>
      <c r="B448" s="7">
        <v>102.6</v>
      </c>
      <c r="C448" s="8">
        <f>IF(Tabela1[[#This Row],[Consumer Price Index (CPI)]]="",#N/A,((Tabela1[[#This Row],[Consumer Price Index (CPI)]]*1)/B447)-1)</f>
        <v>4.8971596474045587E-3</v>
      </c>
      <c r="D448" s="8">
        <f>IF(Tabela1[[#This Row],[Consumer Price Index (CPI)]]="",#N/A,((Tabela1[[#This Row],[Consumer Price Index (CPI)]]*1)/B436)-1)</f>
        <v>4.6938775510203978E-2</v>
      </c>
      <c r="E448" s="25">
        <v>102.8</v>
      </c>
      <c r="F448" s="8">
        <f>IF(Tabela1[[#This Row],[Core Consumer Price Index]]="",#N/A,((Tabela1[[#This Row],[Core Consumer Price Index]]*1)/E447)-1)</f>
        <v>2.9268292682926855E-3</v>
      </c>
      <c r="G448" s="8">
        <f>IF(Tabela1[[#This Row],[Core Consumer Price Index]]="",#N/A,((Tabela1[[#This Row],[Core Consumer Price Index]]*1)/E436)-1)</f>
        <v>4.8979591836734615E-2</v>
      </c>
      <c r="H448" s="8">
        <f t="shared" si="22"/>
        <v>5.1034888763048514E-2</v>
      </c>
      <c r="I448" s="8">
        <f t="shared" si="19"/>
        <v>5.3360691228761414E-2</v>
      </c>
      <c r="J448" s="25">
        <v>102.6</v>
      </c>
      <c r="K448" s="8">
        <f>IF(Tabela1[[#This Row],[Services CPI]]="",#N/A,((Tabela1[[#This Row],[Services CPI]]*1)/J447)-1)</f>
        <v>4.8971596474045587E-3</v>
      </c>
      <c r="L448" s="8">
        <f>IF(Tabela1[[#This Row],[Services CPI]]="",#N/A,((Tabela1[[#This Row],[Services CPI]]*1)/J436)-1)</f>
        <v>4.8008171603677097E-2</v>
      </c>
      <c r="M448" s="7">
        <v>102.6</v>
      </c>
      <c r="N448" s="8">
        <f>IF(Tabela1[[#This Row],[Core-Services CPI]]="",#N/A,((Tabela1[[#This Row],[Core-Services CPI]]*1)/M447)-1)</f>
        <v>4.8971596474045587E-3</v>
      </c>
      <c r="O448" s="8">
        <f>IF(Tabela1[[#This Row],[Core-Services CPI]]="",#N/A,((Tabela1[[#This Row],[Core-Services CPI]]*1)/M436)-1)</f>
        <v>5.0153531218014136E-2</v>
      </c>
      <c r="P448" s="7">
        <v>102.9</v>
      </c>
      <c r="Q448" s="8">
        <f>IF(Tabela1[[#This Row],[Durable Goods CPI]]="",#N/A,((Tabela1[[#This Row],[Durable Goods CPI]]*1)/P447)-1)</f>
        <v>-9.7087378640769995E-4</v>
      </c>
      <c r="R448" s="8">
        <f>IF(Tabela1[[#This Row],[Durable Goods CPI]]="",#N/A,((Tabela1[[#This Row],[Durable Goods CPI]]*1)/P436)-1)</f>
        <v>5.1072522982635427E-2</v>
      </c>
      <c r="S448" s="7">
        <v>4.4654800850000003</v>
      </c>
      <c r="T448" s="7">
        <v>47.884</v>
      </c>
      <c r="U448" s="8">
        <f>IF(Tabela1[[#This Row],[Personal Consumption Expenditures (PCE)]]="",#N/A,((Tabela1[[#This Row],[Personal Consumption Expenditures (PCE)]]*1)/T447)-1)</f>
        <v>6.7277773105709482E-3</v>
      </c>
      <c r="V448" s="8">
        <f>IF(Tabela1[[#This Row],[Personal Consumption Expenditures (PCE)]]="",#N/A,((Tabela1[[#This Row],[Personal Consumption Expenditures (PCE)]]*1)/T436)-1)</f>
        <v>4.1318719554627625E-2</v>
      </c>
      <c r="W448" s="7">
        <v>47.417999999999999</v>
      </c>
      <c r="X448" s="8">
        <f>IF(Tabela1[[#This Row],[Core PCE]]="",#N/A,((Tabela1[[#This Row],[Core PCE]]*1)/W447)-1)</f>
        <v>6.3029222639587879E-3</v>
      </c>
      <c r="Y448" s="8">
        <f>IF(Tabela1[[#This Row],[Core PCE]]="",#N/A,((Tabela1[[#This Row],[Core PCE]]*1)/W436)-1)</f>
        <v>4.1581548599670448E-2</v>
      </c>
      <c r="Z448" s="8">
        <f t="shared" si="21"/>
        <v>4.1481345413221682E-2</v>
      </c>
      <c r="AA448" s="8">
        <f t="shared" si="20"/>
        <v>3.7025753126842975E-2</v>
      </c>
      <c r="AB448" s="7">
        <v>3.64</v>
      </c>
      <c r="AC448" s="7"/>
      <c r="AD448" s="8"/>
      <c r="AE448" s="71"/>
      <c r="AF448" s="7">
        <v>3.3</v>
      </c>
      <c r="AG448" s="5"/>
    </row>
    <row r="449" spans="1:33" ht="12.75">
      <c r="A449" s="6">
        <v>30742</v>
      </c>
      <c r="B449" s="7">
        <v>102.9</v>
      </c>
      <c r="C449" s="8">
        <f>IF(Tabela1[[#This Row],[Consumer Price Index (CPI)]]="",#N/A,((Tabela1[[#This Row],[Consumer Price Index (CPI)]]*1)/B448)-1)</f>
        <v>2.9239766081872176E-3</v>
      </c>
      <c r="D449" s="8">
        <f>IF(Tabela1[[#This Row],[Consumer Price Index (CPI)]]="",#N/A,((Tabela1[[#This Row],[Consumer Price Index (CPI)]]*1)/B437)-1)</f>
        <v>4.8929663608562768E-2</v>
      </c>
      <c r="E449" s="25">
        <v>103.2</v>
      </c>
      <c r="F449" s="8">
        <f>IF(Tabela1[[#This Row],[Core Consumer Price Index]]="",#N/A,((Tabela1[[#This Row],[Core Consumer Price Index]]*1)/E448)-1)</f>
        <v>3.8910505836575737E-3</v>
      </c>
      <c r="G449" s="8">
        <f>IF(Tabela1[[#This Row],[Core Consumer Price Index]]="",#N/A,((Tabela1[[#This Row],[Core Consumer Price Index]]*1)/E437)-1)</f>
        <v>5.0916496945010215E-2</v>
      </c>
      <c r="H449" s="8">
        <f t="shared" si="22"/>
        <v>5.4776430999156744E-2</v>
      </c>
      <c r="I449" s="8">
        <f t="shared" ref="I449:I512" si="23">SUM(F444:F449)*2</f>
        <v>5.3150784404068396E-2</v>
      </c>
      <c r="J449" s="25">
        <v>103</v>
      </c>
      <c r="K449" s="8">
        <f>IF(Tabela1[[#This Row],[Services CPI]]="",#N/A,((Tabela1[[#This Row],[Services CPI]]*1)/J448)-1)</f>
        <v>3.8986354775829568E-3</v>
      </c>
      <c r="L449" s="8">
        <f>IF(Tabela1[[#This Row],[Services CPI]]="",#N/A,((Tabela1[[#This Row],[Services CPI]]*1)/J437)-1)</f>
        <v>4.9949031600407867E-2</v>
      </c>
      <c r="M449" s="7">
        <v>103</v>
      </c>
      <c r="N449" s="8">
        <f>IF(Tabela1[[#This Row],[Core-Services CPI]]="",#N/A,((Tabela1[[#This Row],[Core-Services CPI]]*1)/M448)-1)</f>
        <v>3.8986354775829568E-3</v>
      </c>
      <c r="O449" s="8">
        <f>IF(Tabela1[[#This Row],[Core-Services CPI]]="",#N/A,((Tabela1[[#This Row],[Core-Services CPI]]*1)/M437)-1)</f>
        <v>5.3169734151329306E-2</v>
      </c>
      <c r="P449" s="7">
        <v>103.5</v>
      </c>
      <c r="Q449" s="8">
        <f>IF(Tabela1[[#This Row],[Durable Goods CPI]]="",#N/A,((Tabela1[[#This Row],[Durable Goods CPI]]*1)/P448)-1)</f>
        <v>5.8309037900874383E-3</v>
      </c>
      <c r="R449" s="8">
        <f>IF(Tabela1[[#This Row],[Durable Goods CPI]]="",#N/A,((Tabela1[[#This Row],[Durable Goods CPI]]*1)/P437)-1)</f>
        <v>5.1829268292682862E-2</v>
      </c>
      <c r="S449" s="7">
        <v>4.4857625480000003</v>
      </c>
      <c r="T449" s="7">
        <v>48.040999999999997</v>
      </c>
      <c r="U449" s="8">
        <f>IF(Tabela1[[#This Row],[Personal Consumption Expenditures (PCE)]]="",#N/A,((Tabela1[[#This Row],[Personal Consumption Expenditures (PCE)]]*1)/T448)-1)</f>
        <v>3.2787569960737173E-3</v>
      </c>
      <c r="V449" s="8">
        <f>IF(Tabela1[[#This Row],[Personal Consumption Expenditures (PCE)]]="",#N/A,((Tabela1[[#This Row],[Personal Consumption Expenditures (PCE)]]*1)/T437)-1)</f>
        <v>4.3394218447972532E-2</v>
      </c>
      <c r="W449" s="7">
        <v>47.597999999999999</v>
      </c>
      <c r="X449" s="8">
        <f>IF(Tabela1[[#This Row],[Core PCE]]="",#N/A,((Tabela1[[#This Row],[Core PCE]]*1)/W448)-1)</f>
        <v>3.7960268252561491E-3</v>
      </c>
      <c r="Y449" s="8">
        <f>IF(Tabela1[[#This Row],[Core PCE]]="",#N/A,((Tabela1[[#This Row],[Core PCE]]*1)/W437)-1)</f>
        <v>4.4205076453941228E-2</v>
      </c>
      <c r="Z449" s="8">
        <f t="shared" si="21"/>
        <v>5.3682286296176329E-2</v>
      </c>
      <c r="AA449" s="8">
        <f t="shared" si="20"/>
        <v>3.654047057971832E-2</v>
      </c>
      <c r="AB449" s="7">
        <v>3.79</v>
      </c>
      <c r="AC449" s="7"/>
      <c r="AD449" s="8"/>
      <c r="AE449" s="71"/>
      <c r="AF449" s="7">
        <v>3.4</v>
      </c>
      <c r="AG449" s="5"/>
    </row>
    <row r="450" spans="1:33" ht="12.75">
      <c r="A450" s="6">
        <v>30773</v>
      </c>
      <c r="B450" s="7">
        <v>103.3</v>
      </c>
      <c r="C450" s="8">
        <f>IF(Tabela1[[#This Row],[Consumer Price Index (CPI)]]="",#N/A,((Tabela1[[#This Row],[Consumer Price Index (CPI)]]*1)/B449)-1)</f>
        <v>3.8872691933915515E-3</v>
      </c>
      <c r="D450" s="8">
        <f>IF(Tabela1[[#This Row],[Consumer Price Index (CPI)]]="",#N/A,((Tabela1[[#This Row],[Consumer Price Index (CPI)]]*1)/B438)-1)</f>
        <v>4.5546558704453455E-2</v>
      </c>
      <c r="E450" s="25">
        <v>103.7</v>
      </c>
      <c r="F450" s="8">
        <f>IF(Tabela1[[#This Row],[Core Consumer Price Index]]="",#N/A,((Tabela1[[#This Row],[Core Consumer Price Index]]*1)/E449)-1)</f>
        <v>4.8449612403100861E-3</v>
      </c>
      <c r="G450" s="8">
        <f>IF(Tabela1[[#This Row],[Core Consumer Price Index]]="",#N/A,((Tabela1[[#This Row],[Core Consumer Price Index]]*1)/E438)-1)</f>
        <v>5.1724137931034475E-2</v>
      </c>
      <c r="H450" s="8">
        <f t="shared" si="22"/>
        <v>4.6651364369041382E-2</v>
      </c>
      <c r="I450" s="8">
        <f t="shared" si="23"/>
        <v>5.2890458128469486E-2</v>
      </c>
      <c r="J450" s="25">
        <v>103.5</v>
      </c>
      <c r="K450" s="8">
        <f>IF(Tabela1[[#This Row],[Services CPI]]="",#N/A,((Tabela1[[#This Row],[Services CPI]]*1)/J449)-1)</f>
        <v>4.8543689320388328E-3</v>
      </c>
      <c r="L450" s="8">
        <f>IF(Tabela1[[#This Row],[Services CPI]]="",#N/A,((Tabela1[[#This Row],[Services CPI]]*1)/J438)-1)</f>
        <v>4.8632218844984809E-2</v>
      </c>
      <c r="M450" s="7">
        <v>103.5</v>
      </c>
      <c r="N450" s="8">
        <f>IF(Tabela1[[#This Row],[Core-Services CPI]]="",#N/A,((Tabela1[[#This Row],[Core-Services CPI]]*1)/M449)-1)</f>
        <v>4.8543689320388328E-3</v>
      </c>
      <c r="O450" s="8">
        <f>IF(Tabela1[[#This Row],[Core-Services CPI]]="",#N/A,((Tabela1[[#This Row],[Core-Services CPI]]*1)/M438)-1)</f>
        <v>5.1829268292682862E-2</v>
      </c>
      <c r="P450" s="7">
        <v>104.4</v>
      </c>
      <c r="Q450" s="8">
        <f>IF(Tabela1[[#This Row],[Durable Goods CPI]]="",#N/A,((Tabela1[[#This Row],[Durable Goods CPI]]*1)/P449)-1)</f>
        <v>8.6956521739129933E-3</v>
      </c>
      <c r="R450" s="8">
        <f>IF(Tabela1[[#This Row],[Durable Goods CPI]]="",#N/A,((Tabela1[[#This Row],[Durable Goods CPI]]*1)/P438)-1)</f>
        <v>6.2054933875890228E-2</v>
      </c>
      <c r="S450" s="7">
        <v>4.5245638689999996</v>
      </c>
      <c r="T450" s="7">
        <v>48.223999999999997</v>
      </c>
      <c r="U450" s="8">
        <f>IF(Tabela1[[#This Row],[Personal Consumption Expenditures (PCE)]]="",#N/A,((Tabela1[[#This Row],[Personal Consumption Expenditures (PCE)]]*1)/T449)-1)</f>
        <v>3.809246268811961E-3</v>
      </c>
      <c r="V450" s="8">
        <f>IF(Tabela1[[#This Row],[Personal Consumption Expenditures (PCE)]]="",#N/A,((Tabela1[[#This Row],[Personal Consumption Expenditures (PCE)]]*1)/T438)-1)</f>
        <v>4.2613452100404237E-2</v>
      </c>
      <c r="W450" s="7">
        <v>47.822000000000003</v>
      </c>
      <c r="X450" s="8">
        <f>IF(Tabela1[[#This Row],[Core PCE]]="",#N/A,((Tabela1[[#This Row],[Core PCE]]*1)/W449)-1)</f>
        <v>4.7060800873988118E-3</v>
      </c>
      <c r="Y450" s="8">
        <f>IF(Tabela1[[#This Row],[Core PCE]]="",#N/A,((Tabela1[[#This Row],[Core PCE]]*1)/W438)-1)</f>
        <v>4.5952625708099326E-2</v>
      </c>
      <c r="Z450" s="8">
        <f t="shared" si="21"/>
        <v>5.9220116706454995E-2</v>
      </c>
      <c r="AA450" s="8">
        <f t="shared" si="20"/>
        <v>4.240091694562409E-2</v>
      </c>
      <c r="AB450" s="7">
        <v>3.78</v>
      </c>
      <c r="AC450" s="7"/>
      <c r="AD450" s="8"/>
      <c r="AE450" s="71"/>
      <c r="AF450" s="7">
        <v>3.9</v>
      </c>
      <c r="AG450" s="5"/>
    </row>
    <row r="451" spans="1:33" ht="12.75">
      <c r="A451" s="6">
        <v>30803</v>
      </c>
      <c r="B451" s="7">
        <v>103.5</v>
      </c>
      <c r="C451" s="8">
        <f>IF(Tabela1[[#This Row],[Consumer Price Index (CPI)]]="",#N/A,((Tabela1[[#This Row],[Consumer Price Index (CPI)]]*1)/B450)-1)</f>
        <v>1.9361084220717029E-3</v>
      </c>
      <c r="D451" s="8">
        <f>IF(Tabela1[[#This Row],[Consumer Price Index (CPI)]]="",#N/A,((Tabela1[[#This Row],[Consumer Price Index (CPI)]]*1)/B439)-1)</f>
        <v>4.3346774193548265E-2</v>
      </c>
      <c r="E451" s="25">
        <v>104.1</v>
      </c>
      <c r="F451" s="8">
        <f>IF(Tabela1[[#This Row],[Core Consumer Price Index]]="",#N/A,((Tabela1[[#This Row],[Core Consumer Price Index]]*1)/E450)-1)</f>
        <v>3.8572806171648377E-3</v>
      </c>
      <c r="G451" s="8">
        <f>IF(Tabela1[[#This Row],[Core Consumer Price Index]]="",#N/A,((Tabela1[[#This Row],[Core Consumer Price Index]]*1)/E439)-1)</f>
        <v>5.2578361981799659E-2</v>
      </c>
      <c r="H451" s="8">
        <f t="shared" si="22"/>
        <v>5.037316976452999E-2</v>
      </c>
      <c r="I451" s="8">
        <f t="shared" si="23"/>
        <v>5.0704029263789252E-2</v>
      </c>
      <c r="J451" s="25">
        <v>103.9</v>
      </c>
      <c r="K451" s="8">
        <f>IF(Tabela1[[#This Row],[Services CPI]]="",#N/A,((Tabela1[[#This Row],[Services CPI]]*1)/J450)-1)</f>
        <v>3.8647342995170586E-3</v>
      </c>
      <c r="L451" s="8">
        <f>IF(Tabela1[[#This Row],[Services CPI]]="",#N/A,((Tabela1[[#This Row],[Services CPI]]*1)/J439)-1)</f>
        <v>5.0556117290192049E-2</v>
      </c>
      <c r="M451" s="7">
        <v>103.8</v>
      </c>
      <c r="N451" s="8">
        <f>IF(Tabela1[[#This Row],[Core-Services CPI]]="",#N/A,((Tabela1[[#This Row],[Core-Services CPI]]*1)/M450)-1)</f>
        <v>2.8985507246377384E-3</v>
      </c>
      <c r="O451" s="8">
        <f>IF(Tabela1[[#This Row],[Core-Services CPI]]="",#N/A,((Tabela1[[#This Row],[Core-Services CPI]]*1)/M439)-1)</f>
        <v>5.1671732522796221E-2</v>
      </c>
      <c r="P451" s="7">
        <v>105.2</v>
      </c>
      <c r="Q451" s="8">
        <f>IF(Tabela1[[#This Row],[Durable Goods CPI]]="",#N/A,((Tabela1[[#This Row],[Durable Goods CPI]]*1)/P450)-1)</f>
        <v>7.6628352490422103E-3</v>
      </c>
      <c r="R451" s="8">
        <f>IF(Tabela1[[#This Row],[Durable Goods CPI]]="",#N/A,((Tabela1[[#This Row],[Durable Goods CPI]]*1)/P439)-1)</f>
        <v>6.8020304568527923E-2</v>
      </c>
      <c r="S451" s="7">
        <v>4.65415841</v>
      </c>
      <c r="T451" s="7">
        <v>48.284999999999997</v>
      </c>
      <c r="U451" s="8">
        <f>IF(Tabela1[[#This Row],[Personal Consumption Expenditures (PCE)]]="",#N/A,((Tabela1[[#This Row],[Personal Consumption Expenditures (PCE)]]*1)/T450)-1)</f>
        <v>1.2649303251492938E-3</v>
      </c>
      <c r="V451" s="8">
        <f>IF(Tabela1[[#This Row],[Personal Consumption Expenditures (PCE)]]="",#N/A,((Tabela1[[#This Row],[Personal Consumption Expenditures (PCE)]]*1)/T439)-1)</f>
        <v>4.0983959986202079E-2</v>
      </c>
      <c r="W451" s="7">
        <v>47.933</v>
      </c>
      <c r="X451" s="8">
        <f>IF(Tabela1[[#This Row],[Core PCE]]="",#N/A,((Tabela1[[#This Row],[Core PCE]]*1)/W450)-1)</f>
        <v>2.3211074400901754E-3</v>
      </c>
      <c r="Y451" s="8">
        <f>IF(Tabela1[[#This Row],[Core PCE]]="",#N/A,((Tabela1[[#This Row],[Core PCE]]*1)/W439)-1)</f>
        <v>4.6869198680848267E-2</v>
      </c>
      <c r="Z451" s="8">
        <f t="shared" si="21"/>
        <v>4.3292857410980545E-2</v>
      </c>
      <c r="AA451" s="8">
        <f t="shared" si="20"/>
        <v>4.2387101412101114E-2</v>
      </c>
      <c r="AB451" s="7">
        <v>3.7</v>
      </c>
      <c r="AC451" s="7"/>
      <c r="AD451" s="8"/>
      <c r="AE451" s="71"/>
      <c r="AF451" s="7">
        <v>4.2</v>
      </c>
      <c r="AG451" s="5"/>
    </row>
    <row r="452" spans="1:33" ht="12.75">
      <c r="A452" s="6">
        <v>30834</v>
      </c>
      <c r="B452" s="7">
        <v>103.7</v>
      </c>
      <c r="C452" s="8">
        <f>IF(Tabela1[[#This Row],[Consumer Price Index (CPI)]]="",#N/A,((Tabela1[[#This Row],[Consumer Price Index (CPI)]]*1)/B451)-1)</f>
        <v>1.9323671497584183E-3</v>
      </c>
      <c r="D452" s="8">
        <f>IF(Tabela1[[#This Row],[Consumer Price Index (CPI)]]="",#N/A,((Tabela1[[#This Row],[Consumer Price Index (CPI)]]*1)/B440)-1)</f>
        <v>4.3259557344064392E-2</v>
      </c>
      <c r="E452" s="25">
        <v>104.5</v>
      </c>
      <c r="F452" s="8">
        <f>IF(Tabela1[[#This Row],[Core Consumer Price Index]]="",#N/A,((Tabela1[[#This Row],[Core Consumer Price Index]]*1)/E451)-1)</f>
        <v>3.842459173871271E-3</v>
      </c>
      <c r="G452" s="8">
        <f>IF(Tabela1[[#This Row],[Core Consumer Price Index]]="",#N/A,((Tabela1[[#This Row],[Core Consumer Price Index]]*1)/E440)-1)</f>
        <v>5.3427419354838745E-2</v>
      </c>
      <c r="H452" s="8">
        <f t="shared" si="22"/>
        <v>5.0178804125384779E-2</v>
      </c>
      <c r="I452" s="8">
        <f t="shared" si="23"/>
        <v>5.2477617562270762E-2</v>
      </c>
      <c r="J452" s="25">
        <v>104.2</v>
      </c>
      <c r="K452" s="8">
        <f>IF(Tabela1[[#This Row],[Services CPI]]="",#N/A,((Tabela1[[#This Row],[Services CPI]]*1)/J451)-1)</f>
        <v>2.887391722810273E-3</v>
      </c>
      <c r="L452" s="8">
        <f>IF(Tabela1[[#This Row],[Services CPI]]="",#N/A,((Tabela1[[#This Row],[Services CPI]]*1)/J440)-1)</f>
        <v>5.0403225806451513E-2</v>
      </c>
      <c r="M452" s="7">
        <v>104.3</v>
      </c>
      <c r="N452" s="8">
        <f>IF(Tabela1[[#This Row],[Core-Services CPI]]="",#N/A,((Tabela1[[#This Row],[Core-Services CPI]]*1)/M451)-1)</f>
        <v>4.81695568400764E-3</v>
      </c>
      <c r="O452" s="8">
        <f>IF(Tabela1[[#This Row],[Core-Services CPI]]="",#N/A,((Tabela1[[#This Row],[Core-Services CPI]]*1)/M440)-1)</f>
        <v>5.3535353535353547E-2</v>
      </c>
      <c r="P452" s="7">
        <v>105.5</v>
      </c>
      <c r="Q452" s="8">
        <f>IF(Tabela1[[#This Row],[Durable Goods CPI]]="",#N/A,((Tabela1[[#This Row],[Durable Goods CPI]]*1)/P451)-1)</f>
        <v>2.8517110266159662E-3</v>
      </c>
      <c r="R452" s="8">
        <f>IF(Tabela1[[#This Row],[Durable Goods CPI]]="",#N/A,((Tabela1[[#This Row],[Durable Goods CPI]]*1)/P440)-1)</f>
        <v>6.5656565656565746E-2</v>
      </c>
      <c r="S452" s="7">
        <v>4.6463190030000003</v>
      </c>
      <c r="T452" s="7">
        <v>48.371000000000002</v>
      </c>
      <c r="U452" s="8">
        <f>IF(Tabela1[[#This Row],[Personal Consumption Expenditures (PCE)]]="",#N/A,((Tabela1[[#This Row],[Personal Consumption Expenditures (PCE)]]*1)/T451)-1)</f>
        <v>1.7810914362639263E-3</v>
      </c>
      <c r="V452" s="8">
        <f>IF(Tabela1[[#This Row],[Personal Consumption Expenditures (PCE)]]="",#N/A,((Tabela1[[#This Row],[Personal Consumption Expenditures (PCE)]]*1)/T440)-1)</f>
        <v>3.8962991601692476E-2</v>
      </c>
      <c r="W452" s="7">
        <v>48.045999999999999</v>
      </c>
      <c r="X452" s="8">
        <f>IF(Tabela1[[#This Row],[Core PCE]]="",#N/A,((Tabela1[[#This Row],[Core PCE]]*1)/W451)-1)</f>
        <v>2.3574572841258412E-3</v>
      </c>
      <c r="Y452" s="8">
        <f>IF(Tabela1[[#This Row],[Core PCE]]="",#N/A,((Tabela1[[#This Row],[Core PCE]]*1)/W440)-1)</f>
        <v>4.4455555314014905E-2</v>
      </c>
      <c r="Z452" s="8">
        <f t="shared" si="21"/>
        <v>3.7538579246459314E-2</v>
      </c>
      <c r="AA452" s="8">
        <f t="shared" si="20"/>
        <v>4.5610432771317821E-2</v>
      </c>
      <c r="AB452" s="7">
        <v>3.7</v>
      </c>
      <c r="AC452" s="7"/>
      <c r="AD452" s="8"/>
      <c r="AE452" s="71"/>
      <c r="AF452" s="7">
        <v>4.2</v>
      </c>
      <c r="AG452" s="5"/>
    </row>
    <row r="453" spans="1:33" ht="12.75">
      <c r="A453" s="6">
        <v>30864</v>
      </c>
      <c r="B453" s="7">
        <v>104.1</v>
      </c>
      <c r="C453" s="8">
        <f>IF(Tabela1[[#This Row],[Consumer Price Index (CPI)]]="",#N/A,((Tabela1[[#This Row],[Consumer Price Index (CPI)]]*1)/B452)-1)</f>
        <v>3.8572806171648377E-3</v>
      </c>
      <c r="D453" s="8">
        <f>IF(Tabela1[[#This Row],[Consumer Price Index (CPI)]]="",#N/A,((Tabela1[[#This Row],[Consumer Price Index (CPI)]]*1)/B441)-1)</f>
        <v>4.3086172344689366E-2</v>
      </c>
      <c r="E453" s="25">
        <v>105</v>
      </c>
      <c r="F453" s="8">
        <f>IF(Tabela1[[#This Row],[Core Consumer Price Index]]="",#N/A,((Tabela1[[#This Row],[Core Consumer Price Index]]*1)/E452)-1)</f>
        <v>4.7846889952152249E-3</v>
      </c>
      <c r="G453" s="8">
        <f>IF(Tabela1[[#This Row],[Core Consumer Price Index]]="",#N/A,((Tabela1[[#This Row],[Core Consumer Price Index]]*1)/E441)-1)</f>
        <v>5.2104208416833719E-2</v>
      </c>
      <c r="H453" s="8">
        <f t="shared" si="22"/>
        <v>4.9937715145005335E-2</v>
      </c>
      <c r="I453" s="8">
        <f t="shared" si="23"/>
        <v>4.8294539757023358E-2</v>
      </c>
      <c r="J453" s="25">
        <v>104.9</v>
      </c>
      <c r="K453" s="8">
        <f>IF(Tabela1[[#This Row],[Services CPI]]="",#N/A,((Tabela1[[#This Row],[Services CPI]]*1)/J452)-1)</f>
        <v>6.7178502879079449E-3</v>
      </c>
      <c r="L453" s="8">
        <f>IF(Tabela1[[#This Row],[Services CPI]]="",#N/A,((Tabela1[[#This Row],[Services CPI]]*1)/J441)-1)</f>
        <v>5.3212851405622708E-2</v>
      </c>
      <c r="M453" s="7">
        <v>104.9</v>
      </c>
      <c r="N453" s="8">
        <f>IF(Tabela1[[#This Row],[Core-Services CPI]]="",#N/A,((Tabela1[[#This Row],[Core-Services CPI]]*1)/M452)-1)</f>
        <v>5.7526366251199335E-3</v>
      </c>
      <c r="O453" s="8">
        <f>IF(Tabela1[[#This Row],[Core-Services CPI]]="",#N/A,((Tabela1[[#This Row],[Core-Services CPI]]*1)/M441)-1)</f>
        <v>5.5331991951710346E-2</v>
      </c>
      <c r="P453" s="7">
        <v>105.7</v>
      </c>
      <c r="Q453" s="8">
        <f>IF(Tabela1[[#This Row],[Durable Goods CPI]]="",#N/A,((Tabela1[[#This Row],[Durable Goods CPI]]*1)/P452)-1)</f>
        <v>1.8957345971564177E-3</v>
      </c>
      <c r="R453" s="8">
        <f>IF(Tabela1[[#This Row],[Durable Goods CPI]]="",#N/A,((Tabela1[[#This Row],[Durable Goods CPI]]*1)/P441)-1)</f>
        <v>6.0180541624874628E-2</v>
      </c>
      <c r="S453" s="7">
        <v>4.708074066</v>
      </c>
      <c r="T453" s="7">
        <v>48.543999999999997</v>
      </c>
      <c r="U453" s="8">
        <f>IF(Tabela1[[#This Row],[Personal Consumption Expenditures (PCE)]]="",#N/A,((Tabela1[[#This Row],[Personal Consumption Expenditures (PCE)]]*1)/T452)-1)</f>
        <v>3.5765231233588768E-3</v>
      </c>
      <c r="V453" s="8">
        <f>IF(Tabela1[[#This Row],[Personal Consumption Expenditures (PCE)]]="",#N/A,((Tabela1[[#This Row],[Personal Consumption Expenditures (PCE)]]*1)/T441)-1)</f>
        <v>3.6821870995300987E-2</v>
      </c>
      <c r="W453" s="7">
        <v>48.253</v>
      </c>
      <c r="X453" s="8">
        <f>IF(Tabela1[[#This Row],[Core PCE]]="",#N/A,((Tabela1[[#This Row],[Core PCE]]*1)/W452)-1)</f>
        <v>4.3083711443201445E-3</v>
      </c>
      <c r="Y453" s="8">
        <f>IF(Tabela1[[#This Row],[Core PCE]]="",#N/A,((Tabela1[[#This Row],[Core PCE]]*1)/W441)-1)</f>
        <v>4.1933881799140593E-2</v>
      </c>
      <c r="Z453" s="8">
        <f t="shared" si="21"/>
        <v>3.5947743474144644E-2</v>
      </c>
      <c r="AA453" s="8">
        <f t="shared" si="20"/>
        <v>4.758393009029982E-2</v>
      </c>
      <c r="AB453" s="7">
        <v>3.79</v>
      </c>
      <c r="AC453" s="7"/>
      <c r="AD453" s="8"/>
      <c r="AE453" s="71"/>
      <c r="AF453" s="7">
        <v>3.4</v>
      </c>
      <c r="AG453" s="5"/>
    </row>
    <row r="454" spans="1:33" ht="12.75">
      <c r="A454" s="6">
        <v>30895</v>
      </c>
      <c r="B454" s="7">
        <v>104.4</v>
      </c>
      <c r="C454" s="8">
        <f>IF(Tabela1[[#This Row],[Consumer Price Index (CPI)]]="",#N/A,((Tabela1[[#This Row],[Consumer Price Index (CPI)]]*1)/B453)-1)</f>
        <v>2.8818443804035088E-3</v>
      </c>
      <c r="D454" s="8">
        <f>IF(Tabela1[[#This Row],[Consumer Price Index (CPI)]]="",#N/A,((Tabela1[[#This Row],[Consumer Price Index (CPI)]]*1)/B442)-1)</f>
        <v>4.2957042957043168E-2</v>
      </c>
      <c r="E454" s="25">
        <v>105.4</v>
      </c>
      <c r="F454" s="8">
        <f>IF(Tabela1[[#This Row],[Core Consumer Price Index]]="",#N/A,((Tabela1[[#This Row],[Core Consumer Price Index]]*1)/E453)-1)</f>
        <v>3.8095238095239292E-3</v>
      </c>
      <c r="G454" s="8">
        <f>IF(Tabela1[[#This Row],[Core Consumer Price Index]]="",#N/A,((Tabela1[[#This Row],[Core Consumer Price Index]]*1)/E442)-1)</f>
        <v>5.2947052947053042E-2</v>
      </c>
      <c r="H454" s="8">
        <f t="shared" si="22"/>
        <v>4.9746687914441701E-2</v>
      </c>
      <c r="I454" s="8">
        <f t="shared" si="23"/>
        <v>5.0059928839485845E-2</v>
      </c>
      <c r="J454" s="25">
        <v>105.4</v>
      </c>
      <c r="K454" s="8">
        <f>IF(Tabela1[[#This Row],[Services CPI]]="",#N/A,((Tabela1[[#This Row],[Services CPI]]*1)/J453)-1)</f>
        <v>4.7664442326025291E-3</v>
      </c>
      <c r="L454" s="8">
        <f>IF(Tabela1[[#This Row],[Services CPI]]="",#N/A,((Tabela1[[#This Row],[Services CPI]]*1)/J442)-1)</f>
        <v>5.6112224448897852E-2</v>
      </c>
      <c r="M454" s="7">
        <v>105.3</v>
      </c>
      <c r="N454" s="8">
        <f>IF(Tabela1[[#This Row],[Core-Services CPI]]="",#N/A,((Tabela1[[#This Row],[Core-Services CPI]]*1)/M453)-1)</f>
        <v>3.8131553860818457E-3</v>
      </c>
      <c r="O454" s="8">
        <f>IF(Tabela1[[#This Row],[Core-Services CPI]]="",#N/A,((Tabela1[[#This Row],[Core-Services CPI]]*1)/M442)-1)</f>
        <v>5.6168505516549505E-2</v>
      </c>
      <c r="P454" s="7">
        <v>106</v>
      </c>
      <c r="Q454" s="8">
        <f>IF(Tabela1[[#This Row],[Durable Goods CPI]]="",#N/A,((Tabela1[[#This Row],[Durable Goods CPI]]*1)/P453)-1)</f>
        <v>2.8382213812676582E-3</v>
      </c>
      <c r="R454" s="8">
        <f>IF(Tabela1[[#This Row],[Durable Goods CPI]]="",#N/A,((Tabela1[[#This Row],[Durable Goods CPI]]*1)/P442)-1)</f>
        <v>5.7884231536926123E-2</v>
      </c>
      <c r="S454" s="7">
        <v>4.7874854930000001</v>
      </c>
      <c r="T454" s="7">
        <v>48.692999999999998</v>
      </c>
      <c r="U454" s="8">
        <f>IF(Tabela1[[#This Row],[Personal Consumption Expenditures (PCE)]]="",#N/A,((Tabela1[[#This Row],[Personal Consumption Expenditures (PCE)]]*1)/T453)-1)</f>
        <v>3.0693803559658228E-3</v>
      </c>
      <c r="V454" s="8">
        <f>IF(Tabela1[[#This Row],[Personal Consumption Expenditures (PCE)]]="",#N/A,((Tabela1[[#This Row],[Personal Consumption Expenditures (PCE)]]*1)/T442)-1)</f>
        <v>3.5580603998298432E-2</v>
      </c>
      <c r="W454" s="7">
        <v>48.411999999999999</v>
      </c>
      <c r="X454" s="8">
        <f>IF(Tabela1[[#This Row],[Core PCE]]="",#N/A,((Tabela1[[#This Row],[Core PCE]]*1)/W453)-1)</f>
        <v>3.2951319088967423E-3</v>
      </c>
      <c r="Y454" s="8">
        <f>IF(Tabela1[[#This Row],[Core PCE]]="",#N/A,((Tabela1[[#This Row],[Core PCE]]*1)/W442)-1)</f>
        <v>4.0000000000000036E-2</v>
      </c>
      <c r="Z454" s="8">
        <f t="shared" si="21"/>
        <v>3.9843841349370912E-2</v>
      </c>
      <c r="AA454" s="8">
        <f t="shared" si="20"/>
        <v>4.1568349380175729E-2</v>
      </c>
      <c r="AB454" s="7">
        <v>3.88</v>
      </c>
      <c r="AC454" s="7"/>
      <c r="AD454" s="8"/>
      <c r="AE454" s="71"/>
      <c r="AF454" s="7">
        <v>3</v>
      </c>
      <c r="AG454" s="5"/>
    </row>
    <row r="455" spans="1:33" ht="12.75">
      <c r="A455" s="6">
        <v>30926</v>
      </c>
      <c r="B455" s="7">
        <v>104.7</v>
      </c>
      <c r="C455" s="8">
        <f>IF(Tabela1[[#This Row],[Consumer Price Index (CPI)]]="",#N/A,((Tabela1[[#This Row],[Consumer Price Index (CPI)]]*1)/B454)-1)</f>
        <v>2.8735632183907178E-3</v>
      </c>
      <c r="D455" s="8">
        <f>IF(Tabela1[[#This Row],[Consumer Price Index (CPI)]]="",#N/A,((Tabela1[[#This Row],[Consumer Price Index (CPI)]]*1)/B443)-1)</f>
        <v>4.2828685258964105E-2</v>
      </c>
      <c r="E455" s="25">
        <v>105.8</v>
      </c>
      <c r="F455" s="8">
        <f>IF(Tabela1[[#This Row],[Core Consumer Price Index]]="",#N/A,((Tabela1[[#This Row],[Core Consumer Price Index]]*1)/E454)-1)</f>
        <v>3.7950664136621182E-3</v>
      </c>
      <c r="G455" s="8">
        <f>IF(Tabela1[[#This Row],[Core Consumer Price Index]]="",#N/A,((Tabela1[[#This Row],[Core Consumer Price Index]]*1)/E443)-1)</f>
        <v>5.2736318407960114E-2</v>
      </c>
      <c r="H455" s="8">
        <f t="shared" si="22"/>
        <v>4.9557116873605089E-2</v>
      </c>
      <c r="I455" s="8">
        <f t="shared" si="23"/>
        <v>4.9867960499494934E-2</v>
      </c>
      <c r="J455" s="25">
        <v>105.9</v>
      </c>
      <c r="K455" s="8">
        <f>IF(Tabela1[[#This Row],[Services CPI]]="",#N/A,((Tabela1[[#This Row],[Services CPI]]*1)/J454)-1)</f>
        <v>4.7438330170777032E-3</v>
      </c>
      <c r="L455" s="8">
        <f>IF(Tabela1[[#This Row],[Services CPI]]="",#N/A,((Tabela1[[#This Row],[Services CPI]]*1)/J443)-1)</f>
        <v>5.6886227544910239E-2</v>
      </c>
      <c r="M455" s="7">
        <v>105.8</v>
      </c>
      <c r="N455" s="8">
        <f>IF(Tabela1[[#This Row],[Core-Services CPI]]="",#N/A,((Tabela1[[#This Row],[Core-Services CPI]]*1)/M454)-1)</f>
        <v>4.7483380816715215E-3</v>
      </c>
      <c r="O455" s="8">
        <f>IF(Tabela1[[#This Row],[Core-Services CPI]]="",#N/A,((Tabela1[[#This Row],[Core-Services CPI]]*1)/M443)-1)</f>
        <v>5.6943056943056902E-2</v>
      </c>
      <c r="P455" s="7">
        <v>106.4</v>
      </c>
      <c r="Q455" s="8">
        <f>IF(Tabela1[[#This Row],[Durable Goods CPI]]="",#N/A,((Tabela1[[#This Row],[Durable Goods CPI]]*1)/P454)-1)</f>
        <v>3.7735849056603765E-3</v>
      </c>
      <c r="R455" s="8">
        <f>IF(Tabela1[[#This Row],[Durable Goods CPI]]="",#N/A,((Tabela1[[#This Row],[Durable Goods CPI]]*1)/P443)-1)</f>
        <v>5.2423343224530239E-2</v>
      </c>
      <c r="S455" s="7">
        <v>4.8970927209999999</v>
      </c>
      <c r="T455" s="7">
        <v>48.759</v>
      </c>
      <c r="U455" s="8">
        <f>IF(Tabela1[[#This Row],[Personal Consumption Expenditures (PCE)]]="",#N/A,((Tabela1[[#This Row],[Personal Consumption Expenditures (PCE)]]*1)/T454)-1)</f>
        <v>1.3554309654366659E-3</v>
      </c>
      <c r="V455" s="8">
        <f>IF(Tabela1[[#This Row],[Personal Consumption Expenditures (PCE)]]="",#N/A,((Tabela1[[#This Row],[Personal Consumption Expenditures (PCE)]]*1)/T443)-1)</f>
        <v>3.3358058705097005E-2</v>
      </c>
      <c r="W455" s="7">
        <v>48.485999999999997</v>
      </c>
      <c r="X455" s="8">
        <f>IF(Tabela1[[#This Row],[Core PCE]]="",#N/A,((Tabela1[[#This Row],[Core PCE]]*1)/W454)-1)</f>
        <v>1.5285466413286208E-3</v>
      </c>
      <c r="Y455" s="8">
        <f>IF(Tabela1[[#This Row],[Core PCE]]="",#N/A,((Tabela1[[#This Row],[Core PCE]]*1)/W443)-1)</f>
        <v>3.739997432496045E-2</v>
      </c>
      <c r="Z455" s="8">
        <f t="shared" si="21"/>
        <v>3.6528198778182031E-2</v>
      </c>
      <c r="AA455" s="8">
        <f t="shared" si="20"/>
        <v>3.7033389012320672E-2</v>
      </c>
      <c r="AB455" s="7">
        <v>3.86</v>
      </c>
      <c r="AC455" s="7"/>
      <c r="AD455" s="8"/>
      <c r="AE455" s="71"/>
      <c r="AF455" s="7">
        <v>3</v>
      </c>
      <c r="AG455" s="5"/>
    </row>
    <row r="456" spans="1:33" ht="12.75">
      <c r="A456" s="6">
        <v>30956</v>
      </c>
      <c r="B456" s="7">
        <v>105.1</v>
      </c>
      <c r="C456" s="8">
        <f>IF(Tabela1[[#This Row],[Consumer Price Index (CPI)]]="",#N/A,((Tabela1[[#This Row],[Consumer Price Index (CPI)]]*1)/B455)-1)</f>
        <v>3.8204393505252288E-3</v>
      </c>
      <c r="D456" s="8">
        <f>IF(Tabela1[[#This Row],[Consumer Price Index (CPI)]]="",#N/A,((Tabela1[[#This Row],[Consumer Price Index (CPI)]]*1)/B444)-1)</f>
        <v>4.2658730158730229E-2</v>
      </c>
      <c r="E456" s="25">
        <v>106.2</v>
      </c>
      <c r="F456" s="8">
        <f>IF(Tabela1[[#This Row],[Core Consumer Price Index]]="",#N/A,((Tabela1[[#This Row],[Core Consumer Price Index]]*1)/E455)-1)</f>
        <v>3.780718336483968E-3</v>
      </c>
      <c r="G456" s="8">
        <f>IF(Tabela1[[#This Row],[Core Consumer Price Index]]="",#N/A,((Tabela1[[#This Row],[Core Consumer Price Index]]*1)/E444)-1)</f>
        <v>5.1485148514851531E-2</v>
      </c>
      <c r="H456" s="8">
        <f t="shared" si="22"/>
        <v>4.5541234238680062E-2</v>
      </c>
      <c r="I456" s="8">
        <f t="shared" si="23"/>
        <v>4.7739474691842698E-2</v>
      </c>
      <c r="J456" s="25">
        <v>106.3</v>
      </c>
      <c r="K456" s="8">
        <f>IF(Tabela1[[#This Row],[Services CPI]]="",#N/A,((Tabela1[[#This Row],[Services CPI]]*1)/J455)-1)</f>
        <v>3.7771482530688516E-3</v>
      </c>
      <c r="L456" s="8">
        <f>IF(Tabela1[[#This Row],[Services CPI]]="",#N/A,((Tabela1[[#This Row],[Services CPI]]*1)/J444)-1)</f>
        <v>5.5610724925521327E-2</v>
      </c>
      <c r="M456" s="7">
        <v>106.3</v>
      </c>
      <c r="N456" s="8">
        <f>IF(Tabela1[[#This Row],[Core-Services CPI]]="",#N/A,((Tabela1[[#This Row],[Core-Services CPI]]*1)/M455)-1)</f>
        <v>4.725897920604849E-3</v>
      </c>
      <c r="O456" s="8">
        <f>IF(Tabela1[[#This Row],[Core-Services CPI]]="",#N/A,((Tabela1[[#This Row],[Core-Services CPI]]*1)/M444)-1)</f>
        <v>5.6660039761431413E-2</v>
      </c>
      <c r="P456" s="7">
        <v>106.3</v>
      </c>
      <c r="Q456" s="8">
        <f>IF(Tabela1[[#This Row],[Durable Goods CPI]]="",#N/A,((Tabela1[[#This Row],[Durable Goods CPI]]*1)/P455)-1)</f>
        <v>-9.3984962406024053E-4</v>
      </c>
      <c r="R456" s="8">
        <f>IF(Tabela1[[#This Row],[Durable Goods CPI]]="",#N/A,((Tabela1[[#This Row],[Durable Goods CPI]]*1)/P444)-1)</f>
        <v>4.5231071779744392E-2</v>
      </c>
      <c r="S456" s="7">
        <v>5.0329396070000003</v>
      </c>
      <c r="T456" s="7">
        <v>48.874000000000002</v>
      </c>
      <c r="U456" s="8">
        <f>IF(Tabela1[[#This Row],[Personal Consumption Expenditures (PCE)]]="",#N/A,((Tabela1[[#This Row],[Personal Consumption Expenditures (PCE)]]*1)/T455)-1)</f>
        <v>2.3585389364015885E-3</v>
      </c>
      <c r="V456" s="8">
        <f>IF(Tabela1[[#This Row],[Personal Consumption Expenditures (PCE)]]="",#N/A,((Tabela1[[#This Row],[Personal Consumption Expenditures (PCE)]]*1)/T444)-1)</f>
        <v>3.4042103036073135E-2</v>
      </c>
      <c r="W456" s="7">
        <v>48.594999999999999</v>
      </c>
      <c r="X456" s="8">
        <f>IF(Tabela1[[#This Row],[Core PCE]]="",#N/A,((Tabela1[[#This Row],[Core PCE]]*1)/W455)-1)</f>
        <v>2.248071608299318E-3</v>
      </c>
      <c r="Y456" s="8">
        <f>IF(Tabela1[[#This Row],[Core PCE]]="",#N/A,((Tabela1[[#This Row],[Core PCE]]*1)/W444)-1)</f>
        <v>3.7888981439952119E-2</v>
      </c>
      <c r="Z456" s="8">
        <f t="shared" si="21"/>
        <v>2.8287000634098725E-2</v>
      </c>
      <c r="AA456" s="8">
        <f t="shared" si="20"/>
        <v>3.2117372054121684E-2</v>
      </c>
      <c r="AB456" s="7">
        <v>3.94</v>
      </c>
      <c r="AC456" s="7"/>
      <c r="AD456" s="8"/>
      <c r="AE456" s="71"/>
      <c r="AF456" s="7">
        <v>3.5</v>
      </c>
      <c r="AG456" s="5"/>
    </row>
    <row r="457" spans="1:33" ht="12.75">
      <c r="A457" s="6">
        <v>30987</v>
      </c>
      <c r="B457" s="7">
        <v>105.3</v>
      </c>
      <c r="C457" s="8">
        <f>IF(Tabela1[[#This Row],[Consumer Price Index (CPI)]]="",#N/A,((Tabela1[[#This Row],[Consumer Price Index (CPI)]]*1)/B456)-1)</f>
        <v>1.9029495718363432E-3</v>
      </c>
      <c r="D457" s="8">
        <f>IF(Tabela1[[#This Row],[Consumer Price Index (CPI)]]="",#N/A,((Tabela1[[#This Row],[Consumer Price Index (CPI)]]*1)/B445)-1)</f>
        <v>4.1543026706231556E-2</v>
      </c>
      <c r="E457" s="25">
        <v>106.4</v>
      </c>
      <c r="F457" s="8">
        <f>IF(Tabela1[[#This Row],[Core Consumer Price Index]]="",#N/A,((Tabela1[[#This Row],[Core Consumer Price Index]]*1)/E456)-1)</f>
        <v>1.8832391713747842E-3</v>
      </c>
      <c r="G457" s="8">
        <f>IF(Tabela1[[#This Row],[Core Consumer Price Index]]="",#N/A,((Tabela1[[#This Row],[Core Consumer Price Index]]*1)/E445)-1)</f>
        <v>4.8275862068965614E-2</v>
      </c>
      <c r="H457" s="8">
        <f t="shared" si="22"/>
        <v>3.7836095686083482E-2</v>
      </c>
      <c r="I457" s="8">
        <f t="shared" si="23"/>
        <v>4.3791391800262591E-2</v>
      </c>
      <c r="J457" s="25">
        <v>106.7</v>
      </c>
      <c r="K457" s="8">
        <f>IF(Tabela1[[#This Row],[Services CPI]]="",#N/A,((Tabela1[[#This Row],[Services CPI]]*1)/J456)-1)</f>
        <v>3.7629350893697566E-3</v>
      </c>
      <c r="L457" s="8">
        <f>IF(Tabela1[[#This Row],[Services CPI]]="",#N/A,((Tabela1[[#This Row],[Services CPI]]*1)/J445)-1)</f>
        <v>5.3307008884501572E-2</v>
      </c>
      <c r="M457" s="7">
        <v>106.7</v>
      </c>
      <c r="N457" s="8">
        <f>IF(Tabela1[[#This Row],[Core-Services CPI]]="",#N/A,((Tabela1[[#This Row],[Core-Services CPI]]*1)/M456)-1)</f>
        <v>3.7629350893697566E-3</v>
      </c>
      <c r="O457" s="8">
        <f>IF(Tabela1[[#This Row],[Core-Services CPI]]="",#N/A,((Tabela1[[#This Row],[Core-Services CPI]]*1)/M445)-1)</f>
        <v>5.5390702274975334E-2</v>
      </c>
      <c r="P457" s="7">
        <v>106.2</v>
      </c>
      <c r="Q457" s="8">
        <f>IF(Tabela1[[#This Row],[Durable Goods CPI]]="",#N/A,((Tabela1[[#This Row],[Durable Goods CPI]]*1)/P456)-1)</f>
        <v>-9.4073377234238365E-4</v>
      </c>
      <c r="R457" s="8">
        <f>IF(Tabela1[[#This Row],[Durable Goods CPI]]="",#N/A,((Tabela1[[#This Row],[Durable Goods CPI]]*1)/P445)-1)</f>
        <v>3.6097560975609788E-2</v>
      </c>
      <c r="S457" s="7">
        <v>5.1406121410000001</v>
      </c>
      <c r="T457" s="7">
        <v>48.942999999999998</v>
      </c>
      <c r="U457" s="8">
        <f>IF(Tabela1[[#This Row],[Personal Consumption Expenditures (PCE)]]="",#N/A,((Tabela1[[#This Row],[Personal Consumption Expenditures (PCE)]]*1)/T456)-1)</f>
        <v>1.4117935916846402E-3</v>
      </c>
      <c r="V457" s="8">
        <f>IF(Tabela1[[#This Row],[Personal Consumption Expenditures (PCE)]]="",#N/A,((Tabela1[[#This Row],[Personal Consumption Expenditures (PCE)]]*1)/T445)-1)</f>
        <v>3.4036170032958557E-2</v>
      </c>
      <c r="W457" s="7">
        <v>48.698</v>
      </c>
      <c r="X457" s="8">
        <f>IF(Tabela1[[#This Row],[Core PCE]]="",#N/A,((Tabela1[[#This Row],[Core PCE]]*1)/W456)-1)</f>
        <v>2.1195596254759419E-3</v>
      </c>
      <c r="Y457" s="8">
        <f>IF(Tabela1[[#This Row],[Core PCE]]="",#N/A,((Tabela1[[#This Row],[Core PCE]]*1)/W445)-1)</f>
        <v>3.7673130193905724E-2</v>
      </c>
      <c r="Z457" s="8">
        <f t="shared" si="21"/>
        <v>2.3584711500415523E-2</v>
      </c>
      <c r="AA457" s="8">
        <f t="shared" si="20"/>
        <v>3.1714276424893217E-2</v>
      </c>
      <c r="AB457" s="7">
        <v>3.77</v>
      </c>
      <c r="AC457" s="7"/>
      <c r="AD457" s="8"/>
      <c r="AE457" s="71"/>
      <c r="AF457" s="7">
        <v>3.4</v>
      </c>
      <c r="AG457" s="5"/>
    </row>
    <row r="458" spans="1:33" ht="12.75">
      <c r="A458" s="6">
        <v>31017</v>
      </c>
      <c r="B458" s="7">
        <v>105.5</v>
      </c>
      <c r="C458" s="8">
        <f>IF(Tabela1[[#This Row],[Consumer Price Index (CPI)]]="",#N/A,((Tabela1[[#This Row],[Consumer Price Index (CPI)]]*1)/B457)-1)</f>
        <v>1.8993352326686086E-3</v>
      </c>
      <c r="D458" s="8">
        <f>IF(Tabela1[[#This Row],[Consumer Price Index (CPI)]]="",#N/A,((Tabela1[[#This Row],[Consumer Price Index (CPI)]]*1)/B446)-1)</f>
        <v>4.0433925049309538E-2</v>
      </c>
      <c r="E458" s="25">
        <v>106.8</v>
      </c>
      <c r="F458" s="8">
        <f>IF(Tabela1[[#This Row],[Core Consumer Price Index]]="",#N/A,((Tabela1[[#This Row],[Core Consumer Price Index]]*1)/E457)-1)</f>
        <v>3.759398496240518E-3</v>
      </c>
      <c r="G458" s="8">
        <f>IF(Tabela1[[#This Row],[Core Consumer Price Index]]="",#N/A,((Tabela1[[#This Row],[Core Consumer Price Index]]*1)/E446)-1)</f>
        <v>4.9115913555992208E-2</v>
      </c>
      <c r="H458" s="8">
        <f t="shared" si="22"/>
        <v>3.7693424016397081E-2</v>
      </c>
      <c r="I458" s="8">
        <f t="shared" si="23"/>
        <v>4.3625270445001085E-2</v>
      </c>
      <c r="J458" s="25">
        <v>107.1</v>
      </c>
      <c r="K458" s="8">
        <f>IF(Tabela1[[#This Row],[Services CPI]]="",#N/A,((Tabela1[[#This Row],[Services CPI]]*1)/J457)-1)</f>
        <v>3.7488284910964786E-3</v>
      </c>
      <c r="L458" s="8">
        <f>IF(Tabela1[[#This Row],[Services CPI]]="",#N/A,((Tabela1[[#This Row],[Services CPI]]*1)/J446)-1)</f>
        <v>5.4133858267716439E-2</v>
      </c>
      <c r="M458" s="7">
        <v>107.1</v>
      </c>
      <c r="N458" s="8">
        <f>IF(Tabela1[[#This Row],[Core-Services CPI]]="",#N/A,((Tabela1[[#This Row],[Core-Services CPI]]*1)/M457)-1)</f>
        <v>3.7488284910964786E-3</v>
      </c>
      <c r="O458" s="8">
        <f>IF(Tabela1[[#This Row],[Core-Services CPI]]="",#N/A,((Tabela1[[#This Row],[Core-Services CPI]]*1)/M446)-1)</f>
        <v>5.6213017751479244E-2</v>
      </c>
      <c r="P458" s="7">
        <v>106.1</v>
      </c>
      <c r="Q458" s="8">
        <f>IF(Tabela1[[#This Row],[Durable Goods CPI]]="",#N/A,((Tabela1[[#This Row],[Durable Goods CPI]]*1)/P457)-1)</f>
        <v>-9.4161958568750315E-4</v>
      </c>
      <c r="R458" s="8">
        <f>IF(Tabela1[[#This Row],[Durable Goods CPI]]="",#N/A,((Tabela1[[#This Row],[Durable Goods CPI]]*1)/P446)-1)</f>
        <v>3.0097087378640808E-2</v>
      </c>
      <c r="S458" s="7">
        <v>5.1038577089999997</v>
      </c>
      <c r="T458" s="7">
        <v>49.081000000000003</v>
      </c>
      <c r="U458" s="8">
        <f>IF(Tabela1[[#This Row],[Personal Consumption Expenditures (PCE)]]="",#N/A,((Tabela1[[#This Row],[Personal Consumption Expenditures (PCE)]]*1)/T457)-1)</f>
        <v>2.8196064810086519E-3</v>
      </c>
      <c r="V458" s="8">
        <f>IF(Tabela1[[#This Row],[Personal Consumption Expenditures (PCE)]]="",#N/A,((Tabela1[[#This Row],[Personal Consumption Expenditures (PCE)]]*1)/T446)-1)</f>
        <v>3.6382448583132776E-2</v>
      </c>
      <c r="W458" s="7">
        <v>48.890999999999998</v>
      </c>
      <c r="X458" s="8">
        <f>IF(Tabela1[[#This Row],[Core PCE]]="",#N/A,((Tabela1[[#This Row],[Core PCE]]*1)/W457)-1)</f>
        <v>3.9632017742001757E-3</v>
      </c>
      <c r="Y458" s="8">
        <f>IF(Tabela1[[#This Row],[Core PCE]]="",#N/A,((Tabela1[[#This Row],[Core PCE]]*1)/W446)-1)</f>
        <v>4.1009262216544107E-2</v>
      </c>
      <c r="Z458" s="8">
        <f t="shared" si="21"/>
        <v>3.3323332031901742E-2</v>
      </c>
      <c r="AA458" s="8">
        <f t="shared" si="20"/>
        <v>3.4925765405041886E-2</v>
      </c>
      <c r="AB458" s="7">
        <v>3.88</v>
      </c>
      <c r="AC458" s="7"/>
      <c r="AD458" s="8"/>
      <c r="AE458" s="71"/>
      <c r="AF458" s="7">
        <v>3.3</v>
      </c>
      <c r="AG458" s="5"/>
    </row>
    <row r="459" spans="1:33" ht="12.75">
      <c r="A459" s="6">
        <v>31048</v>
      </c>
      <c r="B459" s="7">
        <v>105.7</v>
      </c>
      <c r="C459" s="8">
        <f>IF(Tabela1[[#This Row],[Consumer Price Index (CPI)]]="",#N/A,((Tabela1[[#This Row],[Consumer Price Index (CPI)]]*1)/B458)-1)</f>
        <v>1.8957345971564177E-3</v>
      </c>
      <c r="D459" s="8">
        <f>IF(Tabela1[[#This Row],[Consumer Price Index (CPI)]]="",#N/A,((Tabela1[[#This Row],[Consumer Price Index (CPI)]]*1)/B447)-1)</f>
        <v>3.52595494613126E-2</v>
      </c>
      <c r="E459" s="25">
        <v>107.1</v>
      </c>
      <c r="F459" s="8">
        <f>IF(Tabela1[[#This Row],[Core Consumer Price Index]]="",#N/A,((Tabela1[[#This Row],[Core Consumer Price Index]]*1)/E458)-1)</f>
        <v>2.8089887640450062E-3</v>
      </c>
      <c r="G459" s="8">
        <f>IF(Tabela1[[#This Row],[Core Consumer Price Index]]="",#N/A,((Tabela1[[#This Row],[Core Consumer Price Index]]*1)/E447)-1)</f>
        <v>4.4878048780487845E-2</v>
      </c>
      <c r="H459" s="8">
        <f t="shared" si="22"/>
        <v>3.3806505726641234E-2</v>
      </c>
      <c r="I459" s="8">
        <f t="shared" si="23"/>
        <v>3.9673869982660648E-2</v>
      </c>
      <c r="J459" s="25">
        <v>107.4</v>
      </c>
      <c r="K459" s="8">
        <f>IF(Tabela1[[#This Row],[Services CPI]]="",#N/A,((Tabela1[[#This Row],[Services CPI]]*1)/J458)-1)</f>
        <v>2.8011204481794838E-3</v>
      </c>
      <c r="L459" s="8">
        <f>IF(Tabela1[[#This Row],[Services CPI]]="",#N/A,((Tabela1[[#This Row],[Services CPI]]*1)/J447)-1)</f>
        <v>5.1909892262487878E-2</v>
      </c>
      <c r="M459" s="7">
        <v>107.5</v>
      </c>
      <c r="N459" s="8">
        <f>IF(Tabela1[[#This Row],[Core-Services CPI]]="",#N/A,((Tabela1[[#This Row],[Core-Services CPI]]*1)/M458)-1)</f>
        <v>3.7348272642390157E-3</v>
      </c>
      <c r="O459" s="8">
        <f>IF(Tabela1[[#This Row],[Core-Services CPI]]="",#N/A,((Tabela1[[#This Row],[Core-Services CPI]]*1)/M447)-1)</f>
        <v>5.288932419196879E-2</v>
      </c>
      <c r="P459" s="7">
        <v>106.1</v>
      </c>
      <c r="Q459" s="8">
        <f>IF(Tabela1[[#This Row],[Durable Goods CPI]]="",#N/A,((Tabela1[[#This Row],[Durable Goods CPI]]*1)/P458)-1)</f>
        <v>0</v>
      </c>
      <c r="R459" s="8">
        <f>IF(Tabela1[[#This Row],[Durable Goods CPI]]="",#N/A,((Tabela1[[#This Row],[Durable Goods CPI]]*1)/P447)-1)</f>
        <v>3.0097087378640808E-2</v>
      </c>
      <c r="S459" s="7">
        <v>4.9689868940000004</v>
      </c>
      <c r="T459" s="7">
        <v>49.326000000000001</v>
      </c>
      <c r="U459" s="8">
        <f>IF(Tabela1[[#This Row],[Personal Consumption Expenditures (PCE)]]="",#N/A,((Tabela1[[#This Row],[Personal Consumption Expenditures (PCE)]]*1)/T458)-1)</f>
        <v>4.9917483343859814E-3</v>
      </c>
      <c r="V459" s="8">
        <f>IF(Tabela1[[#This Row],[Personal Consumption Expenditures (PCE)]]="",#N/A,((Tabela1[[#This Row],[Personal Consumption Expenditures (PCE)]]*1)/T447)-1)</f>
        <v>3.7044823816331673E-2</v>
      </c>
      <c r="W459" s="7">
        <v>49.164999999999999</v>
      </c>
      <c r="X459" s="8">
        <f>IF(Tabela1[[#This Row],[Core PCE]]="",#N/A,((Tabela1[[#This Row],[Core PCE]]*1)/W458)-1)</f>
        <v>5.6043034505328659E-3</v>
      </c>
      <c r="Y459" s="8">
        <f>IF(Tabela1[[#This Row],[Core PCE]]="",#N/A,((Tabela1[[#This Row],[Core PCE]]*1)/W447)-1)</f>
        <v>4.3377687230746309E-2</v>
      </c>
      <c r="Z459" s="8">
        <f t="shared" si="21"/>
        <v>4.6748259400835934E-2</v>
      </c>
      <c r="AA459" s="8">
        <f t="shared" si="20"/>
        <v>3.7517630017467329E-2</v>
      </c>
      <c r="AB459" s="7">
        <v>3.73</v>
      </c>
      <c r="AC459" s="7"/>
      <c r="AD459" s="8"/>
      <c r="AE459" s="71"/>
      <c r="AF459" s="7">
        <v>2.9</v>
      </c>
      <c r="AG459" s="5"/>
    </row>
    <row r="460" spans="1:33" ht="12.75">
      <c r="A460" s="6">
        <v>31079</v>
      </c>
      <c r="B460" s="7">
        <v>106.3</v>
      </c>
      <c r="C460" s="8">
        <f>IF(Tabela1[[#This Row],[Consumer Price Index (CPI)]]="",#N/A,((Tabela1[[#This Row],[Consumer Price Index (CPI)]]*1)/B459)-1)</f>
        <v>5.6764427625353164E-3</v>
      </c>
      <c r="D460" s="8">
        <f>IF(Tabela1[[#This Row],[Consumer Price Index (CPI)]]="",#N/A,((Tabela1[[#This Row],[Consumer Price Index (CPI)]]*1)/B448)-1)</f>
        <v>3.6062378167641462E-2</v>
      </c>
      <c r="E460" s="25">
        <v>107.7</v>
      </c>
      <c r="F460" s="8">
        <f>IF(Tabela1[[#This Row],[Core Consumer Price Index]]="",#N/A,((Tabela1[[#This Row],[Core Consumer Price Index]]*1)/E459)-1)</f>
        <v>5.6022408963585235E-3</v>
      </c>
      <c r="G460" s="8">
        <f>IF(Tabela1[[#This Row],[Core Consumer Price Index]]="",#N/A,((Tabela1[[#This Row],[Core Consumer Price Index]]*1)/E448)-1)</f>
        <v>4.76653696498055E-2</v>
      </c>
      <c r="H460" s="8">
        <f t="shared" si="22"/>
        <v>4.8682512626576191E-2</v>
      </c>
      <c r="I460" s="8">
        <f t="shared" si="23"/>
        <v>4.3259304156329836E-2</v>
      </c>
      <c r="J460" s="25">
        <v>107.9</v>
      </c>
      <c r="K460" s="8">
        <f>IF(Tabela1[[#This Row],[Services CPI]]="",#N/A,((Tabela1[[#This Row],[Services CPI]]*1)/J459)-1)</f>
        <v>4.6554934823090921E-3</v>
      </c>
      <c r="L460" s="8">
        <f>IF(Tabela1[[#This Row],[Services CPI]]="",#N/A,((Tabela1[[#This Row],[Services CPI]]*1)/J448)-1)</f>
        <v>5.1656920077972845E-2</v>
      </c>
      <c r="M460" s="7">
        <v>108</v>
      </c>
      <c r="N460" s="8">
        <f>IF(Tabela1[[#This Row],[Core-Services CPI]]="",#N/A,((Tabela1[[#This Row],[Core-Services CPI]]*1)/M459)-1)</f>
        <v>4.6511627906977715E-3</v>
      </c>
      <c r="O460" s="8">
        <f>IF(Tabela1[[#This Row],[Core-Services CPI]]="",#N/A,((Tabela1[[#This Row],[Core-Services CPI]]*1)/M448)-1)</f>
        <v>5.2631578947368585E-2</v>
      </c>
      <c r="P460" s="7">
        <v>106.8</v>
      </c>
      <c r="Q460" s="8">
        <f>IF(Tabela1[[#This Row],[Durable Goods CPI]]="",#N/A,((Tabela1[[#This Row],[Durable Goods CPI]]*1)/P459)-1)</f>
        <v>6.5975494816210567E-3</v>
      </c>
      <c r="R460" s="8">
        <f>IF(Tabela1[[#This Row],[Durable Goods CPI]]="",#N/A,((Tabela1[[#This Row],[Durable Goods CPI]]*1)/P448)-1)</f>
        <v>3.790087463556846E-2</v>
      </c>
      <c r="S460" s="7">
        <v>5.052939222</v>
      </c>
      <c r="T460" s="7">
        <v>49.555</v>
      </c>
      <c r="U460" s="8">
        <f>IF(Tabela1[[#This Row],[Personal Consumption Expenditures (PCE)]]="",#N/A,((Tabela1[[#This Row],[Personal Consumption Expenditures (PCE)]]*1)/T459)-1)</f>
        <v>4.6425820054332156E-3</v>
      </c>
      <c r="V460" s="8">
        <f>IF(Tabela1[[#This Row],[Personal Consumption Expenditures (PCE)]]="",#N/A,((Tabela1[[#This Row],[Personal Consumption Expenditures (PCE)]]*1)/T448)-1)</f>
        <v>3.4896834015537559E-2</v>
      </c>
      <c r="W460" s="7">
        <v>49.42</v>
      </c>
      <c r="X460" s="8">
        <f>IF(Tabela1[[#This Row],[Core PCE]]="",#N/A,((Tabela1[[#This Row],[Core PCE]]*1)/W459)-1)</f>
        <v>5.186616495474583E-3</v>
      </c>
      <c r="Y460" s="8">
        <f>IF(Tabela1[[#This Row],[Core PCE]]="",#N/A,((Tabela1[[#This Row],[Core PCE]]*1)/W448)-1)</f>
        <v>4.222025391201667E-2</v>
      </c>
      <c r="Z460" s="8">
        <f t="shared" si="21"/>
        <v>5.9016486880830499E-2</v>
      </c>
      <c r="AA460" s="8">
        <f t="shared" si="20"/>
        <v>4.1300599190623011E-2</v>
      </c>
      <c r="AB460" s="7">
        <v>3.82</v>
      </c>
      <c r="AC460" s="7"/>
      <c r="AD460" s="8"/>
      <c r="AE460" s="71"/>
      <c r="AF460" s="7">
        <v>3.1</v>
      </c>
      <c r="AG460" s="5"/>
    </row>
    <row r="461" spans="1:33" ht="12.75">
      <c r="A461" s="6">
        <v>31107</v>
      </c>
      <c r="B461" s="7">
        <v>106.8</v>
      </c>
      <c r="C461" s="8">
        <f>IF(Tabela1[[#This Row],[Consumer Price Index (CPI)]]="",#N/A,((Tabela1[[#This Row],[Consumer Price Index (CPI)]]*1)/B460)-1)</f>
        <v>4.7036688617121403E-3</v>
      </c>
      <c r="D461" s="8">
        <f>IF(Tabela1[[#This Row],[Consumer Price Index (CPI)]]="",#N/A,((Tabela1[[#This Row],[Consumer Price Index (CPI)]]*1)/B449)-1)</f>
        <v>3.790087463556846E-2</v>
      </c>
      <c r="E461" s="25">
        <v>108.1</v>
      </c>
      <c r="F461" s="8">
        <f>IF(Tabela1[[#This Row],[Core Consumer Price Index]]="",#N/A,((Tabela1[[#This Row],[Core Consumer Price Index]]*1)/E460)-1)</f>
        <v>3.714020427112219E-3</v>
      </c>
      <c r="G461" s="8">
        <f>IF(Tabela1[[#This Row],[Core Consumer Price Index]]="",#N/A,((Tabela1[[#This Row],[Core Consumer Price Index]]*1)/E449)-1)</f>
        <v>4.7480620155038622E-2</v>
      </c>
      <c r="H461" s="8">
        <f t="shared" si="22"/>
        <v>4.8501000350062995E-2</v>
      </c>
      <c r="I461" s="8">
        <f t="shared" si="23"/>
        <v>4.3097212183230038E-2</v>
      </c>
      <c r="J461" s="25">
        <v>108.4</v>
      </c>
      <c r="K461" s="8">
        <f>IF(Tabela1[[#This Row],[Services CPI]]="",#N/A,((Tabela1[[#This Row],[Services CPI]]*1)/J460)-1)</f>
        <v>4.633920296570837E-3</v>
      </c>
      <c r="L461" s="8">
        <f>IF(Tabela1[[#This Row],[Services CPI]]="",#N/A,((Tabela1[[#This Row],[Services CPI]]*1)/J449)-1)</f>
        <v>5.2427184466019572E-2</v>
      </c>
      <c r="M461" s="7">
        <v>108.5</v>
      </c>
      <c r="N461" s="8">
        <f>IF(Tabela1[[#This Row],[Core-Services CPI]]="",#N/A,((Tabela1[[#This Row],[Core-Services CPI]]*1)/M460)-1)</f>
        <v>4.6296296296295392E-3</v>
      </c>
      <c r="O461" s="8">
        <f>IF(Tabela1[[#This Row],[Core-Services CPI]]="",#N/A,((Tabela1[[#This Row],[Core-Services CPI]]*1)/M449)-1)</f>
        <v>5.3398058252427161E-2</v>
      </c>
      <c r="P461" s="7">
        <v>107.2</v>
      </c>
      <c r="Q461" s="8">
        <f>IF(Tabela1[[#This Row],[Durable Goods CPI]]="",#N/A,((Tabela1[[#This Row],[Durable Goods CPI]]*1)/P460)-1)</f>
        <v>3.7453183520599342E-3</v>
      </c>
      <c r="R461" s="8">
        <f>IF(Tabela1[[#This Row],[Durable Goods CPI]]="",#N/A,((Tabela1[[#This Row],[Durable Goods CPI]]*1)/P449)-1)</f>
        <v>3.5748792270531515E-2</v>
      </c>
      <c r="S461" s="7">
        <v>4.7267104709999996</v>
      </c>
      <c r="T461" s="7">
        <v>49.749000000000002</v>
      </c>
      <c r="U461" s="8">
        <f>IF(Tabela1[[#This Row],[Personal Consumption Expenditures (PCE)]]="",#N/A,((Tabela1[[#This Row],[Personal Consumption Expenditures (PCE)]]*1)/T460)-1)</f>
        <v>3.9148420946424345E-3</v>
      </c>
      <c r="V461" s="8">
        <f>IF(Tabela1[[#This Row],[Personal Consumption Expenditures (PCE)]]="",#N/A,((Tabela1[[#This Row],[Personal Consumption Expenditures (PCE)]]*1)/T449)-1)</f>
        <v>3.5552965175579265E-2</v>
      </c>
      <c r="W461" s="7">
        <v>49.593000000000004</v>
      </c>
      <c r="X461" s="8">
        <f>IF(Tabela1[[#This Row],[Core PCE]]="",#N/A,((Tabela1[[#This Row],[Core PCE]]*1)/W460)-1)</f>
        <v>3.5006070416836454E-3</v>
      </c>
      <c r="Y461" s="8">
        <f>IF(Tabela1[[#This Row],[Core PCE]]="",#N/A,((Tabela1[[#This Row],[Core PCE]]*1)/W449)-1)</f>
        <v>4.1913525778394245E-2</v>
      </c>
      <c r="Z461" s="8">
        <f t="shared" si="21"/>
        <v>5.7166107950764378E-2</v>
      </c>
      <c r="AA461" s="8">
        <f t="shared" si="20"/>
        <v>4.524471999133306E-2</v>
      </c>
      <c r="AB461" s="7">
        <v>3.82</v>
      </c>
      <c r="AC461" s="7"/>
      <c r="AD461" s="8"/>
      <c r="AE461" s="71"/>
      <c r="AF461" s="7">
        <v>3</v>
      </c>
      <c r="AG461" s="5"/>
    </row>
    <row r="462" spans="1:33" ht="12.75">
      <c r="A462" s="6">
        <v>31138</v>
      </c>
      <c r="B462" s="7">
        <v>107</v>
      </c>
      <c r="C462" s="8">
        <f>IF(Tabela1[[#This Row],[Consumer Price Index (CPI)]]="",#N/A,((Tabela1[[#This Row],[Consumer Price Index (CPI)]]*1)/B461)-1)</f>
        <v>1.8726591760300781E-3</v>
      </c>
      <c r="D462" s="8">
        <f>IF(Tabela1[[#This Row],[Consumer Price Index (CPI)]]="",#N/A,((Tabela1[[#This Row],[Consumer Price Index (CPI)]]*1)/B450)-1)</f>
        <v>3.5818005808325282E-2</v>
      </c>
      <c r="E462" s="25">
        <v>108.4</v>
      </c>
      <c r="F462" s="8">
        <f>IF(Tabela1[[#This Row],[Core Consumer Price Index]]="",#N/A,((Tabela1[[#This Row],[Core Consumer Price Index]]*1)/E461)-1)</f>
        <v>2.7752081406107187E-3</v>
      </c>
      <c r="G462" s="8">
        <f>IF(Tabela1[[#This Row],[Core Consumer Price Index]]="",#N/A,((Tabela1[[#This Row],[Core Consumer Price Index]]*1)/E450)-1)</f>
        <v>4.5323047251687676E-2</v>
      </c>
      <c r="H462" s="8">
        <f t="shared" si="22"/>
        <v>4.8365877856325845E-2</v>
      </c>
      <c r="I462" s="8">
        <f t="shared" si="23"/>
        <v>4.108619179148354E-2</v>
      </c>
      <c r="J462" s="25">
        <v>108.7</v>
      </c>
      <c r="K462" s="8">
        <f>IF(Tabela1[[#This Row],[Services CPI]]="",#N/A,((Tabela1[[#This Row],[Services CPI]]*1)/J461)-1)</f>
        <v>2.7675276752767708E-3</v>
      </c>
      <c r="L462" s="8">
        <f>IF(Tabela1[[#This Row],[Services CPI]]="",#N/A,((Tabela1[[#This Row],[Services CPI]]*1)/J450)-1)</f>
        <v>5.0241545893719763E-2</v>
      </c>
      <c r="M462" s="7">
        <v>108.8</v>
      </c>
      <c r="N462" s="8">
        <f>IF(Tabela1[[#This Row],[Core-Services CPI]]="",#N/A,((Tabela1[[#This Row],[Core-Services CPI]]*1)/M461)-1)</f>
        <v>2.7649769585254003E-3</v>
      </c>
      <c r="O462" s="8">
        <f>IF(Tabela1[[#This Row],[Core-Services CPI]]="",#N/A,((Tabela1[[#This Row],[Core-Services CPI]]*1)/M450)-1)</f>
        <v>5.1207729468599084E-2</v>
      </c>
      <c r="P462" s="7">
        <v>107.5</v>
      </c>
      <c r="Q462" s="8">
        <f>IF(Tabela1[[#This Row],[Durable Goods CPI]]="",#N/A,((Tabela1[[#This Row],[Durable Goods CPI]]*1)/P461)-1)</f>
        <v>2.7985074626866169E-3</v>
      </c>
      <c r="R462" s="8">
        <f>IF(Tabela1[[#This Row],[Durable Goods CPI]]="",#N/A,((Tabela1[[#This Row],[Durable Goods CPI]]*1)/P450)-1)</f>
        <v>2.9693486590038232E-2</v>
      </c>
      <c r="S462" s="7">
        <v>4.8717014609999998</v>
      </c>
      <c r="T462" s="7">
        <v>49.820999999999998</v>
      </c>
      <c r="U462" s="8">
        <f>IF(Tabela1[[#This Row],[Personal Consumption Expenditures (PCE)]]="",#N/A,((Tabela1[[#This Row],[Personal Consumption Expenditures (PCE)]]*1)/T461)-1)</f>
        <v>1.4472652716637224E-3</v>
      </c>
      <c r="V462" s="8">
        <f>IF(Tabela1[[#This Row],[Personal Consumption Expenditures (PCE)]]="",#N/A,((Tabela1[[#This Row],[Personal Consumption Expenditures (PCE)]]*1)/T450)-1)</f>
        <v>3.3116290643662838E-2</v>
      </c>
      <c r="W462" s="7">
        <v>49.652000000000001</v>
      </c>
      <c r="X462" s="8">
        <f>IF(Tabela1[[#This Row],[Core PCE]]="",#N/A,((Tabela1[[#This Row],[Core PCE]]*1)/W461)-1)</f>
        <v>1.1896840279876919E-3</v>
      </c>
      <c r="Y462" s="8">
        <f>IF(Tabela1[[#This Row],[Core PCE]]="",#N/A,((Tabela1[[#This Row],[Core PCE]]*1)/W450)-1)</f>
        <v>3.8266906444732518E-2</v>
      </c>
      <c r="Z462" s="8">
        <f t="shared" si="21"/>
        <v>3.9507630260583682E-2</v>
      </c>
      <c r="AA462" s="8">
        <f t="shared" si="20"/>
        <v>4.3127944830709808E-2</v>
      </c>
      <c r="AB462" s="7">
        <v>3.61</v>
      </c>
      <c r="AC462" s="7"/>
      <c r="AD462" s="8"/>
      <c r="AE462" s="71"/>
      <c r="AF462" s="7">
        <v>3.3</v>
      </c>
      <c r="AG462" s="5"/>
    </row>
    <row r="463" spans="1:33" ht="12.75">
      <c r="A463" s="6">
        <v>31168</v>
      </c>
      <c r="B463" s="7">
        <v>107.2</v>
      </c>
      <c r="C463" s="8">
        <f>IF(Tabela1[[#This Row],[Consumer Price Index (CPI)]]="",#N/A,((Tabela1[[#This Row],[Consumer Price Index (CPI)]]*1)/B462)-1)</f>
        <v>1.8691588785046953E-3</v>
      </c>
      <c r="D463" s="8">
        <f>IF(Tabela1[[#This Row],[Consumer Price Index (CPI)]]="",#N/A,((Tabela1[[#This Row],[Consumer Price Index (CPI)]]*1)/B451)-1)</f>
        <v>3.5748792270531515E-2</v>
      </c>
      <c r="E463" s="25">
        <v>108.8</v>
      </c>
      <c r="F463" s="8">
        <f>IF(Tabela1[[#This Row],[Core Consumer Price Index]]="",#N/A,((Tabela1[[#This Row],[Core Consumer Price Index]]*1)/E462)-1)</f>
        <v>3.6900369003689537E-3</v>
      </c>
      <c r="G463" s="8">
        <f>IF(Tabela1[[#This Row],[Core Consumer Price Index]]="",#N/A,((Tabela1[[#This Row],[Core Consumer Price Index]]*1)/E451)-1)</f>
        <v>4.514889529298749E-2</v>
      </c>
      <c r="H463" s="8">
        <f t="shared" si="22"/>
        <v>4.0717061872367566E-2</v>
      </c>
      <c r="I463" s="8">
        <f t="shared" si="23"/>
        <v>4.4699787249471878E-2</v>
      </c>
      <c r="J463" s="25">
        <v>109.4</v>
      </c>
      <c r="K463" s="8">
        <f>IF(Tabela1[[#This Row],[Services CPI]]="",#N/A,((Tabela1[[#This Row],[Services CPI]]*1)/J462)-1)</f>
        <v>6.4397424103035394E-3</v>
      </c>
      <c r="L463" s="8">
        <f>IF(Tabela1[[#This Row],[Services CPI]]="",#N/A,((Tabela1[[#This Row],[Services CPI]]*1)/J451)-1)</f>
        <v>5.2935514918190485E-2</v>
      </c>
      <c r="M463" s="7">
        <v>109.6</v>
      </c>
      <c r="N463" s="8">
        <f>IF(Tabela1[[#This Row],[Core-Services CPI]]="",#N/A,((Tabela1[[#This Row],[Core-Services CPI]]*1)/M462)-1)</f>
        <v>7.3529411764705621E-3</v>
      </c>
      <c r="O463" s="8">
        <f>IF(Tabela1[[#This Row],[Core-Services CPI]]="",#N/A,((Tabela1[[#This Row],[Core-Services CPI]]*1)/M451)-1)</f>
        <v>5.5876685934489467E-2</v>
      </c>
      <c r="P463" s="7">
        <v>107.1</v>
      </c>
      <c r="Q463" s="8">
        <f>IF(Tabela1[[#This Row],[Durable Goods CPI]]="",#N/A,((Tabela1[[#This Row],[Durable Goods CPI]]*1)/P462)-1)</f>
        <v>-3.7209302325581506E-3</v>
      </c>
      <c r="R463" s="8">
        <f>IF(Tabela1[[#This Row],[Durable Goods CPI]]="",#N/A,((Tabela1[[#This Row],[Durable Goods CPI]]*1)/P451)-1)</f>
        <v>1.8060836501901045E-2</v>
      </c>
      <c r="S463" s="7">
        <v>4.9620720360000004</v>
      </c>
      <c r="T463" s="7">
        <v>49.939</v>
      </c>
      <c r="U463" s="8">
        <f>IF(Tabela1[[#This Row],[Personal Consumption Expenditures (PCE)]]="",#N/A,((Tabela1[[#This Row],[Personal Consumption Expenditures (PCE)]]*1)/T462)-1)</f>
        <v>2.3684791553761908E-3</v>
      </c>
      <c r="V463" s="8">
        <f>IF(Tabela1[[#This Row],[Personal Consumption Expenditures (PCE)]]="",#N/A,((Tabela1[[#This Row],[Personal Consumption Expenditures (PCE)]]*1)/T451)-1)</f>
        <v>3.4254944599772186E-2</v>
      </c>
      <c r="W463" s="7">
        <v>49.823</v>
      </c>
      <c r="X463" s="8">
        <f>IF(Tabela1[[#This Row],[Core PCE]]="",#N/A,((Tabela1[[#This Row],[Core PCE]]*1)/W462)-1)</f>
        <v>3.4439700314186084E-3</v>
      </c>
      <c r="Y463" s="8">
        <f>IF(Tabela1[[#This Row],[Core PCE]]="",#N/A,((Tabela1[[#This Row],[Core PCE]]*1)/W451)-1)</f>
        <v>3.9430037761041481E-2</v>
      </c>
      <c r="Z463" s="8">
        <f t="shared" si="21"/>
        <v>3.2537044404359783E-2</v>
      </c>
      <c r="AA463" s="8">
        <f t="shared" si="20"/>
        <v>4.5776765642595141E-2</v>
      </c>
      <c r="AB463" s="7">
        <v>3.7</v>
      </c>
      <c r="AC463" s="7"/>
      <c r="AD463" s="8"/>
      <c r="AE463" s="71"/>
      <c r="AF463" s="7">
        <v>3.2</v>
      </c>
      <c r="AG463" s="5"/>
    </row>
    <row r="464" spans="1:33" ht="12.75">
      <c r="A464" s="6">
        <v>31199</v>
      </c>
      <c r="B464" s="7">
        <v>107.5</v>
      </c>
      <c r="C464" s="8">
        <f>IF(Tabela1[[#This Row],[Consumer Price Index (CPI)]]="",#N/A,((Tabela1[[#This Row],[Consumer Price Index (CPI)]]*1)/B463)-1)</f>
        <v>2.7985074626866169E-3</v>
      </c>
      <c r="D464" s="8">
        <f>IF(Tabela1[[#This Row],[Consumer Price Index (CPI)]]="",#N/A,((Tabela1[[#This Row],[Consumer Price Index (CPI)]]*1)/B452)-1)</f>
        <v>3.6644165863066513E-2</v>
      </c>
      <c r="E464" s="25">
        <v>109.1</v>
      </c>
      <c r="F464" s="8">
        <f>IF(Tabela1[[#This Row],[Core Consumer Price Index]]="",#N/A,((Tabela1[[#This Row],[Core Consumer Price Index]]*1)/E463)-1)</f>
        <v>2.7573529411764053E-3</v>
      </c>
      <c r="G464" s="8">
        <f>IF(Tabela1[[#This Row],[Core Consumer Price Index]]="",#N/A,((Tabela1[[#This Row],[Core Consumer Price Index]]*1)/E452)-1)</f>
        <v>4.4019138755980736E-2</v>
      </c>
      <c r="H464" s="8">
        <f t="shared" si="22"/>
        <v>3.6890391928624311E-2</v>
      </c>
      <c r="I464" s="8">
        <f t="shared" si="23"/>
        <v>4.2695696139343653E-2</v>
      </c>
      <c r="J464" s="25">
        <v>109.8</v>
      </c>
      <c r="K464" s="8">
        <f>IF(Tabela1[[#This Row],[Services CPI]]="",#N/A,((Tabela1[[#This Row],[Services CPI]]*1)/J463)-1)</f>
        <v>3.6563071297988081E-3</v>
      </c>
      <c r="L464" s="8">
        <f>IF(Tabela1[[#This Row],[Services CPI]]="",#N/A,((Tabela1[[#This Row],[Services CPI]]*1)/J452)-1)</f>
        <v>5.3742802303262893E-2</v>
      </c>
      <c r="M464" s="7">
        <v>110.1</v>
      </c>
      <c r="N464" s="8">
        <f>IF(Tabela1[[#This Row],[Core-Services CPI]]="",#N/A,((Tabela1[[#This Row],[Core-Services CPI]]*1)/M463)-1)</f>
        <v>4.5620437956204185E-3</v>
      </c>
      <c r="O464" s="8">
        <f>IF(Tabela1[[#This Row],[Core-Services CPI]]="",#N/A,((Tabela1[[#This Row],[Core-Services CPI]]*1)/M452)-1)</f>
        <v>5.5608820709491802E-2</v>
      </c>
      <c r="P464" s="7">
        <v>106.7</v>
      </c>
      <c r="Q464" s="8">
        <f>IF(Tabela1[[#This Row],[Durable Goods CPI]]="",#N/A,((Tabela1[[#This Row],[Durable Goods CPI]]*1)/P463)-1)</f>
        <v>-3.7348272642389047E-3</v>
      </c>
      <c r="R464" s="8">
        <f>IF(Tabela1[[#This Row],[Durable Goods CPI]]="",#N/A,((Tabela1[[#This Row],[Durable Goods CPI]]*1)/P452)-1)</f>
        <v>1.1374407582938506E-2</v>
      </c>
      <c r="S464" s="7">
        <v>4.7541342909999997</v>
      </c>
      <c r="T464" s="7">
        <v>50.075000000000003</v>
      </c>
      <c r="U464" s="8">
        <f>IF(Tabela1[[#This Row],[Personal Consumption Expenditures (PCE)]]="",#N/A,((Tabela1[[#This Row],[Personal Consumption Expenditures (PCE)]]*1)/T463)-1)</f>
        <v>2.7233224533931288E-3</v>
      </c>
      <c r="V464" s="8">
        <f>IF(Tabela1[[#This Row],[Personal Consumption Expenditures (PCE)]]="",#N/A,((Tabela1[[#This Row],[Personal Consumption Expenditures (PCE)]]*1)/T452)-1)</f>
        <v>3.5227719087883358E-2</v>
      </c>
      <c r="W464" s="7">
        <v>49.988</v>
      </c>
      <c r="X464" s="8">
        <f>IF(Tabela1[[#This Row],[Core PCE]]="",#N/A,((Tabela1[[#This Row],[Core PCE]]*1)/W463)-1)</f>
        <v>3.3117235011941304E-3</v>
      </c>
      <c r="Y464" s="8">
        <f>IF(Tabela1[[#This Row],[Core PCE]]="",#N/A,((Tabela1[[#This Row],[Core PCE]]*1)/W452)-1)</f>
        <v>4.041959788535987E-2</v>
      </c>
      <c r="Z464" s="8">
        <f t="shared" si="21"/>
        <v>3.1781510242401723E-2</v>
      </c>
      <c r="AA464" s="8">
        <f t="shared" si="20"/>
        <v>4.447380909658305E-2</v>
      </c>
      <c r="AB464" s="7">
        <v>3.76</v>
      </c>
      <c r="AC464" s="7"/>
      <c r="AD464" s="8"/>
      <c r="AE464" s="71"/>
      <c r="AF464" s="7">
        <v>3.4</v>
      </c>
      <c r="AG464" s="5"/>
    </row>
    <row r="465" spans="1:33" ht="12.75">
      <c r="A465" s="6">
        <v>31229</v>
      </c>
      <c r="B465" s="7">
        <v>107.7</v>
      </c>
      <c r="C465" s="8">
        <f>IF(Tabela1[[#This Row],[Consumer Price Index (CPI)]]="",#N/A,((Tabela1[[#This Row],[Consumer Price Index (CPI)]]*1)/B464)-1)</f>
        <v>1.8604651162790198E-3</v>
      </c>
      <c r="D465" s="8">
        <f>IF(Tabela1[[#This Row],[Consumer Price Index (CPI)]]="",#N/A,((Tabela1[[#This Row],[Consumer Price Index (CPI)]]*1)/B453)-1)</f>
        <v>3.4582132564841661E-2</v>
      </c>
      <c r="E465" s="25">
        <v>109.4</v>
      </c>
      <c r="F465" s="8">
        <f>IF(Tabela1[[#This Row],[Core Consumer Price Index]]="",#N/A,((Tabela1[[#This Row],[Core Consumer Price Index]]*1)/E464)-1)</f>
        <v>2.749770852429112E-3</v>
      </c>
      <c r="G465" s="8">
        <f>IF(Tabela1[[#This Row],[Core Consumer Price Index]]="",#N/A,((Tabela1[[#This Row],[Core Consumer Price Index]]*1)/E453)-1)</f>
        <v>4.1904761904761889E-2</v>
      </c>
      <c r="H465" s="8">
        <f t="shared" si="22"/>
        <v>3.6788642775897884E-2</v>
      </c>
      <c r="I465" s="8">
        <f t="shared" si="23"/>
        <v>4.2577260316111865E-2</v>
      </c>
      <c r="J465" s="25">
        <v>110.3</v>
      </c>
      <c r="K465" s="8">
        <f>IF(Tabela1[[#This Row],[Services CPI]]="",#N/A,((Tabela1[[#This Row],[Services CPI]]*1)/J464)-1)</f>
        <v>4.5537340619308253E-3</v>
      </c>
      <c r="L465" s="8">
        <f>IF(Tabela1[[#This Row],[Services CPI]]="",#N/A,((Tabela1[[#This Row],[Services CPI]]*1)/J453)-1)</f>
        <v>5.1477597712106693E-2</v>
      </c>
      <c r="M465" s="7">
        <v>110.7</v>
      </c>
      <c r="N465" s="8">
        <f>IF(Tabela1[[#This Row],[Core-Services CPI]]="",#N/A,((Tabela1[[#This Row],[Core-Services CPI]]*1)/M464)-1)</f>
        <v>5.4495912806540314E-3</v>
      </c>
      <c r="O465" s="8">
        <f>IF(Tabela1[[#This Row],[Core-Services CPI]]="",#N/A,((Tabela1[[#This Row],[Core-Services CPI]]*1)/M453)-1)</f>
        <v>5.5290753098188761E-2</v>
      </c>
      <c r="P465" s="7">
        <v>106.4</v>
      </c>
      <c r="Q465" s="8">
        <f>IF(Tabela1[[#This Row],[Durable Goods CPI]]="",#N/A,((Tabela1[[#This Row],[Durable Goods CPI]]*1)/P464)-1)</f>
        <v>-2.811621368322359E-3</v>
      </c>
      <c r="R465" s="8">
        <f>IF(Tabela1[[#This Row],[Durable Goods CPI]]="",#N/A,((Tabela1[[#This Row],[Durable Goods CPI]]*1)/P453)-1)</f>
        <v>6.6225165562914245E-3</v>
      </c>
      <c r="S465" s="7">
        <v>5.0371209209999996</v>
      </c>
      <c r="T465" s="7">
        <v>50.198</v>
      </c>
      <c r="U465" s="8">
        <f>IF(Tabela1[[#This Row],[Personal Consumption Expenditures (PCE)]]="",#N/A,((Tabela1[[#This Row],[Personal Consumption Expenditures (PCE)]]*1)/T464)-1)</f>
        <v>2.4563155267098846E-3</v>
      </c>
      <c r="V465" s="8">
        <f>IF(Tabela1[[#This Row],[Personal Consumption Expenditures (PCE)]]="",#N/A,((Tabela1[[#This Row],[Personal Consumption Expenditures (PCE)]]*1)/T453)-1)</f>
        <v>3.4072181938035628E-2</v>
      </c>
      <c r="W465" s="7">
        <v>50.134</v>
      </c>
      <c r="X465" s="8">
        <f>IF(Tabela1[[#This Row],[Core PCE]]="",#N/A,((Tabela1[[#This Row],[Core PCE]]*1)/W464)-1)</f>
        <v>2.9207009682323815E-3</v>
      </c>
      <c r="Y465" s="8">
        <f>IF(Tabela1[[#This Row],[Core PCE]]="",#N/A,((Tabela1[[#This Row],[Core PCE]]*1)/W453)-1)</f>
        <v>3.8982032205251427E-2</v>
      </c>
      <c r="Z465" s="8">
        <f t="shared" si="21"/>
        <v>3.8705578003380481E-2</v>
      </c>
      <c r="AA465" s="8">
        <f t="shared" si="20"/>
        <v>3.9106604131982081E-2</v>
      </c>
      <c r="AB465" s="7">
        <v>3.55</v>
      </c>
      <c r="AC465" s="7"/>
      <c r="AD465" s="8"/>
      <c r="AE465" s="71"/>
      <c r="AF465" s="7">
        <v>2.8</v>
      </c>
      <c r="AG465" s="5"/>
    </row>
    <row r="466" spans="1:33" ht="12.75">
      <c r="A466" s="6">
        <v>31260</v>
      </c>
      <c r="B466" s="7">
        <v>107.9</v>
      </c>
      <c r="C466" s="8">
        <f>IF(Tabela1[[#This Row],[Consumer Price Index (CPI)]]="",#N/A,((Tabela1[[#This Row],[Consumer Price Index (CPI)]]*1)/B465)-1)</f>
        <v>1.8570102135562205E-3</v>
      </c>
      <c r="D466" s="8">
        <f>IF(Tabela1[[#This Row],[Consumer Price Index (CPI)]]="",#N/A,((Tabela1[[#This Row],[Consumer Price Index (CPI)]]*1)/B454)-1)</f>
        <v>3.3524904214559337E-2</v>
      </c>
      <c r="E466" s="25">
        <v>109.8</v>
      </c>
      <c r="F466" s="8">
        <f>IF(Tabela1[[#This Row],[Core Consumer Price Index]]="",#N/A,((Tabela1[[#This Row],[Core Consumer Price Index]]*1)/E465)-1)</f>
        <v>3.6563071297988081E-3</v>
      </c>
      <c r="G466" s="8">
        <f>IF(Tabela1[[#This Row],[Core Consumer Price Index]]="",#N/A,((Tabela1[[#This Row],[Core Consumer Price Index]]*1)/E454)-1)</f>
        <v>4.1745730550284632E-2</v>
      </c>
      <c r="H466" s="8">
        <f t="shared" si="22"/>
        <v>3.6653723693617302E-2</v>
      </c>
      <c r="I466" s="8">
        <f t="shared" si="23"/>
        <v>3.8685392782992434E-2</v>
      </c>
      <c r="J466" s="25">
        <v>110.7</v>
      </c>
      <c r="K466" s="8">
        <f>IF(Tabela1[[#This Row],[Services CPI]]="",#N/A,((Tabela1[[#This Row],[Services CPI]]*1)/J465)-1)</f>
        <v>3.6264732547597323E-3</v>
      </c>
      <c r="L466" s="8">
        <f>IF(Tabela1[[#This Row],[Services CPI]]="",#N/A,((Tabela1[[#This Row],[Services CPI]]*1)/J454)-1)</f>
        <v>5.0284629981024676E-2</v>
      </c>
      <c r="M466" s="7">
        <v>111.2</v>
      </c>
      <c r="N466" s="8">
        <f>IF(Tabela1[[#This Row],[Core-Services CPI]]="",#N/A,((Tabela1[[#This Row],[Core-Services CPI]]*1)/M465)-1)</f>
        <v>4.5167118337849921E-3</v>
      </c>
      <c r="O466" s="8">
        <f>IF(Tabela1[[#This Row],[Core-Services CPI]]="",#N/A,((Tabela1[[#This Row],[Core-Services CPI]]*1)/M454)-1)</f>
        <v>5.6030389363722843E-2</v>
      </c>
      <c r="P466" s="7">
        <v>106.5</v>
      </c>
      <c r="Q466" s="8">
        <f>IF(Tabela1[[#This Row],[Durable Goods CPI]]="",#N/A,((Tabela1[[#This Row],[Durable Goods CPI]]*1)/P465)-1)</f>
        <v>9.3984962406001848E-4</v>
      </c>
      <c r="R466" s="8">
        <f>IF(Tabela1[[#This Row],[Durable Goods CPI]]="",#N/A,((Tabela1[[#This Row],[Durable Goods CPI]]*1)/P454)-1)</f>
        <v>4.7169811320755262E-3</v>
      </c>
      <c r="S466" s="7">
        <v>5.05654234</v>
      </c>
      <c r="T466" s="7">
        <v>50.363999999999997</v>
      </c>
      <c r="U466" s="8">
        <f>IF(Tabela1[[#This Row],[Personal Consumption Expenditures (PCE)]]="",#N/A,((Tabela1[[#This Row],[Personal Consumption Expenditures (PCE)]]*1)/T465)-1)</f>
        <v>3.306904657556009E-3</v>
      </c>
      <c r="V466" s="8">
        <f>IF(Tabela1[[#This Row],[Personal Consumption Expenditures (PCE)]]="",#N/A,((Tabela1[[#This Row],[Personal Consumption Expenditures (PCE)]]*1)/T454)-1)</f>
        <v>3.4317047624915276E-2</v>
      </c>
      <c r="W466" s="7">
        <v>50.38</v>
      </c>
      <c r="X466" s="8">
        <f>IF(Tabela1[[#This Row],[Core PCE]]="",#N/A,((Tabela1[[#This Row],[Core PCE]]*1)/W465)-1)</f>
        <v>4.9068496429569564E-3</v>
      </c>
      <c r="Y466" s="8">
        <f>IF(Tabela1[[#This Row],[Core PCE]]="",#N/A,((Tabela1[[#This Row],[Core PCE]]*1)/W454)-1)</f>
        <v>4.065107824506331E-2</v>
      </c>
      <c r="Z466" s="8">
        <f t="shared" si="21"/>
        <v>4.4557096449533873E-2</v>
      </c>
      <c r="AA466" s="8">
        <f t="shared" si="20"/>
        <v>3.8547070426946828E-2</v>
      </c>
      <c r="AB466" s="7">
        <v>3.54</v>
      </c>
      <c r="AC466" s="7"/>
      <c r="AD466" s="8"/>
      <c r="AE466" s="71"/>
      <c r="AF466" s="7">
        <v>2.8</v>
      </c>
      <c r="AG466" s="5"/>
    </row>
    <row r="467" spans="1:33" ht="12.75">
      <c r="A467" s="6">
        <v>31291</v>
      </c>
      <c r="B467" s="7">
        <v>108.1</v>
      </c>
      <c r="C467" s="8">
        <f>IF(Tabela1[[#This Row],[Consumer Price Index (CPI)]]="",#N/A,((Tabela1[[#This Row],[Consumer Price Index (CPI)]]*1)/B466)-1)</f>
        <v>1.853568118628246E-3</v>
      </c>
      <c r="D467" s="8">
        <f>IF(Tabela1[[#This Row],[Consumer Price Index (CPI)]]="",#N/A,((Tabela1[[#This Row],[Consumer Price Index (CPI)]]*1)/B455)-1)</f>
        <v>3.2473734479465E-2</v>
      </c>
      <c r="E467" s="25">
        <v>110</v>
      </c>
      <c r="F467" s="8">
        <f>IF(Tabela1[[#This Row],[Core Consumer Price Index]]="",#N/A,((Tabela1[[#This Row],[Core Consumer Price Index]]*1)/E466)-1)</f>
        <v>1.8214936247722413E-3</v>
      </c>
      <c r="G467" s="8">
        <f>IF(Tabela1[[#This Row],[Core Consumer Price Index]]="",#N/A,((Tabela1[[#This Row],[Core Consumer Price Index]]*1)/E455)-1)</f>
        <v>3.969754253308122E-2</v>
      </c>
      <c r="H467" s="8">
        <f t="shared" si="22"/>
        <v>3.2910286428000646E-2</v>
      </c>
      <c r="I467" s="8">
        <f t="shared" si="23"/>
        <v>3.4900339178312478E-2</v>
      </c>
      <c r="J467" s="25">
        <v>111</v>
      </c>
      <c r="K467" s="8">
        <f>IF(Tabela1[[#This Row],[Services CPI]]="",#N/A,((Tabela1[[#This Row],[Services CPI]]*1)/J466)-1)</f>
        <v>2.7100271002709064E-3</v>
      </c>
      <c r="L467" s="8">
        <f>IF(Tabela1[[#This Row],[Services CPI]]="",#N/A,((Tabela1[[#This Row],[Services CPI]]*1)/J455)-1)</f>
        <v>4.8158640226628746E-2</v>
      </c>
      <c r="M467" s="7">
        <v>111.5</v>
      </c>
      <c r="N467" s="8">
        <f>IF(Tabela1[[#This Row],[Core-Services CPI]]="",#N/A,((Tabela1[[#This Row],[Core-Services CPI]]*1)/M466)-1)</f>
        <v>2.6978417266185772E-3</v>
      </c>
      <c r="O467" s="8">
        <f>IF(Tabela1[[#This Row],[Core-Services CPI]]="",#N/A,((Tabela1[[#This Row],[Core-Services CPI]]*1)/M455)-1)</f>
        <v>5.387523629489599E-2</v>
      </c>
      <c r="P467" s="7">
        <v>106.6</v>
      </c>
      <c r="Q467" s="8">
        <f>IF(Tabela1[[#This Row],[Durable Goods CPI]]="",#N/A,((Tabela1[[#This Row],[Durable Goods CPI]]*1)/P466)-1)</f>
        <v>9.3896713615015948E-4</v>
      </c>
      <c r="R467" s="8">
        <f>IF(Tabela1[[#This Row],[Durable Goods CPI]]="",#N/A,((Tabela1[[#This Row],[Durable Goods CPI]]*1)/P455)-1)</f>
        <v>1.879699248120259E-3</v>
      </c>
      <c r="S467" s="7">
        <v>4.9482953180000004</v>
      </c>
      <c r="T467" s="7">
        <v>50.448999999999998</v>
      </c>
      <c r="U467" s="8">
        <f>IF(Tabela1[[#This Row],[Personal Consumption Expenditures (PCE)]]="",#N/A,((Tabela1[[#This Row],[Personal Consumption Expenditures (PCE)]]*1)/T466)-1)</f>
        <v>1.6877134461124044E-3</v>
      </c>
      <c r="V467" s="8">
        <f>IF(Tabela1[[#This Row],[Personal Consumption Expenditures (PCE)]]="",#N/A,((Tabela1[[#This Row],[Personal Consumption Expenditures (PCE)]]*1)/T455)-1)</f>
        <v>3.4660267847987036E-2</v>
      </c>
      <c r="W467" s="7">
        <v>50.484000000000002</v>
      </c>
      <c r="X467" s="8">
        <f>IF(Tabela1[[#This Row],[Core PCE]]="",#N/A,((Tabela1[[#This Row],[Core PCE]]*1)/W466)-1)</f>
        <v>2.0643112346168113E-3</v>
      </c>
      <c r="Y467" s="8">
        <f>IF(Tabela1[[#This Row],[Core PCE]]="",#N/A,((Tabela1[[#This Row],[Core PCE]]*1)/W455)-1)</f>
        <v>4.1207771315431296E-2</v>
      </c>
      <c r="Z467" s="8">
        <f t="shared" si="21"/>
        <v>3.9567447383224597E-2</v>
      </c>
      <c r="AA467" s="8">
        <f t="shared" si="20"/>
        <v>3.567447881281316E-2</v>
      </c>
      <c r="AB467" s="7">
        <v>3.5</v>
      </c>
      <c r="AC467" s="7"/>
      <c r="AD467" s="8"/>
      <c r="AE467" s="71"/>
      <c r="AF467" s="7">
        <v>2.9</v>
      </c>
      <c r="AG467" s="5"/>
    </row>
    <row r="468" spans="1:33" ht="12.75">
      <c r="A468" s="6">
        <v>31321</v>
      </c>
      <c r="B468" s="7">
        <v>108.5</v>
      </c>
      <c r="C468" s="8">
        <f>IF(Tabela1[[#This Row],[Consumer Price Index (CPI)]]="",#N/A,((Tabela1[[#This Row],[Consumer Price Index (CPI)]]*1)/B467)-1)</f>
        <v>3.7002775208141436E-3</v>
      </c>
      <c r="D468" s="8">
        <f>IF(Tabela1[[#This Row],[Consumer Price Index (CPI)]]="",#N/A,((Tabela1[[#This Row],[Consumer Price Index (CPI)]]*1)/B456)-1)</f>
        <v>3.2350142721217834E-2</v>
      </c>
      <c r="E468" s="25">
        <v>110.5</v>
      </c>
      <c r="F468" s="8">
        <f>IF(Tabela1[[#This Row],[Core Consumer Price Index]]="",#N/A,((Tabela1[[#This Row],[Core Consumer Price Index]]*1)/E467)-1)</f>
        <v>4.5454545454546302E-3</v>
      </c>
      <c r="G468" s="8">
        <f>IF(Tabela1[[#This Row],[Core Consumer Price Index]]="",#N/A,((Tabela1[[#This Row],[Core Consumer Price Index]]*1)/E456)-1)</f>
        <v>4.0489642184557306E-2</v>
      </c>
      <c r="H468" s="8">
        <f t="shared" si="22"/>
        <v>4.0093021200102719E-2</v>
      </c>
      <c r="I468" s="8">
        <f t="shared" si="23"/>
        <v>3.8440831988000301E-2</v>
      </c>
      <c r="J468" s="25">
        <v>111.5</v>
      </c>
      <c r="K468" s="8">
        <f>IF(Tabela1[[#This Row],[Services CPI]]="",#N/A,((Tabela1[[#This Row],[Services CPI]]*1)/J467)-1)</f>
        <v>4.5045045045044585E-3</v>
      </c>
      <c r="L468" s="8">
        <f>IF(Tabela1[[#This Row],[Services CPI]]="",#N/A,((Tabela1[[#This Row],[Services CPI]]*1)/J456)-1)</f>
        <v>4.891815616180617E-2</v>
      </c>
      <c r="M468" s="7">
        <v>112</v>
      </c>
      <c r="N468" s="8">
        <f>IF(Tabela1[[#This Row],[Core-Services CPI]]="",#N/A,((Tabela1[[#This Row],[Core-Services CPI]]*1)/M467)-1)</f>
        <v>4.484304932735439E-3</v>
      </c>
      <c r="O468" s="8">
        <f>IF(Tabela1[[#This Row],[Core-Services CPI]]="",#N/A,((Tabela1[[#This Row],[Core-Services CPI]]*1)/M456)-1)</f>
        <v>5.362182502351831E-2</v>
      </c>
      <c r="P468" s="7">
        <v>106.8</v>
      </c>
      <c r="Q468" s="8">
        <f>IF(Tabela1[[#This Row],[Durable Goods CPI]]="",#N/A,((Tabela1[[#This Row],[Durable Goods CPI]]*1)/P467)-1)</f>
        <v>1.8761726078799779E-3</v>
      </c>
      <c r="R468" s="8">
        <f>IF(Tabela1[[#This Row],[Durable Goods CPI]]="",#N/A,((Tabela1[[#This Row],[Durable Goods CPI]]*1)/P456)-1)</f>
        <v>4.7036688617121403E-3</v>
      </c>
      <c r="S468" s="7">
        <v>4.94547442</v>
      </c>
      <c r="T468" s="7">
        <v>50.533000000000001</v>
      </c>
      <c r="U468" s="8">
        <f>IF(Tabela1[[#This Row],[Personal Consumption Expenditures (PCE)]]="",#N/A,((Tabela1[[#This Row],[Personal Consumption Expenditures (PCE)]]*1)/T467)-1)</f>
        <v>1.6650478701263349E-3</v>
      </c>
      <c r="V468" s="8">
        <f>IF(Tabela1[[#This Row],[Personal Consumption Expenditures (PCE)]]="",#N/A,((Tabela1[[#This Row],[Personal Consumption Expenditures (PCE)]]*1)/T456)-1)</f>
        <v>3.3944428530507054E-2</v>
      </c>
      <c r="W468" s="7">
        <v>50.564999999999998</v>
      </c>
      <c r="X468" s="8">
        <f>IF(Tabela1[[#This Row],[Core PCE]]="",#N/A,((Tabela1[[#This Row],[Core PCE]]*1)/W467)-1)</f>
        <v>1.6044687425718074E-3</v>
      </c>
      <c r="Y468" s="8">
        <f>IF(Tabela1[[#This Row],[Core PCE]]="",#N/A,((Tabela1[[#This Row],[Core PCE]]*1)/W456)-1)</f>
        <v>4.0539150118324985E-2</v>
      </c>
      <c r="Z468" s="8">
        <f t="shared" si="21"/>
        <v>3.43025184805823E-2</v>
      </c>
      <c r="AA468" s="8">
        <f t="shared" si="20"/>
        <v>3.6504048241981391E-2</v>
      </c>
      <c r="AB468" s="7">
        <v>3.46</v>
      </c>
      <c r="AC468" s="7"/>
      <c r="AD468" s="8"/>
      <c r="AE468" s="71"/>
      <c r="AF468" s="7">
        <v>3.3</v>
      </c>
      <c r="AG468" s="5"/>
    </row>
    <row r="469" spans="1:33" ht="12.75">
      <c r="A469" s="6">
        <v>31352</v>
      </c>
      <c r="B469" s="7">
        <v>109</v>
      </c>
      <c r="C469" s="8">
        <f>IF(Tabela1[[#This Row],[Consumer Price Index (CPI)]]="",#N/A,((Tabela1[[#This Row],[Consumer Price Index (CPI)]]*1)/B468)-1)</f>
        <v>4.6082949308756671E-3</v>
      </c>
      <c r="D469" s="8">
        <f>IF(Tabela1[[#This Row],[Consumer Price Index (CPI)]]="",#N/A,((Tabela1[[#This Row],[Consumer Price Index (CPI)]]*1)/B457)-1)</f>
        <v>3.5137701804368593E-2</v>
      </c>
      <c r="E469" s="25">
        <v>111.1</v>
      </c>
      <c r="F469" s="8">
        <f>IF(Tabela1[[#This Row],[Core Consumer Price Index]]="",#N/A,((Tabela1[[#This Row],[Core Consumer Price Index]]*1)/E468)-1)</f>
        <v>5.4298642533936459E-3</v>
      </c>
      <c r="G469" s="8">
        <f>IF(Tabela1[[#This Row],[Core Consumer Price Index]]="",#N/A,((Tabela1[[#This Row],[Core Consumer Price Index]]*1)/E457)-1)</f>
        <v>4.4172932330826864E-2</v>
      </c>
      <c r="H469" s="8">
        <f t="shared" si="22"/>
        <v>4.718724969448207E-2</v>
      </c>
      <c r="I469" s="8">
        <f t="shared" si="23"/>
        <v>4.1920486694049686E-2</v>
      </c>
      <c r="J469" s="25">
        <v>112.1</v>
      </c>
      <c r="K469" s="8">
        <f>IF(Tabela1[[#This Row],[Services CPI]]="",#N/A,((Tabela1[[#This Row],[Services CPI]]*1)/J468)-1)</f>
        <v>5.3811659192823935E-3</v>
      </c>
      <c r="L469" s="8">
        <f>IF(Tabela1[[#This Row],[Services CPI]]="",#N/A,((Tabela1[[#This Row],[Services CPI]]*1)/J457)-1)</f>
        <v>5.0609184629803128E-2</v>
      </c>
      <c r="M469" s="7">
        <v>112.8</v>
      </c>
      <c r="N469" s="8">
        <f>IF(Tabela1[[#This Row],[Core-Services CPI]]="",#N/A,((Tabela1[[#This Row],[Core-Services CPI]]*1)/M468)-1)</f>
        <v>7.1428571428571175E-3</v>
      </c>
      <c r="O469" s="8">
        <f>IF(Tabela1[[#This Row],[Core-Services CPI]]="",#N/A,((Tabela1[[#This Row],[Core-Services CPI]]*1)/M457)-1)</f>
        <v>5.7169634489222076E-2</v>
      </c>
      <c r="P469" s="7">
        <v>106.7</v>
      </c>
      <c r="Q469" s="8">
        <f>IF(Tabela1[[#This Row],[Durable Goods CPI]]="",#N/A,((Tabela1[[#This Row],[Durable Goods CPI]]*1)/P468)-1)</f>
        <v>-9.3632958801492805E-4</v>
      </c>
      <c r="R469" s="8">
        <f>IF(Tabela1[[#This Row],[Durable Goods CPI]]="",#N/A,((Tabela1[[#This Row],[Durable Goods CPI]]*1)/P457)-1)</f>
        <v>4.7080979284368496E-3</v>
      </c>
      <c r="S469" s="7">
        <v>4.7871651000000002</v>
      </c>
      <c r="T469" s="7">
        <v>50.68</v>
      </c>
      <c r="U469" s="8">
        <f>IF(Tabela1[[#This Row],[Personal Consumption Expenditures (PCE)]]="",#N/A,((Tabela1[[#This Row],[Personal Consumption Expenditures (PCE)]]*1)/T468)-1)</f>
        <v>2.9089901648426952E-3</v>
      </c>
      <c r="V469" s="8">
        <f>IF(Tabela1[[#This Row],[Personal Consumption Expenditures (PCE)]]="",#N/A,((Tabela1[[#This Row],[Personal Consumption Expenditures (PCE)]]*1)/T457)-1)</f>
        <v>3.5490264184868225E-2</v>
      </c>
      <c r="W469" s="7">
        <v>50.689</v>
      </c>
      <c r="X469" s="8">
        <f>IF(Tabela1[[#This Row],[Core PCE]]="",#N/A,((Tabela1[[#This Row],[Core PCE]]*1)/W468)-1)</f>
        <v>2.452289132799379E-3</v>
      </c>
      <c r="Y469" s="8">
        <f>IF(Tabela1[[#This Row],[Core PCE]]="",#N/A,((Tabela1[[#This Row],[Core PCE]]*1)/W457)-1)</f>
        <v>4.0884635919339551E-2</v>
      </c>
      <c r="Z469" s="8">
        <f t="shared" si="21"/>
        <v>2.4484276439951991E-2</v>
      </c>
      <c r="AA469" s="8">
        <f t="shared" si="20"/>
        <v>3.4520686444742932E-2</v>
      </c>
      <c r="AB469" s="7">
        <v>3.62</v>
      </c>
      <c r="AC469" s="7"/>
      <c r="AD469" s="8"/>
      <c r="AE469" s="71"/>
      <c r="AF469" s="7">
        <v>3.1</v>
      </c>
      <c r="AG469" s="5"/>
    </row>
    <row r="470" spans="1:33" ht="12.75">
      <c r="A470" s="6">
        <v>31382</v>
      </c>
      <c r="B470" s="7">
        <v>109.5</v>
      </c>
      <c r="C470" s="8">
        <f>IF(Tabela1[[#This Row],[Consumer Price Index (CPI)]]="",#N/A,((Tabela1[[#This Row],[Consumer Price Index (CPI)]]*1)/B469)-1)</f>
        <v>4.5871559633028358E-3</v>
      </c>
      <c r="D470" s="8">
        <f>IF(Tabela1[[#This Row],[Consumer Price Index (CPI)]]="",#N/A,((Tabela1[[#This Row],[Consumer Price Index (CPI)]]*1)/B458)-1)</f>
        <v>3.7914691943127909E-2</v>
      </c>
      <c r="E470" s="25">
        <v>111.4</v>
      </c>
      <c r="F470" s="8">
        <f>IF(Tabela1[[#This Row],[Core Consumer Price Index]]="",#N/A,((Tabela1[[#This Row],[Core Consumer Price Index]]*1)/E469)-1)</f>
        <v>2.7002700270029045E-3</v>
      </c>
      <c r="G470" s="8">
        <f>IF(Tabela1[[#This Row],[Core Consumer Price Index]]="",#N/A,((Tabela1[[#This Row],[Core Consumer Price Index]]*1)/E458)-1)</f>
        <v>4.3071161048689133E-2</v>
      </c>
      <c r="H470" s="8">
        <f t="shared" si="22"/>
        <v>5.0702355303404723E-2</v>
      </c>
      <c r="I470" s="8">
        <f t="shared" si="23"/>
        <v>4.1806320865702684E-2</v>
      </c>
      <c r="J470" s="25">
        <v>112.5</v>
      </c>
      <c r="K470" s="8">
        <f>IF(Tabela1[[#This Row],[Services CPI]]="",#N/A,((Tabela1[[#This Row],[Services CPI]]*1)/J469)-1)</f>
        <v>3.5682426404997081E-3</v>
      </c>
      <c r="L470" s="8">
        <f>IF(Tabela1[[#This Row],[Services CPI]]="",#N/A,((Tabela1[[#This Row],[Services CPI]]*1)/J458)-1)</f>
        <v>5.0420168067226934E-2</v>
      </c>
      <c r="M470" s="7">
        <v>113.2</v>
      </c>
      <c r="N470" s="8">
        <f>IF(Tabela1[[#This Row],[Core-Services CPI]]="",#N/A,((Tabela1[[#This Row],[Core-Services CPI]]*1)/M469)-1)</f>
        <v>3.5460992907800915E-3</v>
      </c>
      <c r="O470" s="8">
        <f>IF(Tabela1[[#This Row],[Core-Services CPI]]="",#N/A,((Tabela1[[#This Row],[Core-Services CPI]]*1)/M458)-1)</f>
        <v>5.6956115779645211E-2</v>
      </c>
      <c r="P470" s="7">
        <v>106.7</v>
      </c>
      <c r="Q470" s="8">
        <f>IF(Tabela1[[#This Row],[Durable Goods CPI]]="",#N/A,((Tabela1[[#This Row],[Durable Goods CPI]]*1)/P469)-1)</f>
        <v>0</v>
      </c>
      <c r="R470" s="8">
        <f>IF(Tabela1[[#This Row],[Durable Goods CPI]]="",#N/A,((Tabela1[[#This Row],[Durable Goods CPI]]*1)/P458)-1)</f>
        <v>5.655042412818112E-3</v>
      </c>
      <c r="S470" s="7">
        <v>4.8919508040000004</v>
      </c>
      <c r="T470" s="7">
        <v>50.85</v>
      </c>
      <c r="U470" s="8">
        <f>IF(Tabela1[[#This Row],[Personal Consumption Expenditures (PCE)]]="",#N/A,((Tabela1[[#This Row],[Personal Consumption Expenditures (PCE)]]*1)/T469)-1)</f>
        <v>3.3543804262037291E-3</v>
      </c>
      <c r="V470" s="8">
        <f>IF(Tabela1[[#This Row],[Personal Consumption Expenditures (PCE)]]="",#N/A,((Tabela1[[#This Row],[Personal Consumption Expenditures (PCE)]]*1)/T458)-1)</f>
        <v>3.6042460422566647E-2</v>
      </c>
      <c r="W470" s="7">
        <v>50.826999999999998</v>
      </c>
      <c r="X470" s="8">
        <f>IF(Tabela1[[#This Row],[Core PCE]]="",#N/A,((Tabela1[[#This Row],[Core PCE]]*1)/W469)-1)</f>
        <v>2.7224841681627865E-3</v>
      </c>
      <c r="Y470" s="8">
        <f>IF(Tabela1[[#This Row],[Core PCE]]="",#N/A,((Tabela1[[#This Row],[Core PCE]]*1)/W458)-1)</f>
        <v>3.9598290073837639E-2</v>
      </c>
      <c r="Z470" s="8">
        <f t="shared" si="21"/>
        <v>2.7116968174135891E-2</v>
      </c>
      <c r="AA470" s="8">
        <f t="shared" si="20"/>
        <v>3.3342207778680244E-2</v>
      </c>
      <c r="AB470" s="7">
        <v>3.62</v>
      </c>
      <c r="AC470" s="7"/>
      <c r="AD470" s="8"/>
      <c r="AE470" s="71"/>
      <c r="AF470" s="7">
        <v>3.5</v>
      </c>
      <c r="AG470" s="5"/>
    </row>
    <row r="471" spans="1:33" ht="12.75">
      <c r="A471" s="6">
        <v>31413</v>
      </c>
      <c r="B471" s="7">
        <v>109.9</v>
      </c>
      <c r="C471" s="8">
        <f>IF(Tabela1[[#This Row],[Consumer Price Index (CPI)]]="",#N/A,((Tabela1[[#This Row],[Consumer Price Index (CPI)]]*1)/B470)-1)</f>
        <v>3.6529680365298134E-3</v>
      </c>
      <c r="D471" s="8">
        <f>IF(Tabela1[[#This Row],[Consumer Price Index (CPI)]]="",#N/A,((Tabela1[[#This Row],[Consumer Price Index (CPI)]]*1)/B459)-1)</f>
        <v>3.9735099337748325E-2</v>
      </c>
      <c r="E471" s="25">
        <v>111.9</v>
      </c>
      <c r="F471" s="8">
        <f>IF(Tabela1[[#This Row],[Core Consumer Price Index]]="",#N/A,((Tabela1[[#This Row],[Core Consumer Price Index]]*1)/E470)-1)</f>
        <v>4.4883303411131781E-3</v>
      </c>
      <c r="G471" s="8">
        <f>IF(Tabela1[[#This Row],[Core Consumer Price Index]]="",#N/A,((Tabela1[[#This Row],[Core Consumer Price Index]]*1)/E459)-1)</f>
        <v>4.481792717086841E-2</v>
      </c>
      <c r="H471" s="8">
        <f t="shared" si="22"/>
        <v>5.0473858486038914E-2</v>
      </c>
      <c r="I471" s="8">
        <f t="shared" si="23"/>
        <v>4.5283439843070816E-2</v>
      </c>
      <c r="J471" s="25">
        <v>113.1</v>
      </c>
      <c r="K471" s="8">
        <f>IF(Tabela1[[#This Row],[Services CPI]]="",#N/A,((Tabela1[[#This Row],[Services CPI]]*1)/J470)-1)</f>
        <v>5.33333333333319E-3</v>
      </c>
      <c r="L471" s="8">
        <f>IF(Tabela1[[#This Row],[Services CPI]]="",#N/A,((Tabela1[[#This Row],[Services CPI]]*1)/J459)-1)</f>
        <v>5.3072625698323828E-2</v>
      </c>
      <c r="M471" s="7">
        <v>113.8</v>
      </c>
      <c r="N471" s="8">
        <f>IF(Tabela1[[#This Row],[Core-Services CPI]]="",#N/A,((Tabela1[[#This Row],[Core-Services CPI]]*1)/M470)-1)</f>
        <v>5.300353356890497E-3</v>
      </c>
      <c r="O471" s="8">
        <f>IF(Tabela1[[#This Row],[Core-Services CPI]]="",#N/A,((Tabela1[[#This Row],[Core-Services CPI]]*1)/M459)-1)</f>
        <v>5.8604651162790677E-2</v>
      </c>
      <c r="P471" s="7">
        <v>106.7</v>
      </c>
      <c r="Q471" s="8">
        <f>IF(Tabela1[[#This Row],[Durable Goods CPI]]="",#N/A,((Tabela1[[#This Row],[Durable Goods CPI]]*1)/P470)-1)</f>
        <v>0</v>
      </c>
      <c r="R471" s="8">
        <f>IF(Tabela1[[#This Row],[Durable Goods CPI]]="",#N/A,((Tabela1[[#This Row],[Durable Goods CPI]]*1)/P459)-1)</f>
        <v>5.655042412818112E-3</v>
      </c>
      <c r="S471" s="7">
        <v>5.1499951690000003</v>
      </c>
      <c r="T471" s="7">
        <v>51.084000000000003</v>
      </c>
      <c r="U471" s="8">
        <f>IF(Tabela1[[#This Row],[Personal Consumption Expenditures (PCE)]]="",#N/A,((Tabela1[[#This Row],[Personal Consumption Expenditures (PCE)]]*1)/T470)-1)</f>
        <v>4.6017699115044053E-3</v>
      </c>
      <c r="V471" s="8">
        <f>IF(Tabela1[[#This Row],[Personal Consumption Expenditures (PCE)]]="",#N/A,((Tabela1[[#This Row],[Personal Consumption Expenditures (PCE)]]*1)/T459)-1)</f>
        <v>3.5640433037343433E-2</v>
      </c>
      <c r="W471" s="7">
        <v>51.100999999999999</v>
      </c>
      <c r="X471" s="8">
        <f>IF(Tabela1[[#This Row],[Core PCE]]="",#N/A,((Tabela1[[#This Row],[Core PCE]]*1)/W470)-1)</f>
        <v>5.3908355795149188E-3</v>
      </c>
      <c r="Y471" s="8">
        <f>IF(Tabela1[[#This Row],[Core PCE]]="",#N/A,((Tabela1[[#This Row],[Core PCE]]*1)/W459)-1)</f>
        <v>3.9377606020543077E-2</v>
      </c>
      <c r="Z471" s="8">
        <f t="shared" si="21"/>
        <v>4.2262435521908337E-2</v>
      </c>
      <c r="AA471" s="8">
        <f t="shared" si="20"/>
        <v>3.8282477001245319E-2</v>
      </c>
      <c r="AB471" s="7">
        <v>3.72</v>
      </c>
      <c r="AC471" s="7"/>
      <c r="AD471" s="8"/>
      <c r="AE471" s="71"/>
      <c r="AF471" s="7">
        <v>2.9</v>
      </c>
      <c r="AG471" s="5"/>
    </row>
    <row r="472" spans="1:33" ht="12.75">
      <c r="A472" s="6">
        <v>31444</v>
      </c>
      <c r="B472" s="7">
        <v>109.7</v>
      </c>
      <c r="C472" s="8">
        <f>IF(Tabela1[[#This Row],[Consumer Price Index (CPI)]]="",#N/A,((Tabela1[[#This Row],[Consumer Price Index (CPI)]]*1)/B471)-1)</f>
        <v>-1.8198362147406888E-3</v>
      </c>
      <c r="D472" s="8">
        <f>IF(Tabela1[[#This Row],[Consumer Price Index (CPI)]]="",#N/A,((Tabela1[[#This Row],[Consumer Price Index (CPI)]]*1)/B460)-1)</f>
        <v>3.1984948259642598E-2</v>
      </c>
      <c r="E472" s="25">
        <v>112.2</v>
      </c>
      <c r="F472" s="8">
        <f>IF(Tabela1[[#This Row],[Core Consumer Price Index]]="",#N/A,((Tabela1[[#This Row],[Core Consumer Price Index]]*1)/E471)-1)</f>
        <v>2.6809651474530849E-3</v>
      </c>
      <c r="G472" s="8">
        <f>IF(Tabela1[[#This Row],[Core Consumer Price Index]]="",#N/A,((Tabela1[[#This Row],[Core Consumer Price Index]]*1)/E460)-1)</f>
        <v>4.1782729805013963E-2</v>
      </c>
      <c r="H472" s="8">
        <f t="shared" si="22"/>
        <v>3.947826206227667E-2</v>
      </c>
      <c r="I472" s="8">
        <f t="shared" si="23"/>
        <v>4.333275587837937E-2</v>
      </c>
      <c r="J472" s="25">
        <v>113.5</v>
      </c>
      <c r="K472" s="8">
        <f>IF(Tabela1[[#This Row],[Services CPI]]="",#N/A,((Tabela1[[#This Row],[Services CPI]]*1)/J471)-1)</f>
        <v>3.5366931918656697E-3</v>
      </c>
      <c r="L472" s="8">
        <f>IF(Tabela1[[#This Row],[Services CPI]]="",#N/A,((Tabela1[[#This Row],[Services CPI]]*1)/J460)-1)</f>
        <v>5.1899907321593997E-2</v>
      </c>
      <c r="M472" s="7">
        <v>114.3</v>
      </c>
      <c r="N472" s="8">
        <f>IF(Tabela1[[#This Row],[Core-Services CPI]]="",#N/A,((Tabela1[[#This Row],[Core-Services CPI]]*1)/M471)-1)</f>
        <v>4.3936731107205862E-3</v>
      </c>
      <c r="O472" s="8">
        <f>IF(Tabela1[[#This Row],[Core-Services CPI]]="",#N/A,((Tabela1[[#This Row],[Core-Services CPI]]*1)/M460)-1)</f>
        <v>5.8333333333333348E-2</v>
      </c>
      <c r="P472" s="7">
        <v>106.3</v>
      </c>
      <c r="Q472" s="8">
        <f>IF(Tabela1[[#This Row],[Durable Goods CPI]]="",#N/A,((Tabela1[[#This Row],[Durable Goods CPI]]*1)/P471)-1)</f>
        <v>-3.7488284910965897E-3</v>
      </c>
      <c r="R472" s="8">
        <f>IF(Tabela1[[#This Row],[Durable Goods CPI]]="",#N/A,((Tabela1[[#This Row],[Durable Goods CPI]]*1)/P460)-1)</f>
        <v>-4.6816479400748623E-3</v>
      </c>
      <c r="S472" s="7">
        <v>5.0307320070000001</v>
      </c>
      <c r="T472" s="7">
        <v>51.084000000000003</v>
      </c>
      <c r="U472" s="8">
        <f>IF(Tabela1[[#This Row],[Personal Consumption Expenditures (PCE)]]="",#N/A,((Tabela1[[#This Row],[Personal Consumption Expenditures (PCE)]]*1)/T471)-1)</f>
        <v>0</v>
      </c>
      <c r="V472" s="8">
        <f>IF(Tabela1[[#This Row],[Personal Consumption Expenditures (PCE)]]="",#N/A,((Tabela1[[#This Row],[Personal Consumption Expenditures (PCE)]]*1)/T460)-1)</f>
        <v>3.0854605993340778E-2</v>
      </c>
      <c r="W472" s="7">
        <v>51.232999999999997</v>
      </c>
      <c r="X472" s="8">
        <f>IF(Tabela1[[#This Row],[Core PCE]]="",#N/A,((Tabela1[[#This Row],[Core PCE]]*1)/W471)-1)</f>
        <v>2.5831197041152887E-3</v>
      </c>
      <c r="Y472" s="8">
        <f>IF(Tabela1[[#This Row],[Core PCE]]="",#N/A,((Tabela1[[#This Row],[Core PCE]]*1)/W460)-1)</f>
        <v>3.6685552407931921E-2</v>
      </c>
      <c r="Z472" s="8">
        <f t="shared" si="21"/>
        <v>4.2785757807171976E-2</v>
      </c>
      <c r="AA472" s="8">
        <f t="shared" si="20"/>
        <v>3.3635017123561983E-2</v>
      </c>
      <c r="AB472" s="7">
        <v>3.47</v>
      </c>
      <c r="AC472" s="7"/>
      <c r="AD472" s="8"/>
      <c r="AE472" s="71"/>
      <c r="AF472" s="7">
        <v>2.8</v>
      </c>
      <c r="AG472" s="5"/>
    </row>
    <row r="473" spans="1:33" ht="12.75">
      <c r="A473" s="6">
        <v>31472</v>
      </c>
      <c r="B473" s="7">
        <v>109.1</v>
      </c>
      <c r="C473" s="8">
        <f>IF(Tabela1[[#This Row],[Consumer Price Index (CPI)]]="",#N/A,((Tabela1[[#This Row],[Consumer Price Index (CPI)]]*1)/B472)-1)</f>
        <v>-5.4694621695533518E-3</v>
      </c>
      <c r="D473" s="8">
        <f>IF(Tabela1[[#This Row],[Consumer Price Index (CPI)]]="",#N/A,((Tabela1[[#This Row],[Consumer Price Index (CPI)]]*1)/B461)-1)</f>
        <v>2.1535580524344455E-2</v>
      </c>
      <c r="E473" s="25">
        <v>112.5</v>
      </c>
      <c r="F473" s="8">
        <f>IF(Tabela1[[#This Row],[Core Consumer Price Index]]="",#N/A,((Tabela1[[#This Row],[Core Consumer Price Index]]*1)/E472)-1)</f>
        <v>2.673796791443861E-3</v>
      </c>
      <c r="G473" s="8">
        <f>IF(Tabela1[[#This Row],[Core Consumer Price Index]]="",#N/A,((Tabela1[[#This Row],[Core Consumer Price Index]]*1)/E461)-1)</f>
        <v>4.0703052728954692E-2</v>
      </c>
      <c r="H473" s="8">
        <f t="shared" si="22"/>
        <v>3.9372369120040496E-2</v>
      </c>
      <c r="I473" s="8">
        <f t="shared" si="23"/>
        <v>4.5037362211722609E-2</v>
      </c>
      <c r="J473" s="25">
        <v>114.1</v>
      </c>
      <c r="K473" s="8">
        <f>IF(Tabela1[[#This Row],[Services CPI]]="",#N/A,((Tabela1[[#This Row],[Services CPI]]*1)/J472)-1)</f>
        <v>5.2863436123347096E-3</v>
      </c>
      <c r="L473" s="8">
        <f>IF(Tabela1[[#This Row],[Services CPI]]="",#N/A,((Tabela1[[#This Row],[Services CPI]]*1)/J461)-1)</f>
        <v>5.2583025830258201E-2</v>
      </c>
      <c r="M473" s="7">
        <v>115</v>
      </c>
      <c r="N473" s="8">
        <f>IF(Tabela1[[#This Row],[Core-Services CPI]]="",#N/A,((Tabela1[[#This Row],[Core-Services CPI]]*1)/M472)-1)</f>
        <v>6.1242344706911034E-3</v>
      </c>
      <c r="O473" s="8">
        <f>IF(Tabela1[[#This Row],[Core-Services CPI]]="",#N/A,((Tabela1[[#This Row],[Core-Services CPI]]*1)/M461)-1)</f>
        <v>5.9907834101382562E-2</v>
      </c>
      <c r="P473" s="7">
        <v>106.3</v>
      </c>
      <c r="Q473" s="8">
        <f>IF(Tabela1[[#This Row],[Durable Goods CPI]]="",#N/A,((Tabela1[[#This Row],[Durable Goods CPI]]*1)/P472)-1)</f>
        <v>0</v>
      </c>
      <c r="R473" s="8">
        <f>IF(Tabela1[[#This Row],[Durable Goods CPI]]="",#N/A,((Tabela1[[#This Row],[Durable Goods CPI]]*1)/P461)-1)</f>
        <v>-8.3955223880597396E-3</v>
      </c>
      <c r="S473" s="7">
        <v>5.2969611319999998</v>
      </c>
      <c r="T473" s="7">
        <v>50.972000000000001</v>
      </c>
      <c r="U473" s="8">
        <f>IF(Tabela1[[#This Row],[Personal Consumption Expenditures (PCE)]]="",#N/A,((Tabela1[[#This Row],[Personal Consumption Expenditures (PCE)]]*1)/T472)-1)</f>
        <v>-2.1924673087464486E-3</v>
      </c>
      <c r="V473" s="8">
        <f>IF(Tabela1[[#This Row],[Personal Consumption Expenditures (PCE)]]="",#N/A,((Tabela1[[#This Row],[Personal Consumption Expenditures (PCE)]]*1)/T461)-1)</f>
        <v>2.4583408711732924E-2</v>
      </c>
      <c r="W473" s="7">
        <v>51.389000000000003</v>
      </c>
      <c r="X473" s="8">
        <f>IF(Tabela1[[#This Row],[Core PCE]]="",#N/A,((Tabela1[[#This Row],[Core PCE]]*1)/W472)-1)</f>
        <v>3.0449124587670351E-3</v>
      </c>
      <c r="Y473" s="8">
        <f>IF(Tabela1[[#This Row],[Core PCE]]="",#N/A,((Tabela1[[#This Row],[Core PCE]]*1)/W461)-1)</f>
        <v>3.6214788377392004E-2</v>
      </c>
      <c r="Z473" s="8">
        <f t="shared" si="21"/>
        <v>4.407547096958897E-2</v>
      </c>
      <c r="AA473" s="8">
        <f t="shared" ref="AA473:AA536" si="24">SUM(X468:X473)*2</f>
        <v>3.5596219571862431E-2</v>
      </c>
      <c r="AB473" s="7">
        <v>3.28</v>
      </c>
      <c r="AC473" s="7"/>
      <c r="AD473" s="8"/>
      <c r="AE473" s="71"/>
      <c r="AF473" s="7">
        <v>2.2999999999999998</v>
      </c>
      <c r="AG473" s="5"/>
    </row>
    <row r="474" spans="1:33" ht="12.75">
      <c r="A474" s="6">
        <v>31503</v>
      </c>
      <c r="B474" s="7">
        <v>108.7</v>
      </c>
      <c r="C474" s="8">
        <f>IF(Tabela1[[#This Row],[Consumer Price Index (CPI)]]="",#N/A,((Tabela1[[#This Row],[Consumer Price Index (CPI)]]*1)/B473)-1)</f>
        <v>-3.6663611365719273E-3</v>
      </c>
      <c r="D474" s="8">
        <f>IF(Tabela1[[#This Row],[Consumer Price Index (CPI)]]="",#N/A,((Tabela1[[#This Row],[Consumer Price Index (CPI)]]*1)/B462)-1)</f>
        <v>1.5887850467289688E-2</v>
      </c>
      <c r="E474" s="25">
        <v>112.9</v>
      </c>
      <c r="F474" s="8">
        <f>IF(Tabela1[[#This Row],[Core Consumer Price Index]]="",#N/A,((Tabela1[[#This Row],[Core Consumer Price Index]]*1)/E473)-1)</f>
        <v>3.555555555555534E-3</v>
      </c>
      <c r="G474" s="8">
        <f>IF(Tabela1[[#This Row],[Core Consumer Price Index]]="",#N/A,((Tabela1[[#This Row],[Core Consumer Price Index]]*1)/E462)-1)</f>
        <v>4.151291512915134E-2</v>
      </c>
      <c r="H474" s="8">
        <f t="shared" si="22"/>
        <v>3.564126997780992E-2</v>
      </c>
      <c r="I474" s="8">
        <f t="shared" si="23"/>
        <v>4.3057564231924417E-2</v>
      </c>
      <c r="J474" s="25">
        <v>114.6</v>
      </c>
      <c r="K474" s="8">
        <f>IF(Tabela1[[#This Row],[Services CPI]]="",#N/A,((Tabela1[[#This Row],[Services CPI]]*1)/J473)-1)</f>
        <v>4.382120946538226E-3</v>
      </c>
      <c r="L474" s="8">
        <f>IF(Tabela1[[#This Row],[Services CPI]]="",#N/A,((Tabela1[[#This Row],[Services CPI]]*1)/J462)-1)</f>
        <v>5.4277828886844404E-2</v>
      </c>
      <c r="M474" s="7">
        <v>115.6</v>
      </c>
      <c r="N474" s="8">
        <f>IF(Tabela1[[#This Row],[Core-Services CPI]]="",#N/A,((Tabela1[[#This Row],[Core-Services CPI]]*1)/M473)-1)</f>
        <v>5.2173913043478404E-3</v>
      </c>
      <c r="O474" s="8">
        <f>IF(Tabela1[[#This Row],[Core-Services CPI]]="",#N/A,((Tabela1[[#This Row],[Core-Services CPI]]*1)/M462)-1)</f>
        <v>6.25E-2</v>
      </c>
      <c r="P474" s="7">
        <v>106.2</v>
      </c>
      <c r="Q474" s="8">
        <f>IF(Tabela1[[#This Row],[Durable Goods CPI]]="",#N/A,((Tabela1[[#This Row],[Durable Goods CPI]]*1)/P473)-1)</f>
        <v>-9.4073377234238365E-4</v>
      </c>
      <c r="R474" s="8">
        <f>IF(Tabela1[[#This Row],[Durable Goods CPI]]="",#N/A,((Tabela1[[#This Row],[Durable Goods CPI]]*1)/P462)-1)</f>
        <v>-1.2093023255813962E-2</v>
      </c>
      <c r="S474" s="7">
        <v>5.1249475760000003</v>
      </c>
      <c r="T474" s="7">
        <v>50.868000000000002</v>
      </c>
      <c r="U474" s="8">
        <f>IF(Tabela1[[#This Row],[Personal Consumption Expenditures (PCE)]]="",#N/A,((Tabela1[[#This Row],[Personal Consumption Expenditures (PCE)]]*1)/T473)-1)</f>
        <v>-2.0403358706740926E-3</v>
      </c>
      <c r="V474" s="8">
        <f>IF(Tabela1[[#This Row],[Personal Consumption Expenditures (PCE)]]="",#N/A,((Tabela1[[#This Row],[Personal Consumption Expenditures (PCE)]]*1)/T462)-1)</f>
        <v>2.1015234539651928E-2</v>
      </c>
      <c r="W474" s="7">
        <v>51.481999999999999</v>
      </c>
      <c r="X474" s="8">
        <f>IF(Tabela1[[#This Row],[Core PCE]]="",#N/A,((Tabela1[[#This Row],[Core PCE]]*1)/W473)-1)</f>
        <v>1.8097258168090491E-3</v>
      </c>
      <c r="Y474" s="8">
        <f>IF(Tabela1[[#This Row],[Core PCE]]="",#N/A,((Tabela1[[#This Row],[Core PCE]]*1)/W462)-1)</f>
        <v>3.6856521388866526E-2</v>
      </c>
      <c r="Z474" s="8">
        <f t="shared" si="21"/>
        <v>2.9751031918765491E-2</v>
      </c>
      <c r="AA474" s="8">
        <f t="shared" si="24"/>
        <v>3.6006733720336914E-2</v>
      </c>
      <c r="AB474" s="7">
        <v>3.33</v>
      </c>
      <c r="AC474" s="7"/>
      <c r="AD474" s="8"/>
      <c r="AE474" s="71"/>
      <c r="AF474" s="7">
        <v>2.4</v>
      </c>
      <c r="AG474" s="5"/>
    </row>
    <row r="475" spans="1:33" ht="12.75">
      <c r="A475" s="6">
        <v>31533</v>
      </c>
      <c r="B475" s="7">
        <v>109</v>
      </c>
      <c r="C475" s="8">
        <f>IF(Tabela1[[#This Row],[Consumer Price Index (CPI)]]="",#N/A,((Tabela1[[#This Row],[Consumer Price Index (CPI)]]*1)/B474)-1)</f>
        <v>2.7598896044158661E-3</v>
      </c>
      <c r="D475" s="8">
        <f>IF(Tabela1[[#This Row],[Consumer Price Index (CPI)]]="",#N/A,((Tabela1[[#This Row],[Consumer Price Index (CPI)]]*1)/B463)-1)</f>
        <v>1.6791044776119479E-2</v>
      </c>
      <c r="E475" s="25">
        <v>113.1</v>
      </c>
      <c r="F475" s="8">
        <f>IF(Tabela1[[#This Row],[Core Consumer Price Index]]="",#N/A,((Tabela1[[#This Row],[Core Consumer Price Index]]*1)/E474)-1)</f>
        <v>1.771479185119551E-3</v>
      </c>
      <c r="G475" s="8">
        <f>IF(Tabela1[[#This Row],[Core Consumer Price Index]]="",#N/A,((Tabela1[[#This Row],[Core Consumer Price Index]]*1)/E463)-1)</f>
        <v>3.9522058823529438E-2</v>
      </c>
      <c r="H475" s="8">
        <f t="shared" si="22"/>
        <v>3.2003326128475784E-2</v>
      </c>
      <c r="I475" s="8">
        <f t="shared" si="23"/>
        <v>3.5740794095376227E-2</v>
      </c>
      <c r="J475" s="25">
        <v>114.8</v>
      </c>
      <c r="K475" s="8">
        <f>IF(Tabela1[[#This Row],[Services CPI]]="",#N/A,((Tabela1[[#This Row],[Services CPI]]*1)/J474)-1)</f>
        <v>1.7452006980802626E-3</v>
      </c>
      <c r="L475" s="8">
        <f>IF(Tabela1[[#This Row],[Services CPI]]="",#N/A,((Tabela1[[#This Row],[Services CPI]]*1)/J463)-1)</f>
        <v>4.936014625228502E-2</v>
      </c>
      <c r="M475" s="7">
        <v>115.9</v>
      </c>
      <c r="N475" s="8">
        <f>IF(Tabela1[[#This Row],[Core-Services CPI]]="",#N/A,((Tabela1[[#This Row],[Core-Services CPI]]*1)/M474)-1)</f>
        <v>2.5951557093426558E-3</v>
      </c>
      <c r="O475" s="8">
        <f>IF(Tabela1[[#This Row],[Core-Services CPI]]="",#N/A,((Tabela1[[#This Row],[Core-Services CPI]]*1)/M463)-1)</f>
        <v>5.7481751824817628E-2</v>
      </c>
      <c r="P475" s="7">
        <v>106.3</v>
      </c>
      <c r="Q475" s="8">
        <f>IF(Tabela1[[#This Row],[Durable Goods CPI]]="",#N/A,((Tabela1[[#This Row],[Durable Goods CPI]]*1)/P474)-1)</f>
        <v>9.416195856872811E-4</v>
      </c>
      <c r="R475" s="8">
        <f>IF(Tabela1[[#This Row],[Durable Goods CPI]]="",#N/A,((Tabela1[[#This Row],[Durable Goods CPI]]*1)/P463)-1)</f>
        <v>-7.4696545284780314E-3</v>
      </c>
      <c r="S475" s="7">
        <v>5.2298542609999998</v>
      </c>
      <c r="T475" s="7">
        <v>50.960999999999999</v>
      </c>
      <c r="U475" s="8">
        <f>IF(Tabela1[[#This Row],[Personal Consumption Expenditures (PCE)]]="",#N/A,((Tabela1[[#This Row],[Personal Consumption Expenditures (PCE)]]*1)/T474)-1)</f>
        <v>1.8282613824014415E-3</v>
      </c>
      <c r="V475" s="8">
        <f>IF(Tabela1[[#This Row],[Personal Consumption Expenditures (PCE)]]="",#N/A,((Tabela1[[#This Row],[Personal Consumption Expenditures (PCE)]]*1)/T463)-1)</f>
        <v>2.0464967260057199E-2</v>
      </c>
      <c r="W475" s="7">
        <v>51.57</v>
      </c>
      <c r="X475" s="8">
        <f>IF(Tabela1[[#This Row],[Core PCE]]="",#N/A,((Tabela1[[#This Row],[Core PCE]]*1)/W474)-1)</f>
        <v>1.7093353016588431E-3</v>
      </c>
      <c r="Y475" s="8">
        <f>IF(Tabela1[[#This Row],[Core PCE]]="",#N/A,((Tabela1[[#This Row],[Core PCE]]*1)/W463)-1)</f>
        <v>3.5064127009613921E-2</v>
      </c>
      <c r="Z475" s="8">
        <f t="shared" si="21"/>
        <v>2.6255894308939709E-2</v>
      </c>
      <c r="AA475" s="8">
        <f t="shared" si="24"/>
        <v>3.4520826058055842E-2</v>
      </c>
      <c r="AB475" s="7">
        <v>3.26</v>
      </c>
      <c r="AC475" s="7"/>
      <c r="AD475" s="8"/>
      <c r="AE475" s="71"/>
      <c r="AF475" s="7">
        <v>2.7</v>
      </c>
      <c r="AG475" s="5"/>
    </row>
    <row r="476" spans="1:33" ht="12.75">
      <c r="A476" s="6">
        <v>31564</v>
      </c>
      <c r="B476" s="7">
        <v>109.4</v>
      </c>
      <c r="C476" s="8">
        <f>IF(Tabela1[[#This Row],[Consumer Price Index (CPI)]]="",#N/A,((Tabela1[[#This Row],[Consumer Price Index (CPI)]]*1)/B475)-1)</f>
        <v>3.6697247706423131E-3</v>
      </c>
      <c r="D476" s="8">
        <f>IF(Tabela1[[#This Row],[Consumer Price Index (CPI)]]="",#N/A,((Tabela1[[#This Row],[Consumer Price Index (CPI)]]*1)/B464)-1)</f>
        <v>1.7674418604651132E-2</v>
      </c>
      <c r="E476" s="25">
        <v>113.4</v>
      </c>
      <c r="F476" s="8">
        <f>IF(Tabela1[[#This Row],[Core Consumer Price Index]]="",#N/A,((Tabela1[[#This Row],[Core Consumer Price Index]]*1)/E475)-1)</f>
        <v>2.6525198938993633E-3</v>
      </c>
      <c r="G476" s="8">
        <f>IF(Tabela1[[#This Row],[Core Consumer Price Index]]="",#N/A,((Tabela1[[#This Row],[Core Consumer Price Index]]*1)/E464)-1)</f>
        <v>3.9413382218148607E-2</v>
      </c>
      <c r="H476" s="8">
        <f t="shared" si="22"/>
        <v>3.1918218538297793E-2</v>
      </c>
      <c r="I476" s="8">
        <f t="shared" si="23"/>
        <v>3.5645293829169145E-2</v>
      </c>
      <c r="J476" s="25">
        <v>115.5</v>
      </c>
      <c r="K476" s="8">
        <f>IF(Tabela1[[#This Row],[Services CPI]]="",#N/A,((Tabela1[[#This Row],[Services CPI]]*1)/J475)-1)</f>
        <v>6.0975609756097615E-3</v>
      </c>
      <c r="L476" s="8">
        <f>IF(Tabela1[[#This Row],[Services CPI]]="",#N/A,((Tabela1[[#This Row],[Services CPI]]*1)/J464)-1)</f>
        <v>5.1912568306010876E-2</v>
      </c>
      <c r="M476" s="7">
        <v>116.4</v>
      </c>
      <c r="N476" s="8">
        <f>IF(Tabela1[[#This Row],[Core-Services CPI]]="",#N/A,((Tabela1[[#This Row],[Core-Services CPI]]*1)/M475)-1)</f>
        <v>4.3140638481449223E-3</v>
      </c>
      <c r="O476" s="8">
        <f>IF(Tabela1[[#This Row],[Core-Services CPI]]="",#N/A,((Tabela1[[#This Row],[Core-Services CPI]]*1)/M464)-1)</f>
        <v>5.7220708446866553E-2</v>
      </c>
      <c r="P476" s="7">
        <v>106.6</v>
      </c>
      <c r="Q476" s="8">
        <f>IF(Tabela1[[#This Row],[Durable Goods CPI]]="",#N/A,((Tabela1[[#This Row],[Durable Goods CPI]]*1)/P475)-1)</f>
        <v>2.8222013170271509E-3</v>
      </c>
      <c r="R476" s="8">
        <f>IF(Tabela1[[#This Row],[Durable Goods CPI]]="",#N/A,((Tabela1[[#This Row],[Durable Goods CPI]]*1)/P464)-1)</f>
        <v>-9.3720712277423068E-4</v>
      </c>
      <c r="S476" s="7">
        <v>5.3708572510000003</v>
      </c>
      <c r="T476" s="7">
        <v>51.151000000000003</v>
      </c>
      <c r="U476" s="8">
        <f>IF(Tabela1[[#This Row],[Personal Consumption Expenditures (PCE)]]="",#N/A,((Tabela1[[#This Row],[Personal Consumption Expenditures (PCE)]]*1)/T475)-1)</f>
        <v>3.7283412805872995E-3</v>
      </c>
      <c r="V476" s="8">
        <f>IF(Tabela1[[#This Row],[Personal Consumption Expenditures (PCE)]]="",#N/A,((Tabela1[[#This Row],[Personal Consumption Expenditures (PCE)]]*1)/T464)-1)</f>
        <v>2.1487768347478786E-2</v>
      </c>
      <c r="W476" s="7">
        <v>51.725000000000001</v>
      </c>
      <c r="X476" s="8">
        <f>IF(Tabela1[[#This Row],[Core PCE]]="",#N/A,((Tabela1[[#This Row],[Core PCE]]*1)/W475)-1)</f>
        <v>3.0056234244715263E-3</v>
      </c>
      <c r="Y476" s="8">
        <f>IF(Tabela1[[#This Row],[Core PCE]]="",#N/A,((Tabela1[[#This Row],[Core PCE]]*1)/W464)-1)</f>
        <v>3.4748339601504474E-2</v>
      </c>
      <c r="Z476" s="8">
        <f t="shared" si="21"/>
        <v>2.6098738171757674E-2</v>
      </c>
      <c r="AA476" s="8">
        <f t="shared" si="24"/>
        <v>3.5087104570673322E-2</v>
      </c>
      <c r="AB476" s="7">
        <v>3.24</v>
      </c>
      <c r="AC476" s="7"/>
      <c r="AD476" s="8"/>
      <c r="AE476" s="71"/>
      <c r="AF476" s="7">
        <v>2.9</v>
      </c>
      <c r="AG476" s="5"/>
    </row>
    <row r="477" spans="1:33" ht="12.75">
      <c r="A477" s="6">
        <v>31594</v>
      </c>
      <c r="B477" s="7">
        <v>109.5</v>
      </c>
      <c r="C477" s="8">
        <f>IF(Tabela1[[#This Row],[Consumer Price Index (CPI)]]="",#N/A,((Tabela1[[#This Row],[Consumer Price Index (CPI)]]*1)/B476)-1)</f>
        <v>9.1407678244959101E-4</v>
      </c>
      <c r="D477" s="8">
        <f>IF(Tabela1[[#This Row],[Consumer Price Index (CPI)]]="",#N/A,((Tabela1[[#This Row],[Consumer Price Index (CPI)]]*1)/B465)-1)</f>
        <v>1.6713091922005541E-2</v>
      </c>
      <c r="E477" s="25">
        <v>113.8</v>
      </c>
      <c r="F477" s="8">
        <f>IF(Tabela1[[#This Row],[Core Consumer Price Index]]="",#N/A,((Tabela1[[#This Row],[Core Consumer Price Index]]*1)/E476)-1)</f>
        <v>3.5273368606700828E-3</v>
      </c>
      <c r="G477" s="8">
        <f>IF(Tabela1[[#This Row],[Core Consumer Price Index]]="",#N/A,((Tabela1[[#This Row],[Core Consumer Price Index]]*1)/E465)-1)</f>
        <v>4.0219378427787777E-2</v>
      </c>
      <c r="H477" s="8">
        <f t="shared" si="22"/>
        <v>3.1805343758755988E-2</v>
      </c>
      <c r="I477" s="8">
        <f t="shared" si="23"/>
        <v>3.3723306868282954E-2</v>
      </c>
      <c r="J477" s="25">
        <v>115.7</v>
      </c>
      <c r="K477" s="8">
        <f>IF(Tabela1[[#This Row],[Services CPI]]="",#N/A,((Tabela1[[#This Row],[Services CPI]]*1)/J476)-1)</f>
        <v>1.7316017316018062E-3</v>
      </c>
      <c r="L477" s="8">
        <f>IF(Tabela1[[#This Row],[Services CPI]]="",#N/A,((Tabela1[[#This Row],[Services CPI]]*1)/J465)-1)</f>
        <v>4.8957388939256719E-2</v>
      </c>
      <c r="M477" s="7">
        <v>116.8</v>
      </c>
      <c r="N477" s="8">
        <f>IF(Tabela1[[#This Row],[Core-Services CPI]]="",#N/A,((Tabela1[[#This Row],[Core-Services CPI]]*1)/M476)-1)</f>
        <v>3.4364261168384758E-3</v>
      </c>
      <c r="O477" s="8">
        <f>IF(Tabela1[[#This Row],[Core-Services CPI]]="",#N/A,((Tabela1[[#This Row],[Core-Services CPI]]*1)/M465)-1)</f>
        <v>5.5103884372176948E-2</v>
      </c>
      <c r="P477" s="7">
        <v>106.5</v>
      </c>
      <c r="Q477" s="8">
        <f>IF(Tabela1[[#This Row],[Durable Goods CPI]]="",#N/A,((Tabela1[[#This Row],[Durable Goods CPI]]*1)/P476)-1)</f>
        <v>-9.3808630393987791E-4</v>
      </c>
      <c r="R477" s="8">
        <f>IF(Tabela1[[#This Row],[Durable Goods CPI]]="",#N/A,((Tabela1[[#This Row],[Durable Goods CPI]]*1)/P465)-1)</f>
        <v>9.3984962406001848E-4</v>
      </c>
      <c r="S477" s="7">
        <v>5.0407416810000001</v>
      </c>
      <c r="T477" s="7">
        <v>51.164000000000001</v>
      </c>
      <c r="U477" s="8">
        <f>IF(Tabela1[[#This Row],[Personal Consumption Expenditures (PCE)]]="",#N/A,((Tabela1[[#This Row],[Personal Consumption Expenditures (PCE)]]*1)/T476)-1)</f>
        <v>2.5414947899360385E-4</v>
      </c>
      <c r="V477" s="8">
        <f>IF(Tabela1[[#This Row],[Personal Consumption Expenditures (PCE)]]="",#N/A,((Tabela1[[#This Row],[Personal Consumption Expenditures (PCE)]]*1)/T465)-1)</f>
        <v>1.9243794573488904E-2</v>
      </c>
      <c r="W477" s="7">
        <v>51.819000000000003</v>
      </c>
      <c r="X477" s="8">
        <f>IF(Tabela1[[#This Row],[Core PCE]]="",#N/A,((Tabela1[[#This Row],[Core PCE]]*1)/W476)-1)</f>
        <v>1.8173030449493144E-3</v>
      </c>
      <c r="Y477" s="8">
        <f>IF(Tabela1[[#This Row],[Core PCE]]="",#N/A,((Tabela1[[#This Row],[Core PCE]]*1)/W465)-1)</f>
        <v>3.3609925399928242E-2</v>
      </c>
      <c r="Z477" s="8">
        <f t="shared" si="21"/>
        <v>2.6129047084318735E-2</v>
      </c>
      <c r="AA477" s="8">
        <f t="shared" si="24"/>
        <v>2.7940039501542113E-2</v>
      </c>
      <c r="AB477" s="7">
        <v>3.27</v>
      </c>
      <c r="AC477" s="7"/>
      <c r="AD477" s="8"/>
      <c r="AE477" s="71"/>
      <c r="AF477" s="7">
        <v>2.8</v>
      </c>
      <c r="AG477" s="5"/>
    </row>
    <row r="478" spans="1:33" ht="12.75">
      <c r="A478" s="6">
        <v>31625</v>
      </c>
      <c r="B478" s="7">
        <v>109.6</v>
      </c>
      <c r="C478" s="8">
        <f>IF(Tabela1[[#This Row],[Consumer Price Index (CPI)]]="",#N/A,((Tabela1[[#This Row],[Consumer Price Index (CPI)]]*1)/B477)-1)</f>
        <v>9.1324200913245335E-4</v>
      </c>
      <c r="D478" s="8">
        <f>IF(Tabela1[[#This Row],[Consumer Price Index (CPI)]]="",#N/A,((Tabela1[[#This Row],[Consumer Price Index (CPI)]]*1)/B466)-1)</f>
        <v>1.5755329008340979E-2</v>
      </c>
      <c r="E478" s="25">
        <v>114.2</v>
      </c>
      <c r="F478" s="8">
        <f>IF(Tabela1[[#This Row],[Core Consumer Price Index]]="",#N/A,((Tabela1[[#This Row],[Core Consumer Price Index]]*1)/E477)-1)</f>
        <v>3.5149384885764245E-3</v>
      </c>
      <c r="G478" s="8">
        <f>IF(Tabela1[[#This Row],[Core Consumer Price Index]]="",#N/A,((Tabela1[[#This Row],[Core Consumer Price Index]]*1)/E466)-1)</f>
        <v>4.0072859744990863E-2</v>
      </c>
      <c r="H478" s="8">
        <f t="shared" si="22"/>
        <v>3.8779180972583482E-2</v>
      </c>
      <c r="I478" s="8">
        <f t="shared" si="23"/>
        <v>3.5391253550529633E-2</v>
      </c>
      <c r="J478" s="25">
        <v>116.1</v>
      </c>
      <c r="K478" s="8">
        <f>IF(Tabela1[[#This Row],[Services CPI]]="",#N/A,((Tabela1[[#This Row],[Services CPI]]*1)/J477)-1)</f>
        <v>3.4572169403628283E-3</v>
      </c>
      <c r="L478" s="8">
        <f>IF(Tabela1[[#This Row],[Services CPI]]="",#N/A,((Tabela1[[#This Row],[Services CPI]]*1)/J466)-1)</f>
        <v>4.878048780487787E-2</v>
      </c>
      <c r="M478" s="7">
        <v>117.2</v>
      </c>
      <c r="N478" s="8">
        <f>IF(Tabela1[[#This Row],[Core-Services CPI]]="",#N/A,((Tabela1[[#This Row],[Core-Services CPI]]*1)/M477)-1)</f>
        <v>3.4246575342467001E-3</v>
      </c>
      <c r="O478" s="8">
        <f>IF(Tabela1[[#This Row],[Core-Services CPI]]="",#N/A,((Tabela1[[#This Row],[Core-Services CPI]]*1)/M466)-1)</f>
        <v>5.3956834532374209E-2</v>
      </c>
      <c r="P478" s="7">
        <v>106.7</v>
      </c>
      <c r="Q478" s="8">
        <f>IF(Tabela1[[#This Row],[Durable Goods CPI]]="",#N/A,((Tabela1[[#This Row],[Durable Goods CPI]]*1)/P477)-1)</f>
        <v>1.877934272300541E-3</v>
      </c>
      <c r="R478" s="8">
        <f>IF(Tabela1[[#This Row],[Durable Goods CPI]]="",#N/A,((Tabela1[[#This Row],[Durable Goods CPI]]*1)/P466)-1)</f>
        <v>1.877934272300541E-3</v>
      </c>
      <c r="S478" s="7">
        <v>5.0420808880000001</v>
      </c>
      <c r="T478" s="7">
        <v>51.228000000000002</v>
      </c>
      <c r="U478" s="8">
        <f>IF(Tabela1[[#This Row],[Personal Consumption Expenditures (PCE)]]="",#N/A,((Tabela1[[#This Row],[Personal Consumption Expenditures (PCE)]]*1)/T477)-1)</f>
        <v>1.2508795246657378E-3</v>
      </c>
      <c r="V478" s="8">
        <f>IF(Tabela1[[#This Row],[Personal Consumption Expenditures (PCE)]]="",#N/A,((Tabela1[[#This Row],[Personal Consumption Expenditures (PCE)]]*1)/T466)-1)</f>
        <v>1.7155110793424022E-2</v>
      </c>
      <c r="W478" s="7">
        <v>51.924999999999997</v>
      </c>
      <c r="X478" s="8">
        <f>IF(Tabela1[[#This Row],[Core PCE]]="",#N/A,((Tabela1[[#This Row],[Core PCE]]*1)/W477)-1)</f>
        <v>2.0455817364286588E-3</v>
      </c>
      <c r="Y478" s="8">
        <f>IF(Tabela1[[#This Row],[Core PCE]]="",#N/A,((Tabela1[[#This Row],[Core PCE]]*1)/W466)-1)</f>
        <v>3.0666931321952973E-2</v>
      </c>
      <c r="Z478" s="8">
        <f t="shared" si="21"/>
        <v>2.7474032823397998E-2</v>
      </c>
      <c r="AA478" s="8">
        <f t="shared" si="24"/>
        <v>2.6864963566168854E-2</v>
      </c>
      <c r="AB478" s="7">
        <v>3.19</v>
      </c>
      <c r="AC478" s="7"/>
      <c r="AD478" s="8"/>
      <c r="AE478" s="71"/>
      <c r="AF478" s="7">
        <v>3</v>
      </c>
      <c r="AG478" s="5"/>
    </row>
    <row r="479" spans="1:33" ht="12.75">
      <c r="A479" s="6">
        <v>31656</v>
      </c>
      <c r="B479" s="7">
        <v>110</v>
      </c>
      <c r="C479" s="8">
        <f>IF(Tabela1[[#This Row],[Consumer Price Index (CPI)]]="",#N/A,((Tabela1[[#This Row],[Consumer Price Index (CPI)]]*1)/B478)-1)</f>
        <v>3.6496350364965124E-3</v>
      </c>
      <c r="D479" s="8">
        <f>IF(Tabela1[[#This Row],[Consumer Price Index (CPI)]]="",#N/A,((Tabela1[[#This Row],[Consumer Price Index (CPI)]]*1)/B467)-1)</f>
        <v>1.7576318223866849E-2</v>
      </c>
      <c r="E479" s="25">
        <v>114.6</v>
      </c>
      <c r="F479" s="8">
        <f>IF(Tabela1[[#This Row],[Core Consumer Price Index]]="",#N/A,((Tabela1[[#This Row],[Core Consumer Price Index]]*1)/E478)-1)</f>
        <v>3.5026269702276291E-3</v>
      </c>
      <c r="G479" s="8">
        <f>IF(Tabela1[[#This Row],[Core Consumer Price Index]]="",#N/A,((Tabela1[[#This Row],[Core Consumer Price Index]]*1)/E467)-1)</f>
        <v>4.1818181818181754E-2</v>
      </c>
      <c r="H479" s="8">
        <f t="shared" si="22"/>
        <v>4.2179609277896546E-2</v>
      </c>
      <c r="I479" s="8">
        <f t="shared" si="23"/>
        <v>3.704891390809717E-2</v>
      </c>
      <c r="J479" s="25">
        <v>116.5</v>
      </c>
      <c r="K479" s="8">
        <f>IF(Tabela1[[#This Row],[Services CPI]]="",#N/A,((Tabela1[[#This Row],[Services CPI]]*1)/J478)-1)</f>
        <v>3.445305770887197E-3</v>
      </c>
      <c r="L479" s="8">
        <f>IF(Tabela1[[#This Row],[Services CPI]]="",#N/A,((Tabela1[[#This Row],[Services CPI]]*1)/J467)-1)</f>
        <v>4.9549549549549488E-2</v>
      </c>
      <c r="M479" s="7">
        <v>117.7</v>
      </c>
      <c r="N479" s="8">
        <f>IF(Tabela1[[#This Row],[Core-Services CPI]]="",#N/A,((Tabela1[[#This Row],[Core-Services CPI]]*1)/M478)-1)</f>
        <v>4.2662116040954601E-3</v>
      </c>
      <c r="O479" s="8">
        <f>IF(Tabela1[[#This Row],[Core-Services CPI]]="",#N/A,((Tabela1[[#This Row],[Core-Services CPI]]*1)/M467)-1)</f>
        <v>5.5605381165919399E-2</v>
      </c>
      <c r="P479" s="7">
        <v>106.9</v>
      </c>
      <c r="Q479" s="8">
        <f>IF(Tabela1[[#This Row],[Durable Goods CPI]]="",#N/A,((Tabela1[[#This Row],[Durable Goods CPI]]*1)/P478)-1)</f>
        <v>1.8744142455482393E-3</v>
      </c>
      <c r="R479" s="8">
        <f>IF(Tabela1[[#This Row],[Durable Goods CPI]]="",#N/A,((Tabela1[[#This Row],[Durable Goods CPI]]*1)/P467)-1)</f>
        <v>2.8142589118200778E-3</v>
      </c>
      <c r="S479" s="7">
        <v>4.9752910610000001</v>
      </c>
      <c r="T479" s="7">
        <v>51.396000000000001</v>
      </c>
      <c r="U479" s="8">
        <f>IF(Tabela1[[#This Row],[Personal Consumption Expenditures (PCE)]]="",#N/A,((Tabela1[[#This Row],[Personal Consumption Expenditures (PCE)]]*1)/T478)-1)</f>
        <v>3.2794565472007431E-3</v>
      </c>
      <c r="V479" s="8">
        <f>IF(Tabela1[[#This Row],[Personal Consumption Expenditures (PCE)]]="",#N/A,((Tabela1[[#This Row],[Personal Consumption Expenditures (PCE)]]*1)/T467)-1)</f>
        <v>1.8771432535828358E-2</v>
      </c>
      <c r="W479" s="7">
        <v>52.095999999999997</v>
      </c>
      <c r="X479" s="8">
        <f>IF(Tabela1[[#This Row],[Core PCE]]="",#N/A,((Tabela1[[#This Row],[Core PCE]]*1)/W478)-1)</f>
        <v>3.2932113625421255E-3</v>
      </c>
      <c r="Y479" s="8">
        <f>IF(Tabela1[[#This Row],[Core PCE]]="",#N/A,((Tabela1[[#This Row],[Core PCE]]*1)/W467)-1)</f>
        <v>3.1930908802788815E-2</v>
      </c>
      <c r="Z479" s="8">
        <f t="shared" si="21"/>
        <v>2.8624384575680395E-2</v>
      </c>
      <c r="AA479" s="8">
        <f t="shared" si="24"/>
        <v>2.7361561373719034E-2</v>
      </c>
      <c r="AB479" s="7">
        <v>3.2</v>
      </c>
      <c r="AC479" s="7"/>
      <c r="AD479" s="8"/>
      <c r="AE479" s="71"/>
      <c r="AF479" s="7">
        <v>2.9</v>
      </c>
      <c r="AG479" s="5"/>
    </row>
    <row r="480" spans="1:33" ht="12.75">
      <c r="A480" s="6">
        <v>31686</v>
      </c>
      <c r="B480" s="7">
        <v>110.2</v>
      </c>
      <c r="C480" s="8">
        <f>IF(Tabela1[[#This Row],[Consumer Price Index (CPI)]]="",#N/A,((Tabela1[[#This Row],[Consumer Price Index (CPI)]]*1)/B479)-1)</f>
        <v>1.8181818181819409E-3</v>
      </c>
      <c r="D480" s="8">
        <f>IF(Tabela1[[#This Row],[Consumer Price Index (CPI)]]="",#N/A,((Tabela1[[#This Row],[Consumer Price Index (CPI)]]*1)/B468)-1)</f>
        <v>1.5668202764977046E-2</v>
      </c>
      <c r="E480" s="25">
        <v>115</v>
      </c>
      <c r="F480" s="8">
        <f>IF(Tabela1[[#This Row],[Core Consumer Price Index]]="",#N/A,((Tabela1[[#This Row],[Core Consumer Price Index]]*1)/E479)-1)</f>
        <v>3.4904013961605251E-3</v>
      </c>
      <c r="G480" s="8">
        <f>IF(Tabela1[[#This Row],[Core Consumer Price Index]]="",#N/A,((Tabela1[[#This Row],[Core Consumer Price Index]]*1)/E468)-1)</f>
        <v>4.0723981900452566E-2</v>
      </c>
      <c r="H480" s="8">
        <f t="shared" si="22"/>
        <v>4.2031867419858315E-2</v>
      </c>
      <c r="I480" s="8">
        <f t="shared" si="23"/>
        <v>3.6918605589307152E-2</v>
      </c>
      <c r="J480" s="25">
        <v>116.9</v>
      </c>
      <c r="K480" s="8">
        <f>IF(Tabela1[[#This Row],[Services CPI]]="",#N/A,((Tabela1[[#This Row],[Services CPI]]*1)/J479)-1)</f>
        <v>3.4334763948498104E-3</v>
      </c>
      <c r="L480" s="8">
        <f>IF(Tabela1[[#This Row],[Services CPI]]="",#N/A,((Tabela1[[#This Row],[Services CPI]]*1)/J468)-1)</f>
        <v>4.8430493273542652E-2</v>
      </c>
      <c r="M480" s="7">
        <v>118.3</v>
      </c>
      <c r="N480" s="8">
        <f>IF(Tabela1[[#This Row],[Core-Services CPI]]="",#N/A,((Tabela1[[#This Row],[Core-Services CPI]]*1)/M479)-1)</f>
        <v>5.0977060322854317E-3</v>
      </c>
      <c r="O480" s="8">
        <f>IF(Tabela1[[#This Row],[Core-Services CPI]]="",#N/A,((Tabela1[[#This Row],[Core-Services CPI]]*1)/M468)-1)</f>
        <v>5.6249999999999911E-2</v>
      </c>
      <c r="P480" s="7">
        <v>106.8</v>
      </c>
      <c r="Q480" s="8">
        <f>IF(Tabela1[[#This Row],[Durable Goods CPI]]="",#N/A,((Tabela1[[#This Row],[Durable Goods CPI]]*1)/P479)-1)</f>
        <v>-9.3545369504222098E-4</v>
      </c>
      <c r="R480" s="8">
        <f>IF(Tabela1[[#This Row],[Durable Goods CPI]]="",#N/A,((Tabela1[[#This Row],[Durable Goods CPI]]*1)/P468)-1)</f>
        <v>0</v>
      </c>
      <c r="S480" s="7">
        <v>4.8382609969999999</v>
      </c>
      <c r="T480" s="7">
        <v>51.488</v>
      </c>
      <c r="U480" s="8">
        <f>IF(Tabela1[[#This Row],[Personal Consumption Expenditures (PCE)]]="",#N/A,((Tabela1[[#This Row],[Personal Consumption Expenditures (PCE)]]*1)/T479)-1)</f>
        <v>1.7900225698497252E-3</v>
      </c>
      <c r="V480" s="8">
        <f>IF(Tabela1[[#This Row],[Personal Consumption Expenditures (PCE)]]="",#N/A,((Tabela1[[#This Row],[Personal Consumption Expenditures (PCE)]]*1)/T468)-1)</f>
        <v>1.8898541547107905E-2</v>
      </c>
      <c r="W480" s="7">
        <v>52.273000000000003</v>
      </c>
      <c r="X480" s="8">
        <f>IF(Tabela1[[#This Row],[Core PCE]]="",#N/A,((Tabela1[[#This Row],[Core PCE]]*1)/W479)-1)</f>
        <v>3.3975737100737646E-3</v>
      </c>
      <c r="Y480" s="8">
        <f>IF(Tabela1[[#This Row],[Core PCE]]="",#N/A,((Tabela1[[#This Row],[Core PCE]]*1)/W468)-1)</f>
        <v>3.3778305151785037E-2</v>
      </c>
      <c r="Z480" s="8">
        <f t="shared" si="21"/>
        <v>3.4945467236178196E-2</v>
      </c>
      <c r="AA480" s="8">
        <f t="shared" si="24"/>
        <v>3.0537257160248465E-2</v>
      </c>
      <c r="AB480" s="7">
        <v>3.27</v>
      </c>
      <c r="AC480" s="7"/>
      <c r="AD480" s="8"/>
      <c r="AE480" s="71"/>
      <c r="AF480" s="7">
        <v>3.2</v>
      </c>
      <c r="AG480" s="5"/>
    </row>
    <row r="481" spans="1:33" ht="12.75">
      <c r="A481" s="6">
        <v>31717</v>
      </c>
      <c r="B481" s="7">
        <v>110.4</v>
      </c>
      <c r="C481" s="8">
        <f>IF(Tabela1[[#This Row],[Consumer Price Index (CPI)]]="",#N/A,((Tabela1[[#This Row],[Consumer Price Index (CPI)]]*1)/B480)-1)</f>
        <v>1.8148820326679971E-3</v>
      </c>
      <c r="D481" s="8">
        <f>IF(Tabela1[[#This Row],[Consumer Price Index (CPI)]]="",#N/A,((Tabela1[[#This Row],[Consumer Price Index (CPI)]]*1)/B469)-1)</f>
        <v>1.2844036697247763E-2</v>
      </c>
      <c r="E481" s="25">
        <v>115.3</v>
      </c>
      <c r="F481" s="8">
        <f>IF(Tabela1[[#This Row],[Core Consumer Price Index]]="",#N/A,((Tabela1[[#This Row],[Core Consumer Price Index]]*1)/E480)-1)</f>
        <v>2.6086956521738092E-3</v>
      </c>
      <c r="G481" s="8">
        <f>IF(Tabela1[[#This Row],[Core Consumer Price Index]]="",#N/A,((Tabela1[[#This Row],[Core Consumer Price Index]]*1)/E469)-1)</f>
        <v>3.7803780378037777E-2</v>
      </c>
      <c r="H481" s="8">
        <f t="shared" si="22"/>
        <v>3.8406896074247854E-2</v>
      </c>
      <c r="I481" s="8">
        <f t="shared" si="23"/>
        <v>3.8593038523415668E-2</v>
      </c>
      <c r="J481" s="25">
        <v>117.2</v>
      </c>
      <c r="K481" s="8">
        <f>IF(Tabela1[[#This Row],[Services CPI]]="",#N/A,((Tabela1[[#This Row],[Services CPI]]*1)/J480)-1)</f>
        <v>2.5662959794696683E-3</v>
      </c>
      <c r="L481" s="8">
        <f>IF(Tabela1[[#This Row],[Services CPI]]="",#N/A,((Tabela1[[#This Row],[Services CPI]]*1)/J469)-1)</f>
        <v>4.5495093666369391E-2</v>
      </c>
      <c r="M481" s="7">
        <v>118.7</v>
      </c>
      <c r="N481" s="8">
        <f>IF(Tabela1[[#This Row],[Core-Services CPI]]="",#N/A,((Tabela1[[#This Row],[Core-Services CPI]]*1)/M480)-1)</f>
        <v>3.3812341504648735E-3</v>
      </c>
      <c r="O481" s="8">
        <f>IF(Tabela1[[#This Row],[Core-Services CPI]]="",#N/A,((Tabela1[[#This Row],[Core-Services CPI]]*1)/M469)-1)</f>
        <v>5.2304964539007237E-2</v>
      </c>
      <c r="P481" s="7">
        <v>106.8</v>
      </c>
      <c r="Q481" s="8">
        <f>IF(Tabela1[[#This Row],[Durable Goods CPI]]="",#N/A,((Tabela1[[#This Row],[Durable Goods CPI]]*1)/P480)-1)</f>
        <v>0</v>
      </c>
      <c r="R481" s="8">
        <f>IF(Tabela1[[#This Row],[Durable Goods CPI]]="",#N/A,((Tabela1[[#This Row],[Durable Goods CPI]]*1)/P469)-1)</f>
        <v>9.3720712277400864E-4</v>
      </c>
      <c r="S481" s="7">
        <v>4.9629733890000001</v>
      </c>
      <c r="T481" s="7">
        <v>51.58</v>
      </c>
      <c r="U481" s="8">
        <f>IF(Tabela1[[#This Row],[Personal Consumption Expenditures (PCE)]]="",#N/A,((Tabela1[[#This Row],[Personal Consumption Expenditures (PCE)]]*1)/T480)-1)</f>
        <v>1.786824114356822E-3</v>
      </c>
      <c r="V481" s="8">
        <f>IF(Tabela1[[#This Row],[Personal Consumption Expenditures (PCE)]]="",#N/A,((Tabela1[[#This Row],[Personal Consumption Expenditures (PCE)]]*1)/T469)-1)</f>
        <v>1.7758484609313285E-2</v>
      </c>
      <c r="W481" s="7">
        <v>52.384</v>
      </c>
      <c r="X481" s="8">
        <f>IF(Tabela1[[#This Row],[Core PCE]]="",#N/A,((Tabela1[[#This Row],[Core PCE]]*1)/W480)-1)</f>
        <v>2.1234671819103657E-3</v>
      </c>
      <c r="Y481" s="8">
        <f>IF(Tabela1[[#This Row],[Core PCE]]="",#N/A,((Tabela1[[#This Row],[Core PCE]]*1)/W469)-1)</f>
        <v>3.3439207717650854E-2</v>
      </c>
      <c r="Z481" s="8">
        <f t="shared" si="21"/>
        <v>3.5257009018105023E-2</v>
      </c>
      <c r="AA481" s="8">
        <f t="shared" si="24"/>
        <v>3.1365520920751511E-2</v>
      </c>
      <c r="AB481" s="7">
        <v>3.2</v>
      </c>
      <c r="AC481" s="7"/>
      <c r="AD481" s="8"/>
      <c r="AE481" s="71"/>
      <c r="AF481" s="7">
        <v>2.8</v>
      </c>
      <c r="AG481" s="5"/>
    </row>
    <row r="482" spans="1:33" ht="12.75">
      <c r="A482" s="6">
        <v>31747</v>
      </c>
      <c r="B482" s="7">
        <v>110.8</v>
      </c>
      <c r="C482" s="8">
        <f>IF(Tabela1[[#This Row],[Consumer Price Index (CPI)]]="",#N/A,((Tabela1[[#This Row],[Consumer Price Index (CPI)]]*1)/B481)-1)</f>
        <v>3.6231884057971175E-3</v>
      </c>
      <c r="D482" s="8">
        <f>IF(Tabela1[[#This Row],[Consumer Price Index (CPI)]]="",#N/A,((Tabela1[[#This Row],[Consumer Price Index (CPI)]]*1)/B470)-1)</f>
        <v>1.1872146118721449E-2</v>
      </c>
      <c r="E482" s="25">
        <v>115.6</v>
      </c>
      <c r="F482" s="8">
        <f>IF(Tabela1[[#This Row],[Core Consumer Price Index]]="",#N/A,((Tabela1[[#This Row],[Core Consumer Price Index]]*1)/E481)-1)</f>
        <v>2.6019080659149818E-3</v>
      </c>
      <c r="G482" s="8">
        <f>IF(Tabela1[[#This Row],[Core Consumer Price Index]]="",#N/A,((Tabela1[[#This Row],[Core Consumer Price Index]]*1)/E470)-1)</f>
        <v>3.7701974865349985E-2</v>
      </c>
      <c r="H482" s="8">
        <f t="shared" si="22"/>
        <v>3.4804020456997264E-2</v>
      </c>
      <c r="I482" s="8">
        <f t="shared" si="23"/>
        <v>3.8491814867446905E-2</v>
      </c>
      <c r="J482" s="25">
        <v>117.5</v>
      </c>
      <c r="K482" s="8">
        <f>IF(Tabela1[[#This Row],[Services CPI]]="",#N/A,((Tabela1[[#This Row],[Services CPI]]*1)/J481)-1)</f>
        <v>2.5597269624573205E-3</v>
      </c>
      <c r="L482" s="8">
        <f>IF(Tabela1[[#This Row],[Services CPI]]="",#N/A,((Tabela1[[#This Row],[Services CPI]]*1)/J470)-1)</f>
        <v>4.4444444444444509E-2</v>
      </c>
      <c r="M482" s="7">
        <v>119.1</v>
      </c>
      <c r="N482" s="8">
        <f>IF(Tabela1[[#This Row],[Core-Services CPI]]="",#N/A,((Tabela1[[#This Row],[Core-Services CPI]]*1)/M481)-1)</f>
        <v>3.3698399326032025E-3</v>
      </c>
      <c r="O482" s="8">
        <f>IF(Tabela1[[#This Row],[Core-Services CPI]]="",#N/A,((Tabela1[[#This Row],[Core-Services CPI]]*1)/M470)-1)</f>
        <v>5.212014134275611E-2</v>
      </c>
      <c r="P482" s="7">
        <v>106.8</v>
      </c>
      <c r="Q482" s="8">
        <f>IF(Tabela1[[#This Row],[Durable Goods CPI]]="",#N/A,((Tabela1[[#This Row],[Durable Goods CPI]]*1)/P481)-1)</f>
        <v>0</v>
      </c>
      <c r="R482" s="8">
        <f>IF(Tabela1[[#This Row],[Durable Goods CPI]]="",#N/A,((Tabela1[[#This Row],[Durable Goods CPI]]*1)/P470)-1)</f>
        <v>9.3720712277400864E-4</v>
      </c>
      <c r="S482" s="7">
        <v>4.8976573019999998</v>
      </c>
      <c r="T482" s="7">
        <v>51.651000000000003</v>
      </c>
      <c r="U482" s="8">
        <f>IF(Tabela1[[#This Row],[Personal Consumption Expenditures (PCE)]]="",#N/A,((Tabela1[[#This Row],[Personal Consumption Expenditures (PCE)]]*1)/T481)-1)</f>
        <v>1.3765025203569259E-3</v>
      </c>
      <c r="V482" s="8">
        <f>IF(Tabela1[[#This Row],[Personal Consumption Expenditures (PCE)]]="",#N/A,((Tabela1[[#This Row],[Personal Consumption Expenditures (PCE)]]*1)/T470)-1)</f>
        <v>1.5752212389380515E-2</v>
      </c>
      <c r="W482" s="7">
        <v>52.451999999999998</v>
      </c>
      <c r="X482" s="8">
        <f>IF(Tabela1[[#This Row],[Core PCE]]="",#N/A,((Tabela1[[#This Row],[Core PCE]]*1)/W481)-1)</f>
        <v>1.2981062919974473E-3</v>
      </c>
      <c r="Y482" s="8">
        <f>IF(Tabela1[[#This Row],[Core PCE]]="",#N/A,((Tabela1[[#This Row],[Core PCE]]*1)/W470)-1)</f>
        <v>3.1971196411356262E-2</v>
      </c>
      <c r="Z482" s="8">
        <f t="shared" si="21"/>
        <v>2.727658873592631E-2</v>
      </c>
      <c r="AA482" s="8">
        <f t="shared" si="24"/>
        <v>2.7950486655803353E-2</v>
      </c>
      <c r="AB482" s="7">
        <v>3.13</v>
      </c>
      <c r="AC482" s="7"/>
      <c r="AD482" s="8"/>
      <c r="AE482" s="71"/>
      <c r="AF482" s="7">
        <v>3</v>
      </c>
      <c r="AG482" s="5"/>
    </row>
    <row r="483" spans="1:33" ht="12.75">
      <c r="A483" s="6">
        <v>31778</v>
      </c>
      <c r="B483" s="7">
        <v>111.4</v>
      </c>
      <c r="C483" s="8">
        <f>IF(Tabela1[[#This Row],[Consumer Price Index (CPI)]]="",#N/A,((Tabela1[[#This Row],[Consumer Price Index (CPI)]]*1)/B482)-1)</f>
        <v>5.4151624548737232E-3</v>
      </c>
      <c r="D483" s="8">
        <f>IF(Tabela1[[#This Row],[Consumer Price Index (CPI)]]="",#N/A,((Tabela1[[#This Row],[Consumer Price Index (CPI)]]*1)/B471)-1)</f>
        <v>1.364877161055511E-2</v>
      </c>
      <c r="E483" s="25">
        <v>115.9</v>
      </c>
      <c r="F483" s="8">
        <f>IF(Tabela1[[#This Row],[Core Consumer Price Index]]="",#N/A,((Tabela1[[#This Row],[Core Consumer Price Index]]*1)/E482)-1)</f>
        <v>2.5951557093426558E-3</v>
      </c>
      <c r="G483" s="8">
        <f>IF(Tabela1[[#This Row],[Core Consumer Price Index]]="",#N/A,((Tabela1[[#This Row],[Core Consumer Price Index]]*1)/E471)-1)</f>
        <v>3.5746201966041058E-2</v>
      </c>
      <c r="H483" s="8">
        <f t="shared" si="22"/>
        <v>3.1223037709725787E-2</v>
      </c>
      <c r="I483" s="8">
        <f t="shared" si="23"/>
        <v>3.6627452564792051E-2</v>
      </c>
      <c r="J483" s="25">
        <v>117.9</v>
      </c>
      <c r="K483" s="8">
        <f>IF(Tabela1[[#This Row],[Services CPI]]="",#N/A,((Tabela1[[#This Row],[Services CPI]]*1)/J482)-1)</f>
        <v>3.4042553191488967E-3</v>
      </c>
      <c r="L483" s="8">
        <f>IF(Tabela1[[#This Row],[Services CPI]]="",#N/A,((Tabela1[[#This Row],[Services CPI]]*1)/J471)-1)</f>
        <v>4.244031830238737E-2</v>
      </c>
      <c r="M483" s="7">
        <v>119.4</v>
      </c>
      <c r="N483" s="8">
        <f>IF(Tabela1[[#This Row],[Core-Services CPI]]="",#N/A,((Tabela1[[#This Row],[Core-Services CPI]]*1)/M482)-1)</f>
        <v>2.5188916876575096E-3</v>
      </c>
      <c r="O483" s="8">
        <f>IF(Tabela1[[#This Row],[Core-Services CPI]]="",#N/A,((Tabela1[[#This Row],[Core-Services CPI]]*1)/M471)-1)</f>
        <v>4.9209138840070388E-2</v>
      </c>
      <c r="P483" s="7">
        <v>106.9</v>
      </c>
      <c r="Q483" s="8">
        <f>IF(Tabela1[[#This Row],[Durable Goods CPI]]="",#N/A,((Tabela1[[#This Row],[Durable Goods CPI]]*1)/P482)-1)</f>
        <v>9.3632958801515009E-4</v>
      </c>
      <c r="R483" s="8">
        <f>IF(Tabela1[[#This Row],[Durable Goods CPI]]="",#N/A,((Tabela1[[#This Row],[Durable Goods CPI]]*1)/P471)-1)</f>
        <v>1.8744142455482393E-3</v>
      </c>
      <c r="S483" s="7">
        <v>4.5912479980000001</v>
      </c>
      <c r="T483" s="7">
        <v>51.893999999999998</v>
      </c>
      <c r="U483" s="8">
        <f>IF(Tabela1[[#This Row],[Personal Consumption Expenditures (PCE)]]="",#N/A,((Tabela1[[#This Row],[Personal Consumption Expenditures (PCE)]]*1)/T482)-1)</f>
        <v>4.7046523784630701E-3</v>
      </c>
      <c r="V483" s="8">
        <f>IF(Tabela1[[#This Row],[Personal Consumption Expenditures (PCE)]]="",#N/A,((Tabela1[[#This Row],[Personal Consumption Expenditures (PCE)]]*1)/T471)-1)</f>
        <v>1.5856236786469191E-2</v>
      </c>
      <c r="W483" s="7">
        <v>52.578000000000003</v>
      </c>
      <c r="X483" s="8">
        <f>IF(Tabela1[[#This Row],[Core PCE]]="",#N/A,((Tabela1[[#This Row],[Core PCE]]*1)/W482)-1)</f>
        <v>2.4021962937543773E-3</v>
      </c>
      <c r="Y483" s="8">
        <f>IF(Tabela1[[#This Row],[Core PCE]]="",#N/A,((Tabela1[[#This Row],[Core PCE]]*1)/W471)-1)</f>
        <v>2.8903543961957823E-2</v>
      </c>
      <c r="Z483" s="8">
        <f t="shared" si="21"/>
        <v>2.3295079070648761E-2</v>
      </c>
      <c r="AA483" s="8">
        <f t="shared" si="24"/>
        <v>2.9120273153413478E-2</v>
      </c>
      <c r="AB483" s="7">
        <v>3.16</v>
      </c>
      <c r="AC483" s="7"/>
      <c r="AD483" s="8"/>
      <c r="AE483" s="71"/>
      <c r="AF483" s="7">
        <v>2.9</v>
      </c>
      <c r="AG483" s="5"/>
    </row>
    <row r="484" spans="1:33" ht="12.75">
      <c r="A484" s="6">
        <v>31809</v>
      </c>
      <c r="B484" s="7">
        <v>111.8</v>
      </c>
      <c r="C484" s="8">
        <f>IF(Tabela1[[#This Row],[Consumer Price Index (CPI)]]="",#N/A,((Tabela1[[#This Row],[Consumer Price Index (CPI)]]*1)/B483)-1)</f>
        <v>3.5906642728904536E-3</v>
      </c>
      <c r="D484" s="8">
        <f>IF(Tabela1[[#This Row],[Consumer Price Index (CPI)]]="",#N/A,((Tabela1[[#This Row],[Consumer Price Index (CPI)]]*1)/B472)-1)</f>
        <v>1.9143117593436676E-2</v>
      </c>
      <c r="E484" s="25">
        <v>116.2</v>
      </c>
      <c r="F484" s="8">
        <f>IF(Tabela1[[#This Row],[Core Consumer Price Index]]="",#N/A,((Tabela1[[#This Row],[Core Consumer Price Index]]*1)/E483)-1)</f>
        <v>2.5884383088869978E-3</v>
      </c>
      <c r="G484" s="8">
        <f>IF(Tabela1[[#This Row],[Core Consumer Price Index]]="",#N/A,((Tabela1[[#This Row],[Core Consumer Price Index]]*1)/E472)-1)</f>
        <v>3.5650623885917998E-2</v>
      </c>
      <c r="H484" s="8">
        <f t="shared" si="22"/>
        <v>3.1142008336578542E-2</v>
      </c>
      <c r="I484" s="8">
        <f t="shared" si="23"/>
        <v>3.4774452205413198E-2</v>
      </c>
      <c r="J484" s="25">
        <v>118.3</v>
      </c>
      <c r="K484" s="8">
        <f>IF(Tabela1[[#This Row],[Services CPI]]="",#N/A,((Tabela1[[#This Row],[Services CPI]]*1)/J483)-1)</f>
        <v>3.392705682782049E-3</v>
      </c>
      <c r="L484" s="8">
        <f>IF(Tabela1[[#This Row],[Services CPI]]="",#N/A,((Tabela1[[#This Row],[Services CPI]]*1)/J472)-1)</f>
        <v>4.2290748898678343E-2</v>
      </c>
      <c r="M484" s="7">
        <v>119.9</v>
      </c>
      <c r="N484" s="8">
        <f>IF(Tabela1[[#This Row],[Core-Services CPI]]="",#N/A,((Tabela1[[#This Row],[Core-Services CPI]]*1)/M483)-1)</f>
        <v>4.1876046901172526E-3</v>
      </c>
      <c r="O484" s="8">
        <f>IF(Tabela1[[#This Row],[Core-Services CPI]]="",#N/A,((Tabela1[[#This Row],[Core-Services CPI]]*1)/M472)-1)</f>
        <v>4.8993875765529493E-2</v>
      </c>
      <c r="P484" s="7">
        <v>106.7</v>
      </c>
      <c r="Q484" s="8">
        <f>IF(Tabela1[[#This Row],[Durable Goods CPI]]="",#N/A,((Tabela1[[#This Row],[Durable Goods CPI]]*1)/P483)-1)</f>
        <v>-1.8709073900842199E-3</v>
      </c>
      <c r="R484" s="8">
        <f>IF(Tabela1[[#This Row],[Durable Goods CPI]]="",#N/A,((Tabela1[[#This Row],[Durable Goods CPI]]*1)/P472)-1)</f>
        <v>3.7629350893697566E-3</v>
      </c>
      <c r="S484" s="7">
        <v>4.6451909200000001</v>
      </c>
      <c r="T484" s="7">
        <v>52.076000000000001</v>
      </c>
      <c r="U484" s="8">
        <f>IF(Tabela1[[#This Row],[Personal Consumption Expenditures (PCE)]]="",#N/A,((Tabela1[[#This Row],[Personal Consumption Expenditures (PCE)]]*1)/T483)-1)</f>
        <v>3.5071491887308515E-3</v>
      </c>
      <c r="V484" s="8">
        <f>IF(Tabela1[[#This Row],[Personal Consumption Expenditures (PCE)]]="",#N/A,((Tabela1[[#This Row],[Personal Consumption Expenditures (PCE)]]*1)/T472)-1)</f>
        <v>1.9418996163182101E-2</v>
      </c>
      <c r="W484" s="7">
        <v>52.685000000000002</v>
      </c>
      <c r="X484" s="8">
        <f>IF(Tabela1[[#This Row],[Core PCE]]="",#N/A,((Tabela1[[#This Row],[Core PCE]]*1)/W483)-1)</f>
        <v>2.0350717029935517E-3</v>
      </c>
      <c r="Y484" s="8">
        <f>IF(Tabela1[[#This Row],[Core PCE]]="",#N/A,((Tabela1[[#This Row],[Core PCE]]*1)/W472)-1)</f>
        <v>2.8341108270060422E-2</v>
      </c>
      <c r="Z484" s="8">
        <f t="shared" si="21"/>
        <v>2.2941497154981505E-2</v>
      </c>
      <c r="AA484" s="8">
        <f t="shared" si="24"/>
        <v>2.9099253086543264E-2</v>
      </c>
      <c r="AB484" s="7">
        <v>3.22</v>
      </c>
      <c r="AC484" s="7"/>
      <c r="AD484" s="8"/>
      <c r="AE484" s="71"/>
      <c r="AF484" s="7">
        <v>3.1</v>
      </c>
      <c r="AG484" s="5"/>
    </row>
    <row r="485" spans="1:33" ht="12.75">
      <c r="A485" s="6">
        <v>31837</v>
      </c>
      <c r="B485" s="7">
        <v>112.2</v>
      </c>
      <c r="C485" s="8">
        <f>IF(Tabela1[[#This Row],[Consumer Price Index (CPI)]]="",#N/A,((Tabela1[[#This Row],[Consumer Price Index (CPI)]]*1)/B484)-1)</f>
        <v>3.5778175313059268E-3</v>
      </c>
      <c r="D485" s="8">
        <f>IF(Tabela1[[#This Row],[Consumer Price Index (CPI)]]="",#N/A,((Tabela1[[#This Row],[Consumer Price Index (CPI)]]*1)/B473)-1)</f>
        <v>2.8414298808432603E-2</v>
      </c>
      <c r="E485" s="25">
        <v>116.6</v>
      </c>
      <c r="F485" s="8">
        <f>IF(Tabela1[[#This Row],[Core Consumer Price Index]]="",#N/A,((Tabela1[[#This Row],[Core Consumer Price Index]]*1)/E484)-1)</f>
        <v>3.4423407917383297E-3</v>
      </c>
      <c r="G485" s="8">
        <f>IF(Tabela1[[#This Row],[Core Consumer Price Index]]="",#N/A,((Tabela1[[#This Row],[Core Consumer Price Index]]*1)/E473)-1)</f>
        <v>3.6444444444444501E-2</v>
      </c>
      <c r="H485" s="8">
        <f t="shared" si="22"/>
        <v>3.4503739239871933E-2</v>
      </c>
      <c r="I485" s="8">
        <f t="shared" si="23"/>
        <v>3.4653879848434599E-2</v>
      </c>
      <c r="J485" s="25">
        <v>118.6</v>
      </c>
      <c r="K485" s="8">
        <f>IF(Tabela1[[#This Row],[Services CPI]]="",#N/A,((Tabela1[[#This Row],[Services CPI]]*1)/J484)-1)</f>
        <v>2.5359256128487662E-3</v>
      </c>
      <c r="L485" s="8">
        <f>IF(Tabela1[[#This Row],[Services CPI]]="",#N/A,((Tabela1[[#This Row],[Services CPI]]*1)/J473)-1)</f>
        <v>3.9439088518843146E-2</v>
      </c>
      <c r="M485" s="7">
        <v>120.2</v>
      </c>
      <c r="N485" s="8">
        <f>IF(Tabela1[[#This Row],[Core-Services CPI]]="",#N/A,((Tabela1[[#This Row],[Core-Services CPI]]*1)/M484)-1)</f>
        <v>2.5020850708923348E-3</v>
      </c>
      <c r="O485" s="8">
        <f>IF(Tabela1[[#This Row],[Core-Services CPI]]="",#N/A,((Tabela1[[#This Row],[Core-Services CPI]]*1)/M473)-1)</f>
        <v>4.5217391304347876E-2</v>
      </c>
      <c r="P485" s="7">
        <v>107.1</v>
      </c>
      <c r="Q485" s="8">
        <f>IF(Tabela1[[#This Row],[Durable Goods CPI]]="",#N/A,((Tabela1[[#This Row],[Durable Goods CPI]]*1)/P484)-1)</f>
        <v>3.7488284910964786E-3</v>
      </c>
      <c r="R485" s="8">
        <f>IF(Tabela1[[#This Row],[Durable Goods CPI]]="",#N/A,((Tabela1[[#This Row],[Durable Goods CPI]]*1)/P473)-1)</f>
        <v>7.5258701787392912E-3</v>
      </c>
      <c r="S485" s="7">
        <v>4.4817982250000004</v>
      </c>
      <c r="T485" s="7">
        <v>52.213999999999999</v>
      </c>
      <c r="U485" s="8">
        <f>IF(Tabela1[[#This Row],[Personal Consumption Expenditures (PCE)]]="",#N/A,((Tabela1[[#This Row],[Personal Consumption Expenditures (PCE)]]*1)/T484)-1)</f>
        <v>2.6499731162146212E-3</v>
      </c>
      <c r="V485" s="8">
        <f>IF(Tabela1[[#This Row],[Personal Consumption Expenditures (PCE)]]="",#N/A,((Tabela1[[#This Row],[Personal Consumption Expenditures (PCE)]]*1)/T473)-1)</f>
        <v>2.4366318763242578E-2</v>
      </c>
      <c r="W485" s="7">
        <v>52.841000000000001</v>
      </c>
      <c r="X485" s="8">
        <f>IF(Tabela1[[#This Row],[Core PCE]]="",#N/A,((Tabela1[[#This Row],[Core PCE]]*1)/W484)-1)</f>
        <v>2.9609945904907065E-3</v>
      </c>
      <c r="Y485" s="8">
        <f>IF(Tabela1[[#This Row],[Core PCE]]="",#N/A,((Tabela1[[#This Row],[Core PCE]]*1)/W473)-1)</f>
        <v>2.8255074043083139E-2</v>
      </c>
      <c r="Z485" s="8">
        <f t="shared" si="21"/>
        <v>2.9593050348954542E-2</v>
      </c>
      <c r="AA485" s="8">
        <f t="shared" si="24"/>
        <v>2.8434819542440426E-2</v>
      </c>
      <c r="AB485" s="7">
        <v>3.41</v>
      </c>
      <c r="AC485" s="7"/>
      <c r="AD485" s="8"/>
      <c r="AE485" s="71"/>
      <c r="AF485" s="7">
        <v>3</v>
      </c>
      <c r="AG485" s="5"/>
    </row>
    <row r="486" spans="1:33" ht="12.75">
      <c r="A486" s="6">
        <v>31868</v>
      </c>
      <c r="B486" s="7">
        <v>112.7</v>
      </c>
      <c r="C486" s="8">
        <f>IF(Tabela1[[#This Row],[Consumer Price Index (CPI)]]="",#N/A,((Tabela1[[#This Row],[Consumer Price Index (CPI)]]*1)/B485)-1)</f>
        <v>4.4563279857396942E-3</v>
      </c>
      <c r="D486" s="8">
        <f>IF(Tabela1[[#This Row],[Consumer Price Index (CPI)]]="",#N/A,((Tabela1[[#This Row],[Consumer Price Index (CPI)]]*1)/B474)-1)</f>
        <v>3.6798528058877622E-2</v>
      </c>
      <c r="E486" s="25">
        <v>117.3</v>
      </c>
      <c r="F486" s="8">
        <f>IF(Tabela1[[#This Row],[Core Consumer Price Index]]="",#N/A,((Tabela1[[#This Row],[Core Consumer Price Index]]*1)/E485)-1)</f>
        <v>6.0034305317324677E-3</v>
      </c>
      <c r="G486" s="8">
        <f>IF(Tabela1[[#This Row],[Core Consumer Price Index]]="",#N/A,((Tabela1[[#This Row],[Core Consumer Price Index]]*1)/E474)-1)</f>
        <v>3.8972542072630567E-2</v>
      </c>
      <c r="H486" s="8">
        <f t="shared" si="22"/>
        <v>4.8136838529431181E-2</v>
      </c>
      <c r="I486" s="8">
        <f t="shared" si="23"/>
        <v>3.9679938119578484E-2</v>
      </c>
      <c r="J486" s="25">
        <v>119.2</v>
      </c>
      <c r="K486" s="8">
        <f>IF(Tabela1[[#This Row],[Services CPI]]="",#N/A,((Tabela1[[#This Row],[Services CPI]]*1)/J485)-1)</f>
        <v>5.0590219224284638E-3</v>
      </c>
      <c r="L486" s="8">
        <f>IF(Tabela1[[#This Row],[Services CPI]]="",#N/A,((Tabela1[[#This Row],[Services CPI]]*1)/J474)-1)</f>
        <v>4.0139616055846483E-2</v>
      </c>
      <c r="M486" s="7">
        <v>120.9</v>
      </c>
      <c r="N486" s="8">
        <f>IF(Tabela1[[#This Row],[Core-Services CPI]]="",#N/A,((Tabela1[[#This Row],[Core-Services CPI]]*1)/M485)-1)</f>
        <v>5.8236272878535722E-3</v>
      </c>
      <c r="O486" s="8">
        <f>IF(Tabela1[[#This Row],[Core-Services CPI]]="",#N/A,((Tabela1[[#This Row],[Core-Services CPI]]*1)/M474)-1)</f>
        <v>4.5847750865052106E-2</v>
      </c>
      <c r="P486" s="7">
        <v>107.7</v>
      </c>
      <c r="Q486" s="8">
        <f>IF(Tabela1[[#This Row],[Durable Goods CPI]]="",#N/A,((Tabela1[[#This Row],[Durable Goods CPI]]*1)/P485)-1)</f>
        <v>5.6022408963585235E-3</v>
      </c>
      <c r="R486" s="8">
        <f>IF(Tabela1[[#This Row],[Durable Goods CPI]]="",#N/A,((Tabela1[[#This Row],[Durable Goods CPI]]*1)/P474)-1)</f>
        <v>1.4124293785310771E-2</v>
      </c>
      <c r="S486" s="7">
        <v>4.4409315899999999</v>
      </c>
      <c r="T486" s="7">
        <v>52.408999999999999</v>
      </c>
      <c r="U486" s="8">
        <f>IF(Tabela1[[#This Row],[Personal Consumption Expenditures (PCE)]]="",#N/A,((Tabela1[[#This Row],[Personal Consumption Expenditures (PCE)]]*1)/T485)-1)</f>
        <v>3.7346305588539241E-3</v>
      </c>
      <c r="V486" s="8">
        <f>IF(Tabela1[[#This Row],[Personal Consumption Expenditures (PCE)]]="",#N/A,((Tabela1[[#This Row],[Personal Consumption Expenditures (PCE)]]*1)/T474)-1)</f>
        <v>3.0294094519147441E-2</v>
      </c>
      <c r="W486" s="7">
        <v>53.064999999999998</v>
      </c>
      <c r="X486" s="8">
        <f>IF(Tabela1[[#This Row],[Core PCE]]="",#N/A,((Tabela1[[#This Row],[Core PCE]]*1)/W485)-1)</f>
        <v>4.2391324918149564E-3</v>
      </c>
      <c r="Y486" s="8">
        <f>IF(Tabela1[[#This Row],[Core PCE]]="",#N/A,((Tabela1[[#This Row],[Core PCE]]*1)/W474)-1)</f>
        <v>3.0748611165067441E-2</v>
      </c>
      <c r="Z486" s="8">
        <f t="shared" si="21"/>
        <v>3.6940795141196858E-2</v>
      </c>
      <c r="AA486" s="8">
        <f t="shared" si="24"/>
        <v>3.011793710592281E-2</v>
      </c>
      <c r="AB486" s="7">
        <v>3.57</v>
      </c>
      <c r="AC486" s="7"/>
      <c r="AD486" s="8"/>
      <c r="AE486" s="71"/>
      <c r="AF486" s="7">
        <v>3</v>
      </c>
      <c r="AG486" s="5"/>
    </row>
    <row r="487" spans="1:33" ht="12.75">
      <c r="A487" s="6">
        <v>31898</v>
      </c>
      <c r="B487" s="7">
        <v>113</v>
      </c>
      <c r="C487" s="8">
        <f>IF(Tabela1[[#This Row],[Consumer Price Index (CPI)]]="",#N/A,((Tabela1[[#This Row],[Consumer Price Index (CPI)]]*1)/B486)-1)</f>
        <v>2.6619343389528982E-3</v>
      </c>
      <c r="D487" s="8">
        <f>IF(Tabela1[[#This Row],[Consumer Price Index (CPI)]]="",#N/A,((Tabela1[[#This Row],[Consumer Price Index (CPI)]]*1)/B475)-1)</f>
        <v>3.669724770642202E-2</v>
      </c>
      <c r="E487" s="25">
        <v>117.7</v>
      </c>
      <c r="F487" s="8">
        <f>IF(Tabela1[[#This Row],[Core Consumer Price Index]]="",#N/A,((Tabela1[[#This Row],[Core Consumer Price Index]]*1)/E486)-1)</f>
        <v>3.4100596760444635E-3</v>
      </c>
      <c r="G487" s="8">
        <f>IF(Tabela1[[#This Row],[Core Consumer Price Index]]="",#N/A,((Tabela1[[#This Row],[Core Consumer Price Index]]*1)/E475)-1)</f>
        <v>4.0671971706454535E-2</v>
      </c>
      <c r="H487" s="8">
        <f t="shared" si="22"/>
        <v>5.1423323998061043E-2</v>
      </c>
      <c r="I487" s="8">
        <f t="shared" si="23"/>
        <v>4.1282666167319793E-2</v>
      </c>
      <c r="J487" s="25">
        <v>119.6</v>
      </c>
      <c r="K487" s="8">
        <f>IF(Tabela1[[#This Row],[Services CPI]]="",#N/A,((Tabela1[[#This Row],[Services CPI]]*1)/J486)-1)</f>
        <v>3.3557046979864058E-3</v>
      </c>
      <c r="L487" s="8">
        <f>IF(Tabela1[[#This Row],[Services CPI]]="",#N/A,((Tabela1[[#This Row],[Services CPI]]*1)/J475)-1)</f>
        <v>4.1811846689895349E-2</v>
      </c>
      <c r="M487" s="7">
        <v>121.4</v>
      </c>
      <c r="N487" s="8">
        <f>IF(Tabela1[[#This Row],[Core-Services CPI]]="",#N/A,((Tabela1[[#This Row],[Core-Services CPI]]*1)/M486)-1)</f>
        <v>4.1356492969395475E-3</v>
      </c>
      <c r="O487" s="8">
        <f>IF(Tabela1[[#This Row],[Core-Services CPI]]="",#N/A,((Tabela1[[#This Row],[Core-Services CPI]]*1)/M475)-1)</f>
        <v>4.7454702329594367E-2</v>
      </c>
      <c r="P487" s="7">
        <v>107.9</v>
      </c>
      <c r="Q487" s="8">
        <f>IF(Tabela1[[#This Row],[Durable Goods CPI]]="",#N/A,((Tabela1[[#This Row],[Durable Goods CPI]]*1)/P486)-1)</f>
        <v>1.8570102135562205E-3</v>
      </c>
      <c r="R487" s="8">
        <f>IF(Tabela1[[#This Row],[Durable Goods CPI]]="",#N/A,((Tabela1[[#This Row],[Durable Goods CPI]]*1)/P475)-1)</f>
        <v>1.5051740357478804E-2</v>
      </c>
      <c r="S487" s="7">
        <v>4.2637921890000001</v>
      </c>
      <c r="T487" s="7">
        <v>52.542000000000002</v>
      </c>
      <c r="U487" s="8">
        <f>IF(Tabela1[[#This Row],[Personal Consumption Expenditures (PCE)]]="",#N/A,((Tabela1[[#This Row],[Personal Consumption Expenditures (PCE)]]*1)/T486)-1)</f>
        <v>2.537732068919496E-3</v>
      </c>
      <c r="V487" s="8">
        <f>IF(Tabela1[[#This Row],[Personal Consumption Expenditures (PCE)]]="",#N/A,((Tabela1[[#This Row],[Personal Consumption Expenditures (PCE)]]*1)/T475)-1)</f>
        <v>3.1023724024253907E-2</v>
      </c>
      <c r="W487" s="7">
        <v>53.213999999999999</v>
      </c>
      <c r="X487" s="8">
        <f>IF(Tabela1[[#This Row],[Core PCE]]="",#N/A,((Tabela1[[#This Row],[Core PCE]]*1)/W486)-1)</f>
        <v>2.8078771318194029E-3</v>
      </c>
      <c r="Y487" s="8">
        <f>IF(Tabela1[[#This Row],[Core PCE]]="",#N/A,((Tabela1[[#This Row],[Core PCE]]*1)/W475)-1)</f>
        <v>3.187899941826644E-2</v>
      </c>
      <c r="Z487" s="8">
        <f t="shared" ref="Z487:Z550" si="25">SUM(X485:X487)*4</f>
        <v>4.0032016856500263E-2</v>
      </c>
      <c r="AA487" s="8">
        <f t="shared" si="24"/>
        <v>3.1486757005740884E-2</v>
      </c>
      <c r="AB487" s="7">
        <v>3.66</v>
      </c>
      <c r="AC487" s="7"/>
      <c r="AD487" s="8"/>
      <c r="AE487" s="71"/>
      <c r="AF487" s="7">
        <v>3.4</v>
      </c>
      <c r="AG487" s="5"/>
    </row>
    <row r="488" spans="1:33" ht="12.75">
      <c r="A488" s="6">
        <v>31929</v>
      </c>
      <c r="B488" s="7">
        <v>113.5</v>
      </c>
      <c r="C488" s="8">
        <f>IF(Tabela1[[#This Row],[Consumer Price Index (CPI)]]="",#N/A,((Tabela1[[#This Row],[Consumer Price Index (CPI)]]*1)/B487)-1)</f>
        <v>4.4247787610618428E-3</v>
      </c>
      <c r="D488" s="8">
        <f>IF(Tabela1[[#This Row],[Consumer Price Index (CPI)]]="",#N/A,((Tabela1[[#This Row],[Consumer Price Index (CPI)]]*1)/B476)-1)</f>
        <v>3.7477148080438782E-2</v>
      </c>
      <c r="E488" s="25">
        <v>117.9</v>
      </c>
      <c r="F488" s="8">
        <f>IF(Tabela1[[#This Row],[Core Consumer Price Index]]="",#N/A,((Tabela1[[#This Row],[Core Consumer Price Index]]*1)/E487)-1)</f>
        <v>1.6992353440952179E-3</v>
      </c>
      <c r="G488" s="8">
        <f>IF(Tabela1[[#This Row],[Core Consumer Price Index]]="",#N/A,((Tabela1[[#This Row],[Core Consumer Price Index]]*1)/E476)-1)</f>
        <v>3.9682539682539764E-2</v>
      </c>
      <c r="H488" s="8">
        <f t="shared" si="22"/>
        <v>4.4450902207488596E-2</v>
      </c>
      <c r="I488" s="8">
        <f t="shared" si="23"/>
        <v>3.9477320723680265E-2</v>
      </c>
      <c r="J488" s="25">
        <v>120</v>
      </c>
      <c r="K488" s="8">
        <f>IF(Tabela1[[#This Row],[Services CPI]]="",#N/A,((Tabela1[[#This Row],[Services CPI]]*1)/J487)-1)</f>
        <v>3.3444816053511683E-3</v>
      </c>
      <c r="L488" s="8">
        <f>IF(Tabela1[[#This Row],[Services CPI]]="",#N/A,((Tabela1[[#This Row],[Services CPI]]*1)/J476)-1)</f>
        <v>3.8961038961038863E-2</v>
      </c>
      <c r="M488" s="7">
        <v>121.6</v>
      </c>
      <c r="N488" s="8">
        <f>IF(Tabela1[[#This Row],[Core-Services CPI]]="",#N/A,((Tabela1[[#This Row],[Core-Services CPI]]*1)/M487)-1)</f>
        <v>1.6474464579900872E-3</v>
      </c>
      <c r="O488" s="8">
        <f>IF(Tabela1[[#This Row],[Core-Services CPI]]="",#N/A,((Tabela1[[#This Row],[Core-Services CPI]]*1)/M476)-1)</f>
        <v>4.4673539518900185E-2</v>
      </c>
      <c r="P488" s="7">
        <v>108.2</v>
      </c>
      <c r="Q488" s="8">
        <f>IF(Tabela1[[#This Row],[Durable Goods CPI]]="",#N/A,((Tabela1[[#This Row],[Durable Goods CPI]]*1)/P487)-1)</f>
        <v>2.780352177942591E-3</v>
      </c>
      <c r="R488" s="8">
        <f>IF(Tabela1[[#This Row],[Durable Goods CPI]]="",#N/A,((Tabela1[[#This Row],[Durable Goods CPI]]*1)/P476)-1)</f>
        <v>1.5009380863039379E-2</v>
      </c>
      <c r="S488" s="7">
        <v>4.3580797840000001</v>
      </c>
      <c r="T488" s="7">
        <v>52.741</v>
      </c>
      <c r="U488" s="8">
        <f>IF(Tabela1[[#This Row],[Personal Consumption Expenditures (PCE)]]="",#N/A,((Tabela1[[#This Row],[Personal Consumption Expenditures (PCE)]]*1)/T487)-1)</f>
        <v>3.7874462334892556E-3</v>
      </c>
      <c r="V488" s="8">
        <f>IF(Tabela1[[#This Row],[Personal Consumption Expenditures (PCE)]]="",#N/A,((Tabela1[[#This Row],[Personal Consumption Expenditures (PCE)]]*1)/T476)-1)</f>
        <v>3.1084436276905603E-2</v>
      </c>
      <c r="W488" s="7">
        <v>53.36</v>
      </c>
      <c r="X488" s="8">
        <f>IF(Tabela1[[#This Row],[Core PCE]]="",#N/A,((Tabela1[[#This Row],[Core PCE]]*1)/W487)-1)</f>
        <v>2.7436388920210053E-3</v>
      </c>
      <c r="Y488" s="8">
        <f>IF(Tabela1[[#This Row],[Core PCE]]="",#N/A,((Tabela1[[#This Row],[Core PCE]]*1)/W476)-1)</f>
        <v>3.1609473175447045E-2</v>
      </c>
      <c r="Z488" s="8">
        <f t="shared" si="25"/>
        <v>3.9162594062621459E-2</v>
      </c>
      <c r="AA488" s="8">
        <f t="shared" si="24"/>
        <v>3.4377822205788E-2</v>
      </c>
      <c r="AB488" s="7">
        <v>3.6</v>
      </c>
      <c r="AC488" s="7"/>
      <c r="AD488" s="8"/>
      <c r="AE488" s="71"/>
      <c r="AF488" s="7">
        <v>3.3</v>
      </c>
      <c r="AG488" s="5"/>
    </row>
    <row r="489" spans="1:33" ht="12.75">
      <c r="A489" s="6">
        <v>31959</v>
      </c>
      <c r="B489" s="7">
        <v>113.8</v>
      </c>
      <c r="C489" s="8">
        <f>IF(Tabela1[[#This Row],[Consumer Price Index (CPI)]]="",#N/A,((Tabela1[[#This Row],[Consumer Price Index (CPI)]]*1)/B488)-1)</f>
        <v>2.6431718061674658E-3</v>
      </c>
      <c r="D489" s="8">
        <f>IF(Tabela1[[#This Row],[Consumer Price Index (CPI)]]="",#N/A,((Tabela1[[#This Row],[Consumer Price Index (CPI)]]*1)/B477)-1)</f>
        <v>3.926940639269394E-2</v>
      </c>
      <c r="E489" s="25">
        <v>118.3</v>
      </c>
      <c r="F489" s="8">
        <f>IF(Tabela1[[#This Row],[Core Consumer Price Index]]="",#N/A,((Tabela1[[#This Row],[Core Consumer Price Index]]*1)/E488)-1)</f>
        <v>3.392705682782049E-3</v>
      </c>
      <c r="G489" s="8">
        <f>IF(Tabela1[[#This Row],[Core Consumer Price Index]]="",#N/A,((Tabela1[[#This Row],[Core Consumer Price Index]]*1)/E477)-1)</f>
        <v>3.9543057996485054E-2</v>
      </c>
      <c r="H489" s="8">
        <f t="shared" si="22"/>
        <v>3.4008002811686922E-2</v>
      </c>
      <c r="I489" s="8">
        <f t="shared" si="23"/>
        <v>4.1072420670559051E-2</v>
      </c>
      <c r="J489" s="25">
        <v>120.3</v>
      </c>
      <c r="K489" s="8">
        <f>IF(Tabela1[[#This Row],[Services CPI]]="",#N/A,((Tabela1[[#This Row],[Services CPI]]*1)/J488)-1)</f>
        <v>2.4999999999999467E-3</v>
      </c>
      <c r="L489" s="8">
        <f>IF(Tabela1[[#This Row],[Services CPI]]="",#N/A,((Tabela1[[#This Row],[Services CPI]]*1)/J477)-1)</f>
        <v>3.9757994814174635E-2</v>
      </c>
      <c r="M489" s="7">
        <v>122</v>
      </c>
      <c r="N489" s="8">
        <f>IF(Tabela1[[#This Row],[Core-Services CPI]]="",#N/A,((Tabela1[[#This Row],[Core-Services CPI]]*1)/M488)-1)</f>
        <v>3.2894736842106198E-3</v>
      </c>
      <c r="O489" s="8">
        <f>IF(Tabela1[[#This Row],[Core-Services CPI]]="",#N/A,((Tabela1[[#This Row],[Core-Services CPI]]*1)/M477)-1)</f>
        <v>4.4520547945205546E-2</v>
      </c>
      <c r="P489" s="7">
        <v>108.6</v>
      </c>
      <c r="Q489" s="8">
        <f>IF(Tabela1[[#This Row],[Durable Goods CPI]]="",#N/A,((Tabela1[[#This Row],[Durable Goods CPI]]*1)/P488)-1)</f>
        <v>3.696857670979492E-3</v>
      </c>
      <c r="R489" s="8">
        <f>IF(Tabela1[[#This Row],[Durable Goods CPI]]="",#N/A,((Tabela1[[#This Row],[Durable Goods CPI]]*1)/P477)-1)</f>
        <v>1.9718309859154903E-2</v>
      </c>
      <c r="S489" s="7">
        <v>4.4169176590000001</v>
      </c>
      <c r="T489" s="7">
        <v>52.863</v>
      </c>
      <c r="U489" s="8">
        <f>IF(Tabela1[[#This Row],[Personal Consumption Expenditures (PCE)]]="",#N/A,((Tabela1[[#This Row],[Personal Consumption Expenditures (PCE)]]*1)/T488)-1)</f>
        <v>2.3131908761684361E-3</v>
      </c>
      <c r="V489" s="8">
        <f>IF(Tabela1[[#This Row],[Personal Consumption Expenditures (PCE)]]="",#N/A,((Tabela1[[#This Row],[Personal Consumption Expenditures (PCE)]]*1)/T477)-1)</f>
        <v>3.3206942381361904E-2</v>
      </c>
      <c r="W489" s="7">
        <v>53.497999999999998</v>
      </c>
      <c r="X489" s="8">
        <f>IF(Tabela1[[#This Row],[Core PCE]]="",#N/A,((Tabela1[[#This Row],[Core PCE]]*1)/W488)-1)</f>
        <v>2.586206896551646E-3</v>
      </c>
      <c r="Y489" s="8">
        <f>IF(Tabela1[[#This Row],[Core PCE]]="",#N/A,((Tabela1[[#This Row],[Core PCE]]*1)/W477)-1)</f>
        <v>3.2401242787394535E-2</v>
      </c>
      <c r="Z489" s="8">
        <f t="shared" si="25"/>
        <v>3.2550891681568217E-2</v>
      </c>
      <c r="AA489" s="8">
        <f t="shared" si="24"/>
        <v>3.4745843411382538E-2</v>
      </c>
      <c r="AB489" s="7">
        <v>3.59</v>
      </c>
      <c r="AC489" s="7"/>
      <c r="AD489" s="8"/>
      <c r="AE489" s="71"/>
      <c r="AF489" s="7">
        <v>3.1</v>
      </c>
      <c r="AG489" s="5"/>
    </row>
    <row r="490" spans="1:33" ht="12.75">
      <c r="A490" s="6">
        <v>31990</v>
      </c>
      <c r="B490" s="7">
        <v>114.3</v>
      </c>
      <c r="C490" s="8">
        <f>IF(Tabela1[[#This Row],[Consumer Price Index (CPI)]]="",#N/A,((Tabela1[[#This Row],[Consumer Price Index (CPI)]]*1)/B489)-1)</f>
        <v>4.3936731107205862E-3</v>
      </c>
      <c r="D490" s="8">
        <f>IF(Tabela1[[#This Row],[Consumer Price Index (CPI)]]="",#N/A,((Tabela1[[#This Row],[Consumer Price Index (CPI)]]*1)/B478)-1)</f>
        <v>4.2883211678832245E-2</v>
      </c>
      <c r="E490" s="25">
        <v>118.7</v>
      </c>
      <c r="F490" s="8">
        <f>IF(Tabela1[[#This Row],[Core Consumer Price Index]]="",#N/A,((Tabela1[[#This Row],[Core Consumer Price Index]]*1)/E489)-1)</f>
        <v>3.3812341504648735E-3</v>
      </c>
      <c r="G490" s="8">
        <f>IF(Tabela1[[#This Row],[Core Consumer Price Index]]="",#N/A,((Tabela1[[#This Row],[Core Consumer Price Index]]*1)/E478)-1)</f>
        <v>3.9404553415061327E-2</v>
      </c>
      <c r="H490" s="8">
        <f t="shared" si="22"/>
        <v>3.3892700709368562E-2</v>
      </c>
      <c r="I490" s="8">
        <f t="shared" si="23"/>
        <v>4.2658012353714803E-2</v>
      </c>
      <c r="J490" s="25">
        <v>120.9</v>
      </c>
      <c r="K490" s="8">
        <f>IF(Tabela1[[#This Row],[Services CPI]]="",#N/A,((Tabela1[[#This Row],[Services CPI]]*1)/J489)-1)</f>
        <v>4.9875311720699589E-3</v>
      </c>
      <c r="L490" s="8">
        <f>IF(Tabela1[[#This Row],[Services CPI]]="",#N/A,((Tabela1[[#This Row],[Services CPI]]*1)/J478)-1)</f>
        <v>4.1343669250646142E-2</v>
      </c>
      <c r="M490" s="7">
        <v>122.6</v>
      </c>
      <c r="N490" s="8">
        <f>IF(Tabela1[[#This Row],[Core-Services CPI]]="",#N/A,((Tabela1[[#This Row],[Core-Services CPI]]*1)/M489)-1)</f>
        <v>4.9180327868851847E-3</v>
      </c>
      <c r="O490" s="8">
        <f>IF(Tabela1[[#This Row],[Core-Services CPI]]="",#N/A,((Tabela1[[#This Row],[Core-Services CPI]]*1)/M478)-1)</f>
        <v>4.607508532423199E-2</v>
      </c>
      <c r="P490" s="7">
        <v>108.9</v>
      </c>
      <c r="Q490" s="8">
        <f>IF(Tabela1[[#This Row],[Durable Goods CPI]]="",#N/A,((Tabela1[[#This Row],[Durable Goods CPI]]*1)/P489)-1)</f>
        <v>2.7624309392266788E-3</v>
      </c>
      <c r="R490" s="8">
        <f>IF(Tabela1[[#This Row],[Durable Goods CPI]]="",#N/A,((Tabela1[[#This Row],[Durable Goods CPI]]*1)/P478)-1)</f>
        <v>2.0618556701030855E-2</v>
      </c>
      <c r="S490" s="7">
        <v>4.1753918619999997</v>
      </c>
      <c r="T490" s="7">
        <v>53.072000000000003</v>
      </c>
      <c r="U490" s="8">
        <f>IF(Tabela1[[#This Row],[Personal Consumption Expenditures (PCE)]]="",#N/A,((Tabela1[[#This Row],[Personal Consumption Expenditures (PCE)]]*1)/T489)-1)</f>
        <v>3.9536159506650126E-3</v>
      </c>
      <c r="V490" s="8">
        <f>IF(Tabela1[[#This Row],[Personal Consumption Expenditures (PCE)]]="",#N/A,((Tabela1[[#This Row],[Personal Consumption Expenditures (PCE)]]*1)/T478)-1)</f>
        <v>3.5995939720465442E-2</v>
      </c>
      <c r="W490" s="7">
        <v>53.679000000000002</v>
      </c>
      <c r="X490" s="8">
        <f>IF(Tabela1[[#This Row],[Core PCE]]="",#N/A,((Tabela1[[#This Row],[Core PCE]]*1)/W489)-1)</f>
        <v>3.3833040487496469E-3</v>
      </c>
      <c r="Y490" s="8">
        <f>IF(Tabela1[[#This Row],[Core PCE]]="",#N/A,((Tabela1[[#This Row],[Core PCE]]*1)/W478)-1)</f>
        <v>3.3779489648531724E-2</v>
      </c>
      <c r="Z490" s="8">
        <f t="shared" si="25"/>
        <v>3.4852599349289193E-2</v>
      </c>
      <c r="AA490" s="8">
        <f t="shared" si="24"/>
        <v>3.7442308102894728E-2</v>
      </c>
      <c r="AB490" s="7">
        <v>3.74</v>
      </c>
      <c r="AC490" s="7"/>
      <c r="AD490" s="8"/>
      <c r="AE490" s="71"/>
      <c r="AF490" s="7">
        <v>3.2</v>
      </c>
      <c r="AG490" s="5"/>
    </row>
    <row r="491" spans="1:33" ht="12.75">
      <c r="A491" s="6">
        <v>32021</v>
      </c>
      <c r="B491" s="7">
        <v>114.7</v>
      </c>
      <c r="C491" s="8">
        <f>IF(Tabela1[[#This Row],[Consumer Price Index (CPI)]]="",#N/A,((Tabela1[[#This Row],[Consumer Price Index (CPI)]]*1)/B490)-1)</f>
        <v>3.4995625546807574E-3</v>
      </c>
      <c r="D491" s="8">
        <f>IF(Tabela1[[#This Row],[Consumer Price Index (CPI)]]="",#N/A,((Tabela1[[#This Row],[Consumer Price Index (CPI)]]*1)/B479)-1)</f>
        <v>4.2727272727272725E-2</v>
      </c>
      <c r="E491" s="25">
        <v>119.2</v>
      </c>
      <c r="F491" s="8">
        <f>IF(Tabela1[[#This Row],[Core Consumer Price Index]]="",#N/A,((Tabela1[[#This Row],[Core Consumer Price Index]]*1)/E490)-1)</f>
        <v>4.2122999157538921E-3</v>
      </c>
      <c r="G491" s="8">
        <f>IF(Tabela1[[#This Row],[Core Consumer Price Index]]="",#N/A,((Tabela1[[#This Row],[Core Consumer Price Index]]*1)/E479)-1)</f>
        <v>4.0139616055846483E-2</v>
      </c>
      <c r="H491" s="8">
        <f t="shared" si="22"/>
        <v>4.3944958996003258E-2</v>
      </c>
      <c r="I491" s="8">
        <f t="shared" si="23"/>
        <v>4.4197930601745927E-2</v>
      </c>
      <c r="J491" s="25">
        <v>121.4</v>
      </c>
      <c r="K491" s="8">
        <f>IF(Tabela1[[#This Row],[Services CPI]]="",#N/A,((Tabela1[[#This Row],[Services CPI]]*1)/J490)-1)</f>
        <v>4.1356492969395475E-3</v>
      </c>
      <c r="L491" s="8">
        <f>IF(Tabela1[[#This Row],[Services CPI]]="",#N/A,((Tabela1[[#This Row],[Services CPI]]*1)/J479)-1)</f>
        <v>4.2060085836910011E-2</v>
      </c>
      <c r="M491" s="7">
        <v>123.1</v>
      </c>
      <c r="N491" s="8">
        <f>IF(Tabela1[[#This Row],[Core-Services CPI]]="",#N/A,((Tabela1[[#This Row],[Core-Services CPI]]*1)/M490)-1)</f>
        <v>4.0783034257749762E-3</v>
      </c>
      <c r="O491" s="8">
        <f>IF(Tabela1[[#This Row],[Core-Services CPI]]="",#N/A,((Tabela1[[#This Row],[Core-Services CPI]]*1)/M479)-1)</f>
        <v>4.5879354290569108E-2</v>
      </c>
      <c r="P491" s="7">
        <v>108.9</v>
      </c>
      <c r="Q491" s="8">
        <f>IF(Tabela1[[#This Row],[Durable Goods CPI]]="",#N/A,((Tabela1[[#This Row],[Durable Goods CPI]]*1)/P490)-1)</f>
        <v>0</v>
      </c>
      <c r="R491" s="8">
        <f>IF(Tabela1[[#This Row],[Durable Goods CPI]]="",#N/A,((Tabela1[[#This Row],[Durable Goods CPI]]*1)/P479)-1)</f>
        <v>1.8709073900841977E-2</v>
      </c>
      <c r="S491" s="7">
        <v>4.1664900080000002</v>
      </c>
      <c r="T491" s="7">
        <v>53.250999999999998</v>
      </c>
      <c r="U491" s="8">
        <f>IF(Tabela1[[#This Row],[Personal Consumption Expenditures (PCE)]]="",#N/A,((Tabela1[[#This Row],[Personal Consumption Expenditures (PCE)]]*1)/T490)-1)</f>
        <v>3.3727766053661679E-3</v>
      </c>
      <c r="V491" s="8">
        <f>IF(Tabela1[[#This Row],[Personal Consumption Expenditures (PCE)]]="",#N/A,((Tabela1[[#This Row],[Personal Consumption Expenditures (PCE)]]*1)/T479)-1)</f>
        <v>3.6092302902949625E-2</v>
      </c>
      <c r="W491" s="7">
        <v>53.892000000000003</v>
      </c>
      <c r="X491" s="8">
        <f>IF(Tabela1[[#This Row],[Core PCE]]="",#N/A,((Tabela1[[#This Row],[Core PCE]]*1)/W490)-1)</f>
        <v>3.9680321913597716E-3</v>
      </c>
      <c r="Y491" s="8">
        <f>IF(Tabela1[[#This Row],[Core PCE]]="",#N/A,((Tabela1[[#This Row],[Core PCE]]*1)/W479)-1)</f>
        <v>3.447481572481581E-2</v>
      </c>
      <c r="Z491" s="8">
        <f t="shared" si="25"/>
        <v>3.9750172546644258E-2</v>
      </c>
      <c r="AA491" s="8">
        <f t="shared" si="24"/>
        <v>3.9456383304632858E-2</v>
      </c>
      <c r="AB491" s="7">
        <v>3.71</v>
      </c>
      <c r="AC491" s="7"/>
      <c r="AD491" s="8"/>
      <c r="AE491" s="71"/>
      <c r="AF491" s="7">
        <v>3</v>
      </c>
      <c r="AG491" s="5"/>
    </row>
    <row r="492" spans="1:33" ht="12.75">
      <c r="A492" s="6">
        <v>32051</v>
      </c>
      <c r="B492" s="7">
        <v>115</v>
      </c>
      <c r="C492" s="8">
        <f>IF(Tabela1[[#This Row],[Consumer Price Index (CPI)]]="",#N/A,((Tabela1[[#This Row],[Consumer Price Index (CPI)]]*1)/B491)-1)</f>
        <v>2.6155187445509043E-3</v>
      </c>
      <c r="D492" s="8">
        <f>IF(Tabela1[[#This Row],[Consumer Price Index (CPI)]]="",#N/A,((Tabela1[[#This Row],[Consumer Price Index (CPI)]]*1)/B480)-1)</f>
        <v>4.3557168784029043E-2</v>
      </c>
      <c r="E492" s="25">
        <v>119.8</v>
      </c>
      <c r="F492" s="8">
        <f>IF(Tabela1[[#This Row],[Core Consumer Price Index]]="",#N/A,((Tabela1[[#This Row],[Core Consumer Price Index]]*1)/E491)-1)</f>
        <v>5.0335570469797197E-3</v>
      </c>
      <c r="G492" s="8">
        <f>IF(Tabela1[[#This Row],[Core Consumer Price Index]]="",#N/A,((Tabela1[[#This Row],[Core Consumer Price Index]]*1)/E480)-1)</f>
        <v>4.1739130434782501E-2</v>
      </c>
      <c r="H492" s="8">
        <f t="shared" si="22"/>
        <v>5.0508364452793941E-2</v>
      </c>
      <c r="I492" s="8">
        <f t="shared" si="23"/>
        <v>4.2258183632240431E-2</v>
      </c>
      <c r="J492" s="25">
        <v>121.8</v>
      </c>
      <c r="K492" s="8">
        <f>IF(Tabela1[[#This Row],[Services CPI]]="",#N/A,((Tabela1[[#This Row],[Services CPI]]*1)/J491)-1)</f>
        <v>3.2948929159801743E-3</v>
      </c>
      <c r="L492" s="8">
        <f>IF(Tabela1[[#This Row],[Services CPI]]="",#N/A,((Tabela1[[#This Row],[Services CPI]]*1)/J480)-1)</f>
        <v>4.1916167664670656E-2</v>
      </c>
      <c r="M492" s="7">
        <v>123.8</v>
      </c>
      <c r="N492" s="8">
        <f>IF(Tabela1[[#This Row],[Core-Services CPI]]="",#N/A,((Tabela1[[#This Row],[Core-Services CPI]]*1)/M491)-1)</f>
        <v>5.6864337936637366E-3</v>
      </c>
      <c r="O492" s="8">
        <f>IF(Tabela1[[#This Row],[Core-Services CPI]]="",#N/A,((Tabela1[[#This Row],[Core-Services CPI]]*1)/M480)-1)</f>
        <v>4.6491969568892566E-2</v>
      </c>
      <c r="P492" s="7">
        <v>109</v>
      </c>
      <c r="Q492" s="8">
        <f>IF(Tabela1[[#This Row],[Durable Goods CPI]]="",#N/A,((Tabela1[[#This Row],[Durable Goods CPI]]*1)/P491)-1)</f>
        <v>9.182736455464191E-4</v>
      </c>
      <c r="R492" s="8">
        <f>IF(Tabela1[[#This Row],[Durable Goods CPI]]="",#N/A,((Tabela1[[#This Row],[Durable Goods CPI]]*1)/P480)-1)</f>
        <v>2.0599250936329527E-2</v>
      </c>
      <c r="S492" s="7">
        <v>4.2808984069999996</v>
      </c>
      <c r="T492" s="7">
        <v>53.42</v>
      </c>
      <c r="U492" s="8">
        <f>IF(Tabela1[[#This Row],[Personal Consumption Expenditures (PCE)]]="",#N/A,((Tabela1[[#This Row],[Personal Consumption Expenditures (PCE)]]*1)/T491)-1)</f>
        <v>3.1736493211396155E-3</v>
      </c>
      <c r="V492" s="8">
        <f>IF(Tabela1[[#This Row],[Personal Consumption Expenditures (PCE)]]="",#N/A,((Tabela1[[#This Row],[Personal Consumption Expenditures (PCE)]]*1)/T480)-1)</f>
        <v>3.7523306401491707E-2</v>
      </c>
      <c r="W492" s="7">
        <v>54.122</v>
      </c>
      <c r="X492" s="8">
        <f>IF(Tabela1[[#This Row],[Core PCE]]="",#N/A,((Tabela1[[#This Row],[Core PCE]]*1)/W491)-1)</f>
        <v>4.2677948489571182E-3</v>
      </c>
      <c r="Y492" s="8">
        <f>IF(Tabela1[[#This Row],[Core PCE]]="",#N/A,((Tabela1[[#This Row],[Core PCE]]*1)/W480)-1)</f>
        <v>3.5371989363533585E-2</v>
      </c>
      <c r="Z492" s="8">
        <f t="shared" si="25"/>
        <v>4.6476524356266147E-2</v>
      </c>
      <c r="AA492" s="8">
        <f t="shared" si="24"/>
        <v>3.9513708018917182E-2</v>
      </c>
      <c r="AB492" s="7">
        <v>3.73</v>
      </c>
      <c r="AC492" s="7"/>
      <c r="AD492" s="8"/>
      <c r="AE492" s="71"/>
      <c r="AF492" s="7">
        <v>3.3</v>
      </c>
      <c r="AG492" s="5"/>
    </row>
    <row r="493" spans="1:33" ht="12.75">
      <c r="A493" s="6">
        <v>32082</v>
      </c>
      <c r="B493" s="7">
        <v>115.4</v>
      </c>
      <c r="C493" s="8">
        <f>IF(Tabela1[[#This Row],[Consumer Price Index (CPI)]]="",#N/A,((Tabela1[[#This Row],[Consumer Price Index (CPI)]]*1)/B492)-1)</f>
        <v>3.4782608695653749E-3</v>
      </c>
      <c r="D493" s="8">
        <f>IF(Tabela1[[#This Row],[Consumer Price Index (CPI)]]="",#N/A,((Tabela1[[#This Row],[Consumer Price Index (CPI)]]*1)/B481)-1)</f>
        <v>4.5289855072463858E-2</v>
      </c>
      <c r="E493" s="25">
        <v>120.1</v>
      </c>
      <c r="F493" s="8">
        <f>IF(Tabela1[[#This Row],[Core Consumer Price Index]]="",#N/A,((Tabela1[[#This Row],[Core Consumer Price Index]]*1)/E492)-1)</f>
        <v>2.5041736227044975E-3</v>
      </c>
      <c r="G493" s="8">
        <f>IF(Tabela1[[#This Row],[Core Consumer Price Index]]="",#N/A,((Tabela1[[#This Row],[Core Consumer Price Index]]*1)/E481)-1)</f>
        <v>4.1630529054640153E-2</v>
      </c>
      <c r="H493" s="8">
        <f t="shared" si="22"/>
        <v>4.7000122341752437E-2</v>
      </c>
      <c r="I493" s="8">
        <f t="shared" si="23"/>
        <v>4.0446411525560499E-2</v>
      </c>
      <c r="J493" s="25">
        <v>122.2</v>
      </c>
      <c r="K493" s="8">
        <f>IF(Tabela1[[#This Row],[Services CPI]]="",#N/A,((Tabela1[[#This Row],[Services CPI]]*1)/J492)-1)</f>
        <v>3.284072249589487E-3</v>
      </c>
      <c r="L493" s="8">
        <f>IF(Tabela1[[#This Row],[Services CPI]]="",#N/A,((Tabela1[[#This Row],[Services CPI]]*1)/J481)-1)</f>
        <v>4.2662116040955711E-2</v>
      </c>
      <c r="M493" s="7">
        <v>124.1</v>
      </c>
      <c r="N493" s="8">
        <f>IF(Tabela1[[#This Row],[Core-Services CPI]]="",#N/A,((Tabela1[[#This Row],[Core-Services CPI]]*1)/M492)-1)</f>
        <v>2.4232633279481774E-3</v>
      </c>
      <c r="O493" s="8">
        <f>IF(Tabela1[[#This Row],[Core-Services CPI]]="",#N/A,((Tabela1[[#This Row],[Core-Services CPI]]*1)/M481)-1)</f>
        <v>4.5492839090143233E-2</v>
      </c>
      <c r="P493" s="7">
        <v>109.3</v>
      </c>
      <c r="Q493" s="8">
        <f>IF(Tabela1[[#This Row],[Durable Goods CPI]]="",#N/A,((Tabela1[[#This Row],[Durable Goods CPI]]*1)/P492)-1)</f>
        <v>2.7522935779815683E-3</v>
      </c>
      <c r="R493" s="8">
        <f>IF(Tabela1[[#This Row],[Durable Goods CPI]]="",#N/A,((Tabela1[[#This Row],[Durable Goods CPI]]*1)/P481)-1)</f>
        <v>2.3408239700374533E-2</v>
      </c>
      <c r="S493" s="7">
        <v>4.2910357479999996</v>
      </c>
      <c r="T493" s="7">
        <v>53.521000000000001</v>
      </c>
      <c r="U493" s="8">
        <f>IF(Tabela1[[#This Row],[Personal Consumption Expenditures (PCE)]]="",#N/A,((Tabela1[[#This Row],[Personal Consumption Expenditures (PCE)]]*1)/T492)-1)</f>
        <v>1.8906776488205601E-3</v>
      </c>
      <c r="V493" s="8">
        <f>IF(Tabela1[[#This Row],[Personal Consumption Expenditures (PCE)]]="",#N/A,((Tabela1[[#This Row],[Personal Consumption Expenditures (PCE)]]*1)/T481)-1)</f>
        <v>3.7630864676231113E-2</v>
      </c>
      <c r="W493" s="7">
        <v>54.234999999999999</v>
      </c>
      <c r="X493" s="8">
        <f>IF(Tabela1[[#This Row],[Core PCE]]="",#N/A,((Tabela1[[#This Row],[Core PCE]]*1)/W492)-1)</f>
        <v>2.0878755404456495E-3</v>
      </c>
      <c r="Y493" s="8">
        <f>IF(Tabela1[[#This Row],[Core PCE]]="",#N/A,((Tabela1[[#This Row],[Core PCE]]*1)/W481)-1)</f>
        <v>3.5335216860109986E-2</v>
      </c>
      <c r="Z493" s="8">
        <f t="shared" si="25"/>
        <v>4.1294810323050157E-2</v>
      </c>
      <c r="AA493" s="8">
        <f t="shared" si="24"/>
        <v>3.8073704836169675E-2</v>
      </c>
      <c r="AB493" s="7">
        <v>3.72</v>
      </c>
      <c r="AC493" s="7"/>
      <c r="AD493" s="8"/>
      <c r="AE493" s="71"/>
      <c r="AF493" s="7">
        <v>3.2</v>
      </c>
      <c r="AG493" s="5"/>
    </row>
    <row r="494" spans="1:33" ht="12.75">
      <c r="A494" s="6">
        <v>32112</v>
      </c>
      <c r="B494" s="7">
        <v>115.6</v>
      </c>
      <c r="C494" s="8">
        <f>IF(Tabela1[[#This Row],[Consumer Price Index (CPI)]]="",#N/A,((Tabela1[[#This Row],[Consumer Price Index (CPI)]]*1)/B493)-1)</f>
        <v>1.7331022530329143E-3</v>
      </c>
      <c r="D494" s="8">
        <f>IF(Tabela1[[#This Row],[Consumer Price Index (CPI)]]="",#N/A,((Tabela1[[#This Row],[Consumer Price Index (CPI)]]*1)/B482)-1)</f>
        <v>4.3321299638989119E-2</v>
      </c>
      <c r="E494" s="25">
        <v>120.4</v>
      </c>
      <c r="F494" s="8">
        <f>IF(Tabela1[[#This Row],[Core Consumer Price Index]]="",#N/A,((Tabela1[[#This Row],[Core Consumer Price Index]]*1)/E493)-1)</f>
        <v>2.4979184013322886E-3</v>
      </c>
      <c r="G494" s="8">
        <f>IF(Tabela1[[#This Row],[Core Consumer Price Index]]="",#N/A,((Tabela1[[#This Row],[Core Consumer Price Index]]*1)/E482)-1)</f>
        <v>4.1522491349481161E-2</v>
      </c>
      <c r="H494" s="8">
        <f t="shared" si="22"/>
        <v>4.0142596284066023E-2</v>
      </c>
      <c r="I494" s="8">
        <f t="shared" si="23"/>
        <v>4.2043777640034641E-2</v>
      </c>
      <c r="J494" s="25">
        <v>122.6</v>
      </c>
      <c r="K494" s="8">
        <f>IF(Tabela1[[#This Row],[Services CPI]]="",#N/A,((Tabela1[[#This Row],[Services CPI]]*1)/J493)-1)</f>
        <v>3.2733224222585289E-3</v>
      </c>
      <c r="L494" s="8">
        <f>IF(Tabela1[[#This Row],[Services CPI]]="",#N/A,((Tabela1[[#This Row],[Services CPI]]*1)/J482)-1)</f>
        <v>4.3404255319148932E-2</v>
      </c>
      <c r="M494" s="7">
        <v>124.6</v>
      </c>
      <c r="N494" s="8">
        <f>IF(Tabela1[[#This Row],[Core-Services CPI]]="",#N/A,((Tabela1[[#This Row],[Core-Services CPI]]*1)/M493)-1)</f>
        <v>4.0290088638195165E-3</v>
      </c>
      <c r="O494" s="8">
        <f>IF(Tabela1[[#This Row],[Core-Services CPI]]="",#N/A,((Tabela1[[#This Row],[Core-Services CPI]]*1)/M482)-1)</f>
        <v>4.617968094038627E-2</v>
      </c>
      <c r="P494" s="7">
        <v>109.1</v>
      </c>
      <c r="Q494" s="8">
        <f>IF(Tabela1[[#This Row],[Durable Goods CPI]]="",#N/A,((Tabela1[[#This Row],[Durable Goods CPI]]*1)/P493)-1)</f>
        <v>-1.8298261665141702E-3</v>
      </c>
      <c r="R494" s="8">
        <f>IF(Tabela1[[#This Row],[Durable Goods CPI]]="",#N/A,((Tabela1[[#This Row],[Durable Goods CPI]]*1)/P482)-1)</f>
        <v>2.1535580524344455E-2</v>
      </c>
      <c r="S494" s="7">
        <v>4.3430674309999997</v>
      </c>
      <c r="T494" s="7">
        <v>53.62</v>
      </c>
      <c r="U494" s="8">
        <f>IF(Tabela1[[#This Row],[Personal Consumption Expenditures (PCE)]]="",#N/A,((Tabela1[[#This Row],[Personal Consumption Expenditures (PCE)]]*1)/T493)-1)</f>
        <v>1.849741223071355E-3</v>
      </c>
      <c r="V494" s="8">
        <f>IF(Tabela1[[#This Row],[Personal Consumption Expenditures (PCE)]]="",#N/A,((Tabela1[[#This Row],[Personal Consumption Expenditures (PCE)]]*1)/T482)-1)</f>
        <v>3.8121236762114874E-2</v>
      </c>
      <c r="W494" s="7">
        <v>54.348999999999997</v>
      </c>
      <c r="X494" s="8">
        <f>IF(Tabela1[[#This Row],[Core PCE]]="",#N/A,((Tabela1[[#This Row],[Core PCE]]*1)/W493)-1)</f>
        <v>2.1019636765926553E-3</v>
      </c>
      <c r="Y494" s="8">
        <f>IF(Tabela1[[#This Row],[Core PCE]]="",#N/A,((Tabela1[[#This Row],[Core PCE]]*1)/W482)-1)</f>
        <v>3.616639975596736E-2</v>
      </c>
      <c r="Z494" s="8">
        <f t="shared" si="25"/>
        <v>3.3830536263981692E-2</v>
      </c>
      <c r="AA494" s="8">
        <f t="shared" si="24"/>
        <v>3.6790354405312975E-2</v>
      </c>
      <c r="AB494" s="7">
        <v>3.62</v>
      </c>
      <c r="AC494" s="7"/>
      <c r="AD494" s="8"/>
      <c r="AE494" s="71"/>
      <c r="AF494" s="7">
        <v>3.1</v>
      </c>
      <c r="AG494" s="5"/>
    </row>
    <row r="495" spans="1:33" ht="12.75">
      <c r="A495" s="6">
        <v>32143</v>
      </c>
      <c r="B495" s="7">
        <v>116</v>
      </c>
      <c r="C495" s="8">
        <f>IF(Tabela1[[#This Row],[Consumer Price Index (CPI)]]="",#N/A,((Tabela1[[#This Row],[Consumer Price Index (CPI)]]*1)/B494)-1)</f>
        <v>3.4602076124568004E-3</v>
      </c>
      <c r="D495" s="8">
        <f>IF(Tabela1[[#This Row],[Consumer Price Index (CPI)]]="",#N/A,((Tabela1[[#This Row],[Consumer Price Index (CPI)]]*1)/B483)-1)</f>
        <v>4.1292639138240439E-2</v>
      </c>
      <c r="E495" s="25">
        <v>120.9</v>
      </c>
      <c r="F495" s="8">
        <f>IF(Tabela1[[#This Row],[Core Consumer Price Index]]="",#N/A,((Tabela1[[#This Row],[Core Consumer Price Index]]*1)/E494)-1)</f>
        <v>4.1528239202657247E-3</v>
      </c>
      <c r="G495" s="8">
        <f>IF(Tabela1[[#This Row],[Core Consumer Price Index]]="",#N/A,((Tabela1[[#This Row],[Core Consumer Price Index]]*1)/E483)-1)</f>
        <v>4.3140638481449445E-2</v>
      </c>
      <c r="H495" s="8">
        <f t="shared" si="22"/>
        <v>3.6619663777210043E-2</v>
      </c>
      <c r="I495" s="8">
        <f t="shared" si="23"/>
        <v>4.3564014115001992E-2</v>
      </c>
      <c r="J495" s="25">
        <v>123</v>
      </c>
      <c r="K495" s="8">
        <f>IF(Tabela1[[#This Row],[Services CPI]]="",#N/A,((Tabela1[[#This Row],[Services CPI]]*1)/J494)-1)</f>
        <v>3.2626427406199365E-3</v>
      </c>
      <c r="L495" s="8">
        <f>IF(Tabela1[[#This Row],[Services CPI]]="",#N/A,((Tabela1[[#This Row],[Services CPI]]*1)/J483)-1)</f>
        <v>4.3256997455470625E-2</v>
      </c>
      <c r="M495" s="7">
        <v>125.1</v>
      </c>
      <c r="N495" s="8">
        <f>IF(Tabela1[[#This Row],[Core-Services CPI]]="",#N/A,((Tabela1[[#This Row],[Core-Services CPI]]*1)/M494)-1)</f>
        <v>4.0128410914928025E-3</v>
      </c>
      <c r="O495" s="8">
        <f>IF(Tabela1[[#This Row],[Core-Services CPI]]="",#N/A,((Tabela1[[#This Row],[Core-Services CPI]]*1)/M483)-1)</f>
        <v>4.7738693467336502E-2</v>
      </c>
      <c r="P495" s="7">
        <v>108.9</v>
      </c>
      <c r="Q495" s="8">
        <f>IF(Tabela1[[#This Row],[Durable Goods CPI]]="",#N/A,((Tabela1[[#This Row],[Durable Goods CPI]]*1)/P494)-1)</f>
        <v>-1.8331805682858526E-3</v>
      </c>
      <c r="R495" s="8">
        <f>IF(Tabela1[[#This Row],[Durable Goods CPI]]="",#N/A,((Tabela1[[#This Row],[Durable Goods CPI]]*1)/P483)-1)</f>
        <v>1.8709073900841977E-2</v>
      </c>
      <c r="S495" s="7">
        <v>4.3146642960000001</v>
      </c>
      <c r="T495" s="7">
        <v>53.828000000000003</v>
      </c>
      <c r="U495" s="8">
        <f>IF(Tabela1[[#This Row],[Personal Consumption Expenditures (PCE)]]="",#N/A,((Tabela1[[#This Row],[Personal Consumption Expenditures (PCE)]]*1)/T494)-1)</f>
        <v>3.8791495710557289E-3</v>
      </c>
      <c r="V495" s="8">
        <f>IF(Tabela1[[#This Row],[Personal Consumption Expenditures (PCE)]]="",#N/A,((Tabela1[[#This Row],[Personal Consumption Expenditures (PCE)]]*1)/T483)-1)</f>
        <v>3.7268277642887426E-2</v>
      </c>
      <c r="W495" s="7">
        <v>54.606000000000002</v>
      </c>
      <c r="X495" s="8">
        <f>IF(Tabela1[[#This Row],[Core PCE]]="",#N/A,((Tabela1[[#This Row],[Core PCE]]*1)/W494)-1)</f>
        <v>4.7286978601264185E-3</v>
      </c>
      <c r="Y495" s="8">
        <f>IF(Tabela1[[#This Row],[Core PCE]]="",#N/A,((Tabela1[[#This Row],[Core PCE]]*1)/W483)-1)</f>
        <v>3.8571265548328126E-2</v>
      </c>
      <c r="Z495" s="8">
        <f t="shared" si="25"/>
        <v>3.5674148308658893E-2</v>
      </c>
      <c r="AA495" s="8">
        <f t="shared" si="24"/>
        <v>4.107533633246252E-2</v>
      </c>
      <c r="AB495" s="7">
        <v>3.62</v>
      </c>
      <c r="AC495" s="7"/>
      <c r="AD495" s="8"/>
      <c r="AE495" s="71"/>
      <c r="AF495" s="7">
        <v>3.2</v>
      </c>
      <c r="AG495" s="5"/>
    </row>
    <row r="496" spans="1:33" ht="12.75">
      <c r="A496" s="6">
        <v>32174</v>
      </c>
      <c r="B496" s="7">
        <v>116.2</v>
      </c>
      <c r="C496" s="8">
        <f>IF(Tabela1[[#This Row],[Consumer Price Index (CPI)]]="",#N/A,((Tabela1[[#This Row],[Consumer Price Index (CPI)]]*1)/B495)-1)</f>
        <v>1.7241379310344307E-3</v>
      </c>
      <c r="D496" s="8">
        <f>IF(Tabela1[[#This Row],[Consumer Price Index (CPI)]]="",#N/A,((Tabela1[[#This Row],[Consumer Price Index (CPI)]]*1)/B484)-1)</f>
        <v>3.9355992844364973E-2</v>
      </c>
      <c r="E496" s="25">
        <v>121.2</v>
      </c>
      <c r="F496" s="8">
        <f>IF(Tabela1[[#This Row],[Core Consumer Price Index]]="",#N/A,((Tabela1[[#This Row],[Core Consumer Price Index]]*1)/E495)-1)</f>
        <v>2.4813895781636841E-3</v>
      </c>
      <c r="G496" s="8">
        <f>IF(Tabela1[[#This Row],[Core Consumer Price Index]]="",#N/A,((Tabela1[[#This Row],[Core Consumer Price Index]]*1)/E484)-1)</f>
        <v>4.3029259896729677E-2</v>
      </c>
      <c r="H496" s="8">
        <f t="shared" si="22"/>
        <v>3.6528527599046789E-2</v>
      </c>
      <c r="I496" s="8">
        <f t="shared" si="23"/>
        <v>4.1764324970399613E-2</v>
      </c>
      <c r="J496" s="25">
        <v>123.5</v>
      </c>
      <c r="K496" s="8">
        <f>IF(Tabela1[[#This Row],[Services CPI]]="",#N/A,((Tabela1[[#This Row],[Services CPI]]*1)/J495)-1)</f>
        <v>4.0650406504065817E-3</v>
      </c>
      <c r="L496" s="8">
        <f>IF(Tabela1[[#This Row],[Services CPI]]="",#N/A,((Tabela1[[#This Row],[Services CPI]]*1)/J484)-1)</f>
        <v>4.3956043956044022E-2</v>
      </c>
      <c r="M496" s="7">
        <v>125.6</v>
      </c>
      <c r="N496" s="8">
        <f>IF(Tabela1[[#This Row],[Core-Services CPI]]="",#N/A,((Tabela1[[#This Row],[Core-Services CPI]]*1)/M495)-1)</f>
        <v>3.9968025579535382E-3</v>
      </c>
      <c r="O496" s="8">
        <f>IF(Tabela1[[#This Row],[Core-Services CPI]]="",#N/A,((Tabela1[[#This Row],[Core-Services CPI]]*1)/M484)-1)</f>
        <v>4.7539616346955693E-2</v>
      </c>
      <c r="P496" s="7">
        <v>109.1</v>
      </c>
      <c r="Q496" s="8">
        <f>IF(Tabela1[[#This Row],[Durable Goods CPI]]="",#N/A,((Tabela1[[#This Row],[Durable Goods CPI]]*1)/P495)-1)</f>
        <v>1.8365472910926162E-3</v>
      </c>
      <c r="R496" s="8">
        <f>IF(Tabela1[[#This Row],[Durable Goods CPI]]="",#N/A,((Tabela1[[#This Row],[Durable Goods CPI]]*1)/P484)-1)</f>
        <v>2.2492970946579094E-2</v>
      </c>
      <c r="S496" s="7">
        <v>4.3025831490000002</v>
      </c>
      <c r="T496" s="7">
        <v>53.908000000000001</v>
      </c>
      <c r="U496" s="8">
        <f>IF(Tabela1[[#This Row],[Personal Consumption Expenditures (PCE)]]="",#N/A,((Tabela1[[#This Row],[Personal Consumption Expenditures (PCE)]]*1)/T495)-1)</f>
        <v>1.4862153526045141E-3</v>
      </c>
      <c r="V496" s="8">
        <f>IF(Tabela1[[#This Row],[Personal Consumption Expenditures (PCE)]]="",#N/A,((Tabela1[[#This Row],[Personal Consumption Expenditures (PCE)]]*1)/T484)-1)</f>
        <v>3.5179353252938084E-2</v>
      </c>
      <c r="W496" s="7">
        <v>54.718000000000004</v>
      </c>
      <c r="X496" s="8">
        <f>IF(Tabela1[[#This Row],[Core PCE]]="",#N/A,((Tabela1[[#This Row],[Core PCE]]*1)/W495)-1)</f>
        <v>2.0510566604403646E-3</v>
      </c>
      <c r="Y496" s="8">
        <f>IF(Tabela1[[#This Row],[Core PCE]]="",#N/A,((Tabela1[[#This Row],[Core PCE]]*1)/W484)-1)</f>
        <v>3.8587833349150724E-2</v>
      </c>
      <c r="Z496" s="8">
        <f t="shared" si="25"/>
        <v>3.5526872788637753E-2</v>
      </c>
      <c r="AA496" s="8">
        <f t="shared" si="24"/>
        <v>3.8410841555843955E-2</v>
      </c>
      <c r="AB496" s="7">
        <v>3.57</v>
      </c>
      <c r="AC496" s="7"/>
      <c r="AD496" s="8"/>
      <c r="AE496" s="71"/>
      <c r="AF496" s="7">
        <v>3.1</v>
      </c>
      <c r="AG496" s="5"/>
    </row>
    <row r="497" spans="1:33" ht="12.75">
      <c r="A497" s="6">
        <v>32203</v>
      </c>
      <c r="B497" s="7">
        <v>116.5</v>
      </c>
      <c r="C497" s="8">
        <f>IF(Tabela1[[#This Row],[Consumer Price Index (CPI)]]="",#N/A,((Tabela1[[#This Row],[Consumer Price Index (CPI)]]*1)/B496)-1)</f>
        <v>2.5817555938036918E-3</v>
      </c>
      <c r="D497" s="8">
        <f>IF(Tabela1[[#This Row],[Consumer Price Index (CPI)]]="",#N/A,((Tabela1[[#This Row],[Consumer Price Index (CPI)]]*1)/B485)-1)</f>
        <v>3.8324420677361859E-2</v>
      </c>
      <c r="E497" s="25">
        <v>121.7</v>
      </c>
      <c r="F497" s="8">
        <f>IF(Tabela1[[#This Row],[Core Consumer Price Index]]="",#N/A,((Tabela1[[#This Row],[Core Consumer Price Index]]*1)/E496)-1)</f>
        <v>4.1254125412542031E-3</v>
      </c>
      <c r="G497" s="8">
        <f>IF(Tabela1[[#This Row],[Core Consumer Price Index]]="",#N/A,((Tabela1[[#This Row],[Core Consumer Price Index]]*1)/E485)-1)</f>
        <v>4.3739279588336233E-2</v>
      </c>
      <c r="H497" s="8">
        <f t="shared" si="22"/>
        <v>4.3038504158734447E-2</v>
      </c>
      <c r="I497" s="8">
        <f t="shared" si="23"/>
        <v>4.1590550221400235E-2</v>
      </c>
      <c r="J497" s="25">
        <v>123.9</v>
      </c>
      <c r="K497" s="8">
        <f>IF(Tabela1[[#This Row],[Services CPI]]="",#N/A,((Tabela1[[#This Row],[Services CPI]]*1)/J496)-1)</f>
        <v>3.2388663967610754E-3</v>
      </c>
      <c r="L497" s="8">
        <f>IF(Tabela1[[#This Row],[Services CPI]]="",#N/A,((Tabela1[[#This Row],[Services CPI]]*1)/J485)-1)</f>
        <v>4.4688026981450246E-2</v>
      </c>
      <c r="M497" s="7">
        <v>126.1</v>
      </c>
      <c r="N497" s="8">
        <f>IF(Tabela1[[#This Row],[Core-Services CPI]]="",#N/A,((Tabela1[[#This Row],[Core-Services CPI]]*1)/M496)-1)</f>
        <v>3.9808917197452498E-3</v>
      </c>
      <c r="O497" s="8">
        <f>IF(Tabela1[[#This Row],[Core-Services CPI]]="",#N/A,((Tabela1[[#This Row],[Core-Services CPI]]*1)/M485)-1)</f>
        <v>4.9084858569051537E-2</v>
      </c>
      <c r="P497" s="7">
        <v>109.5</v>
      </c>
      <c r="Q497" s="8">
        <f>IF(Tabela1[[#This Row],[Durable Goods CPI]]="",#N/A,((Tabela1[[#This Row],[Durable Goods CPI]]*1)/P496)-1)</f>
        <v>3.6663611365719273E-3</v>
      </c>
      <c r="R497" s="8">
        <f>IF(Tabela1[[#This Row],[Durable Goods CPI]]="",#N/A,((Tabela1[[#This Row],[Durable Goods CPI]]*1)/P485)-1)</f>
        <v>2.2408963585434316E-2</v>
      </c>
      <c r="S497" s="7">
        <v>4.3836404230000001</v>
      </c>
      <c r="T497" s="7">
        <v>54.093000000000004</v>
      </c>
      <c r="U497" s="8">
        <f>IF(Tabela1[[#This Row],[Personal Consumption Expenditures (PCE)]]="",#N/A,((Tabela1[[#This Row],[Personal Consumption Expenditures (PCE)]]*1)/T496)-1)</f>
        <v>3.431772649699516E-3</v>
      </c>
      <c r="V497" s="8">
        <f>IF(Tabela1[[#This Row],[Personal Consumption Expenditures (PCE)]]="",#N/A,((Tabela1[[#This Row],[Personal Consumption Expenditures (PCE)]]*1)/T485)-1)</f>
        <v>3.598651702608513E-2</v>
      </c>
      <c r="W497" s="7">
        <v>54.951999999999998</v>
      </c>
      <c r="X497" s="8">
        <f>IF(Tabela1[[#This Row],[Core PCE]]="",#N/A,((Tabela1[[#This Row],[Core PCE]]*1)/W496)-1)</f>
        <v>4.2764720932781941E-3</v>
      </c>
      <c r="Y497" s="8">
        <f>IF(Tabela1[[#This Row],[Core PCE]]="",#N/A,((Tabela1[[#This Row],[Core PCE]]*1)/W485)-1)</f>
        <v>3.9950038795632192E-2</v>
      </c>
      <c r="Z497" s="8">
        <f t="shared" si="25"/>
        <v>4.4224906455379909E-2</v>
      </c>
      <c r="AA497" s="8">
        <f t="shared" si="24"/>
        <v>3.90277213596808E-2</v>
      </c>
      <c r="AB497" s="7">
        <v>3.56</v>
      </c>
      <c r="AC497" s="7"/>
      <c r="AD497" s="8"/>
      <c r="AE497" s="71"/>
      <c r="AF497" s="7">
        <v>3.2</v>
      </c>
      <c r="AG497" s="5"/>
    </row>
    <row r="498" spans="1:33" ht="12.75">
      <c r="A498" s="6">
        <v>32234</v>
      </c>
      <c r="B498" s="7">
        <v>117.2</v>
      </c>
      <c r="C498" s="8">
        <f>IF(Tabela1[[#This Row],[Consumer Price Index (CPI)]]="",#N/A,((Tabela1[[#This Row],[Consumer Price Index (CPI)]]*1)/B497)-1)</f>
        <v>6.0085836909871126E-3</v>
      </c>
      <c r="D498" s="8">
        <f>IF(Tabela1[[#This Row],[Consumer Price Index (CPI)]]="",#N/A,((Tabela1[[#This Row],[Consumer Price Index (CPI)]]*1)/B486)-1)</f>
        <v>3.9929015084294583E-2</v>
      </c>
      <c r="E498" s="25">
        <v>122.3</v>
      </c>
      <c r="F498" s="8">
        <f>IF(Tabela1[[#This Row],[Core Consumer Price Index]]="",#N/A,((Tabela1[[#This Row],[Core Consumer Price Index]]*1)/E497)-1)</f>
        <v>4.9301561216104073E-3</v>
      </c>
      <c r="G498" s="8">
        <f>IF(Tabela1[[#This Row],[Core Consumer Price Index]]="",#N/A,((Tabela1[[#This Row],[Core Consumer Price Index]]*1)/E486)-1)</f>
        <v>4.2625745950554128E-2</v>
      </c>
      <c r="H498" s="8">
        <f t="shared" si="22"/>
        <v>4.6147832964113178E-2</v>
      </c>
      <c r="I498" s="8">
        <f t="shared" si="23"/>
        <v>4.138374837066161E-2</v>
      </c>
      <c r="J498" s="25">
        <v>124.4</v>
      </c>
      <c r="K498" s="8">
        <f>IF(Tabela1[[#This Row],[Services CPI]]="",#N/A,((Tabela1[[#This Row],[Services CPI]]*1)/J497)-1)</f>
        <v>4.0355125100888234E-3</v>
      </c>
      <c r="L498" s="8">
        <f>IF(Tabela1[[#This Row],[Services CPI]]="",#N/A,((Tabela1[[#This Row],[Services CPI]]*1)/J486)-1)</f>
        <v>4.3624161073825496E-2</v>
      </c>
      <c r="M498" s="7">
        <v>126.7</v>
      </c>
      <c r="N498" s="8">
        <f>IF(Tabela1[[#This Row],[Core-Services CPI]]="",#N/A,((Tabela1[[#This Row],[Core-Services CPI]]*1)/M497)-1)</f>
        <v>4.7581284694686587E-3</v>
      </c>
      <c r="O498" s="8">
        <f>IF(Tabela1[[#This Row],[Core-Services CPI]]="",#N/A,((Tabela1[[#This Row],[Core-Services CPI]]*1)/M486)-1)</f>
        <v>4.7973531844499595E-2</v>
      </c>
      <c r="P498" s="7">
        <v>109.7</v>
      </c>
      <c r="Q498" s="8">
        <f>IF(Tabela1[[#This Row],[Durable Goods CPI]]="",#N/A,((Tabela1[[#This Row],[Durable Goods CPI]]*1)/P497)-1)</f>
        <v>1.8264840182649067E-3</v>
      </c>
      <c r="R498" s="8">
        <f>IF(Tabela1[[#This Row],[Durable Goods CPI]]="",#N/A,((Tabela1[[#This Row],[Durable Goods CPI]]*1)/P486)-1)</f>
        <v>1.8570102135561761E-2</v>
      </c>
      <c r="S498" s="7">
        <v>4.3865534090000002</v>
      </c>
      <c r="T498" s="7">
        <v>54.356000000000002</v>
      </c>
      <c r="U498" s="8">
        <f>IF(Tabela1[[#This Row],[Personal Consumption Expenditures (PCE)]]="",#N/A,((Tabela1[[#This Row],[Personal Consumption Expenditures (PCE)]]*1)/T497)-1)</f>
        <v>4.8619969312109212E-3</v>
      </c>
      <c r="V498" s="8">
        <f>IF(Tabela1[[#This Row],[Personal Consumption Expenditures (PCE)]]="",#N/A,((Tabela1[[#This Row],[Personal Consumption Expenditures (PCE)]]*1)/T486)-1)</f>
        <v>3.7150107805911325E-2</v>
      </c>
      <c r="W498" s="7">
        <v>55.219000000000001</v>
      </c>
      <c r="X498" s="8">
        <f>IF(Tabela1[[#This Row],[Core PCE]]="",#N/A,((Tabela1[[#This Row],[Core PCE]]*1)/W497)-1)</f>
        <v>4.8587858494686387E-3</v>
      </c>
      <c r="Y498" s="8">
        <f>IF(Tabela1[[#This Row],[Core PCE]]="",#N/A,((Tabela1[[#This Row],[Core PCE]]*1)/W486)-1)</f>
        <v>4.0591727127108346E-2</v>
      </c>
      <c r="Z498" s="8">
        <f t="shared" si="25"/>
        <v>4.474525841274879E-2</v>
      </c>
      <c r="AA498" s="8">
        <f t="shared" si="24"/>
        <v>4.0209703360703841E-2</v>
      </c>
      <c r="AB498" s="7">
        <v>3.51</v>
      </c>
      <c r="AC498" s="7"/>
      <c r="AD498" s="8"/>
      <c r="AE498" s="71"/>
      <c r="AF498" s="7">
        <v>3.3</v>
      </c>
      <c r="AG498" s="5"/>
    </row>
    <row r="499" spans="1:33" ht="12.75">
      <c r="A499" s="6">
        <v>32264</v>
      </c>
      <c r="B499" s="7">
        <v>117.5</v>
      </c>
      <c r="C499" s="8">
        <f>IF(Tabela1[[#This Row],[Consumer Price Index (CPI)]]="",#N/A,((Tabela1[[#This Row],[Consumer Price Index (CPI)]]*1)/B498)-1)</f>
        <v>2.5597269624573205E-3</v>
      </c>
      <c r="D499" s="8">
        <f>IF(Tabela1[[#This Row],[Consumer Price Index (CPI)]]="",#N/A,((Tabela1[[#This Row],[Consumer Price Index (CPI)]]*1)/B487)-1)</f>
        <v>3.9823008849557473E-2</v>
      </c>
      <c r="E499" s="25">
        <v>122.7</v>
      </c>
      <c r="F499" s="8">
        <f>IF(Tabela1[[#This Row],[Core Consumer Price Index]]="",#N/A,((Tabela1[[#This Row],[Core Consumer Price Index]]*1)/E498)-1)</f>
        <v>3.270645952575757E-3</v>
      </c>
      <c r="G499" s="8">
        <f>IF(Tabela1[[#This Row],[Core Consumer Price Index]]="",#N/A,((Tabela1[[#This Row],[Core Consumer Price Index]]*1)/E487)-1)</f>
        <v>4.2480883602378894E-2</v>
      </c>
      <c r="H499" s="8">
        <f t="shared" si="22"/>
        <v>4.9304858461761469E-2</v>
      </c>
      <c r="I499" s="8">
        <f t="shared" si="23"/>
        <v>4.2916693030404129E-2</v>
      </c>
      <c r="J499" s="25">
        <v>124.8</v>
      </c>
      <c r="K499" s="8">
        <f>IF(Tabela1[[#This Row],[Services CPI]]="",#N/A,((Tabela1[[#This Row],[Services CPI]]*1)/J498)-1)</f>
        <v>3.215434083601254E-3</v>
      </c>
      <c r="L499" s="8">
        <f>IF(Tabela1[[#This Row],[Services CPI]]="",#N/A,((Tabela1[[#This Row],[Services CPI]]*1)/J487)-1)</f>
        <v>4.3478260869565188E-2</v>
      </c>
      <c r="M499" s="7">
        <v>127.2</v>
      </c>
      <c r="N499" s="8">
        <f>IF(Tabela1[[#This Row],[Core-Services CPI]]="",#N/A,((Tabela1[[#This Row],[Core-Services CPI]]*1)/M498)-1)</f>
        <v>3.9463299131807794E-3</v>
      </c>
      <c r="O499" s="8">
        <f>IF(Tabela1[[#This Row],[Core-Services CPI]]="",#N/A,((Tabela1[[#This Row],[Core-Services CPI]]*1)/M487)-1)</f>
        <v>4.7775947281713416E-2</v>
      </c>
      <c r="P499" s="7">
        <v>109.9</v>
      </c>
      <c r="Q499" s="8">
        <f>IF(Tabela1[[#This Row],[Durable Goods CPI]]="",#N/A,((Tabela1[[#This Row],[Durable Goods CPI]]*1)/P498)-1)</f>
        <v>1.823154056517895E-3</v>
      </c>
      <c r="R499" s="8">
        <f>IF(Tabela1[[#This Row],[Durable Goods CPI]]="",#N/A,((Tabela1[[#This Row],[Durable Goods CPI]]*1)/P487)-1)</f>
        <v>1.853568118628357E-2</v>
      </c>
      <c r="S499" s="7">
        <v>4.451939222</v>
      </c>
      <c r="T499" s="7">
        <v>54.514000000000003</v>
      </c>
      <c r="U499" s="8">
        <f>IF(Tabela1[[#This Row],[Personal Consumption Expenditures (PCE)]]="",#N/A,((Tabela1[[#This Row],[Personal Consumption Expenditures (PCE)]]*1)/T498)-1)</f>
        <v>2.9067628228713893E-3</v>
      </c>
      <c r="V499" s="8">
        <f>IF(Tabela1[[#This Row],[Personal Consumption Expenditures (PCE)]]="",#N/A,((Tabela1[[#This Row],[Personal Consumption Expenditures (PCE)]]*1)/T487)-1)</f>
        <v>3.7531879258497991E-2</v>
      </c>
      <c r="W499" s="7">
        <v>55.406999999999996</v>
      </c>
      <c r="X499" s="8">
        <f>IF(Tabela1[[#This Row],[Core PCE]]="",#N/A,((Tabela1[[#This Row],[Core PCE]]*1)/W498)-1)</f>
        <v>3.4046252195800708E-3</v>
      </c>
      <c r="Y499" s="8">
        <f>IF(Tabela1[[#This Row],[Core PCE]]="",#N/A,((Tabela1[[#This Row],[Core PCE]]*1)/W487)-1)</f>
        <v>4.1210959521930324E-2</v>
      </c>
      <c r="Z499" s="8">
        <f t="shared" si="25"/>
        <v>5.0159532649307614E-2</v>
      </c>
      <c r="AA499" s="8">
        <f t="shared" si="24"/>
        <v>4.2843202718972684E-2</v>
      </c>
      <c r="AB499" s="7">
        <v>3.49</v>
      </c>
      <c r="AC499" s="7"/>
      <c r="AD499" s="8"/>
      <c r="AE499" s="71"/>
      <c r="AF499" s="7">
        <v>3.3</v>
      </c>
      <c r="AG499" s="5"/>
    </row>
    <row r="500" spans="1:33" ht="12.75">
      <c r="A500" s="6">
        <v>32295</v>
      </c>
      <c r="B500" s="7">
        <v>118</v>
      </c>
      <c r="C500" s="8">
        <f>IF(Tabela1[[#This Row],[Consumer Price Index (CPI)]]="",#N/A,((Tabela1[[#This Row],[Consumer Price Index (CPI)]]*1)/B499)-1)</f>
        <v>4.2553191489360653E-3</v>
      </c>
      <c r="D500" s="8">
        <f>IF(Tabela1[[#This Row],[Consumer Price Index (CPI)]]="",#N/A,((Tabela1[[#This Row],[Consumer Price Index (CPI)]]*1)/B488)-1)</f>
        <v>3.9647577092511099E-2</v>
      </c>
      <c r="E500" s="25">
        <v>123.2</v>
      </c>
      <c r="F500" s="8">
        <f>IF(Tabela1[[#This Row],[Core Consumer Price Index]]="",#N/A,((Tabela1[[#This Row],[Core Consumer Price Index]]*1)/E499)-1)</f>
        <v>4.0749796251018378E-3</v>
      </c>
      <c r="G500" s="8">
        <f>IF(Tabela1[[#This Row],[Core Consumer Price Index]]="",#N/A,((Tabela1[[#This Row],[Core Consumer Price Index]]*1)/E488)-1)</f>
        <v>4.495335029686176E-2</v>
      </c>
      <c r="H500" s="8">
        <f t="shared" si="22"/>
        <v>4.9103126797152008E-2</v>
      </c>
      <c r="I500" s="8">
        <f t="shared" si="23"/>
        <v>4.6070815477943228E-2</v>
      </c>
      <c r="J500" s="25">
        <v>125.4</v>
      </c>
      <c r="K500" s="8">
        <f>IF(Tabela1[[#This Row],[Services CPI]]="",#N/A,((Tabela1[[#This Row],[Services CPI]]*1)/J499)-1)</f>
        <v>4.8076923076922906E-3</v>
      </c>
      <c r="L500" s="8">
        <f>IF(Tabela1[[#This Row],[Services CPI]]="",#N/A,((Tabela1[[#This Row],[Services CPI]]*1)/J488)-1)</f>
        <v>4.5000000000000151E-2</v>
      </c>
      <c r="M500" s="7">
        <v>127.7</v>
      </c>
      <c r="N500" s="8">
        <f>IF(Tabela1[[#This Row],[Core-Services CPI]]="",#N/A,((Tabela1[[#This Row],[Core-Services CPI]]*1)/M499)-1)</f>
        <v>3.9308176100629755E-3</v>
      </c>
      <c r="O500" s="8">
        <f>IF(Tabela1[[#This Row],[Core-Services CPI]]="",#N/A,((Tabela1[[#This Row],[Core-Services CPI]]*1)/M488)-1)</f>
        <v>5.016447368421062E-2</v>
      </c>
      <c r="P500" s="7">
        <v>110.2</v>
      </c>
      <c r="Q500" s="8">
        <f>IF(Tabela1[[#This Row],[Durable Goods CPI]]="",#N/A,((Tabela1[[#This Row],[Durable Goods CPI]]*1)/P499)-1)</f>
        <v>2.7297543221109777E-3</v>
      </c>
      <c r="R500" s="8">
        <f>IF(Tabela1[[#This Row],[Durable Goods CPI]]="",#N/A,((Tabela1[[#This Row],[Durable Goods CPI]]*1)/P488)-1)</f>
        <v>1.8484288354898348E-2</v>
      </c>
      <c r="S500" s="7">
        <v>4.3884529030000001</v>
      </c>
      <c r="T500" s="7">
        <v>54.746000000000002</v>
      </c>
      <c r="U500" s="8">
        <f>IF(Tabela1[[#This Row],[Personal Consumption Expenditures (PCE)]]="",#N/A,((Tabela1[[#This Row],[Personal Consumption Expenditures (PCE)]]*1)/T499)-1)</f>
        <v>4.2557875041273618E-3</v>
      </c>
      <c r="V500" s="8">
        <f>IF(Tabela1[[#This Row],[Personal Consumption Expenditures (PCE)]]="",#N/A,((Tabela1[[#This Row],[Personal Consumption Expenditures (PCE)]]*1)/T488)-1)</f>
        <v>3.8015964809161806E-2</v>
      </c>
      <c r="W500" s="7">
        <v>55.640999999999998</v>
      </c>
      <c r="X500" s="8">
        <f>IF(Tabela1[[#This Row],[Core PCE]]="",#N/A,((Tabela1[[#This Row],[Core PCE]]*1)/W499)-1)</f>
        <v>4.2232930857111217E-3</v>
      </c>
      <c r="Y500" s="8">
        <f>IF(Tabela1[[#This Row],[Core PCE]]="",#N/A,((Tabela1[[#This Row],[Core PCE]]*1)/W488)-1)</f>
        <v>4.2747376311843999E-2</v>
      </c>
      <c r="Z500" s="8">
        <f t="shared" si="25"/>
        <v>4.9946816619039325E-2</v>
      </c>
      <c r="AA500" s="8">
        <f t="shared" si="24"/>
        <v>4.7085861537209617E-2</v>
      </c>
      <c r="AB500" s="7">
        <v>3.59</v>
      </c>
      <c r="AC500" s="7"/>
      <c r="AD500" s="8"/>
      <c r="AE500" s="71"/>
      <c r="AF500" s="7">
        <v>3.7</v>
      </c>
      <c r="AG500" s="5"/>
    </row>
    <row r="501" spans="1:33" ht="12.75">
      <c r="A501" s="6">
        <v>32325</v>
      </c>
      <c r="B501" s="7">
        <v>118.5</v>
      </c>
      <c r="C501" s="8">
        <f>IF(Tabela1[[#This Row],[Consumer Price Index (CPI)]]="",#N/A,((Tabela1[[#This Row],[Consumer Price Index (CPI)]]*1)/B500)-1)</f>
        <v>4.237288135593209E-3</v>
      </c>
      <c r="D501" s="8">
        <f>IF(Tabela1[[#This Row],[Consumer Price Index (CPI)]]="",#N/A,((Tabela1[[#This Row],[Consumer Price Index (CPI)]]*1)/B489)-1)</f>
        <v>4.1300527240773377E-2</v>
      </c>
      <c r="E501" s="25">
        <v>123.6</v>
      </c>
      <c r="F501" s="8">
        <f>IF(Tabela1[[#This Row],[Core Consumer Price Index]]="",#N/A,((Tabela1[[#This Row],[Core Consumer Price Index]]*1)/E500)-1)</f>
        <v>3.2467532467532756E-3</v>
      </c>
      <c r="G501" s="8">
        <f>IF(Tabela1[[#This Row],[Core Consumer Price Index]]="",#N/A,((Tabela1[[#This Row],[Core Consumer Price Index]]*1)/E489)-1)</f>
        <v>4.4801352493660129E-2</v>
      </c>
      <c r="H501" s="8">
        <f t="shared" si="22"/>
        <v>4.2369515297723481E-2</v>
      </c>
      <c r="I501" s="8">
        <f t="shared" si="23"/>
        <v>4.425867413091833E-2</v>
      </c>
      <c r="J501" s="25">
        <v>125.8</v>
      </c>
      <c r="K501" s="8">
        <f>IF(Tabela1[[#This Row],[Services CPI]]="",#N/A,((Tabela1[[#This Row],[Services CPI]]*1)/J500)-1)</f>
        <v>3.1897926634767426E-3</v>
      </c>
      <c r="L501" s="8">
        <f>IF(Tabela1[[#This Row],[Services CPI]]="",#N/A,((Tabela1[[#This Row],[Services CPI]]*1)/J489)-1)</f>
        <v>4.5719035743973402E-2</v>
      </c>
      <c r="M501" s="7">
        <v>128.1</v>
      </c>
      <c r="N501" s="8">
        <f>IF(Tabela1[[#This Row],[Core-Services CPI]]="",#N/A,((Tabela1[[#This Row],[Core-Services CPI]]*1)/M500)-1)</f>
        <v>3.1323414252153459E-3</v>
      </c>
      <c r="O501" s="8">
        <f>IF(Tabela1[[#This Row],[Core-Services CPI]]="",#N/A,((Tabela1[[#This Row],[Core-Services CPI]]*1)/M489)-1)</f>
        <v>5.0000000000000044E-2</v>
      </c>
      <c r="P501" s="7">
        <v>110.5</v>
      </c>
      <c r="Q501" s="8">
        <f>IF(Tabela1[[#This Row],[Durable Goods CPI]]="",#N/A,((Tabela1[[#This Row],[Durable Goods CPI]]*1)/P500)-1)</f>
        <v>2.7223230490018846E-3</v>
      </c>
      <c r="R501" s="8">
        <f>IF(Tabela1[[#This Row],[Durable Goods CPI]]="",#N/A,((Tabela1[[#This Row],[Durable Goods CPI]]*1)/P489)-1)</f>
        <v>1.7495395948434744E-2</v>
      </c>
      <c r="S501" s="7">
        <v>4.445286952</v>
      </c>
      <c r="T501" s="7">
        <v>55.012</v>
      </c>
      <c r="U501" s="8">
        <f>IF(Tabela1[[#This Row],[Personal Consumption Expenditures (PCE)]]="",#N/A,((Tabela1[[#This Row],[Personal Consumption Expenditures (PCE)]]*1)/T500)-1)</f>
        <v>4.8588024695868093E-3</v>
      </c>
      <c r="V501" s="8">
        <f>IF(Tabela1[[#This Row],[Personal Consumption Expenditures (PCE)]]="",#N/A,((Tabela1[[#This Row],[Personal Consumption Expenditures (PCE)]]*1)/T489)-1)</f>
        <v>4.065225204774614E-2</v>
      </c>
      <c r="W501" s="7">
        <v>55.868000000000002</v>
      </c>
      <c r="X501" s="8">
        <f>IF(Tabela1[[#This Row],[Core PCE]]="",#N/A,((Tabela1[[#This Row],[Core PCE]]*1)/W500)-1)</f>
        <v>4.0797253823618984E-3</v>
      </c>
      <c r="Y501" s="8">
        <f>IF(Tabela1[[#This Row],[Core PCE]]="",#N/A,((Tabela1[[#This Row],[Core PCE]]*1)/W489)-1)</f>
        <v>4.4300721522299913E-2</v>
      </c>
      <c r="Z501" s="8">
        <f t="shared" si="25"/>
        <v>4.6830574750612364E-2</v>
      </c>
      <c r="AA501" s="8">
        <f t="shared" si="24"/>
        <v>4.5787916581680577E-2</v>
      </c>
      <c r="AB501" s="7">
        <v>3.77</v>
      </c>
      <c r="AC501" s="7"/>
      <c r="AD501" s="8"/>
      <c r="AE501" s="71"/>
      <c r="AF501" s="7">
        <v>4.5999999999999996</v>
      </c>
      <c r="AG501" s="5"/>
    </row>
    <row r="502" spans="1:33" ht="12.75">
      <c r="A502" s="6">
        <v>32356</v>
      </c>
      <c r="B502" s="7">
        <v>119</v>
      </c>
      <c r="C502" s="8">
        <f>IF(Tabela1[[#This Row],[Consumer Price Index (CPI)]]="",#N/A,((Tabela1[[#This Row],[Consumer Price Index (CPI)]]*1)/B501)-1)</f>
        <v>4.2194092827003704E-3</v>
      </c>
      <c r="D502" s="8">
        <f>IF(Tabela1[[#This Row],[Consumer Price Index (CPI)]]="",#N/A,((Tabela1[[#This Row],[Consumer Price Index (CPI)]]*1)/B490)-1)</f>
        <v>4.1119860017497789E-2</v>
      </c>
      <c r="E502" s="25">
        <v>124</v>
      </c>
      <c r="F502" s="8">
        <f>IF(Tabela1[[#This Row],[Core Consumer Price Index]]="",#N/A,((Tabela1[[#This Row],[Core Consumer Price Index]]*1)/E501)-1)</f>
        <v>3.2362459546926292E-3</v>
      </c>
      <c r="G502" s="8">
        <f>IF(Tabela1[[#This Row],[Core Consumer Price Index]]="",#N/A,((Tabela1[[#This Row],[Core Consumer Price Index]]*1)/E490)-1)</f>
        <v>4.4650379106992322E-2</v>
      </c>
      <c r="H502" s="8">
        <f t="shared" si="22"/>
        <v>4.223191530619097E-2</v>
      </c>
      <c r="I502" s="8">
        <f t="shared" si="23"/>
        <v>4.576838688397622E-2</v>
      </c>
      <c r="J502" s="25">
        <v>126.4</v>
      </c>
      <c r="K502" s="8">
        <f>IF(Tabela1[[#This Row],[Services CPI]]="",#N/A,((Tabela1[[#This Row],[Services CPI]]*1)/J501)-1)</f>
        <v>4.7694753577107729E-3</v>
      </c>
      <c r="L502" s="8">
        <f>IF(Tabela1[[#This Row],[Services CPI]]="",#N/A,((Tabela1[[#This Row],[Services CPI]]*1)/J490)-1)</f>
        <v>4.5492142266335911E-2</v>
      </c>
      <c r="M502" s="7">
        <v>128.69999999999999</v>
      </c>
      <c r="N502" s="8">
        <f>IF(Tabela1[[#This Row],[Core-Services CPI]]="",#N/A,((Tabela1[[#This Row],[Core-Services CPI]]*1)/M501)-1)</f>
        <v>4.6838407494145251E-3</v>
      </c>
      <c r="O502" s="8">
        <f>IF(Tabela1[[#This Row],[Core-Services CPI]]="",#N/A,((Tabela1[[#This Row],[Core-Services CPI]]*1)/M490)-1)</f>
        <v>4.9755301794453421E-2</v>
      </c>
      <c r="P502" s="7">
        <v>110.8</v>
      </c>
      <c r="Q502" s="8">
        <f>IF(Tabela1[[#This Row],[Durable Goods CPI]]="",#N/A,((Tabela1[[#This Row],[Durable Goods CPI]]*1)/P501)-1)</f>
        <v>2.7149321266968229E-3</v>
      </c>
      <c r="R502" s="8">
        <f>IF(Tabela1[[#This Row],[Durable Goods CPI]]="",#N/A,((Tabela1[[#This Row],[Durable Goods CPI]]*1)/P490)-1)</f>
        <v>1.7447199265381075E-2</v>
      </c>
      <c r="S502" s="7">
        <v>4.6853843240000002</v>
      </c>
      <c r="T502" s="7">
        <v>55.174999999999997</v>
      </c>
      <c r="U502" s="8">
        <f>IF(Tabela1[[#This Row],[Personal Consumption Expenditures (PCE)]]="",#N/A,((Tabela1[[#This Row],[Personal Consumption Expenditures (PCE)]]*1)/T501)-1)</f>
        <v>2.9629898931142762E-3</v>
      </c>
      <c r="V502" s="8">
        <f>IF(Tabela1[[#This Row],[Personal Consumption Expenditures (PCE)]]="",#N/A,((Tabela1[[#This Row],[Personal Consumption Expenditures (PCE)]]*1)/T490)-1)</f>
        <v>3.9625414531202718E-2</v>
      </c>
      <c r="W502" s="7">
        <v>56.006999999999998</v>
      </c>
      <c r="X502" s="8">
        <f>IF(Tabela1[[#This Row],[Core PCE]]="",#N/A,((Tabela1[[#This Row],[Core PCE]]*1)/W501)-1)</f>
        <v>2.4880074461228752E-3</v>
      </c>
      <c r="Y502" s="8">
        <f>IF(Tabela1[[#This Row],[Core PCE]]="",#N/A,((Tabela1[[#This Row],[Core PCE]]*1)/W490)-1)</f>
        <v>4.336891521824171E-2</v>
      </c>
      <c r="Z502" s="8">
        <f t="shared" si="25"/>
        <v>4.3164103656783581E-2</v>
      </c>
      <c r="AA502" s="8">
        <f t="shared" si="24"/>
        <v>4.6661818153045598E-2</v>
      </c>
      <c r="AB502" s="7">
        <v>3.71</v>
      </c>
      <c r="AC502" s="7"/>
      <c r="AD502" s="8"/>
      <c r="AE502" s="71"/>
      <c r="AF502" s="7">
        <v>4.4000000000000004</v>
      </c>
      <c r="AG502" s="5"/>
    </row>
    <row r="503" spans="1:33" ht="12.75">
      <c r="A503" s="6">
        <v>32387</v>
      </c>
      <c r="B503" s="7">
        <v>119.5</v>
      </c>
      <c r="C503" s="8">
        <f>IF(Tabela1[[#This Row],[Consumer Price Index (CPI)]]="",#N/A,((Tabela1[[#This Row],[Consumer Price Index (CPI)]]*1)/B502)-1)</f>
        <v>4.2016806722688926E-3</v>
      </c>
      <c r="D503" s="8">
        <f>IF(Tabela1[[#This Row],[Consumer Price Index (CPI)]]="",#N/A,((Tabela1[[#This Row],[Consumer Price Index (CPI)]]*1)/B491)-1)</f>
        <v>4.1848299912816023E-2</v>
      </c>
      <c r="E503" s="25">
        <v>124.7</v>
      </c>
      <c r="F503" s="8">
        <f>IF(Tabela1[[#This Row],[Core Consumer Price Index]]="",#N/A,((Tabela1[[#This Row],[Core Consumer Price Index]]*1)/E502)-1)</f>
        <v>5.6451612903225534E-3</v>
      </c>
      <c r="G503" s="8">
        <f>IF(Tabela1[[#This Row],[Core Consumer Price Index]]="",#N/A,((Tabela1[[#This Row],[Core Consumer Price Index]]*1)/E491)-1)</f>
        <v>4.6140939597315356E-2</v>
      </c>
      <c r="H503" s="8">
        <f t="shared" si="22"/>
        <v>4.8512641967073833E-2</v>
      </c>
      <c r="I503" s="8">
        <f t="shared" si="23"/>
        <v>4.880788438211292E-2</v>
      </c>
      <c r="J503" s="25">
        <v>126.9</v>
      </c>
      <c r="K503" s="8">
        <f>IF(Tabela1[[#This Row],[Services CPI]]="",#N/A,((Tabela1[[#This Row],[Services CPI]]*1)/J502)-1)</f>
        <v>3.9556962025315556E-3</v>
      </c>
      <c r="L503" s="8">
        <f>IF(Tabela1[[#This Row],[Services CPI]]="",#N/A,((Tabela1[[#This Row],[Services CPI]]*1)/J491)-1)</f>
        <v>4.5304777594728174E-2</v>
      </c>
      <c r="M503" s="7">
        <v>129.19999999999999</v>
      </c>
      <c r="N503" s="8">
        <f>IF(Tabela1[[#This Row],[Core-Services CPI]]="",#N/A,((Tabela1[[#This Row],[Core-Services CPI]]*1)/M502)-1)</f>
        <v>3.8850038850037905E-3</v>
      </c>
      <c r="O503" s="8">
        <f>IF(Tabela1[[#This Row],[Core-Services CPI]]="",#N/A,((Tabela1[[#This Row],[Core-Services CPI]]*1)/M491)-1)</f>
        <v>4.9553208773355006E-2</v>
      </c>
      <c r="P503" s="7">
        <v>111.2</v>
      </c>
      <c r="Q503" s="8">
        <f>IF(Tabela1[[#This Row],[Durable Goods CPI]]="",#N/A,((Tabela1[[#This Row],[Durable Goods CPI]]*1)/P502)-1)</f>
        <v>3.6101083032491488E-3</v>
      </c>
      <c r="R503" s="8">
        <f>IF(Tabela1[[#This Row],[Durable Goods CPI]]="",#N/A,((Tabela1[[#This Row],[Durable Goods CPI]]*1)/P491)-1)</f>
        <v>2.1120293847566529E-2</v>
      </c>
      <c r="S503" s="7">
        <v>4.7120558920000004</v>
      </c>
      <c r="T503" s="7">
        <v>55.444000000000003</v>
      </c>
      <c r="U503" s="8">
        <f>IF(Tabela1[[#This Row],[Personal Consumption Expenditures (PCE)]]="",#N/A,((Tabela1[[#This Row],[Personal Consumption Expenditures (PCE)]]*1)/T502)-1)</f>
        <v>4.8753964657908266E-3</v>
      </c>
      <c r="V503" s="8">
        <f>IF(Tabela1[[#This Row],[Personal Consumption Expenditures (PCE)]]="",#N/A,((Tabela1[[#This Row],[Personal Consumption Expenditures (PCE)]]*1)/T491)-1)</f>
        <v>4.1182325214550008E-2</v>
      </c>
      <c r="W503" s="7">
        <v>56.307000000000002</v>
      </c>
      <c r="X503" s="8">
        <f>IF(Tabela1[[#This Row],[Core PCE]]="",#N/A,((Tabela1[[#This Row],[Core PCE]]*1)/W502)-1)</f>
        <v>5.3564732979807239E-3</v>
      </c>
      <c r="Y503" s="8">
        <f>IF(Tabela1[[#This Row],[Core PCE]]="",#N/A,((Tabela1[[#This Row],[Core PCE]]*1)/W491)-1)</f>
        <v>4.4811845914050297E-2</v>
      </c>
      <c r="Z503" s="8">
        <f t="shared" si="25"/>
        <v>4.769682450586199E-2</v>
      </c>
      <c r="AA503" s="8">
        <f t="shared" si="24"/>
        <v>4.8821820562450657E-2</v>
      </c>
      <c r="AB503" s="7">
        <v>3.87</v>
      </c>
      <c r="AC503" s="7"/>
      <c r="AD503" s="8"/>
      <c r="AE503" s="71"/>
      <c r="AF503" s="7">
        <v>3.9</v>
      </c>
      <c r="AG503" s="5"/>
    </row>
    <row r="504" spans="1:33" ht="12.75">
      <c r="A504" s="6">
        <v>32417</v>
      </c>
      <c r="B504" s="7">
        <v>119.9</v>
      </c>
      <c r="C504" s="8">
        <f>IF(Tabela1[[#This Row],[Consumer Price Index (CPI)]]="",#N/A,((Tabela1[[#This Row],[Consumer Price Index (CPI)]]*1)/B503)-1)</f>
        <v>3.3472803347280866E-3</v>
      </c>
      <c r="D504" s="8">
        <f>IF(Tabela1[[#This Row],[Consumer Price Index (CPI)]]="",#N/A,((Tabela1[[#This Row],[Consumer Price Index (CPI)]]*1)/B492)-1)</f>
        <v>4.2608695652174067E-2</v>
      </c>
      <c r="E504" s="25">
        <v>125.2</v>
      </c>
      <c r="F504" s="8">
        <f>IF(Tabela1[[#This Row],[Core Consumer Price Index]]="",#N/A,((Tabela1[[#This Row],[Core Consumer Price Index]]*1)/E503)-1)</f>
        <v>4.0096230954289602E-3</v>
      </c>
      <c r="G504" s="8">
        <f>IF(Tabela1[[#This Row],[Core Consumer Price Index]]="",#N/A,((Tabela1[[#This Row],[Core Consumer Price Index]]*1)/E492)-1)</f>
        <v>4.5075125208681177E-2</v>
      </c>
      <c r="H504" s="8">
        <f t="shared" si="22"/>
        <v>5.1564121361776571E-2</v>
      </c>
      <c r="I504" s="8">
        <f t="shared" si="23"/>
        <v>4.6966818329750026E-2</v>
      </c>
      <c r="J504" s="25">
        <v>127.5</v>
      </c>
      <c r="K504" s="8">
        <f>IF(Tabela1[[#This Row],[Services CPI]]="",#N/A,((Tabela1[[#This Row],[Services CPI]]*1)/J503)-1)</f>
        <v>4.7281323877068626E-3</v>
      </c>
      <c r="L504" s="8">
        <f>IF(Tabela1[[#This Row],[Services CPI]]="",#N/A,((Tabela1[[#This Row],[Services CPI]]*1)/J492)-1)</f>
        <v>4.6798029556650356E-2</v>
      </c>
      <c r="M504" s="7">
        <v>129.69999999999999</v>
      </c>
      <c r="N504" s="8">
        <f>IF(Tabela1[[#This Row],[Core-Services CPI]]="",#N/A,((Tabela1[[#This Row],[Core-Services CPI]]*1)/M503)-1)</f>
        <v>3.8699690402477227E-3</v>
      </c>
      <c r="O504" s="8">
        <f>IF(Tabela1[[#This Row],[Core-Services CPI]]="",#N/A,((Tabela1[[#This Row],[Core-Services CPI]]*1)/M492)-1)</f>
        <v>4.7657512116316525E-2</v>
      </c>
      <c r="P504" s="7">
        <v>111.3</v>
      </c>
      <c r="Q504" s="8">
        <f>IF(Tabela1[[#This Row],[Durable Goods CPI]]="",#N/A,((Tabela1[[#This Row],[Durable Goods CPI]]*1)/P503)-1)</f>
        <v>8.9928057553945173E-4</v>
      </c>
      <c r="R504" s="8">
        <f>IF(Tabela1[[#This Row],[Durable Goods CPI]]="",#N/A,((Tabela1[[#This Row],[Durable Goods CPI]]*1)/P492)-1)</f>
        <v>2.1100917431192689E-2</v>
      </c>
      <c r="S504" s="7">
        <v>4.685749317</v>
      </c>
      <c r="T504" s="7">
        <v>55.625</v>
      </c>
      <c r="U504" s="8">
        <f>IF(Tabela1[[#This Row],[Personal Consumption Expenditures (PCE)]]="",#N/A,((Tabela1[[#This Row],[Personal Consumption Expenditures (PCE)]]*1)/T503)-1)</f>
        <v>3.2645552268955047E-3</v>
      </c>
      <c r="V504" s="8">
        <f>IF(Tabela1[[#This Row],[Personal Consumption Expenditures (PCE)]]="",#N/A,((Tabela1[[#This Row],[Personal Consumption Expenditures (PCE)]]*1)/T492)-1)</f>
        <v>4.127667540247093E-2</v>
      </c>
      <c r="W504" s="7">
        <v>56.521000000000001</v>
      </c>
      <c r="X504" s="8">
        <f>IF(Tabela1[[#This Row],[Core PCE]]="",#N/A,((Tabela1[[#This Row],[Core PCE]]*1)/W503)-1)</f>
        <v>3.8005931766920131E-3</v>
      </c>
      <c r="Y504" s="8">
        <f>IF(Tabela1[[#This Row],[Core PCE]]="",#N/A,((Tabela1[[#This Row],[Core PCE]]*1)/W492)-1)</f>
        <v>4.4325782491408283E-2</v>
      </c>
      <c r="Z504" s="8">
        <f t="shared" si="25"/>
        <v>4.6580295683182449E-2</v>
      </c>
      <c r="AA504" s="8">
        <f t="shared" si="24"/>
        <v>4.6705435216897406E-2</v>
      </c>
      <c r="AB504" s="7">
        <v>3.82</v>
      </c>
      <c r="AC504" s="7"/>
      <c r="AD504" s="8"/>
      <c r="AE504" s="71"/>
      <c r="AF504" s="7">
        <v>3.9</v>
      </c>
      <c r="AG504" s="5"/>
    </row>
    <row r="505" spans="1:33" ht="12.75">
      <c r="A505" s="6">
        <v>32448</v>
      </c>
      <c r="B505" s="7">
        <v>120.3</v>
      </c>
      <c r="C505" s="8">
        <f>IF(Tabela1[[#This Row],[Consumer Price Index (CPI)]]="",#N/A,((Tabela1[[#This Row],[Consumer Price Index (CPI)]]*1)/B504)-1)</f>
        <v>3.3361134278564464E-3</v>
      </c>
      <c r="D505" s="8">
        <f>IF(Tabela1[[#This Row],[Consumer Price Index (CPI)]]="",#N/A,((Tabela1[[#This Row],[Consumer Price Index (CPI)]]*1)/B493)-1)</f>
        <v>4.2461005199306623E-2</v>
      </c>
      <c r="E505" s="25">
        <v>125.6</v>
      </c>
      <c r="F505" s="8">
        <f>IF(Tabela1[[#This Row],[Core Consumer Price Index]]="",#N/A,((Tabela1[[#This Row],[Core Consumer Price Index]]*1)/E504)-1)</f>
        <v>3.1948881789136685E-3</v>
      </c>
      <c r="G505" s="8">
        <f>IF(Tabela1[[#This Row],[Core Consumer Price Index]]="",#N/A,((Tabela1[[#This Row],[Core Consumer Price Index]]*1)/E493)-1)</f>
        <v>4.5795170691090847E-2</v>
      </c>
      <c r="H505" s="8">
        <f t="shared" si="22"/>
        <v>5.1398690258660729E-2</v>
      </c>
      <c r="I505" s="8">
        <f t="shared" si="23"/>
        <v>4.6815302782425849E-2</v>
      </c>
      <c r="J505" s="25">
        <v>127.9</v>
      </c>
      <c r="K505" s="8">
        <f>IF(Tabela1[[#This Row],[Services CPI]]="",#N/A,((Tabela1[[#This Row],[Services CPI]]*1)/J504)-1)</f>
        <v>3.1372549019608176E-3</v>
      </c>
      <c r="L505" s="8">
        <f>IF(Tabela1[[#This Row],[Services CPI]]="",#N/A,((Tabela1[[#This Row],[Services CPI]]*1)/J493)-1)</f>
        <v>4.664484451718498E-2</v>
      </c>
      <c r="M505" s="7">
        <v>130.19999999999999</v>
      </c>
      <c r="N505" s="8">
        <f>IF(Tabela1[[#This Row],[Core-Services CPI]]="",#N/A,((Tabela1[[#This Row],[Core-Services CPI]]*1)/M504)-1)</f>
        <v>3.8550501156515704E-3</v>
      </c>
      <c r="O505" s="8">
        <f>IF(Tabela1[[#This Row],[Core-Services CPI]]="",#N/A,((Tabela1[[#This Row],[Core-Services CPI]]*1)/M493)-1)</f>
        <v>4.9153908138597879E-2</v>
      </c>
      <c r="P505" s="7">
        <v>111.5</v>
      </c>
      <c r="Q505" s="8">
        <f>IF(Tabela1[[#This Row],[Durable Goods CPI]]="",#N/A,((Tabela1[[#This Row],[Durable Goods CPI]]*1)/P504)-1)</f>
        <v>1.7969451931716396E-3</v>
      </c>
      <c r="R505" s="8">
        <f>IF(Tabela1[[#This Row],[Durable Goods CPI]]="",#N/A,((Tabela1[[#This Row],[Durable Goods CPI]]*1)/P493)-1)</f>
        <v>2.0128087831656094E-2</v>
      </c>
      <c r="S505" s="7">
        <v>4.7310291299999996</v>
      </c>
      <c r="T505" s="7">
        <v>55.753999999999998</v>
      </c>
      <c r="U505" s="8">
        <f>IF(Tabela1[[#This Row],[Personal Consumption Expenditures (PCE)]]="",#N/A,((Tabela1[[#This Row],[Personal Consumption Expenditures (PCE)]]*1)/T504)-1)</f>
        <v>2.3191011235954573E-3</v>
      </c>
      <c r="V505" s="8">
        <f>IF(Tabela1[[#This Row],[Personal Consumption Expenditures (PCE)]]="",#N/A,((Tabela1[[#This Row],[Personal Consumption Expenditures (PCE)]]*1)/T493)-1)</f>
        <v>4.1721940920386391E-2</v>
      </c>
      <c r="W505" s="7">
        <v>56.676000000000002</v>
      </c>
      <c r="X505" s="8">
        <f>IF(Tabela1[[#This Row],[Core PCE]]="",#N/A,((Tabela1[[#This Row],[Core PCE]]*1)/W504)-1)</f>
        <v>2.7423435537234919E-3</v>
      </c>
      <c r="Y505" s="8">
        <f>IF(Tabela1[[#This Row],[Core PCE]]="",#N/A,((Tabela1[[#This Row],[Core PCE]]*1)/W493)-1)</f>
        <v>4.5007836268092571E-2</v>
      </c>
      <c r="Z505" s="8">
        <f t="shared" si="25"/>
        <v>4.7597640113584916E-2</v>
      </c>
      <c r="AA505" s="8">
        <f t="shared" si="24"/>
        <v>4.5380871885184249E-2</v>
      </c>
      <c r="AB505" s="7">
        <v>3.87</v>
      </c>
      <c r="AC505" s="7"/>
      <c r="AD505" s="8"/>
      <c r="AE505" s="71"/>
      <c r="AF505" s="7">
        <v>3.7</v>
      </c>
      <c r="AG505" s="5"/>
    </row>
    <row r="506" spans="1:33" ht="12.75">
      <c r="A506" s="6">
        <v>32478</v>
      </c>
      <c r="B506" s="7">
        <v>120.7</v>
      </c>
      <c r="C506" s="8">
        <f>IF(Tabela1[[#This Row],[Consumer Price Index (CPI)]]="",#N/A,((Tabela1[[#This Row],[Consumer Price Index (CPI)]]*1)/B505)-1)</f>
        <v>3.3250207813799726E-3</v>
      </c>
      <c r="D506" s="8">
        <f>IF(Tabela1[[#This Row],[Consumer Price Index (CPI)]]="",#N/A,((Tabela1[[#This Row],[Consumer Price Index (CPI)]]*1)/B494)-1)</f>
        <v>4.4117647058823595E-2</v>
      </c>
      <c r="E506" s="25">
        <v>126</v>
      </c>
      <c r="F506" s="8">
        <f>IF(Tabela1[[#This Row],[Core Consumer Price Index]]="",#N/A,((Tabela1[[#This Row],[Core Consumer Price Index]]*1)/E505)-1)</f>
        <v>3.1847133757962887E-3</v>
      </c>
      <c r="G506" s="8">
        <f>IF(Tabela1[[#This Row],[Core Consumer Price Index]]="",#N/A,((Tabela1[[#This Row],[Core Consumer Price Index]]*1)/E494)-1)</f>
        <v>4.6511627906976605E-2</v>
      </c>
      <c r="H506" s="8">
        <f t="shared" si="22"/>
        <v>4.155689860055567E-2</v>
      </c>
      <c r="I506" s="8">
        <f t="shared" si="23"/>
        <v>4.5034770283814751E-2</v>
      </c>
      <c r="J506" s="25">
        <v>128.4</v>
      </c>
      <c r="K506" s="8">
        <f>IF(Tabela1[[#This Row],[Services CPI]]="",#N/A,((Tabela1[[#This Row],[Services CPI]]*1)/J505)-1)</f>
        <v>3.9093041438624798E-3</v>
      </c>
      <c r="L506" s="8">
        <f>IF(Tabela1[[#This Row],[Services CPI]]="",#N/A,((Tabela1[[#This Row],[Services CPI]]*1)/J494)-1)</f>
        <v>4.7308319738988747E-2</v>
      </c>
      <c r="M506" s="7">
        <v>130.80000000000001</v>
      </c>
      <c r="N506" s="8">
        <f>IF(Tabela1[[#This Row],[Core-Services CPI]]="",#N/A,((Tabela1[[#This Row],[Core-Services CPI]]*1)/M505)-1)</f>
        <v>4.6082949308756671E-3</v>
      </c>
      <c r="O506" s="8">
        <f>IF(Tabela1[[#This Row],[Core-Services CPI]]="",#N/A,((Tabela1[[#This Row],[Core-Services CPI]]*1)/M494)-1)</f>
        <v>4.9759229534510618E-2</v>
      </c>
      <c r="P506" s="7">
        <v>111.9</v>
      </c>
      <c r="Q506" s="8">
        <f>IF(Tabela1[[#This Row],[Durable Goods CPI]]="",#N/A,((Tabela1[[#This Row],[Durable Goods CPI]]*1)/P505)-1)</f>
        <v>3.5874439461884844E-3</v>
      </c>
      <c r="R506" s="8">
        <f>IF(Tabela1[[#This Row],[Durable Goods CPI]]="",#N/A,((Tabela1[[#This Row],[Durable Goods CPI]]*1)/P494)-1)</f>
        <v>2.5664527956003713E-2</v>
      </c>
      <c r="S506" s="7">
        <v>4.6162818059999999</v>
      </c>
      <c r="T506" s="7">
        <v>55.927999999999997</v>
      </c>
      <c r="U506" s="8">
        <f>IF(Tabela1[[#This Row],[Personal Consumption Expenditures (PCE)]]="",#N/A,((Tabela1[[#This Row],[Personal Consumption Expenditures (PCE)]]*1)/T505)-1)</f>
        <v>3.1208523155288326E-3</v>
      </c>
      <c r="V506" s="8">
        <f>IF(Tabela1[[#This Row],[Personal Consumption Expenditures (PCE)]]="",#N/A,((Tabela1[[#This Row],[Personal Consumption Expenditures (PCE)]]*1)/T494)-1)</f>
        <v>4.304364043267439E-2</v>
      </c>
      <c r="W506" s="7">
        <v>56.863999999999997</v>
      </c>
      <c r="X506" s="8">
        <f>IF(Tabela1[[#This Row],[Core PCE]]="",#N/A,((Tabela1[[#This Row],[Core PCE]]*1)/W505)-1)</f>
        <v>3.3171007128236507E-3</v>
      </c>
      <c r="Y506" s="8">
        <f>IF(Tabela1[[#This Row],[Core PCE]]="",#N/A,((Tabela1[[#This Row],[Core PCE]]*1)/W494)-1)</f>
        <v>4.6275000459990112E-2</v>
      </c>
      <c r="Z506" s="8">
        <f t="shared" si="25"/>
        <v>3.9440149772956623E-2</v>
      </c>
      <c r="AA506" s="8">
        <f t="shared" si="24"/>
        <v>4.3568487139409307E-2</v>
      </c>
      <c r="AB506" s="7">
        <v>4.01</v>
      </c>
      <c r="AC506" s="7"/>
      <c r="AD506" s="8"/>
      <c r="AE506" s="71"/>
      <c r="AF506" s="7">
        <v>3.9</v>
      </c>
      <c r="AG506" s="5"/>
    </row>
    <row r="507" spans="1:33" ht="12.75">
      <c r="A507" s="6">
        <v>32509</v>
      </c>
      <c r="B507" s="7">
        <v>121.2</v>
      </c>
      <c r="C507" s="8">
        <f>IF(Tabela1[[#This Row],[Consumer Price Index (CPI)]]="",#N/A,((Tabela1[[#This Row],[Consumer Price Index (CPI)]]*1)/B506)-1)</f>
        <v>4.1425020712511085E-3</v>
      </c>
      <c r="D507" s="8">
        <f>IF(Tabela1[[#This Row],[Consumer Price Index (CPI)]]="",#N/A,((Tabela1[[#This Row],[Consumer Price Index (CPI)]]*1)/B495)-1)</f>
        <v>4.482758620689653E-2</v>
      </c>
      <c r="E507" s="25">
        <v>126.5</v>
      </c>
      <c r="F507" s="8">
        <f>IF(Tabela1[[#This Row],[Core Consumer Price Index]]="",#N/A,((Tabela1[[#This Row],[Core Consumer Price Index]]*1)/E506)-1)</f>
        <v>3.9682539682539542E-3</v>
      </c>
      <c r="G507" s="8">
        <f>IF(Tabela1[[#This Row],[Core Consumer Price Index]]="",#N/A,((Tabela1[[#This Row],[Core Consumer Price Index]]*1)/E495)-1)</f>
        <v>4.6319272125723732E-2</v>
      </c>
      <c r="H507" s="8">
        <f t="shared" si="22"/>
        <v>4.1391422091855645E-2</v>
      </c>
      <c r="I507" s="8">
        <f t="shared" si="23"/>
        <v>4.6477771726816108E-2</v>
      </c>
      <c r="J507" s="25">
        <v>128.9</v>
      </c>
      <c r="K507" s="8">
        <f>IF(Tabela1[[#This Row],[Services CPI]]="",#N/A,((Tabela1[[#This Row],[Services CPI]]*1)/J506)-1)</f>
        <v>3.8940809968848189E-3</v>
      </c>
      <c r="L507" s="8">
        <f>IF(Tabela1[[#This Row],[Services CPI]]="",#N/A,((Tabela1[[#This Row],[Services CPI]]*1)/J495)-1)</f>
        <v>4.7967479674796865E-2</v>
      </c>
      <c r="M507" s="7">
        <v>131.30000000000001</v>
      </c>
      <c r="N507" s="8">
        <f>IF(Tabela1[[#This Row],[Core-Services CPI]]="",#N/A,((Tabela1[[#This Row],[Core-Services CPI]]*1)/M506)-1)</f>
        <v>3.8226299694190669E-3</v>
      </c>
      <c r="O507" s="8">
        <f>IF(Tabela1[[#This Row],[Core-Services CPI]]="",#N/A,((Tabela1[[#This Row],[Core-Services CPI]]*1)/M495)-1)</f>
        <v>4.9560351718625162E-2</v>
      </c>
      <c r="P507" s="7">
        <v>112</v>
      </c>
      <c r="Q507" s="8">
        <f>IF(Tabela1[[#This Row],[Durable Goods CPI]]="",#N/A,((Tabela1[[#This Row],[Durable Goods CPI]]*1)/P506)-1)</f>
        <v>8.9365504915095428E-4</v>
      </c>
      <c r="R507" s="8">
        <f>IF(Tabela1[[#This Row],[Durable Goods CPI]]="",#N/A,((Tabela1[[#This Row],[Durable Goods CPI]]*1)/P495)-1)</f>
        <v>2.8466483011937438E-2</v>
      </c>
      <c r="S507" s="7">
        <v>4.751873732</v>
      </c>
      <c r="T507" s="7">
        <v>56.215000000000003</v>
      </c>
      <c r="U507" s="8">
        <f>IF(Tabela1[[#This Row],[Personal Consumption Expenditures (PCE)]]="",#N/A,((Tabela1[[#This Row],[Personal Consumption Expenditures (PCE)]]*1)/T506)-1)</f>
        <v>5.1315977685597591E-3</v>
      </c>
      <c r="V507" s="8">
        <f>IF(Tabela1[[#This Row],[Personal Consumption Expenditures (PCE)]]="",#N/A,((Tabela1[[#This Row],[Personal Consumption Expenditures (PCE)]]*1)/T495)-1)</f>
        <v>4.4344950583339537E-2</v>
      </c>
      <c r="W507" s="7">
        <v>57.152000000000001</v>
      </c>
      <c r="X507" s="8">
        <f>IF(Tabela1[[#This Row],[Core PCE]]="",#N/A,((Tabela1[[#This Row],[Core PCE]]*1)/W506)-1)</f>
        <v>5.0647158131682524E-3</v>
      </c>
      <c r="Y507" s="8">
        <f>IF(Tabela1[[#This Row],[Core PCE]]="",#N/A,((Tabela1[[#This Row],[Core PCE]]*1)/W495)-1)</f>
        <v>4.6624913013221914E-2</v>
      </c>
      <c r="Z507" s="8">
        <f t="shared" si="25"/>
        <v>4.449664031886158E-2</v>
      </c>
      <c r="AA507" s="8">
        <f t="shared" si="24"/>
        <v>4.5538468001022014E-2</v>
      </c>
      <c r="AB507" s="7">
        <v>4.05</v>
      </c>
      <c r="AC507" s="7"/>
      <c r="AD507" s="8"/>
      <c r="AE507" s="71"/>
      <c r="AF507" s="7">
        <v>3.5</v>
      </c>
      <c r="AG507" s="5"/>
    </row>
    <row r="508" spans="1:33" ht="12.75">
      <c r="A508" s="6">
        <v>32540</v>
      </c>
      <c r="B508" s="7">
        <v>121.6</v>
      </c>
      <c r="C508" s="8">
        <f>IF(Tabela1[[#This Row],[Consumer Price Index (CPI)]]="",#N/A,((Tabela1[[#This Row],[Consumer Price Index (CPI)]]*1)/B507)-1)</f>
        <v>3.3003300330032292E-3</v>
      </c>
      <c r="D508" s="8">
        <f>IF(Tabela1[[#This Row],[Consumer Price Index (CPI)]]="",#N/A,((Tabela1[[#This Row],[Consumer Price Index (CPI)]]*1)/B496)-1)</f>
        <v>4.6471600688468007E-2</v>
      </c>
      <c r="E508" s="25">
        <v>126.9</v>
      </c>
      <c r="F508" s="8">
        <f>IF(Tabela1[[#This Row],[Core Consumer Price Index]]="",#N/A,((Tabela1[[#This Row],[Core Consumer Price Index]]*1)/E507)-1)</f>
        <v>3.1620553359683612E-3</v>
      </c>
      <c r="G508" s="8">
        <f>IF(Tabela1[[#This Row],[Core Consumer Price Index]]="",#N/A,((Tabela1[[#This Row],[Core Consumer Price Index]]*1)/E496)-1)</f>
        <v>4.7029702970297071E-2</v>
      </c>
      <c r="H508" s="8">
        <f t="shared" si="22"/>
        <v>4.1260090720074416E-2</v>
      </c>
      <c r="I508" s="8">
        <f t="shared" si="23"/>
        <v>4.6329390489367572E-2</v>
      </c>
      <c r="J508" s="25">
        <v>129.4</v>
      </c>
      <c r="K508" s="8">
        <f>IF(Tabela1[[#This Row],[Services CPI]]="",#N/A,((Tabela1[[#This Row],[Services CPI]]*1)/J507)-1)</f>
        <v>3.8789759503490284E-3</v>
      </c>
      <c r="L508" s="8">
        <f>IF(Tabela1[[#This Row],[Services CPI]]="",#N/A,((Tabela1[[#This Row],[Services CPI]]*1)/J496)-1)</f>
        <v>4.777327935222675E-2</v>
      </c>
      <c r="M508" s="7">
        <v>131.9</v>
      </c>
      <c r="N508" s="8">
        <f>IF(Tabela1[[#This Row],[Core-Services CPI]]="",#N/A,((Tabela1[[#This Row],[Core-Services CPI]]*1)/M507)-1)</f>
        <v>4.5696877380045908E-3</v>
      </c>
      <c r="O508" s="8">
        <f>IF(Tabela1[[#This Row],[Core-Services CPI]]="",#N/A,((Tabela1[[#This Row],[Core-Services CPI]]*1)/M496)-1)</f>
        <v>5.0159235668789881E-2</v>
      </c>
      <c r="P508" s="7">
        <v>112.2</v>
      </c>
      <c r="Q508" s="8">
        <f>IF(Tabela1[[#This Row],[Durable Goods CPI]]="",#N/A,((Tabela1[[#This Row],[Durable Goods CPI]]*1)/P507)-1)</f>
        <v>1.7857142857142794E-3</v>
      </c>
      <c r="R508" s="8">
        <f>IF(Tabela1[[#This Row],[Durable Goods CPI]]="",#N/A,((Tabela1[[#This Row],[Durable Goods CPI]]*1)/P496)-1)</f>
        <v>2.8414298808432603E-2</v>
      </c>
      <c r="S508" s="7">
        <v>4.7987253780000003</v>
      </c>
      <c r="T508" s="7">
        <v>56.402000000000001</v>
      </c>
      <c r="U508" s="8">
        <f>IF(Tabela1[[#This Row],[Personal Consumption Expenditures (PCE)]]="",#N/A,((Tabela1[[#This Row],[Personal Consumption Expenditures (PCE)]]*1)/T507)-1)</f>
        <v>3.3265142755491972E-3</v>
      </c>
      <c r="V508" s="8">
        <f>IF(Tabela1[[#This Row],[Personal Consumption Expenditures (PCE)]]="",#N/A,((Tabela1[[#This Row],[Personal Consumption Expenditures (PCE)]]*1)/T496)-1)</f>
        <v>4.6264005342435244E-2</v>
      </c>
      <c r="W508" s="7">
        <v>57.296999999999997</v>
      </c>
      <c r="X508" s="8">
        <f>IF(Tabela1[[#This Row],[Core PCE]]="",#N/A,((Tabela1[[#This Row],[Core PCE]]*1)/W507)-1)</f>
        <v>2.5370940649496188E-3</v>
      </c>
      <c r="Y508" s="8">
        <f>IF(Tabela1[[#This Row],[Core PCE]]="",#N/A,((Tabela1[[#This Row],[Core PCE]]*1)/W496)-1)</f>
        <v>4.7132570634891513E-2</v>
      </c>
      <c r="Z508" s="8">
        <f t="shared" si="25"/>
        <v>4.3675642363766087E-2</v>
      </c>
      <c r="AA508" s="8">
        <f t="shared" si="24"/>
        <v>4.5636641238675502E-2</v>
      </c>
      <c r="AB508" s="7">
        <v>4.1500000000000004</v>
      </c>
      <c r="AC508" s="7"/>
      <c r="AD508" s="8"/>
      <c r="AE508" s="71"/>
      <c r="AF508" s="7">
        <v>4.0999999999999996</v>
      </c>
      <c r="AG508" s="5"/>
    </row>
    <row r="509" spans="1:33" ht="12.75">
      <c r="A509" s="6">
        <v>32568</v>
      </c>
      <c r="B509" s="7">
        <v>122.2</v>
      </c>
      <c r="C509" s="8">
        <f>IF(Tabela1[[#This Row],[Consumer Price Index (CPI)]]="",#N/A,((Tabela1[[#This Row],[Consumer Price Index (CPI)]]*1)/B508)-1)</f>
        <v>4.9342105263159297E-3</v>
      </c>
      <c r="D509" s="8">
        <f>IF(Tabela1[[#This Row],[Consumer Price Index (CPI)]]="",#N/A,((Tabela1[[#This Row],[Consumer Price Index (CPI)]]*1)/B497)-1)</f>
        <v>4.8927038626609409E-2</v>
      </c>
      <c r="E509" s="25">
        <v>127.4</v>
      </c>
      <c r="F509" s="8">
        <f>IF(Tabela1[[#This Row],[Core Consumer Price Index]]="",#N/A,((Tabela1[[#This Row],[Core Consumer Price Index]]*1)/E508)-1)</f>
        <v>3.9401103230889412E-3</v>
      </c>
      <c r="G509" s="8">
        <f>IF(Tabela1[[#This Row],[Core Consumer Price Index]]="",#N/A,((Tabela1[[#This Row],[Core Consumer Price Index]]*1)/E497)-1)</f>
        <v>4.6836483155299868E-2</v>
      </c>
      <c r="H509" s="8">
        <f t="shared" si="22"/>
        <v>4.4281678509245026E-2</v>
      </c>
      <c r="I509" s="8">
        <f t="shared" si="23"/>
        <v>4.2919288554900348E-2</v>
      </c>
      <c r="J509" s="25">
        <v>130</v>
      </c>
      <c r="K509" s="8">
        <f>IF(Tabela1[[#This Row],[Services CPI]]="",#N/A,((Tabela1[[#This Row],[Services CPI]]*1)/J508)-1)</f>
        <v>4.6367851622874934E-3</v>
      </c>
      <c r="L509" s="8">
        <f>IF(Tabela1[[#This Row],[Services CPI]]="",#N/A,((Tabela1[[#This Row],[Services CPI]]*1)/J497)-1)</f>
        <v>4.9233252623082979E-2</v>
      </c>
      <c r="M509" s="7">
        <v>132.5</v>
      </c>
      <c r="N509" s="8">
        <f>IF(Tabela1[[#This Row],[Core-Services CPI]]="",#N/A,((Tabela1[[#This Row],[Core-Services CPI]]*1)/M508)-1)</f>
        <v>4.5489006823351552E-3</v>
      </c>
      <c r="O509" s="8">
        <f>IF(Tabela1[[#This Row],[Core-Services CPI]]="",#N/A,((Tabela1[[#This Row],[Core-Services CPI]]*1)/M497)-1)</f>
        <v>5.0753370340999249E-2</v>
      </c>
      <c r="P509" s="7">
        <v>111.9</v>
      </c>
      <c r="Q509" s="8">
        <f>IF(Tabela1[[#This Row],[Durable Goods CPI]]="",#N/A,((Tabela1[[#This Row],[Durable Goods CPI]]*1)/P508)-1)</f>
        <v>-2.673796791443861E-3</v>
      </c>
      <c r="R509" s="8">
        <f>IF(Tabela1[[#This Row],[Durable Goods CPI]]="",#N/A,((Tabela1[[#This Row],[Durable Goods CPI]]*1)/P497)-1)</f>
        <v>2.1917808219178214E-2</v>
      </c>
      <c r="S509" s="7">
        <v>4.7567832619999999</v>
      </c>
      <c r="T509" s="7">
        <v>56.612000000000002</v>
      </c>
      <c r="U509" s="8">
        <f>IF(Tabela1[[#This Row],[Personal Consumption Expenditures (PCE)]]="",#N/A,((Tabela1[[#This Row],[Personal Consumption Expenditures (PCE)]]*1)/T508)-1)</f>
        <v>3.7232722243891736E-3</v>
      </c>
      <c r="V509" s="8">
        <f>IF(Tabela1[[#This Row],[Personal Consumption Expenditures (PCE)]]="",#N/A,((Tabela1[[#This Row],[Personal Consumption Expenditures (PCE)]]*1)/T497)-1)</f>
        <v>4.6567947793614728E-2</v>
      </c>
      <c r="W509" s="7">
        <v>57.468000000000004</v>
      </c>
      <c r="X509" s="8">
        <f>IF(Tabela1[[#This Row],[Core PCE]]="",#N/A,((Tabela1[[#This Row],[Core PCE]]*1)/W508)-1)</f>
        <v>2.9844494476152228E-3</v>
      </c>
      <c r="Y509" s="8">
        <f>IF(Tabela1[[#This Row],[Core PCE]]="",#N/A,((Tabela1[[#This Row],[Core PCE]]*1)/W497)-1)</f>
        <v>4.5785412723831742E-2</v>
      </c>
      <c r="Z509" s="8">
        <f t="shared" si="25"/>
        <v>4.2345037302932376E-2</v>
      </c>
      <c r="AA509" s="8">
        <f t="shared" si="24"/>
        <v>4.0892593537944499E-2</v>
      </c>
      <c r="AB509" s="7">
        <v>4.16</v>
      </c>
      <c r="AC509" s="7"/>
      <c r="AD509" s="8"/>
      <c r="AE509" s="71"/>
      <c r="AF509" s="7">
        <v>3.7</v>
      </c>
      <c r="AG509" s="5"/>
    </row>
    <row r="510" spans="1:33" ht="12.75">
      <c r="A510" s="6">
        <v>32599</v>
      </c>
      <c r="B510" s="7">
        <v>123.1</v>
      </c>
      <c r="C510" s="8">
        <f>IF(Tabela1[[#This Row],[Consumer Price Index (CPI)]]="",#N/A,((Tabela1[[#This Row],[Consumer Price Index (CPI)]]*1)/B509)-1)</f>
        <v>7.3649754500817455E-3</v>
      </c>
      <c r="D510" s="8">
        <f>IF(Tabela1[[#This Row],[Consumer Price Index (CPI)]]="",#N/A,((Tabela1[[#This Row],[Consumer Price Index (CPI)]]*1)/B498)-1)</f>
        <v>5.0341296928327672E-2</v>
      </c>
      <c r="E510" s="25">
        <v>127.8</v>
      </c>
      <c r="F510" s="8">
        <f>IF(Tabela1[[#This Row],[Core Consumer Price Index]]="",#N/A,((Tabela1[[#This Row],[Core Consumer Price Index]]*1)/E509)-1)</f>
        <v>3.1397174254317317E-3</v>
      </c>
      <c r="G510" s="8">
        <f>IF(Tabela1[[#This Row],[Core Consumer Price Index]]="",#N/A,((Tabela1[[#This Row],[Core Consumer Price Index]]*1)/E498)-1)</f>
        <v>4.4971381847914937E-2</v>
      </c>
      <c r="H510" s="8">
        <f t="shared" ref="H510:H573" si="26">SUM(F508:F510)*4</f>
        <v>4.0967532337956136E-2</v>
      </c>
      <c r="I510" s="8">
        <f t="shared" si="23"/>
        <v>4.1179477214905891E-2</v>
      </c>
      <c r="J510" s="25">
        <v>130.5</v>
      </c>
      <c r="K510" s="8">
        <f>IF(Tabela1[[#This Row],[Services CPI]]="",#N/A,((Tabela1[[#This Row],[Services CPI]]*1)/J509)-1)</f>
        <v>3.8461538461538325E-3</v>
      </c>
      <c r="L510" s="8">
        <f>IF(Tabela1[[#This Row],[Services CPI]]="",#N/A,((Tabela1[[#This Row],[Services CPI]]*1)/J498)-1)</f>
        <v>4.9035369774919513E-2</v>
      </c>
      <c r="M510" s="7">
        <v>132.9</v>
      </c>
      <c r="N510" s="8">
        <f>IF(Tabela1[[#This Row],[Core-Services CPI]]="",#N/A,((Tabela1[[#This Row],[Core-Services CPI]]*1)/M509)-1)</f>
        <v>3.0188679245284344E-3</v>
      </c>
      <c r="O510" s="8">
        <f>IF(Tabela1[[#This Row],[Core-Services CPI]]="",#N/A,((Tabela1[[#This Row],[Core-Services CPI]]*1)/M498)-1)</f>
        <v>4.8934490923441265E-2</v>
      </c>
      <c r="P510" s="7">
        <v>111.9</v>
      </c>
      <c r="Q510" s="8">
        <f>IF(Tabela1[[#This Row],[Durable Goods CPI]]="",#N/A,((Tabela1[[#This Row],[Durable Goods CPI]]*1)/P509)-1)</f>
        <v>0</v>
      </c>
      <c r="R510" s="8">
        <f>IF(Tabela1[[#This Row],[Durable Goods CPI]]="",#N/A,((Tabela1[[#This Row],[Durable Goods CPI]]*1)/P498)-1)</f>
        <v>2.0054694621695512E-2</v>
      </c>
      <c r="S510" s="7">
        <v>4.7924268489999999</v>
      </c>
      <c r="T510" s="7">
        <v>56.988999999999997</v>
      </c>
      <c r="U510" s="8">
        <f>IF(Tabela1[[#This Row],[Personal Consumption Expenditures (PCE)]]="",#N/A,((Tabela1[[#This Row],[Personal Consumption Expenditures (PCE)]]*1)/T509)-1)</f>
        <v>6.6593655055464662E-3</v>
      </c>
      <c r="V510" s="8">
        <f>IF(Tabela1[[#This Row],[Personal Consumption Expenditures (PCE)]]="",#N/A,((Tabela1[[#This Row],[Personal Consumption Expenditures (PCE)]]*1)/T498)-1)</f>
        <v>4.843991463683861E-2</v>
      </c>
      <c r="W510" s="7">
        <v>57.661000000000001</v>
      </c>
      <c r="X510" s="8">
        <f>IF(Tabela1[[#This Row],[Core PCE]]="",#N/A,((Tabela1[[#This Row],[Core PCE]]*1)/W509)-1)</f>
        <v>3.3583907565948312E-3</v>
      </c>
      <c r="Y510" s="8">
        <f>IF(Tabela1[[#This Row],[Core PCE]]="",#N/A,((Tabela1[[#This Row],[Core PCE]]*1)/W498)-1)</f>
        <v>4.4223908437313275E-2</v>
      </c>
      <c r="Z510" s="8">
        <f t="shared" si="25"/>
        <v>3.5519737076638691E-2</v>
      </c>
      <c r="AA510" s="8">
        <f t="shared" si="24"/>
        <v>4.0008188697750136E-2</v>
      </c>
      <c r="AB510" s="7">
        <v>4.16</v>
      </c>
      <c r="AC510" s="7"/>
      <c r="AD510" s="8"/>
      <c r="AE510" s="71"/>
      <c r="AF510" s="7">
        <v>4.3</v>
      </c>
      <c r="AG510" s="5"/>
    </row>
    <row r="511" spans="1:33" ht="12.75">
      <c r="A511" s="6">
        <v>32629</v>
      </c>
      <c r="B511" s="7">
        <v>123.7</v>
      </c>
      <c r="C511" s="8">
        <f>IF(Tabela1[[#This Row],[Consumer Price Index (CPI)]]="",#N/A,((Tabela1[[#This Row],[Consumer Price Index (CPI)]]*1)/B510)-1)</f>
        <v>4.8740861088547582E-3</v>
      </c>
      <c r="D511" s="8">
        <f>IF(Tabela1[[#This Row],[Consumer Price Index (CPI)]]="",#N/A,((Tabela1[[#This Row],[Consumer Price Index (CPI)]]*1)/B499)-1)</f>
        <v>5.2765957446808454E-2</v>
      </c>
      <c r="E511" s="25">
        <v>128.30000000000001</v>
      </c>
      <c r="F511" s="8">
        <f>IF(Tabela1[[#This Row],[Core Consumer Price Index]]="",#N/A,((Tabela1[[#This Row],[Core Consumer Price Index]]*1)/E510)-1)</f>
        <v>3.9123630672928122E-3</v>
      </c>
      <c r="G511" s="8">
        <f>IF(Tabela1[[#This Row],[Core Consumer Price Index]]="",#N/A,((Tabela1[[#This Row],[Core Consumer Price Index]]*1)/E499)-1)</f>
        <v>4.5639771801140983E-2</v>
      </c>
      <c r="H511" s="8">
        <f t="shared" si="26"/>
        <v>4.396876326325394E-2</v>
      </c>
      <c r="I511" s="8">
        <f t="shared" si="23"/>
        <v>4.2614426991664178E-2</v>
      </c>
      <c r="J511" s="25">
        <v>131.1</v>
      </c>
      <c r="K511" s="8">
        <f>IF(Tabela1[[#This Row],[Services CPI]]="",#N/A,((Tabela1[[#This Row],[Services CPI]]*1)/J510)-1)</f>
        <v>4.5977011494251485E-3</v>
      </c>
      <c r="L511" s="8">
        <f>IF(Tabela1[[#This Row],[Services CPI]]="",#N/A,((Tabela1[[#This Row],[Services CPI]]*1)/J499)-1)</f>
        <v>5.0480769230769162E-2</v>
      </c>
      <c r="M511" s="7">
        <v>133.6</v>
      </c>
      <c r="N511" s="8">
        <f>IF(Tabela1[[#This Row],[Core-Services CPI]]="",#N/A,((Tabela1[[#This Row],[Core-Services CPI]]*1)/M510)-1)</f>
        <v>5.2671181339352113E-3</v>
      </c>
      <c r="O511" s="8">
        <f>IF(Tabela1[[#This Row],[Core-Services CPI]]="",#N/A,((Tabela1[[#This Row],[Core-Services CPI]]*1)/M499)-1)</f>
        <v>5.031446540880502E-2</v>
      </c>
      <c r="P511" s="7">
        <v>111.9</v>
      </c>
      <c r="Q511" s="8">
        <f>IF(Tabela1[[#This Row],[Durable Goods CPI]]="",#N/A,((Tabela1[[#This Row],[Durable Goods CPI]]*1)/P510)-1)</f>
        <v>0</v>
      </c>
      <c r="R511" s="8">
        <f>IF(Tabela1[[#This Row],[Durable Goods CPI]]="",#N/A,((Tabela1[[#This Row],[Durable Goods CPI]]*1)/P499)-1)</f>
        <v>1.8198362147406666E-2</v>
      </c>
      <c r="S511" s="7">
        <v>4.7603527689999998</v>
      </c>
      <c r="T511" s="7">
        <v>57.197000000000003</v>
      </c>
      <c r="U511" s="8">
        <f>IF(Tabela1[[#This Row],[Personal Consumption Expenditures (PCE)]]="",#N/A,((Tabela1[[#This Row],[Personal Consumption Expenditures (PCE)]]*1)/T510)-1)</f>
        <v>3.6498271596274723E-3</v>
      </c>
      <c r="V511" s="8">
        <f>IF(Tabela1[[#This Row],[Personal Consumption Expenditures (PCE)]]="",#N/A,((Tabela1[[#This Row],[Personal Consumption Expenditures (PCE)]]*1)/T499)-1)</f>
        <v>4.9216714972300624E-2</v>
      </c>
      <c r="W511" s="7">
        <v>57.832999999999998</v>
      </c>
      <c r="X511" s="8">
        <f>IF(Tabela1[[#This Row],[Core PCE]]="",#N/A,((Tabela1[[#This Row],[Core PCE]]*1)/W510)-1)</f>
        <v>2.9829520819963928E-3</v>
      </c>
      <c r="Y511" s="8">
        <f>IF(Tabela1[[#This Row],[Core PCE]]="",#N/A,((Tabela1[[#This Row],[Core PCE]]*1)/W499)-1)</f>
        <v>4.3785081307416096E-2</v>
      </c>
      <c r="Z511" s="8">
        <f t="shared" si="25"/>
        <v>3.7303169144825787E-2</v>
      </c>
      <c r="AA511" s="8">
        <f t="shared" si="24"/>
        <v>4.0489405754295937E-2</v>
      </c>
      <c r="AB511" s="7">
        <v>4.24</v>
      </c>
      <c r="AC511" s="7"/>
      <c r="AD511" s="8"/>
      <c r="AE511" s="71"/>
      <c r="AF511" s="7">
        <v>4.5999999999999996</v>
      </c>
      <c r="AG511" s="5"/>
    </row>
    <row r="512" spans="1:33" ht="12.75">
      <c r="A512" s="6">
        <v>32660</v>
      </c>
      <c r="B512" s="7">
        <v>124.1</v>
      </c>
      <c r="C512" s="8">
        <f>IF(Tabela1[[#This Row],[Consumer Price Index (CPI)]]="",#N/A,((Tabela1[[#This Row],[Consumer Price Index (CPI)]]*1)/B511)-1)</f>
        <v>3.2336297493935628E-3</v>
      </c>
      <c r="D512" s="8">
        <f>IF(Tabela1[[#This Row],[Consumer Price Index (CPI)]]="",#N/A,((Tabela1[[#This Row],[Consumer Price Index (CPI)]]*1)/B500)-1)</f>
        <v>5.1694915254237195E-2</v>
      </c>
      <c r="E512" s="25">
        <v>128.80000000000001</v>
      </c>
      <c r="F512" s="8">
        <f>IF(Tabela1[[#This Row],[Core Consumer Price Index]]="",#N/A,((Tabela1[[#This Row],[Core Consumer Price Index]]*1)/E511)-1)</f>
        <v>3.8971161340608518E-3</v>
      </c>
      <c r="G512" s="8">
        <f>IF(Tabela1[[#This Row],[Core Consumer Price Index]]="",#N/A,((Tabela1[[#This Row],[Core Consumer Price Index]]*1)/E500)-1)</f>
        <v>4.5454545454545414E-2</v>
      </c>
      <c r="H512" s="8">
        <f t="shared" si="26"/>
        <v>4.3796786507141583E-2</v>
      </c>
      <c r="I512" s="8">
        <f t="shared" si="23"/>
        <v>4.4039232508193304E-2</v>
      </c>
      <c r="J512" s="25">
        <v>131.6</v>
      </c>
      <c r="K512" s="8">
        <f>IF(Tabela1[[#This Row],[Services CPI]]="",#N/A,((Tabela1[[#This Row],[Services CPI]]*1)/J511)-1)</f>
        <v>3.8138825324181003E-3</v>
      </c>
      <c r="L512" s="8">
        <f>IF(Tabela1[[#This Row],[Services CPI]]="",#N/A,((Tabela1[[#This Row],[Services CPI]]*1)/J500)-1)</f>
        <v>4.9441786283891398E-2</v>
      </c>
      <c r="M512" s="7">
        <v>134.19999999999999</v>
      </c>
      <c r="N512" s="8">
        <f>IF(Tabela1[[#This Row],[Core-Services CPI]]="",#N/A,((Tabela1[[#This Row],[Core-Services CPI]]*1)/M511)-1)</f>
        <v>4.4910179640718084E-3</v>
      </c>
      <c r="O512" s="8">
        <f>IF(Tabela1[[#This Row],[Core-Services CPI]]="",#N/A,((Tabela1[[#This Row],[Core-Services CPI]]*1)/M500)-1)</f>
        <v>5.0900548159749315E-2</v>
      </c>
      <c r="P512" s="7">
        <v>112.1</v>
      </c>
      <c r="Q512" s="8">
        <f>IF(Tabela1[[#This Row],[Durable Goods CPI]]="",#N/A,((Tabela1[[#This Row],[Durable Goods CPI]]*1)/P511)-1)</f>
        <v>1.7873100983019086E-3</v>
      </c>
      <c r="R512" s="8">
        <f>IF(Tabela1[[#This Row],[Durable Goods CPI]]="",#N/A,((Tabela1[[#This Row],[Durable Goods CPI]]*1)/P500)-1)</f>
        <v>1.7241379310344751E-2</v>
      </c>
      <c r="S512" s="7">
        <v>4.6271309870000001</v>
      </c>
      <c r="T512" s="7">
        <v>57.322000000000003</v>
      </c>
      <c r="U512" s="8">
        <f>IF(Tabela1[[#This Row],[Personal Consumption Expenditures (PCE)]]="",#N/A,((Tabela1[[#This Row],[Personal Consumption Expenditures (PCE)]]*1)/T511)-1)</f>
        <v>2.1854293057328444E-3</v>
      </c>
      <c r="V512" s="8">
        <f>IF(Tabela1[[#This Row],[Personal Consumption Expenditures (PCE)]]="",#N/A,((Tabela1[[#This Row],[Personal Consumption Expenditures (PCE)]]*1)/T500)-1)</f>
        <v>4.7053666021261931E-2</v>
      </c>
      <c r="W512" s="7">
        <v>57.987000000000002</v>
      </c>
      <c r="X512" s="8">
        <f>IF(Tabela1[[#This Row],[Core PCE]]="",#N/A,((Tabela1[[#This Row],[Core PCE]]*1)/W511)-1)</f>
        <v>2.6628395552712458E-3</v>
      </c>
      <c r="Y512" s="8">
        <f>IF(Tabela1[[#This Row],[Core PCE]]="",#N/A,((Tabela1[[#This Row],[Core PCE]]*1)/W500)-1)</f>
        <v>4.2163153070577497E-2</v>
      </c>
      <c r="Z512" s="8">
        <f t="shared" si="25"/>
        <v>3.601672957544988E-2</v>
      </c>
      <c r="AA512" s="8">
        <f t="shared" si="24"/>
        <v>3.9180883439191128E-2</v>
      </c>
      <c r="AB512" s="7">
        <v>4.13</v>
      </c>
      <c r="AC512" s="7"/>
      <c r="AD512" s="8"/>
      <c r="AE512" s="71"/>
      <c r="AF512" s="7">
        <v>3.8</v>
      </c>
      <c r="AG512" s="5"/>
    </row>
    <row r="513" spans="1:33" ht="12.75">
      <c r="A513" s="6">
        <v>32690</v>
      </c>
      <c r="B513" s="7">
        <v>124.5</v>
      </c>
      <c r="C513" s="8">
        <f>IF(Tabela1[[#This Row],[Consumer Price Index (CPI)]]="",#N/A,((Tabela1[[#This Row],[Consumer Price Index (CPI)]]*1)/B512)-1)</f>
        <v>3.2232070910556132E-3</v>
      </c>
      <c r="D513" s="8">
        <f>IF(Tabela1[[#This Row],[Consumer Price Index (CPI)]]="",#N/A,((Tabela1[[#This Row],[Consumer Price Index (CPI)]]*1)/B501)-1)</f>
        <v>5.0632911392405111E-2</v>
      </c>
      <c r="E513" s="25">
        <v>129.19999999999999</v>
      </c>
      <c r="F513" s="8">
        <f>IF(Tabela1[[#This Row],[Core Consumer Price Index]]="",#N/A,((Tabela1[[#This Row],[Core Consumer Price Index]]*1)/E512)-1)</f>
        <v>3.1055900621115295E-3</v>
      </c>
      <c r="G513" s="8">
        <f>IF(Tabela1[[#This Row],[Core Consumer Price Index]]="",#N/A,((Tabela1[[#This Row],[Core Consumer Price Index]]*1)/E501)-1)</f>
        <v>4.5307443365695699E-2</v>
      </c>
      <c r="H513" s="8">
        <f t="shared" si="26"/>
        <v>4.3660277053860774E-2</v>
      </c>
      <c r="I513" s="8">
        <f t="shared" ref="I513:I576" si="27">SUM(F508:F513)*2</f>
        <v>4.2313904695908455E-2</v>
      </c>
      <c r="J513" s="25">
        <v>132.30000000000001</v>
      </c>
      <c r="K513" s="8">
        <f>IF(Tabela1[[#This Row],[Services CPI]]="",#N/A,((Tabela1[[#This Row],[Services CPI]]*1)/J512)-1)</f>
        <v>5.3191489361703592E-3</v>
      </c>
      <c r="L513" s="8">
        <f>IF(Tabela1[[#This Row],[Services CPI]]="",#N/A,((Tabela1[[#This Row],[Services CPI]]*1)/J501)-1)</f>
        <v>5.1669316375198893E-2</v>
      </c>
      <c r="M513" s="7">
        <v>134.80000000000001</v>
      </c>
      <c r="N513" s="8">
        <f>IF(Tabela1[[#This Row],[Core-Services CPI]]="",#N/A,((Tabela1[[#This Row],[Core-Services CPI]]*1)/M512)-1)</f>
        <v>4.4709388971686526E-3</v>
      </c>
      <c r="O513" s="8">
        <f>IF(Tabela1[[#This Row],[Core-Services CPI]]="",#N/A,((Tabela1[[#This Row],[Core-Services CPI]]*1)/M501)-1)</f>
        <v>5.2302888368462197E-2</v>
      </c>
      <c r="P513" s="7">
        <v>112</v>
      </c>
      <c r="Q513" s="8">
        <f>IF(Tabela1[[#This Row],[Durable Goods CPI]]="",#N/A,((Tabela1[[#This Row],[Durable Goods CPI]]*1)/P512)-1)</f>
        <v>-8.92060660124816E-4</v>
      </c>
      <c r="R513" s="8">
        <f>IF(Tabela1[[#This Row],[Durable Goods CPI]]="",#N/A,((Tabela1[[#This Row],[Durable Goods CPI]]*1)/P501)-1)</f>
        <v>1.3574660633484115E-2</v>
      </c>
      <c r="S513" s="7">
        <v>4.751380664</v>
      </c>
      <c r="T513" s="7">
        <v>57.459000000000003</v>
      </c>
      <c r="U513" s="8">
        <f>IF(Tabela1[[#This Row],[Personal Consumption Expenditures (PCE)]]="",#N/A,((Tabela1[[#This Row],[Personal Consumption Expenditures (PCE)]]*1)/T512)-1)</f>
        <v>2.3900073270297639E-3</v>
      </c>
      <c r="V513" s="8">
        <f>IF(Tabela1[[#This Row],[Personal Consumption Expenditures (PCE)]]="",#N/A,((Tabela1[[#This Row],[Personal Consumption Expenditures (PCE)]]*1)/T501)-1)</f>
        <v>4.4481204100923488E-2</v>
      </c>
      <c r="W513" s="7">
        <v>58.136000000000003</v>
      </c>
      <c r="X513" s="8">
        <f>IF(Tabela1[[#This Row],[Core PCE]]="",#N/A,((Tabela1[[#This Row],[Core PCE]]*1)/W512)-1)</f>
        <v>2.5695414489455004E-3</v>
      </c>
      <c r="Y513" s="8">
        <f>IF(Tabela1[[#This Row],[Core PCE]]="",#N/A,((Tabela1[[#This Row],[Core PCE]]*1)/W501)-1)</f>
        <v>4.0595689840337901E-2</v>
      </c>
      <c r="Z513" s="8">
        <f t="shared" si="25"/>
        <v>3.2861332344852556E-2</v>
      </c>
      <c r="AA513" s="8">
        <f t="shared" si="24"/>
        <v>3.4190534710745624E-2</v>
      </c>
      <c r="AB513" s="7">
        <v>4.04</v>
      </c>
      <c r="AC513" s="7"/>
      <c r="AD513" s="8"/>
      <c r="AE513" s="71"/>
      <c r="AF513" s="7">
        <v>4.0999999999999996</v>
      </c>
      <c r="AG513" s="5"/>
    </row>
    <row r="514" spans="1:33" ht="12.75">
      <c r="A514" s="6">
        <v>32721</v>
      </c>
      <c r="B514" s="7">
        <v>124.5</v>
      </c>
      <c r="C514" s="8">
        <f>IF(Tabela1[[#This Row],[Consumer Price Index (CPI)]]="",#N/A,((Tabela1[[#This Row],[Consumer Price Index (CPI)]]*1)/B513)-1)</f>
        <v>0</v>
      </c>
      <c r="D514" s="8">
        <f>IF(Tabela1[[#This Row],[Consumer Price Index (CPI)]]="",#N/A,((Tabela1[[#This Row],[Consumer Price Index (CPI)]]*1)/B502)-1)</f>
        <v>4.6218487394958041E-2</v>
      </c>
      <c r="E514" s="25">
        <v>129.5</v>
      </c>
      <c r="F514" s="8">
        <f>IF(Tabela1[[#This Row],[Core Consumer Price Index]]="",#N/A,((Tabela1[[#This Row],[Core Consumer Price Index]]*1)/E513)-1)</f>
        <v>2.3219814241486336E-3</v>
      </c>
      <c r="G514" s="8">
        <f>IF(Tabela1[[#This Row],[Core Consumer Price Index]]="",#N/A,((Tabela1[[#This Row],[Core Consumer Price Index]]*1)/E502)-1)</f>
        <v>4.4354838709677491E-2</v>
      </c>
      <c r="H514" s="8">
        <f t="shared" si="26"/>
        <v>3.729875048128406E-2</v>
      </c>
      <c r="I514" s="8">
        <f t="shared" si="27"/>
        <v>4.0633756872269E-2</v>
      </c>
      <c r="J514" s="25">
        <v>132.80000000000001</v>
      </c>
      <c r="K514" s="8">
        <f>IF(Tabela1[[#This Row],[Services CPI]]="",#N/A,((Tabela1[[#This Row],[Services CPI]]*1)/J513)-1)</f>
        <v>3.7792894935753107E-3</v>
      </c>
      <c r="L514" s="8">
        <f>IF(Tabela1[[#This Row],[Services CPI]]="",#N/A,((Tabela1[[#This Row],[Services CPI]]*1)/J502)-1)</f>
        <v>5.0632911392405111E-2</v>
      </c>
      <c r="M514" s="7">
        <v>135.4</v>
      </c>
      <c r="N514" s="8">
        <f>IF(Tabela1[[#This Row],[Core-Services CPI]]="",#N/A,((Tabela1[[#This Row],[Core-Services CPI]]*1)/M513)-1)</f>
        <v>4.4510385756675319E-3</v>
      </c>
      <c r="O514" s="8">
        <f>IF(Tabela1[[#This Row],[Core-Services CPI]]="",#N/A,((Tabela1[[#This Row],[Core-Services CPI]]*1)/M502)-1)</f>
        <v>5.2059052059052258E-2</v>
      </c>
      <c r="P514" s="7">
        <v>111.9</v>
      </c>
      <c r="Q514" s="8">
        <f>IF(Tabela1[[#This Row],[Durable Goods CPI]]="",#N/A,((Tabela1[[#This Row],[Durable Goods CPI]]*1)/P513)-1)</f>
        <v>-8.9285714285713969E-4</v>
      </c>
      <c r="R514" s="8">
        <f>IF(Tabela1[[#This Row],[Durable Goods CPI]]="",#N/A,((Tabela1[[#This Row],[Durable Goods CPI]]*1)/P502)-1)</f>
        <v>9.9277978339351591E-3</v>
      </c>
      <c r="S514" s="7">
        <v>4.7538013059999997</v>
      </c>
      <c r="T514" s="7">
        <v>57.466000000000001</v>
      </c>
      <c r="U514" s="8">
        <f>IF(Tabela1[[#This Row],[Personal Consumption Expenditures (PCE)]]="",#N/A,((Tabela1[[#This Row],[Personal Consumption Expenditures (PCE)]]*1)/T513)-1)</f>
        <v>1.2182599766785707E-4</v>
      </c>
      <c r="V514" s="8">
        <f>IF(Tabela1[[#This Row],[Personal Consumption Expenditures (PCE)]]="",#N/A,((Tabela1[[#This Row],[Personal Consumption Expenditures (PCE)]]*1)/T502)-1)</f>
        <v>4.1522428636157738E-2</v>
      </c>
      <c r="W514" s="7">
        <v>58.216999999999999</v>
      </c>
      <c r="X514" s="8">
        <f>IF(Tabela1[[#This Row],[Core PCE]]="",#N/A,((Tabela1[[#This Row],[Core PCE]]*1)/W513)-1)</f>
        <v>1.3932847117104075E-3</v>
      </c>
      <c r="Y514" s="8">
        <f>IF(Tabela1[[#This Row],[Core PCE]]="",#N/A,((Tabela1[[#This Row],[Core PCE]]*1)/W502)-1)</f>
        <v>3.9459353295123734E-2</v>
      </c>
      <c r="Z514" s="8">
        <f t="shared" si="25"/>
        <v>2.6502662863708615E-2</v>
      </c>
      <c r="AA514" s="8">
        <f t="shared" si="24"/>
        <v>3.1902916004267201E-2</v>
      </c>
      <c r="AB514" s="7">
        <v>3.95</v>
      </c>
      <c r="AC514" s="7"/>
      <c r="AD514" s="8"/>
      <c r="AE514" s="71"/>
      <c r="AF514" s="7">
        <v>3.5</v>
      </c>
      <c r="AG514" s="5"/>
    </row>
    <row r="515" spans="1:33" ht="12.75">
      <c r="A515" s="6">
        <v>32752</v>
      </c>
      <c r="B515" s="7">
        <v>124.8</v>
      </c>
      <c r="C515" s="8">
        <f>IF(Tabela1[[#This Row],[Consumer Price Index (CPI)]]="",#N/A,((Tabela1[[#This Row],[Consumer Price Index (CPI)]]*1)/B514)-1)</f>
        <v>2.4096385542169418E-3</v>
      </c>
      <c r="D515" s="8">
        <f>IF(Tabela1[[#This Row],[Consumer Price Index (CPI)]]="",#N/A,((Tabela1[[#This Row],[Consumer Price Index (CPI)]]*1)/B503)-1)</f>
        <v>4.435146443514637E-2</v>
      </c>
      <c r="E515" s="25">
        <v>129.9</v>
      </c>
      <c r="F515" s="8">
        <f>IF(Tabela1[[#This Row],[Core Consumer Price Index]]="",#N/A,((Tabela1[[#This Row],[Core Consumer Price Index]]*1)/E514)-1)</f>
        <v>3.0888030888032159E-3</v>
      </c>
      <c r="G515" s="8">
        <f>IF(Tabela1[[#This Row],[Core Consumer Price Index]]="",#N/A,((Tabela1[[#This Row],[Core Consumer Price Index]]*1)/E503)-1)</f>
        <v>4.1700080192461852E-2</v>
      </c>
      <c r="H515" s="8">
        <f t="shared" si="26"/>
        <v>3.4065498300253516E-2</v>
      </c>
      <c r="I515" s="8">
        <f t="shared" si="27"/>
        <v>3.893114240369755E-2</v>
      </c>
      <c r="J515" s="25">
        <v>133.1</v>
      </c>
      <c r="K515" s="8">
        <f>IF(Tabela1[[#This Row],[Services CPI]]="",#N/A,((Tabela1[[#This Row],[Services CPI]]*1)/J514)-1)</f>
        <v>2.2590361445782303E-3</v>
      </c>
      <c r="L515" s="8">
        <f>IF(Tabela1[[#This Row],[Services CPI]]="",#N/A,((Tabela1[[#This Row],[Services CPI]]*1)/J503)-1)</f>
        <v>4.8857368006304025E-2</v>
      </c>
      <c r="M515" s="7">
        <v>135.69999999999999</v>
      </c>
      <c r="N515" s="8">
        <f>IF(Tabela1[[#This Row],[Core-Services CPI]]="",#N/A,((Tabela1[[#This Row],[Core-Services CPI]]*1)/M514)-1)</f>
        <v>2.2156573116689504E-3</v>
      </c>
      <c r="O515" s="8">
        <f>IF(Tabela1[[#This Row],[Core-Services CPI]]="",#N/A,((Tabela1[[#This Row],[Core-Services CPI]]*1)/M503)-1)</f>
        <v>5.0309597523219729E-2</v>
      </c>
      <c r="P515" s="7">
        <v>111.9</v>
      </c>
      <c r="Q515" s="8">
        <f>IF(Tabela1[[#This Row],[Durable Goods CPI]]="",#N/A,((Tabela1[[#This Row],[Durable Goods CPI]]*1)/P514)-1)</f>
        <v>0</v>
      </c>
      <c r="R515" s="8">
        <f>IF(Tabela1[[#This Row],[Durable Goods CPI]]="",#N/A,((Tabela1[[#This Row],[Durable Goods CPI]]*1)/P503)-1)</f>
        <v>6.2949640287770503E-3</v>
      </c>
      <c r="S515" s="7">
        <v>4.9052476020000002</v>
      </c>
      <c r="T515" s="7">
        <v>57.594000000000001</v>
      </c>
      <c r="U515" s="8">
        <f>IF(Tabela1[[#This Row],[Personal Consumption Expenditures (PCE)]]="",#N/A,((Tabela1[[#This Row],[Personal Consumption Expenditures (PCE)]]*1)/T514)-1)</f>
        <v>2.2274040302092679E-3</v>
      </c>
      <c r="V515" s="8">
        <f>IF(Tabela1[[#This Row],[Personal Consumption Expenditures (PCE)]]="",#N/A,((Tabela1[[#This Row],[Personal Consumption Expenditures (PCE)]]*1)/T503)-1)</f>
        <v>3.8777865954837232E-2</v>
      </c>
      <c r="W515" s="7">
        <v>58.418999999999997</v>
      </c>
      <c r="X515" s="8">
        <f>IF(Tabela1[[#This Row],[Core PCE]]="",#N/A,((Tabela1[[#This Row],[Core PCE]]*1)/W514)-1)</f>
        <v>3.4697768692992792E-3</v>
      </c>
      <c r="Y515" s="8">
        <f>IF(Tabela1[[#This Row],[Core PCE]]="",#N/A,((Tabela1[[#This Row],[Core PCE]]*1)/W503)-1)</f>
        <v>3.7508657893334574E-2</v>
      </c>
      <c r="Z515" s="8">
        <f t="shared" si="25"/>
        <v>2.9730412119820748E-2</v>
      </c>
      <c r="AA515" s="8">
        <f t="shared" si="24"/>
        <v>3.2873570847635314E-2</v>
      </c>
      <c r="AB515" s="7">
        <v>3.8</v>
      </c>
      <c r="AC515" s="7"/>
      <c r="AD515" s="8"/>
      <c r="AE515" s="71"/>
      <c r="AF515" s="7">
        <v>3.4</v>
      </c>
      <c r="AG515" s="5"/>
    </row>
    <row r="516" spans="1:33" ht="12.75">
      <c r="A516" s="6">
        <v>32782</v>
      </c>
      <c r="B516" s="7">
        <v>125.4</v>
      </c>
      <c r="C516" s="8">
        <f>IF(Tabela1[[#This Row],[Consumer Price Index (CPI)]]="",#N/A,((Tabela1[[#This Row],[Consumer Price Index (CPI)]]*1)/B515)-1)</f>
        <v>4.8076923076922906E-3</v>
      </c>
      <c r="D516" s="8">
        <f>IF(Tabela1[[#This Row],[Consumer Price Index (CPI)]]="",#N/A,((Tabela1[[#This Row],[Consumer Price Index (CPI)]]*1)/B504)-1)</f>
        <v>4.587155963302747E-2</v>
      </c>
      <c r="E516" s="25">
        <v>130.6</v>
      </c>
      <c r="F516" s="8">
        <f>IF(Tabela1[[#This Row],[Core Consumer Price Index]]="",#N/A,((Tabela1[[#This Row],[Core Consumer Price Index]]*1)/E515)-1)</f>
        <v>5.388760585065322E-3</v>
      </c>
      <c r="G516" s="8">
        <f>IF(Tabela1[[#This Row],[Core Consumer Price Index]]="",#N/A,((Tabela1[[#This Row],[Core Consumer Price Index]]*1)/E504)-1)</f>
        <v>4.3130990415335413E-2</v>
      </c>
      <c r="H516" s="8">
        <f t="shared" si="26"/>
        <v>4.3198180392068686E-2</v>
      </c>
      <c r="I516" s="8">
        <f t="shared" si="27"/>
        <v>4.342922872296473E-2</v>
      </c>
      <c r="J516" s="25">
        <v>133.69999999999999</v>
      </c>
      <c r="K516" s="8">
        <f>IF(Tabela1[[#This Row],[Services CPI]]="",#N/A,((Tabela1[[#This Row],[Services CPI]]*1)/J515)-1)</f>
        <v>4.5078888054095323E-3</v>
      </c>
      <c r="L516" s="8">
        <f>IF(Tabela1[[#This Row],[Services CPI]]="",#N/A,((Tabela1[[#This Row],[Services CPI]]*1)/J504)-1)</f>
        <v>4.8627450980392117E-2</v>
      </c>
      <c r="M516" s="7">
        <v>136.4</v>
      </c>
      <c r="N516" s="8">
        <f>IF(Tabela1[[#This Row],[Core-Services CPI]]="",#N/A,((Tabela1[[#This Row],[Core-Services CPI]]*1)/M515)-1)</f>
        <v>5.1584377302875684E-3</v>
      </c>
      <c r="O516" s="8">
        <f>IF(Tabela1[[#This Row],[Core-Services CPI]]="",#N/A,((Tabela1[[#This Row],[Core-Services CPI]]*1)/M504)-1)</f>
        <v>5.1657671549730333E-2</v>
      </c>
      <c r="P516" s="7">
        <v>112.3</v>
      </c>
      <c r="Q516" s="8">
        <f>IF(Tabela1[[#This Row],[Durable Goods CPI]]="",#N/A,((Tabela1[[#This Row],[Durable Goods CPI]]*1)/P515)-1)</f>
        <v>3.5746201966040392E-3</v>
      </c>
      <c r="R516" s="8">
        <f>IF(Tabela1[[#This Row],[Durable Goods CPI]]="",#N/A,((Tabela1[[#This Row],[Durable Goods CPI]]*1)/P504)-1)</f>
        <v>8.9847259658579759E-3</v>
      </c>
      <c r="S516" s="7">
        <v>4.8655221529999997</v>
      </c>
      <c r="T516" s="7">
        <v>57.819000000000003</v>
      </c>
      <c r="U516" s="8">
        <f>IF(Tabela1[[#This Row],[Personal Consumption Expenditures (PCE)]]="",#N/A,((Tabela1[[#This Row],[Personal Consumption Expenditures (PCE)]]*1)/T515)-1)</f>
        <v>3.906656943431619E-3</v>
      </c>
      <c r="V516" s="8">
        <f>IF(Tabela1[[#This Row],[Personal Consumption Expenditures (PCE)]]="",#N/A,((Tabela1[[#This Row],[Personal Consumption Expenditures (PCE)]]*1)/T504)-1)</f>
        <v>3.9442696629213625E-2</v>
      </c>
      <c r="W516" s="7">
        <v>58.631</v>
      </c>
      <c r="X516" s="8">
        <f>IF(Tabela1[[#This Row],[Core PCE]]="",#N/A,((Tabela1[[#This Row],[Core PCE]]*1)/W515)-1)</f>
        <v>3.6289563327001062E-3</v>
      </c>
      <c r="Y516" s="8">
        <f>IF(Tabela1[[#This Row],[Core PCE]]="",#N/A,((Tabela1[[#This Row],[Core PCE]]*1)/W504)-1)</f>
        <v>3.7331257408750762E-2</v>
      </c>
      <c r="Z516" s="8">
        <f t="shared" si="25"/>
        <v>3.3968071654839171E-2</v>
      </c>
      <c r="AA516" s="8">
        <f t="shared" si="24"/>
        <v>3.3414701999845864E-2</v>
      </c>
      <c r="AB516" s="7">
        <v>3.94</v>
      </c>
      <c r="AC516" s="7"/>
      <c r="AD516" s="8"/>
      <c r="AE516" s="71"/>
      <c r="AF516" s="7">
        <v>3.6</v>
      </c>
      <c r="AG516" s="5"/>
    </row>
    <row r="517" spans="1:33" ht="12.75">
      <c r="A517" s="6">
        <v>32813</v>
      </c>
      <c r="B517" s="7">
        <v>125.9</v>
      </c>
      <c r="C517" s="8">
        <f>IF(Tabela1[[#This Row],[Consumer Price Index (CPI)]]="",#N/A,((Tabela1[[#This Row],[Consumer Price Index (CPI)]]*1)/B516)-1)</f>
        <v>3.9872408293459838E-3</v>
      </c>
      <c r="D517" s="8">
        <f>IF(Tabela1[[#This Row],[Consumer Price Index (CPI)]]="",#N/A,((Tabela1[[#This Row],[Consumer Price Index (CPI)]]*1)/B505)-1)</f>
        <v>4.6550290939318506E-2</v>
      </c>
      <c r="E517" s="25">
        <v>131.1</v>
      </c>
      <c r="F517" s="8">
        <f>IF(Tabela1[[#This Row],[Core Consumer Price Index]]="",#N/A,((Tabela1[[#This Row],[Core Consumer Price Index]]*1)/E516)-1)</f>
        <v>3.8284839203674981E-3</v>
      </c>
      <c r="G517" s="8">
        <f>IF(Tabela1[[#This Row],[Core Consumer Price Index]]="",#N/A,((Tabela1[[#This Row],[Core Consumer Price Index]]*1)/E505)-1)</f>
        <v>4.3789808917197526E-2</v>
      </c>
      <c r="H517" s="8">
        <f t="shared" si="26"/>
        <v>4.9224190376944144E-2</v>
      </c>
      <c r="I517" s="8">
        <f t="shared" si="27"/>
        <v>4.3261470429114102E-2</v>
      </c>
      <c r="J517" s="25">
        <v>134.30000000000001</v>
      </c>
      <c r="K517" s="8">
        <f>IF(Tabela1[[#This Row],[Services CPI]]="",#N/A,((Tabela1[[#This Row],[Services CPI]]*1)/J516)-1)</f>
        <v>4.4876589379208021E-3</v>
      </c>
      <c r="L517" s="8">
        <f>IF(Tabela1[[#This Row],[Services CPI]]="",#N/A,((Tabela1[[#This Row],[Services CPI]]*1)/J505)-1)</f>
        <v>5.003909304143872E-2</v>
      </c>
      <c r="M517" s="7">
        <v>137</v>
      </c>
      <c r="N517" s="8">
        <f>IF(Tabela1[[#This Row],[Core-Services CPI]]="",#N/A,((Tabela1[[#This Row],[Core-Services CPI]]*1)/M516)-1)</f>
        <v>4.3988269794721369E-3</v>
      </c>
      <c r="O517" s="8">
        <f>IF(Tabela1[[#This Row],[Core-Services CPI]]="",#N/A,((Tabela1[[#This Row],[Core-Services CPI]]*1)/M505)-1)</f>
        <v>5.2227342549923339E-2</v>
      </c>
      <c r="P517" s="7">
        <v>112.7</v>
      </c>
      <c r="Q517" s="8">
        <f>IF(Tabela1[[#This Row],[Durable Goods CPI]]="",#N/A,((Tabela1[[#This Row],[Durable Goods CPI]]*1)/P516)-1)</f>
        <v>3.5618878005343468E-3</v>
      </c>
      <c r="R517" s="8">
        <f>IF(Tabela1[[#This Row],[Durable Goods CPI]]="",#N/A,((Tabela1[[#This Row],[Durable Goods CPI]]*1)/P505)-1)</f>
        <v>1.0762331838565009E-2</v>
      </c>
      <c r="S517" s="7">
        <v>4.684441734</v>
      </c>
      <c r="T517" s="7">
        <v>57.945</v>
      </c>
      <c r="U517" s="8">
        <f>IF(Tabela1[[#This Row],[Personal Consumption Expenditures (PCE)]]="",#N/A,((Tabela1[[#This Row],[Personal Consumption Expenditures (PCE)]]*1)/T516)-1)</f>
        <v>2.1792144450785145E-3</v>
      </c>
      <c r="V517" s="8">
        <f>IF(Tabela1[[#This Row],[Personal Consumption Expenditures (PCE)]]="",#N/A,((Tabela1[[#This Row],[Personal Consumption Expenditures (PCE)]]*1)/T505)-1)</f>
        <v>3.9297628869677581E-2</v>
      </c>
      <c r="W517" s="7">
        <v>58.786999999999999</v>
      </c>
      <c r="X517" s="8">
        <f>IF(Tabela1[[#This Row],[Core PCE]]="",#N/A,((Tabela1[[#This Row],[Core PCE]]*1)/W516)-1)</f>
        <v>2.6607084989169749E-3</v>
      </c>
      <c r="Y517" s="8">
        <f>IF(Tabela1[[#This Row],[Core PCE]]="",#N/A,((Tabela1[[#This Row],[Core PCE]]*1)/W505)-1)</f>
        <v>3.7246806408356203E-2</v>
      </c>
      <c r="Z517" s="8">
        <f t="shared" si="25"/>
        <v>3.9037766803665441E-2</v>
      </c>
      <c r="AA517" s="8">
        <f t="shared" si="24"/>
        <v>3.2770214833687028E-2</v>
      </c>
      <c r="AB517" s="7">
        <v>3.92</v>
      </c>
      <c r="AC517" s="7"/>
      <c r="AD517" s="8"/>
      <c r="AE517" s="71"/>
      <c r="AF517" s="7">
        <v>3.5</v>
      </c>
      <c r="AG517" s="5"/>
    </row>
    <row r="518" spans="1:33" ht="12.75">
      <c r="A518" s="6">
        <v>32843</v>
      </c>
      <c r="B518" s="7">
        <v>126.3</v>
      </c>
      <c r="C518" s="8">
        <f>IF(Tabela1[[#This Row],[Consumer Price Index (CPI)]]="",#N/A,((Tabela1[[#This Row],[Consumer Price Index (CPI)]]*1)/B517)-1)</f>
        <v>3.1771247021445959E-3</v>
      </c>
      <c r="D518" s="8">
        <f>IF(Tabela1[[#This Row],[Consumer Price Index (CPI)]]="",#N/A,((Tabela1[[#This Row],[Consumer Price Index (CPI)]]*1)/B506)-1)</f>
        <v>4.6396023198011616E-2</v>
      </c>
      <c r="E518" s="25">
        <v>131.6</v>
      </c>
      <c r="F518" s="8">
        <f>IF(Tabela1[[#This Row],[Core Consumer Price Index]]="",#N/A,((Tabela1[[#This Row],[Core Consumer Price Index]]*1)/E517)-1)</f>
        <v>3.8138825324181003E-3</v>
      </c>
      <c r="G518" s="8">
        <f>IF(Tabela1[[#This Row],[Core Consumer Price Index]]="",#N/A,((Tabela1[[#This Row],[Core Consumer Price Index]]*1)/E506)-1)</f>
        <v>4.4444444444444509E-2</v>
      </c>
      <c r="H518" s="8">
        <f t="shared" si="26"/>
        <v>5.2124508151403681E-2</v>
      </c>
      <c r="I518" s="8">
        <f t="shared" si="27"/>
        <v>4.3095003225828599E-2</v>
      </c>
      <c r="J518" s="25">
        <v>134.9</v>
      </c>
      <c r="K518" s="8">
        <f>IF(Tabela1[[#This Row],[Services CPI]]="",#N/A,((Tabela1[[#This Row],[Services CPI]]*1)/J517)-1)</f>
        <v>4.4676098287415034E-3</v>
      </c>
      <c r="L518" s="8">
        <f>IF(Tabela1[[#This Row],[Services CPI]]="",#N/A,((Tabela1[[#This Row],[Services CPI]]*1)/J506)-1)</f>
        <v>5.0623052959501535E-2</v>
      </c>
      <c r="M518" s="7">
        <v>137.6</v>
      </c>
      <c r="N518" s="8">
        <f>IF(Tabela1[[#This Row],[Core-Services CPI]]="",#N/A,((Tabela1[[#This Row],[Core-Services CPI]]*1)/M517)-1)</f>
        <v>4.3795620437956373E-3</v>
      </c>
      <c r="O518" s="8">
        <f>IF(Tabela1[[#This Row],[Core-Services CPI]]="",#N/A,((Tabela1[[#This Row],[Core-Services CPI]]*1)/M506)-1)</f>
        <v>5.1987767584097622E-2</v>
      </c>
      <c r="P518" s="7">
        <v>113.1</v>
      </c>
      <c r="Q518" s="8">
        <f>IF(Tabela1[[#This Row],[Durable Goods CPI]]="",#N/A,((Tabela1[[#This Row],[Durable Goods CPI]]*1)/P517)-1)</f>
        <v>3.549245785270605E-3</v>
      </c>
      <c r="R518" s="8">
        <f>IF(Tabela1[[#This Row],[Durable Goods CPI]]="",#N/A,((Tabela1[[#This Row],[Durable Goods CPI]]*1)/P506)-1)</f>
        <v>1.072386058981234E-2</v>
      </c>
      <c r="S518" s="7">
        <v>4.8173996600000004</v>
      </c>
      <c r="T518" s="7">
        <v>58.113</v>
      </c>
      <c r="U518" s="8">
        <f>IF(Tabela1[[#This Row],[Personal Consumption Expenditures (PCE)]]="",#N/A,((Tabela1[[#This Row],[Personal Consumption Expenditures (PCE)]]*1)/T517)-1)</f>
        <v>2.8993010613511672E-3</v>
      </c>
      <c r="V518" s="8">
        <f>IF(Tabela1[[#This Row],[Personal Consumption Expenditures (PCE)]]="",#N/A,((Tabela1[[#This Row],[Personal Consumption Expenditures (PCE)]]*1)/T506)-1)</f>
        <v>3.9068087541124452E-2</v>
      </c>
      <c r="W518" s="7">
        <v>58.954000000000001</v>
      </c>
      <c r="X518" s="8">
        <f>IF(Tabela1[[#This Row],[Core PCE]]="",#N/A,((Tabela1[[#This Row],[Core PCE]]*1)/W517)-1)</f>
        <v>2.8407641145151707E-3</v>
      </c>
      <c r="Y518" s="8">
        <f>IF(Tabela1[[#This Row],[Core PCE]]="",#N/A,((Tabela1[[#This Row],[Core PCE]]*1)/W506)-1)</f>
        <v>3.6754361283061421E-2</v>
      </c>
      <c r="Z518" s="8">
        <f t="shared" si="25"/>
        <v>3.6521715784529007E-2</v>
      </c>
      <c r="AA518" s="8">
        <f t="shared" si="24"/>
        <v>3.3126063952174878E-2</v>
      </c>
      <c r="AB518" s="7">
        <v>3.94</v>
      </c>
      <c r="AC518" s="7"/>
      <c r="AD518" s="8"/>
      <c r="AE518" s="71"/>
      <c r="AF518" s="7">
        <v>3.5</v>
      </c>
      <c r="AG518" s="5"/>
    </row>
    <row r="519" spans="1:33" ht="12.75">
      <c r="A519" s="6">
        <v>32874</v>
      </c>
      <c r="B519" s="7">
        <v>127.5</v>
      </c>
      <c r="C519" s="8">
        <f>IF(Tabela1[[#This Row],[Consumer Price Index (CPI)]]="",#N/A,((Tabela1[[#This Row],[Consumer Price Index (CPI)]]*1)/B518)-1)</f>
        <v>9.5011876484560887E-3</v>
      </c>
      <c r="D519" s="8">
        <f>IF(Tabela1[[#This Row],[Consumer Price Index (CPI)]]="",#N/A,((Tabela1[[#This Row],[Consumer Price Index (CPI)]]*1)/B507)-1)</f>
        <v>5.1980198019802026E-2</v>
      </c>
      <c r="E519" s="25">
        <v>132.1</v>
      </c>
      <c r="F519" s="8">
        <f>IF(Tabela1[[#This Row],[Core Consumer Price Index]]="",#N/A,((Tabela1[[#This Row],[Core Consumer Price Index]]*1)/E518)-1)</f>
        <v>3.7993920972645423E-3</v>
      </c>
      <c r="G519" s="8">
        <f>IF(Tabela1[[#This Row],[Core Consumer Price Index]]="",#N/A,((Tabela1[[#This Row],[Core Consumer Price Index]]*1)/E507)-1)</f>
        <v>4.4268774703557279E-2</v>
      </c>
      <c r="H519" s="8">
        <f t="shared" si="26"/>
        <v>4.5767034200200563E-2</v>
      </c>
      <c r="I519" s="8">
        <f t="shared" si="27"/>
        <v>4.4482607296134624E-2</v>
      </c>
      <c r="J519" s="25">
        <v>135.4</v>
      </c>
      <c r="K519" s="8">
        <f>IF(Tabela1[[#This Row],[Services CPI]]="",#N/A,((Tabela1[[#This Row],[Services CPI]]*1)/J518)-1)</f>
        <v>3.7064492216456468E-3</v>
      </c>
      <c r="L519" s="8">
        <f>IF(Tabela1[[#This Row],[Services CPI]]="",#N/A,((Tabela1[[#This Row],[Services CPI]]*1)/J507)-1)</f>
        <v>5.042668735453848E-2</v>
      </c>
      <c r="M519" s="7">
        <v>138.19999999999999</v>
      </c>
      <c r="N519" s="8">
        <f>IF(Tabela1[[#This Row],[Core-Services CPI]]="",#N/A,((Tabela1[[#This Row],[Core-Services CPI]]*1)/M518)-1)</f>
        <v>4.3604651162789665E-3</v>
      </c>
      <c r="O519" s="8">
        <f>IF(Tabela1[[#This Row],[Core-Services CPI]]="",#N/A,((Tabela1[[#This Row],[Core-Services CPI]]*1)/M507)-1)</f>
        <v>5.2551408987052461E-2</v>
      </c>
      <c r="P519" s="7">
        <v>113.3</v>
      </c>
      <c r="Q519" s="8">
        <f>IF(Tabela1[[#This Row],[Durable Goods CPI]]="",#N/A,((Tabela1[[#This Row],[Durable Goods CPI]]*1)/P518)-1)</f>
        <v>1.7683465959328348E-3</v>
      </c>
      <c r="R519" s="8">
        <f>IF(Tabela1[[#This Row],[Durable Goods CPI]]="",#N/A,((Tabela1[[#This Row],[Durable Goods CPI]]*1)/P507)-1)</f>
        <v>1.1607142857142927E-2</v>
      </c>
      <c r="S519" s="7">
        <v>4.8112187720000001</v>
      </c>
      <c r="T519" s="7">
        <v>58.552999999999997</v>
      </c>
      <c r="U519" s="8">
        <f>IF(Tabela1[[#This Row],[Personal Consumption Expenditures (PCE)]]="",#N/A,((Tabela1[[#This Row],[Personal Consumption Expenditures (PCE)]]*1)/T518)-1)</f>
        <v>7.5714556123414045E-3</v>
      </c>
      <c r="V519" s="8">
        <f>IF(Tabela1[[#This Row],[Personal Consumption Expenditures (PCE)]]="",#N/A,((Tabela1[[#This Row],[Personal Consumption Expenditures (PCE)]]*1)/T507)-1)</f>
        <v>4.1590322867562035E-2</v>
      </c>
      <c r="W519" s="7">
        <v>59.180999999999997</v>
      </c>
      <c r="X519" s="8">
        <f>IF(Tabela1[[#This Row],[Core PCE]]="",#N/A,((Tabela1[[#This Row],[Core PCE]]*1)/W518)-1)</f>
        <v>3.8504596804287416E-3</v>
      </c>
      <c r="Y519" s="8">
        <f>IF(Tabela1[[#This Row],[Core PCE]]="",#N/A,((Tabela1[[#This Row],[Core PCE]]*1)/W507)-1)</f>
        <v>3.5501819708846583E-2</v>
      </c>
      <c r="Z519" s="8">
        <f t="shared" si="25"/>
        <v>3.7407729175443549E-2</v>
      </c>
      <c r="AA519" s="8">
        <f t="shared" si="24"/>
        <v>3.568790041514136E-2</v>
      </c>
      <c r="AB519" s="7">
        <v>3.85</v>
      </c>
      <c r="AC519" s="7"/>
      <c r="AD519" s="8"/>
      <c r="AE519" s="71"/>
      <c r="AF519" s="7">
        <v>4.0999999999999996</v>
      </c>
      <c r="AG519" s="5"/>
    </row>
    <row r="520" spans="1:33" ht="12.75">
      <c r="A520" s="6">
        <v>32905</v>
      </c>
      <c r="B520" s="7">
        <v>128</v>
      </c>
      <c r="C520" s="8">
        <f>IF(Tabela1[[#This Row],[Consumer Price Index (CPI)]]="",#N/A,((Tabela1[[#This Row],[Consumer Price Index (CPI)]]*1)/B519)-1)</f>
        <v>3.9215686274509665E-3</v>
      </c>
      <c r="D520" s="8">
        <f>IF(Tabela1[[#This Row],[Consumer Price Index (CPI)]]="",#N/A,((Tabela1[[#This Row],[Consumer Price Index (CPI)]]*1)/B508)-1)</f>
        <v>5.2631578947368363E-2</v>
      </c>
      <c r="E520" s="25">
        <v>132.69999999999999</v>
      </c>
      <c r="F520" s="8">
        <f>IF(Tabela1[[#This Row],[Core Consumer Price Index]]="",#N/A,((Tabela1[[#This Row],[Core Consumer Price Index]]*1)/E519)-1)</f>
        <v>4.5420136260407862E-3</v>
      </c>
      <c r="G520" s="8">
        <f>IF(Tabela1[[#This Row],[Core Consumer Price Index]]="",#N/A,((Tabela1[[#This Row],[Core Consumer Price Index]]*1)/E508)-1)</f>
        <v>4.5705279747832783E-2</v>
      </c>
      <c r="H520" s="8">
        <f t="shared" si="26"/>
        <v>4.8621153022893715E-2</v>
      </c>
      <c r="I520" s="8">
        <f t="shared" si="27"/>
        <v>4.8922671699918929E-2</v>
      </c>
      <c r="J520" s="25">
        <v>136</v>
      </c>
      <c r="K520" s="8">
        <f>IF(Tabela1[[#This Row],[Services CPI]]="",#N/A,((Tabela1[[#This Row],[Services CPI]]*1)/J519)-1)</f>
        <v>4.4313146233381229E-3</v>
      </c>
      <c r="L520" s="8">
        <f>IF(Tabela1[[#This Row],[Services CPI]]="",#N/A,((Tabela1[[#This Row],[Services CPI]]*1)/J508)-1)</f>
        <v>5.1004636785162205E-2</v>
      </c>
      <c r="M520" s="7">
        <v>138.69999999999999</v>
      </c>
      <c r="N520" s="8">
        <f>IF(Tabela1[[#This Row],[Core-Services CPI]]="",#N/A,((Tabela1[[#This Row],[Core-Services CPI]]*1)/M519)-1)</f>
        <v>3.6179450072360009E-3</v>
      </c>
      <c r="O520" s="8">
        <f>IF(Tabela1[[#This Row],[Core-Services CPI]]="",#N/A,((Tabela1[[#This Row],[Core-Services CPI]]*1)/M508)-1)</f>
        <v>5.1554207733131019E-2</v>
      </c>
      <c r="P520" s="7">
        <v>113.4</v>
      </c>
      <c r="Q520" s="8">
        <f>IF(Tabela1[[#This Row],[Durable Goods CPI]]="",#N/A,((Tabela1[[#This Row],[Durable Goods CPI]]*1)/P519)-1)</f>
        <v>8.8261253309807053E-4</v>
      </c>
      <c r="R520" s="8">
        <f>IF(Tabela1[[#This Row],[Durable Goods CPI]]="",#N/A,((Tabela1[[#This Row],[Durable Goods CPI]]*1)/P508)-1)</f>
        <v>1.0695187165775444E-2</v>
      </c>
      <c r="S520" s="7">
        <v>4.8427354029999998</v>
      </c>
      <c r="T520" s="7">
        <v>58.811</v>
      </c>
      <c r="U520" s="8">
        <f>IF(Tabela1[[#This Row],[Personal Consumption Expenditures (PCE)]]="",#N/A,((Tabela1[[#This Row],[Personal Consumption Expenditures (PCE)]]*1)/T519)-1)</f>
        <v>4.4062644100217874E-3</v>
      </c>
      <c r="V520" s="8">
        <f>IF(Tabela1[[#This Row],[Personal Consumption Expenditures (PCE)]]="",#N/A,((Tabela1[[#This Row],[Personal Consumption Expenditures (PCE)]]*1)/T508)-1)</f>
        <v>4.271125137406484E-2</v>
      </c>
      <c r="W520" s="7">
        <v>59.468000000000004</v>
      </c>
      <c r="X520" s="8">
        <f>IF(Tabela1[[#This Row],[Core PCE]]="",#N/A,((Tabela1[[#This Row],[Core PCE]]*1)/W519)-1)</f>
        <v>4.8495294097767871E-3</v>
      </c>
      <c r="Y520" s="8">
        <f>IF(Tabela1[[#This Row],[Core PCE]]="",#N/A,((Tabela1[[#This Row],[Core PCE]]*1)/W508)-1)</f>
        <v>3.7890290940189031E-2</v>
      </c>
      <c r="Z520" s="8">
        <f t="shared" si="25"/>
        <v>4.6163012818882798E-2</v>
      </c>
      <c r="AA520" s="8">
        <f t="shared" si="24"/>
        <v>4.260038981127412E-2</v>
      </c>
      <c r="AB520" s="7">
        <v>3.82</v>
      </c>
      <c r="AC520" s="7"/>
      <c r="AD520" s="8"/>
      <c r="AE520" s="71"/>
      <c r="AF520" s="7">
        <v>4.0999999999999996</v>
      </c>
      <c r="AG520" s="5"/>
    </row>
    <row r="521" spans="1:33" ht="12.75">
      <c r="A521" s="6">
        <v>32933</v>
      </c>
      <c r="B521" s="7">
        <v>128.6</v>
      </c>
      <c r="C521" s="8">
        <f>IF(Tabela1[[#This Row],[Consumer Price Index (CPI)]]="",#N/A,((Tabela1[[#This Row],[Consumer Price Index (CPI)]]*1)/B520)-1)</f>
        <v>4.6874999999999556E-3</v>
      </c>
      <c r="D521" s="8">
        <f>IF(Tabela1[[#This Row],[Consumer Price Index (CPI)]]="",#N/A,((Tabela1[[#This Row],[Consumer Price Index (CPI)]]*1)/B509)-1)</f>
        <v>5.237315875613735E-2</v>
      </c>
      <c r="E521" s="25">
        <v>133.5</v>
      </c>
      <c r="F521" s="8">
        <f>IF(Tabela1[[#This Row],[Core Consumer Price Index]]="",#N/A,((Tabela1[[#This Row],[Core Consumer Price Index]]*1)/E520)-1)</f>
        <v>6.0286360211003753E-3</v>
      </c>
      <c r="G521" s="8">
        <f>IF(Tabela1[[#This Row],[Core Consumer Price Index]]="",#N/A,((Tabela1[[#This Row],[Core Consumer Price Index]]*1)/E509)-1)</f>
        <v>4.788069073783352E-2</v>
      </c>
      <c r="H521" s="8">
        <f t="shared" si="26"/>
        <v>5.7480166977622815E-2</v>
      </c>
      <c r="I521" s="8">
        <f t="shared" si="27"/>
        <v>5.4802337564513248E-2</v>
      </c>
      <c r="J521" s="25">
        <v>136.80000000000001</v>
      </c>
      <c r="K521" s="8">
        <f>IF(Tabela1[[#This Row],[Services CPI]]="",#N/A,((Tabela1[[#This Row],[Services CPI]]*1)/J520)-1)</f>
        <v>5.8823529411764497E-3</v>
      </c>
      <c r="L521" s="8">
        <f>IF(Tabela1[[#This Row],[Services CPI]]="",#N/A,((Tabela1[[#This Row],[Services CPI]]*1)/J509)-1)</f>
        <v>5.2307692307692388E-2</v>
      </c>
      <c r="M521" s="7">
        <v>139.69999999999999</v>
      </c>
      <c r="N521" s="8">
        <f>IF(Tabela1[[#This Row],[Core-Services CPI]]="",#N/A,((Tabela1[[#This Row],[Core-Services CPI]]*1)/M520)-1)</f>
        <v>7.2098053352560587E-3</v>
      </c>
      <c r="O521" s="8">
        <f>IF(Tabela1[[#This Row],[Core-Services CPI]]="",#N/A,((Tabela1[[#This Row],[Core-Services CPI]]*1)/M509)-1)</f>
        <v>5.4339622641509377E-2</v>
      </c>
      <c r="P521" s="7">
        <v>113.3</v>
      </c>
      <c r="Q521" s="8">
        <f>IF(Tabela1[[#This Row],[Durable Goods CPI]]="",#N/A,((Tabela1[[#This Row],[Durable Goods CPI]]*1)/P520)-1)</f>
        <v>-8.8183421516763172E-4</v>
      </c>
      <c r="R521" s="8">
        <f>IF(Tabela1[[#This Row],[Durable Goods CPI]]="",#N/A,((Tabela1[[#This Row],[Durable Goods CPI]]*1)/P509)-1)</f>
        <v>1.2511170688114248E-2</v>
      </c>
      <c r="S521" s="7">
        <v>4.9205888599999996</v>
      </c>
      <c r="T521" s="7">
        <v>59.033000000000001</v>
      </c>
      <c r="U521" s="8">
        <f>IF(Tabela1[[#This Row],[Personal Consumption Expenditures (PCE)]]="",#N/A,((Tabela1[[#This Row],[Personal Consumption Expenditures (PCE)]]*1)/T520)-1)</f>
        <v>3.7748040332590271E-3</v>
      </c>
      <c r="V521" s="8">
        <f>IF(Tabela1[[#This Row],[Personal Consumption Expenditures (PCE)]]="",#N/A,((Tabela1[[#This Row],[Personal Consumption Expenditures (PCE)]]*1)/T509)-1)</f>
        <v>4.2764784851268223E-2</v>
      </c>
      <c r="W521" s="7">
        <v>59.753999999999998</v>
      </c>
      <c r="X521" s="8">
        <f>IF(Tabela1[[#This Row],[Core PCE]]="",#N/A,((Tabela1[[#This Row],[Core PCE]]*1)/W520)-1)</f>
        <v>4.8093092083136835E-3</v>
      </c>
      <c r="Y521" s="8">
        <f>IF(Tabela1[[#This Row],[Core PCE]]="",#N/A,((Tabela1[[#This Row],[Core PCE]]*1)/W509)-1)</f>
        <v>3.9778659427855301E-2</v>
      </c>
      <c r="Z521" s="8">
        <f t="shared" si="25"/>
        <v>5.4037193194076849E-2</v>
      </c>
      <c r="AA521" s="8">
        <f t="shared" si="24"/>
        <v>4.5279454489302928E-2</v>
      </c>
      <c r="AB521" s="7">
        <v>3.95</v>
      </c>
      <c r="AC521" s="7"/>
      <c r="AD521" s="8"/>
      <c r="AE521" s="71"/>
      <c r="AF521" s="7">
        <v>3.7</v>
      </c>
      <c r="AG521" s="5"/>
    </row>
    <row r="522" spans="1:33" ht="12.75">
      <c r="A522" s="6">
        <v>32964</v>
      </c>
      <c r="B522" s="7">
        <v>128.9</v>
      </c>
      <c r="C522" s="8">
        <f>IF(Tabela1[[#This Row],[Consumer Price Index (CPI)]]="",#N/A,((Tabela1[[#This Row],[Consumer Price Index (CPI)]]*1)/B521)-1)</f>
        <v>2.332814930015692E-3</v>
      </c>
      <c r="D522" s="8">
        <f>IF(Tabela1[[#This Row],[Consumer Price Index (CPI)]]="",#N/A,((Tabela1[[#This Row],[Consumer Price Index (CPI)]]*1)/B510)-1)</f>
        <v>4.7116165718927849E-2</v>
      </c>
      <c r="E522" s="25">
        <v>134</v>
      </c>
      <c r="F522" s="8">
        <f>IF(Tabela1[[#This Row],[Core Consumer Price Index]]="",#N/A,((Tabela1[[#This Row],[Core Consumer Price Index]]*1)/E521)-1)</f>
        <v>3.7453183520599342E-3</v>
      </c>
      <c r="G522" s="8">
        <f>IF(Tabela1[[#This Row],[Core Consumer Price Index]]="",#N/A,((Tabela1[[#This Row],[Core Consumer Price Index]]*1)/E510)-1)</f>
        <v>4.8513302034428829E-2</v>
      </c>
      <c r="H522" s="8">
        <f t="shared" si="26"/>
        <v>5.7263871996804383E-2</v>
      </c>
      <c r="I522" s="8">
        <f t="shared" si="27"/>
        <v>5.1515453098502473E-2</v>
      </c>
      <c r="J522" s="25">
        <v>137.4</v>
      </c>
      <c r="K522" s="8">
        <f>IF(Tabela1[[#This Row],[Services CPI]]="",#N/A,((Tabela1[[#This Row],[Services CPI]]*1)/J521)-1)</f>
        <v>4.3859649122806044E-3</v>
      </c>
      <c r="L522" s="8">
        <f>IF(Tabela1[[#This Row],[Services CPI]]="",#N/A,((Tabela1[[#This Row],[Services CPI]]*1)/J510)-1)</f>
        <v>5.2873563218390762E-2</v>
      </c>
      <c r="M522" s="7">
        <v>140.4</v>
      </c>
      <c r="N522" s="8">
        <f>IF(Tabela1[[#This Row],[Core-Services CPI]]="",#N/A,((Tabela1[[#This Row],[Core-Services CPI]]*1)/M521)-1)</f>
        <v>5.0107372942020945E-3</v>
      </c>
      <c r="O522" s="8">
        <f>IF(Tabela1[[#This Row],[Core-Services CPI]]="",#N/A,((Tabela1[[#This Row],[Core-Services CPI]]*1)/M510)-1)</f>
        <v>5.6433408577878152E-2</v>
      </c>
      <c r="P522" s="7">
        <v>113.2</v>
      </c>
      <c r="Q522" s="8">
        <f>IF(Tabela1[[#This Row],[Durable Goods CPI]]="",#N/A,((Tabela1[[#This Row],[Durable Goods CPI]]*1)/P521)-1)</f>
        <v>-8.8261253309795951E-4</v>
      </c>
      <c r="R522" s="8">
        <f>IF(Tabela1[[#This Row],[Durable Goods CPI]]="",#N/A,((Tabela1[[#This Row],[Durable Goods CPI]]*1)/P510)-1)</f>
        <v>1.1617515638963294E-2</v>
      </c>
      <c r="S522" s="7">
        <v>4.9355264639999996</v>
      </c>
      <c r="T522" s="7">
        <v>59.156999999999996</v>
      </c>
      <c r="U522" s="8">
        <f>IF(Tabela1[[#This Row],[Personal Consumption Expenditures (PCE)]]="",#N/A,((Tabela1[[#This Row],[Personal Consumption Expenditures (PCE)]]*1)/T521)-1)</f>
        <v>2.1005200481085673E-3</v>
      </c>
      <c r="V522" s="8">
        <f>IF(Tabela1[[#This Row],[Personal Consumption Expenditures (PCE)]]="",#N/A,((Tabela1[[#This Row],[Personal Consumption Expenditures (PCE)]]*1)/T510)-1)</f>
        <v>3.8042429240730646E-2</v>
      </c>
      <c r="W522" s="7">
        <v>59.932000000000002</v>
      </c>
      <c r="X522" s="8">
        <f>IF(Tabela1[[#This Row],[Core PCE]]="",#N/A,((Tabela1[[#This Row],[Core PCE]]*1)/W521)-1)</f>
        <v>2.9788800749741551E-3</v>
      </c>
      <c r="Y522" s="8">
        <f>IF(Tabela1[[#This Row],[Core PCE]]="",#N/A,((Tabela1[[#This Row],[Core PCE]]*1)/W510)-1)</f>
        <v>3.9385373129151358E-2</v>
      </c>
      <c r="Z522" s="8">
        <f t="shared" si="25"/>
        <v>5.0550874772258503E-2</v>
      </c>
      <c r="AA522" s="8">
        <f t="shared" si="24"/>
        <v>4.3979301973851026E-2</v>
      </c>
      <c r="AB522" s="7">
        <v>3.9</v>
      </c>
      <c r="AC522" s="7"/>
      <c r="AD522" s="8"/>
      <c r="AE522" s="71"/>
      <c r="AF522" s="7">
        <v>3.6</v>
      </c>
      <c r="AG522" s="5"/>
    </row>
    <row r="523" spans="1:33" ht="12.75">
      <c r="A523" s="6">
        <v>32994</v>
      </c>
      <c r="B523" s="7">
        <v>129.1</v>
      </c>
      <c r="C523" s="8">
        <f>IF(Tabela1[[#This Row],[Consumer Price Index (CPI)]]="",#N/A,((Tabela1[[#This Row],[Consumer Price Index (CPI)]]*1)/B522)-1)</f>
        <v>1.5515903801395226E-3</v>
      </c>
      <c r="D523" s="8">
        <f>IF(Tabela1[[#This Row],[Consumer Price Index (CPI)]]="",#N/A,((Tabela1[[#This Row],[Consumer Price Index (CPI)]]*1)/B511)-1)</f>
        <v>4.3654001616814764E-2</v>
      </c>
      <c r="E523" s="25">
        <v>134.4</v>
      </c>
      <c r="F523" s="8">
        <f>IF(Tabela1[[#This Row],[Core Consumer Price Index]]="",#N/A,((Tabela1[[#This Row],[Core Consumer Price Index]]*1)/E522)-1)</f>
        <v>2.9850746268658135E-3</v>
      </c>
      <c r="G523" s="8">
        <f>IF(Tabela1[[#This Row],[Core Consumer Price Index]]="",#N/A,((Tabela1[[#This Row],[Core Consumer Price Index]]*1)/E511)-1)</f>
        <v>4.7544816835541681E-2</v>
      </c>
      <c r="H523" s="8">
        <f t="shared" si="26"/>
        <v>5.1036116000104492E-2</v>
      </c>
      <c r="I523" s="8">
        <f t="shared" si="27"/>
        <v>4.9828634511499104E-2</v>
      </c>
      <c r="J523" s="25">
        <v>137.9</v>
      </c>
      <c r="K523" s="8">
        <f>IF(Tabela1[[#This Row],[Services CPI]]="",#N/A,((Tabela1[[#This Row],[Services CPI]]*1)/J522)-1)</f>
        <v>3.6390101892285198E-3</v>
      </c>
      <c r="L523" s="8">
        <f>IF(Tabela1[[#This Row],[Services CPI]]="",#N/A,((Tabela1[[#This Row],[Services CPI]]*1)/J511)-1)</f>
        <v>5.1868802440884876E-2</v>
      </c>
      <c r="M523" s="7">
        <v>141</v>
      </c>
      <c r="N523" s="8">
        <f>IF(Tabela1[[#This Row],[Core-Services CPI]]="",#N/A,((Tabela1[[#This Row],[Core-Services CPI]]*1)/M522)-1)</f>
        <v>4.2735042735042583E-3</v>
      </c>
      <c r="O523" s="8">
        <f>IF(Tabela1[[#This Row],[Core-Services CPI]]="",#N/A,((Tabela1[[#This Row],[Core-Services CPI]]*1)/M511)-1)</f>
        <v>5.5389221556886303E-2</v>
      </c>
      <c r="P523" s="7">
        <v>113.2</v>
      </c>
      <c r="Q523" s="8">
        <f>IF(Tabela1[[#This Row],[Durable Goods CPI]]="",#N/A,((Tabela1[[#This Row],[Durable Goods CPI]]*1)/P522)-1)</f>
        <v>0</v>
      </c>
      <c r="R523" s="8">
        <f>IF(Tabela1[[#This Row],[Durable Goods CPI]]="",#N/A,((Tabela1[[#This Row],[Durable Goods CPI]]*1)/P511)-1)</f>
        <v>1.1617515638963294E-2</v>
      </c>
      <c r="S523" s="7">
        <v>5.2087008810000004</v>
      </c>
      <c r="T523" s="7">
        <v>59.29</v>
      </c>
      <c r="U523" s="8">
        <f>IF(Tabela1[[#This Row],[Personal Consumption Expenditures (PCE)]]="",#N/A,((Tabela1[[#This Row],[Personal Consumption Expenditures (PCE)]]*1)/T522)-1)</f>
        <v>2.2482546444209106E-3</v>
      </c>
      <c r="V523" s="8">
        <f>IF(Tabela1[[#This Row],[Personal Consumption Expenditures (PCE)]]="",#N/A,((Tabela1[[#This Row],[Personal Consumption Expenditures (PCE)]]*1)/T511)-1)</f>
        <v>3.6592828295190172E-2</v>
      </c>
      <c r="W523" s="7">
        <v>60.115000000000002</v>
      </c>
      <c r="X523" s="8">
        <f>IF(Tabela1[[#This Row],[Core PCE]]="",#N/A,((Tabela1[[#This Row],[Core PCE]]*1)/W522)-1)</f>
        <v>3.0534605886671784E-3</v>
      </c>
      <c r="Y523" s="8">
        <f>IF(Tabela1[[#This Row],[Core PCE]]="",#N/A,((Tabela1[[#This Row],[Core PCE]]*1)/W511)-1)</f>
        <v>3.9458440682655249E-2</v>
      </c>
      <c r="Z523" s="8">
        <f t="shared" si="25"/>
        <v>4.3366599487820068E-2</v>
      </c>
      <c r="AA523" s="8">
        <f t="shared" si="24"/>
        <v>4.4764806153351433E-2</v>
      </c>
      <c r="AB523" s="7">
        <v>3.8</v>
      </c>
      <c r="AC523" s="7"/>
      <c r="AD523" s="8"/>
      <c r="AE523" s="71"/>
      <c r="AF523" s="7">
        <v>3.4</v>
      </c>
      <c r="AG523" s="5"/>
    </row>
    <row r="524" spans="1:33" ht="12.75">
      <c r="A524" s="6">
        <v>33025</v>
      </c>
      <c r="B524" s="7">
        <v>129.9</v>
      </c>
      <c r="C524" s="8">
        <f>IF(Tabela1[[#This Row],[Consumer Price Index (CPI)]]="",#N/A,((Tabela1[[#This Row],[Consumer Price Index (CPI)]]*1)/B523)-1)</f>
        <v>6.1967467079784289E-3</v>
      </c>
      <c r="D524" s="8">
        <f>IF(Tabela1[[#This Row],[Consumer Price Index (CPI)]]="",#N/A,((Tabela1[[#This Row],[Consumer Price Index (CPI)]]*1)/B512)-1)</f>
        <v>4.6736502820306391E-2</v>
      </c>
      <c r="E524" s="25">
        <v>135.1</v>
      </c>
      <c r="F524" s="8">
        <f>IF(Tabela1[[#This Row],[Core Consumer Price Index]]="",#N/A,((Tabela1[[#This Row],[Core Consumer Price Index]]*1)/E523)-1)</f>
        <v>5.2083333333332593E-3</v>
      </c>
      <c r="G524" s="8">
        <f>IF(Tabela1[[#This Row],[Core Consumer Price Index]]="",#N/A,((Tabela1[[#This Row],[Core Consumer Price Index]]*1)/E512)-1)</f>
        <v>4.8913043478260754E-2</v>
      </c>
      <c r="H524" s="8">
        <f t="shared" si="26"/>
        <v>4.7754905249036028E-2</v>
      </c>
      <c r="I524" s="8">
        <f t="shared" si="27"/>
        <v>5.2617536113329422E-2</v>
      </c>
      <c r="J524" s="25">
        <v>138.80000000000001</v>
      </c>
      <c r="K524" s="8">
        <f>IF(Tabela1[[#This Row],[Services CPI]]="",#N/A,((Tabela1[[#This Row],[Services CPI]]*1)/J523)-1)</f>
        <v>6.526468455402501E-3</v>
      </c>
      <c r="L524" s="8">
        <f>IF(Tabela1[[#This Row],[Services CPI]]="",#N/A,((Tabela1[[#This Row],[Services CPI]]*1)/J512)-1)</f>
        <v>5.4711246200608077E-2</v>
      </c>
      <c r="M524" s="7">
        <v>141.9</v>
      </c>
      <c r="N524" s="8">
        <f>IF(Tabela1[[#This Row],[Core-Services CPI]]="",#N/A,((Tabela1[[#This Row],[Core-Services CPI]]*1)/M523)-1)</f>
        <v>6.382978723404209E-3</v>
      </c>
      <c r="O524" s="8">
        <f>IF(Tabela1[[#This Row],[Core-Services CPI]]="",#N/A,((Tabela1[[#This Row],[Core-Services CPI]]*1)/M512)-1)</f>
        <v>5.7377049180328044E-2</v>
      </c>
      <c r="P524" s="7">
        <v>113</v>
      </c>
      <c r="Q524" s="8">
        <f>IF(Tabela1[[#This Row],[Durable Goods CPI]]="",#N/A,((Tabela1[[#This Row],[Durable Goods CPI]]*1)/P523)-1)</f>
        <v>-1.7667844522968323E-3</v>
      </c>
      <c r="R524" s="8">
        <f>IF(Tabela1[[#This Row],[Durable Goods CPI]]="",#N/A,((Tabela1[[#This Row],[Durable Goods CPI]]*1)/P512)-1)</f>
        <v>8.0285459411240101E-3</v>
      </c>
      <c r="S524" s="7">
        <v>5.2941335580000004</v>
      </c>
      <c r="T524" s="7">
        <v>59.552</v>
      </c>
      <c r="U524" s="8">
        <f>IF(Tabela1[[#This Row],[Personal Consumption Expenditures (PCE)]]="",#N/A,((Tabela1[[#This Row],[Personal Consumption Expenditures (PCE)]]*1)/T523)-1)</f>
        <v>4.4189576657109875E-3</v>
      </c>
      <c r="V524" s="8">
        <f>IF(Tabela1[[#This Row],[Personal Consumption Expenditures (PCE)]]="",#N/A,((Tabela1[[#This Row],[Personal Consumption Expenditures (PCE)]]*1)/T512)-1)</f>
        <v>3.8903038972820214E-2</v>
      </c>
      <c r="W524" s="7">
        <v>60.348999999999997</v>
      </c>
      <c r="X524" s="8">
        <f>IF(Tabela1[[#This Row],[Core PCE]]="",#N/A,((Tabela1[[#This Row],[Core PCE]]*1)/W523)-1)</f>
        <v>3.8925392996755903E-3</v>
      </c>
      <c r="Y524" s="8">
        <f>IF(Tabela1[[#This Row],[Core PCE]]="",#N/A,((Tabela1[[#This Row],[Core PCE]]*1)/W512)-1)</f>
        <v>4.0733267801403628E-2</v>
      </c>
      <c r="Z524" s="8">
        <f t="shared" si="25"/>
        <v>3.9699519853267695E-2</v>
      </c>
      <c r="AA524" s="8">
        <f t="shared" si="24"/>
        <v>4.6868356523672272E-2</v>
      </c>
      <c r="AB524" s="7">
        <v>3.94</v>
      </c>
      <c r="AC524" s="7"/>
      <c r="AD524" s="8"/>
      <c r="AE524" s="71"/>
      <c r="AF524" s="7">
        <v>3.8</v>
      </c>
      <c r="AG524" s="5"/>
    </row>
    <row r="525" spans="1:33" ht="12.75">
      <c r="A525" s="6">
        <v>33055</v>
      </c>
      <c r="B525" s="7">
        <v>130.5</v>
      </c>
      <c r="C525" s="8">
        <f>IF(Tabela1[[#This Row],[Consumer Price Index (CPI)]]="",#N/A,((Tabela1[[#This Row],[Consumer Price Index (CPI)]]*1)/B524)-1)</f>
        <v>4.6189376443417363E-3</v>
      </c>
      <c r="D525" s="8">
        <f>IF(Tabela1[[#This Row],[Consumer Price Index (CPI)]]="",#N/A,((Tabela1[[#This Row],[Consumer Price Index (CPI)]]*1)/B513)-1)</f>
        <v>4.8192771084337283E-2</v>
      </c>
      <c r="E525" s="25">
        <v>135.80000000000001</v>
      </c>
      <c r="F525" s="8">
        <f>IF(Tabela1[[#This Row],[Core Consumer Price Index]]="",#N/A,((Tabela1[[#This Row],[Core Consumer Price Index]]*1)/E524)-1)</f>
        <v>5.1813471502590858E-3</v>
      </c>
      <c r="G525" s="8">
        <f>IF(Tabela1[[#This Row],[Core Consumer Price Index]]="",#N/A,((Tabela1[[#This Row],[Core Consumer Price Index]]*1)/E513)-1)</f>
        <v>5.1083591331269496E-2</v>
      </c>
      <c r="H525" s="8">
        <f t="shared" si="26"/>
        <v>5.3499020441832634E-2</v>
      </c>
      <c r="I525" s="8">
        <f t="shared" si="27"/>
        <v>5.5381446219318509E-2</v>
      </c>
      <c r="J525" s="25">
        <v>139.6</v>
      </c>
      <c r="K525" s="8">
        <f>IF(Tabela1[[#This Row],[Services CPI]]="",#N/A,((Tabela1[[#This Row],[Services CPI]]*1)/J524)-1)</f>
        <v>5.7636887608067955E-3</v>
      </c>
      <c r="L525" s="8">
        <f>IF(Tabela1[[#This Row],[Services CPI]]="",#N/A,((Tabela1[[#This Row],[Services CPI]]*1)/J513)-1)</f>
        <v>5.5177626606197849E-2</v>
      </c>
      <c r="M525" s="7">
        <v>142.80000000000001</v>
      </c>
      <c r="N525" s="8">
        <f>IF(Tabela1[[#This Row],[Core-Services CPI]]="",#N/A,((Tabela1[[#This Row],[Core-Services CPI]]*1)/M524)-1)</f>
        <v>6.3424947145878097E-3</v>
      </c>
      <c r="O525" s="8">
        <f>IF(Tabela1[[#This Row],[Core-Services CPI]]="",#N/A,((Tabela1[[#This Row],[Core-Services CPI]]*1)/M513)-1)</f>
        <v>5.9347181008902128E-2</v>
      </c>
      <c r="P525" s="7">
        <v>113.2</v>
      </c>
      <c r="Q525" s="8">
        <f>IF(Tabela1[[#This Row],[Durable Goods CPI]]="",#N/A,((Tabela1[[#This Row],[Durable Goods CPI]]*1)/P524)-1)</f>
        <v>1.7699115044247371E-3</v>
      </c>
      <c r="R525" s="8">
        <f>IF(Tabela1[[#This Row],[Durable Goods CPI]]="",#N/A,((Tabela1[[#This Row],[Durable Goods CPI]]*1)/P513)-1)</f>
        <v>1.0714285714285676E-2</v>
      </c>
      <c r="S525" s="7">
        <v>5.1837540669999997</v>
      </c>
      <c r="T525" s="7">
        <v>59.698999999999998</v>
      </c>
      <c r="U525" s="8">
        <f>IF(Tabela1[[#This Row],[Personal Consumption Expenditures (PCE)]]="",#N/A,((Tabela1[[#This Row],[Personal Consumption Expenditures (PCE)]]*1)/T524)-1)</f>
        <v>2.4684309511016078E-3</v>
      </c>
      <c r="V525" s="8">
        <f>IF(Tabela1[[#This Row],[Personal Consumption Expenditures (PCE)]]="",#N/A,((Tabela1[[#This Row],[Personal Consumption Expenditures (PCE)]]*1)/T513)-1)</f>
        <v>3.8984319253728694E-2</v>
      </c>
      <c r="W525" s="7">
        <v>60.500999999999998</v>
      </c>
      <c r="X525" s="8">
        <f>IF(Tabela1[[#This Row],[Core PCE]]="",#N/A,((Tabela1[[#This Row],[Core PCE]]*1)/W524)-1)</f>
        <v>2.5186829939187749E-3</v>
      </c>
      <c r="Y525" s="8">
        <f>IF(Tabela1[[#This Row],[Core PCE]]="",#N/A,((Tabela1[[#This Row],[Core PCE]]*1)/W513)-1)</f>
        <v>4.0680473372781023E-2</v>
      </c>
      <c r="Z525" s="8">
        <f t="shared" si="25"/>
        <v>3.7858731529046175E-2</v>
      </c>
      <c r="AA525" s="8">
        <f t="shared" si="24"/>
        <v>4.4204803150652339E-2</v>
      </c>
      <c r="AB525" s="7">
        <v>3.96</v>
      </c>
      <c r="AC525" s="7"/>
      <c r="AD525" s="8"/>
      <c r="AE525" s="71"/>
      <c r="AF525" s="7">
        <v>3.4</v>
      </c>
      <c r="AG525" s="5"/>
    </row>
    <row r="526" spans="1:33" ht="12.75">
      <c r="A526" s="6">
        <v>33086</v>
      </c>
      <c r="B526" s="7">
        <v>131.6</v>
      </c>
      <c r="C526" s="8">
        <f>IF(Tabela1[[#This Row],[Consumer Price Index (CPI)]]="",#N/A,((Tabela1[[#This Row],[Consumer Price Index (CPI)]]*1)/B525)-1)</f>
        <v>8.4291187739462536E-3</v>
      </c>
      <c r="D526" s="8">
        <f>IF(Tabela1[[#This Row],[Consumer Price Index (CPI)]]="",#N/A,((Tabela1[[#This Row],[Consumer Price Index (CPI)]]*1)/B514)-1)</f>
        <v>5.7028112449799107E-2</v>
      </c>
      <c r="E526" s="25">
        <v>136.6</v>
      </c>
      <c r="F526" s="8">
        <f>IF(Tabela1[[#This Row],[Core Consumer Price Index]]="",#N/A,((Tabela1[[#This Row],[Core Consumer Price Index]]*1)/E525)-1)</f>
        <v>5.8910162002945299E-3</v>
      </c>
      <c r="G526" s="8">
        <f>IF(Tabela1[[#This Row],[Core Consumer Price Index]]="",#N/A,((Tabela1[[#This Row],[Core Consumer Price Index]]*1)/E514)-1)</f>
        <v>5.4826254826254806E-2</v>
      </c>
      <c r="H526" s="8">
        <f t="shared" si="26"/>
        <v>6.51227867355475E-2</v>
      </c>
      <c r="I526" s="8">
        <f t="shared" si="27"/>
        <v>5.8079451367825996E-2</v>
      </c>
      <c r="J526" s="25">
        <v>140.6</v>
      </c>
      <c r="K526" s="8">
        <f>IF(Tabela1[[#This Row],[Services CPI]]="",#N/A,((Tabela1[[#This Row],[Services CPI]]*1)/J525)-1)</f>
        <v>7.1633237822350537E-3</v>
      </c>
      <c r="L526" s="8">
        <f>IF(Tabela1[[#This Row],[Services CPI]]="",#N/A,((Tabela1[[#This Row],[Services CPI]]*1)/J514)-1)</f>
        <v>5.8734939759035987E-2</v>
      </c>
      <c r="M526" s="7">
        <v>143.9</v>
      </c>
      <c r="N526" s="8">
        <f>IF(Tabela1[[#This Row],[Core-Services CPI]]="",#N/A,((Tabela1[[#This Row],[Core-Services CPI]]*1)/M525)-1)</f>
        <v>7.7030812324929698E-3</v>
      </c>
      <c r="O526" s="8">
        <f>IF(Tabela1[[#This Row],[Core-Services CPI]]="",#N/A,((Tabela1[[#This Row],[Core-Services CPI]]*1)/M514)-1)</f>
        <v>6.2776957163958702E-2</v>
      </c>
      <c r="P526" s="7">
        <v>113.4</v>
      </c>
      <c r="Q526" s="8">
        <f>IF(Tabela1[[#This Row],[Durable Goods CPI]]="",#N/A,((Tabela1[[#This Row],[Durable Goods CPI]]*1)/P525)-1)</f>
        <v>1.7667844522968323E-3</v>
      </c>
      <c r="R526" s="8">
        <f>IF(Tabela1[[#This Row],[Durable Goods CPI]]="",#N/A,((Tabela1[[#This Row],[Durable Goods CPI]]*1)/P514)-1)</f>
        <v>1.3404825737265424E-2</v>
      </c>
      <c r="S526" s="7">
        <v>5.3884568829999999</v>
      </c>
      <c r="T526" s="7">
        <v>60.095999999999997</v>
      </c>
      <c r="U526" s="8">
        <f>IF(Tabela1[[#This Row],[Personal Consumption Expenditures (PCE)]]="",#N/A,((Tabela1[[#This Row],[Personal Consumption Expenditures (PCE)]]*1)/T525)-1)</f>
        <v>6.6500276386538548E-3</v>
      </c>
      <c r="V526" s="8">
        <f>IF(Tabela1[[#This Row],[Personal Consumption Expenditures (PCE)]]="",#N/A,((Tabela1[[#This Row],[Personal Consumption Expenditures (PCE)]]*1)/T514)-1)</f>
        <v>4.5766192183203991E-2</v>
      </c>
      <c r="W526" s="7">
        <v>60.753</v>
      </c>
      <c r="X526" s="8">
        <f>IF(Tabela1[[#This Row],[Core PCE]]="",#N/A,((Tabela1[[#This Row],[Core PCE]]*1)/W525)-1)</f>
        <v>4.1652204095801171E-3</v>
      </c>
      <c r="Y526" s="8">
        <f>IF(Tabela1[[#This Row],[Core PCE]]="",#N/A,((Tabela1[[#This Row],[Core PCE]]*1)/W514)-1)</f>
        <v>4.3561159111599634E-2</v>
      </c>
      <c r="Z526" s="8">
        <f t="shared" si="25"/>
        <v>4.2305770812697929E-2</v>
      </c>
      <c r="AA526" s="8">
        <f t="shared" si="24"/>
        <v>4.2836185150258999E-2</v>
      </c>
      <c r="AB526" s="7">
        <v>4.1399999999999997</v>
      </c>
      <c r="AC526" s="7"/>
      <c r="AD526" s="8"/>
      <c r="AE526" s="71"/>
      <c r="AF526" s="7">
        <v>4.5999999999999996</v>
      </c>
      <c r="AG526" s="5"/>
    </row>
    <row r="527" spans="1:33" ht="12.75">
      <c r="A527" s="6">
        <v>33117</v>
      </c>
      <c r="B527" s="7">
        <v>132.5</v>
      </c>
      <c r="C527" s="8">
        <f>IF(Tabela1[[#This Row],[Consumer Price Index (CPI)]]="",#N/A,((Tabela1[[#This Row],[Consumer Price Index (CPI)]]*1)/B526)-1)</f>
        <v>6.8389057750759541E-3</v>
      </c>
      <c r="D527" s="8">
        <f>IF(Tabela1[[#This Row],[Consumer Price Index (CPI)]]="",#N/A,((Tabela1[[#This Row],[Consumer Price Index (CPI)]]*1)/B515)-1)</f>
        <v>6.1698717948718063E-2</v>
      </c>
      <c r="E527" s="25">
        <v>137.1</v>
      </c>
      <c r="F527" s="8">
        <f>IF(Tabela1[[#This Row],[Core Consumer Price Index]]="",#N/A,((Tabela1[[#This Row],[Core Consumer Price Index]]*1)/E526)-1)</f>
        <v>3.6603221083455484E-3</v>
      </c>
      <c r="G527" s="8">
        <f>IF(Tabela1[[#This Row],[Core Consumer Price Index]]="",#N/A,((Tabela1[[#This Row],[Core Consumer Price Index]]*1)/E515)-1)</f>
        <v>5.5427251732101501E-2</v>
      </c>
      <c r="H527" s="8">
        <f t="shared" si="26"/>
        <v>5.8930741835596656E-2</v>
      </c>
      <c r="I527" s="8">
        <f t="shared" si="27"/>
        <v>5.3342823542316342E-2</v>
      </c>
      <c r="J527" s="25">
        <v>141.1</v>
      </c>
      <c r="K527" s="8">
        <f>IF(Tabela1[[#This Row],[Services CPI]]="",#N/A,((Tabela1[[#This Row],[Services CPI]]*1)/J526)-1)</f>
        <v>3.5561877667140696E-3</v>
      </c>
      <c r="L527" s="8">
        <f>IF(Tabela1[[#This Row],[Services CPI]]="",#N/A,((Tabela1[[#This Row],[Services CPI]]*1)/J515)-1)</f>
        <v>6.0105184072126283E-2</v>
      </c>
      <c r="M527" s="7">
        <v>144.4</v>
      </c>
      <c r="N527" s="8">
        <f>IF(Tabela1[[#This Row],[Core-Services CPI]]="",#N/A,((Tabela1[[#This Row],[Core-Services CPI]]*1)/M526)-1)</f>
        <v>3.4746351633079264E-3</v>
      </c>
      <c r="O527" s="8">
        <f>IF(Tabela1[[#This Row],[Core-Services CPI]]="",#N/A,((Tabela1[[#This Row],[Core-Services CPI]]*1)/M515)-1)</f>
        <v>6.4112011790715018E-2</v>
      </c>
      <c r="P527" s="7">
        <v>113.4</v>
      </c>
      <c r="Q527" s="8">
        <f>IF(Tabela1[[#This Row],[Durable Goods CPI]]="",#N/A,((Tabela1[[#This Row],[Durable Goods CPI]]*1)/P526)-1)</f>
        <v>0</v>
      </c>
      <c r="R527" s="8">
        <f>IF(Tabela1[[#This Row],[Durable Goods CPI]]="",#N/A,((Tabela1[[#This Row],[Durable Goods CPI]]*1)/P515)-1)</f>
        <v>1.3404825737265424E-2</v>
      </c>
      <c r="S527" s="7">
        <v>5.5350718839999997</v>
      </c>
      <c r="T527" s="7">
        <v>60.465000000000003</v>
      </c>
      <c r="U527" s="8">
        <f>IF(Tabela1[[#This Row],[Personal Consumption Expenditures (PCE)]]="",#N/A,((Tabela1[[#This Row],[Personal Consumption Expenditures (PCE)]]*1)/T526)-1)</f>
        <v>6.1401757188499495E-3</v>
      </c>
      <c r="V527" s="8">
        <f>IF(Tabela1[[#This Row],[Personal Consumption Expenditures (PCE)]]="",#N/A,((Tabela1[[#This Row],[Personal Consumption Expenditures (PCE)]]*1)/T515)-1)</f>
        <v>4.9848942598187396E-2</v>
      </c>
      <c r="W527" s="7">
        <v>60.965000000000003</v>
      </c>
      <c r="X527" s="8">
        <f>IF(Tabela1[[#This Row],[Core PCE]]="",#N/A,((Tabela1[[#This Row],[Core PCE]]*1)/W526)-1)</f>
        <v>3.4895396112126775E-3</v>
      </c>
      <c r="Y527" s="8">
        <f>IF(Tabela1[[#This Row],[Core PCE]]="",#N/A,((Tabela1[[#This Row],[Core PCE]]*1)/W515)-1)</f>
        <v>4.3581711429500736E-2</v>
      </c>
      <c r="Z527" s="8">
        <f t="shared" si="25"/>
        <v>4.0693772058846278E-2</v>
      </c>
      <c r="AA527" s="8">
        <f t="shared" si="24"/>
        <v>4.0196645956056987E-2</v>
      </c>
      <c r="AB527" s="7">
        <v>4.13</v>
      </c>
      <c r="AC527" s="7"/>
      <c r="AD527" s="8"/>
      <c r="AE527" s="71"/>
      <c r="AF527" s="7">
        <v>4.7</v>
      </c>
      <c r="AG527" s="5"/>
    </row>
    <row r="528" spans="1:33" ht="12.75">
      <c r="A528" s="6">
        <v>33147</v>
      </c>
      <c r="B528" s="7">
        <v>133.4</v>
      </c>
      <c r="C528" s="8">
        <f>IF(Tabela1[[#This Row],[Consumer Price Index (CPI)]]="",#N/A,((Tabela1[[#This Row],[Consumer Price Index (CPI)]]*1)/B527)-1)</f>
        <v>6.792452830188811E-3</v>
      </c>
      <c r="D528" s="8">
        <f>IF(Tabela1[[#This Row],[Consumer Price Index (CPI)]]="",#N/A,((Tabela1[[#This Row],[Consumer Price Index (CPI)]]*1)/B516)-1)</f>
        <v>6.3795853269537517E-2</v>
      </c>
      <c r="E528" s="25">
        <v>137.6</v>
      </c>
      <c r="F528" s="8">
        <f>IF(Tabela1[[#This Row],[Core Consumer Price Index]]="",#N/A,((Tabela1[[#This Row],[Core Consumer Price Index]]*1)/E527)-1)</f>
        <v>3.6469730123998012E-3</v>
      </c>
      <c r="G528" s="8">
        <f>IF(Tabela1[[#This Row],[Core Consumer Price Index]]="",#N/A,((Tabela1[[#This Row],[Core Consumer Price Index]]*1)/E516)-1)</f>
        <v>5.3598774885145417E-2</v>
      </c>
      <c r="H528" s="8">
        <f t="shared" si="26"/>
        <v>5.2793245284159518E-2</v>
      </c>
      <c r="I528" s="8">
        <f t="shared" si="27"/>
        <v>5.3146132862996076E-2</v>
      </c>
      <c r="J528" s="25">
        <v>141.6</v>
      </c>
      <c r="K528" s="8">
        <f>IF(Tabela1[[#This Row],[Services CPI]]="",#N/A,((Tabela1[[#This Row],[Services CPI]]*1)/J527)-1)</f>
        <v>3.5435861091424048E-3</v>
      </c>
      <c r="L528" s="8">
        <f>IF(Tabela1[[#This Row],[Services CPI]]="",#N/A,((Tabela1[[#This Row],[Services CPI]]*1)/J516)-1)</f>
        <v>5.9087509349289524E-2</v>
      </c>
      <c r="M528" s="7">
        <v>145</v>
      </c>
      <c r="N528" s="8">
        <f>IF(Tabela1[[#This Row],[Core-Services CPI]]="",#N/A,((Tabela1[[#This Row],[Core-Services CPI]]*1)/M527)-1)</f>
        <v>4.1551246537396835E-3</v>
      </c>
      <c r="O528" s="8">
        <f>IF(Tabela1[[#This Row],[Core-Services CPI]]="",#N/A,((Tabela1[[#This Row],[Core-Services CPI]]*1)/M516)-1)</f>
        <v>6.3049853372433962E-2</v>
      </c>
      <c r="P528" s="7">
        <v>113.8</v>
      </c>
      <c r="Q528" s="8">
        <f>IF(Tabela1[[#This Row],[Durable Goods CPI]]="",#N/A,((Tabela1[[#This Row],[Durable Goods CPI]]*1)/P527)-1)</f>
        <v>3.5273368606700828E-3</v>
      </c>
      <c r="R528" s="8">
        <f>IF(Tabela1[[#This Row],[Durable Goods CPI]]="",#N/A,((Tabela1[[#This Row],[Durable Goods CPI]]*1)/P516)-1)</f>
        <v>1.3357079252003468E-2</v>
      </c>
      <c r="S528" s="7">
        <v>5.8559035579999996</v>
      </c>
      <c r="T528" s="7">
        <v>60.811</v>
      </c>
      <c r="U528" s="8">
        <f>IF(Tabela1[[#This Row],[Personal Consumption Expenditures (PCE)]]="",#N/A,((Tabela1[[#This Row],[Personal Consumption Expenditures (PCE)]]*1)/T527)-1)</f>
        <v>5.7223186967667594E-3</v>
      </c>
      <c r="V528" s="8">
        <f>IF(Tabela1[[#This Row],[Personal Consumption Expenditures (PCE)]]="",#N/A,((Tabela1[[#This Row],[Personal Consumption Expenditures (PCE)]]*1)/T516)-1)</f>
        <v>5.1747695394247506E-2</v>
      </c>
      <c r="W528" s="7">
        <v>61.171999999999997</v>
      </c>
      <c r="X528" s="8">
        <f>IF(Tabela1[[#This Row],[Core PCE]]="",#N/A,((Tabela1[[#This Row],[Core PCE]]*1)/W527)-1)</f>
        <v>3.3953907979986653E-3</v>
      </c>
      <c r="Y528" s="8">
        <f>IF(Tabela1[[#This Row],[Core PCE]]="",#N/A,((Tabela1[[#This Row],[Core PCE]]*1)/W516)-1)</f>
        <v>4.333884804966659E-2</v>
      </c>
      <c r="Z528" s="8">
        <f t="shared" si="25"/>
        <v>4.420060327516584E-2</v>
      </c>
      <c r="AA528" s="8">
        <f t="shared" si="24"/>
        <v>4.1029667402106007E-2</v>
      </c>
      <c r="AB528" s="7">
        <v>4.01</v>
      </c>
      <c r="AC528" s="7"/>
      <c r="AD528" s="8"/>
      <c r="AE528" s="71"/>
      <c r="AF528" s="7">
        <v>4.8</v>
      </c>
      <c r="AG528" s="5"/>
    </row>
    <row r="529" spans="1:33" ht="12.75">
      <c r="A529" s="6">
        <v>33178</v>
      </c>
      <c r="B529" s="7">
        <v>133.69999999999999</v>
      </c>
      <c r="C529" s="8">
        <f>IF(Tabela1[[#This Row],[Consumer Price Index (CPI)]]="",#N/A,((Tabela1[[#This Row],[Consumer Price Index (CPI)]]*1)/B528)-1)</f>
        <v>2.2488755622187551E-3</v>
      </c>
      <c r="D529" s="8">
        <f>IF(Tabela1[[#This Row],[Consumer Price Index (CPI)]]="",#N/A,((Tabela1[[#This Row],[Consumer Price Index (CPI)]]*1)/B517)-1)</f>
        <v>6.1953931691818731E-2</v>
      </c>
      <c r="E529" s="25">
        <v>138</v>
      </c>
      <c r="F529" s="8">
        <f>IF(Tabela1[[#This Row],[Core Consumer Price Index]]="",#N/A,((Tabela1[[#This Row],[Core Consumer Price Index]]*1)/E528)-1)</f>
        <v>2.9069767441860517E-3</v>
      </c>
      <c r="G529" s="8">
        <f>IF(Tabela1[[#This Row],[Core Consumer Price Index]]="",#N/A,((Tabela1[[#This Row],[Core Consumer Price Index]]*1)/E517)-1)</f>
        <v>5.2631578947368363E-2</v>
      </c>
      <c r="H529" s="8">
        <f t="shared" si="26"/>
        <v>4.0857087459725605E-2</v>
      </c>
      <c r="I529" s="8">
        <f t="shared" si="27"/>
        <v>5.2989937097636552E-2</v>
      </c>
      <c r="J529" s="25">
        <v>142.19999999999999</v>
      </c>
      <c r="K529" s="8">
        <f>IF(Tabela1[[#This Row],[Services CPI]]="",#N/A,((Tabela1[[#This Row],[Services CPI]]*1)/J528)-1)</f>
        <v>4.237288135593209E-3</v>
      </c>
      <c r="L529" s="8">
        <f>IF(Tabela1[[#This Row],[Services CPI]]="",#N/A,((Tabela1[[#This Row],[Services CPI]]*1)/J517)-1)</f>
        <v>5.8823529411764497E-2</v>
      </c>
      <c r="M529" s="7">
        <v>145.5</v>
      </c>
      <c r="N529" s="8">
        <f>IF(Tabela1[[#This Row],[Core-Services CPI]]="",#N/A,((Tabela1[[#This Row],[Core-Services CPI]]*1)/M528)-1)</f>
        <v>3.4482758620688614E-3</v>
      </c>
      <c r="O529" s="8">
        <f>IF(Tabela1[[#This Row],[Core-Services CPI]]="",#N/A,((Tabela1[[#This Row],[Core-Services CPI]]*1)/M517)-1)</f>
        <v>6.2043795620438047E-2</v>
      </c>
      <c r="P529" s="7">
        <v>113.8</v>
      </c>
      <c r="Q529" s="8">
        <f>IF(Tabela1[[#This Row],[Durable Goods CPI]]="",#N/A,((Tabela1[[#This Row],[Durable Goods CPI]]*1)/P528)-1)</f>
        <v>0</v>
      </c>
      <c r="R529" s="8">
        <f>IF(Tabela1[[#This Row],[Durable Goods CPI]]="",#N/A,((Tabela1[[#This Row],[Durable Goods CPI]]*1)/P517)-1)</f>
        <v>9.7604259094941082E-3</v>
      </c>
      <c r="S529" s="7">
        <v>5.9486603489999998</v>
      </c>
      <c r="T529" s="7">
        <v>60.887999999999998</v>
      </c>
      <c r="U529" s="8">
        <f>IF(Tabela1[[#This Row],[Personal Consumption Expenditures (PCE)]]="",#N/A,((Tabela1[[#This Row],[Personal Consumption Expenditures (PCE)]]*1)/T528)-1)</f>
        <v>1.2662182828764301E-3</v>
      </c>
      <c r="V529" s="8">
        <f>IF(Tabela1[[#This Row],[Personal Consumption Expenditures (PCE)]]="",#N/A,((Tabela1[[#This Row],[Personal Consumption Expenditures (PCE)]]*1)/T517)-1)</f>
        <v>5.0789541806885774E-2</v>
      </c>
      <c r="W529" s="7">
        <v>61.246000000000002</v>
      </c>
      <c r="X529" s="8">
        <f>IF(Tabela1[[#This Row],[Core PCE]]="",#N/A,((Tabela1[[#This Row],[Core PCE]]*1)/W528)-1)</f>
        <v>1.2097037860459015E-3</v>
      </c>
      <c r="Y529" s="8">
        <f>IF(Tabela1[[#This Row],[Core PCE]]="",#N/A,((Tabela1[[#This Row],[Core PCE]]*1)/W517)-1)</f>
        <v>4.1828975793968048E-2</v>
      </c>
      <c r="Z529" s="8">
        <f t="shared" si="25"/>
        <v>3.2378536781028977E-2</v>
      </c>
      <c r="AA529" s="8">
        <f t="shared" si="24"/>
        <v>3.7342153796863453E-2</v>
      </c>
      <c r="AB529" s="7">
        <v>3.88</v>
      </c>
      <c r="AC529" s="7"/>
      <c r="AD529" s="8"/>
      <c r="AE529" s="71"/>
      <c r="AF529" s="7">
        <v>4.7</v>
      </c>
      <c r="AG529" s="5"/>
    </row>
    <row r="530" spans="1:33" ht="12.75">
      <c r="A530" s="6">
        <v>33208</v>
      </c>
      <c r="B530" s="7">
        <v>134.19999999999999</v>
      </c>
      <c r="C530" s="8">
        <f>IF(Tabela1[[#This Row],[Consumer Price Index (CPI)]]="",#N/A,((Tabela1[[#This Row],[Consumer Price Index (CPI)]]*1)/B529)-1)</f>
        <v>3.7397157816005944E-3</v>
      </c>
      <c r="D530" s="8">
        <f>IF(Tabela1[[#This Row],[Consumer Price Index (CPI)]]="",#N/A,((Tabela1[[#This Row],[Consumer Price Index (CPI)]]*1)/B518)-1)</f>
        <v>6.2549485352335621E-2</v>
      </c>
      <c r="E530" s="25">
        <v>138.6</v>
      </c>
      <c r="F530" s="8">
        <f>IF(Tabela1[[#This Row],[Core Consumer Price Index]]="",#N/A,((Tabela1[[#This Row],[Core Consumer Price Index]]*1)/E529)-1)</f>
        <v>4.3478260869564966E-3</v>
      </c>
      <c r="G530" s="8">
        <f>IF(Tabela1[[#This Row],[Core Consumer Price Index]]="",#N/A,((Tabela1[[#This Row],[Core Consumer Price Index]]*1)/E518)-1)</f>
        <v>5.3191489361702038E-2</v>
      </c>
      <c r="H530" s="8">
        <f t="shared" si="26"/>
        <v>4.3607103374169398E-2</v>
      </c>
      <c r="I530" s="8">
        <f t="shared" si="27"/>
        <v>5.1268922604883027E-2</v>
      </c>
      <c r="J530" s="25">
        <v>142.69999999999999</v>
      </c>
      <c r="K530" s="8">
        <f>IF(Tabela1[[#This Row],[Services CPI]]="",#N/A,((Tabela1[[#This Row],[Services CPI]]*1)/J529)-1)</f>
        <v>3.5161744022502717E-3</v>
      </c>
      <c r="L530" s="8">
        <f>IF(Tabela1[[#This Row],[Services CPI]]="",#N/A,((Tabela1[[#This Row],[Services CPI]]*1)/J518)-1)</f>
        <v>5.7820607857672179E-2</v>
      </c>
      <c r="M530" s="7">
        <v>146.1</v>
      </c>
      <c r="N530" s="8">
        <f>IF(Tabela1[[#This Row],[Core-Services CPI]]="",#N/A,((Tabela1[[#This Row],[Core-Services CPI]]*1)/M529)-1)</f>
        <v>4.1237113402061709E-3</v>
      </c>
      <c r="O530" s="8">
        <f>IF(Tabela1[[#This Row],[Core-Services CPI]]="",#N/A,((Tabela1[[#This Row],[Core-Services CPI]]*1)/M518)-1)</f>
        <v>6.1773255813953432E-2</v>
      </c>
      <c r="P530" s="7">
        <v>114.1</v>
      </c>
      <c r="Q530" s="8">
        <f>IF(Tabela1[[#This Row],[Durable Goods CPI]]="",#N/A,((Tabela1[[#This Row],[Durable Goods CPI]]*1)/P529)-1)</f>
        <v>2.6362038664322629E-3</v>
      </c>
      <c r="R530" s="8">
        <f>IF(Tabela1[[#This Row],[Durable Goods CPI]]="",#N/A,((Tabela1[[#This Row],[Durable Goods CPI]]*1)/P518)-1)</f>
        <v>8.8417329796639521E-3</v>
      </c>
      <c r="S530" s="7">
        <v>5.8174509680000002</v>
      </c>
      <c r="T530" s="7">
        <v>60.945</v>
      </c>
      <c r="U530" s="8">
        <f>IF(Tabela1[[#This Row],[Personal Consumption Expenditures (PCE)]]="",#N/A,((Tabela1[[#This Row],[Personal Consumption Expenditures (PCE)]]*1)/T529)-1)</f>
        <v>9.3614505321260033E-4</v>
      </c>
      <c r="V530" s="8">
        <f>IF(Tabela1[[#This Row],[Personal Consumption Expenditures (PCE)]]="",#N/A,((Tabela1[[#This Row],[Personal Consumption Expenditures (PCE)]]*1)/T518)-1)</f>
        <v>4.8732641577616143E-2</v>
      </c>
      <c r="W530" s="7">
        <v>61.331000000000003</v>
      </c>
      <c r="X530" s="8">
        <f>IF(Tabela1[[#This Row],[Core PCE]]="",#N/A,((Tabela1[[#This Row],[Core PCE]]*1)/W529)-1)</f>
        <v>1.387845736864568E-3</v>
      </c>
      <c r="Y530" s="8">
        <f>IF(Tabela1[[#This Row],[Core PCE]]="",#N/A,((Tabela1[[#This Row],[Core PCE]]*1)/W518)-1)</f>
        <v>4.0319571191098191E-2</v>
      </c>
      <c r="Z530" s="8">
        <f t="shared" si="25"/>
        <v>2.3971761283636539E-2</v>
      </c>
      <c r="AA530" s="8">
        <f t="shared" si="24"/>
        <v>3.2332766671241409E-2</v>
      </c>
      <c r="AB530" s="7">
        <v>3.84</v>
      </c>
      <c r="AC530" s="7"/>
      <c r="AD530" s="8"/>
      <c r="AE530" s="71"/>
      <c r="AF530" s="7">
        <v>4.7</v>
      </c>
      <c r="AG530" s="5"/>
    </row>
    <row r="531" spans="1:33" ht="12.75">
      <c r="A531" s="6">
        <v>33239</v>
      </c>
      <c r="B531" s="7">
        <v>134.69999999999999</v>
      </c>
      <c r="C531" s="8">
        <f>IF(Tabela1[[#This Row],[Consumer Price Index (CPI)]]="",#N/A,((Tabela1[[#This Row],[Consumer Price Index (CPI)]]*1)/B530)-1)</f>
        <v>3.7257824143070994E-3</v>
      </c>
      <c r="D531" s="8">
        <f>IF(Tabela1[[#This Row],[Consumer Price Index (CPI)]]="",#N/A,((Tabela1[[#This Row],[Consumer Price Index (CPI)]]*1)/B519)-1)</f>
        <v>5.647058823529405E-2</v>
      </c>
      <c r="E531" s="25">
        <v>139.5</v>
      </c>
      <c r="F531" s="8">
        <f>IF(Tabela1[[#This Row],[Core Consumer Price Index]]="",#N/A,((Tabela1[[#This Row],[Core Consumer Price Index]]*1)/E530)-1)</f>
        <v>6.4935064935065512E-3</v>
      </c>
      <c r="G531" s="8">
        <f>IF(Tabela1[[#This Row],[Core Consumer Price Index]]="",#N/A,((Tabela1[[#This Row],[Core Consumer Price Index]]*1)/E519)-1)</f>
        <v>5.6018168054504214E-2</v>
      </c>
      <c r="H531" s="8">
        <f t="shared" si="26"/>
        <v>5.4993237298596398E-2</v>
      </c>
      <c r="I531" s="8">
        <f t="shared" si="27"/>
        <v>5.3893241291377958E-2</v>
      </c>
      <c r="J531" s="25">
        <v>143.69999999999999</v>
      </c>
      <c r="K531" s="8">
        <f>IF(Tabela1[[#This Row],[Services CPI]]="",#N/A,((Tabela1[[#This Row],[Services CPI]]*1)/J530)-1)</f>
        <v>7.0077084793271904E-3</v>
      </c>
      <c r="L531" s="8">
        <f>IF(Tabela1[[#This Row],[Services CPI]]="",#N/A,((Tabela1[[#This Row],[Services CPI]]*1)/J519)-1)</f>
        <v>6.1299852289512513E-2</v>
      </c>
      <c r="M531" s="7">
        <v>147</v>
      </c>
      <c r="N531" s="8">
        <f>IF(Tabela1[[#This Row],[Core-Services CPI]]="",#N/A,((Tabela1[[#This Row],[Core-Services CPI]]*1)/M530)-1)</f>
        <v>6.1601642710473747E-3</v>
      </c>
      <c r="O531" s="8">
        <f>IF(Tabela1[[#This Row],[Core-Services CPI]]="",#N/A,((Tabela1[[#This Row],[Core-Services CPI]]*1)/M519)-1)</f>
        <v>6.3675832127351839E-2</v>
      </c>
      <c r="P531" s="7">
        <v>114.5</v>
      </c>
      <c r="Q531" s="8">
        <f>IF(Tabela1[[#This Row],[Durable Goods CPI]]="",#N/A,((Tabela1[[#This Row],[Durable Goods CPI]]*1)/P530)-1)</f>
        <v>3.5056967572304476E-3</v>
      </c>
      <c r="R531" s="8">
        <f>IF(Tabela1[[#This Row],[Durable Goods CPI]]="",#N/A,((Tabela1[[#This Row],[Durable Goods CPI]]*1)/P519)-1)</f>
        <v>1.0591350397175736E-2</v>
      </c>
      <c r="S531" s="7">
        <v>5.7034192600000004</v>
      </c>
      <c r="T531" s="7">
        <v>61.177</v>
      </c>
      <c r="U531" s="8">
        <f>IF(Tabela1[[#This Row],[Personal Consumption Expenditures (PCE)]]="",#N/A,((Tabela1[[#This Row],[Personal Consumption Expenditures (PCE)]]*1)/T530)-1)</f>
        <v>3.8067109689063905E-3</v>
      </c>
      <c r="V531" s="8">
        <f>IF(Tabela1[[#This Row],[Personal Consumption Expenditures (PCE)]]="",#N/A,((Tabela1[[#This Row],[Personal Consumption Expenditures (PCE)]]*1)/T519)-1)</f>
        <v>4.4814100046112193E-2</v>
      </c>
      <c r="W531" s="7">
        <v>61.637</v>
      </c>
      <c r="X531" s="8">
        <f>IF(Tabela1[[#This Row],[Core PCE]]="",#N/A,((Tabela1[[#This Row],[Core PCE]]*1)/W530)-1)</f>
        <v>4.9893202458788366E-3</v>
      </c>
      <c r="Y531" s="8">
        <f>IF(Tabela1[[#This Row],[Core PCE]]="",#N/A,((Tabela1[[#This Row],[Core PCE]]*1)/W519)-1)</f>
        <v>4.14998056808773E-2</v>
      </c>
      <c r="Z531" s="8">
        <f t="shared" si="25"/>
        <v>3.0347479075157224E-2</v>
      </c>
      <c r="AA531" s="8">
        <f t="shared" si="24"/>
        <v>3.7274041175161532E-2</v>
      </c>
      <c r="AB531" s="7">
        <v>3.82</v>
      </c>
      <c r="AC531" s="7"/>
      <c r="AD531" s="8"/>
      <c r="AE531" s="71"/>
      <c r="AF531" s="7">
        <v>3.9</v>
      </c>
      <c r="AG531" s="5"/>
    </row>
    <row r="532" spans="1:33" ht="12.75">
      <c r="A532" s="6">
        <v>33270</v>
      </c>
      <c r="B532" s="7">
        <v>134.80000000000001</v>
      </c>
      <c r="C532" s="8">
        <f>IF(Tabela1[[#This Row],[Consumer Price Index (CPI)]]="",#N/A,((Tabela1[[#This Row],[Consumer Price Index (CPI)]]*1)/B531)-1)</f>
        <v>7.423904974017681E-4</v>
      </c>
      <c r="D532" s="8">
        <f>IF(Tabela1[[#This Row],[Consumer Price Index (CPI)]]="",#N/A,((Tabela1[[#This Row],[Consumer Price Index (CPI)]]*1)/B520)-1)</f>
        <v>5.3125000000000089E-2</v>
      </c>
      <c r="E532" s="25">
        <v>140.19999999999999</v>
      </c>
      <c r="F532" s="8">
        <f>IF(Tabela1[[#This Row],[Core Consumer Price Index]]="",#N/A,((Tabela1[[#This Row],[Core Consumer Price Index]]*1)/E531)-1)</f>
        <v>5.0179211469534302E-3</v>
      </c>
      <c r="G532" s="8">
        <f>IF(Tabela1[[#This Row],[Core Consumer Price Index]]="",#N/A,((Tabela1[[#This Row],[Core Consumer Price Index]]*1)/E520)-1)</f>
        <v>5.6518462697814575E-2</v>
      </c>
      <c r="H532" s="8">
        <f t="shared" si="26"/>
        <v>6.3437014909665912E-2</v>
      </c>
      <c r="I532" s="8">
        <f t="shared" si="27"/>
        <v>5.2147051184695759E-2</v>
      </c>
      <c r="J532" s="25">
        <v>144.4</v>
      </c>
      <c r="K532" s="8">
        <f>IF(Tabela1[[#This Row],[Services CPI]]="",#N/A,((Tabela1[[#This Row],[Services CPI]]*1)/J531)-1)</f>
        <v>4.8712595685456161E-3</v>
      </c>
      <c r="L532" s="8">
        <f>IF(Tabela1[[#This Row],[Services CPI]]="",#N/A,((Tabela1[[#This Row],[Services CPI]]*1)/J520)-1)</f>
        <v>6.1764705882352944E-2</v>
      </c>
      <c r="M532" s="7">
        <v>147.6</v>
      </c>
      <c r="N532" s="8">
        <f>IF(Tabela1[[#This Row],[Core-Services CPI]]="",#N/A,((Tabela1[[#This Row],[Core-Services CPI]]*1)/M531)-1)</f>
        <v>4.0816326530612734E-3</v>
      </c>
      <c r="O532" s="8">
        <f>IF(Tabela1[[#This Row],[Core-Services CPI]]="",#N/A,((Tabela1[[#This Row],[Core-Services CPI]]*1)/M520)-1)</f>
        <v>6.4167267483777879E-2</v>
      </c>
      <c r="P532" s="7">
        <v>115.1</v>
      </c>
      <c r="Q532" s="8">
        <f>IF(Tabela1[[#This Row],[Durable Goods CPI]]="",#N/A,((Tabela1[[#This Row],[Durable Goods CPI]]*1)/P531)-1)</f>
        <v>5.2401746724890508E-3</v>
      </c>
      <c r="R532" s="8">
        <f>IF(Tabela1[[#This Row],[Durable Goods CPI]]="",#N/A,((Tabela1[[#This Row],[Durable Goods CPI]]*1)/P520)-1)</f>
        <v>1.4991181657848296E-2</v>
      </c>
      <c r="S532" s="7">
        <v>5.6725493609999997</v>
      </c>
      <c r="T532" s="7">
        <v>61.207999999999998</v>
      </c>
      <c r="U532" s="8">
        <f>IF(Tabela1[[#This Row],[Personal Consumption Expenditures (PCE)]]="",#N/A,((Tabela1[[#This Row],[Personal Consumption Expenditures (PCE)]]*1)/T531)-1)</f>
        <v>5.0672638409854365E-4</v>
      </c>
      <c r="V532" s="8">
        <f>IF(Tabela1[[#This Row],[Personal Consumption Expenditures (PCE)]]="",#N/A,((Tabela1[[#This Row],[Personal Consumption Expenditures (PCE)]]*1)/T520)-1)</f>
        <v>4.0757681386135225E-2</v>
      </c>
      <c r="W532" s="7">
        <v>61.807000000000002</v>
      </c>
      <c r="X532" s="8">
        <f>IF(Tabela1[[#This Row],[Core PCE]]="",#N/A,((Tabela1[[#This Row],[Core PCE]]*1)/W531)-1)</f>
        <v>2.7580836186056334E-3</v>
      </c>
      <c r="Y532" s="8">
        <f>IF(Tabela1[[#This Row],[Core PCE]]="",#N/A,((Tabela1[[#This Row],[Core PCE]]*1)/W520)-1)</f>
        <v>3.9332077756104145E-2</v>
      </c>
      <c r="Z532" s="8">
        <f t="shared" si="25"/>
        <v>3.6540998405396152E-2</v>
      </c>
      <c r="AA532" s="8">
        <f t="shared" si="24"/>
        <v>3.4459767593212565E-2</v>
      </c>
      <c r="AB532" s="7">
        <v>3.73</v>
      </c>
      <c r="AC532" s="7"/>
      <c r="AD532" s="8"/>
      <c r="AE532" s="71"/>
      <c r="AF532" s="7">
        <v>3.4</v>
      </c>
      <c r="AG532" s="5"/>
    </row>
    <row r="533" spans="1:33" ht="12.75">
      <c r="A533" s="6">
        <v>33298</v>
      </c>
      <c r="B533" s="7">
        <v>134.80000000000001</v>
      </c>
      <c r="C533" s="8">
        <f>IF(Tabela1[[#This Row],[Consumer Price Index (CPI)]]="",#N/A,((Tabela1[[#This Row],[Consumer Price Index (CPI)]]*1)/B532)-1)</f>
        <v>0</v>
      </c>
      <c r="D533" s="8">
        <f>IF(Tabela1[[#This Row],[Consumer Price Index (CPI)]]="",#N/A,((Tabela1[[#This Row],[Consumer Price Index (CPI)]]*1)/B521)-1)</f>
        <v>4.8211508553654969E-2</v>
      </c>
      <c r="E533" s="25">
        <v>140.5</v>
      </c>
      <c r="F533" s="8">
        <f>IF(Tabela1[[#This Row],[Core Consumer Price Index]]="",#N/A,((Tabela1[[#This Row],[Core Consumer Price Index]]*1)/E532)-1)</f>
        <v>2.1398002853068032E-3</v>
      </c>
      <c r="G533" s="8">
        <f>IF(Tabela1[[#This Row],[Core Consumer Price Index]]="",#N/A,((Tabela1[[#This Row],[Core Consumer Price Index]]*1)/E521)-1)</f>
        <v>5.2434456928838857E-2</v>
      </c>
      <c r="H533" s="8">
        <f t="shared" si="26"/>
        <v>5.4604911703067138E-2</v>
      </c>
      <c r="I533" s="8">
        <f t="shared" si="27"/>
        <v>4.9106007538618268E-2</v>
      </c>
      <c r="J533" s="25">
        <v>144.69999999999999</v>
      </c>
      <c r="K533" s="8">
        <f>IF(Tabela1[[#This Row],[Services CPI]]="",#N/A,((Tabela1[[#This Row],[Services CPI]]*1)/J532)-1)</f>
        <v>2.0775623268696197E-3</v>
      </c>
      <c r="L533" s="8">
        <f>IF(Tabela1[[#This Row],[Services CPI]]="",#N/A,((Tabela1[[#This Row],[Services CPI]]*1)/J521)-1)</f>
        <v>5.7748538011695771E-2</v>
      </c>
      <c r="M533" s="7">
        <v>148.1</v>
      </c>
      <c r="N533" s="8">
        <f>IF(Tabela1[[#This Row],[Core-Services CPI]]="",#N/A,((Tabela1[[#This Row],[Core-Services CPI]]*1)/M532)-1)</f>
        <v>3.3875338753388551E-3</v>
      </c>
      <c r="O533" s="8">
        <f>IF(Tabela1[[#This Row],[Core-Services CPI]]="",#N/A,((Tabela1[[#This Row],[Core-Services CPI]]*1)/M521)-1)</f>
        <v>6.0128847530422469E-2</v>
      </c>
      <c r="P533" s="7">
        <v>115.3</v>
      </c>
      <c r="Q533" s="8">
        <f>IF(Tabela1[[#This Row],[Durable Goods CPI]]="",#N/A,((Tabela1[[#This Row],[Durable Goods CPI]]*1)/P532)-1)</f>
        <v>1.7376194613381024E-3</v>
      </c>
      <c r="R533" s="8">
        <f>IF(Tabela1[[#This Row],[Durable Goods CPI]]="",#N/A,((Tabela1[[#This Row],[Durable Goods CPI]]*1)/P521)-1)</f>
        <v>1.7652250661959412E-2</v>
      </c>
      <c r="S533" s="7">
        <v>5.8390290059999996</v>
      </c>
      <c r="T533" s="7">
        <v>61.220999999999997</v>
      </c>
      <c r="U533" s="8">
        <f>IF(Tabela1[[#This Row],[Personal Consumption Expenditures (PCE)]]="",#N/A,((Tabela1[[#This Row],[Personal Consumption Expenditures (PCE)]]*1)/T532)-1)</f>
        <v>2.1239053718469236E-4</v>
      </c>
      <c r="V533" s="8">
        <f>IF(Tabela1[[#This Row],[Personal Consumption Expenditures (PCE)]]="",#N/A,((Tabela1[[#This Row],[Personal Consumption Expenditures (PCE)]]*1)/T521)-1)</f>
        <v>3.7064015042433729E-2</v>
      </c>
      <c r="W533" s="7">
        <v>61.936</v>
      </c>
      <c r="X533" s="8">
        <f>IF(Tabela1[[#This Row],[Core PCE]]="",#N/A,((Tabela1[[#This Row],[Core PCE]]*1)/W532)-1)</f>
        <v>2.0871422330803746E-3</v>
      </c>
      <c r="Y533" s="8">
        <f>IF(Tabela1[[#This Row],[Core PCE]]="",#N/A,((Tabela1[[#This Row],[Core PCE]]*1)/W521)-1)</f>
        <v>3.6516383840412336E-2</v>
      </c>
      <c r="Z533" s="8">
        <f t="shared" si="25"/>
        <v>3.9338184390259379E-2</v>
      </c>
      <c r="AA533" s="8">
        <f t="shared" si="24"/>
        <v>3.1654972836947959E-2</v>
      </c>
      <c r="AB533" s="7">
        <v>3.43</v>
      </c>
      <c r="AC533" s="7"/>
      <c r="AD533" s="8"/>
      <c r="AE533" s="71"/>
      <c r="AF533" s="7">
        <v>3.3</v>
      </c>
      <c r="AG533" s="5"/>
    </row>
    <row r="534" spans="1:33" ht="12.75">
      <c r="A534" s="6">
        <v>33329</v>
      </c>
      <c r="B534" s="7">
        <v>135.1</v>
      </c>
      <c r="C534" s="8">
        <f>IF(Tabela1[[#This Row],[Consumer Price Index (CPI)]]="",#N/A,((Tabela1[[#This Row],[Consumer Price Index (CPI)]]*1)/B533)-1)</f>
        <v>2.225519287833766E-3</v>
      </c>
      <c r="D534" s="8">
        <f>IF(Tabela1[[#This Row],[Consumer Price Index (CPI)]]="",#N/A,((Tabela1[[#This Row],[Consumer Price Index (CPI)]]*1)/B522)-1)</f>
        <v>4.8099301784328752E-2</v>
      </c>
      <c r="E534" s="25">
        <v>140.9</v>
      </c>
      <c r="F534" s="8">
        <f>IF(Tabela1[[#This Row],[Core Consumer Price Index]]="",#N/A,((Tabela1[[#This Row],[Core Consumer Price Index]]*1)/E533)-1)</f>
        <v>2.846975088967918E-3</v>
      </c>
      <c r="G534" s="8">
        <f>IF(Tabela1[[#This Row],[Core Consumer Price Index]]="",#N/A,((Tabela1[[#This Row],[Core Consumer Price Index]]*1)/E522)-1)</f>
        <v>5.1492537313432951E-2</v>
      </c>
      <c r="H534" s="8">
        <f t="shared" si="26"/>
        <v>4.0018786084912605E-2</v>
      </c>
      <c r="I534" s="8">
        <f t="shared" si="27"/>
        <v>4.7506011691754502E-2</v>
      </c>
      <c r="J534" s="25">
        <v>144.9</v>
      </c>
      <c r="K534" s="8">
        <f>IF(Tabela1[[#This Row],[Services CPI]]="",#N/A,((Tabela1[[#This Row],[Services CPI]]*1)/J533)-1)</f>
        <v>1.3821700069109877E-3</v>
      </c>
      <c r="L534" s="8">
        <f>IF(Tabela1[[#This Row],[Services CPI]]="",#N/A,((Tabela1[[#This Row],[Services CPI]]*1)/J522)-1)</f>
        <v>5.4585152838428019E-2</v>
      </c>
      <c r="M534" s="7">
        <v>148.4</v>
      </c>
      <c r="N534" s="8">
        <f>IF(Tabela1[[#This Row],[Core-Services CPI]]="",#N/A,((Tabela1[[#This Row],[Core-Services CPI]]*1)/M533)-1)</f>
        <v>2.025658338960179E-3</v>
      </c>
      <c r="O534" s="8">
        <f>IF(Tabela1[[#This Row],[Core-Services CPI]]="",#N/A,((Tabela1[[#This Row],[Core-Services CPI]]*1)/M522)-1)</f>
        <v>5.6980056980056926E-2</v>
      </c>
      <c r="P534" s="7">
        <v>115.5</v>
      </c>
      <c r="Q534" s="8">
        <f>IF(Tabela1[[#This Row],[Durable Goods CPI]]="",#N/A,((Tabela1[[#This Row],[Durable Goods CPI]]*1)/P533)-1)</f>
        <v>1.7346053772766545E-3</v>
      </c>
      <c r="R534" s="8">
        <f>IF(Tabela1[[#This Row],[Durable Goods CPI]]="",#N/A,((Tabela1[[#This Row],[Durable Goods CPI]]*1)/P522)-1)</f>
        <v>2.031802120141335E-2</v>
      </c>
      <c r="S534" s="7">
        <v>5.8834369190000002</v>
      </c>
      <c r="T534" s="7">
        <v>61.332000000000001</v>
      </c>
      <c r="U534" s="8">
        <f>IF(Tabela1[[#This Row],[Personal Consumption Expenditures (PCE)]]="",#N/A,((Tabela1[[#This Row],[Personal Consumption Expenditures (PCE)]]*1)/T533)-1)</f>
        <v>1.8131033468908875E-3</v>
      </c>
      <c r="V534" s="8">
        <f>IF(Tabela1[[#This Row],[Personal Consumption Expenditures (PCE)]]="",#N/A,((Tabela1[[#This Row],[Personal Consumption Expenditures (PCE)]]*1)/T522)-1)</f>
        <v>3.6766570312896318E-2</v>
      </c>
      <c r="W534" s="7">
        <v>62.06</v>
      </c>
      <c r="X534" s="8">
        <f>IF(Tabela1[[#This Row],[Core PCE]]="",#N/A,((Tabela1[[#This Row],[Core PCE]]*1)/W533)-1)</f>
        <v>2.0020666494446893E-3</v>
      </c>
      <c r="Y534" s="8">
        <f>IF(Tabela1[[#This Row],[Core PCE]]="",#N/A,((Tabela1[[#This Row],[Core PCE]]*1)/W522)-1)</f>
        <v>3.550690782887278E-2</v>
      </c>
      <c r="Z534" s="8">
        <f t="shared" si="25"/>
        <v>2.7389170004522789E-2</v>
      </c>
      <c r="AA534" s="8">
        <f t="shared" si="24"/>
        <v>2.8868324539840007E-2</v>
      </c>
      <c r="AB534" s="7">
        <v>3.35</v>
      </c>
      <c r="AC534" s="7"/>
      <c r="AD534" s="8"/>
      <c r="AE534" s="71"/>
      <c r="AF534" s="7">
        <v>3.2</v>
      </c>
      <c r="AG534" s="5"/>
    </row>
    <row r="535" spans="1:33" ht="12.75">
      <c r="A535" s="6">
        <v>33359</v>
      </c>
      <c r="B535" s="7">
        <v>135.6</v>
      </c>
      <c r="C535" s="8">
        <f>IF(Tabela1[[#This Row],[Consumer Price Index (CPI)]]="",#N/A,((Tabela1[[#This Row],[Consumer Price Index (CPI)]]*1)/B534)-1)</f>
        <v>3.7009622501851247E-3</v>
      </c>
      <c r="D535" s="8">
        <f>IF(Tabela1[[#This Row],[Consumer Price Index (CPI)]]="",#N/A,((Tabela1[[#This Row],[Consumer Price Index (CPI)]]*1)/B523)-1)</f>
        <v>5.0348567002323819E-2</v>
      </c>
      <c r="E535" s="25">
        <v>141.30000000000001</v>
      </c>
      <c r="F535" s="8">
        <f>IF(Tabela1[[#This Row],[Core Consumer Price Index]]="",#N/A,((Tabela1[[#This Row],[Core Consumer Price Index]]*1)/E534)-1)</f>
        <v>2.8388928317957252E-3</v>
      </c>
      <c r="G535" s="8">
        <f>IF(Tabela1[[#This Row],[Core Consumer Price Index]]="",#N/A,((Tabela1[[#This Row],[Core Consumer Price Index]]*1)/E523)-1)</f>
        <v>5.1339285714285809E-2</v>
      </c>
      <c r="H535" s="8">
        <f t="shared" si="26"/>
        <v>3.1302672824281785E-2</v>
      </c>
      <c r="I535" s="8">
        <f t="shared" si="27"/>
        <v>4.7369843866973849E-2</v>
      </c>
      <c r="J535" s="25">
        <v>145.4</v>
      </c>
      <c r="K535" s="8">
        <f>IF(Tabela1[[#This Row],[Services CPI]]="",#N/A,((Tabela1[[#This Row],[Services CPI]]*1)/J534)-1)</f>
        <v>3.4506556245685882E-3</v>
      </c>
      <c r="L535" s="8">
        <f>IF(Tabela1[[#This Row],[Services CPI]]="",#N/A,((Tabela1[[#This Row],[Services CPI]]*1)/J523)-1)</f>
        <v>5.4387237128353805E-2</v>
      </c>
      <c r="M535" s="7">
        <v>148.9</v>
      </c>
      <c r="N535" s="8">
        <f>IF(Tabela1[[#This Row],[Core-Services CPI]]="",#N/A,((Tabela1[[#This Row],[Core-Services CPI]]*1)/M534)-1)</f>
        <v>3.369272237196741E-3</v>
      </c>
      <c r="O535" s="8">
        <f>IF(Tabela1[[#This Row],[Core-Services CPI]]="",#N/A,((Tabela1[[#This Row],[Core-Services CPI]]*1)/M523)-1)</f>
        <v>5.6028368794326378E-2</v>
      </c>
      <c r="P535" s="7">
        <v>115.9</v>
      </c>
      <c r="Q535" s="8">
        <f>IF(Tabela1[[#This Row],[Durable Goods CPI]]="",#N/A,((Tabela1[[#This Row],[Durable Goods CPI]]*1)/P534)-1)</f>
        <v>3.4632034632036124E-3</v>
      </c>
      <c r="R535" s="8">
        <f>IF(Tabela1[[#This Row],[Durable Goods CPI]]="",#N/A,((Tabela1[[#This Row],[Durable Goods CPI]]*1)/P523)-1)</f>
        <v>2.3851590106007015E-2</v>
      </c>
      <c r="S535" s="7">
        <v>5.496431415</v>
      </c>
      <c r="T535" s="7">
        <v>61.585999999999999</v>
      </c>
      <c r="U535" s="8">
        <f>IF(Tabela1[[#This Row],[Personal Consumption Expenditures (PCE)]]="",#N/A,((Tabela1[[#This Row],[Personal Consumption Expenditures (PCE)]]*1)/T534)-1)</f>
        <v>4.1413943781385409E-3</v>
      </c>
      <c r="V535" s="8">
        <f>IF(Tabela1[[#This Row],[Personal Consumption Expenditures (PCE)]]="",#N/A,((Tabela1[[#This Row],[Personal Consumption Expenditures (PCE)]]*1)/T523)-1)</f>
        <v>3.8724911452184152E-2</v>
      </c>
      <c r="W535" s="7">
        <v>62.307000000000002</v>
      </c>
      <c r="X535" s="8">
        <f>IF(Tabela1[[#This Row],[Core PCE]]="",#N/A,((Tabela1[[#This Row],[Core PCE]]*1)/W534)-1)</f>
        <v>3.9800193361263503E-3</v>
      </c>
      <c r="Y535" s="8">
        <f>IF(Tabela1[[#This Row],[Core PCE]]="",#N/A,((Tabela1[[#This Row],[Core PCE]]*1)/W523)-1)</f>
        <v>3.6463445063628086E-2</v>
      </c>
      <c r="Z535" s="8">
        <f t="shared" si="25"/>
        <v>3.2276912874605657E-2</v>
      </c>
      <c r="AA535" s="8">
        <f t="shared" si="24"/>
        <v>3.4408955640000904E-2</v>
      </c>
      <c r="AB535" s="7">
        <v>3.45</v>
      </c>
      <c r="AC535" s="7"/>
      <c r="AD535" s="8"/>
      <c r="AE535" s="71"/>
      <c r="AF535" s="7">
        <v>3.1</v>
      </c>
      <c r="AG535" s="5"/>
    </row>
    <row r="536" spans="1:33" ht="12.75">
      <c r="A536" s="6">
        <v>33390</v>
      </c>
      <c r="B536" s="7">
        <v>136</v>
      </c>
      <c r="C536" s="8">
        <f>IF(Tabela1[[#This Row],[Consumer Price Index (CPI)]]="",#N/A,((Tabela1[[#This Row],[Consumer Price Index (CPI)]]*1)/B535)-1)</f>
        <v>2.9498525073747839E-3</v>
      </c>
      <c r="D536" s="8">
        <f>IF(Tabela1[[#This Row],[Consumer Price Index (CPI)]]="",#N/A,((Tabela1[[#This Row],[Consumer Price Index (CPI)]]*1)/B524)-1)</f>
        <v>4.6959199384141614E-2</v>
      </c>
      <c r="E536" s="25">
        <v>141.80000000000001</v>
      </c>
      <c r="F536" s="8">
        <f>IF(Tabela1[[#This Row],[Core Consumer Price Index]]="",#N/A,((Tabela1[[#This Row],[Core Consumer Price Index]]*1)/E535)-1)</f>
        <v>3.5385704175512345E-3</v>
      </c>
      <c r="G536" s="8">
        <f>IF(Tabela1[[#This Row],[Core Consumer Price Index]]="",#N/A,((Tabela1[[#This Row],[Core Consumer Price Index]]*1)/E524)-1)</f>
        <v>4.9592894152479694E-2</v>
      </c>
      <c r="H536" s="8">
        <f t="shared" si="26"/>
        <v>3.689775335325951E-2</v>
      </c>
      <c r="I536" s="8">
        <f t="shared" si="27"/>
        <v>4.5751332528163324E-2</v>
      </c>
      <c r="J536" s="25">
        <v>145.9</v>
      </c>
      <c r="K536" s="8">
        <f>IF(Tabela1[[#This Row],[Services CPI]]="",#N/A,((Tabela1[[#This Row],[Services CPI]]*1)/J535)-1)</f>
        <v>3.4387895460796791E-3</v>
      </c>
      <c r="L536" s="8">
        <f>IF(Tabela1[[#This Row],[Services CPI]]="",#N/A,((Tabela1[[#This Row],[Services CPI]]*1)/J524)-1)</f>
        <v>5.1152737752161448E-2</v>
      </c>
      <c r="M536" s="7">
        <v>149.4</v>
      </c>
      <c r="N536" s="8">
        <f>IF(Tabela1[[#This Row],[Core-Services CPI]]="",#N/A,((Tabela1[[#This Row],[Core-Services CPI]]*1)/M535)-1)</f>
        <v>3.3579583613163599E-3</v>
      </c>
      <c r="O536" s="8">
        <f>IF(Tabela1[[#This Row],[Core-Services CPI]]="",#N/A,((Tabela1[[#This Row],[Core-Services CPI]]*1)/M524)-1)</f>
        <v>5.2854122621564414E-2</v>
      </c>
      <c r="P536" s="7">
        <v>116.1</v>
      </c>
      <c r="Q536" s="8">
        <f>IF(Tabela1[[#This Row],[Durable Goods CPI]]="",#N/A,((Tabela1[[#This Row],[Durable Goods CPI]]*1)/P535)-1)</f>
        <v>1.7256255392579245E-3</v>
      </c>
      <c r="R536" s="8">
        <f>IF(Tabela1[[#This Row],[Durable Goods CPI]]="",#N/A,((Tabela1[[#This Row],[Durable Goods CPI]]*1)/P524)-1)</f>
        <v>2.7433628318584091E-2</v>
      </c>
      <c r="S536" s="7">
        <v>5.302381155</v>
      </c>
      <c r="T536" s="7">
        <v>61.69</v>
      </c>
      <c r="U536" s="8">
        <f>IF(Tabela1[[#This Row],[Personal Consumption Expenditures (PCE)]]="",#N/A,((Tabela1[[#This Row],[Personal Consumption Expenditures (PCE)]]*1)/T535)-1)</f>
        <v>1.6886954827395328E-3</v>
      </c>
      <c r="V536" s="8">
        <f>IF(Tabela1[[#This Row],[Personal Consumption Expenditures (PCE)]]="",#N/A,((Tabela1[[#This Row],[Personal Consumption Expenditures (PCE)]]*1)/T524)-1)</f>
        <v>3.5901397098334176E-2</v>
      </c>
      <c r="W536" s="7">
        <v>62.442</v>
      </c>
      <c r="X536" s="8">
        <f>IF(Tabela1[[#This Row],[Core PCE]]="",#N/A,((Tabela1[[#This Row],[Core PCE]]*1)/W535)-1)</f>
        <v>2.1666907410082814E-3</v>
      </c>
      <c r="Y536" s="8">
        <f>IF(Tabela1[[#This Row],[Core PCE]]="",#N/A,((Tabela1[[#This Row],[Core PCE]]*1)/W524)-1)</f>
        <v>3.4681602014946522E-2</v>
      </c>
      <c r="Z536" s="8">
        <f t="shared" si="25"/>
        <v>3.2595106906317284E-2</v>
      </c>
      <c r="AA536" s="8">
        <f t="shared" si="24"/>
        <v>3.5966645648288331E-2</v>
      </c>
      <c r="AB536" s="7">
        <v>3.23</v>
      </c>
      <c r="AC536" s="7"/>
      <c r="AD536" s="8"/>
      <c r="AE536" s="71"/>
      <c r="AF536" s="7">
        <v>3.3</v>
      </c>
      <c r="AG536" s="5"/>
    </row>
    <row r="537" spans="1:33" ht="12.75">
      <c r="A537" s="6">
        <v>33420</v>
      </c>
      <c r="B537" s="7">
        <v>136.19999999999999</v>
      </c>
      <c r="C537" s="8">
        <f>IF(Tabela1[[#This Row],[Consumer Price Index (CPI)]]="",#N/A,((Tabela1[[#This Row],[Consumer Price Index (CPI)]]*1)/B536)-1)</f>
        <v>1.4705882352941124E-3</v>
      </c>
      <c r="D537" s="8">
        <f>IF(Tabela1[[#This Row],[Consumer Price Index (CPI)]]="",#N/A,((Tabela1[[#This Row],[Consumer Price Index (CPI)]]*1)/B525)-1)</f>
        <v>4.3678160919540243E-2</v>
      </c>
      <c r="E537" s="25">
        <v>142.30000000000001</v>
      </c>
      <c r="F537" s="8">
        <f>IF(Tabela1[[#This Row],[Core Consumer Price Index]]="",#N/A,((Tabela1[[#This Row],[Core Consumer Price Index]]*1)/E536)-1)</f>
        <v>3.5260930888576514E-3</v>
      </c>
      <c r="G537" s="8">
        <f>IF(Tabela1[[#This Row],[Core Consumer Price Index]]="",#N/A,((Tabela1[[#This Row],[Core Consumer Price Index]]*1)/E525)-1)</f>
        <v>4.7864506627393277E-2</v>
      </c>
      <c r="H537" s="8">
        <f t="shared" si="26"/>
        <v>3.9614225352818444E-2</v>
      </c>
      <c r="I537" s="8">
        <f t="shared" si="27"/>
        <v>3.9816505718865525E-2</v>
      </c>
      <c r="J537" s="25">
        <v>146.5</v>
      </c>
      <c r="K537" s="8">
        <f>IF(Tabela1[[#This Row],[Services CPI]]="",#N/A,((Tabela1[[#This Row],[Services CPI]]*1)/J536)-1)</f>
        <v>4.1124057573680428E-3</v>
      </c>
      <c r="L537" s="8">
        <f>IF(Tabela1[[#This Row],[Services CPI]]="",#N/A,((Tabela1[[#This Row],[Services CPI]]*1)/J525)-1)</f>
        <v>4.942693409742116E-2</v>
      </c>
      <c r="M537" s="7">
        <v>150</v>
      </c>
      <c r="N537" s="8">
        <f>IF(Tabela1[[#This Row],[Core-Services CPI]]="",#N/A,((Tabela1[[#This Row],[Core-Services CPI]]*1)/M536)-1)</f>
        <v>4.0160642570281624E-3</v>
      </c>
      <c r="O537" s="8">
        <f>IF(Tabela1[[#This Row],[Core-Services CPI]]="",#N/A,((Tabela1[[#This Row],[Core-Services CPI]]*1)/M525)-1)</f>
        <v>5.0420168067226712E-2</v>
      </c>
      <c r="P537" s="7">
        <v>116.5</v>
      </c>
      <c r="Q537" s="8">
        <f>IF(Tabela1[[#This Row],[Durable Goods CPI]]="",#N/A,((Tabela1[[#This Row],[Durable Goods CPI]]*1)/P536)-1)</f>
        <v>3.445305770887197E-3</v>
      </c>
      <c r="R537" s="8">
        <f>IF(Tabela1[[#This Row],[Durable Goods CPI]]="",#N/A,((Tabela1[[#This Row],[Durable Goods CPI]]*1)/P525)-1)</f>
        <v>2.9151943462897512E-2</v>
      </c>
      <c r="S537" s="7">
        <v>5.248477287</v>
      </c>
      <c r="T537" s="7">
        <v>61.786999999999999</v>
      </c>
      <c r="U537" s="8">
        <f>IF(Tabela1[[#This Row],[Personal Consumption Expenditures (PCE)]]="",#N/A,((Tabela1[[#This Row],[Personal Consumption Expenditures (PCE)]]*1)/T536)-1)</f>
        <v>1.5723780191279069E-3</v>
      </c>
      <c r="V537" s="8">
        <f>IF(Tabela1[[#This Row],[Personal Consumption Expenditures (PCE)]]="",#N/A,((Tabela1[[#This Row],[Personal Consumption Expenditures (PCE)]]*1)/T525)-1)</f>
        <v>3.4975460225464383E-2</v>
      </c>
      <c r="W537" s="7">
        <v>62.631999999999998</v>
      </c>
      <c r="X537" s="8">
        <f>IF(Tabela1[[#This Row],[Core PCE]]="",#N/A,((Tabela1[[#This Row],[Core PCE]]*1)/W536)-1)</f>
        <v>3.0428237404311886E-3</v>
      </c>
      <c r="Y537" s="8">
        <f>IF(Tabela1[[#This Row],[Core PCE]]="",#N/A,((Tabela1[[#This Row],[Core PCE]]*1)/W525)-1)</f>
        <v>3.522255830482135E-2</v>
      </c>
      <c r="Z537" s="8">
        <f t="shared" si="25"/>
        <v>3.6758135270263281E-2</v>
      </c>
      <c r="AA537" s="8">
        <f t="shared" ref="AA537:AA600" si="28">SUM(X532:X537)*2</f>
        <v>3.2073652637393035E-2</v>
      </c>
      <c r="AB537" s="7">
        <v>3.1</v>
      </c>
      <c r="AC537" s="7"/>
      <c r="AD537" s="8"/>
      <c r="AE537" s="71"/>
      <c r="AF537" s="7">
        <v>3.1</v>
      </c>
      <c r="AG537" s="5"/>
    </row>
    <row r="538" spans="1:33" ht="12.75">
      <c r="A538" s="6">
        <v>33451</v>
      </c>
      <c r="B538" s="7">
        <v>136.6</v>
      </c>
      <c r="C538" s="8">
        <f>IF(Tabela1[[#This Row],[Consumer Price Index (CPI)]]="",#N/A,((Tabela1[[#This Row],[Consumer Price Index (CPI)]]*1)/B537)-1)</f>
        <v>2.936857562408246E-3</v>
      </c>
      <c r="D538" s="8">
        <f>IF(Tabela1[[#This Row],[Consumer Price Index (CPI)]]="",#N/A,((Tabela1[[#This Row],[Consumer Price Index (CPI)]]*1)/B526)-1)</f>
        <v>3.7993920972644313E-2</v>
      </c>
      <c r="E538" s="25">
        <v>142.9</v>
      </c>
      <c r="F538" s="8">
        <f>IF(Tabela1[[#This Row],[Core Consumer Price Index]]="",#N/A,((Tabela1[[#This Row],[Core Consumer Price Index]]*1)/E537)-1)</f>
        <v>4.2164441321153046E-3</v>
      </c>
      <c r="G538" s="8">
        <f>IF(Tabela1[[#This Row],[Core Consumer Price Index]]="",#N/A,((Tabela1[[#This Row],[Core Consumer Price Index]]*1)/E526)-1)</f>
        <v>4.6120058565153776E-2</v>
      </c>
      <c r="H538" s="8">
        <f t="shared" si="26"/>
        <v>4.5124430554096762E-2</v>
      </c>
      <c r="I538" s="8">
        <f t="shared" si="27"/>
        <v>3.8213551689189273E-2</v>
      </c>
      <c r="J538" s="25">
        <v>146.9</v>
      </c>
      <c r="K538" s="8">
        <f>IF(Tabela1[[#This Row],[Services CPI]]="",#N/A,((Tabela1[[#This Row],[Services CPI]]*1)/J537)-1)</f>
        <v>2.7303754266212454E-3</v>
      </c>
      <c r="L538" s="8">
        <f>IF(Tabela1[[#This Row],[Services CPI]]="",#N/A,((Tabela1[[#This Row],[Services CPI]]*1)/J526)-1)</f>
        <v>4.4807965860597543E-2</v>
      </c>
      <c r="M538" s="7">
        <v>150.6</v>
      </c>
      <c r="N538" s="8">
        <f>IF(Tabela1[[#This Row],[Core-Services CPI]]="",#N/A,((Tabela1[[#This Row],[Core-Services CPI]]*1)/M537)-1)</f>
        <v>4.0000000000000036E-3</v>
      </c>
      <c r="O538" s="8">
        <f>IF(Tabela1[[#This Row],[Core-Services CPI]]="",#N/A,((Tabela1[[#This Row],[Core-Services CPI]]*1)/M526)-1)</f>
        <v>4.6560111188325148E-2</v>
      </c>
      <c r="P538" s="7">
        <v>116.4</v>
      </c>
      <c r="Q538" s="8">
        <f>IF(Tabela1[[#This Row],[Durable Goods CPI]]="",#N/A,((Tabela1[[#This Row],[Durable Goods CPI]]*1)/P537)-1)</f>
        <v>-8.5836909871239708E-4</v>
      </c>
      <c r="R538" s="8">
        <f>IF(Tabela1[[#This Row],[Durable Goods CPI]]="",#N/A,((Tabela1[[#This Row],[Durable Goods CPI]]*1)/P526)-1)</f>
        <v>2.6455026455026509E-2</v>
      </c>
      <c r="S538" s="7">
        <v>4.9599784720000004</v>
      </c>
      <c r="T538" s="7">
        <v>61.930999999999997</v>
      </c>
      <c r="U538" s="8">
        <f>IF(Tabela1[[#This Row],[Personal Consumption Expenditures (PCE)]]="",#N/A,((Tabela1[[#This Row],[Personal Consumption Expenditures (PCE)]]*1)/T537)-1)</f>
        <v>2.3305873403789423E-3</v>
      </c>
      <c r="V538" s="8">
        <f>IF(Tabela1[[#This Row],[Personal Consumption Expenditures (PCE)]]="",#N/A,((Tabela1[[#This Row],[Personal Consumption Expenditures (PCE)]]*1)/T526)-1)</f>
        <v>3.0534478168264156E-2</v>
      </c>
      <c r="W538" s="7">
        <v>62.804000000000002</v>
      </c>
      <c r="X538" s="8">
        <f>IF(Tabela1[[#This Row],[Core PCE]]="",#N/A,((Tabela1[[#This Row],[Core PCE]]*1)/W537)-1)</f>
        <v>2.7462000255460417E-3</v>
      </c>
      <c r="Y538" s="8">
        <f>IF(Tabela1[[#This Row],[Core PCE]]="",#N/A,((Tabela1[[#This Row],[Core PCE]]*1)/W526)-1)</f>
        <v>3.37596497292314E-2</v>
      </c>
      <c r="Z538" s="8">
        <f t="shared" si="25"/>
        <v>3.1822858027942047E-2</v>
      </c>
      <c r="AA538" s="8">
        <f t="shared" si="28"/>
        <v>3.2049885451273852E-2</v>
      </c>
      <c r="AB538" s="7">
        <v>2.91</v>
      </c>
      <c r="AC538" s="7"/>
      <c r="AD538" s="8"/>
      <c r="AE538" s="71"/>
      <c r="AF538" s="7">
        <v>3.2</v>
      </c>
      <c r="AG538" s="5"/>
    </row>
    <row r="539" spans="1:33" ht="12.75">
      <c r="A539" s="6">
        <v>33482</v>
      </c>
      <c r="B539" s="7">
        <v>137</v>
      </c>
      <c r="C539" s="8">
        <f>IF(Tabela1[[#This Row],[Consumer Price Index (CPI)]]="",#N/A,((Tabela1[[#This Row],[Consumer Price Index (CPI)]]*1)/B538)-1)</f>
        <v>2.9282576866764831E-3</v>
      </c>
      <c r="D539" s="8">
        <f>IF(Tabela1[[#This Row],[Consumer Price Index (CPI)]]="",#N/A,((Tabela1[[#This Row],[Consumer Price Index (CPI)]]*1)/B527)-1)</f>
        <v>3.3962264150943389E-2</v>
      </c>
      <c r="E539" s="25">
        <v>143.4</v>
      </c>
      <c r="F539" s="8">
        <f>IF(Tabela1[[#This Row],[Core Consumer Price Index]]="",#N/A,((Tabela1[[#This Row],[Core Consumer Price Index]]*1)/E538)-1)</f>
        <v>3.4989503149054357E-3</v>
      </c>
      <c r="G539" s="8">
        <f>IF(Tabela1[[#This Row],[Core Consumer Price Index]]="",#N/A,((Tabela1[[#This Row],[Core Consumer Price Index]]*1)/E527)-1)</f>
        <v>4.5951859956236518E-2</v>
      </c>
      <c r="H539" s="8">
        <f t="shared" si="26"/>
        <v>4.4965950143513567E-2</v>
      </c>
      <c r="I539" s="8">
        <f t="shared" si="27"/>
        <v>4.0931851748386539E-2</v>
      </c>
      <c r="J539" s="25">
        <v>147.6</v>
      </c>
      <c r="K539" s="8">
        <f>IF(Tabela1[[#This Row],[Services CPI]]="",#N/A,((Tabela1[[#This Row],[Services CPI]]*1)/J538)-1)</f>
        <v>4.7651463580666853E-3</v>
      </c>
      <c r="L539" s="8">
        <f>IF(Tabela1[[#This Row],[Services CPI]]="",#N/A,((Tabela1[[#This Row],[Services CPI]]*1)/J527)-1)</f>
        <v>4.6066619418851928E-2</v>
      </c>
      <c r="M539" s="7">
        <v>151.19999999999999</v>
      </c>
      <c r="N539" s="8">
        <f>IF(Tabela1[[#This Row],[Core-Services CPI]]="",#N/A,((Tabela1[[#This Row],[Core-Services CPI]]*1)/M538)-1)</f>
        <v>3.9840637450199168E-3</v>
      </c>
      <c r="O539" s="8">
        <f>IF(Tabela1[[#This Row],[Core-Services CPI]]="",#N/A,((Tabela1[[#This Row],[Core-Services CPI]]*1)/M527)-1)</f>
        <v>4.7091412742382044E-2</v>
      </c>
      <c r="P539" s="7">
        <v>116.5</v>
      </c>
      <c r="Q539" s="8">
        <f>IF(Tabela1[[#This Row],[Durable Goods CPI]]="",#N/A,((Tabela1[[#This Row],[Durable Goods CPI]]*1)/P538)-1)</f>
        <v>8.5910652920961894E-4</v>
      </c>
      <c r="R539" s="8">
        <f>IF(Tabela1[[#This Row],[Durable Goods CPI]]="",#N/A,((Tabela1[[#This Row],[Durable Goods CPI]]*1)/P527)-1)</f>
        <v>2.733686067019403E-2</v>
      </c>
      <c r="S539" s="7">
        <v>4.7357086930000003</v>
      </c>
      <c r="T539" s="7">
        <v>62.143999999999998</v>
      </c>
      <c r="U539" s="8">
        <f>IF(Tabela1[[#This Row],[Personal Consumption Expenditures (PCE)]]="",#N/A,((Tabela1[[#This Row],[Personal Consumption Expenditures (PCE)]]*1)/T538)-1)</f>
        <v>3.4393114918216394E-3</v>
      </c>
      <c r="V539" s="8">
        <f>IF(Tabela1[[#This Row],[Personal Consumption Expenditures (PCE)]]="",#N/A,((Tabela1[[#This Row],[Personal Consumption Expenditures (PCE)]]*1)/T527)-1)</f>
        <v>2.7768130323327478E-2</v>
      </c>
      <c r="W539" s="7">
        <v>63.055</v>
      </c>
      <c r="X539" s="8">
        <f>IF(Tabela1[[#This Row],[Core PCE]]="",#N/A,((Tabela1[[#This Row],[Core PCE]]*1)/W538)-1)</f>
        <v>3.9965607286158722E-3</v>
      </c>
      <c r="Y539" s="8">
        <f>IF(Tabela1[[#This Row],[Core PCE]]="",#N/A,((Tabela1[[#This Row],[Core PCE]]*1)/W527)-1)</f>
        <v>3.4281965061920605E-2</v>
      </c>
      <c r="Z539" s="8">
        <f t="shared" si="25"/>
        <v>3.914233797837241E-2</v>
      </c>
      <c r="AA539" s="8">
        <f t="shared" si="28"/>
        <v>3.5868722442344847E-2</v>
      </c>
      <c r="AB539" s="7">
        <v>2.9</v>
      </c>
      <c r="AC539" s="7"/>
      <c r="AD539" s="8"/>
      <c r="AE539" s="71"/>
      <c r="AF539" s="7">
        <v>3</v>
      </c>
      <c r="AG539" s="5"/>
    </row>
    <row r="540" spans="1:33" ht="12.75">
      <c r="A540" s="6">
        <v>33512</v>
      </c>
      <c r="B540" s="7">
        <v>137.19999999999999</v>
      </c>
      <c r="C540" s="8">
        <f>IF(Tabela1[[#This Row],[Consumer Price Index (CPI)]]="",#N/A,((Tabela1[[#This Row],[Consumer Price Index (CPI)]]*1)/B539)-1)</f>
        <v>1.4598540145984717E-3</v>
      </c>
      <c r="D540" s="8">
        <f>IF(Tabela1[[#This Row],[Consumer Price Index (CPI)]]="",#N/A,((Tabela1[[#This Row],[Consumer Price Index (CPI)]]*1)/B528)-1)</f>
        <v>2.8485757121439192E-2</v>
      </c>
      <c r="E540" s="25">
        <v>143.69999999999999</v>
      </c>
      <c r="F540" s="8">
        <f>IF(Tabela1[[#This Row],[Core Consumer Price Index]]="",#N/A,((Tabela1[[#This Row],[Core Consumer Price Index]]*1)/E539)-1)</f>
        <v>2.0920502092049986E-3</v>
      </c>
      <c r="G540" s="8">
        <f>IF(Tabela1[[#This Row],[Core Consumer Price Index]]="",#N/A,((Tabela1[[#This Row],[Core Consumer Price Index]]*1)/E528)-1)</f>
        <v>4.4331395348837122E-2</v>
      </c>
      <c r="H540" s="8">
        <f t="shared" si="26"/>
        <v>3.9229778624902956E-2</v>
      </c>
      <c r="I540" s="8">
        <f t="shared" si="27"/>
        <v>3.94220019888607E-2</v>
      </c>
      <c r="J540" s="25">
        <v>148</v>
      </c>
      <c r="K540" s="8">
        <f>IF(Tabela1[[#This Row],[Services CPI]]="",#N/A,((Tabela1[[#This Row],[Services CPI]]*1)/J539)-1)</f>
        <v>2.7100271002711285E-3</v>
      </c>
      <c r="L540" s="8">
        <f>IF(Tabela1[[#This Row],[Services CPI]]="",#N/A,((Tabela1[[#This Row],[Services CPI]]*1)/J528)-1)</f>
        <v>4.5197740112994378E-2</v>
      </c>
      <c r="M540" s="7">
        <v>151.6</v>
      </c>
      <c r="N540" s="8">
        <f>IF(Tabela1[[#This Row],[Core-Services CPI]]="",#N/A,((Tabela1[[#This Row],[Core-Services CPI]]*1)/M539)-1)</f>
        <v>2.6455026455027841E-3</v>
      </c>
      <c r="O540" s="8">
        <f>IF(Tabela1[[#This Row],[Core-Services CPI]]="",#N/A,((Tabela1[[#This Row],[Core-Services CPI]]*1)/M528)-1)</f>
        <v>4.5517241379310347E-2</v>
      </c>
      <c r="P540" s="7">
        <v>116.5</v>
      </c>
      <c r="Q540" s="8">
        <f>IF(Tabela1[[#This Row],[Durable Goods CPI]]="",#N/A,((Tabela1[[#This Row],[Durable Goods CPI]]*1)/P539)-1)</f>
        <v>0</v>
      </c>
      <c r="R540" s="8">
        <f>IF(Tabela1[[#This Row],[Durable Goods CPI]]="",#N/A,((Tabela1[[#This Row],[Durable Goods CPI]]*1)/P528)-1)</f>
        <v>2.3725834797891032E-2</v>
      </c>
      <c r="S540" s="7">
        <v>4.413788018</v>
      </c>
      <c r="T540" s="7">
        <v>62.26</v>
      </c>
      <c r="U540" s="8">
        <f>IF(Tabela1[[#This Row],[Personal Consumption Expenditures (PCE)]]="",#N/A,((Tabela1[[#This Row],[Personal Consumption Expenditures (PCE)]]*1)/T539)-1)</f>
        <v>1.8666323377960481E-3</v>
      </c>
      <c r="V540" s="8">
        <f>IF(Tabela1[[#This Row],[Personal Consumption Expenditures (PCE)]]="",#N/A,((Tabela1[[#This Row],[Personal Consumption Expenditures (PCE)]]*1)/T528)-1)</f>
        <v>2.3827925868675104E-2</v>
      </c>
      <c r="W540" s="7">
        <v>63.194000000000003</v>
      </c>
      <c r="X540" s="8">
        <f>IF(Tabela1[[#This Row],[Core PCE]]="",#N/A,((Tabela1[[#This Row],[Core PCE]]*1)/W539)-1)</f>
        <v>2.2044247085877267E-3</v>
      </c>
      <c r="Y540" s="8">
        <f>IF(Tabela1[[#This Row],[Core PCE]]="",#N/A,((Tabela1[[#This Row],[Core PCE]]*1)/W528)-1)</f>
        <v>3.3054338586281373E-2</v>
      </c>
      <c r="Z540" s="8">
        <f t="shared" si="25"/>
        <v>3.5788741850998562E-2</v>
      </c>
      <c r="AA540" s="8">
        <f t="shared" si="28"/>
        <v>3.6273438560630922E-2</v>
      </c>
      <c r="AB540" s="7">
        <v>2.83</v>
      </c>
      <c r="AC540" s="7"/>
      <c r="AD540" s="8"/>
      <c r="AE540" s="71"/>
      <c r="AF540" s="7">
        <v>3.2</v>
      </c>
      <c r="AG540" s="5"/>
    </row>
    <row r="541" spans="1:33" ht="12.75">
      <c r="A541" s="6">
        <v>33543</v>
      </c>
      <c r="B541" s="7">
        <v>137.80000000000001</v>
      </c>
      <c r="C541" s="8">
        <f>IF(Tabela1[[#This Row],[Consumer Price Index (CPI)]]="",#N/A,((Tabela1[[#This Row],[Consumer Price Index (CPI)]]*1)/B540)-1)</f>
        <v>4.3731778425657453E-3</v>
      </c>
      <c r="D541" s="8">
        <f>IF(Tabela1[[#This Row],[Consumer Price Index (CPI)]]="",#N/A,((Tabela1[[#This Row],[Consumer Price Index (CPI)]]*1)/B529)-1)</f>
        <v>3.0665669409125185E-2</v>
      </c>
      <c r="E541" s="25">
        <v>144.19999999999999</v>
      </c>
      <c r="F541" s="8">
        <f>IF(Tabela1[[#This Row],[Core Consumer Price Index]]="",#N/A,((Tabela1[[#This Row],[Core Consumer Price Index]]*1)/E540)-1)</f>
        <v>3.4794711203895989E-3</v>
      </c>
      <c r="G541" s="8">
        <f>IF(Tabela1[[#This Row],[Core Consumer Price Index]]="",#N/A,((Tabela1[[#This Row],[Core Consumer Price Index]]*1)/E529)-1)</f>
        <v>4.4927536231883947E-2</v>
      </c>
      <c r="H541" s="8">
        <f t="shared" si="26"/>
        <v>3.6281886578000133E-2</v>
      </c>
      <c r="I541" s="8">
        <f t="shared" si="27"/>
        <v>4.0703158566048447E-2</v>
      </c>
      <c r="J541" s="25">
        <v>148.5</v>
      </c>
      <c r="K541" s="8">
        <f>IF(Tabela1[[#This Row],[Services CPI]]="",#N/A,((Tabela1[[#This Row],[Services CPI]]*1)/J540)-1)</f>
        <v>3.3783783783782884E-3</v>
      </c>
      <c r="L541" s="8">
        <f>IF(Tabela1[[#This Row],[Services CPI]]="",#N/A,((Tabela1[[#This Row],[Services CPI]]*1)/J529)-1)</f>
        <v>4.4303797468354444E-2</v>
      </c>
      <c r="M541" s="7">
        <v>152.19999999999999</v>
      </c>
      <c r="N541" s="8">
        <f>IF(Tabela1[[#This Row],[Core-Services CPI]]="",#N/A,((Tabela1[[#This Row],[Core-Services CPI]]*1)/M540)-1)</f>
        <v>3.9577836411608391E-3</v>
      </c>
      <c r="O541" s="8">
        <f>IF(Tabela1[[#This Row],[Core-Services CPI]]="",#N/A,((Tabela1[[#This Row],[Core-Services CPI]]*1)/M529)-1)</f>
        <v>4.6048109965635575E-2</v>
      </c>
      <c r="P541" s="7">
        <v>116.7</v>
      </c>
      <c r="Q541" s="8">
        <f>IF(Tabela1[[#This Row],[Durable Goods CPI]]="",#N/A,((Tabela1[[#This Row],[Durable Goods CPI]]*1)/P540)-1)</f>
        <v>1.7167381974250162E-3</v>
      </c>
      <c r="R541" s="8">
        <f>IF(Tabela1[[#This Row],[Durable Goods CPI]]="",#N/A,((Tabela1[[#This Row],[Durable Goods CPI]]*1)/P529)-1)</f>
        <v>2.5483304042179356E-2</v>
      </c>
      <c r="S541" s="7">
        <v>4.465741661</v>
      </c>
      <c r="T541" s="7">
        <v>62.396999999999998</v>
      </c>
      <c r="U541" s="8">
        <f>IF(Tabela1[[#This Row],[Personal Consumption Expenditures (PCE)]]="",#N/A,((Tabela1[[#This Row],[Personal Consumption Expenditures (PCE)]]*1)/T540)-1)</f>
        <v>2.2004497269514367E-3</v>
      </c>
      <c r="V541" s="8">
        <f>IF(Tabela1[[#This Row],[Personal Consumption Expenditures (PCE)]]="",#N/A,((Tabela1[[#This Row],[Personal Consumption Expenditures (PCE)]]*1)/T529)-1)</f>
        <v>2.478320851399296E-2</v>
      </c>
      <c r="W541" s="7">
        <v>63.311999999999998</v>
      </c>
      <c r="X541" s="8">
        <f>IF(Tabela1[[#This Row],[Core PCE]]="",#N/A,((Tabela1[[#This Row],[Core PCE]]*1)/W540)-1)</f>
        <v>1.8672658796721198E-3</v>
      </c>
      <c r="Y541" s="8">
        <f>IF(Tabela1[[#This Row],[Core PCE]]="",#N/A,((Tabela1[[#This Row],[Core PCE]]*1)/W529)-1)</f>
        <v>3.3732815204258193E-2</v>
      </c>
      <c r="Z541" s="8">
        <f t="shared" si="25"/>
        <v>3.2273005267502874E-2</v>
      </c>
      <c r="AA541" s="8">
        <f t="shared" si="28"/>
        <v>3.2047931647722461E-2</v>
      </c>
      <c r="AB541" s="7">
        <v>2.97</v>
      </c>
      <c r="AC541" s="7"/>
      <c r="AD541" s="8"/>
      <c r="AE541" s="71"/>
      <c r="AF541" s="7">
        <v>2.9</v>
      </c>
      <c r="AG541" s="5"/>
    </row>
    <row r="542" spans="1:33" ht="12.75">
      <c r="A542" s="6">
        <v>33573</v>
      </c>
      <c r="B542" s="7">
        <v>138.19999999999999</v>
      </c>
      <c r="C542" s="8">
        <f>IF(Tabela1[[#This Row],[Consumer Price Index (CPI)]]="",#N/A,((Tabela1[[#This Row],[Consumer Price Index (CPI)]]*1)/B541)-1)</f>
        <v>2.9027576197386828E-3</v>
      </c>
      <c r="D542" s="8">
        <f>IF(Tabela1[[#This Row],[Consumer Price Index (CPI)]]="",#N/A,((Tabela1[[#This Row],[Consumer Price Index (CPI)]]*1)/B530)-1)</f>
        <v>2.9806259314456129E-2</v>
      </c>
      <c r="E542" s="25">
        <v>144.69999999999999</v>
      </c>
      <c r="F542" s="8">
        <f>IF(Tabela1[[#This Row],[Core Consumer Price Index]]="",#N/A,((Tabela1[[#This Row],[Core Consumer Price Index]]*1)/E541)-1)</f>
        <v>3.4674063800277377E-3</v>
      </c>
      <c r="G542" s="8">
        <f>IF(Tabela1[[#This Row],[Core Consumer Price Index]]="",#N/A,((Tabela1[[#This Row],[Core Consumer Price Index]]*1)/E530)-1)</f>
        <v>4.4011544011544057E-2</v>
      </c>
      <c r="H542" s="8">
        <f t="shared" si="26"/>
        <v>3.6155710838489341E-2</v>
      </c>
      <c r="I542" s="8">
        <f t="shared" si="27"/>
        <v>4.0560830491001454E-2</v>
      </c>
      <c r="J542" s="25">
        <v>149.19999999999999</v>
      </c>
      <c r="K542" s="8">
        <f>IF(Tabela1[[#This Row],[Services CPI]]="",#N/A,((Tabela1[[#This Row],[Services CPI]]*1)/J541)-1)</f>
        <v>4.7138047138046701E-3</v>
      </c>
      <c r="L542" s="8">
        <f>IF(Tabela1[[#This Row],[Services CPI]]="",#N/A,((Tabela1[[#This Row],[Services CPI]]*1)/J530)-1)</f>
        <v>4.5550105115627293E-2</v>
      </c>
      <c r="M542" s="7">
        <v>152.80000000000001</v>
      </c>
      <c r="N542" s="8">
        <f>IF(Tabela1[[#This Row],[Core-Services CPI]]="",#N/A,((Tabela1[[#This Row],[Core-Services CPI]]*1)/M541)-1)</f>
        <v>3.9421813403417438E-3</v>
      </c>
      <c r="O542" s="8">
        <f>IF(Tabela1[[#This Row],[Core-Services CPI]]="",#N/A,((Tabela1[[#This Row],[Core-Services CPI]]*1)/M530)-1)</f>
        <v>4.5859000684462803E-2</v>
      </c>
      <c r="P542" s="7">
        <v>116.8</v>
      </c>
      <c r="Q542" s="8">
        <f>IF(Tabela1[[#This Row],[Durable Goods CPI]]="",#N/A,((Tabela1[[#This Row],[Durable Goods CPI]]*1)/P541)-1)</f>
        <v>8.5689802913457847E-4</v>
      </c>
      <c r="R542" s="8">
        <f>IF(Tabela1[[#This Row],[Durable Goods CPI]]="",#N/A,((Tabela1[[#This Row],[Durable Goods CPI]]*1)/P530)-1)</f>
        <v>2.3663453111305799E-2</v>
      </c>
      <c r="S542" s="7">
        <v>4.3105972350000004</v>
      </c>
      <c r="T542" s="7">
        <v>62.552999999999997</v>
      </c>
      <c r="U542" s="8">
        <f>IF(Tabela1[[#This Row],[Personal Consumption Expenditures (PCE)]]="",#N/A,((Tabela1[[#This Row],[Personal Consumption Expenditures (PCE)]]*1)/T541)-1)</f>
        <v>2.5001201980863197E-3</v>
      </c>
      <c r="V542" s="8">
        <f>IF(Tabela1[[#This Row],[Personal Consumption Expenditures (PCE)]]="",#N/A,((Tabela1[[#This Row],[Personal Consumption Expenditures (PCE)]]*1)/T530)-1)</f>
        <v>2.6384444991385703E-2</v>
      </c>
      <c r="W542" s="7">
        <v>63.468000000000004</v>
      </c>
      <c r="X542" s="8">
        <f>IF(Tabela1[[#This Row],[Core PCE]]="",#N/A,((Tabela1[[#This Row],[Core PCE]]*1)/W541)-1)</f>
        <v>2.4639878695982276E-3</v>
      </c>
      <c r="Y542" s="8">
        <f>IF(Tabela1[[#This Row],[Core PCE]]="",#N/A,((Tabela1[[#This Row],[Core PCE]]*1)/W530)-1)</f>
        <v>3.484371688053356E-2</v>
      </c>
      <c r="Z542" s="8">
        <f t="shared" si="25"/>
        <v>2.6142713831432296E-2</v>
      </c>
      <c r="AA542" s="8">
        <f t="shared" si="28"/>
        <v>3.2642525904902353E-2</v>
      </c>
      <c r="AB542" s="7">
        <v>3</v>
      </c>
      <c r="AC542" s="7"/>
      <c r="AD542" s="8"/>
      <c r="AE542" s="71"/>
      <c r="AF542" s="7">
        <v>2.7</v>
      </c>
      <c r="AG542" s="5"/>
    </row>
    <row r="543" spans="1:33" ht="12.75">
      <c r="A543" s="6">
        <v>33604</v>
      </c>
      <c r="B543" s="7">
        <v>138.30000000000001</v>
      </c>
      <c r="C543" s="8">
        <f>IF(Tabela1[[#This Row],[Consumer Price Index (CPI)]]="",#N/A,((Tabela1[[#This Row],[Consumer Price Index (CPI)]]*1)/B542)-1)</f>
        <v>7.2358900144742222E-4</v>
      </c>
      <c r="D543" s="8">
        <f>IF(Tabela1[[#This Row],[Consumer Price Index (CPI)]]="",#N/A,((Tabela1[[#This Row],[Consumer Price Index (CPI)]]*1)/B531)-1)</f>
        <v>2.6726057906458989E-2</v>
      </c>
      <c r="E543" s="25">
        <v>145.1</v>
      </c>
      <c r="F543" s="8">
        <f>IF(Tabela1[[#This Row],[Core Consumer Price Index]]="",#N/A,((Tabela1[[#This Row],[Core Consumer Price Index]]*1)/E542)-1)</f>
        <v>2.7643400138217533E-3</v>
      </c>
      <c r="G543" s="8">
        <f>IF(Tabela1[[#This Row],[Core Consumer Price Index]]="",#N/A,((Tabela1[[#This Row],[Core Consumer Price Index]]*1)/E531)-1)</f>
        <v>4.0143369175627219E-2</v>
      </c>
      <c r="H543" s="8">
        <f t="shared" si="26"/>
        <v>3.884487005695636E-2</v>
      </c>
      <c r="I543" s="8">
        <f t="shared" si="27"/>
        <v>3.9037324340929658E-2</v>
      </c>
      <c r="J543" s="25">
        <v>149.6</v>
      </c>
      <c r="K543" s="8">
        <f>IF(Tabela1[[#This Row],[Services CPI]]="",#N/A,((Tabela1[[#This Row],[Services CPI]]*1)/J542)-1)</f>
        <v>2.6809651474530849E-3</v>
      </c>
      <c r="L543" s="8">
        <f>IF(Tabela1[[#This Row],[Services CPI]]="",#N/A,((Tabela1[[#This Row],[Services CPI]]*1)/J531)-1)</f>
        <v>4.1057759220598511E-2</v>
      </c>
      <c r="M543" s="7">
        <v>153.30000000000001</v>
      </c>
      <c r="N543" s="8">
        <f>IF(Tabela1[[#This Row],[Core-Services CPI]]="",#N/A,((Tabela1[[#This Row],[Core-Services CPI]]*1)/M542)-1)</f>
        <v>3.2722513089005201E-3</v>
      </c>
      <c r="O543" s="8">
        <f>IF(Tabela1[[#This Row],[Core-Services CPI]]="",#N/A,((Tabela1[[#This Row],[Core-Services CPI]]*1)/M531)-1)</f>
        <v>4.2857142857142927E-2</v>
      </c>
      <c r="P543" s="7">
        <v>117.1</v>
      </c>
      <c r="Q543" s="8">
        <f>IF(Tabela1[[#This Row],[Durable Goods CPI]]="",#N/A,((Tabela1[[#This Row],[Durable Goods CPI]]*1)/P542)-1)</f>
        <v>2.5684931506848585E-3</v>
      </c>
      <c r="R543" s="8">
        <f>IF(Tabela1[[#This Row],[Durable Goods CPI]]="",#N/A,((Tabela1[[#This Row],[Durable Goods CPI]]*1)/P531)-1)</f>
        <v>2.2707423580786035E-2</v>
      </c>
      <c r="S543" s="7">
        <v>4.3700032210000002</v>
      </c>
      <c r="T543" s="7">
        <v>62.637999999999998</v>
      </c>
      <c r="U543" s="8">
        <f>IF(Tabela1[[#This Row],[Personal Consumption Expenditures (PCE)]]="",#N/A,((Tabela1[[#This Row],[Personal Consumption Expenditures (PCE)]]*1)/T542)-1)</f>
        <v>1.3588476971528873E-3</v>
      </c>
      <c r="V543" s="8">
        <f>IF(Tabela1[[#This Row],[Personal Consumption Expenditures (PCE)]]="",#N/A,((Tabela1[[#This Row],[Personal Consumption Expenditures (PCE)]]*1)/T531)-1)</f>
        <v>2.388152410219524E-2</v>
      </c>
      <c r="W543" s="7">
        <v>63.640999999999998</v>
      </c>
      <c r="X543" s="8">
        <f>IF(Tabela1[[#This Row],[Core PCE]]="",#N/A,((Tabela1[[#This Row],[Core PCE]]*1)/W542)-1)</f>
        <v>2.7257830717841713E-3</v>
      </c>
      <c r="Y543" s="8">
        <f>IF(Tabela1[[#This Row],[Core PCE]]="",#N/A,((Tabela1[[#This Row],[Core PCE]]*1)/W531)-1)</f>
        <v>3.2512938656975576E-2</v>
      </c>
      <c r="Z543" s="8">
        <f t="shared" si="25"/>
        <v>2.8228147284218075E-2</v>
      </c>
      <c r="AA543" s="8">
        <f t="shared" si="28"/>
        <v>3.2008444567608318E-2</v>
      </c>
      <c r="AB543" s="7">
        <v>2.88</v>
      </c>
      <c r="AC543" s="7"/>
      <c r="AD543" s="8"/>
      <c r="AE543" s="71"/>
      <c r="AF543" s="7">
        <v>2.7</v>
      </c>
      <c r="AG543" s="5"/>
    </row>
    <row r="544" spans="1:33" ht="12.75">
      <c r="A544" s="6">
        <v>33635</v>
      </c>
      <c r="B544" s="7">
        <v>138.6</v>
      </c>
      <c r="C544" s="8">
        <f>IF(Tabela1[[#This Row],[Consumer Price Index (CPI)]]="",#N/A,((Tabela1[[#This Row],[Consumer Price Index (CPI)]]*1)/B543)-1)</f>
        <v>2.1691973969630851E-3</v>
      </c>
      <c r="D544" s="8">
        <f>IF(Tabela1[[#This Row],[Consumer Price Index (CPI)]]="",#N/A,((Tabela1[[#This Row],[Consumer Price Index (CPI)]]*1)/B532)-1)</f>
        <v>2.8189910979228294E-2</v>
      </c>
      <c r="E544" s="25">
        <v>145.4</v>
      </c>
      <c r="F544" s="8">
        <f>IF(Tabela1[[#This Row],[Core Consumer Price Index]]="",#N/A,((Tabela1[[#This Row],[Core Consumer Price Index]]*1)/E543)-1)</f>
        <v>2.0675396278428959E-3</v>
      </c>
      <c r="G544" s="8">
        <f>IF(Tabela1[[#This Row],[Core Consumer Price Index]]="",#N/A,((Tabela1[[#This Row],[Core Consumer Price Index]]*1)/E532)-1)</f>
        <v>3.7089871611982961E-2</v>
      </c>
      <c r="H544" s="8">
        <f t="shared" si="26"/>
        <v>3.3197144086769548E-2</v>
      </c>
      <c r="I544" s="8">
        <f t="shared" si="27"/>
        <v>3.473951533238484E-2</v>
      </c>
      <c r="J544" s="25">
        <v>149.9</v>
      </c>
      <c r="K544" s="8">
        <f>IF(Tabela1[[#This Row],[Services CPI]]="",#N/A,((Tabela1[[#This Row],[Services CPI]]*1)/J543)-1)</f>
        <v>2.0053475935830622E-3</v>
      </c>
      <c r="L544" s="8">
        <f>IF(Tabela1[[#This Row],[Services CPI]]="",#N/A,((Tabela1[[#This Row],[Services CPI]]*1)/J532)-1)</f>
        <v>3.8088642659279692E-2</v>
      </c>
      <c r="M544" s="7">
        <v>153.69999999999999</v>
      </c>
      <c r="N544" s="8">
        <f>IF(Tabela1[[#This Row],[Core-Services CPI]]="",#N/A,((Tabela1[[#This Row],[Core-Services CPI]]*1)/M543)-1)</f>
        <v>2.6092628832352638E-3</v>
      </c>
      <c r="O544" s="8">
        <f>IF(Tabela1[[#This Row],[Core-Services CPI]]="",#N/A,((Tabela1[[#This Row],[Core-Services CPI]]*1)/M532)-1)</f>
        <v>4.1327913279132655E-2</v>
      </c>
      <c r="P544" s="7">
        <v>117.3</v>
      </c>
      <c r="Q544" s="8">
        <f>IF(Tabela1[[#This Row],[Durable Goods CPI]]="",#N/A,((Tabela1[[#This Row],[Durable Goods CPI]]*1)/P543)-1)</f>
        <v>1.7079419299743659E-3</v>
      </c>
      <c r="R544" s="8">
        <f>IF(Tabela1[[#This Row],[Durable Goods CPI]]="",#N/A,((Tabela1[[#This Row],[Durable Goods CPI]]*1)/P532)-1)</f>
        <v>1.9113814074717572E-2</v>
      </c>
      <c r="S544" s="7">
        <v>4.3665924030000003</v>
      </c>
      <c r="T544" s="7">
        <v>62.796999999999997</v>
      </c>
      <c r="U544" s="8">
        <f>IF(Tabela1[[#This Row],[Personal Consumption Expenditures (PCE)]]="",#N/A,((Tabela1[[#This Row],[Personal Consumption Expenditures (PCE)]]*1)/T543)-1)</f>
        <v>2.5383952233468676E-3</v>
      </c>
      <c r="V544" s="8">
        <f>IF(Tabela1[[#This Row],[Personal Consumption Expenditures (PCE)]]="",#N/A,((Tabela1[[#This Row],[Personal Consumption Expenditures (PCE)]]*1)/T532)-1)</f>
        <v>2.5960658737419928E-2</v>
      </c>
      <c r="W544" s="7">
        <v>63.814</v>
      </c>
      <c r="X544" s="8">
        <f>IF(Tabela1[[#This Row],[Core PCE]]="",#N/A,((Tabela1[[#This Row],[Core PCE]]*1)/W543)-1)</f>
        <v>2.7183733756541706E-3</v>
      </c>
      <c r="Y544" s="8">
        <f>IF(Tabela1[[#This Row],[Core PCE]]="",#N/A,((Tabela1[[#This Row],[Core PCE]]*1)/W532)-1)</f>
        <v>3.2472050091413518E-2</v>
      </c>
      <c r="Z544" s="8">
        <f t="shared" si="25"/>
        <v>3.1632577268146278E-2</v>
      </c>
      <c r="AA544" s="8">
        <f t="shared" si="28"/>
        <v>3.1952791267824576E-2</v>
      </c>
      <c r="AB544" s="7">
        <v>2.9</v>
      </c>
      <c r="AC544" s="7"/>
      <c r="AD544" s="8"/>
      <c r="AE544" s="71"/>
      <c r="AF544" s="7">
        <v>2.6</v>
      </c>
      <c r="AG544" s="5"/>
    </row>
    <row r="545" spans="1:33" ht="12.75">
      <c r="A545" s="6">
        <v>33664</v>
      </c>
      <c r="B545" s="7">
        <v>139.1</v>
      </c>
      <c r="C545" s="8">
        <f>IF(Tabela1[[#This Row],[Consumer Price Index (CPI)]]="",#N/A,((Tabela1[[#This Row],[Consumer Price Index (CPI)]]*1)/B544)-1)</f>
        <v>3.6075036075036149E-3</v>
      </c>
      <c r="D545" s="8">
        <f>IF(Tabela1[[#This Row],[Consumer Price Index (CPI)]]="",#N/A,((Tabela1[[#This Row],[Consumer Price Index (CPI)]]*1)/B533)-1)</f>
        <v>3.1899109792284719E-2</v>
      </c>
      <c r="E545" s="25">
        <v>145.9</v>
      </c>
      <c r="F545" s="8">
        <f>IF(Tabela1[[#This Row],[Core Consumer Price Index]]="",#N/A,((Tabela1[[#This Row],[Core Consumer Price Index]]*1)/E544)-1)</f>
        <v>3.4387895460796791E-3</v>
      </c>
      <c r="G545" s="8">
        <f>IF(Tabela1[[#This Row],[Core Consumer Price Index]]="",#N/A,((Tabela1[[#This Row],[Core Consumer Price Index]]*1)/E533)-1)</f>
        <v>3.843416370106767E-2</v>
      </c>
      <c r="H545" s="8">
        <f t="shared" si="26"/>
        <v>3.3082676750977313E-2</v>
      </c>
      <c r="I545" s="8">
        <f t="shared" si="27"/>
        <v>3.4619193794733327E-2</v>
      </c>
      <c r="J545" s="25">
        <v>150.4</v>
      </c>
      <c r="K545" s="8">
        <f>IF(Tabela1[[#This Row],[Services CPI]]="",#N/A,((Tabela1[[#This Row],[Services CPI]]*1)/J544)-1)</f>
        <v>3.3355570380253496E-3</v>
      </c>
      <c r="L545" s="8">
        <f>IF(Tabela1[[#This Row],[Services CPI]]="",#N/A,((Tabela1[[#This Row],[Services CPI]]*1)/J533)-1)</f>
        <v>3.9391845196959263E-2</v>
      </c>
      <c r="M545" s="7">
        <v>154.30000000000001</v>
      </c>
      <c r="N545" s="8">
        <f>IF(Tabela1[[#This Row],[Core-Services CPI]]="",#N/A,((Tabela1[[#This Row],[Core-Services CPI]]*1)/M544)-1)</f>
        <v>3.9037085230970714E-3</v>
      </c>
      <c r="O545" s="8">
        <f>IF(Tabela1[[#This Row],[Core-Services CPI]]="",#N/A,((Tabela1[[#This Row],[Core-Services CPI]]*1)/M533)-1)</f>
        <v>4.1863605671843551E-2</v>
      </c>
      <c r="P545" s="7">
        <v>117.8</v>
      </c>
      <c r="Q545" s="8">
        <f>IF(Tabela1[[#This Row],[Durable Goods CPI]]="",#N/A,((Tabela1[[#This Row],[Durable Goods CPI]]*1)/P544)-1)</f>
        <v>4.2625745950555238E-3</v>
      </c>
      <c r="R545" s="8">
        <f>IF(Tabela1[[#This Row],[Durable Goods CPI]]="",#N/A,((Tabela1[[#This Row],[Durable Goods CPI]]*1)/P533)-1)</f>
        <v>2.1682567215958404E-2</v>
      </c>
      <c r="S545" s="7">
        <v>4.0699133710000002</v>
      </c>
      <c r="T545" s="7">
        <v>62.948999999999998</v>
      </c>
      <c r="U545" s="8">
        <f>IF(Tabela1[[#This Row],[Personal Consumption Expenditures (PCE)]]="",#N/A,((Tabela1[[#This Row],[Personal Consumption Expenditures (PCE)]]*1)/T544)-1)</f>
        <v>2.4204977944806139E-3</v>
      </c>
      <c r="V545" s="8">
        <f>IF(Tabela1[[#This Row],[Personal Consumption Expenditures (PCE)]]="",#N/A,((Tabela1[[#This Row],[Personal Consumption Expenditures (PCE)]]*1)/T533)-1)</f>
        <v>2.8225608859705043E-2</v>
      </c>
      <c r="W545" s="7">
        <v>63.972999999999999</v>
      </c>
      <c r="X545" s="8">
        <f>IF(Tabela1[[#This Row],[Core PCE]]="",#N/A,((Tabela1[[#This Row],[Core PCE]]*1)/W544)-1)</f>
        <v>2.4916162597548031E-3</v>
      </c>
      <c r="Y545" s="8">
        <f>IF(Tabela1[[#This Row],[Core PCE]]="",#N/A,((Tabela1[[#This Row],[Core PCE]]*1)/W533)-1)</f>
        <v>3.2888788426763016E-2</v>
      </c>
      <c r="Z545" s="8">
        <f t="shared" si="25"/>
        <v>3.174309082877258E-2</v>
      </c>
      <c r="AA545" s="8">
        <f t="shared" si="28"/>
        <v>2.8942902330102438E-2</v>
      </c>
      <c r="AB545" s="7">
        <v>2.99</v>
      </c>
      <c r="AC545" s="7"/>
      <c r="AD545" s="8"/>
      <c r="AE545" s="71"/>
      <c r="AF545" s="7">
        <v>2.6</v>
      </c>
      <c r="AG545" s="5"/>
    </row>
    <row r="546" spans="1:33" ht="12.75">
      <c r="A546" s="6">
        <v>33695</v>
      </c>
      <c r="B546" s="7">
        <v>139.4</v>
      </c>
      <c r="C546" s="8">
        <f>IF(Tabela1[[#This Row],[Consumer Price Index (CPI)]]="",#N/A,((Tabela1[[#This Row],[Consumer Price Index (CPI)]]*1)/B545)-1)</f>
        <v>2.1567217828901697E-3</v>
      </c>
      <c r="D546" s="8">
        <f>IF(Tabela1[[#This Row],[Consumer Price Index (CPI)]]="",#N/A,((Tabela1[[#This Row],[Consumer Price Index (CPI)]]*1)/B534)-1)</f>
        <v>3.1828275351591495E-2</v>
      </c>
      <c r="E546" s="25">
        <v>146.30000000000001</v>
      </c>
      <c r="F546" s="8">
        <f>IF(Tabela1[[#This Row],[Core Consumer Price Index]]="",#N/A,((Tabela1[[#This Row],[Core Consumer Price Index]]*1)/E545)-1)</f>
        <v>2.7416038382455099E-3</v>
      </c>
      <c r="G546" s="8">
        <f>IF(Tabela1[[#This Row],[Core Consumer Price Index]]="",#N/A,((Tabela1[[#This Row],[Core Consumer Price Index]]*1)/E534)-1)</f>
        <v>3.8325053229240735E-2</v>
      </c>
      <c r="H546" s="8">
        <f t="shared" si="26"/>
        <v>3.299173204867234E-2</v>
      </c>
      <c r="I546" s="8">
        <f t="shared" si="27"/>
        <v>3.591830105281435E-2</v>
      </c>
      <c r="J546" s="25">
        <v>150.9</v>
      </c>
      <c r="K546" s="8">
        <f>IF(Tabela1[[#This Row],[Services CPI]]="",#N/A,((Tabela1[[#This Row],[Services CPI]]*1)/J545)-1)</f>
        <v>3.3244680851063357E-3</v>
      </c>
      <c r="L546" s="8">
        <f>IF(Tabela1[[#This Row],[Services CPI]]="",#N/A,((Tabela1[[#This Row],[Services CPI]]*1)/J534)-1)</f>
        <v>4.1407867494823947E-2</v>
      </c>
      <c r="M546" s="7">
        <v>154.80000000000001</v>
      </c>
      <c r="N546" s="8">
        <f>IF(Tabela1[[#This Row],[Core-Services CPI]]="",#N/A,((Tabela1[[#This Row],[Core-Services CPI]]*1)/M545)-1)</f>
        <v>3.240440699935121E-3</v>
      </c>
      <c r="O546" s="8">
        <f>IF(Tabela1[[#This Row],[Core-Services CPI]]="",#N/A,((Tabela1[[#This Row],[Core-Services CPI]]*1)/M534)-1)</f>
        <v>4.3126684636118684E-2</v>
      </c>
      <c r="P546" s="7">
        <v>118.1</v>
      </c>
      <c r="Q546" s="8">
        <f>IF(Tabela1[[#This Row],[Durable Goods CPI]]="",#N/A,((Tabela1[[#This Row],[Durable Goods CPI]]*1)/P545)-1)</f>
        <v>2.5466893039050031E-3</v>
      </c>
      <c r="R546" s="8">
        <f>IF(Tabela1[[#This Row],[Durable Goods CPI]]="",#N/A,((Tabela1[[#This Row],[Durable Goods CPI]]*1)/P534)-1)</f>
        <v>2.251082251082237E-2</v>
      </c>
      <c r="S546" s="7">
        <v>3.8781843540000001</v>
      </c>
      <c r="T546" s="7">
        <v>63.119</v>
      </c>
      <c r="U546" s="8">
        <f>IF(Tabela1[[#This Row],[Personal Consumption Expenditures (PCE)]]="",#N/A,((Tabela1[[#This Row],[Personal Consumption Expenditures (PCE)]]*1)/T545)-1)</f>
        <v>2.7005988975201678E-3</v>
      </c>
      <c r="V546" s="8">
        <f>IF(Tabela1[[#This Row],[Personal Consumption Expenditures (PCE)]]="",#N/A,((Tabela1[[#This Row],[Personal Consumption Expenditures (PCE)]]*1)/T534)-1)</f>
        <v>2.9136502967455735E-2</v>
      </c>
      <c r="W546" s="7">
        <v>64.183000000000007</v>
      </c>
      <c r="X546" s="8">
        <f>IF(Tabela1[[#This Row],[Core PCE]]="",#N/A,((Tabela1[[#This Row],[Core PCE]]*1)/W545)-1)</f>
        <v>3.282634861582423E-3</v>
      </c>
      <c r="Y546" s="8">
        <f>IF(Tabela1[[#This Row],[Core PCE]]="",#N/A,((Tabela1[[#This Row],[Core PCE]]*1)/W534)-1)</f>
        <v>3.4208830164357051E-2</v>
      </c>
      <c r="Z546" s="8">
        <f t="shared" si="25"/>
        <v>3.3970497987965587E-2</v>
      </c>
      <c r="AA546" s="8">
        <f t="shared" si="28"/>
        <v>3.1099322636091831E-2</v>
      </c>
      <c r="AB546" s="7">
        <v>2.94</v>
      </c>
      <c r="AC546" s="7"/>
      <c r="AD546" s="8"/>
      <c r="AE546" s="71"/>
      <c r="AF546" s="7">
        <v>3</v>
      </c>
      <c r="AG546" s="5"/>
    </row>
    <row r="547" spans="1:33" ht="12.75">
      <c r="A547" s="6">
        <v>33725</v>
      </c>
      <c r="B547" s="7">
        <v>139.69999999999999</v>
      </c>
      <c r="C547" s="8">
        <f>IF(Tabela1[[#This Row],[Consumer Price Index (CPI)]]="",#N/A,((Tabela1[[#This Row],[Consumer Price Index (CPI)]]*1)/B546)-1)</f>
        <v>2.1520803443326741E-3</v>
      </c>
      <c r="D547" s="8">
        <f>IF(Tabela1[[#This Row],[Consumer Price Index (CPI)]]="",#N/A,((Tabela1[[#This Row],[Consumer Price Index (CPI)]]*1)/B535)-1)</f>
        <v>3.0235988200590036E-2</v>
      </c>
      <c r="E547" s="25">
        <v>146.80000000000001</v>
      </c>
      <c r="F547" s="8">
        <f>IF(Tabela1[[#This Row],[Core Consumer Price Index]]="",#N/A,((Tabela1[[#This Row],[Core Consumer Price Index]]*1)/E546)-1)</f>
        <v>3.4176349965824304E-3</v>
      </c>
      <c r="G547" s="8">
        <f>IF(Tabela1[[#This Row],[Core Consumer Price Index]]="",#N/A,((Tabela1[[#This Row],[Core Consumer Price Index]]*1)/E535)-1)</f>
        <v>3.8924274593064467E-2</v>
      </c>
      <c r="H547" s="8">
        <f t="shared" si="26"/>
        <v>3.8392113523630478E-2</v>
      </c>
      <c r="I547" s="8">
        <f t="shared" si="27"/>
        <v>3.5794628805200013E-2</v>
      </c>
      <c r="J547" s="25">
        <v>151.30000000000001</v>
      </c>
      <c r="K547" s="8">
        <f>IF(Tabela1[[#This Row],[Services CPI]]="",#N/A,((Tabela1[[#This Row],[Services CPI]]*1)/J546)-1)</f>
        <v>2.6507620941020882E-3</v>
      </c>
      <c r="L547" s="8">
        <f>IF(Tabela1[[#This Row],[Services CPI]]="",#N/A,((Tabela1[[#This Row],[Services CPI]]*1)/J535)-1)</f>
        <v>4.0577716643741546E-2</v>
      </c>
      <c r="M547" s="7">
        <v>155.19999999999999</v>
      </c>
      <c r="N547" s="8">
        <f>IF(Tabela1[[#This Row],[Core-Services CPI]]="",#N/A,((Tabela1[[#This Row],[Core-Services CPI]]*1)/M546)-1)</f>
        <v>2.5839793281652312E-3</v>
      </c>
      <c r="O547" s="8">
        <f>IF(Tabela1[[#This Row],[Core-Services CPI]]="",#N/A,((Tabela1[[#This Row],[Core-Services CPI]]*1)/M535)-1)</f>
        <v>4.2310275352585469E-2</v>
      </c>
      <c r="P547" s="7">
        <v>118.3</v>
      </c>
      <c r="Q547" s="8">
        <f>IF(Tabela1[[#This Row],[Durable Goods CPI]]="",#N/A,((Tabela1[[#This Row],[Durable Goods CPI]]*1)/P546)-1)</f>
        <v>1.6934801016088574E-3</v>
      </c>
      <c r="R547" s="8">
        <f>IF(Tabela1[[#This Row],[Durable Goods CPI]]="",#N/A,((Tabela1[[#This Row],[Durable Goods CPI]]*1)/P535)-1)</f>
        <v>2.070750647109576E-2</v>
      </c>
      <c r="S547" s="7">
        <v>3.990512759</v>
      </c>
      <c r="T547" s="7">
        <v>63.203000000000003</v>
      </c>
      <c r="U547" s="8">
        <f>IF(Tabela1[[#This Row],[Personal Consumption Expenditures (PCE)]]="",#N/A,((Tabela1[[#This Row],[Personal Consumption Expenditures (PCE)]]*1)/T546)-1)</f>
        <v>1.3308195630477027E-3</v>
      </c>
      <c r="V547" s="8">
        <f>IF(Tabela1[[#This Row],[Personal Consumption Expenditures (PCE)]]="",#N/A,((Tabela1[[#This Row],[Personal Consumption Expenditures (PCE)]]*1)/T535)-1)</f>
        <v>2.6255967265287561E-2</v>
      </c>
      <c r="W547" s="7">
        <v>64.272999999999996</v>
      </c>
      <c r="X547" s="8">
        <f>IF(Tabela1[[#This Row],[Core PCE]]="",#N/A,((Tabela1[[#This Row],[Core PCE]]*1)/W546)-1)</f>
        <v>1.4022404686597767E-3</v>
      </c>
      <c r="Y547" s="8">
        <f>IF(Tabela1[[#This Row],[Core PCE]]="",#N/A,((Tabela1[[#This Row],[Core PCE]]*1)/W535)-1)</f>
        <v>3.1553437013497554E-2</v>
      </c>
      <c r="Z547" s="8">
        <f t="shared" si="25"/>
        <v>2.8705966359988011E-2</v>
      </c>
      <c r="AA547" s="8">
        <f t="shared" si="28"/>
        <v>3.0169271814067145E-2</v>
      </c>
      <c r="AB547" s="7">
        <v>2.8</v>
      </c>
      <c r="AC547" s="7"/>
      <c r="AD547" s="8"/>
      <c r="AE547" s="71"/>
      <c r="AF547" s="7">
        <v>2.9</v>
      </c>
      <c r="AG547" s="5"/>
    </row>
    <row r="548" spans="1:33" ht="12.75">
      <c r="A548" s="6">
        <v>33756</v>
      </c>
      <c r="B548" s="7">
        <v>140.1</v>
      </c>
      <c r="C548" s="8">
        <f>IF(Tabela1[[#This Row],[Consumer Price Index (CPI)]]="",#N/A,((Tabela1[[#This Row],[Consumer Price Index (CPI)]]*1)/B547)-1)</f>
        <v>2.8632784538296097E-3</v>
      </c>
      <c r="D548" s="8">
        <f>IF(Tabela1[[#This Row],[Consumer Price Index (CPI)]]="",#N/A,((Tabela1[[#This Row],[Consumer Price Index (CPI)]]*1)/B536)-1)</f>
        <v>3.0147058823529305E-2</v>
      </c>
      <c r="E548" s="25">
        <v>147.1</v>
      </c>
      <c r="F548" s="8">
        <f>IF(Tabela1[[#This Row],[Core Consumer Price Index]]="",#N/A,((Tabela1[[#This Row],[Core Consumer Price Index]]*1)/E547)-1)</f>
        <v>2.043596730245012E-3</v>
      </c>
      <c r="G548" s="8">
        <f>IF(Tabela1[[#This Row],[Core Consumer Price Index]]="",#N/A,((Tabela1[[#This Row],[Core Consumer Price Index]]*1)/E536)-1)</f>
        <v>3.7376586741889817E-2</v>
      </c>
      <c r="H548" s="8">
        <f t="shared" si="26"/>
        <v>3.2811342260291809E-2</v>
      </c>
      <c r="I548" s="8">
        <f t="shared" si="27"/>
        <v>3.2947009505634561E-2</v>
      </c>
      <c r="J548" s="25">
        <v>151.69999999999999</v>
      </c>
      <c r="K548" s="8">
        <f>IF(Tabela1[[#This Row],[Services CPI]]="",#N/A,((Tabela1[[#This Row],[Services CPI]]*1)/J547)-1)</f>
        <v>2.6437541308657053E-3</v>
      </c>
      <c r="L548" s="8">
        <f>IF(Tabela1[[#This Row],[Services CPI]]="",#N/A,((Tabela1[[#This Row],[Services CPI]]*1)/J536)-1)</f>
        <v>3.9753255654557895E-2</v>
      </c>
      <c r="M548" s="7">
        <v>155.6</v>
      </c>
      <c r="N548" s="8">
        <f>IF(Tabela1[[#This Row],[Core-Services CPI]]="",#N/A,((Tabela1[[#This Row],[Core-Services CPI]]*1)/M547)-1)</f>
        <v>2.5773195876288568E-3</v>
      </c>
      <c r="O548" s="8">
        <f>IF(Tabela1[[#This Row],[Core-Services CPI]]="",#N/A,((Tabela1[[#This Row],[Core-Services CPI]]*1)/M536)-1)</f>
        <v>4.1499330655957012E-2</v>
      </c>
      <c r="P548" s="7">
        <v>118.5</v>
      </c>
      <c r="Q548" s="8">
        <f>IF(Tabela1[[#This Row],[Durable Goods CPI]]="",#N/A,((Tabela1[[#This Row],[Durable Goods CPI]]*1)/P547)-1)</f>
        <v>1.6906170752324368E-3</v>
      </c>
      <c r="R548" s="8">
        <f>IF(Tabela1[[#This Row],[Durable Goods CPI]]="",#N/A,((Tabela1[[#This Row],[Durable Goods CPI]]*1)/P536)-1)</f>
        <v>2.067183462532296E-2</v>
      </c>
      <c r="S548" s="7">
        <v>4.0775431190000004</v>
      </c>
      <c r="T548" s="7">
        <v>63.314999999999998</v>
      </c>
      <c r="U548" s="8">
        <f>IF(Tabela1[[#This Row],[Personal Consumption Expenditures (PCE)]]="",#N/A,((Tabela1[[#This Row],[Personal Consumption Expenditures (PCE)]]*1)/T547)-1)</f>
        <v>1.7720677815926678E-3</v>
      </c>
      <c r="V548" s="8">
        <f>IF(Tabela1[[#This Row],[Personal Consumption Expenditures (PCE)]]="",#N/A,((Tabela1[[#This Row],[Personal Consumption Expenditures (PCE)]]*1)/T536)-1)</f>
        <v>2.6341384341060037E-2</v>
      </c>
      <c r="W548" s="7">
        <v>64.322999999999993</v>
      </c>
      <c r="X548" s="8">
        <f>IF(Tabela1[[#This Row],[Core PCE]]="",#N/A,((Tabela1[[#This Row],[Core PCE]]*1)/W547)-1)</f>
        <v>7.7793163536776788E-4</v>
      </c>
      <c r="Y548" s="8">
        <f>IF(Tabela1[[#This Row],[Core PCE]]="",#N/A,((Tabela1[[#This Row],[Core PCE]]*1)/W536)-1)</f>
        <v>3.0123955030267879E-2</v>
      </c>
      <c r="Z548" s="8">
        <f t="shared" si="25"/>
        <v>2.185122786243987E-2</v>
      </c>
      <c r="AA548" s="8">
        <f t="shared" si="28"/>
        <v>2.6797159345606225E-2</v>
      </c>
      <c r="AB548" s="7">
        <v>2.8</v>
      </c>
      <c r="AC548" s="7"/>
      <c r="AD548" s="8"/>
      <c r="AE548" s="71"/>
      <c r="AF548" s="7">
        <v>3.1</v>
      </c>
      <c r="AG548" s="5"/>
    </row>
    <row r="549" spans="1:33" ht="12.75">
      <c r="A549" s="6">
        <v>33786</v>
      </c>
      <c r="B549" s="7">
        <v>140.5</v>
      </c>
      <c r="C549" s="8">
        <f>IF(Tabela1[[#This Row],[Consumer Price Index (CPI)]]="",#N/A,((Tabela1[[#This Row],[Consumer Price Index (CPI)]]*1)/B548)-1)</f>
        <v>2.855103497501732E-3</v>
      </c>
      <c r="D549" s="8">
        <f>IF(Tabela1[[#This Row],[Consumer Price Index (CPI)]]="",#N/A,((Tabela1[[#This Row],[Consumer Price Index (CPI)]]*1)/B537)-1)</f>
        <v>3.1571218795888534E-2</v>
      </c>
      <c r="E549" s="25">
        <v>147.6</v>
      </c>
      <c r="F549" s="8">
        <f>IF(Tabela1[[#This Row],[Core Consumer Price Index]]="",#N/A,((Tabela1[[#This Row],[Core Consumer Price Index]]*1)/E548)-1)</f>
        <v>3.3990482664854049E-3</v>
      </c>
      <c r="G549" s="8">
        <f>IF(Tabela1[[#This Row],[Core Consumer Price Index]]="",#N/A,((Tabela1[[#This Row],[Core Consumer Price Index]]*1)/E537)-1)</f>
        <v>3.7245256500351154E-2</v>
      </c>
      <c r="H549" s="8">
        <f t="shared" si="26"/>
        <v>3.5441119973251389E-2</v>
      </c>
      <c r="I549" s="8">
        <f t="shared" si="27"/>
        <v>3.4216426010961865E-2</v>
      </c>
      <c r="J549" s="25">
        <v>152.19999999999999</v>
      </c>
      <c r="K549" s="8">
        <f>IF(Tabela1[[#This Row],[Services CPI]]="",#N/A,((Tabela1[[#This Row],[Services CPI]]*1)/J548)-1)</f>
        <v>3.2959789057349642E-3</v>
      </c>
      <c r="L549" s="8">
        <f>IF(Tabela1[[#This Row],[Services CPI]]="",#N/A,((Tabela1[[#This Row],[Services CPI]]*1)/J537)-1)</f>
        <v>3.890784982935136E-2</v>
      </c>
      <c r="M549" s="7">
        <v>156.1</v>
      </c>
      <c r="N549" s="8">
        <f>IF(Tabela1[[#This Row],[Core-Services CPI]]="",#N/A,((Tabela1[[#This Row],[Core-Services CPI]]*1)/M548)-1)</f>
        <v>3.2133676092545027E-3</v>
      </c>
      <c r="O549" s="8">
        <f>IF(Tabela1[[#This Row],[Core-Services CPI]]="",#N/A,((Tabela1[[#This Row],[Core-Services CPI]]*1)/M537)-1)</f>
        <v>4.0666666666666629E-2</v>
      </c>
      <c r="P549" s="7">
        <v>118.7</v>
      </c>
      <c r="Q549" s="8">
        <f>IF(Tabela1[[#This Row],[Durable Goods CPI]]="",#N/A,((Tabela1[[#This Row],[Durable Goods CPI]]*1)/P548)-1)</f>
        <v>1.6877637130801038E-3</v>
      </c>
      <c r="R549" s="8">
        <f>IF(Tabela1[[#This Row],[Durable Goods CPI]]="",#N/A,((Tabela1[[#This Row],[Durable Goods CPI]]*1)/P537)-1)</f>
        <v>1.8884120171673846E-2</v>
      </c>
      <c r="S549" s="7">
        <v>3.9378608939999999</v>
      </c>
      <c r="T549" s="7">
        <v>63.524000000000001</v>
      </c>
      <c r="U549" s="8">
        <f>IF(Tabela1[[#This Row],[Personal Consumption Expenditures (PCE)]]="",#N/A,((Tabela1[[#This Row],[Personal Consumption Expenditures (PCE)]]*1)/T548)-1)</f>
        <v>3.3009555397616186E-3</v>
      </c>
      <c r="V549" s="8">
        <f>IF(Tabela1[[#This Row],[Personal Consumption Expenditures (PCE)]]="",#N/A,((Tabela1[[#This Row],[Personal Consumption Expenditures (PCE)]]*1)/T537)-1)</f>
        <v>2.8112709793322255E-2</v>
      </c>
      <c r="W549" s="7">
        <v>64.566000000000003</v>
      </c>
      <c r="X549" s="8">
        <f>IF(Tabela1[[#This Row],[Core PCE]]="",#N/A,((Tabela1[[#This Row],[Core PCE]]*1)/W548)-1)</f>
        <v>3.7778088708551039E-3</v>
      </c>
      <c r="Y549" s="8">
        <f>IF(Tabela1[[#This Row],[Core PCE]]="",#N/A,((Tabela1[[#This Row],[Core PCE]]*1)/W537)-1)</f>
        <v>3.0878784008174787E-2</v>
      </c>
      <c r="Z549" s="8">
        <f t="shared" si="25"/>
        <v>2.3831923899530594E-2</v>
      </c>
      <c r="AA549" s="8">
        <f t="shared" si="28"/>
        <v>2.890121094374809E-2</v>
      </c>
      <c r="AB549" s="7">
        <v>2.82</v>
      </c>
      <c r="AC549" s="7"/>
      <c r="AD549" s="8"/>
      <c r="AE549" s="71"/>
      <c r="AF549" s="7">
        <v>2.7</v>
      </c>
      <c r="AG549" s="5"/>
    </row>
    <row r="550" spans="1:33" ht="12.75">
      <c r="A550" s="6">
        <v>33817</v>
      </c>
      <c r="B550" s="7">
        <v>140.80000000000001</v>
      </c>
      <c r="C550" s="8">
        <f>IF(Tabela1[[#This Row],[Consumer Price Index (CPI)]]="",#N/A,((Tabela1[[#This Row],[Consumer Price Index (CPI)]]*1)/B549)-1)</f>
        <v>2.135231316725994E-3</v>
      </c>
      <c r="D550" s="8">
        <f>IF(Tabela1[[#This Row],[Consumer Price Index (CPI)]]="",#N/A,((Tabela1[[#This Row],[Consumer Price Index (CPI)]]*1)/B538)-1)</f>
        <v>3.0746705710102518E-2</v>
      </c>
      <c r="E550" s="25">
        <v>147.9</v>
      </c>
      <c r="F550" s="8">
        <f>IF(Tabela1[[#This Row],[Core Consumer Price Index]]="",#N/A,((Tabela1[[#This Row],[Core Consumer Price Index]]*1)/E549)-1)</f>
        <v>2.0325203252034019E-3</v>
      </c>
      <c r="G550" s="8">
        <f>IF(Tabela1[[#This Row],[Core Consumer Price Index]]="",#N/A,((Tabela1[[#This Row],[Core Consumer Price Index]]*1)/E538)-1)</f>
        <v>3.4989503149055246E-2</v>
      </c>
      <c r="H550" s="8">
        <f t="shared" si="26"/>
        <v>2.9900661287735275E-2</v>
      </c>
      <c r="I550" s="8">
        <f t="shared" si="27"/>
        <v>3.4146387405682876E-2</v>
      </c>
      <c r="J550" s="25">
        <v>152.6</v>
      </c>
      <c r="K550" s="8">
        <f>IF(Tabela1[[#This Row],[Services CPI]]="",#N/A,((Tabela1[[#This Row],[Services CPI]]*1)/J549)-1)</f>
        <v>2.6281208935612366E-3</v>
      </c>
      <c r="L550" s="8">
        <f>IF(Tabela1[[#This Row],[Services CPI]]="",#N/A,((Tabela1[[#This Row],[Services CPI]]*1)/J538)-1)</f>
        <v>3.8801906058543167E-2</v>
      </c>
      <c r="M550" s="7">
        <v>156.5</v>
      </c>
      <c r="N550" s="8">
        <f>IF(Tabela1[[#This Row],[Core-Services CPI]]="",#N/A,((Tabela1[[#This Row],[Core-Services CPI]]*1)/M549)-1)</f>
        <v>2.5624599615632349E-3</v>
      </c>
      <c r="O550" s="8">
        <f>IF(Tabela1[[#This Row],[Core-Services CPI]]="",#N/A,((Tabela1[[#This Row],[Core-Services CPI]]*1)/M538)-1)</f>
        <v>3.9176626826029182E-2</v>
      </c>
      <c r="P550" s="7">
        <v>118.9</v>
      </c>
      <c r="Q550" s="8">
        <f>IF(Tabela1[[#This Row],[Durable Goods CPI]]="",#N/A,((Tabela1[[#This Row],[Durable Goods CPI]]*1)/P549)-1)</f>
        <v>1.6849199663016012E-3</v>
      </c>
      <c r="R550" s="8">
        <f>IF(Tabela1[[#This Row],[Durable Goods CPI]]="",#N/A,((Tabela1[[#This Row],[Durable Goods CPI]]*1)/P538)-1)</f>
        <v>2.1477663230240474E-2</v>
      </c>
      <c r="S550" s="7">
        <v>3.875841001</v>
      </c>
      <c r="T550" s="7">
        <v>63.609000000000002</v>
      </c>
      <c r="U550" s="8">
        <f>IF(Tabela1[[#This Row],[Personal Consumption Expenditures (PCE)]]="",#N/A,((Tabela1[[#This Row],[Personal Consumption Expenditures (PCE)]]*1)/T549)-1)</f>
        <v>1.3380769472954857E-3</v>
      </c>
      <c r="V550" s="8">
        <f>IF(Tabela1[[#This Row],[Personal Consumption Expenditures (PCE)]]="",#N/A,((Tabela1[[#This Row],[Personal Consumption Expenditures (PCE)]]*1)/T538)-1)</f>
        <v>2.7094669874537791E-2</v>
      </c>
      <c r="W550" s="7">
        <v>64.625</v>
      </c>
      <c r="X550" s="8">
        <f>IF(Tabela1[[#This Row],[Core PCE]]="",#N/A,((Tabela1[[#This Row],[Core PCE]]*1)/W549)-1)</f>
        <v>9.1379363751808995E-4</v>
      </c>
      <c r="Y550" s="8">
        <f>IF(Tabela1[[#This Row],[Core PCE]]="",#N/A,((Tabela1[[#This Row],[Core PCE]]*1)/W538)-1)</f>
        <v>2.8994968473345706E-2</v>
      </c>
      <c r="Z550" s="8">
        <f t="shared" si="25"/>
        <v>2.1878136574963847E-2</v>
      </c>
      <c r="AA550" s="8">
        <f t="shared" si="28"/>
        <v>2.5292051467475929E-2</v>
      </c>
      <c r="AB550" s="7">
        <v>2.75</v>
      </c>
      <c r="AC550" s="7"/>
      <c r="AD550" s="8"/>
      <c r="AE550" s="71"/>
      <c r="AF550" s="7">
        <v>2.8</v>
      </c>
      <c r="AG550" s="5"/>
    </row>
    <row r="551" spans="1:33" ht="12.75">
      <c r="A551" s="6">
        <v>33848</v>
      </c>
      <c r="B551" s="7">
        <v>141.1</v>
      </c>
      <c r="C551" s="8">
        <f>IF(Tabela1[[#This Row],[Consumer Price Index (CPI)]]="",#N/A,((Tabela1[[#This Row],[Consumer Price Index (CPI)]]*1)/B550)-1)</f>
        <v>2.1306818181816567E-3</v>
      </c>
      <c r="D551" s="8">
        <f>IF(Tabela1[[#This Row],[Consumer Price Index (CPI)]]="",#N/A,((Tabela1[[#This Row],[Consumer Price Index (CPI)]]*1)/B539)-1)</f>
        <v>2.9927007299270114E-2</v>
      </c>
      <c r="E551" s="25">
        <v>148.1</v>
      </c>
      <c r="F551" s="8">
        <f>IF(Tabela1[[#This Row],[Core Consumer Price Index]]="",#N/A,((Tabela1[[#This Row],[Core Consumer Price Index]]*1)/E550)-1)</f>
        <v>1.3522650439485862E-3</v>
      </c>
      <c r="G551" s="8">
        <f>IF(Tabela1[[#This Row],[Core Consumer Price Index]]="",#N/A,((Tabela1[[#This Row],[Core Consumer Price Index]]*1)/E539)-1)</f>
        <v>3.2775453277545274E-2</v>
      </c>
      <c r="H551" s="8">
        <f t="shared" si="26"/>
        <v>2.7135334542549572E-2</v>
      </c>
      <c r="I551" s="8">
        <f t="shared" si="27"/>
        <v>2.9973338401420691E-2</v>
      </c>
      <c r="J551" s="25">
        <v>152.9</v>
      </c>
      <c r="K551" s="8">
        <f>IF(Tabela1[[#This Row],[Services CPI]]="",#N/A,((Tabela1[[#This Row],[Services CPI]]*1)/J550)-1)</f>
        <v>1.9659239842726439E-3</v>
      </c>
      <c r="L551" s="8">
        <f>IF(Tabela1[[#This Row],[Services CPI]]="",#N/A,((Tabela1[[#This Row],[Services CPI]]*1)/J539)-1)</f>
        <v>3.5907859078590842E-2</v>
      </c>
      <c r="M551" s="7">
        <v>156.69999999999999</v>
      </c>
      <c r="N551" s="8">
        <f>IF(Tabela1[[#This Row],[Core-Services CPI]]="",#N/A,((Tabela1[[#This Row],[Core-Services CPI]]*1)/M550)-1)</f>
        <v>1.2779552715653786E-3</v>
      </c>
      <c r="O551" s="8">
        <f>IF(Tabela1[[#This Row],[Core-Services CPI]]="",#N/A,((Tabela1[[#This Row],[Core-Services CPI]]*1)/M539)-1)</f>
        <v>3.6375661375661394E-2</v>
      </c>
      <c r="P551" s="7">
        <v>119.1</v>
      </c>
      <c r="Q551" s="8">
        <f>IF(Tabela1[[#This Row],[Durable Goods CPI]]="",#N/A,((Tabela1[[#This Row],[Durable Goods CPI]]*1)/P550)-1)</f>
        <v>1.682085786375076E-3</v>
      </c>
      <c r="R551" s="8">
        <f>IF(Tabela1[[#This Row],[Durable Goods CPI]]="",#N/A,((Tabela1[[#This Row],[Durable Goods CPI]]*1)/P539)-1)</f>
        <v>2.2317596566523656E-2</v>
      </c>
      <c r="S551" s="7">
        <v>3.7853442259999999</v>
      </c>
      <c r="T551" s="7">
        <v>63.713000000000001</v>
      </c>
      <c r="U551" s="8">
        <f>IF(Tabela1[[#This Row],[Personal Consumption Expenditures (PCE)]]="",#N/A,((Tabela1[[#This Row],[Personal Consumption Expenditures (PCE)]]*1)/T550)-1)</f>
        <v>1.6349887594522272E-3</v>
      </c>
      <c r="V551" s="8">
        <f>IF(Tabela1[[#This Row],[Personal Consumption Expenditures (PCE)]]="",#N/A,((Tabela1[[#This Row],[Personal Consumption Expenditures (PCE)]]*1)/T539)-1)</f>
        <v>2.5247811534500508E-2</v>
      </c>
      <c r="W551" s="7">
        <v>64.73</v>
      </c>
      <c r="X551" s="8">
        <f>IF(Tabela1[[#This Row],[Core PCE]]="",#N/A,((Tabela1[[#This Row],[Core PCE]]*1)/W550)-1)</f>
        <v>1.6247582205028976E-3</v>
      </c>
      <c r="Y551" s="8">
        <f>IF(Tabela1[[#This Row],[Core PCE]]="",#N/A,((Tabela1[[#This Row],[Core PCE]]*1)/W539)-1)</f>
        <v>2.6564110697010701E-2</v>
      </c>
      <c r="Z551" s="8">
        <f t="shared" ref="Z551:Z614" si="29">SUM(X549:X551)*4</f>
        <v>2.5265442915504366E-2</v>
      </c>
      <c r="AA551" s="8">
        <f t="shared" si="28"/>
        <v>2.3558335388972118E-2</v>
      </c>
      <c r="AB551" s="7">
        <v>2.61</v>
      </c>
      <c r="AC551" s="7"/>
      <c r="AD551" s="8"/>
      <c r="AE551" s="71"/>
      <c r="AF551" s="7">
        <v>3</v>
      </c>
      <c r="AG551" s="5"/>
    </row>
    <row r="552" spans="1:33" ht="12.75">
      <c r="A552" s="6">
        <v>33878</v>
      </c>
      <c r="B552" s="7">
        <v>141.69999999999999</v>
      </c>
      <c r="C552" s="8">
        <f>IF(Tabela1[[#This Row],[Consumer Price Index (CPI)]]="",#N/A,((Tabela1[[#This Row],[Consumer Price Index (CPI)]]*1)/B551)-1)</f>
        <v>4.2523033309709302E-3</v>
      </c>
      <c r="D552" s="8">
        <f>IF(Tabela1[[#This Row],[Consumer Price Index (CPI)]]="",#N/A,((Tabela1[[#This Row],[Consumer Price Index (CPI)]]*1)/B540)-1)</f>
        <v>3.2798833819241979E-2</v>
      </c>
      <c r="E552" s="25">
        <v>148.80000000000001</v>
      </c>
      <c r="F552" s="8">
        <f>IF(Tabela1[[#This Row],[Core Consumer Price Index]]="",#N/A,((Tabela1[[#This Row],[Core Consumer Price Index]]*1)/E551)-1)</f>
        <v>4.7265361242405657E-3</v>
      </c>
      <c r="G552" s="8">
        <f>IF(Tabela1[[#This Row],[Core Consumer Price Index]]="",#N/A,((Tabela1[[#This Row],[Core Consumer Price Index]]*1)/E540)-1)</f>
        <v>3.5490605427975108E-2</v>
      </c>
      <c r="H552" s="8">
        <f t="shared" si="26"/>
        <v>3.2445285973570215E-2</v>
      </c>
      <c r="I552" s="8">
        <f t="shared" si="27"/>
        <v>3.3943202973410802E-2</v>
      </c>
      <c r="J552" s="25">
        <v>153.69999999999999</v>
      </c>
      <c r="K552" s="8">
        <f>IF(Tabela1[[#This Row],[Services CPI]]="",#N/A,((Tabela1[[#This Row],[Services CPI]]*1)/J551)-1)</f>
        <v>5.2321778940482844E-3</v>
      </c>
      <c r="L552" s="8">
        <f>IF(Tabela1[[#This Row],[Services CPI]]="",#N/A,((Tabela1[[#This Row],[Services CPI]]*1)/J540)-1)</f>
        <v>3.8513513513513509E-2</v>
      </c>
      <c r="M552" s="7">
        <v>157.6</v>
      </c>
      <c r="N552" s="8">
        <f>IF(Tabela1[[#This Row],[Core-Services CPI]]="",#N/A,((Tabela1[[#This Row],[Core-Services CPI]]*1)/M551)-1)</f>
        <v>5.7434588385449903E-3</v>
      </c>
      <c r="O552" s="8">
        <f>IF(Tabela1[[#This Row],[Core-Services CPI]]="",#N/A,((Tabela1[[#This Row],[Core-Services CPI]]*1)/M540)-1)</f>
        <v>3.9577836411609502E-2</v>
      </c>
      <c r="P552" s="7">
        <v>119.4</v>
      </c>
      <c r="Q552" s="8">
        <f>IF(Tabela1[[#This Row],[Durable Goods CPI]]="",#N/A,((Tabela1[[#This Row],[Durable Goods CPI]]*1)/P551)-1)</f>
        <v>2.5188916876575096E-3</v>
      </c>
      <c r="R552" s="8">
        <f>IF(Tabela1[[#This Row],[Durable Goods CPI]]="",#N/A,((Tabela1[[#This Row],[Durable Goods CPI]]*1)/P540)-1)</f>
        <v>2.4892703862660959E-2</v>
      </c>
      <c r="S552" s="7">
        <v>3.6443497960000002</v>
      </c>
      <c r="T552" s="7">
        <v>63.938000000000002</v>
      </c>
      <c r="U552" s="8">
        <f>IF(Tabela1[[#This Row],[Personal Consumption Expenditures (PCE)]]="",#N/A,((Tabela1[[#This Row],[Personal Consumption Expenditures (PCE)]]*1)/T551)-1)</f>
        <v>3.5314613972030617E-3</v>
      </c>
      <c r="V552" s="8">
        <f>IF(Tabela1[[#This Row],[Personal Consumption Expenditures (PCE)]]="",#N/A,((Tabela1[[#This Row],[Personal Consumption Expenditures (PCE)]]*1)/T540)-1)</f>
        <v>2.6951493735946075E-2</v>
      </c>
      <c r="W552" s="7">
        <v>64.978999999999999</v>
      </c>
      <c r="X552" s="8">
        <f>IF(Tabela1[[#This Row],[Core PCE]]="",#N/A,((Tabela1[[#This Row],[Core PCE]]*1)/W551)-1)</f>
        <v>3.8467480302795121E-3</v>
      </c>
      <c r="Y552" s="8">
        <f>IF(Tabela1[[#This Row],[Core PCE]]="",#N/A,((Tabela1[[#This Row],[Core PCE]]*1)/W540)-1)</f>
        <v>2.8246352501819727E-2</v>
      </c>
      <c r="Z552" s="8">
        <f t="shared" si="29"/>
        <v>2.5541199553201999E-2</v>
      </c>
      <c r="AA552" s="8">
        <f t="shared" si="28"/>
        <v>2.4686561726366296E-2</v>
      </c>
      <c r="AB552" s="7">
        <v>2.64</v>
      </c>
      <c r="AC552" s="7"/>
      <c r="AD552" s="8"/>
      <c r="AE552" s="71"/>
      <c r="AF552" s="7">
        <v>2.8</v>
      </c>
      <c r="AG552" s="5"/>
    </row>
    <row r="553" spans="1:33" ht="12.75">
      <c r="A553" s="6">
        <v>33909</v>
      </c>
      <c r="B553" s="7">
        <v>142.1</v>
      </c>
      <c r="C553" s="8">
        <f>IF(Tabela1[[#This Row],[Consumer Price Index (CPI)]]="",#N/A,((Tabela1[[#This Row],[Consumer Price Index (CPI)]]*1)/B552)-1)</f>
        <v>2.8228652081863093E-3</v>
      </c>
      <c r="D553" s="8">
        <f>IF(Tabela1[[#This Row],[Consumer Price Index (CPI)]]="",#N/A,((Tabela1[[#This Row],[Consumer Price Index (CPI)]]*1)/B541)-1)</f>
        <v>3.1204644412191396E-2</v>
      </c>
      <c r="E553" s="25">
        <v>149.19999999999999</v>
      </c>
      <c r="F553" s="8">
        <f>IF(Tabela1[[#This Row],[Core Consumer Price Index]]="",#N/A,((Tabela1[[#This Row],[Core Consumer Price Index]]*1)/E552)-1)</f>
        <v>2.6881720430105283E-3</v>
      </c>
      <c r="G553" s="8">
        <f>IF(Tabela1[[#This Row],[Core Consumer Price Index]]="",#N/A,((Tabela1[[#This Row],[Core Consumer Price Index]]*1)/E541)-1)</f>
        <v>3.4674063800277377E-2</v>
      </c>
      <c r="H553" s="8">
        <f t="shared" si="26"/>
        <v>3.506789284479872E-2</v>
      </c>
      <c r="I553" s="8">
        <f t="shared" si="27"/>
        <v>3.2484277066266998E-2</v>
      </c>
      <c r="J553" s="25">
        <v>154.30000000000001</v>
      </c>
      <c r="K553" s="8">
        <f>IF(Tabela1[[#This Row],[Services CPI]]="",#N/A,((Tabela1[[#This Row],[Services CPI]]*1)/J552)-1)</f>
        <v>3.9037085230970714E-3</v>
      </c>
      <c r="L553" s="8">
        <f>IF(Tabela1[[#This Row],[Services CPI]]="",#N/A,((Tabela1[[#This Row],[Services CPI]]*1)/J541)-1)</f>
        <v>3.9057239057239235E-2</v>
      </c>
      <c r="M553" s="7">
        <v>158.19999999999999</v>
      </c>
      <c r="N553" s="8">
        <f>IF(Tabela1[[#This Row],[Core-Services CPI]]="",#N/A,((Tabela1[[#This Row],[Core-Services CPI]]*1)/M552)-1)</f>
        <v>3.8071065989846442E-3</v>
      </c>
      <c r="O553" s="8">
        <f>IF(Tabela1[[#This Row],[Core-Services CPI]]="",#N/A,((Tabela1[[#This Row],[Core-Services CPI]]*1)/M541)-1)</f>
        <v>3.942181340341655E-2</v>
      </c>
      <c r="P553" s="7">
        <v>119.8</v>
      </c>
      <c r="Q553" s="8">
        <f>IF(Tabela1[[#This Row],[Durable Goods CPI]]="",#N/A,((Tabela1[[#This Row],[Durable Goods CPI]]*1)/P552)-1)</f>
        <v>3.3500837520936688E-3</v>
      </c>
      <c r="R553" s="8">
        <f>IF(Tabela1[[#This Row],[Durable Goods CPI]]="",#N/A,((Tabela1[[#This Row],[Durable Goods CPI]]*1)/P541)-1)</f>
        <v>2.6563838903170378E-2</v>
      </c>
      <c r="S553" s="7">
        <v>3.3635660409999999</v>
      </c>
      <c r="T553" s="7">
        <v>64.063999999999993</v>
      </c>
      <c r="U553" s="8">
        <f>IF(Tabela1[[#This Row],[Personal Consumption Expenditures (PCE)]]="",#N/A,((Tabela1[[#This Row],[Personal Consumption Expenditures (PCE)]]*1)/T552)-1)</f>
        <v>1.9706590759795972E-3</v>
      </c>
      <c r="V553" s="8">
        <f>IF(Tabela1[[#This Row],[Personal Consumption Expenditures (PCE)]]="",#N/A,((Tabela1[[#This Row],[Personal Consumption Expenditures (PCE)]]*1)/T541)-1)</f>
        <v>2.671602801416717E-2</v>
      </c>
      <c r="W553" s="7">
        <v>65.120999999999995</v>
      </c>
      <c r="X553" s="8">
        <f>IF(Tabela1[[#This Row],[Core PCE]]="",#N/A,((Tabela1[[#This Row],[Core PCE]]*1)/W552)-1)</f>
        <v>2.1853214115328257E-3</v>
      </c>
      <c r="Y553" s="8">
        <f>IF(Tabela1[[#This Row],[Core PCE]]="",#N/A,((Tabela1[[#This Row],[Core PCE]]*1)/W541)-1)</f>
        <v>2.857278241091743E-2</v>
      </c>
      <c r="Z553" s="8">
        <f t="shared" si="29"/>
        <v>3.0627310649260941E-2</v>
      </c>
      <c r="AA553" s="8">
        <f t="shared" si="28"/>
        <v>2.6252723612112394E-2</v>
      </c>
      <c r="AB553" s="7">
        <v>2.61</v>
      </c>
      <c r="AC553" s="7"/>
      <c r="AD553" s="8"/>
      <c r="AE553" s="71"/>
      <c r="AF553" s="7">
        <v>2.9</v>
      </c>
      <c r="AG553" s="5"/>
    </row>
    <row r="554" spans="1:33" ht="12.75">
      <c r="A554" s="6">
        <v>33939</v>
      </c>
      <c r="B554" s="7">
        <v>142.30000000000001</v>
      </c>
      <c r="C554" s="8">
        <f>IF(Tabela1[[#This Row],[Consumer Price Index (CPI)]]="",#N/A,((Tabela1[[#This Row],[Consumer Price Index (CPI)]]*1)/B553)-1)</f>
        <v>1.4074595355384467E-3</v>
      </c>
      <c r="D554" s="8">
        <f>IF(Tabela1[[#This Row],[Consumer Price Index (CPI)]]="",#N/A,((Tabela1[[#This Row],[Consumer Price Index (CPI)]]*1)/B542)-1)</f>
        <v>2.9667149059334541E-2</v>
      </c>
      <c r="E554" s="25">
        <v>149.6</v>
      </c>
      <c r="F554" s="8">
        <f>IF(Tabela1[[#This Row],[Core Consumer Price Index]]="",#N/A,((Tabela1[[#This Row],[Core Consumer Price Index]]*1)/E553)-1)</f>
        <v>2.6809651474530849E-3</v>
      </c>
      <c r="G554" s="8">
        <f>IF(Tabela1[[#This Row],[Core Consumer Price Index]]="",#N/A,((Tabela1[[#This Row],[Core Consumer Price Index]]*1)/E542)-1)</f>
        <v>3.3863165169315979E-2</v>
      </c>
      <c r="H554" s="8">
        <f t="shared" si="26"/>
        <v>4.0382693258816715E-2</v>
      </c>
      <c r="I554" s="8">
        <f t="shared" si="27"/>
        <v>3.3759013900683144E-2</v>
      </c>
      <c r="J554" s="25">
        <v>154.69999999999999</v>
      </c>
      <c r="K554" s="8">
        <f>IF(Tabela1[[#This Row],[Services CPI]]="",#N/A,((Tabela1[[#This Row],[Services CPI]]*1)/J553)-1)</f>
        <v>2.5923525599480524E-3</v>
      </c>
      <c r="L554" s="8">
        <f>IF(Tabela1[[#This Row],[Services CPI]]="",#N/A,((Tabela1[[#This Row],[Services CPI]]*1)/J542)-1)</f>
        <v>3.6863270777479862E-2</v>
      </c>
      <c r="M554" s="7">
        <v>158.6</v>
      </c>
      <c r="N554" s="8">
        <f>IF(Tabela1[[#This Row],[Core-Services CPI]]="",#N/A,((Tabela1[[#This Row],[Core-Services CPI]]*1)/M553)-1)</f>
        <v>2.5284450063212116E-3</v>
      </c>
      <c r="O554" s="8">
        <f>IF(Tabela1[[#This Row],[Core-Services CPI]]="",#N/A,((Tabela1[[#This Row],[Core-Services CPI]]*1)/M542)-1)</f>
        <v>3.7958115183245988E-2</v>
      </c>
      <c r="P554" s="7">
        <v>119.8</v>
      </c>
      <c r="Q554" s="8">
        <f>IF(Tabela1[[#This Row],[Durable Goods CPI]]="",#N/A,((Tabela1[[#This Row],[Durable Goods CPI]]*1)/P553)-1)</f>
        <v>0</v>
      </c>
      <c r="R554" s="8">
        <f>IF(Tabela1[[#This Row],[Durable Goods CPI]]="",#N/A,((Tabela1[[#This Row],[Durable Goods CPI]]*1)/P542)-1)</f>
        <v>2.5684931506849251E-2</v>
      </c>
      <c r="S554" s="7">
        <v>3.6549505959999999</v>
      </c>
      <c r="T554" s="7">
        <v>64.176000000000002</v>
      </c>
      <c r="U554" s="8">
        <f>IF(Tabela1[[#This Row],[Personal Consumption Expenditures (PCE)]]="",#N/A,((Tabela1[[#This Row],[Personal Consumption Expenditures (PCE)]]*1)/T553)-1)</f>
        <v>1.7482517482518833E-3</v>
      </c>
      <c r="V554" s="8">
        <f>IF(Tabela1[[#This Row],[Personal Consumption Expenditures (PCE)]]="",#N/A,((Tabela1[[#This Row],[Personal Consumption Expenditures (PCE)]]*1)/T542)-1)</f>
        <v>2.5945997793870967E-2</v>
      </c>
      <c r="W554" s="7">
        <v>65.242000000000004</v>
      </c>
      <c r="X554" s="8">
        <f>IF(Tabela1[[#This Row],[Core PCE]]="",#N/A,((Tabela1[[#This Row],[Core PCE]]*1)/W553)-1)</f>
        <v>1.858079574945215E-3</v>
      </c>
      <c r="Y554" s="8">
        <f>IF(Tabela1[[#This Row],[Core PCE]]="",#N/A,((Tabela1[[#This Row],[Core PCE]]*1)/W542)-1)</f>
        <v>2.7951093464422927E-2</v>
      </c>
      <c r="Z554" s="8">
        <f t="shared" si="29"/>
        <v>3.1560596067030211E-2</v>
      </c>
      <c r="AA554" s="8">
        <f t="shared" si="28"/>
        <v>2.8413019491267288E-2</v>
      </c>
      <c r="AB554" s="7">
        <v>2.5</v>
      </c>
      <c r="AC554" s="7"/>
      <c r="AD554" s="8"/>
      <c r="AE554" s="71"/>
      <c r="AF554" s="7">
        <v>2.8</v>
      </c>
      <c r="AG554" s="5"/>
    </row>
    <row r="555" spans="1:33" ht="12.75">
      <c r="A555" s="6">
        <v>33970</v>
      </c>
      <c r="B555" s="7">
        <v>142.80000000000001</v>
      </c>
      <c r="C555" s="8">
        <f>IF(Tabela1[[#This Row],[Consumer Price Index (CPI)]]="",#N/A,((Tabela1[[#This Row],[Consumer Price Index (CPI)]]*1)/B554)-1)</f>
        <v>3.5137034434293835E-3</v>
      </c>
      <c r="D555" s="8">
        <f>IF(Tabela1[[#This Row],[Consumer Price Index (CPI)]]="",#N/A,((Tabela1[[#This Row],[Consumer Price Index (CPI)]]*1)/B543)-1)</f>
        <v>3.2537960954446943E-2</v>
      </c>
      <c r="E555" s="25">
        <v>150.1</v>
      </c>
      <c r="F555" s="8">
        <f>IF(Tabela1[[#This Row],[Core Consumer Price Index]]="",#N/A,((Tabela1[[#This Row],[Core Consumer Price Index]]*1)/E554)-1)</f>
        <v>3.3422459893048817E-3</v>
      </c>
      <c r="G555" s="8">
        <f>IF(Tabela1[[#This Row],[Core Consumer Price Index]]="",#N/A,((Tabela1[[#This Row],[Core Consumer Price Index]]*1)/E543)-1)</f>
        <v>3.4458993797381154E-2</v>
      </c>
      <c r="H555" s="8">
        <f t="shared" si="26"/>
        <v>3.4845532719073979E-2</v>
      </c>
      <c r="I555" s="8">
        <f t="shared" si="27"/>
        <v>3.3645409346322097E-2</v>
      </c>
      <c r="J555" s="25">
        <v>155.30000000000001</v>
      </c>
      <c r="K555" s="8">
        <f>IF(Tabela1[[#This Row],[Services CPI]]="",#N/A,((Tabela1[[#This Row],[Services CPI]]*1)/J554)-1)</f>
        <v>3.8784744667099691E-3</v>
      </c>
      <c r="L555" s="8">
        <f>IF(Tabela1[[#This Row],[Services CPI]]="",#N/A,((Tabela1[[#This Row],[Services CPI]]*1)/J543)-1)</f>
        <v>3.8101604278075074E-2</v>
      </c>
      <c r="M555" s="7">
        <v>159.30000000000001</v>
      </c>
      <c r="N555" s="8">
        <f>IF(Tabela1[[#This Row],[Core-Services CPI]]="",#N/A,((Tabela1[[#This Row],[Core-Services CPI]]*1)/M554)-1)</f>
        <v>4.4136191677175418E-3</v>
      </c>
      <c r="O555" s="8">
        <f>IF(Tabela1[[#This Row],[Core-Services CPI]]="",#N/A,((Tabela1[[#This Row],[Core-Services CPI]]*1)/M543)-1)</f>
        <v>3.9138943248532287E-2</v>
      </c>
      <c r="P555" s="7">
        <v>119.8</v>
      </c>
      <c r="Q555" s="8">
        <f>IF(Tabela1[[#This Row],[Durable Goods CPI]]="",#N/A,((Tabela1[[#This Row],[Durable Goods CPI]]*1)/P554)-1)</f>
        <v>0</v>
      </c>
      <c r="R555" s="8">
        <f>IF(Tabela1[[#This Row],[Durable Goods CPI]]="",#N/A,((Tabela1[[#This Row],[Durable Goods CPI]]*1)/P543)-1)</f>
        <v>2.3057216054654273E-2</v>
      </c>
      <c r="S555" s="7">
        <v>3.6494029760000002</v>
      </c>
      <c r="T555" s="7">
        <v>64.331999999999994</v>
      </c>
      <c r="U555" s="8">
        <f>IF(Tabela1[[#This Row],[Personal Consumption Expenditures (PCE)]]="",#N/A,((Tabela1[[#This Row],[Personal Consumption Expenditures (PCE)]]*1)/T554)-1)</f>
        <v>2.4308152580403419E-3</v>
      </c>
      <c r="V555" s="8">
        <f>IF(Tabela1[[#This Row],[Personal Consumption Expenditures (PCE)]]="",#N/A,((Tabela1[[#This Row],[Personal Consumption Expenditures (PCE)]]*1)/T543)-1)</f>
        <v>2.7044286216034941E-2</v>
      </c>
      <c r="W555" s="7">
        <v>65.432000000000002</v>
      </c>
      <c r="X555" s="8">
        <f>IF(Tabela1[[#This Row],[Core PCE]]="",#N/A,((Tabela1[[#This Row],[Core PCE]]*1)/W554)-1)</f>
        <v>2.9122344502008346E-3</v>
      </c>
      <c r="Y555" s="8">
        <f>IF(Tabela1[[#This Row],[Core PCE]]="",#N/A,((Tabela1[[#This Row],[Core PCE]]*1)/W543)-1)</f>
        <v>2.8142235351424461E-2</v>
      </c>
      <c r="Z555" s="8">
        <f t="shared" si="29"/>
        <v>2.7822541746715501E-2</v>
      </c>
      <c r="AA555" s="8">
        <f t="shared" si="28"/>
        <v>2.668187064995875E-2</v>
      </c>
      <c r="AB555" s="7">
        <v>2.5</v>
      </c>
      <c r="AC555" s="7"/>
      <c r="AD555" s="8"/>
      <c r="AE555" s="71"/>
      <c r="AF555" s="7">
        <v>2.9</v>
      </c>
      <c r="AG555" s="5"/>
    </row>
    <row r="556" spans="1:33" ht="12.75">
      <c r="A556" s="6">
        <v>34001</v>
      </c>
      <c r="B556" s="7">
        <v>143.1</v>
      </c>
      <c r="C556" s="8">
        <f>IF(Tabela1[[#This Row],[Consumer Price Index (CPI)]]="",#N/A,((Tabela1[[#This Row],[Consumer Price Index (CPI)]]*1)/B555)-1)</f>
        <v>2.1008403361342243E-3</v>
      </c>
      <c r="D556" s="8">
        <f>IF(Tabela1[[#This Row],[Consumer Price Index (CPI)]]="",#N/A,((Tabela1[[#This Row],[Consumer Price Index (CPI)]]*1)/B544)-1)</f>
        <v>3.2467532467532534E-2</v>
      </c>
      <c r="E556" s="25">
        <v>150.6</v>
      </c>
      <c r="F556" s="8">
        <f>IF(Tabela1[[#This Row],[Core Consumer Price Index]]="",#N/A,((Tabela1[[#This Row],[Core Consumer Price Index]]*1)/E555)-1)</f>
        <v>3.3311125916055673E-3</v>
      </c>
      <c r="G556" s="8">
        <f>IF(Tabela1[[#This Row],[Core Consumer Price Index]]="",#N/A,((Tabela1[[#This Row],[Core Consumer Price Index]]*1)/E544)-1)</f>
        <v>3.5763411279229551E-2</v>
      </c>
      <c r="H556" s="8">
        <f t="shared" si="26"/>
        <v>3.7417294913454135E-2</v>
      </c>
      <c r="I556" s="8">
        <f t="shared" si="27"/>
        <v>3.6242593879126428E-2</v>
      </c>
      <c r="J556" s="25">
        <v>155.6</v>
      </c>
      <c r="K556" s="8">
        <f>IF(Tabela1[[#This Row],[Services CPI]]="",#N/A,((Tabela1[[#This Row],[Services CPI]]*1)/J555)-1)</f>
        <v>1.9317450096585365E-3</v>
      </c>
      <c r="L556" s="8">
        <f>IF(Tabela1[[#This Row],[Services CPI]]="",#N/A,((Tabela1[[#This Row],[Services CPI]]*1)/J544)-1)</f>
        <v>3.8025350233488853E-2</v>
      </c>
      <c r="M556" s="7">
        <v>159.80000000000001</v>
      </c>
      <c r="N556" s="8">
        <f>IF(Tabela1[[#This Row],[Core-Services CPI]]="",#N/A,((Tabela1[[#This Row],[Core-Services CPI]]*1)/M555)-1)</f>
        <v>3.1387319522913071E-3</v>
      </c>
      <c r="O556" s="8">
        <f>IF(Tabela1[[#This Row],[Core-Services CPI]]="",#N/A,((Tabela1[[#This Row],[Core-Services CPI]]*1)/M544)-1)</f>
        <v>3.9687703318152412E-2</v>
      </c>
      <c r="P556" s="7">
        <v>119.8</v>
      </c>
      <c r="Q556" s="8">
        <f>IF(Tabela1[[#This Row],[Durable Goods CPI]]="",#N/A,((Tabela1[[#This Row],[Durable Goods CPI]]*1)/P555)-1)</f>
        <v>0</v>
      </c>
      <c r="R556" s="8">
        <f>IF(Tabela1[[#This Row],[Durable Goods CPI]]="",#N/A,((Tabela1[[#This Row],[Durable Goods CPI]]*1)/P544)-1)</f>
        <v>2.1312872975277175E-2</v>
      </c>
      <c r="S556" s="7">
        <v>3.4975285619999998</v>
      </c>
      <c r="T556" s="7">
        <v>64.429000000000002</v>
      </c>
      <c r="U556" s="8">
        <f>IF(Tabela1[[#This Row],[Personal Consumption Expenditures (PCE)]]="",#N/A,((Tabela1[[#This Row],[Personal Consumption Expenditures (PCE)]]*1)/T555)-1)</f>
        <v>1.5078032705342359E-3</v>
      </c>
      <c r="V556" s="8">
        <f>IF(Tabela1[[#This Row],[Personal Consumption Expenditures (PCE)]]="",#N/A,((Tabela1[[#This Row],[Personal Consumption Expenditures (PCE)]]*1)/T544)-1)</f>
        <v>2.5988502635476252E-2</v>
      </c>
      <c r="W556" s="7">
        <v>65.557000000000002</v>
      </c>
      <c r="X556" s="8">
        <f>IF(Tabela1[[#This Row],[Core PCE]]="",#N/A,((Tabela1[[#This Row],[Core PCE]]*1)/W555)-1)</f>
        <v>1.9103802420834537E-3</v>
      </c>
      <c r="Y556" s="8">
        <f>IF(Tabela1[[#This Row],[Core PCE]]="",#N/A,((Tabela1[[#This Row],[Core PCE]]*1)/W544)-1)</f>
        <v>2.7313755602218937E-2</v>
      </c>
      <c r="Z556" s="8">
        <f t="shared" si="29"/>
        <v>2.6722777068918013E-2</v>
      </c>
      <c r="AA556" s="8">
        <f t="shared" si="28"/>
        <v>2.8675043859089477E-2</v>
      </c>
      <c r="AB556" s="7">
        <v>2.5099999999999998</v>
      </c>
      <c r="AC556" s="7"/>
      <c r="AD556" s="8"/>
      <c r="AE556" s="71"/>
      <c r="AF556" s="7">
        <v>3.2</v>
      </c>
      <c r="AG556" s="5"/>
    </row>
    <row r="557" spans="1:33" ht="12.75">
      <c r="A557" s="6">
        <v>34029</v>
      </c>
      <c r="B557" s="7">
        <v>143.30000000000001</v>
      </c>
      <c r="C557" s="8">
        <f>IF(Tabela1[[#This Row],[Consumer Price Index (CPI)]]="",#N/A,((Tabela1[[#This Row],[Consumer Price Index (CPI)]]*1)/B556)-1)</f>
        <v>1.3976240391335715E-3</v>
      </c>
      <c r="D557" s="8">
        <f>IF(Tabela1[[#This Row],[Consumer Price Index (CPI)]]="",#N/A,((Tabela1[[#This Row],[Consumer Price Index (CPI)]]*1)/B545)-1)</f>
        <v>3.0194104960460155E-2</v>
      </c>
      <c r="E557" s="25">
        <v>150.80000000000001</v>
      </c>
      <c r="F557" s="8">
        <f>IF(Tabela1[[#This Row],[Core Consumer Price Index]]="",#N/A,((Tabela1[[#This Row],[Core Consumer Price Index]]*1)/E556)-1)</f>
        <v>1.3280212483401943E-3</v>
      </c>
      <c r="G557" s="8">
        <f>IF(Tabela1[[#This Row],[Core Consumer Price Index]]="",#N/A,((Tabela1[[#This Row],[Core Consumer Price Index]]*1)/E545)-1)</f>
        <v>3.3584647018505942E-2</v>
      </c>
      <c r="H557" s="8">
        <f t="shared" si="26"/>
        <v>3.2005519317002573E-2</v>
      </c>
      <c r="I557" s="8">
        <f t="shared" si="27"/>
        <v>3.6194106287909644E-2</v>
      </c>
      <c r="J557" s="25">
        <v>156</v>
      </c>
      <c r="K557" s="8">
        <f>IF(Tabela1[[#This Row],[Services CPI]]="",#N/A,((Tabela1[[#This Row],[Services CPI]]*1)/J556)-1)</f>
        <v>2.5706940874037354E-3</v>
      </c>
      <c r="L557" s="8">
        <f>IF(Tabela1[[#This Row],[Services CPI]]="",#N/A,((Tabela1[[#This Row],[Services CPI]]*1)/J545)-1)</f>
        <v>3.7234042553191404E-2</v>
      </c>
      <c r="M557" s="7">
        <v>160</v>
      </c>
      <c r="N557" s="8">
        <f>IF(Tabela1[[#This Row],[Core-Services CPI]]="",#N/A,((Tabela1[[#This Row],[Core-Services CPI]]*1)/M556)-1)</f>
        <v>1.2515644555692873E-3</v>
      </c>
      <c r="O557" s="8">
        <f>IF(Tabela1[[#This Row],[Core-Services CPI]]="",#N/A,((Tabela1[[#This Row],[Core-Services CPI]]*1)/M545)-1)</f>
        <v>3.6941023979261134E-2</v>
      </c>
      <c r="P557" s="7">
        <v>120.1</v>
      </c>
      <c r="Q557" s="8">
        <f>IF(Tabela1[[#This Row],[Durable Goods CPI]]="",#N/A,((Tabela1[[#This Row],[Durable Goods CPI]]*1)/P556)-1)</f>
        <v>2.5041736227044975E-3</v>
      </c>
      <c r="R557" s="8">
        <f>IF(Tabela1[[#This Row],[Durable Goods CPI]]="",#N/A,((Tabela1[[#This Row],[Durable Goods CPI]]*1)/P545)-1)</f>
        <v>1.9524617996604432E-2</v>
      </c>
      <c r="S557" s="7">
        <v>3.547354737</v>
      </c>
      <c r="T557" s="7">
        <v>64.561000000000007</v>
      </c>
      <c r="U557" s="8">
        <f>IF(Tabela1[[#This Row],[Personal Consumption Expenditures (PCE)]]="",#N/A,((Tabela1[[#This Row],[Personal Consumption Expenditures (PCE)]]*1)/T556)-1)</f>
        <v>2.0487668596440578E-3</v>
      </c>
      <c r="V557" s="8">
        <f>IF(Tabela1[[#This Row],[Personal Consumption Expenditures (PCE)]]="",#N/A,((Tabela1[[#This Row],[Personal Consumption Expenditures (PCE)]]*1)/T545)-1)</f>
        <v>2.5608031898838979E-2</v>
      </c>
      <c r="W557" s="7">
        <v>65.7</v>
      </c>
      <c r="X557" s="8">
        <f>IF(Tabela1[[#This Row],[Core PCE]]="",#N/A,((Tabela1[[#This Row],[Core PCE]]*1)/W556)-1)</f>
        <v>2.1813078694876697E-3</v>
      </c>
      <c r="Y557" s="8">
        <f>IF(Tabela1[[#This Row],[Core PCE]]="",#N/A,((Tabela1[[#This Row],[Core PCE]]*1)/W545)-1)</f>
        <v>2.6995763837869058E-2</v>
      </c>
      <c r="Z557" s="8">
        <f t="shared" si="29"/>
        <v>2.8015690247087832E-2</v>
      </c>
      <c r="AA557" s="8">
        <f t="shared" si="28"/>
        <v>2.9788143157059022E-2</v>
      </c>
      <c r="AB557" s="7">
        <v>2.4500000000000002</v>
      </c>
      <c r="AC557" s="7"/>
      <c r="AD557" s="8"/>
      <c r="AE557" s="71"/>
      <c r="AF557" s="7">
        <v>3.1</v>
      </c>
      <c r="AG557" s="5"/>
    </row>
    <row r="558" spans="1:33" ht="12.75">
      <c r="A558" s="6">
        <v>34060</v>
      </c>
      <c r="B558" s="7">
        <v>143.80000000000001</v>
      </c>
      <c r="C558" s="8">
        <f>IF(Tabela1[[#This Row],[Consumer Price Index (CPI)]]="",#N/A,((Tabela1[[#This Row],[Consumer Price Index (CPI)]]*1)/B557)-1)</f>
        <v>3.4891835310537633E-3</v>
      </c>
      <c r="D558" s="8">
        <f>IF(Tabela1[[#This Row],[Consumer Price Index (CPI)]]="",#N/A,((Tabela1[[#This Row],[Consumer Price Index (CPI)]]*1)/B546)-1)</f>
        <v>3.1563845050215145E-2</v>
      </c>
      <c r="E558" s="25">
        <v>151.4</v>
      </c>
      <c r="F558" s="8">
        <f>IF(Tabela1[[#This Row],[Core Consumer Price Index]]="",#N/A,((Tabela1[[#This Row],[Core Consumer Price Index]]*1)/E557)-1)</f>
        <v>3.9787798408488229E-3</v>
      </c>
      <c r="G558" s="8">
        <f>IF(Tabela1[[#This Row],[Core Consumer Price Index]]="",#N/A,((Tabela1[[#This Row],[Core Consumer Price Index]]*1)/E546)-1)</f>
        <v>3.4859876965140035E-2</v>
      </c>
      <c r="H558" s="8">
        <f t="shared" si="26"/>
        <v>3.4551654723178338E-2</v>
      </c>
      <c r="I558" s="8">
        <f t="shared" si="27"/>
        <v>3.4698593721126159E-2</v>
      </c>
      <c r="J558" s="25">
        <v>156.69999999999999</v>
      </c>
      <c r="K558" s="8">
        <f>IF(Tabela1[[#This Row],[Services CPI]]="",#N/A,((Tabela1[[#This Row],[Services CPI]]*1)/J557)-1)</f>
        <v>4.4871794871794712E-3</v>
      </c>
      <c r="L558" s="8">
        <f>IF(Tabela1[[#This Row],[Services CPI]]="",#N/A,((Tabela1[[#This Row],[Services CPI]]*1)/J546)-1)</f>
        <v>3.8436050364479613E-2</v>
      </c>
      <c r="M558" s="7">
        <v>160.69999999999999</v>
      </c>
      <c r="N558" s="8">
        <f>IF(Tabela1[[#This Row],[Core-Services CPI]]="",#N/A,((Tabela1[[#This Row],[Core-Services CPI]]*1)/M557)-1)</f>
        <v>4.3750000000000178E-3</v>
      </c>
      <c r="O558" s="8">
        <f>IF(Tabela1[[#This Row],[Core-Services CPI]]="",#N/A,((Tabela1[[#This Row],[Core-Services CPI]]*1)/M546)-1)</f>
        <v>3.8113695090439048E-2</v>
      </c>
      <c r="P558" s="7">
        <v>120.4</v>
      </c>
      <c r="Q558" s="8">
        <f>IF(Tabela1[[#This Row],[Durable Goods CPI]]="",#N/A,((Tabela1[[#This Row],[Durable Goods CPI]]*1)/P557)-1)</f>
        <v>2.4979184013322886E-3</v>
      </c>
      <c r="R558" s="8">
        <f>IF(Tabela1[[#This Row],[Durable Goods CPI]]="",#N/A,((Tabela1[[#This Row],[Durable Goods CPI]]*1)/P546)-1)</f>
        <v>1.9475021168501305E-2</v>
      </c>
      <c r="S558" s="7">
        <v>3.5806677219999998</v>
      </c>
      <c r="T558" s="7">
        <v>64.733000000000004</v>
      </c>
      <c r="U558" s="8">
        <f>IF(Tabela1[[#This Row],[Personal Consumption Expenditures (PCE)]]="",#N/A,((Tabela1[[#This Row],[Personal Consumption Expenditures (PCE)]]*1)/T557)-1)</f>
        <v>2.6641470857018401E-3</v>
      </c>
      <c r="V558" s="8">
        <f>IF(Tabela1[[#This Row],[Personal Consumption Expenditures (PCE)]]="",#N/A,((Tabela1[[#This Row],[Personal Consumption Expenditures (PCE)]]*1)/T546)-1)</f>
        <v>2.557074731855713E-2</v>
      </c>
      <c r="W558" s="7">
        <v>65.891000000000005</v>
      </c>
      <c r="X558" s="8">
        <f>IF(Tabela1[[#This Row],[Core PCE]]="",#N/A,((Tabela1[[#This Row],[Core PCE]]*1)/W557)-1)</f>
        <v>2.9071537290714655E-3</v>
      </c>
      <c r="Y558" s="8">
        <f>IF(Tabela1[[#This Row],[Core PCE]]="",#N/A,((Tabela1[[#This Row],[Core PCE]]*1)/W546)-1)</f>
        <v>2.6611408005235093E-2</v>
      </c>
      <c r="Z558" s="8">
        <f t="shared" si="29"/>
        <v>2.7995367362570356E-2</v>
      </c>
      <c r="AA558" s="8">
        <f t="shared" si="28"/>
        <v>2.7908954554642929E-2</v>
      </c>
      <c r="AB558" s="7">
        <v>2.52</v>
      </c>
      <c r="AC558" s="7"/>
      <c r="AD558" s="8"/>
      <c r="AE558" s="71"/>
      <c r="AF558" s="7">
        <v>3</v>
      </c>
      <c r="AG558" s="5"/>
    </row>
    <row r="559" spans="1:33" ht="12.75">
      <c r="A559" s="6">
        <v>34090</v>
      </c>
      <c r="B559" s="7">
        <v>144.19999999999999</v>
      </c>
      <c r="C559" s="8">
        <f>IF(Tabela1[[#This Row],[Consumer Price Index (CPI)]]="",#N/A,((Tabela1[[#This Row],[Consumer Price Index (CPI)]]*1)/B558)-1)</f>
        <v>2.7816411682890507E-3</v>
      </c>
      <c r="D559" s="8">
        <f>IF(Tabela1[[#This Row],[Consumer Price Index (CPI)]]="",#N/A,((Tabela1[[#This Row],[Consumer Price Index (CPI)]]*1)/B547)-1)</f>
        <v>3.2211882605583497E-2</v>
      </c>
      <c r="E559" s="25">
        <v>151.80000000000001</v>
      </c>
      <c r="F559" s="8">
        <f>IF(Tabela1[[#This Row],[Core Consumer Price Index]]="",#N/A,((Tabela1[[#This Row],[Core Consumer Price Index]]*1)/E558)-1)</f>
        <v>2.6420079260238705E-3</v>
      </c>
      <c r="G559" s="8">
        <f>IF(Tabela1[[#This Row],[Core Consumer Price Index]]="",#N/A,((Tabela1[[#This Row],[Core Consumer Price Index]]*1)/E547)-1)</f>
        <v>3.4059945504087086E-2</v>
      </c>
      <c r="H559" s="8">
        <f t="shared" si="26"/>
        <v>3.1795236060851551E-2</v>
      </c>
      <c r="I559" s="8">
        <f t="shared" si="27"/>
        <v>3.4606265487152843E-2</v>
      </c>
      <c r="J559" s="25">
        <v>157.30000000000001</v>
      </c>
      <c r="K559" s="8">
        <f>IF(Tabela1[[#This Row],[Services CPI]]="",#N/A,((Tabela1[[#This Row],[Services CPI]]*1)/J558)-1)</f>
        <v>3.8289725590301416E-3</v>
      </c>
      <c r="L559" s="8">
        <f>IF(Tabela1[[#This Row],[Services CPI]]="",#N/A,((Tabela1[[#This Row],[Services CPI]]*1)/J547)-1)</f>
        <v>3.9656311962987356E-2</v>
      </c>
      <c r="M559" s="7">
        <v>161.30000000000001</v>
      </c>
      <c r="N559" s="8">
        <f>IF(Tabela1[[#This Row],[Core-Services CPI]]="",#N/A,((Tabela1[[#This Row],[Core-Services CPI]]*1)/M558)-1)</f>
        <v>3.7336652146859883E-3</v>
      </c>
      <c r="O559" s="8">
        <f>IF(Tabela1[[#This Row],[Core-Services CPI]]="",#N/A,((Tabela1[[#This Row],[Core-Services CPI]]*1)/M547)-1)</f>
        <v>3.9304123711340289E-2</v>
      </c>
      <c r="P559" s="7">
        <v>120.7</v>
      </c>
      <c r="Q559" s="8">
        <f>IF(Tabela1[[#This Row],[Durable Goods CPI]]="",#N/A,((Tabela1[[#This Row],[Durable Goods CPI]]*1)/P558)-1)</f>
        <v>2.491694352159346E-3</v>
      </c>
      <c r="R559" s="8">
        <f>IF(Tabela1[[#This Row],[Durable Goods CPI]]="",#N/A,((Tabela1[[#This Row],[Durable Goods CPI]]*1)/P547)-1)</f>
        <v>2.0287404902789463E-2</v>
      </c>
      <c r="S559" s="7">
        <v>3.3531606090000001</v>
      </c>
      <c r="T559" s="7">
        <v>64.933000000000007</v>
      </c>
      <c r="U559" s="8">
        <f>IF(Tabela1[[#This Row],[Personal Consumption Expenditures (PCE)]]="",#N/A,((Tabela1[[#This Row],[Personal Consumption Expenditures (PCE)]]*1)/T558)-1)</f>
        <v>3.0896142616594346E-3</v>
      </c>
      <c r="V559" s="8">
        <f>IF(Tabela1[[#This Row],[Personal Consumption Expenditures (PCE)]]="",#N/A,((Tabela1[[#This Row],[Personal Consumption Expenditures (PCE)]]*1)/T547)-1)</f>
        <v>2.7372118412100743E-2</v>
      </c>
      <c r="W559" s="7">
        <v>66.114000000000004</v>
      </c>
      <c r="X559" s="8">
        <f>IF(Tabela1[[#This Row],[Core PCE]]="",#N/A,((Tabela1[[#This Row],[Core PCE]]*1)/W558)-1)</f>
        <v>3.3843772290600427E-3</v>
      </c>
      <c r="Y559" s="8">
        <f>IF(Tabela1[[#This Row],[Core PCE]]="",#N/A,((Tabela1[[#This Row],[Core PCE]]*1)/W547)-1)</f>
        <v>2.864344281424569E-2</v>
      </c>
      <c r="Z559" s="8">
        <f t="shared" si="29"/>
        <v>3.3891355310476712E-2</v>
      </c>
      <c r="AA559" s="8">
        <f t="shared" si="28"/>
        <v>3.0307066189697363E-2</v>
      </c>
      <c r="AB559" s="7">
        <v>2.57</v>
      </c>
      <c r="AC559" s="7"/>
      <c r="AD559" s="8"/>
      <c r="AE559" s="71"/>
      <c r="AF559" s="7">
        <v>2.9</v>
      </c>
      <c r="AG559" s="5"/>
    </row>
    <row r="560" spans="1:33" ht="12.75">
      <c r="A560" s="6">
        <v>34121</v>
      </c>
      <c r="B560" s="7">
        <v>144.30000000000001</v>
      </c>
      <c r="C560" s="8">
        <f>IF(Tabela1[[#This Row],[Consumer Price Index (CPI)]]="",#N/A,((Tabela1[[#This Row],[Consumer Price Index (CPI)]]*1)/B559)-1)</f>
        <v>6.9348127600576959E-4</v>
      </c>
      <c r="D560" s="8">
        <f>IF(Tabela1[[#This Row],[Consumer Price Index (CPI)]]="",#N/A,((Tabela1[[#This Row],[Consumer Price Index (CPI)]]*1)/B548)-1)</f>
        <v>2.9978586723768963E-2</v>
      </c>
      <c r="E560" s="25">
        <v>152.1</v>
      </c>
      <c r="F560" s="8">
        <f>IF(Tabela1[[#This Row],[Core Consumer Price Index]]="",#N/A,((Tabela1[[#This Row],[Core Consumer Price Index]]*1)/E559)-1)</f>
        <v>1.9762845849802257E-3</v>
      </c>
      <c r="G560" s="8">
        <f>IF(Tabela1[[#This Row],[Core Consumer Price Index]]="",#N/A,((Tabela1[[#This Row],[Core Consumer Price Index]]*1)/E548)-1)</f>
        <v>3.3990482664853827E-2</v>
      </c>
      <c r="H560" s="8">
        <f t="shared" si="26"/>
        <v>3.4388289407411676E-2</v>
      </c>
      <c r="I560" s="8">
        <f t="shared" si="27"/>
        <v>3.3196904362207125E-2</v>
      </c>
      <c r="J560" s="25">
        <v>157.80000000000001</v>
      </c>
      <c r="K560" s="8">
        <f>IF(Tabela1[[#This Row],[Services CPI]]="",#N/A,((Tabela1[[#This Row],[Services CPI]]*1)/J559)-1)</f>
        <v>3.1786395422759295E-3</v>
      </c>
      <c r="L560" s="8">
        <f>IF(Tabela1[[#This Row],[Services CPI]]="",#N/A,((Tabela1[[#This Row],[Services CPI]]*1)/J548)-1)</f>
        <v>4.0210942649967274E-2</v>
      </c>
      <c r="M560" s="7">
        <v>161.80000000000001</v>
      </c>
      <c r="N560" s="8">
        <f>IF(Tabela1[[#This Row],[Core-Services CPI]]="",#N/A,((Tabela1[[#This Row],[Core-Services CPI]]*1)/M559)-1)</f>
        <v>3.0998140111593298E-3</v>
      </c>
      <c r="O560" s="8">
        <f>IF(Tabela1[[#This Row],[Core-Services CPI]]="",#N/A,((Tabela1[[#This Row],[Core-Services CPI]]*1)/M548)-1)</f>
        <v>3.9845758354755789E-2</v>
      </c>
      <c r="P560" s="7">
        <v>121</v>
      </c>
      <c r="Q560" s="8">
        <f>IF(Tabela1[[#This Row],[Durable Goods CPI]]="",#N/A,((Tabela1[[#This Row],[Durable Goods CPI]]*1)/P559)-1)</f>
        <v>2.4855012427504874E-3</v>
      </c>
      <c r="R560" s="8">
        <f>IF(Tabela1[[#This Row],[Durable Goods CPI]]="",#N/A,((Tabela1[[#This Row],[Durable Goods CPI]]*1)/P548)-1)</f>
        <v>2.1097046413502074E-2</v>
      </c>
      <c r="S560" s="7">
        <v>3.422176699</v>
      </c>
      <c r="T560" s="7">
        <v>64.954999999999998</v>
      </c>
      <c r="U560" s="8">
        <f>IF(Tabela1[[#This Row],[Personal Consumption Expenditures (PCE)]]="",#N/A,((Tabela1[[#This Row],[Personal Consumption Expenditures (PCE)]]*1)/T559)-1)</f>
        <v>3.3881077418240757E-4</v>
      </c>
      <c r="V560" s="8">
        <f>IF(Tabela1[[#This Row],[Personal Consumption Expenditures (PCE)]]="",#N/A,((Tabela1[[#This Row],[Personal Consumption Expenditures (PCE)]]*1)/T548)-1)</f>
        <v>2.5902234857458684E-2</v>
      </c>
      <c r="W560" s="7">
        <v>66.177000000000007</v>
      </c>
      <c r="X560" s="8">
        <f>IF(Tabela1[[#This Row],[Core PCE]]="",#N/A,((Tabela1[[#This Row],[Core PCE]]*1)/W559)-1)</f>
        <v>9.5289953716304332E-4</v>
      </c>
      <c r="Y560" s="8">
        <f>IF(Tabela1[[#This Row],[Core PCE]]="",#N/A,((Tabela1[[#This Row],[Core PCE]]*1)/W548)-1)</f>
        <v>2.8823282496152514E-2</v>
      </c>
      <c r="Z560" s="8">
        <f t="shared" si="29"/>
        <v>2.8977721981178206E-2</v>
      </c>
      <c r="AA560" s="8">
        <f t="shared" si="28"/>
        <v>2.8496706114133019E-2</v>
      </c>
      <c r="AB560" s="7">
        <v>2.54</v>
      </c>
      <c r="AC560" s="7"/>
      <c r="AD560" s="8"/>
      <c r="AE560" s="71"/>
      <c r="AF560" s="7">
        <v>3.5</v>
      </c>
      <c r="AG560" s="5"/>
    </row>
    <row r="561" spans="1:33" ht="12.75">
      <c r="A561" s="6">
        <v>34151</v>
      </c>
      <c r="B561" s="7">
        <v>144.5</v>
      </c>
      <c r="C561" s="8">
        <f>IF(Tabela1[[#This Row],[Consumer Price Index (CPI)]]="",#N/A,((Tabela1[[#This Row],[Consumer Price Index (CPI)]]*1)/B560)-1)</f>
        <v>1.386001386001201E-3</v>
      </c>
      <c r="D561" s="8">
        <f>IF(Tabela1[[#This Row],[Consumer Price Index (CPI)]]="",#N/A,((Tabela1[[#This Row],[Consumer Price Index (CPI)]]*1)/B549)-1)</f>
        <v>2.8469750889679624E-2</v>
      </c>
      <c r="E561" s="25">
        <v>152.30000000000001</v>
      </c>
      <c r="F561" s="8">
        <f>IF(Tabela1[[#This Row],[Core Consumer Price Index]]="",#N/A,((Tabela1[[#This Row],[Core Consumer Price Index]]*1)/E560)-1)</f>
        <v>1.3149243918475495E-3</v>
      </c>
      <c r="G561" s="8">
        <f>IF(Tabela1[[#This Row],[Core Consumer Price Index]]="",#N/A,((Tabela1[[#This Row],[Core Consumer Price Index]]*1)/E549)-1)</f>
        <v>3.1842818428184483E-2</v>
      </c>
      <c r="H561" s="8">
        <f t="shared" si="26"/>
        <v>2.3732867611406583E-2</v>
      </c>
      <c r="I561" s="8">
        <f t="shared" si="27"/>
        <v>2.914226116729246E-2</v>
      </c>
      <c r="J561" s="25">
        <v>158.1</v>
      </c>
      <c r="K561" s="8">
        <f>IF(Tabela1[[#This Row],[Services CPI]]="",#N/A,((Tabela1[[#This Row],[Services CPI]]*1)/J560)-1)</f>
        <v>1.9011406844104961E-3</v>
      </c>
      <c r="L561" s="8">
        <f>IF(Tabela1[[#This Row],[Services CPI]]="",#N/A,((Tabela1[[#This Row],[Services CPI]]*1)/J549)-1)</f>
        <v>3.8764783180026408E-2</v>
      </c>
      <c r="M561" s="7">
        <v>162.1</v>
      </c>
      <c r="N561" s="8">
        <f>IF(Tabela1[[#This Row],[Core-Services CPI]]="",#N/A,((Tabela1[[#This Row],[Core-Services CPI]]*1)/M560)-1)</f>
        <v>1.8541409147094789E-3</v>
      </c>
      <c r="O561" s="8">
        <f>IF(Tabela1[[#This Row],[Core-Services CPI]]="",#N/A,((Tabela1[[#This Row],[Core-Services CPI]]*1)/M549)-1)</f>
        <v>3.8436899423446524E-2</v>
      </c>
      <c r="P561" s="7">
        <v>121.2</v>
      </c>
      <c r="Q561" s="8">
        <f>IF(Tabela1[[#This Row],[Durable Goods CPI]]="",#N/A,((Tabela1[[#This Row],[Durable Goods CPI]]*1)/P560)-1)</f>
        <v>1.6528925619834212E-3</v>
      </c>
      <c r="R561" s="8">
        <f>IF(Tabela1[[#This Row],[Durable Goods CPI]]="",#N/A,((Tabela1[[#This Row],[Durable Goods CPI]]*1)/P549)-1)</f>
        <v>2.1061499578769904E-2</v>
      </c>
      <c r="S561" s="7">
        <v>3.5514312829999999</v>
      </c>
      <c r="T561" s="7">
        <v>65.058999999999997</v>
      </c>
      <c r="U561" s="8">
        <f>IF(Tabela1[[#This Row],[Personal Consumption Expenditures (PCE)]]="",#N/A,((Tabela1[[#This Row],[Personal Consumption Expenditures (PCE)]]*1)/T560)-1)</f>
        <v>1.6011084597029601E-3</v>
      </c>
      <c r="V561" s="8">
        <f>IF(Tabela1[[#This Row],[Personal Consumption Expenditures (PCE)]]="",#N/A,((Tabela1[[#This Row],[Personal Consumption Expenditures (PCE)]]*1)/T549)-1)</f>
        <v>2.4164095459983548E-2</v>
      </c>
      <c r="W561" s="7">
        <v>66.313999999999993</v>
      </c>
      <c r="X561" s="8">
        <f>IF(Tabela1[[#This Row],[Core PCE]]="",#N/A,((Tabela1[[#This Row],[Core PCE]]*1)/W560)-1)</f>
        <v>2.0702056605768071E-3</v>
      </c>
      <c r="Y561" s="8">
        <f>IF(Tabela1[[#This Row],[Core PCE]]="",#N/A,((Tabela1[[#This Row],[Core PCE]]*1)/W549)-1)</f>
        <v>2.7073072514945729E-2</v>
      </c>
      <c r="Z561" s="8">
        <f t="shared" si="29"/>
        <v>2.5629929707199572E-2</v>
      </c>
      <c r="AA561" s="8">
        <f t="shared" si="28"/>
        <v>2.6812648534884964E-2</v>
      </c>
      <c r="AB561" s="7">
        <v>2.5</v>
      </c>
      <c r="AC561" s="7"/>
      <c r="AD561" s="8"/>
      <c r="AE561" s="71"/>
      <c r="AF561" s="7">
        <v>3</v>
      </c>
      <c r="AG561" s="5"/>
    </row>
    <row r="562" spans="1:33" ht="12.75">
      <c r="A562" s="6">
        <v>34182</v>
      </c>
      <c r="B562" s="7">
        <v>144.80000000000001</v>
      </c>
      <c r="C562" s="8">
        <f>IF(Tabela1[[#This Row],[Consumer Price Index (CPI)]]="",#N/A,((Tabela1[[#This Row],[Consumer Price Index (CPI)]]*1)/B561)-1)</f>
        <v>2.0761245674740803E-3</v>
      </c>
      <c r="D562" s="8">
        <f>IF(Tabela1[[#This Row],[Consumer Price Index (CPI)]]="",#N/A,((Tabela1[[#This Row],[Consumer Price Index (CPI)]]*1)/B550)-1)</f>
        <v>2.8409090909090828E-2</v>
      </c>
      <c r="E562" s="25">
        <v>152.80000000000001</v>
      </c>
      <c r="F562" s="8">
        <f>IF(Tabela1[[#This Row],[Core Consumer Price Index]]="",#N/A,((Tabela1[[#This Row],[Core Consumer Price Index]]*1)/E561)-1)</f>
        <v>3.2829940906107247E-3</v>
      </c>
      <c r="G562" s="8">
        <f>IF(Tabela1[[#This Row],[Core Consumer Price Index]]="",#N/A,((Tabela1[[#This Row],[Core Consumer Price Index]]*1)/E550)-1)</f>
        <v>3.3130493576741138E-2</v>
      </c>
      <c r="H562" s="8">
        <f t="shared" si="26"/>
        <v>2.6296812269754E-2</v>
      </c>
      <c r="I562" s="8">
        <f t="shared" si="27"/>
        <v>2.9046024165302775E-2</v>
      </c>
      <c r="J562" s="25">
        <v>158.6</v>
      </c>
      <c r="K562" s="8">
        <f>IF(Tabela1[[#This Row],[Services CPI]]="",#N/A,((Tabela1[[#This Row],[Services CPI]]*1)/J561)-1)</f>
        <v>3.1625553447185428E-3</v>
      </c>
      <c r="L562" s="8">
        <f>IF(Tabela1[[#This Row],[Services CPI]]="",#N/A,((Tabela1[[#This Row],[Services CPI]]*1)/J550)-1)</f>
        <v>3.9318479685452212E-2</v>
      </c>
      <c r="M562" s="7">
        <v>162.6</v>
      </c>
      <c r="N562" s="8">
        <f>IF(Tabela1[[#This Row],[Core-Services CPI]]="",#N/A,((Tabela1[[#This Row],[Core-Services CPI]]*1)/M561)-1)</f>
        <v>3.0845157310301907E-3</v>
      </c>
      <c r="O562" s="8">
        <f>IF(Tabela1[[#This Row],[Core-Services CPI]]="",#N/A,((Tabela1[[#This Row],[Core-Services CPI]]*1)/M550)-1)</f>
        <v>3.8977635782747599E-2</v>
      </c>
      <c r="P562" s="7">
        <v>121.7</v>
      </c>
      <c r="Q562" s="8">
        <f>IF(Tabela1[[#This Row],[Durable Goods CPI]]="",#N/A,((Tabela1[[#This Row],[Durable Goods CPI]]*1)/P561)-1)</f>
        <v>4.1254125412542031E-3</v>
      </c>
      <c r="R562" s="8">
        <f>IF(Tabela1[[#This Row],[Durable Goods CPI]]="",#N/A,((Tabela1[[#This Row],[Durable Goods CPI]]*1)/P550)-1)</f>
        <v>2.3549201009251508E-2</v>
      </c>
      <c r="S562" s="7">
        <v>3.5834288729999999</v>
      </c>
      <c r="T562" s="7">
        <v>65.17</v>
      </c>
      <c r="U562" s="8">
        <f>IF(Tabela1[[#This Row],[Personal Consumption Expenditures (PCE)]]="",#N/A,((Tabela1[[#This Row],[Personal Consumption Expenditures (PCE)]]*1)/T561)-1)</f>
        <v>1.7061436542216146E-3</v>
      </c>
      <c r="V562" s="8">
        <f>IF(Tabela1[[#This Row],[Personal Consumption Expenditures (PCE)]]="",#N/A,((Tabela1[[#This Row],[Personal Consumption Expenditures (PCE)]]*1)/T550)-1)</f>
        <v>2.4540552437548158E-2</v>
      </c>
      <c r="W562" s="7">
        <v>66.438000000000002</v>
      </c>
      <c r="X562" s="8">
        <f>IF(Tabela1[[#This Row],[Core PCE]]="",#N/A,((Tabela1[[#This Row],[Core PCE]]*1)/W561)-1)</f>
        <v>1.8698917272372828E-3</v>
      </c>
      <c r="Y562" s="8">
        <f>IF(Tabela1[[#This Row],[Core PCE]]="",#N/A,((Tabela1[[#This Row],[Core PCE]]*1)/W550)-1)</f>
        <v>2.8054158607350166E-2</v>
      </c>
      <c r="Z562" s="8">
        <f t="shared" si="29"/>
        <v>1.9571987699908533E-2</v>
      </c>
      <c r="AA562" s="8">
        <f t="shared" si="28"/>
        <v>2.6731671505192622E-2</v>
      </c>
      <c r="AB562" s="7">
        <v>2.4900000000000002</v>
      </c>
      <c r="AC562" s="7"/>
      <c r="AD562" s="8"/>
      <c r="AE562" s="71"/>
      <c r="AF562" s="7">
        <v>3.2</v>
      </c>
      <c r="AG562" s="5"/>
    </row>
    <row r="563" spans="1:33" ht="12.75">
      <c r="A563" s="6">
        <v>34213</v>
      </c>
      <c r="B563" s="7">
        <v>145</v>
      </c>
      <c r="C563" s="8">
        <f>IF(Tabela1[[#This Row],[Consumer Price Index (CPI)]]="",#N/A,((Tabela1[[#This Row],[Consumer Price Index (CPI)]]*1)/B562)-1)</f>
        <v>1.3812154696131174E-3</v>
      </c>
      <c r="D563" s="8">
        <f>IF(Tabela1[[#This Row],[Consumer Price Index (CPI)]]="",#N/A,((Tabela1[[#This Row],[Consumer Price Index (CPI)]]*1)/B551)-1)</f>
        <v>2.7639971651311157E-2</v>
      </c>
      <c r="E563" s="25">
        <v>152.9</v>
      </c>
      <c r="F563" s="8">
        <f>IF(Tabela1[[#This Row],[Core Consumer Price Index]]="",#N/A,((Tabela1[[#This Row],[Core Consumer Price Index]]*1)/E562)-1)</f>
        <v>6.544502617800152E-4</v>
      </c>
      <c r="G563" s="8">
        <f>IF(Tabela1[[#This Row],[Core Consumer Price Index]]="",#N/A,((Tabela1[[#This Row],[Core Consumer Price Index]]*1)/E551)-1)</f>
        <v>3.2410533423362642E-2</v>
      </c>
      <c r="H563" s="8">
        <f t="shared" si="26"/>
        <v>2.1009474976953157E-2</v>
      </c>
      <c r="I563" s="8">
        <f t="shared" si="27"/>
        <v>2.7698882192182417E-2</v>
      </c>
      <c r="J563" s="25">
        <v>159</v>
      </c>
      <c r="K563" s="8">
        <f>IF(Tabela1[[#This Row],[Services CPI]]="",#N/A,((Tabela1[[#This Row],[Services CPI]]*1)/J562)-1)</f>
        <v>2.5220680958386588E-3</v>
      </c>
      <c r="L563" s="8">
        <f>IF(Tabela1[[#This Row],[Services CPI]]="",#N/A,((Tabela1[[#This Row],[Services CPI]]*1)/J551)-1)</f>
        <v>3.9895356442118945E-2</v>
      </c>
      <c r="M563" s="7">
        <v>163.1</v>
      </c>
      <c r="N563" s="8">
        <f>IF(Tabela1[[#This Row],[Core-Services CPI]]="",#N/A,((Tabela1[[#This Row],[Core-Services CPI]]*1)/M562)-1)</f>
        <v>3.0750307503075724E-3</v>
      </c>
      <c r="O563" s="8">
        <f>IF(Tabela1[[#This Row],[Core-Services CPI]]="",#N/A,((Tabela1[[#This Row],[Core-Services CPI]]*1)/M551)-1)</f>
        <v>4.0842373962986622E-2</v>
      </c>
      <c r="P563" s="7">
        <v>122.1</v>
      </c>
      <c r="Q563" s="8">
        <f>IF(Tabela1[[#This Row],[Durable Goods CPI]]="",#N/A,((Tabela1[[#This Row],[Durable Goods CPI]]*1)/P562)-1)</f>
        <v>3.2867707477401975E-3</v>
      </c>
      <c r="R563" s="8">
        <f>IF(Tabela1[[#This Row],[Durable Goods CPI]]="",#N/A,((Tabela1[[#This Row],[Durable Goods CPI]]*1)/P551)-1)</f>
        <v>2.5188916876574208E-2</v>
      </c>
      <c r="S563" s="7">
        <v>3.437046316</v>
      </c>
      <c r="T563" s="7">
        <v>65.238</v>
      </c>
      <c r="U563" s="8">
        <f>IF(Tabela1[[#This Row],[Personal Consumption Expenditures (PCE)]]="",#N/A,((Tabela1[[#This Row],[Personal Consumption Expenditures (PCE)]]*1)/T562)-1)</f>
        <v>1.043424888752531E-3</v>
      </c>
      <c r="V563" s="8">
        <f>IF(Tabela1[[#This Row],[Personal Consumption Expenditures (PCE)]]="",#N/A,((Tabela1[[#This Row],[Personal Consumption Expenditures (PCE)]]*1)/T551)-1)</f>
        <v>2.3935460581043122E-2</v>
      </c>
      <c r="W563" s="7">
        <v>66.537999999999997</v>
      </c>
      <c r="X563" s="8">
        <f>IF(Tabela1[[#This Row],[Core PCE]]="",#N/A,((Tabela1[[#This Row],[Core PCE]]*1)/W562)-1)</f>
        <v>1.5051627080886476E-3</v>
      </c>
      <c r="Y563" s="8">
        <f>IF(Tabela1[[#This Row],[Core PCE]]="",#N/A,((Tabela1[[#This Row],[Core PCE]]*1)/W551)-1)</f>
        <v>2.7931407384520268E-2</v>
      </c>
      <c r="Z563" s="8">
        <f t="shared" si="29"/>
        <v>2.178104038361095E-2</v>
      </c>
      <c r="AA563" s="8">
        <f t="shared" si="28"/>
        <v>2.5379381182394578E-2</v>
      </c>
      <c r="AB563" s="7">
        <v>2.5299999999999998</v>
      </c>
      <c r="AC563" s="7"/>
      <c r="AD563" s="8"/>
      <c r="AE563" s="71"/>
      <c r="AF563" s="7">
        <v>3</v>
      </c>
      <c r="AG563" s="5"/>
    </row>
    <row r="564" spans="1:33" ht="12.75">
      <c r="A564" s="6">
        <v>34243</v>
      </c>
      <c r="B564" s="7">
        <v>145.6</v>
      </c>
      <c r="C564" s="8">
        <f>IF(Tabela1[[#This Row],[Consumer Price Index (CPI)]]="",#N/A,((Tabela1[[#This Row],[Consumer Price Index (CPI)]]*1)/B563)-1)</f>
        <v>4.1379310344826781E-3</v>
      </c>
      <c r="D564" s="8">
        <f>IF(Tabela1[[#This Row],[Consumer Price Index (CPI)]]="",#N/A,((Tabela1[[#This Row],[Consumer Price Index (CPI)]]*1)/B552)-1)</f>
        <v>2.7522935779816571E-2</v>
      </c>
      <c r="E564" s="25">
        <v>153.4</v>
      </c>
      <c r="F564" s="8">
        <f>IF(Tabela1[[#This Row],[Core Consumer Price Index]]="",#N/A,((Tabela1[[#This Row],[Core Consumer Price Index]]*1)/E563)-1)</f>
        <v>3.2701111837802888E-3</v>
      </c>
      <c r="G564" s="8">
        <f>IF(Tabela1[[#This Row],[Core Consumer Price Index]]="",#N/A,((Tabela1[[#This Row],[Core Consumer Price Index]]*1)/E552)-1)</f>
        <v>3.0913978494623517E-2</v>
      </c>
      <c r="H564" s="8">
        <f t="shared" si="26"/>
        <v>2.8830222144684114E-2</v>
      </c>
      <c r="I564" s="8">
        <f t="shared" si="27"/>
        <v>2.6281544878045349E-2</v>
      </c>
      <c r="J564" s="25">
        <v>159.4</v>
      </c>
      <c r="K564" s="8">
        <f>IF(Tabela1[[#This Row],[Services CPI]]="",#N/A,((Tabela1[[#This Row],[Services CPI]]*1)/J563)-1)</f>
        <v>2.515723270440251E-3</v>
      </c>
      <c r="L564" s="8">
        <f>IF(Tabela1[[#This Row],[Services CPI]]="",#N/A,((Tabela1[[#This Row],[Services CPI]]*1)/J552)-1)</f>
        <v>3.7085230969420957E-2</v>
      </c>
      <c r="M564" s="7">
        <v>163.5</v>
      </c>
      <c r="N564" s="8">
        <f>IF(Tabela1[[#This Row],[Core-Services CPI]]="",#N/A,((Tabela1[[#This Row],[Core-Services CPI]]*1)/M563)-1)</f>
        <v>2.4524831391785629E-3</v>
      </c>
      <c r="O564" s="8">
        <f>IF(Tabela1[[#This Row],[Core-Services CPI]]="",#N/A,((Tabela1[[#This Row],[Core-Services CPI]]*1)/M552)-1)</f>
        <v>3.7436548223350297E-2</v>
      </c>
      <c r="P564" s="7">
        <v>122.5</v>
      </c>
      <c r="Q564" s="8">
        <f>IF(Tabela1[[#This Row],[Durable Goods CPI]]="",#N/A,((Tabela1[[#This Row],[Durable Goods CPI]]*1)/P563)-1)</f>
        <v>3.2760032760033031E-3</v>
      </c>
      <c r="R564" s="8">
        <f>IF(Tabela1[[#This Row],[Durable Goods CPI]]="",#N/A,((Tabela1[[#This Row],[Durable Goods CPI]]*1)/P552)-1)</f>
        <v>2.5963149078726877E-2</v>
      </c>
      <c r="S564" s="7">
        <v>3.5227390860000001</v>
      </c>
      <c r="T564" s="7">
        <v>65.442999999999998</v>
      </c>
      <c r="U564" s="8">
        <f>IF(Tabela1[[#This Row],[Personal Consumption Expenditures (PCE)]]="",#N/A,((Tabela1[[#This Row],[Personal Consumption Expenditures (PCE)]]*1)/T563)-1)</f>
        <v>3.1423403537815808E-3</v>
      </c>
      <c r="V564" s="8">
        <f>IF(Tabela1[[#This Row],[Personal Consumption Expenditures (PCE)]]="",#N/A,((Tabela1[[#This Row],[Personal Consumption Expenditures (PCE)]]*1)/T552)-1)</f>
        <v>2.3538427851981458E-2</v>
      </c>
      <c r="W564" s="7">
        <v>66.647000000000006</v>
      </c>
      <c r="X564" s="8">
        <f>IF(Tabela1[[#This Row],[Core PCE]]="",#N/A,((Tabela1[[#This Row],[Core PCE]]*1)/W563)-1)</f>
        <v>1.6381616519884901E-3</v>
      </c>
      <c r="Y564" s="8">
        <f>IF(Tabela1[[#This Row],[Core PCE]]="",#N/A,((Tabela1[[#This Row],[Core PCE]]*1)/W552)-1)</f>
        <v>2.5669831791809816E-2</v>
      </c>
      <c r="Z564" s="8">
        <f t="shared" si="29"/>
        <v>2.0052864349257682E-2</v>
      </c>
      <c r="AA564" s="8">
        <f t="shared" si="28"/>
        <v>2.2841397028228627E-2</v>
      </c>
      <c r="AB564" s="7">
        <v>2.4900000000000002</v>
      </c>
      <c r="AC564" s="7"/>
      <c r="AD564" s="8"/>
      <c r="AE564" s="71"/>
      <c r="AF564" s="7">
        <v>3.3</v>
      </c>
      <c r="AG564" s="5"/>
    </row>
    <row r="565" spans="1:33" ht="12.75">
      <c r="A565" s="6">
        <v>34274</v>
      </c>
      <c r="B565" s="7">
        <v>146</v>
      </c>
      <c r="C565" s="8">
        <f>IF(Tabela1[[#This Row],[Consumer Price Index (CPI)]]="",#N/A,((Tabela1[[#This Row],[Consumer Price Index (CPI)]]*1)/B564)-1)</f>
        <v>2.7472527472527375E-3</v>
      </c>
      <c r="D565" s="8">
        <f>IF(Tabela1[[#This Row],[Consumer Price Index (CPI)]]="",#N/A,((Tabela1[[#This Row],[Consumer Price Index (CPI)]]*1)/B553)-1)</f>
        <v>2.7445460942997935E-2</v>
      </c>
      <c r="E565" s="25">
        <v>153.9</v>
      </c>
      <c r="F565" s="8">
        <f>IF(Tabela1[[#This Row],[Core Consumer Price Index]]="",#N/A,((Tabela1[[#This Row],[Core Consumer Price Index]]*1)/E564)-1)</f>
        <v>3.2594524119948787E-3</v>
      </c>
      <c r="G565" s="8">
        <f>IF(Tabela1[[#This Row],[Core Consumer Price Index]]="",#N/A,((Tabela1[[#This Row],[Core Consumer Price Index]]*1)/E553)-1)</f>
        <v>3.1501340482573914E-2</v>
      </c>
      <c r="H565" s="8">
        <f t="shared" si="26"/>
        <v>2.873605543022073E-2</v>
      </c>
      <c r="I565" s="8">
        <f t="shared" si="27"/>
        <v>2.7516433849987365E-2</v>
      </c>
      <c r="J565" s="25">
        <v>159.9</v>
      </c>
      <c r="K565" s="8">
        <f>IF(Tabela1[[#This Row],[Services CPI]]="",#N/A,((Tabela1[[#This Row],[Services CPI]]*1)/J564)-1)</f>
        <v>3.1367628607277265E-3</v>
      </c>
      <c r="L565" s="8">
        <f>IF(Tabela1[[#This Row],[Services CPI]]="",#N/A,((Tabela1[[#This Row],[Services CPI]]*1)/J553)-1)</f>
        <v>3.6292935839274065E-2</v>
      </c>
      <c r="M565" s="7">
        <v>164.1</v>
      </c>
      <c r="N565" s="8">
        <f>IF(Tabela1[[#This Row],[Core-Services CPI]]="",#N/A,((Tabela1[[#This Row],[Core-Services CPI]]*1)/M564)-1)</f>
        <v>3.669724770642091E-3</v>
      </c>
      <c r="O565" s="8">
        <f>IF(Tabela1[[#This Row],[Core-Services CPI]]="",#N/A,((Tabela1[[#This Row],[Core-Services CPI]]*1)/M553)-1)</f>
        <v>3.7294563843236483E-2</v>
      </c>
      <c r="P565" s="7">
        <v>122.9</v>
      </c>
      <c r="Q565" s="8">
        <f>IF(Tabela1[[#This Row],[Durable Goods CPI]]="",#N/A,((Tabela1[[#This Row],[Durable Goods CPI]]*1)/P564)-1)</f>
        <v>3.2653061224490187E-3</v>
      </c>
      <c r="R565" s="8">
        <f>IF(Tabela1[[#This Row],[Durable Goods CPI]]="",#N/A,((Tabela1[[#This Row],[Durable Goods CPI]]*1)/P553)-1)</f>
        <v>2.5876460767946696E-2</v>
      </c>
      <c r="S565" s="7">
        <v>3.6560386810000001</v>
      </c>
      <c r="T565" s="7">
        <v>65.566999999999993</v>
      </c>
      <c r="U565" s="8">
        <f>IF(Tabela1[[#This Row],[Personal Consumption Expenditures (PCE)]]="",#N/A,((Tabela1[[#This Row],[Personal Consumption Expenditures (PCE)]]*1)/T564)-1)</f>
        <v>1.8947786623473295E-3</v>
      </c>
      <c r="V565" s="8">
        <f>IF(Tabela1[[#This Row],[Personal Consumption Expenditures (PCE)]]="",#N/A,((Tabela1[[#This Row],[Personal Consumption Expenditures (PCE)]]*1)/T553)-1)</f>
        <v>2.3460914085914109E-2</v>
      </c>
      <c r="W565" s="7">
        <v>66.819000000000003</v>
      </c>
      <c r="X565" s="8">
        <f>IF(Tabela1[[#This Row],[Core PCE]]="",#N/A,((Tabela1[[#This Row],[Core PCE]]*1)/W564)-1)</f>
        <v>2.5807613245907302E-3</v>
      </c>
      <c r="Y565" s="8">
        <f>IF(Tabela1[[#This Row],[Core PCE]]="",#N/A,((Tabela1[[#This Row],[Core PCE]]*1)/W553)-1)</f>
        <v>2.6074538167411454E-2</v>
      </c>
      <c r="Z565" s="8">
        <f t="shared" si="29"/>
        <v>2.2896342738671471E-2</v>
      </c>
      <c r="AA565" s="8">
        <f t="shared" si="28"/>
        <v>2.1234165219290002E-2</v>
      </c>
      <c r="AB565" s="7">
        <v>2.4300000000000002</v>
      </c>
      <c r="AC565" s="7"/>
      <c r="AD565" s="8"/>
      <c r="AE565" s="71"/>
      <c r="AF565" s="7">
        <v>2.8</v>
      </c>
      <c r="AG565" s="5"/>
    </row>
    <row r="566" spans="1:33" ht="12.75">
      <c r="A566" s="6">
        <v>34304</v>
      </c>
      <c r="B566" s="7">
        <v>146.30000000000001</v>
      </c>
      <c r="C566" s="8">
        <f>IF(Tabela1[[#This Row],[Consumer Price Index (CPI)]]="",#N/A,((Tabela1[[#This Row],[Consumer Price Index (CPI)]]*1)/B565)-1)</f>
        <v>2.05479452054802E-3</v>
      </c>
      <c r="D566" s="8">
        <f>IF(Tabela1[[#This Row],[Consumer Price Index (CPI)]]="",#N/A,((Tabela1[[#This Row],[Consumer Price Index (CPI)]]*1)/B554)-1)</f>
        <v>2.8109627547435068E-2</v>
      </c>
      <c r="E566" s="25">
        <v>154.30000000000001</v>
      </c>
      <c r="F566" s="8">
        <f>IF(Tabela1[[#This Row],[Core Consumer Price Index]]="",#N/A,((Tabela1[[#This Row],[Core Consumer Price Index]]*1)/E565)-1)</f>
        <v>2.5990903183885639E-3</v>
      </c>
      <c r="G566" s="8">
        <f>IF(Tabela1[[#This Row],[Core Consumer Price Index]]="",#N/A,((Tabela1[[#This Row],[Core Consumer Price Index]]*1)/E554)-1)</f>
        <v>3.1417112299465311E-2</v>
      </c>
      <c r="H566" s="8">
        <f t="shared" si="26"/>
        <v>3.6514615656654925E-2</v>
      </c>
      <c r="I566" s="8">
        <f t="shared" si="27"/>
        <v>2.8762045316804041E-2</v>
      </c>
      <c r="J566" s="25">
        <v>160.5</v>
      </c>
      <c r="K566" s="8">
        <f>IF(Tabela1[[#This Row],[Services CPI]]="",#N/A,((Tabela1[[#This Row],[Services CPI]]*1)/J565)-1)</f>
        <v>3.7523452157597337E-3</v>
      </c>
      <c r="L566" s="8">
        <f>IF(Tabela1[[#This Row],[Services CPI]]="",#N/A,((Tabela1[[#This Row],[Services CPI]]*1)/J554)-1)</f>
        <v>3.749191984486111E-2</v>
      </c>
      <c r="M566" s="7">
        <v>164.7</v>
      </c>
      <c r="N566" s="8">
        <f>IF(Tabela1[[#This Row],[Core-Services CPI]]="",#N/A,((Tabela1[[#This Row],[Core-Services CPI]]*1)/M565)-1)</f>
        <v>3.6563071297988081E-3</v>
      </c>
      <c r="O566" s="8">
        <f>IF(Tabela1[[#This Row],[Core-Services CPI]]="",#N/A,((Tabela1[[#This Row],[Core-Services CPI]]*1)/M554)-1)</f>
        <v>3.8461538461538325E-2</v>
      </c>
      <c r="P566" s="7">
        <v>123</v>
      </c>
      <c r="Q566" s="8">
        <f>IF(Tabela1[[#This Row],[Durable Goods CPI]]="",#N/A,((Tabela1[[#This Row],[Durable Goods CPI]]*1)/P565)-1)</f>
        <v>8.1366965012197312E-4</v>
      </c>
      <c r="R566" s="8">
        <f>IF(Tabela1[[#This Row],[Durable Goods CPI]]="",#N/A,((Tabela1[[#This Row],[Durable Goods CPI]]*1)/P554)-1)</f>
        <v>2.6711185308848195E-2</v>
      </c>
      <c r="S566" s="7">
        <v>3.4333214430000001</v>
      </c>
      <c r="T566" s="7">
        <v>65.581999999999994</v>
      </c>
      <c r="U566" s="8">
        <f>IF(Tabela1[[#This Row],[Personal Consumption Expenditures (PCE)]]="",#N/A,((Tabela1[[#This Row],[Personal Consumption Expenditures (PCE)]]*1)/T565)-1)</f>
        <v>2.2877362087636577E-4</v>
      </c>
      <c r="V566" s="8">
        <f>IF(Tabela1[[#This Row],[Personal Consumption Expenditures (PCE)]]="",#N/A,((Tabela1[[#This Row],[Personal Consumption Expenditures (PCE)]]*1)/T554)-1)</f>
        <v>2.1908501620543364E-2</v>
      </c>
      <c r="W566" s="7">
        <v>66.849000000000004</v>
      </c>
      <c r="X566" s="8">
        <f>IF(Tabela1[[#This Row],[Core PCE]]="",#N/A,((Tabela1[[#This Row],[Core PCE]]*1)/W565)-1)</f>
        <v>4.48974094194865E-4</v>
      </c>
      <c r="Y566" s="8">
        <f>IF(Tabela1[[#This Row],[Core PCE]]="",#N/A,((Tabela1[[#This Row],[Core PCE]]*1)/W554)-1)</f>
        <v>2.4631372428803422E-2</v>
      </c>
      <c r="Z566" s="8">
        <f t="shared" si="29"/>
        <v>1.8671588283096341E-2</v>
      </c>
      <c r="AA566" s="8">
        <f t="shared" si="28"/>
        <v>2.0226314333353645E-2</v>
      </c>
      <c r="AB566" s="7">
        <v>2.4</v>
      </c>
      <c r="AC566" s="7"/>
      <c r="AD566" s="8"/>
      <c r="AE566" s="71"/>
      <c r="AF566" s="7">
        <v>3</v>
      </c>
      <c r="AG566" s="5"/>
    </row>
    <row r="567" spans="1:33" ht="12.75">
      <c r="A567" s="6">
        <v>34335</v>
      </c>
      <c r="B567" s="7">
        <v>146.30000000000001</v>
      </c>
      <c r="C567" s="8">
        <f>IF(Tabela1[[#This Row],[Consumer Price Index (CPI)]]="",#N/A,((Tabela1[[#This Row],[Consumer Price Index (CPI)]]*1)/B566)-1)</f>
        <v>0</v>
      </c>
      <c r="D567" s="8">
        <f>IF(Tabela1[[#This Row],[Consumer Price Index (CPI)]]="",#N/A,((Tabela1[[#This Row],[Consumer Price Index (CPI)]]*1)/B555)-1)</f>
        <v>2.450980392156854E-2</v>
      </c>
      <c r="E567" s="25">
        <v>154.5</v>
      </c>
      <c r="F567" s="8">
        <f>IF(Tabela1[[#This Row],[Core Consumer Price Index]]="",#N/A,((Tabela1[[#This Row],[Core Consumer Price Index]]*1)/E566)-1)</f>
        <v>1.2961762799739152E-3</v>
      </c>
      <c r="G567" s="8">
        <f>IF(Tabela1[[#This Row],[Core Consumer Price Index]]="",#N/A,((Tabela1[[#This Row],[Core Consumer Price Index]]*1)/E555)-1)</f>
        <v>2.9313790806129392E-2</v>
      </c>
      <c r="H567" s="8">
        <f t="shared" si="26"/>
        <v>2.8618876041429431E-2</v>
      </c>
      <c r="I567" s="8">
        <f t="shared" si="27"/>
        <v>2.8724549093056773E-2</v>
      </c>
      <c r="J567" s="25">
        <v>160.80000000000001</v>
      </c>
      <c r="K567" s="8">
        <f>IF(Tabela1[[#This Row],[Services CPI]]="",#N/A,((Tabela1[[#This Row],[Services CPI]]*1)/J566)-1)</f>
        <v>1.8691588785046953E-3</v>
      </c>
      <c r="L567" s="8">
        <f>IF(Tabela1[[#This Row],[Services CPI]]="",#N/A,((Tabela1[[#This Row],[Services CPI]]*1)/J555)-1)</f>
        <v>3.5415325177076573E-2</v>
      </c>
      <c r="M567" s="7">
        <v>165.1</v>
      </c>
      <c r="N567" s="8">
        <f>IF(Tabela1[[#This Row],[Core-Services CPI]]="",#N/A,((Tabela1[[#This Row],[Core-Services CPI]]*1)/M566)-1)</f>
        <v>2.4286581663630624E-3</v>
      </c>
      <c r="O567" s="8">
        <f>IF(Tabela1[[#This Row],[Core-Services CPI]]="",#N/A,((Tabela1[[#This Row],[Core-Services CPI]]*1)/M555)-1)</f>
        <v>3.6409290646578718E-2</v>
      </c>
      <c r="P567" s="7">
        <v>123.2</v>
      </c>
      <c r="Q567" s="8">
        <f>IF(Tabela1[[#This Row],[Durable Goods CPI]]="",#N/A,((Tabela1[[#This Row],[Durable Goods CPI]]*1)/P566)-1)</f>
        <v>1.6260162601626771E-3</v>
      </c>
      <c r="R567" s="8">
        <f>IF(Tabela1[[#This Row],[Durable Goods CPI]]="",#N/A,((Tabela1[[#This Row],[Durable Goods CPI]]*1)/P555)-1)</f>
        <v>2.8380634390651194E-2</v>
      </c>
      <c r="S567" s="7">
        <v>3.4451255070000002</v>
      </c>
      <c r="T567" s="7">
        <v>65.603999999999999</v>
      </c>
      <c r="U567" s="8">
        <f>IF(Tabela1[[#This Row],[Personal Consumption Expenditures (PCE)]]="",#N/A,((Tabela1[[#This Row],[Personal Consumption Expenditures (PCE)]]*1)/T566)-1)</f>
        <v>3.3545790003364218E-4</v>
      </c>
      <c r="V567" s="8">
        <f>IF(Tabela1[[#This Row],[Personal Consumption Expenditures (PCE)]]="",#N/A,((Tabela1[[#This Row],[Personal Consumption Expenditures (PCE)]]*1)/T555)-1)</f>
        <v>1.9772430516694639E-2</v>
      </c>
      <c r="W567" s="7">
        <v>66.902000000000001</v>
      </c>
      <c r="X567" s="8">
        <f>IF(Tabela1[[#This Row],[Core PCE]]="",#N/A,((Tabela1[[#This Row],[Core PCE]]*1)/W566)-1)</f>
        <v>7.9283160555876364E-4</v>
      </c>
      <c r="Y567" s="8">
        <f>IF(Tabela1[[#This Row],[Core PCE]]="",#N/A,((Tabela1[[#This Row],[Core PCE]]*1)/W555)-1)</f>
        <v>2.246607164690051E-2</v>
      </c>
      <c r="Z567" s="8">
        <f t="shared" si="29"/>
        <v>1.5290268097377435E-2</v>
      </c>
      <c r="AA567" s="8">
        <f t="shared" si="28"/>
        <v>1.7671566223317559E-2</v>
      </c>
      <c r="AB567" s="7">
        <v>2.36</v>
      </c>
      <c r="AC567" s="7"/>
      <c r="AD567" s="8"/>
      <c r="AE567" s="71"/>
      <c r="AF567" s="7">
        <v>2.8</v>
      </c>
      <c r="AG567" s="5"/>
    </row>
    <row r="568" spans="1:33" ht="12.75">
      <c r="A568" s="6">
        <v>34366</v>
      </c>
      <c r="B568" s="7">
        <v>146.69999999999999</v>
      </c>
      <c r="C568" s="8">
        <f>IF(Tabela1[[#This Row],[Consumer Price Index (CPI)]]="",#N/A,((Tabela1[[#This Row],[Consumer Price Index (CPI)]]*1)/B567)-1)</f>
        <v>2.7341079972658111E-3</v>
      </c>
      <c r="D568" s="8">
        <f>IF(Tabela1[[#This Row],[Consumer Price Index (CPI)]]="",#N/A,((Tabela1[[#This Row],[Consumer Price Index (CPI)]]*1)/B556)-1)</f>
        <v>2.515723270440251E-2</v>
      </c>
      <c r="E568" s="25">
        <v>154.80000000000001</v>
      </c>
      <c r="F568" s="8">
        <f>IF(Tabela1[[#This Row],[Core Consumer Price Index]]="",#N/A,((Tabela1[[#This Row],[Core Consumer Price Index]]*1)/E567)-1)</f>
        <v>1.9417475728156219E-3</v>
      </c>
      <c r="G568" s="8">
        <f>IF(Tabela1[[#This Row],[Core Consumer Price Index]]="",#N/A,((Tabela1[[#This Row],[Core Consumer Price Index]]*1)/E556)-1)</f>
        <v>2.788844621513964E-2</v>
      </c>
      <c r="H568" s="8">
        <f t="shared" si="26"/>
        <v>2.3348056684712404E-2</v>
      </c>
      <c r="I568" s="8">
        <f t="shared" si="27"/>
        <v>2.6042056057466567E-2</v>
      </c>
      <c r="J568" s="25">
        <v>161.4</v>
      </c>
      <c r="K568" s="8">
        <f>IF(Tabela1[[#This Row],[Services CPI]]="",#N/A,((Tabela1[[#This Row],[Services CPI]]*1)/J567)-1)</f>
        <v>3.7313432835821558E-3</v>
      </c>
      <c r="L568" s="8">
        <f>IF(Tabela1[[#This Row],[Services CPI]]="",#N/A,((Tabela1[[#This Row],[Services CPI]]*1)/J556)-1)</f>
        <v>3.7275064267352276E-2</v>
      </c>
      <c r="M568" s="7">
        <v>165.7</v>
      </c>
      <c r="N568" s="8">
        <f>IF(Tabela1[[#This Row],[Core-Services CPI]]="",#N/A,((Tabela1[[#This Row],[Core-Services CPI]]*1)/M567)-1)</f>
        <v>3.6341611144761199E-3</v>
      </c>
      <c r="O568" s="8">
        <f>IF(Tabela1[[#This Row],[Core-Services CPI]]="",#N/A,((Tabela1[[#This Row],[Core-Services CPI]]*1)/M556)-1)</f>
        <v>3.6921151439299082E-2</v>
      </c>
      <c r="P568" s="7">
        <v>123.1</v>
      </c>
      <c r="Q568" s="8">
        <f>IF(Tabela1[[#This Row],[Durable Goods CPI]]="",#N/A,((Tabela1[[#This Row],[Durable Goods CPI]]*1)/P567)-1)</f>
        <v>-8.1168831168842992E-4</v>
      </c>
      <c r="R568" s="8">
        <f>IF(Tabela1[[#This Row],[Durable Goods CPI]]="",#N/A,((Tabela1[[#This Row],[Durable Goods CPI]]*1)/P556)-1)</f>
        <v>2.7545909849749473E-2</v>
      </c>
      <c r="S568" s="7">
        <v>3.5578227249999999</v>
      </c>
      <c r="T568" s="7">
        <v>65.756</v>
      </c>
      <c r="U568" s="8">
        <f>IF(Tabela1[[#This Row],[Personal Consumption Expenditures (PCE)]]="",#N/A,((Tabela1[[#This Row],[Personal Consumption Expenditures (PCE)]]*1)/T567)-1)</f>
        <v>2.3169318943967454E-3</v>
      </c>
      <c r="V568" s="8">
        <f>IF(Tabela1[[#This Row],[Personal Consumption Expenditures (PCE)]]="",#N/A,((Tabela1[[#This Row],[Personal Consumption Expenditures (PCE)]]*1)/T556)-1)</f>
        <v>2.0596315323844872E-2</v>
      </c>
      <c r="W568" s="7">
        <v>67.046999999999997</v>
      </c>
      <c r="X568" s="8">
        <f>IF(Tabela1[[#This Row],[Core PCE]]="",#N/A,((Tabela1[[#This Row],[Core PCE]]*1)/W567)-1)</f>
        <v>2.167349257122364E-3</v>
      </c>
      <c r="Y568" s="8">
        <f>IF(Tabela1[[#This Row],[Core PCE]]="",#N/A,((Tabela1[[#This Row],[Core PCE]]*1)/W556)-1)</f>
        <v>2.2728312765989855E-2</v>
      </c>
      <c r="Z568" s="8">
        <f t="shared" si="29"/>
        <v>1.3636619827503971E-2</v>
      </c>
      <c r="AA568" s="8">
        <f t="shared" si="28"/>
        <v>1.8266481283087721E-2</v>
      </c>
      <c r="AB568" s="7">
        <v>2.35</v>
      </c>
      <c r="AC568" s="7"/>
      <c r="AD568" s="8"/>
      <c r="AE568" s="71"/>
      <c r="AF568" s="7">
        <v>2.8</v>
      </c>
      <c r="AG568" s="5"/>
    </row>
    <row r="569" spans="1:33" ht="12.75">
      <c r="A569" s="6">
        <v>34394</v>
      </c>
      <c r="B569" s="7">
        <v>147.1</v>
      </c>
      <c r="C569" s="8">
        <f>IF(Tabela1[[#This Row],[Consumer Price Index (CPI)]]="",#N/A,((Tabela1[[#This Row],[Consumer Price Index (CPI)]]*1)/B568)-1)</f>
        <v>2.7266530334015826E-3</v>
      </c>
      <c r="D569" s="8">
        <f>IF(Tabela1[[#This Row],[Consumer Price Index (CPI)]]="",#N/A,((Tabela1[[#This Row],[Consumer Price Index (CPI)]]*1)/B557)-1)</f>
        <v>2.6517794836008246E-2</v>
      </c>
      <c r="E569" s="25">
        <v>155.30000000000001</v>
      </c>
      <c r="F569" s="8">
        <f>IF(Tabela1[[#This Row],[Core Consumer Price Index]]="",#N/A,((Tabela1[[#This Row],[Core Consumer Price Index]]*1)/E568)-1)</f>
        <v>3.2299741602066501E-3</v>
      </c>
      <c r="G569" s="8">
        <f>IF(Tabela1[[#This Row],[Core Consumer Price Index]]="",#N/A,((Tabela1[[#This Row],[Core Consumer Price Index]]*1)/E557)-1)</f>
        <v>2.9840848806365949E-2</v>
      </c>
      <c r="H569" s="8">
        <f t="shared" si="26"/>
        <v>2.5871592051984749E-2</v>
      </c>
      <c r="I569" s="8">
        <f t="shared" si="27"/>
        <v>3.1193103854319837E-2</v>
      </c>
      <c r="J569" s="25">
        <v>162</v>
      </c>
      <c r="K569" s="8">
        <f>IF(Tabela1[[#This Row],[Services CPI]]="",#N/A,((Tabela1[[#This Row],[Services CPI]]*1)/J568)-1)</f>
        <v>3.7174721189590088E-3</v>
      </c>
      <c r="L569" s="8">
        <f>IF(Tabela1[[#This Row],[Services CPI]]="",#N/A,((Tabela1[[#This Row],[Services CPI]]*1)/J557)-1)</f>
        <v>3.8461538461538547E-2</v>
      </c>
      <c r="M569" s="7">
        <v>166.3</v>
      </c>
      <c r="N569" s="8">
        <f>IF(Tabela1[[#This Row],[Core-Services CPI]]="",#N/A,((Tabela1[[#This Row],[Core-Services CPI]]*1)/M568)-1)</f>
        <v>3.6210018105009567E-3</v>
      </c>
      <c r="O569" s="8">
        <f>IF(Tabela1[[#This Row],[Core-Services CPI]]="",#N/A,((Tabela1[[#This Row],[Core-Services CPI]]*1)/M557)-1)</f>
        <v>3.937500000000016E-2</v>
      </c>
      <c r="P569" s="7">
        <v>123.3</v>
      </c>
      <c r="Q569" s="8">
        <f>IF(Tabela1[[#This Row],[Durable Goods CPI]]="",#N/A,((Tabela1[[#This Row],[Durable Goods CPI]]*1)/P568)-1)</f>
        <v>1.6246953696181787E-3</v>
      </c>
      <c r="R569" s="8">
        <f>IF(Tabela1[[#This Row],[Durable Goods CPI]]="",#N/A,((Tabela1[[#This Row],[Durable Goods CPI]]*1)/P557)-1)</f>
        <v>2.6644462947543746E-2</v>
      </c>
      <c r="S569" s="7">
        <v>3.3843729640000002</v>
      </c>
      <c r="T569" s="7">
        <v>65.936999999999998</v>
      </c>
      <c r="U569" s="8">
        <f>IF(Tabela1[[#This Row],[Personal Consumption Expenditures (PCE)]]="",#N/A,((Tabela1[[#This Row],[Personal Consumption Expenditures (PCE)]]*1)/T568)-1)</f>
        <v>2.752600523146187E-3</v>
      </c>
      <c r="V569" s="8">
        <f>IF(Tabela1[[#This Row],[Personal Consumption Expenditures (PCE)]]="",#N/A,((Tabela1[[#This Row],[Personal Consumption Expenditures (PCE)]]*1)/T557)-1)</f>
        <v>2.1313176685614943E-2</v>
      </c>
      <c r="W569" s="7">
        <v>67.275000000000006</v>
      </c>
      <c r="X569" s="8">
        <f>IF(Tabela1[[#This Row],[Core PCE]]="",#N/A,((Tabela1[[#This Row],[Core PCE]]*1)/W568)-1)</f>
        <v>3.4005995793997545E-3</v>
      </c>
      <c r="Y569" s="8">
        <f>IF(Tabela1[[#This Row],[Core PCE]]="",#N/A,((Tabela1[[#This Row],[Core PCE]]*1)/W557)-1)</f>
        <v>2.3972602739726012E-2</v>
      </c>
      <c r="Z569" s="8">
        <f t="shared" si="29"/>
        <v>2.5443121768323529E-2</v>
      </c>
      <c r="AA569" s="8">
        <f t="shared" si="28"/>
        <v>2.2057355025709935E-2</v>
      </c>
      <c r="AB569" s="7">
        <v>2.41</v>
      </c>
      <c r="AC569" s="7"/>
      <c r="AD569" s="8"/>
      <c r="AE569" s="71"/>
      <c r="AF569" s="7">
        <v>3</v>
      </c>
      <c r="AG569" s="5"/>
    </row>
    <row r="570" spans="1:33" ht="12.75">
      <c r="A570" s="6">
        <v>34425</v>
      </c>
      <c r="B570" s="7">
        <v>147.19999999999999</v>
      </c>
      <c r="C570" s="8">
        <f>IF(Tabela1[[#This Row],[Consumer Price Index (CPI)]]="",#N/A,((Tabela1[[#This Row],[Consumer Price Index (CPI)]]*1)/B569)-1)</f>
        <v>6.7980965329694776E-4</v>
      </c>
      <c r="D570" s="8">
        <f>IF(Tabela1[[#This Row],[Consumer Price Index (CPI)]]="",#N/A,((Tabela1[[#This Row],[Consumer Price Index (CPI)]]*1)/B558)-1)</f>
        <v>2.3643949930458819E-2</v>
      </c>
      <c r="E570" s="25">
        <v>155.5</v>
      </c>
      <c r="F570" s="8">
        <f>IF(Tabela1[[#This Row],[Core Consumer Price Index]]="",#N/A,((Tabela1[[#This Row],[Core Consumer Price Index]]*1)/E569)-1)</f>
        <v>1.2878300064391723E-3</v>
      </c>
      <c r="G570" s="8">
        <f>IF(Tabela1[[#This Row],[Core Consumer Price Index]]="",#N/A,((Tabela1[[#This Row],[Core Consumer Price Index]]*1)/E558)-1)</f>
        <v>2.7080581241743618E-2</v>
      </c>
      <c r="H570" s="8">
        <f t="shared" si="26"/>
        <v>2.5838206957845777E-2</v>
      </c>
      <c r="I570" s="8">
        <f t="shared" si="27"/>
        <v>2.7228541499637604E-2</v>
      </c>
      <c r="J570" s="25">
        <v>162.19999999999999</v>
      </c>
      <c r="K570" s="8">
        <f>IF(Tabela1[[#This Row],[Services CPI]]="",#N/A,((Tabela1[[#This Row],[Services CPI]]*1)/J569)-1)</f>
        <v>1.2345679012344402E-3</v>
      </c>
      <c r="L570" s="8">
        <f>IF(Tabela1[[#This Row],[Services CPI]]="",#N/A,((Tabela1[[#This Row],[Services CPI]]*1)/J558)-1)</f>
        <v>3.5098915124441632E-2</v>
      </c>
      <c r="M570" s="7">
        <v>166.6</v>
      </c>
      <c r="N570" s="8">
        <f>IF(Tabela1[[#This Row],[Core-Services CPI]]="",#N/A,((Tabela1[[#This Row],[Core-Services CPI]]*1)/M569)-1)</f>
        <v>1.8039687312085828E-3</v>
      </c>
      <c r="O570" s="8">
        <f>IF(Tabela1[[#This Row],[Core-Services CPI]]="",#N/A,((Tabela1[[#This Row],[Core-Services CPI]]*1)/M558)-1)</f>
        <v>3.6714374611076517E-2</v>
      </c>
      <c r="P570" s="7">
        <v>123.5</v>
      </c>
      <c r="Q570" s="8">
        <f>IF(Tabela1[[#This Row],[Durable Goods CPI]]="",#N/A,((Tabela1[[#This Row],[Durable Goods CPI]]*1)/P569)-1)</f>
        <v>1.6220600162206722E-3</v>
      </c>
      <c r="R570" s="8">
        <f>IF(Tabela1[[#This Row],[Durable Goods CPI]]="",#N/A,((Tabela1[[#This Row],[Durable Goods CPI]]*1)/P558)-1)</f>
        <v>2.5747508305647759E-2</v>
      </c>
      <c r="S570" s="7">
        <v>3.424654259</v>
      </c>
      <c r="T570" s="7">
        <v>66.015000000000001</v>
      </c>
      <c r="U570" s="8">
        <f>IF(Tabela1[[#This Row],[Personal Consumption Expenditures (PCE)]]="",#N/A,((Tabela1[[#This Row],[Personal Consumption Expenditures (PCE)]]*1)/T569)-1)</f>
        <v>1.182947358842501E-3</v>
      </c>
      <c r="V570" s="8">
        <f>IF(Tabela1[[#This Row],[Personal Consumption Expenditures (PCE)]]="",#N/A,((Tabela1[[#This Row],[Personal Consumption Expenditures (PCE)]]*1)/T558)-1)</f>
        <v>1.980442741723687E-2</v>
      </c>
      <c r="W570" s="7">
        <v>67.376000000000005</v>
      </c>
      <c r="X570" s="8">
        <f>IF(Tabela1[[#This Row],[Core PCE]]="",#N/A,((Tabela1[[#This Row],[Core PCE]]*1)/W569)-1)</f>
        <v>1.5013006317354805E-3</v>
      </c>
      <c r="Y570" s="8">
        <f>IF(Tabela1[[#This Row],[Core PCE]]="",#N/A,((Tabela1[[#This Row],[Core PCE]]*1)/W558)-1)</f>
        <v>2.2537220561229976E-2</v>
      </c>
      <c r="Z570" s="8">
        <f t="shared" si="29"/>
        <v>2.8276997873030396E-2</v>
      </c>
      <c r="AA570" s="8">
        <f t="shared" si="28"/>
        <v>2.1783632985203916E-2</v>
      </c>
      <c r="AB570" s="7">
        <v>2.2999999999999998</v>
      </c>
      <c r="AC570" s="7"/>
      <c r="AD570" s="8"/>
      <c r="AE570" s="71"/>
      <c r="AF570" s="7">
        <v>3</v>
      </c>
      <c r="AG570" s="5"/>
    </row>
    <row r="571" spans="1:33" ht="12.75">
      <c r="A571" s="6">
        <v>34455</v>
      </c>
      <c r="B571" s="7">
        <v>147.5</v>
      </c>
      <c r="C571" s="8">
        <f>IF(Tabela1[[#This Row],[Consumer Price Index (CPI)]]="",#N/A,((Tabela1[[#This Row],[Consumer Price Index (CPI)]]*1)/B570)-1)</f>
        <v>2.0380434782609758E-3</v>
      </c>
      <c r="D571" s="8">
        <f>IF(Tabela1[[#This Row],[Consumer Price Index (CPI)]]="",#N/A,((Tabela1[[#This Row],[Consumer Price Index (CPI)]]*1)/B559)-1)</f>
        <v>2.2884882108183069E-2</v>
      </c>
      <c r="E571" s="25">
        <v>155.9</v>
      </c>
      <c r="F571" s="8">
        <f>IF(Tabela1[[#This Row],[Core Consumer Price Index]]="",#N/A,((Tabela1[[#This Row],[Core Consumer Price Index]]*1)/E570)-1)</f>
        <v>2.5723472668810476E-3</v>
      </c>
      <c r="G571" s="8">
        <f>IF(Tabela1[[#This Row],[Core Consumer Price Index]]="",#N/A,((Tabela1[[#This Row],[Core Consumer Price Index]]*1)/E559)-1)</f>
        <v>2.7009222661396493E-2</v>
      </c>
      <c r="H571" s="8">
        <f t="shared" si="26"/>
        <v>2.836060573410748E-2</v>
      </c>
      <c r="I571" s="8">
        <f t="shared" si="27"/>
        <v>2.5854331209409942E-2</v>
      </c>
      <c r="J571" s="25">
        <v>162.4</v>
      </c>
      <c r="K571" s="8">
        <f>IF(Tabela1[[#This Row],[Services CPI]]="",#N/A,((Tabela1[[#This Row],[Services CPI]]*1)/J570)-1)</f>
        <v>1.2330456226881115E-3</v>
      </c>
      <c r="L571" s="8">
        <f>IF(Tabela1[[#This Row],[Services CPI]]="",#N/A,((Tabela1[[#This Row],[Services CPI]]*1)/J559)-1)</f>
        <v>3.2422123331214303E-2</v>
      </c>
      <c r="M571" s="7">
        <v>166.8</v>
      </c>
      <c r="N571" s="8">
        <f>IF(Tabela1[[#This Row],[Core-Services CPI]]="",#N/A,((Tabela1[[#This Row],[Core-Services CPI]]*1)/M570)-1)</f>
        <v>1.2004801920768582E-3</v>
      </c>
      <c r="O571" s="8">
        <f>IF(Tabela1[[#This Row],[Core-Services CPI]]="",#N/A,((Tabela1[[#This Row],[Core-Services CPI]]*1)/M559)-1)</f>
        <v>3.4097954122752627E-2</v>
      </c>
      <c r="P571" s="7">
        <v>124.3</v>
      </c>
      <c r="Q571" s="8">
        <f>IF(Tabela1[[#This Row],[Durable Goods CPI]]="",#N/A,((Tabela1[[#This Row],[Durable Goods CPI]]*1)/P570)-1)</f>
        <v>6.4777327935221507E-3</v>
      </c>
      <c r="R571" s="8">
        <f>IF(Tabela1[[#This Row],[Durable Goods CPI]]="",#N/A,((Tabela1[[#This Row],[Durable Goods CPI]]*1)/P559)-1)</f>
        <v>2.9826014913007404E-2</v>
      </c>
      <c r="S571" s="7">
        <v>3.5788332860000001</v>
      </c>
      <c r="T571" s="7">
        <v>66.111000000000004</v>
      </c>
      <c r="U571" s="8">
        <f>IF(Tabela1[[#This Row],[Personal Consumption Expenditures (PCE)]]="",#N/A,((Tabela1[[#This Row],[Personal Consumption Expenditures (PCE)]]*1)/T570)-1)</f>
        <v>1.4542149511476143E-3</v>
      </c>
      <c r="V571" s="8">
        <f>IF(Tabela1[[#This Row],[Personal Consumption Expenditures (PCE)]]="",#N/A,((Tabela1[[#This Row],[Personal Consumption Expenditures (PCE)]]*1)/T559)-1)</f>
        <v>1.8141776908505713E-2</v>
      </c>
      <c r="W571" s="7">
        <v>67.525999999999996</v>
      </c>
      <c r="X571" s="8">
        <f>IF(Tabela1[[#This Row],[Core PCE]]="",#N/A,((Tabela1[[#This Row],[Core PCE]]*1)/W570)-1)</f>
        <v>2.2263120398953173E-3</v>
      </c>
      <c r="Y571" s="8">
        <f>IF(Tabela1[[#This Row],[Core PCE]]="",#N/A,((Tabela1[[#This Row],[Core PCE]]*1)/W559)-1)</f>
        <v>2.1357049944035866E-2</v>
      </c>
      <c r="Z571" s="8">
        <f t="shared" si="29"/>
        <v>2.8512849004122209E-2</v>
      </c>
      <c r="AA571" s="8">
        <f t="shared" si="28"/>
        <v>2.107473441581309E-2</v>
      </c>
      <c r="AB571" s="7">
        <v>2.27</v>
      </c>
      <c r="AC571" s="7"/>
      <c r="AD571" s="8"/>
      <c r="AE571" s="71"/>
      <c r="AF571" s="7">
        <v>3.1</v>
      </c>
      <c r="AG571" s="5"/>
    </row>
    <row r="572" spans="1:33" ht="12.75">
      <c r="A572" s="6">
        <v>34486</v>
      </c>
      <c r="B572" s="7">
        <v>147.9</v>
      </c>
      <c r="C572" s="8">
        <f>IF(Tabela1[[#This Row],[Consumer Price Index (CPI)]]="",#N/A,((Tabela1[[#This Row],[Consumer Price Index (CPI)]]*1)/B571)-1)</f>
        <v>2.7118644067796183E-3</v>
      </c>
      <c r="D572" s="8">
        <f>IF(Tabela1[[#This Row],[Consumer Price Index (CPI)]]="",#N/A,((Tabela1[[#This Row],[Consumer Price Index (CPI)]]*1)/B560)-1)</f>
        <v>2.4948024948024949E-2</v>
      </c>
      <c r="E572" s="25">
        <v>156.4</v>
      </c>
      <c r="F572" s="8">
        <f>IF(Tabela1[[#This Row],[Core Consumer Price Index]]="",#N/A,((Tabela1[[#This Row],[Core Consumer Price Index]]*1)/E571)-1)</f>
        <v>3.207184092366866E-3</v>
      </c>
      <c r="G572" s="8">
        <f>IF(Tabela1[[#This Row],[Core Consumer Price Index]]="",#N/A,((Tabela1[[#This Row],[Core Consumer Price Index]]*1)/E560)-1)</f>
        <v>2.8270874424720649E-2</v>
      </c>
      <c r="H572" s="8">
        <f t="shared" si="26"/>
        <v>2.8269445462748344E-2</v>
      </c>
      <c r="I572" s="8">
        <f t="shared" si="27"/>
        <v>2.7070518757366546E-2</v>
      </c>
      <c r="J572" s="25">
        <v>162.80000000000001</v>
      </c>
      <c r="K572" s="8">
        <f>IF(Tabela1[[#This Row],[Services CPI]]="",#N/A,((Tabela1[[#This Row],[Services CPI]]*1)/J571)-1)</f>
        <v>2.4630541871921707E-3</v>
      </c>
      <c r="L572" s="8">
        <f>IF(Tabela1[[#This Row],[Services CPI]]="",#N/A,((Tabela1[[#This Row],[Services CPI]]*1)/J560)-1)</f>
        <v>3.1685678073510859E-2</v>
      </c>
      <c r="M572" s="7">
        <v>167.2</v>
      </c>
      <c r="N572" s="8">
        <f>IF(Tabela1[[#This Row],[Core-Services CPI]]="",#N/A,((Tabela1[[#This Row],[Core-Services CPI]]*1)/M571)-1)</f>
        <v>2.3980815347719453E-3</v>
      </c>
      <c r="O572" s="8">
        <f>IF(Tabela1[[#This Row],[Core-Services CPI]]="",#N/A,((Tabela1[[#This Row],[Core-Services CPI]]*1)/M560)-1)</f>
        <v>3.3374536464771287E-2</v>
      </c>
      <c r="P572" s="7">
        <v>124.8</v>
      </c>
      <c r="Q572" s="8">
        <f>IF(Tabela1[[#This Row],[Durable Goods CPI]]="",#N/A,((Tabela1[[#This Row],[Durable Goods CPI]]*1)/P571)-1)</f>
        <v>4.022526146419958E-3</v>
      </c>
      <c r="R572" s="8">
        <f>IF(Tabela1[[#This Row],[Durable Goods CPI]]="",#N/A,((Tabela1[[#This Row],[Durable Goods CPI]]*1)/P560)-1)</f>
        <v>3.140495867768589E-2</v>
      </c>
      <c r="S572" s="7">
        <v>3.3640641379999998</v>
      </c>
      <c r="T572" s="7">
        <v>66.272000000000006</v>
      </c>
      <c r="U572" s="8">
        <f>IF(Tabela1[[#This Row],[Personal Consumption Expenditures (PCE)]]="",#N/A,((Tabela1[[#This Row],[Personal Consumption Expenditures (PCE)]]*1)/T571)-1)</f>
        <v>2.4352982105853016E-3</v>
      </c>
      <c r="V572" s="8">
        <f>IF(Tabela1[[#This Row],[Personal Consumption Expenditures (PCE)]]="",#N/A,((Tabela1[[#This Row],[Personal Consumption Expenditures (PCE)]]*1)/T560)-1)</f>
        <v>2.0275575398352785E-2</v>
      </c>
      <c r="W572" s="7">
        <v>67.676000000000002</v>
      </c>
      <c r="X572" s="8">
        <f>IF(Tabela1[[#This Row],[Core PCE]]="",#N/A,((Tabela1[[#This Row],[Core PCE]]*1)/W571)-1)</f>
        <v>2.2213665847230502E-3</v>
      </c>
      <c r="Y572" s="8">
        <f>IF(Tabela1[[#This Row],[Core PCE]]="",#N/A,((Tabela1[[#This Row],[Core PCE]]*1)/W560)-1)</f>
        <v>2.265137434456066E-2</v>
      </c>
      <c r="Z572" s="8">
        <f t="shared" si="29"/>
        <v>2.3795917025415392E-2</v>
      </c>
      <c r="AA572" s="8">
        <f t="shared" si="28"/>
        <v>2.461951939686946E-2</v>
      </c>
      <c r="AB572" s="7">
        <v>2.34</v>
      </c>
      <c r="AC572" s="7"/>
      <c r="AD572" s="8"/>
      <c r="AE572" s="71"/>
      <c r="AF572" s="7">
        <v>2.7</v>
      </c>
      <c r="AG572" s="5"/>
    </row>
    <row r="573" spans="1:33" ht="12.75">
      <c r="A573" s="6">
        <v>34516</v>
      </c>
      <c r="B573" s="7">
        <v>148.4</v>
      </c>
      <c r="C573" s="8">
        <f>IF(Tabela1[[#This Row],[Consumer Price Index (CPI)]]="",#N/A,((Tabela1[[#This Row],[Consumer Price Index (CPI)]]*1)/B572)-1)</f>
        <v>3.3806626098715764E-3</v>
      </c>
      <c r="D573" s="8">
        <f>IF(Tabela1[[#This Row],[Consumer Price Index (CPI)]]="",#N/A,((Tabela1[[#This Row],[Consumer Price Index (CPI)]]*1)/B561)-1)</f>
        <v>2.6989619377162599E-2</v>
      </c>
      <c r="E573" s="25">
        <v>156.69999999999999</v>
      </c>
      <c r="F573" s="8">
        <f>IF(Tabela1[[#This Row],[Core Consumer Price Index]]="",#N/A,((Tabela1[[#This Row],[Core Consumer Price Index]]*1)/E572)-1)</f>
        <v>1.9181585677747748E-3</v>
      </c>
      <c r="G573" s="8">
        <f>IF(Tabela1[[#This Row],[Core Consumer Price Index]]="",#N/A,((Tabela1[[#This Row],[Core Consumer Price Index]]*1)/E561)-1)</f>
        <v>2.8890347997373444E-2</v>
      </c>
      <c r="H573" s="8">
        <f t="shared" si="26"/>
        <v>3.0790759708090754E-2</v>
      </c>
      <c r="I573" s="8">
        <f t="shared" si="27"/>
        <v>2.8314483332968265E-2</v>
      </c>
      <c r="J573" s="25">
        <v>163.1</v>
      </c>
      <c r="K573" s="8">
        <f>IF(Tabela1[[#This Row],[Services CPI]]="",#N/A,((Tabela1[[#This Row],[Services CPI]]*1)/J572)-1)</f>
        <v>1.8427518427517331E-3</v>
      </c>
      <c r="L573" s="8">
        <f>IF(Tabela1[[#This Row],[Services CPI]]="",#N/A,((Tabela1[[#This Row],[Services CPI]]*1)/J561)-1)</f>
        <v>3.1625553447185428E-2</v>
      </c>
      <c r="M573" s="7">
        <v>167.6</v>
      </c>
      <c r="N573" s="8">
        <f>IF(Tabela1[[#This Row],[Core-Services CPI]]="",#N/A,((Tabela1[[#This Row],[Core-Services CPI]]*1)/M572)-1)</f>
        <v>2.3923444976077235E-3</v>
      </c>
      <c r="O573" s="8">
        <f>IF(Tabela1[[#This Row],[Core-Services CPI]]="",#N/A,((Tabela1[[#This Row],[Core-Services CPI]]*1)/M561)-1)</f>
        <v>3.3929673041332542E-2</v>
      </c>
      <c r="P573" s="7">
        <v>125.3</v>
      </c>
      <c r="Q573" s="8">
        <f>IF(Tabela1[[#This Row],[Durable Goods CPI]]="",#N/A,((Tabela1[[#This Row],[Durable Goods CPI]]*1)/P572)-1)</f>
        <v>4.0064102564103532E-3</v>
      </c>
      <c r="R573" s="8">
        <f>IF(Tabela1[[#This Row],[Durable Goods CPI]]="",#N/A,((Tabela1[[#This Row],[Durable Goods CPI]]*1)/P561)-1)</f>
        <v>3.382838283828371E-2</v>
      </c>
      <c r="S573" s="7">
        <v>3.238103819</v>
      </c>
      <c r="T573" s="7">
        <v>66.480999999999995</v>
      </c>
      <c r="U573" s="8">
        <f>IF(Tabela1[[#This Row],[Personal Consumption Expenditures (PCE)]]="",#N/A,((Tabela1[[#This Row],[Personal Consumption Expenditures (PCE)]]*1)/T572)-1)</f>
        <v>3.1536697247704915E-3</v>
      </c>
      <c r="V573" s="8">
        <f>IF(Tabela1[[#This Row],[Personal Consumption Expenditures (PCE)]]="",#N/A,((Tabela1[[#This Row],[Personal Consumption Expenditures (PCE)]]*1)/T561)-1)</f>
        <v>2.1857083570297586E-2</v>
      </c>
      <c r="W573" s="7">
        <v>67.817999999999998</v>
      </c>
      <c r="X573" s="8">
        <f>IF(Tabela1[[#This Row],[Core PCE]]="",#N/A,((Tabela1[[#This Row],[Core PCE]]*1)/W572)-1)</f>
        <v>2.0982327560730152E-3</v>
      </c>
      <c r="Y573" s="8">
        <f>IF(Tabela1[[#This Row],[Core PCE]]="",#N/A,((Tabela1[[#This Row],[Core PCE]]*1)/W561)-1)</f>
        <v>2.2679977078746694E-2</v>
      </c>
      <c r="Z573" s="8">
        <f t="shared" si="29"/>
        <v>2.6183645522765531E-2</v>
      </c>
      <c r="AA573" s="8">
        <f t="shared" si="28"/>
        <v>2.7230321697897963E-2</v>
      </c>
      <c r="AB573" s="7">
        <v>2.35</v>
      </c>
      <c r="AC573" s="7"/>
      <c r="AD573" s="8"/>
      <c r="AE573" s="71"/>
      <c r="AF573" s="7">
        <v>2.9</v>
      </c>
      <c r="AG573" s="5"/>
    </row>
    <row r="574" spans="1:33" ht="12.75">
      <c r="A574" s="6">
        <v>34547</v>
      </c>
      <c r="B574" s="7">
        <v>149</v>
      </c>
      <c r="C574" s="8">
        <f>IF(Tabela1[[#This Row],[Consumer Price Index (CPI)]]="",#N/A,((Tabela1[[#This Row],[Consumer Price Index (CPI)]]*1)/B573)-1)</f>
        <v>4.0431266846361336E-3</v>
      </c>
      <c r="D574" s="8">
        <f>IF(Tabela1[[#This Row],[Consumer Price Index (CPI)]]="",#N/A,((Tabela1[[#This Row],[Consumer Price Index (CPI)]]*1)/B562)-1)</f>
        <v>2.9005524861878351E-2</v>
      </c>
      <c r="E574" s="25">
        <v>157.1</v>
      </c>
      <c r="F574" s="8">
        <f>IF(Tabela1[[#This Row],[Core Consumer Price Index]]="",#N/A,((Tabela1[[#This Row],[Core Consumer Price Index]]*1)/E573)-1)</f>
        <v>2.552648372686761E-3</v>
      </c>
      <c r="G574" s="8">
        <f>IF(Tabela1[[#This Row],[Core Consumer Price Index]]="",#N/A,((Tabela1[[#This Row],[Core Consumer Price Index]]*1)/E562)-1)</f>
        <v>2.8141361256544428E-2</v>
      </c>
      <c r="H574" s="8">
        <f t="shared" ref="H574:H637" si="30">SUM(F572:F574)*4</f>
        <v>3.0711964131313607E-2</v>
      </c>
      <c r="I574" s="8">
        <f t="shared" si="27"/>
        <v>2.9536284932710544E-2</v>
      </c>
      <c r="J574" s="25">
        <v>163.80000000000001</v>
      </c>
      <c r="K574" s="8">
        <f>IF(Tabela1[[#This Row],[Services CPI]]="",#N/A,((Tabela1[[#This Row],[Services CPI]]*1)/J573)-1)</f>
        <v>4.2918454935623185E-3</v>
      </c>
      <c r="L574" s="8">
        <f>IF(Tabela1[[#This Row],[Services CPI]]="",#N/A,((Tabela1[[#This Row],[Services CPI]]*1)/J562)-1)</f>
        <v>3.2786885245901676E-2</v>
      </c>
      <c r="M574" s="7">
        <v>168.3</v>
      </c>
      <c r="N574" s="8">
        <f>IF(Tabela1[[#This Row],[Core-Services CPI]]="",#N/A,((Tabela1[[#This Row],[Core-Services CPI]]*1)/M573)-1)</f>
        <v>4.1766109785204009E-3</v>
      </c>
      <c r="O574" s="8">
        <f>IF(Tabela1[[#This Row],[Core-Services CPI]]="",#N/A,((Tabela1[[#This Row],[Core-Services CPI]]*1)/M562)-1)</f>
        <v>3.5055350553505615E-2</v>
      </c>
      <c r="P574" s="7">
        <v>125.5</v>
      </c>
      <c r="Q574" s="8">
        <f>IF(Tabela1[[#This Row],[Durable Goods CPI]]="",#N/A,((Tabela1[[#This Row],[Durable Goods CPI]]*1)/P573)-1)</f>
        <v>1.5961691939345712E-3</v>
      </c>
      <c r="R574" s="8">
        <f>IF(Tabela1[[#This Row],[Durable Goods CPI]]="",#N/A,((Tabela1[[#This Row],[Durable Goods CPI]]*1)/P562)-1)</f>
        <v>3.122432210353332E-2</v>
      </c>
      <c r="S574" s="7">
        <v>3.2075408329999999</v>
      </c>
      <c r="T574" s="7">
        <v>66.634</v>
      </c>
      <c r="U574" s="8">
        <f>IF(Tabela1[[#This Row],[Personal Consumption Expenditures (PCE)]]="",#N/A,((Tabela1[[#This Row],[Personal Consumption Expenditures (PCE)]]*1)/T573)-1)</f>
        <v>2.3014094252493678E-3</v>
      </c>
      <c r="V574" s="8">
        <f>IF(Tabela1[[#This Row],[Personal Consumption Expenditures (PCE)]]="",#N/A,((Tabela1[[#This Row],[Personal Consumption Expenditures (PCE)]]*1)/T562)-1)</f>
        <v>2.2464324075494924E-2</v>
      </c>
      <c r="W574" s="7">
        <v>67.894000000000005</v>
      </c>
      <c r="X574" s="8">
        <f>IF(Tabela1[[#This Row],[Core PCE]]="",#N/A,((Tabela1[[#This Row],[Core PCE]]*1)/W573)-1)</f>
        <v>1.1206464360495882E-3</v>
      </c>
      <c r="Y574" s="8">
        <f>IF(Tabela1[[#This Row],[Core PCE]]="",#N/A,((Tabela1[[#This Row],[Core PCE]]*1)/W562)-1)</f>
        <v>2.1915169029772086E-2</v>
      </c>
      <c r="Z574" s="8">
        <f t="shared" si="29"/>
        <v>2.1760983107382614E-2</v>
      </c>
      <c r="AA574" s="8">
        <f t="shared" si="28"/>
        <v>2.5136916055752412E-2</v>
      </c>
      <c r="AB574" s="7">
        <v>2.34</v>
      </c>
      <c r="AC574" s="7"/>
      <c r="AD574" s="8"/>
      <c r="AE574" s="71"/>
      <c r="AF574" s="7">
        <v>3.1</v>
      </c>
      <c r="AG574" s="5"/>
    </row>
    <row r="575" spans="1:33" ht="12.75">
      <c r="A575" s="6">
        <v>34578</v>
      </c>
      <c r="B575" s="7">
        <v>149.30000000000001</v>
      </c>
      <c r="C575" s="8">
        <f>IF(Tabela1[[#This Row],[Consumer Price Index (CPI)]]="",#N/A,((Tabela1[[#This Row],[Consumer Price Index (CPI)]]*1)/B574)-1)</f>
        <v>2.0134228187920211E-3</v>
      </c>
      <c r="D575" s="8">
        <f>IF(Tabela1[[#This Row],[Consumer Price Index (CPI)]]="",#N/A,((Tabela1[[#This Row],[Consumer Price Index (CPI)]]*1)/B563)-1)</f>
        <v>2.9655172413793229E-2</v>
      </c>
      <c r="E575" s="25">
        <v>157.5</v>
      </c>
      <c r="F575" s="8">
        <f>IF(Tabela1[[#This Row],[Core Consumer Price Index]]="",#N/A,((Tabela1[[#This Row],[Core Consumer Price Index]]*1)/E574)-1)</f>
        <v>2.5461489497136114E-3</v>
      </c>
      <c r="G575" s="8">
        <f>IF(Tabela1[[#This Row],[Core Consumer Price Index]]="",#N/A,((Tabela1[[#This Row],[Core Consumer Price Index]]*1)/E563)-1)</f>
        <v>3.0085022890778301E-2</v>
      </c>
      <c r="H575" s="8">
        <f t="shared" si="30"/>
        <v>2.8067823560700589E-2</v>
      </c>
      <c r="I575" s="8">
        <f t="shared" si="27"/>
        <v>2.8168634511724466E-2</v>
      </c>
      <c r="J575" s="25">
        <v>164.1</v>
      </c>
      <c r="K575" s="8">
        <f>IF(Tabela1[[#This Row],[Services CPI]]="",#N/A,((Tabela1[[#This Row],[Services CPI]]*1)/J574)-1)</f>
        <v>1.831501831501825E-3</v>
      </c>
      <c r="L575" s="8">
        <f>IF(Tabela1[[#This Row],[Services CPI]]="",#N/A,((Tabela1[[#This Row],[Services CPI]]*1)/J563)-1)</f>
        <v>3.2075471698113089E-2</v>
      </c>
      <c r="M575" s="7">
        <v>168.7</v>
      </c>
      <c r="N575" s="8">
        <f>IF(Tabela1[[#This Row],[Core-Services CPI]]="",#N/A,((Tabela1[[#This Row],[Core-Services CPI]]*1)/M574)-1)</f>
        <v>2.3767082590611111E-3</v>
      </c>
      <c r="O575" s="8">
        <f>IF(Tabela1[[#This Row],[Core-Services CPI]]="",#N/A,((Tabela1[[#This Row],[Core-Services CPI]]*1)/M563)-1)</f>
        <v>3.4334763948497882E-2</v>
      </c>
      <c r="P575" s="7">
        <v>125.7</v>
      </c>
      <c r="Q575" s="8">
        <f>IF(Tabela1[[#This Row],[Durable Goods CPI]]="",#N/A,((Tabela1[[#This Row],[Durable Goods CPI]]*1)/P574)-1)</f>
        <v>1.5936254980080111E-3</v>
      </c>
      <c r="R575" s="8">
        <f>IF(Tabela1[[#This Row],[Durable Goods CPI]]="",#N/A,((Tabela1[[#This Row],[Durable Goods CPI]]*1)/P563)-1)</f>
        <v>2.9484029484029506E-2</v>
      </c>
      <c r="S575" s="7">
        <v>3.245680943</v>
      </c>
      <c r="T575" s="7">
        <v>66.707999999999998</v>
      </c>
      <c r="U575" s="8">
        <f>IF(Tabela1[[#This Row],[Personal Consumption Expenditures (PCE)]]="",#N/A,((Tabela1[[#This Row],[Personal Consumption Expenditures (PCE)]]*1)/T574)-1)</f>
        <v>1.1105441666416915E-3</v>
      </c>
      <c r="V575" s="8">
        <f>IF(Tabela1[[#This Row],[Personal Consumption Expenditures (PCE)]]="",#N/A,((Tabela1[[#This Row],[Personal Consumption Expenditures (PCE)]]*1)/T563)-1)</f>
        <v>2.2532879610043244E-2</v>
      </c>
      <c r="W575" s="7">
        <v>67.997</v>
      </c>
      <c r="X575" s="8">
        <f>IF(Tabela1[[#This Row],[Core PCE]]="",#N/A,((Tabela1[[#This Row],[Core PCE]]*1)/W574)-1)</f>
        <v>1.5170707278993056E-3</v>
      </c>
      <c r="Y575" s="8">
        <f>IF(Tabela1[[#This Row],[Core PCE]]="",#N/A,((Tabela1[[#This Row],[Core PCE]]*1)/W563)-1)</f>
        <v>2.1927319727073291E-2</v>
      </c>
      <c r="Z575" s="8">
        <f t="shared" si="29"/>
        <v>1.8943799680087636E-2</v>
      </c>
      <c r="AA575" s="8">
        <f t="shared" si="28"/>
        <v>2.1369858352751514E-2</v>
      </c>
      <c r="AB575" s="7">
        <v>2.3199999999999998</v>
      </c>
      <c r="AC575" s="7"/>
      <c r="AD575" s="8"/>
      <c r="AE575" s="71"/>
      <c r="AF575" s="7">
        <v>3.4</v>
      </c>
      <c r="AG575" s="5"/>
    </row>
    <row r="576" spans="1:33" ht="12.75">
      <c r="A576" s="6">
        <v>34608</v>
      </c>
      <c r="B576" s="7">
        <v>149.4</v>
      </c>
      <c r="C576" s="8">
        <f>IF(Tabela1[[#This Row],[Consumer Price Index (CPI)]]="",#N/A,((Tabela1[[#This Row],[Consumer Price Index (CPI)]]*1)/B575)-1)</f>
        <v>6.6979236436703893E-4</v>
      </c>
      <c r="D576" s="8">
        <f>IF(Tabela1[[#This Row],[Consumer Price Index (CPI)]]="",#N/A,((Tabela1[[#This Row],[Consumer Price Index (CPI)]]*1)/B564)-1)</f>
        <v>2.6098901098901228E-2</v>
      </c>
      <c r="E576" s="25">
        <v>157.80000000000001</v>
      </c>
      <c r="F576" s="8">
        <f>IF(Tabela1[[#This Row],[Core Consumer Price Index]]="",#N/A,((Tabela1[[#This Row],[Core Consumer Price Index]]*1)/E575)-1)</f>
        <v>1.9047619047620756E-3</v>
      </c>
      <c r="G576" s="8">
        <f>IF(Tabela1[[#This Row],[Core Consumer Price Index]]="",#N/A,((Tabela1[[#This Row],[Core Consumer Price Index]]*1)/E564)-1)</f>
        <v>2.8683181225554133E-2</v>
      </c>
      <c r="H576" s="8">
        <f t="shared" si="30"/>
        <v>2.8014236908649792E-2</v>
      </c>
      <c r="I576" s="8">
        <f t="shared" si="27"/>
        <v>2.9402498308370273E-2</v>
      </c>
      <c r="J576" s="25">
        <v>164.5</v>
      </c>
      <c r="K576" s="8">
        <f>IF(Tabela1[[#This Row],[Services CPI]]="",#N/A,((Tabela1[[#This Row],[Services CPI]]*1)/J575)-1)</f>
        <v>2.4375380865326868E-3</v>
      </c>
      <c r="L576" s="8">
        <f>IF(Tabela1[[#This Row],[Services CPI]]="",#N/A,((Tabela1[[#This Row],[Services CPI]]*1)/J564)-1)</f>
        <v>3.1994981179422899E-2</v>
      </c>
      <c r="M576" s="7">
        <v>169.2</v>
      </c>
      <c r="N576" s="8">
        <f>IF(Tabela1[[#This Row],[Core-Services CPI]]="",#N/A,((Tabela1[[#This Row],[Core-Services CPI]]*1)/M575)-1)</f>
        <v>2.9638411381149865E-3</v>
      </c>
      <c r="O576" s="8">
        <f>IF(Tabela1[[#This Row],[Core-Services CPI]]="",#N/A,((Tabela1[[#This Row],[Core-Services CPI]]*1)/M564)-1)</f>
        <v>3.4862385321100753E-2</v>
      </c>
      <c r="P576" s="7">
        <v>125.9</v>
      </c>
      <c r="Q576" s="8">
        <f>IF(Tabela1[[#This Row],[Durable Goods CPI]]="",#N/A,((Tabela1[[#This Row],[Durable Goods CPI]]*1)/P575)-1)</f>
        <v>1.5910898965791898E-3</v>
      </c>
      <c r="R576" s="8">
        <f>IF(Tabela1[[#This Row],[Durable Goods CPI]]="",#N/A,((Tabela1[[#This Row],[Durable Goods CPI]]*1)/P564)-1)</f>
        <v>2.7755102040816437E-2</v>
      </c>
      <c r="S576" s="7">
        <v>3.3188647310000001</v>
      </c>
      <c r="T576" s="7">
        <v>66.820999999999998</v>
      </c>
      <c r="U576" s="8">
        <f>IF(Tabela1[[#This Row],[Personal Consumption Expenditures (PCE)]]="",#N/A,((Tabela1[[#This Row],[Personal Consumption Expenditures (PCE)]]*1)/T575)-1)</f>
        <v>1.6939497511543333E-3</v>
      </c>
      <c r="V576" s="8">
        <f>IF(Tabela1[[#This Row],[Personal Consumption Expenditures (PCE)]]="",#N/A,((Tabela1[[#This Row],[Personal Consumption Expenditures (PCE)]]*1)/T564)-1)</f>
        <v>2.1056491908989505E-2</v>
      </c>
      <c r="W576" s="7">
        <v>68.156999999999996</v>
      </c>
      <c r="X576" s="8">
        <f>IF(Tabela1[[#This Row],[Core PCE]]="",#N/A,((Tabela1[[#This Row],[Core PCE]]*1)/W575)-1)</f>
        <v>2.3530449872788406E-3</v>
      </c>
      <c r="Y576" s="8">
        <f>IF(Tabela1[[#This Row],[Core PCE]]="",#N/A,((Tabela1[[#This Row],[Core PCE]]*1)/W564)-1)</f>
        <v>2.2656683721697712E-2</v>
      </c>
      <c r="Z576" s="8">
        <f t="shared" si="29"/>
        <v>1.9963048604910938E-2</v>
      </c>
      <c r="AA576" s="8">
        <f t="shared" si="28"/>
        <v>2.3073347063838234E-2</v>
      </c>
      <c r="AB576" s="7">
        <v>2.2599999999999998</v>
      </c>
      <c r="AC576" s="7"/>
      <c r="AD576" s="8"/>
      <c r="AE576" s="71"/>
      <c r="AF576" s="7">
        <v>3</v>
      </c>
      <c r="AG576" s="5"/>
    </row>
    <row r="577" spans="1:33" ht="12.75">
      <c r="A577" s="6">
        <v>34639</v>
      </c>
      <c r="B577" s="7">
        <v>149.80000000000001</v>
      </c>
      <c r="C577" s="8">
        <f>IF(Tabela1[[#This Row],[Consumer Price Index (CPI)]]="",#N/A,((Tabela1[[#This Row],[Consumer Price Index (CPI)]]*1)/B576)-1)</f>
        <v>2.6773761713521083E-3</v>
      </c>
      <c r="D577" s="8">
        <f>IF(Tabela1[[#This Row],[Consumer Price Index (CPI)]]="",#N/A,((Tabela1[[#This Row],[Consumer Price Index (CPI)]]*1)/B565)-1)</f>
        <v>2.6027397260274032E-2</v>
      </c>
      <c r="E577" s="25">
        <v>158.19999999999999</v>
      </c>
      <c r="F577" s="8">
        <f>IF(Tabela1[[#This Row],[Core Consumer Price Index]]="",#N/A,((Tabela1[[#This Row],[Core Consumer Price Index]]*1)/E576)-1)</f>
        <v>2.5348542458807355E-3</v>
      </c>
      <c r="G577" s="8">
        <f>IF(Tabela1[[#This Row],[Core Consumer Price Index]]="",#N/A,((Tabela1[[#This Row],[Core Consumer Price Index]]*1)/E565)-1)</f>
        <v>2.7940220922676895E-2</v>
      </c>
      <c r="H577" s="8">
        <f t="shared" si="30"/>
        <v>2.794306040142569E-2</v>
      </c>
      <c r="I577" s="8">
        <f t="shared" ref="I577:I640" si="31">SUM(F572:F577)*2</f>
        <v>2.9327512266369649E-2</v>
      </c>
      <c r="J577" s="25">
        <v>165</v>
      </c>
      <c r="K577" s="8">
        <f>IF(Tabela1[[#This Row],[Services CPI]]="",#N/A,((Tabela1[[#This Row],[Services CPI]]*1)/J576)-1)</f>
        <v>3.0395136778116338E-3</v>
      </c>
      <c r="L577" s="8">
        <f>IF(Tabela1[[#This Row],[Services CPI]]="",#N/A,((Tabela1[[#This Row],[Services CPI]]*1)/J565)-1)</f>
        <v>3.1894934333958735E-2</v>
      </c>
      <c r="M577" s="7">
        <v>169.7</v>
      </c>
      <c r="N577" s="8">
        <f>IF(Tabela1[[#This Row],[Core-Services CPI]]="",#N/A,((Tabela1[[#This Row],[Core-Services CPI]]*1)/M576)-1)</f>
        <v>2.9550827423168169E-3</v>
      </c>
      <c r="O577" s="8">
        <f>IF(Tabela1[[#This Row],[Core-Services CPI]]="",#N/A,((Tabela1[[#This Row],[Core-Services CPI]]*1)/M565)-1)</f>
        <v>3.4125533211456505E-2</v>
      </c>
      <c r="P577" s="7">
        <v>126.3</v>
      </c>
      <c r="Q577" s="8">
        <f>IF(Tabela1[[#This Row],[Durable Goods CPI]]="",#N/A,((Tabela1[[#This Row],[Durable Goods CPI]]*1)/P576)-1)</f>
        <v>3.1771247021445959E-3</v>
      </c>
      <c r="R577" s="8">
        <f>IF(Tabela1[[#This Row],[Durable Goods CPI]]="",#N/A,((Tabela1[[#This Row],[Durable Goods CPI]]*1)/P565)-1)</f>
        <v>2.7664768104149751E-2</v>
      </c>
      <c r="S577" s="7">
        <v>3.267212367</v>
      </c>
      <c r="T577" s="7">
        <v>66.947999999999993</v>
      </c>
      <c r="U577" s="8">
        <f>IF(Tabela1[[#This Row],[Personal Consumption Expenditures (PCE)]]="",#N/A,((Tabela1[[#This Row],[Personal Consumption Expenditures (PCE)]]*1)/T576)-1)</f>
        <v>1.9006001107435555E-3</v>
      </c>
      <c r="V577" s="8">
        <f>IF(Tabela1[[#This Row],[Personal Consumption Expenditures (PCE)]]="",#N/A,((Tabela1[[#This Row],[Personal Consumption Expenditures (PCE)]]*1)/T565)-1)</f>
        <v>2.1062424695349691E-2</v>
      </c>
      <c r="W577" s="7">
        <v>68.281999999999996</v>
      </c>
      <c r="X577" s="8">
        <f>IF(Tabela1[[#This Row],[Core PCE]]="",#N/A,((Tabela1[[#This Row],[Core PCE]]*1)/W576)-1)</f>
        <v>1.8340009096644572E-3</v>
      </c>
      <c r="Y577" s="8">
        <f>IF(Tabela1[[#This Row],[Core PCE]]="",#N/A,((Tabela1[[#This Row],[Core PCE]]*1)/W565)-1)</f>
        <v>2.1894969993564661E-2</v>
      </c>
      <c r="Z577" s="8">
        <f t="shared" si="29"/>
        <v>2.2816466499370414E-2</v>
      </c>
      <c r="AA577" s="8">
        <f t="shared" si="28"/>
        <v>2.2288724803376514E-2</v>
      </c>
      <c r="AB577" s="7">
        <v>2.2799999999999998</v>
      </c>
      <c r="AC577" s="7"/>
      <c r="AD577" s="8"/>
      <c r="AE577" s="71"/>
      <c r="AF577" s="7">
        <v>3.2</v>
      </c>
      <c r="AG577" s="5"/>
    </row>
    <row r="578" spans="1:33" ht="12.75">
      <c r="A578" s="6">
        <v>34669</v>
      </c>
      <c r="B578" s="7">
        <v>150.1</v>
      </c>
      <c r="C578" s="8">
        <f>IF(Tabela1[[#This Row],[Consumer Price Index (CPI)]]="",#N/A,((Tabela1[[#This Row],[Consumer Price Index (CPI)]]*1)/B577)-1)</f>
        <v>2.0026702269690944E-3</v>
      </c>
      <c r="D578" s="8">
        <f>IF(Tabela1[[#This Row],[Consumer Price Index (CPI)]]="",#N/A,((Tabela1[[#This Row],[Consumer Price Index (CPI)]]*1)/B566)-1)</f>
        <v>2.5974025974025761E-2</v>
      </c>
      <c r="E578" s="25">
        <v>158.30000000000001</v>
      </c>
      <c r="F578" s="8">
        <f>IF(Tabela1[[#This Row],[Core Consumer Price Index]]="",#N/A,((Tabela1[[#This Row],[Core Consumer Price Index]]*1)/E577)-1)</f>
        <v>6.3211125158035841E-4</v>
      </c>
      <c r="G578" s="8">
        <f>IF(Tabela1[[#This Row],[Core Consumer Price Index]]="",#N/A,((Tabela1[[#This Row],[Core Consumer Price Index]]*1)/E566)-1)</f>
        <v>2.5923525599481634E-2</v>
      </c>
      <c r="H578" s="8">
        <f t="shared" si="30"/>
        <v>2.0286909608892678E-2</v>
      </c>
      <c r="I578" s="8">
        <f t="shared" si="31"/>
        <v>2.4177366584796633E-2</v>
      </c>
      <c r="J578" s="25">
        <v>165.2</v>
      </c>
      <c r="K578" s="8">
        <f>IF(Tabela1[[#This Row],[Services CPI]]="",#N/A,((Tabela1[[#This Row],[Services CPI]]*1)/J577)-1)</f>
        <v>1.2121212121212199E-3</v>
      </c>
      <c r="L578" s="8">
        <f>IF(Tabela1[[#This Row],[Services CPI]]="",#N/A,((Tabela1[[#This Row],[Services CPI]]*1)/J566)-1)</f>
        <v>2.928348909657319E-2</v>
      </c>
      <c r="M578" s="7">
        <v>170</v>
      </c>
      <c r="N578" s="8">
        <f>IF(Tabela1[[#This Row],[Core-Services CPI]]="",#N/A,((Tabela1[[#This Row],[Core-Services CPI]]*1)/M577)-1)</f>
        <v>1.767825574543469E-3</v>
      </c>
      <c r="O578" s="8">
        <f>IF(Tabela1[[#This Row],[Core-Services CPI]]="",#N/A,((Tabela1[[#This Row],[Core-Services CPI]]*1)/M566)-1)</f>
        <v>3.2179720704310855E-2</v>
      </c>
      <c r="P578" s="7">
        <v>126.6</v>
      </c>
      <c r="Q578" s="8">
        <f>IF(Tabela1[[#This Row],[Durable Goods CPI]]="",#N/A,((Tabela1[[#This Row],[Durable Goods CPI]]*1)/P577)-1)</f>
        <v>2.3752969121140222E-3</v>
      </c>
      <c r="R578" s="8">
        <f>IF(Tabela1[[#This Row],[Durable Goods CPI]]="",#N/A,((Tabela1[[#This Row],[Durable Goods CPI]]*1)/P566)-1)</f>
        <v>2.9268292682926855E-2</v>
      </c>
      <c r="S578" s="7">
        <v>3.1787400909999999</v>
      </c>
      <c r="T578" s="7">
        <v>66.991</v>
      </c>
      <c r="U578" s="8">
        <f>IF(Tabela1[[#This Row],[Personal Consumption Expenditures (PCE)]]="",#N/A,((Tabela1[[#This Row],[Personal Consumption Expenditures (PCE)]]*1)/T577)-1)</f>
        <v>6.4228953814904344E-4</v>
      </c>
      <c r="V578" s="8">
        <f>IF(Tabela1[[#This Row],[Personal Consumption Expenditures (PCE)]]="",#N/A,((Tabela1[[#This Row],[Personal Consumption Expenditures (PCE)]]*1)/T566)-1)</f>
        <v>2.1484553688512209E-2</v>
      </c>
      <c r="W578" s="7">
        <v>68.305000000000007</v>
      </c>
      <c r="X578" s="8">
        <f>IF(Tabela1[[#This Row],[Core PCE]]="",#N/A,((Tabela1[[#This Row],[Core PCE]]*1)/W577)-1)</f>
        <v>3.3683840543652366E-4</v>
      </c>
      <c r="Y578" s="8">
        <f>IF(Tabela1[[#This Row],[Core PCE]]="",#N/A,((Tabela1[[#This Row],[Core PCE]]*1)/W566)-1)</f>
        <v>2.1780430522520877E-2</v>
      </c>
      <c r="Z578" s="8">
        <f t="shared" si="29"/>
        <v>1.8095537209519286E-2</v>
      </c>
      <c r="AA578" s="8">
        <f t="shared" si="28"/>
        <v>1.8519668444803461E-2</v>
      </c>
      <c r="AB578" s="7">
        <v>2.25</v>
      </c>
      <c r="AC578" s="7"/>
      <c r="AD578" s="8"/>
      <c r="AE578" s="71"/>
      <c r="AF578" s="7">
        <v>3</v>
      </c>
      <c r="AG578" s="5"/>
    </row>
    <row r="579" spans="1:33" ht="12.75">
      <c r="A579" s="6">
        <v>34700</v>
      </c>
      <c r="B579" s="7">
        <v>150.5</v>
      </c>
      <c r="C579" s="8">
        <f>IF(Tabela1[[#This Row],[Consumer Price Index (CPI)]]="",#N/A,((Tabela1[[#This Row],[Consumer Price Index (CPI)]]*1)/B578)-1)</f>
        <v>2.6648900732844094E-3</v>
      </c>
      <c r="D579" s="8">
        <f>IF(Tabela1[[#This Row],[Consumer Price Index (CPI)]]="",#N/A,((Tabela1[[#This Row],[Consumer Price Index (CPI)]]*1)/B567)-1)</f>
        <v>2.8708133971291794E-2</v>
      </c>
      <c r="E579" s="25">
        <v>159</v>
      </c>
      <c r="F579" s="8">
        <f>IF(Tabela1[[#This Row],[Core Consumer Price Index]]="",#N/A,((Tabela1[[#This Row],[Core Consumer Price Index]]*1)/E578)-1)</f>
        <v>4.4219835754895076E-3</v>
      </c>
      <c r="G579" s="8">
        <f>IF(Tabela1[[#This Row],[Core Consumer Price Index]]="",#N/A,((Tabela1[[#This Row],[Core Consumer Price Index]]*1)/E567)-1)</f>
        <v>2.9126213592232997E-2</v>
      </c>
      <c r="H579" s="8">
        <f t="shared" si="30"/>
        <v>3.0355796291802406E-2</v>
      </c>
      <c r="I579" s="8">
        <f t="shared" si="31"/>
        <v>2.9185016600226099E-2</v>
      </c>
      <c r="J579" s="25">
        <v>166</v>
      </c>
      <c r="K579" s="8">
        <f>IF(Tabela1[[#This Row],[Services CPI]]="",#N/A,((Tabela1[[#This Row],[Services CPI]]*1)/J578)-1)</f>
        <v>4.8426150121065881E-3</v>
      </c>
      <c r="L579" s="8">
        <f>IF(Tabela1[[#This Row],[Services CPI]]="",#N/A,((Tabela1[[#This Row],[Services CPI]]*1)/J567)-1)</f>
        <v>3.2338308457711351E-2</v>
      </c>
      <c r="M579" s="7">
        <v>170.8</v>
      </c>
      <c r="N579" s="8">
        <f>IF(Tabela1[[#This Row],[Core-Services CPI]]="",#N/A,((Tabela1[[#This Row],[Core-Services CPI]]*1)/M578)-1)</f>
        <v>4.7058823529413374E-3</v>
      </c>
      <c r="O579" s="8">
        <f>IF(Tabela1[[#This Row],[Core-Services CPI]]="",#N/A,((Tabela1[[#This Row],[Core-Services CPI]]*1)/M567)-1)</f>
        <v>3.4524530587522806E-2</v>
      </c>
      <c r="P579" s="7">
        <v>126.9</v>
      </c>
      <c r="Q579" s="8">
        <f>IF(Tabela1[[#This Row],[Durable Goods CPI]]="",#N/A,((Tabela1[[#This Row],[Durable Goods CPI]]*1)/P578)-1)</f>
        <v>2.3696682464455776E-3</v>
      </c>
      <c r="R579" s="8">
        <f>IF(Tabela1[[#This Row],[Durable Goods CPI]]="",#N/A,((Tabela1[[#This Row],[Durable Goods CPI]]*1)/P567)-1)</f>
        <v>3.0032467532467466E-2</v>
      </c>
      <c r="S579" s="7">
        <v>3.1420926250000001</v>
      </c>
      <c r="T579" s="7">
        <v>67.126999999999995</v>
      </c>
      <c r="U579" s="8">
        <f>IF(Tabela1[[#This Row],[Personal Consumption Expenditures (PCE)]]="",#N/A,((Tabela1[[#This Row],[Personal Consumption Expenditures (PCE)]]*1)/T578)-1)</f>
        <v>2.0301234494184417E-3</v>
      </c>
      <c r="V579" s="8">
        <f>IF(Tabela1[[#This Row],[Personal Consumption Expenditures (PCE)]]="",#N/A,((Tabela1[[#This Row],[Personal Consumption Expenditures (PCE)]]*1)/T567)-1)</f>
        <v>2.3215047862935156E-2</v>
      </c>
      <c r="W579" s="7">
        <v>68.474999999999994</v>
      </c>
      <c r="X579" s="8">
        <f>IF(Tabela1[[#This Row],[Core PCE]]="",#N/A,((Tabela1[[#This Row],[Core PCE]]*1)/W578)-1)</f>
        <v>2.4888368347850687E-3</v>
      </c>
      <c r="Y579" s="8">
        <f>IF(Tabela1[[#This Row],[Core PCE]]="",#N/A,((Tabela1[[#This Row],[Core PCE]]*1)/W567)-1)</f>
        <v>2.3512002630713402E-2</v>
      </c>
      <c r="Z579" s="8">
        <f t="shared" si="29"/>
        <v>1.8638704599544198E-2</v>
      </c>
      <c r="AA579" s="8">
        <f t="shared" si="28"/>
        <v>1.9300876602227568E-2</v>
      </c>
      <c r="AB579" s="7">
        <v>2.35</v>
      </c>
      <c r="AC579" s="7"/>
      <c r="AD579" s="8"/>
      <c r="AE579" s="71"/>
      <c r="AF579" s="7">
        <v>3</v>
      </c>
      <c r="AG579" s="5"/>
    </row>
    <row r="580" spans="1:33" ht="12.75">
      <c r="A580" s="6">
        <v>34731</v>
      </c>
      <c r="B580" s="7">
        <v>150.9</v>
      </c>
      <c r="C580" s="8">
        <f>IF(Tabela1[[#This Row],[Consumer Price Index (CPI)]]="",#N/A,((Tabela1[[#This Row],[Consumer Price Index (CPI)]]*1)/B579)-1)</f>
        <v>2.6578073089700283E-3</v>
      </c>
      <c r="D580" s="8">
        <f>IF(Tabela1[[#This Row],[Consumer Price Index (CPI)]]="",#N/A,((Tabela1[[#This Row],[Consumer Price Index (CPI)]]*1)/B568)-1)</f>
        <v>2.8629856850715951E-2</v>
      </c>
      <c r="E580" s="25">
        <v>159.4</v>
      </c>
      <c r="F580" s="8">
        <f>IF(Tabela1[[#This Row],[Core Consumer Price Index]]="",#N/A,((Tabela1[[#This Row],[Core Consumer Price Index]]*1)/E579)-1)</f>
        <v>2.515723270440251E-3</v>
      </c>
      <c r="G580" s="8">
        <f>IF(Tabela1[[#This Row],[Core Consumer Price Index]]="",#N/A,((Tabela1[[#This Row],[Core Consumer Price Index]]*1)/E568)-1)</f>
        <v>2.9715762273901714E-2</v>
      </c>
      <c r="H580" s="8">
        <f t="shared" si="30"/>
        <v>3.0279272390040468E-2</v>
      </c>
      <c r="I580" s="8">
        <f t="shared" si="31"/>
        <v>2.9111166395733079E-2</v>
      </c>
      <c r="J580" s="25">
        <v>166.5</v>
      </c>
      <c r="K580" s="8">
        <f>IF(Tabela1[[#This Row],[Services CPI]]="",#N/A,((Tabela1[[#This Row],[Services CPI]]*1)/J579)-1)</f>
        <v>3.0120481927711218E-3</v>
      </c>
      <c r="L580" s="8">
        <f>IF(Tabela1[[#This Row],[Services CPI]]="",#N/A,((Tabela1[[#This Row],[Services CPI]]*1)/J568)-1)</f>
        <v>3.1598513011152463E-2</v>
      </c>
      <c r="M580" s="7">
        <v>171.3</v>
      </c>
      <c r="N580" s="8">
        <f>IF(Tabela1[[#This Row],[Core-Services CPI]]="",#N/A,((Tabela1[[#This Row],[Core-Services CPI]]*1)/M579)-1)</f>
        <v>2.9274004683841337E-3</v>
      </c>
      <c r="O580" s="8">
        <f>IF(Tabela1[[#This Row],[Core-Services CPI]]="",#N/A,((Tabela1[[#This Row],[Core-Services CPI]]*1)/M568)-1)</f>
        <v>3.3796016898008485E-2</v>
      </c>
      <c r="P580" s="7">
        <v>127.4</v>
      </c>
      <c r="Q580" s="8">
        <f>IF(Tabela1[[#This Row],[Durable Goods CPI]]="",#N/A,((Tabela1[[#This Row],[Durable Goods CPI]]*1)/P579)-1)</f>
        <v>3.9401103230889412E-3</v>
      </c>
      <c r="R580" s="8">
        <f>IF(Tabela1[[#This Row],[Durable Goods CPI]]="",#N/A,((Tabela1[[#This Row],[Durable Goods CPI]]*1)/P568)-1)</f>
        <v>3.4930950446791398E-2</v>
      </c>
      <c r="S580" s="7">
        <v>2.9156599750000001</v>
      </c>
      <c r="T580" s="7">
        <v>67.245999999999995</v>
      </c>
      <c r="U580" s="8">
        <f>IF(Tabela1[[#This Row],[Personal Consumption Expenditures (PCE)]]="",#N/A,((Tabela1[[#This Row],[Personal Consumption Expenditures (PCE)]]*1)/T579)-1)</f>
        <v>1.7727590984253361E-3</v>
      </c>
      <c r="V580" s="8">
        <f>IF(Tabela1[[#This Row],[Personal Consumption Expenditures (PCE)]]="",#N/A,((Tabela1[[#This Row],[Personal Consumption Expenditures (PCE)]]*1)/T568)-1)</f>
        <v>2.2659529168440828E-2</v>
      </c>
      <c r="W580" s="7">
        <v>68.587000000000003</v>
      </c>
      <c r="X580" s="8">
        <f>IF(Tabela1[[#This Row],[Core PCE]]="",#N/A,((Tabela1[[#This Row],[Core PCE]]*1)/W579)-1)</f>
        <v>1.6356334428624386E-3</v>
      </c>
      <c r="Y580" s="8">
        <f>IF(Tabela1[[#This Row],[Core PCE]]="",#N/A,((Tabela1[[#This Row],[Core PCE]]*1)/W568)-1)</f>
        <v>2.2968962071382881E-2</v>
      </c>
      <c r="Z580" s="8">
        <f t="shared" si="29"/>
        <v>1.7845234732336124E-2</v>
      </c>
      <c r="AA580" s="8">
        <f t="shared" si="28"/>
        <v>2.0330850615853269E-2</v>
      </c>
      <c r="AB580" s="7">
        <v>2.29</v>
      </c>
      <c r="AC580" s="7"/>
      <c r="AD580" s="8"/>
      <c r="AE580" s="71"/>
      <c r="AF580" s="7">
        <v>3</v>
      </c>
      <c r="AG580" s="5"/>
    </row>
    <row r="581" spans="1:33" ht="12.75">
      <c r="A581" s="6">
        <v>34759</v>
      </c>
      <c r="B581" s="7">
        <v>151.19999999999999</v>
      </c>
      <c r="C581" s="8">
        <f>IF(Tabela1[[#This Row],[Consumer Price Index (CPI)]]="",#N/A,((Tabela1[[#This Row],[Consumer Price Index (CPI)]]*1)/B580)-1)</f>
        <v>1.9880715705764551E-3</v>
      </c>
      <c r="D581" s="8">
        <f>IF(Tabela1[[#This Row],[Consumer Price Index (CPI)]]="",#N/A,((Tabela1[[#This Row],[Consumer Price Index (CPI)]]*1)/B569)-1)</f>
        <v>2.7872195785180187E-2</v>
      </c>
      <c r="E581" s="25">
        <v>159.9</v>
      </c>
      <c r="F581" s="8">
        <f>IF(Tabela1[[#This Row],[Core Consumer Price Index]]="",#N/A,((Tabela1[[#This Row],[Core Consumer Price Index]]*1)/E580)-1)</f>
        <v>3.1367628607277265E-3</v>
      </c>
      <c r="G581" s="8">
        <f>IF(Tabela1[[#This Row],[Core Consumer Price Index]]="",#N/A,((Tabela1[[#This Row],[Core Consumer Price Index]]*1)/E569)-1)</f>
        <v>2.962009014810052E-2</v>
      </c>
      <c r="H581" s="8">
        <f t="shared" si="30"/>
        <v>4.029787882662994E-2</v>
      </c>
      <c r="I581" s="8">
        <f t="shared" si="31"/>
        <v>3.0292394217761309E-2</v>
      </c>
      <c r="J581" s="25">
        <v>167.1</v>
      </c>
      <c r="K581" s="8">
        <f>IF(Tabela1[[#This Row],[Services CPI]]="",#N/A,((Tabela1[[#This Row],[Services CPI]]*1)/J580)-1)</f>
        <v>3.6036036036035668E-3</v>
      </c>
      <c r="L581" s="8">
        <f>IF(Tabela1[[#This Row],[Services CPI]]="",#N/A,((Tabela1[[#This Row],[Services CPI]]*1)/J569)-1)</f>
        <v>3.1481481481481444E-2</v>
      </c>
      <c r="M581" s="7">
        <v>172</v>
      </c>
      <c r="N581" s="8">
        <f>IF(Tabela1[[#This Row],[Core-Services CPI]]="",#N/A,((Tabela1[[#This Row],[Core-Services CPI]]*1)/M580)-1)</f>
        <v>4.086398131932123E-3</v>
      </c>
      <c r="O581" s="8">
        <f>IF(Tabela1[[#This Row],[Core-Services CPI]]="",#N/A,((Tabela1[[#This Row],[Core-Services CPI]]*1)/M569)-1)</f>
        <v>3.4275405892964406E-2</v>
      </c>
      <c r="P581" s="7">
        <v>127.6</v>
      </c>
      <c r="Q581" s="8">
        <f>IF(Tabela1[[#This Row],[Durable Goods CPI]]="",#N/A,((Tabela1[[#This Row],[Durable Goods CPI]]*1)/P580)-1)</f>
        <v>1.5698587127157548E-3</v>
      </c>
      <c r="R581" s="8">
        <f>IF(Tabela1[[#This Row],[Durable Goods CPI]]="",#N/A,((Tabela1[[#This Row],[Durable Goods CPI]]*1)/P569)-1)</f>
        <v>3.4874290348742898E-2</v>
      </c>
      <c r="S581" s="7">
        <v>3.159681044</v>
      </c>
      <c r="T581" s="7">
        <v>67.37</v>
      </c>
      <c r="U581" s="8">
        <f>IF(Tabela1[[#This Row],[Personal Consumption Expenditures (PCE)]]="",#N/A,((Tabela1[[#This Row],[Personal Consumption Expenditures (PCE)]]*1)/T580)-1)</f>
        <v>1.8439758498647318E-3</v>
      </c>
      <c r="V581" s="8">
        <f>IF(Tabela1[[#This Row],[Personal Consumption Expenditures (PCE)]]="",#N/A,((Tabela1[[#This Row],[Personal Consumption Expenditures (PCE)]]*1)/T569)-1)</f>
        <v>2.1732866220786518E-2</v>
      </c>
      <c r="W581" s="7">
        <v>68.754999999999995</v>
      </c>
      <c r="X581" s="8">
        <f>IF(Tabela1[[#This Row],[Core PCE]]="",#N/A,((Tabela1[[#This Row],[Core PCE]]*1)/W580)-1)</f>
        <v>2.4494437721434004E-3</v>
      </c>
      <c r="Y581" s="8">
        <f>IF(Tabela1[[#This Row],[Core PCE]]="",#N/A,((Tabela1[[#This Row],[Core PCE]]*1)/W569)-1)</f>
        <v>2.1999256781865428E-2</v>
      </c>
      <c r="Z581" s="8">
        <f t="shared" si="29"/>
        <v>2.6295656199163631E-2</v>
      </c>
      <c r="AA581" s="8">
        <f t="shared" si="28"/>
        <v>2.2195596704341458E-2</v>
      </c>
      <c r="AB581" s="7">
        <v>2.25</v>
      </c>
      <c r="AC581" s="7"/>
      <c r="AD581" s="8"/>
      <c r="AE581" s="71"/>
      <c r="AF581" s="7">
        <v>3.2</v>
      </c>
      <c r="AG581" s="5"/>
    </row>
    <row r="582" spans="1:33" ht="12.75">
      <c r="A582" s="6">
        <v>34790</v>
      </c>
      <c r="B582" s="7">
        <v>151.80000000000001</v>
      </c>
      <c r="C582" s="8">
        <f>IF(Tabela1[[#This Row],[Consumer Price Index (CPI)]]="",#N/A,((Tabela1[[#This Row],[Consumer Price Index (CPI)]]*1)/B581)-1)</f>
        <v>3.9682539682541762E-3</v>
      </c>
      <c r="D582" s="8">
        <f>IF(Tabela1[[#This Row],[Consumer Price Index (CPI)]]="",#N/A,((Tabela1[[#This Row],[Consumer Price Index (CPI)]]*1)/B570)-1)</f>
        <v>3.1250000000000222E-2</v>
      </c>
      <c r="E582" s="25">
        <v>160.4</v>
      </c>
      <c r="F582" s="8">
        <f>IF(Tabela1[[#This Row],[Core Consumer Price Index]]="",#N/A,((Tabela1[[#This Row],[Core Consumer Price Index]]*1)/E581)-1)</f>
        <v>3.1269543464664817E-3</v>
      </c>
      <c r="G582" s="8">
        <f>IF(Tabela1[[#This Row],[Core Consumer Price Index]]="",#N/A,((Tabela1[[#This Row],[Core Consumer Price Index]]*1)/E570)-1)</f>
        <v>3.1511254019292556E-2</v>
      </c>
      <c r="H582" s="8">
        <f t="shared" si="30"/>
        <v>3.5117761910537837E-2</v>
      </c>
      <c r="I582" s="8">
        <f t="shared" si="31"/>
        <v>3.2736779101170121E-2</v>
      </c>
      <c r="J582" s="25">
        <v>167.7</v>
      </c>
      <c r="K582" s="8">
        <f>IF(Tabela1[[#This Row],[Services CPI]]="",#N/A,((Tabela1[[#This Row],[Services CPI]]*1)/J581)-1)</f>
        <v>3.5906642728904536E-3</v>
      </c>
      <c r="L582" s="8">
        <f>IF(Tabela1[[#This Row],[Services CPI]]="",#N/A,((Tabela1[[#This Row],[Services CPI]]*1)/J570)-1)</f>
        <v>3.3908754623921178E-2</v>
      </c>
      <c r="M582" s="7">
        <v>172.6</v>
      </c>
      <c r="N582" s="8">
        <f>IF(Tabela1[[#This Row],[Core-Services CPI]]="",#N/A,((Tabela1[[#This Row],[Core-Services CPI]]*1)/M581)-1)</f>
        <v>3.4883720930232176E-3</v>
      </c>
      <c r="O582" s="8">
        <f>IF(Tabela1[[#This Row],[Core-Services CPI]]="",#N/A,((Tabela1[[#This Row],[Core-Services CPI]]*1)/M570)-1)</f>
        <v>3.6014405762304857E-2</v>
      </c>
      <c r="P582" s="7">
        <v>127.9</v>
      </c>
      <c r="Q582" s="8">
        <f>IF(Tabela1[[#This Row],[Durable Goods CPI]]="",#N/A,((Tabela1[[#This Row],[Durable Goods CPI]]*1)/P581)-1)</f>
        <v>2.3510971786835366E-3</v>
      </c>
      <c r="R582" s="8">
        <f>IF(Tabela1[[#This Row],[Durable Goods CPI]]="",#N/A,((Tabela1[[#This Row],[Durable Goods CPI]]*1)/P570)-1)</f>
        <v>3.5627530364372495E-2</v>
      </c>
      <c r="S582" s="7">
        <v>3.139699974</v>
      </c>
      <c r="T582" s="7">
        <v>67.546999999999997</v>
      </c>
      <c r="U582" s="8">
        <f>IF(Tabela1[[#This Row],[Personal Consumption Expenditures (PCE)]]="",#N/A,((Tabela1[[#This Row],[Personal Consumption Expenditures (PCE)]]*1)/T581)-1)</f>
        <v>2.6272821730739526E-3</v>
      </c>
      <c r="V582" s="8">
        <f>IF(Tabela1[[#This Row],[Personal Consumption Expenditures (PCE)]]="",#N/A,((Tabela1[[#This Row],[Personal Consumption Expenditures (PCE)]]*1)/T570)-1)</f>
        <v>2.320684692872832E-2</v>
      </c>
      <c r="W582" s="7">
        <v>68.915000000000006</v>
      </c>
      <c r="X582" s="8">
        <f>IF(Tabela1[[#This Row],[Core PCE]]="",#N/A,((Tabela1[[#This Row],[Core PCE]]*1)/W581)-1)</f>
        <v>2.3271034833831639E-3</v>
      </c>
      <c r="Y582" s="8">
        <f>IF(Tabela1[[#This Row],[Core PCE]]="",#N/A,((Tabela1[[#This Row],[Core PCE]]*1)/W570)-1)</f>
        <v>2.2841961529328048E-2</v>
      </c>
      <c r="Z582" s="8">
        <f t="shared" si="29"/>
        <v>2.5648722793556011E-2</v>
      </c>
      <c r="AA582" s="8">
        <f t="shared" si="28"/>
        <v>2.2143713696550105E-2</v>
      </c>
      <c r="AB582" s="7">
        <v>2.31</v>
      </c>
      <c r="AC582" s="7"/>
      <c r="AD582" s="8"/>
      <c r="AE582" s="71"/>
      <c r="AF582" s="7">
        <v>3.3</v>
      </c>
      <c r="AG582" s="5"/>
    </row>
    <row r="583" spans="1:33" ht="12.75">
      <c r="A583" s="6">
        <v>34820</v>
      </c>
      <c r="B583" s="7">
        <v>152.1</v>
      </c>
      <c r="C583" s="8">
        <f>IF(Tabela1[[#This Row],[Consumer Price Index (CPI)]]="",#N/A,((Tabela1[[#This Row],[Consumer Price Index (CPI)]]*1)/B582)-1)</f>
        <v>1.9762845849802257E-3</v>
      </c>
      <c r="D583" s="8">
        <f>IF(Tabela1[[#This Row],[Consumer Price Index (CPI)]]="",#N/A,((Tabela1[[#This Row],[Consumer Price Index (CPI)]]*1)/B571)-1)</f>
        <v>3.1186440677966054E-2</v>
      </c>
      <c r="E583" s="25">
        <v>160.69999999999999</v>
      </c>
      <c r="F583" s="8">
        <f>IF(Tabela1[[#This Row],[Core Consumer Price Index]]="",#N/A,((Tabela1[[#This Row],[Core Consumer Price Index]]*1)/E582)-1)</f>
        <v>1.8703241895261513E-3</v>
      </c>
      <c r="G583" s="8">
        <f>IF(Tabela1[[#This Row],[Core Consumer Price Index]]="",#N/A,((Tabela1[[#This Row],[Core Consumer Price Index]]*1)/E571)-1)</f>
        <v>3.0788967286722091E-2</v>
      </c>
      <c r="H583" s="8">
        <f t="shared" si="30"/>
        <v>3.2536165586881438E-2</v>
      </c>
      <c r="I583" s="8">
        <f t="shared" si="31"/>
        <v>3.1407718988460953E-2</v>
      </c>
      <c r="J583" s="25">
        <v>168.1</v>
      </c>
      <c r="K583" s="8">
        <f>IF(Tabela1[[#This Row],[Services CPI]]="",#N/A,((Tabela1[[#This Row],[Services CPI]]*1)/J582)-1)</f>
        <v>2.3852116875373586E-3</v>
      </c>
      <c r="L583" s="8">
        <f>IF(Tabela1[[#This Row],[Services CPI]]="",#N/A,((Tabela1[[#This Row],[Services CPI]]*1)/J571)-1)</f>
        <v>3.5098522167487545E-2</v>
      </c>
      <c r="M583" s="7">
        <v>173.1</v>
      </c>
      <c r="N583" s="8">
        <f>IF(Tabela1[[#This Row],[Core-Services CPI]]="",#N/A,((Tabela1[[#This Row],[Core-Services CPI]]*1)/M582)-1)</f>
        <v>2.8968713789108147E-3</v>
      </c>
      <c r="O583" s="8">
        <f>IF(Tabela1[[#This Row],[Core-Services CPI]]="",#N/A,((Tabela1[[#This Row],[Core-Services CPI]]*1)/M571)-1)</f>
        <v>3.7769784172661858E-2</v>
      </c>
      <c r="P583" s="7">
        <v>128</v>
      </c>
      <c r="Q583" s="8">
        <f>IF(Tabela1[[#This Row],[Durable Goods CPI]]="",#N/A,((Tabela1[[#This Row],[Durable Goods CPI]]*1)/P582)-1)</f>
        <v>7.8186082877240715E-4</v>
      </c>
      <c r="R583" s="8">
        <f>IF(Tabela1[[#This Row],[Durable Goods CPI]]="",#N/A,((Tabela1[[#This Row],[Durable Goods CPI]]*1)/P571)-1)</f>
        <v>2.9766693483507689E-2</v>
      </c>
      <c r="S583" s="7">
        <v>3.1844824909999998</v>
      </c>
      <c r="T583" s="7">
        <v>67.650999999999996</v>
      </c>
      <c r="U583" s="8">
        <f>IF(Tabela1[[#This Row],[Personal Consumption Expenditures (PCE)]]="",#N/A,((Tabela1[[#This Row],[Personal Consumption Expenditures (PCE)]]*1)/T582)-1)</f>
        <v>1.5396686751447675E-3</v>
      </c>
      <c r="V583" s="8">
        <f>IF(Tabela1[[#This Row],[Personal Consumption Expenditures (PCE)]]="",#N/A,((Tabela1[[#This Row],[Personal Consumption Expenditures (PCE)]]*1)/T571)-1)</f>
        <v>2.3294156796902055E-2</v>
      </c>
      <c r="W583" s="7">
        <v>69.031999999999996</v>
      </c>
      <c r="X583" s="8">
        <f>IF(Tabela1[[#This Row],[Core PCE]]="",#N/A,((Tabela1[[#This Row],[Core PCE]]*1)/W582)-1)</f>
        <v>1.6977435971847754E-3</v>
      </c>
      <c r="Y583" s="8">
        <f>IF(Tabela1[[#This Row],[Core PCE]]="",#N/A,((Tabela1[[#This Row],[Core PCE]]*1)/W571)-1)</f>
        <v>2.2302520510618207E-2</v>
      </c>
      <c r="Z583" s="8">
        <f t="shared" si="29"/>
        <v>2.5897163410845359E-2</v>
      </c>
      <c r="AA583" s="8">
        <f t="shared" si="28"/>
        <v>2.1871199071590741E-2</v>
      </c>
      <c r="AB583" s="7">
        <v>2.27</v>
      </c>
      <c r="AC583" s="7"/>
      <c r="AD583" s="8"/>
      <c r="AE583" s="71"/>
      <c r="AF583" s="7">
        <v>3</v>
      </c>
      <c r="AG583" s="5"/>
    </row>
    <row r="584" spans="1:33" ht="12.75">
      <c r="A584" s="6">
        <v>34851</v>
      </c>
      <c r="B584" s="7">
        <v>152.4</v>
      </c>
      <c r="C584" s="8">
        <f>IF(Tabela1[[#This Row],[Consumer Price Index (CPI)]]="",#N/A,((Tabela1[[#This Row],[Consumer Price Index (CPI)]]*1)/B583)-1)</f>
        <v>1.9723865877712132E-3</v>
      </c>
      <c r="D584" s="8">
        <f>IF(Tabela1[[#This Row],[Consumer Price Index (CPI)]]="",#N/A,((Tabela1[[#This Row],[Consumer Price Index (CPI)]]*1)/B572)-1)</f>
        <v>3.0425963488843744E-2</v>
      </c>
      <c r="E584" s="25">
        <v>161.1</v>
      </c>
      <c r="F584" s="8">
        <f>IF(Tabela1[[#This Row],[Core Consumer Price Index]]="",#N/A,((Tabela1[[#This Row],[Core Consumer Price Index]]*1)/E583)-1)</f>
        <v>2.4891101431239182E-3</v>
      </c>
      <c r="G584" s="8">
        <f>IF(Tabela1[[#This Row],[Core Consumer Price Index]]="",#N/A,((Tabela1[[#This Row],[Core Consumer Price Index]]*1)/E572)-1)</f>
        <v>3.0051150895140655E-2</v>
      </c>
      <c r="H584" s="8">
        <f t="shared" si="30"/>
        <v>2.9945554716466205E-2</v>
      </c>
      <c r="I584" s="8">
        <f t="shared" si="31"/>
        <v>3.5121716771548073E-2</v>
      </c>
      <c r="J584" s="25">
        <v>168.5</v>
      </c>
      <c r="K584" s="8">
        <f>IF(Tabela1[[#This Row],[Services CPI]]="",#N/A,((Tabela1[[#This Row],[Services CPI]]*1)/J583)-1)</f>
        <v>2.3795359904819069E-3</v>
      </c>
      <c r="L584" s="8">
        <f>IF(Tabela1[[#This Row],[Services CPI]]="",#N/A,((Tabela1[[#This Row],[Services CPI]]*1)/J572)-1)</f>
        <v>3.5012285012284927E-2</v>
      </c>
      <c r="M584" s="7">
        <v>173.6</v>
      </c>
      <c r="N584" s="8">
        <f>IF(Tabela1[[#This Row],[Core-Services CPI]]="",#N/A,((Tabela1[[#This Row],[Core-Services CPI]]*1)/M583)-1)</f>
        <v>2.8885037550547832E-3</v>
      </c>
      <c r="O584" s="8">
        <f>IF(Tabela1[[#This Row],[Core-Services CPI]]="",#N/A,((Tabela1[[#This Row],[Core-Services CPI]]*1)/M572)-1)</f>
        <v>3.8277511961722466E-2</v>
      </c>
      <c r="P584" s="7">
        <v>128</v>
      </c>
      <c r="Q584" s="8">
        <f>IF(Tabela1[[#This Row],[Durable Goods CPI]]="",#N/A,((Tabela1[[#This Row],[Durable Goods CPI]]*1)/P583)-1)</f>
        <v>0</v>
      </c>
      <c r="R584" s="8">
        <f>IF(Tabela1[[#This Row],[Durable Goods CPI]]="",#N/A,((Tabela1[[#This Row],[Durable Goods CPI]]*1)/P572)-1)</f>
        <v>2.5641025641025772E-2</v>
      </c>
      <c r="S584" s="7">
        <v>3.3229161170000001</v>
      </c>
      <c r="T584" s="7">
        <v>67.716999999999999</v>
      </c>
      <c r="U584" s="8">
        <f>IF(Tabela1[[#This Row],[Personal Consumption Expenditures (PCE)]]="",#N/A,((Tabela1[[#This Row],[Personal Consumption Expenditures (PCE)]]*1)/T583)-1)</f>
        <v>9.7559533488045247E-4</v>
      </c>
      <c r="V584" s="8">
        <f>IF(Tabela1[[#This Row],[Personal Consumption Expenditures (PCE)]]="",#N/A,((Tabela1[[#This Row],[Personal Consumption Expenditures (PCE)]]*1)/T572)-1)</f>
        <v>2.1804080154514516E-2</v>
      </c>
      <c r="W584" s="7">
        <v>69.091999999999999</v>
      </c>
      <c r="X584" s="8">
        <f>IF(Tabela1[[#This Row],[Core PCE]]="",#N/A,((Tabela1[[#This Row],[Core PCE]]*1)/W583)-1)</f>
        <v>8.691621277088224E-4</v>
      </c>
      <c r="Y584" s="8">
        <f>IF(Tabela1[[#This Row],[Core PCE]]="",#N/A,((Tabela1[[#This Row],[Core PCE]]*1)/W572)-1)</f>
        <v>2.0923222412672082E-2</v>
      </c>
      <c r="Z584" s="8">
        <f t="shared" si="29"/>
        <v>1.9576036833107047E-2</v>
      </c>
      <c r="AA584" s="8">
        <f t="shared" si="28"/>
        <v>2.2935846516135339E-2</v>
      </c>
      <c r="AB584" s="7">
        <v>2.19</v>
      </c>
      <c r="AC584" s="7"/>
      <c r="AD584" s="8"/>
      <c r="AE584" s="71"/>
      <c r="AF584" s="7">
        <v>2.9</v>
      </c>
      <c r="AG584" s="5"/>
    </row>
    <row r="585" spans="1:33" ht="12.75">
      <c r="A585" s="6">
        <v>34881</v>
      </c>
      <c r="B585" s="7">
        <v>152.6</v>
      </c>
      <c r="C585" s="8">
        <f>IF(Tabela1[[#This Row],[Consumer Price Index (CPI)]]="",#N/A,((Tabela1[[#This Row],[Consumer Price Index (CPI)]]*1)/B584)-1)</f>
        <v>1.312335958005173E-3</v>
      </c>
      <c r="D585" s="8">
        <f>IF(Tabela1[[#This Row],[Consumer Price Index (CPI)]]="",#N/A,((Tabela1[[#This Row],[Consumer Price Index (CPI)]]*1)/B573)-1)</f>
        <v>2.8301886792452713E-2</v>
      </c>
      <c r="E585" s="25">
        <v>161.4</v>
      </c>
      <c r="F585" s="8">
        <f>IF(Tabela1[[#This Row],[Core Consumer Price Index]]="",#N/A,((Tabela1[[#This Row],[Core Consumer Price Index]]*1)/E584)-1)</f>
        <v>1.8621973929238145E-3</v>
      </c>
      <c r="G585" s="8">
        <f>IF(Tabela1[[#This Row],[Core Consumer Price Index]]="",#N/A,((Tabela1[[#This Row],[Core Consumer Price Index]]*1)/E573)-1)</f>
        <v>2.9993618379068332E-2</v>
      </c>
      <c r="H585" s="8">
        <f t="shared" si="30"/>
        <v>2.4886526902295536E-2</v>
      </c>
      <c r="I585" s="8">
        <f t="shared" si="31"/>
        <v>3.0002144406416686E-2</v>
      </c>
      <c r="J585" s="25">
        <v>168.9</v>
      </c>
      <c r="K585" s="8">
        <f>IF(Tabela1[[#This Row],[Services CPI]]="",#N/A,((Tabela1[[#This Row],[Services CPI]]*1)/J584)-1)</f>
        <v>2.3738872403560318E-3</v>
      </c>
      <c r="L585" s="8">
        <f>IF(Tabela1[[#This Row],[Services CPI]]="",#N/A,((Tabela1[[#This Row],[Services CPI]]*1)/J573)-1)</f>
        <v>3.5561005518087052E-2</v>
      </c>
      <c r="M585" s="7">
        <v>174</v>
      </c>
      <c r="N585" s="8">
        <f>IF(Tabela1[[#This Row],[Core-Services CPI]]="",#N/A,((Tabela1[[#This Row],[Core-Services CPI]]*1)/M584)-1)</f>
        <v>2.3041474654377225E-3</v>
      </c>
      <c r="O585" s="8">
        <f>IF(Tabela1[[#This Row],[Core-Services CPI]]="",#N/A,((Tabela1[[#This Row],[Core-Services CPI]]*1)/M573)-1)</f>
        <v>3.8186157517899888E-2</v>
      </c>
      <c r="P585" s="7">
        <v>128</v>
      </c>
      <c r="Q585" s="8">
        <f>IF(Tabela1[[#This Row],[Durable Goods CPI]]="",#N/A,((Tabela1[[#This Row],[Durable Goods CPI]]*1)/P584)-1)</f>
        <v>0</v>
      </c>
      <c r="R585" s="8">
        <f>IF(Tabela1[[#This Row],[Durable Goods CPI]]="",#N/A,((Tabela1[[#This Row],[Durable Goods CPI]]*1)/P573)-1)</f>
        <v>2.154828411811649E-2</v>
      </c>
      <c r="S585" s="7">
        <v>3.367477772</v>
      </c>
      <c r="T585" s="7">
        <v>67.802000000000007</v>
      </c>
      <c r="U585" s="8">
        <f>IF(Tabela1[[#This Row],[Personal Consumption Expenditures (PCE)]]="",#N/A,((Tabela1[[#This Row],[Personal Consumption Expenditures (PCE)]]*1)/T584)-1)</f>
        <v>1.2552239467196191E-3</v>
      </c>
      <c r="V585" s="8">
        <f>IF(Tabela1[[#This Row],[Personal Consumption Expenditures (PCE)]]="",#N/A,((Tabela1[[#This Row],[Personal Consumption Expenditures (PCE)]]*1)/T573)-1)</f>
        <v>1.9870338893819506E-2</v>
      </c>
      <c r="W585" s="7">
        <v>69.200999999999993</v>
      </c>
      <c r="X585" s="8">
        <f>IF(Tabela1[[#This Row],[Core PCE]]="",#N/A,((Tabela1[[#This Row],[Core PCE]]*1)/W584)-1)</f>
        <v>1.5776066693682367E-3</v>
      </c>
      <c r="Y585" s="8">
        <f>IF(Tabela1[[#This Row],[Core PCE]]="",#N/A,((Tabela1[[#This Row],[Core PCE]]*1)/W573)-1)</f>
        <v>2.0392816066530983E-2</v>
      </c>
      <c r="Z585" s="8">
        <f t="shared" si="29"/>
        <v>1.6578049577047338E-2</v>
      </c>
      <c r="AA585" s="8">
        <f t="shared" si="28"/>
        <v>2.1113386185301675E-2</v>
      </c>
      <c r="AB585" s="7">
        <v>2.16</v>
      </c>
      <c r="AC585" s="7"/>
      <c r="AD585" s="8"/>
      <c r="AE585" s="71"/>
      <c r="AF585" s="7">
        <v>2.9</v>
      </c>
      <c r="AG585" s="5"/>
    </row>
    <row r="586" spans="1:33" ht="12.75">
      <c r="A586" s="6">
        <v>34912</v>
      </c>
      <c r="B586" s="7">
        <v>152.9</v>
      </c>
      <c r="C586" s="8">
        <f>IF(Tabela1[[#This Row],[Consumer Price Index (CPI)]]="",#N/A,((Tabela1[[#This Row],[Consumer Price Index (CPI)]]*1)/B585)-1)</f>
        <v>1.9659239842726439E-3</v>
      </c>
      <c r="D586" s="8">
        <f>IF(Tabela1[[#This Row],[Consumer Price Index (CPI)]]="",#N/A,((Tabela1[[#This Row],[Consumer Price Index (CPI)]]*1)/B574)-1)</f>
        <v>2.6174496644295386E-2</v>
      </c>
      <c r="E586" s="25">
        <v>161.80000000000001</v>
      </c>
      <c r="F586" s="8">
        <f>IF(Tabela1[[#This Row],[Core Consumer Price Index]]="",#N/A,((Tabela1[[#This Row],[Core Consumer Price Index]]*1)/E585)-1)</f>
        <v>2.4783147459728205E-3</v>
      </c>
      <c r="G586" s="8">
        <f>IF(Tabela1[[#This Row],[Core Consumer Price Index]]="",#N/A,((Tabela1[[#This Row],[Core Consumer Price Index]]*1)/E574)-1)</f>
        <v>2.991725015913449E-2</v>
      </c>
      <c r="H586" s="8">
        <f t="shared" si="30"/>
        <v>2.7318489128082213E-2</v>
      </c>
      <c r="I586" s="8">
        <f t="shared" si="31"/>
        <v>2.9927327357481825E-2</v>
      </c>
      <c r="J586" s="25">
        <v>169.3</v>
      </c>
      <c r="K586" s="8">
        <f>IF(Tabela1[[#This Row],[Services CPI]]="",#N/A,((Tabela1[[#This Row],[Services CPI]]*1)/J585)-1)</f>
        <v>2.3682652457075459E-3</v>
      </c>
      <c r="L586" s="8">
        <f>IF(Tabela1[[#This Row],[Services CPI]]="",#N/A,((Tabela1[[#This Row],[Services CPI]]*1)/J574)-1)</f>
        <v>3.357753357753368E-2</v>
      </c>
      <c r="M586" s="7">
        <v>174.3</v>
      </c>
      <c r="N586" s="8">
        <f>IF(Tabela1[[#This Row],[Core-Services CPI]]="",#N/A,((Tabela1[[#This Row],[Core-Services CPI]]*1)/M585)-1)</f>
        <v>1.7241379310346527E-3</v>
      </c>
      <c r="O586" s="8">
        <f>IF(Tabela1[[#This Row],[Core-Services CPI]]="",#N/A,((Tabela1[[#This Row],[Core-Services CPI]]*1)/M574)-1)</f>
        <v>3.5650623885917998E-2</v>
      </c>
      <c r="P586" s="7">
        <v>128.19999999999999</v>
      </c>
      <c r="Q586" s="8">
        <f>IF(Tabela1[[#This Row],[Durable Goods CPI]]="",#N/A,((Tabela1[[#This Row],[Durable Goods CPI]]*1)/P585)-1)</f>
        <v>1.5624999999999112E-3</v>
      </c>
      <c r="R586" s="8">
        <f>IF(Tabela1[[#This Row],[Durable Goods CPI]]="",#N/A,((Tabela1[[#This Row],[Durable Goods CPI]]*1)/P574)-1)</f>
        <v>2.1513944223107373E-2</v>
      </c>
      <c r="S586" s="7">
        <v>3.34707431</v>
      </c>
      <c r="T586" s="7">
        <v>67.947999999999993</v>
      </c>
      <c r="U586" s="8">
        <f>IF(Tabela1[[#This Row],[Personal Consumption Expenditures (PCE)]]="",#N/A,((Tabela1[[#This Row],[Personal Consumption Expenditures (PCE)]]*1)/T585)-1)</f>
        <v>2.1533288103594561E-3</v>
      </c>
      <c r="V586" s="8">
        <f>IF(Tabela1[[#This Row],[Personal Consumption Expenditures (PCE)]]="",#N/A,((Tabela1[[#This Row],[Personal Consumption Expenditures (PCE)]]*1)/T574)-1)</f>
        <v>1.9719662634690938E-2</v>
      </c>
      <c r="W586" s="7">
        <v>69.367000000000004</v>
      </c>
      <c r="X586" s="8">
        <f>IF(Tabela1[[#This Row],[Core PCE]]="",#N/A,((Tabela1[[#This Row],[Core PCE]]*1)/W585)-1)</f>
        <v>2.3988092657623028E-3</v>
      </c>
      <c r="Y586" s="8">
        <f>IF(Tabela1[[#This Row],[Core PCE]]="",#N/A,((Tabela1[[#This Row],[Core PCE]]*1)/W574)-1)</f>
        <v>2.1695584293162762E-2</v>
      </c>
      <c r="Z586" s="8">
        <f t="shared" si="29"/>
        <v>1.9382312251357448E-2</v>
      </c>
      <c r="AA586" s="8">
        <f t="shared" si="28"/>
        <v>2.2639737831101403E-2</v>
      </c>
      <c r="AB586" s="7">
        <v>2.21</v>
      </c>
      <c r="AC586" s="7"/>
      <c r="AD586" s="8"/>
      <c r="AE586" s="71"/>
      <c r="AF586" s="7">
        <v>2.9</v>
      </c>
      <c r="AG586" s="5"/>
    </row>
    <row r="587" spans="1:33" ht="12.75">
      <c r="A587" s="6">
        <v>34943</v>
      </c>
      <c r="B587" s="7">
        <v>153.1</v>
      </c>
      <c r="C587" s="8">
        <f>IF(Tabela1[[#This Row],[Consumer Price Index (CPI)]]="",#N/A,((Tabela1[[#This Row],[Consumer Price Index (CPI)]]*1)/B586)-1)</f>
        <v>1.3080444735120711E-3</v>
      </c>
      <c r="D587" s="8">
        <f>IF(Tabela1[[#This Row],[Consumer Price Index (CPI)]]="",#N/A,((Tabela1[[#This Row],[Consumer Price Index (CPI)]]*1)/B575)-1)</f>
        <v>2.5452109845947701E-2</v>
      </c>
      <c r="E587" s="25">
        <v>162.19999999999999</v>
      </c>
      <c r="F587" s="8">
        <f>IF(Tabela1[[#This Row],[Core Consumer Price Index]]="",#N/A,((Tabela1[[#This Row],[Core Consumer Price Index]]*1)/E586)-1)</f>
        <v>2.4721878862792313E-3</v>
      </c>
      <c r="G587" s="8">
        <f>IF(Tabela1[[#This Row],[Core Consumer Price Index]]="",#N/A,((Tabela1[[#This Row],[Core Consumer Price Index]]*1)/E575)-1)</f>
        <v>2.984126984126978E-2</v>
      </c>
      <c r="H587" s="8">
        <f t="shared" si="30"/>
        <v>2.7250800100703465E-2</v>
      </c>
      <c r="I587" s="8">
        <f t="shared" si="31"/>
        <v>2.8598177408584835E-2</v>
      </c>
      <c r="J587" s="25">
        <v>169.7</v>
      </c>
      <c r="K587" s="8">
        <f>IF(Tabela1[[#This Row],[Services CPI]]="",#N/A,((Tabela1[[#This Row],[Services CPI]]*1)/J586)-1)</f>
        <v>2.3626698168930371E-3</v>
      </c>
      <c r="L587" s="8">
        <f>IF(Tabela1[[#This Row],[Services CPI]]="",#N/A,((Tabela1[[#This Row],[Services CPI]]*1)/J575)-1)</f>
        <v>3.4125533211456505E-2</v>
      </c>
      <c r="M587" s="7">
        <v>174.9</v>
      </c>
      <c r="N587" s="8">
        <f>IF(Tabela1[[#This Row],[Core-Services CPI]]="",#N/A,((Tabela1[[#This Row],[Core-Services CPI]]*1)/M586)-1)</f>
        <v>3.4423407917383297E-3</v>
      </c>
      <c r="O587" s="8">
        <f>IF(Tabela1[[#This Row],[Core-Services CPI]]="",#N/A,((Tabela1[[#This Row],[Core-Services CPI]]*1)/M575)-1)</f>
        <v>3.6751630112626055E-2</v>
      </c>
      <c r="P587" s="7">
        <v>128.30000000000001</v>
      </c>
      <c r="Q587" s="8">
        <f>IF(Tabela1[[#This Row],[Durable Goods CPI]]="",#N/A,((Tabela1[[#This Row],[Durable Goods CPI]]*1)/P586)-1)</f>
        <v>7.8003120124825465E-4</v>
      </c>
      <c r="R587" s="8">
        <f>IF(Tabela1[[#This Row],[Durable Goods CPI]]="",#N/A,((Tabela1[[#This Row],[Durable Goods CPI]]*1)/P575)-1)</f>
        <v>2.0684168655529023E-2</v>
      </c>
      <c r="S587" s="7">
        <v>3.402097044</v>
      </c>
      <c r="T587" s="7">
        <v>67.995000000000005</v>
      </c>
      <c r="U587" s="8">
        <f>IF(Tabela1[[#This Row],[Personal Consumption Expenditures (PCE)]]="",#N/A,((Tabela1[[#This Row],[Personal Consumption Expenditures (PCE)]]*1)/T586)-1)</f>
        <v>6.9170542179319838E-4</v>
      </c>
      <c r="V587" s="8">
        <f>IF(Tabela1[[#This Row],[Personal Consumption Expenditures (PCE)]]="",#N/A,((Tabela1[[#This Row],[Personal Consumption Expenditures (PCE)]]*1)/T575)-1)</f>
        <v>1.929303831624396E-2</v>
      </c>
      <c r="W587" s="7">
        <v>69.457999999999998</v>
      </c>
      <c r="X587" s="8">
        <f>IF(Tabela1[[#This Row],[Core PCE]]="",#N/A,((Tabela1[[#This Row],[Core PCE]]*1)/W586)-1)</f>
        <v>1.3118629896058387E-3</v>
      </c>
      <c r="Y587" s="8">
        <f>IF(Tabela1[[#This Row],[Core PCE]]="",#N/A,((Tabela1[[#This Row],[Core PCE]]*1)/W575)-1)</f>
        <v>2.1486242040090087E-2</v>
      </c>
      <c r="Z587" s="8">
        <f t="shared" si="29"/>
        <v>2.1153115698945513E-2</v>
      </c>
      <c r="AA587" s="8">
        <f t="shared" si="28"/>
        <v>2.036457626602628E-2</v>
      </c>
      <c r="AB587" s="7">
        <v>2.23</v>
      </c>
      <c r="AC587" s="7"/>
      <c r="AD587" s="8"/>
      <c r="AE587" s="71"/>
      <c r="AF587" s="7">
        <v>2.8</v>
      </c>
      <c r="AG587" s="5"/>
    </row>
    <row r="588" spans="1:33" ht="12.75">
      <c r="A588" s="6">
        <v>34973</v>
      </c>
      <c r="B588" s="7">
        <v>153.5</v>
      </c>
      <c r="C588" s="8">
        <f>IF(Tabela1[[#This Row],[Consumer Price Index (CPI)]]="",#N/A,((Tabela1[[#This Row],[Consumer Price Index (CPI)]]*1)/B587)-1)</f>
        <v>2.6126714565644082E-3</v>
      </c>
      <c r="D588" s="8">
        <f>IF(Tabela1[[#This Row],[Consumer Price Index (CPI)]]="",#N/A,((Tabela1[[#This Row],[Consumer Price Index (CPI)]]*1)/B576)-1)</f>
        <v>2.7443105756358666E-2</v>
      </c>
      <c r="E588" s="25">
        <v>162.69999999999999</v>
      </c>
      <c r="F588" s="8">
        <f>IF(Tabela1[[#This Row],[Core Consumer Price Index]]="",#N/A,((Tabela1[[#This Row],[Core Consumer Price Index]]*1)/E587)-1)</f>
        <v>3.0826140567201676E-3</v>
      </c>
      <c r="G588" s="8">
        <f>IF(Tabela1[[#This Row],[Core Consumer Price Index]]="",#N/A,((Tabela1[[#This Row],[Core Consumer Price Index]]*1)/E576)-1)</f>
        <v>3.1051964512040398E-2</v>
      </c>
      <c r="H588" s="8">
        <f t="shared" si="30"/>
        <v>3.2132466755888878E-2</v>
      </c>
      <c r="I588" s="8">
        <f t="shared" si="31"/>
        <v>2.8509496829092207E-2</v>
      </c>
      <c r="J588" s="25">
        <v>170.3</v>
      </c>
      <c r="K588" s="8">
        <f>IF(Tabela1[[#This Row],[Services CPI]]="",#N/A,((Tabela1[[#This Row],[Services CPI]]*1)/J587)-1)</f>
        <v>3.535651149086716E-3</v>
      </c>
      <c r="L588" s="8">
        <f>IF(Tabela1[[#This Row],[Services CPI]]="",#N/A,((Tabela1[[#This Row],[Services CPI]]*1)/J576)-1)</f>
        <v>3.5258358662614064E-2</v>
      </c>
      <c r="M588" s="7">
        <v>175.5</v>
      </c>
      <c r="N588" s="8">
        <f>IF(Tabela1[[#This Row],[Core-Services CPI]]="",#N/A,((Tabela1[[#This Row],[Core-Services CPI]]*1)/M587)-1)</f>
        <v>3.4305317324185847E-3</v>
      </c>
      <c r="O588" s="8">
        <f>IF(Tabela1[[#This Row],[Core-Services CPI]]="",#N/A,((Tabela1[[#This Row],[Core-Services CPI]]*1)/M576)-1)</f>
        <v>3.7234042553191626E-2</v>
      </c>
      <c r="P588" s="7">
        <v>128.4</v>
      </c>
      <c r="Q588" s="8">
        <f>IF(Tabela1[[#This Row],[Durable Goods CPI]]="",#N/A,((Tabela1[[#This Row],[Durable Goods CPI]]*1)/P587)-1)</f>
        <v>7.7942322681212595E-4</v>
      </c>
      <c r="R588" s="8">
        <f>IF(Tabela1[[#This Row],[Durable Goods CPI]]="",#N/A,((Tabela1[[#This Row],[Durable Goods CPI]]*1)/P576)-1)</f>
        <v>1.9857029388403502E-2</v>
      </c>
      <c r="S588" s="7">
        <v>3.2555600490000001</v>
      </c>
      <c r="T588" s="7">
        <v>68.171000000000006</v>
      </c>
      <c r="U588" s="8">
        <f>IF(Tabela1[[#This Row],[Personal Consumption Expenditures (PCE)]]="",#N/A,((Tabela1[[#This Row],[Personal Consumption Expenditures (PCE)]]*1)/T587)-1)</f>
        <v>2.5884256195307653E-3</v>
      </c>
      <c r="V588" s="8">
        <f>IF(Tabela1[[#This Row],[Personal Consumption Expenditures (PCE)]]="",#N/A,((Tabela1[[#This Row],[Personal Consumption Expenditures (PCE)]]*1)/T576)-1)</f>
        <v>2.0203229523652944E-2</v>
      </c>
      <c r="W588" s="7">
        <v>69.626999999999995</v>
      </c>
      <c r="X588" s="8">
        <f>IF(Tabela1[[#This Row],[Core PCE]]="",#N/A,((Tabela1[[#This Row],[Core PCE]]*1)/W587)-1)</f>
        <v>2.4331250539895155E-3</v>
      </c>
      <c r="Y588" s="8">
        <f>IF(Tabela1[[#This Row],[Core PCE]]="",#N/A,((Tabela1[[#This Row],[Core PCE]]*1)/W576)-1)</f>
        <v>2.156785069765399E-2</v>
      </c>
      <c r="Z588" s="8">
        <f t="shared" si="29"/>
        <v>2.4575189237430628E-2</v>
      </c>
      <c r="AA588" s="8">
        <f t="shared" si="28"/>
        <v>2.0576619407238983E-2</v>
      </c>
      <c r="AB588" s="7">
        <v>2.3199999999999998</v>
      </c>
      <c r="AC588" s="7"/>
      <c r="AD588" s="8"/>
      <c r="AE588" s="71"/>
      <c r="AF588" s="7">
        <v>2.9</v>
      </c>
      <c r="AG588" s="5"/>
    </row>
    <row r="589" spans="1:33" ht="12.75">
      <c r="A589" s="6">
        <v>35004</v>
      </c>
      <c r="B589" s="7">
        <v>153.69999999999999</v>
      </c>
      <c r="C589" s="8">
        <f>IF(Tabela1[[#This Row],[Consumer Price Index (CPI)]]="",#N/A,((Tabela1[[#This Row],[Consumer Price Index (CPI)]]*1)/B588)-1)</f>
        <v>1.3029315960910726E-3</v>
      </c>
      <c r="D589" s="8">
        <f>IF(Tabela1[[#This Row],[Consumer Price Index (CPI)]]="",#N/A,((Tabela1[[#This Row],[Consumer Price Index (CPI)]]*1)/B577)-1)</f>
        <v>2.6034712950600669E-2</v>
      </c>
      <c r="E589" s="25">
        <v>163</v>
      </c>
      <c r="F589" s="8">
        <f>IF(Tabela1[[#This Row],[Core Consumer Price Index]]="",#N/A,((Tabela1[[#This Row],[Core Consumer Price Index]]*1)/E588)-1)</f>
        <v>1.8438844499077955E-3</v>
      </c>
      <c r="G589" s="8">
        <f>IF(Tabela1[[#This Row],[Core Consumer Price Index]]="",#N/A,((Tabela1[[#This Row],[Core Consumer Price Index]]*1)/E577)-1)</f>
        <v>3.0341340075853429E-2</v>
      </c>
      <c r="H589" s="8">
        <f t="shared" si="30"/>
        <v>2.9594745571628778E-2</v>
      </c>
      <c r="I589" s="8">
        <f t="shared" si="31"/>
        <v>2.8456617349855495E-2</v>
      </c>
      <c r="J589" s="25">
        <v>170.7</v>
      </c>
      <c r="K589" s="8">
        <f>IF(Tabela1[[#This Row],[Services CPI]]="",#N/A,((Tabela1[[#This Row],[Services CPI]]*1)/J588)-1)</f>
        <v>2.3487962419259656E-3</v>
      </c>
      <c r="L589" s="8">
        <f>IF(Tabela1[[#This Row],[Services CPI]]="",#N/A,((Tabela1[[#This Row],[Services CPI]]*1)/J577)-1)</f>
        <v>3.4545454545454435E-2</v>
      </c>
      <c r="M589" s="7">
        <v>175.9</v>
      </c>
      <c r="N589" s="8">
        <f>IF(Tabela1[[#This Row],[Core-Services CPI]]="",#N/A,((Tabela1[[#This Row],[Core-Services CPI]]*1)/M588)-1)</f>
        <v>2.2792022792024191E-3</v>
      </c>
      <c r="O589" s="8">
        <f>IF(Tabela1[[#This Row],[Core-Services CPI]]="",#N/A,((Tabela1[[#This Row],[Core-Services CPI]]*1)/M577)-1)</f>
        <v>3.6535061873895103E-2</v>
      </c>
      <c r="P589" s="7">
        <v>128.6</v>
      </c>
      <c r="Q589" s="8">
        <f>IF(Tabela1[[#This Row],[Durable Goods CPI]]="",#N/A,((Tabela1[[#This Row],[Durable Goods CPI]]*1)/P588)-1)</f>
        <v>1.5576323987538387E-3</v>
      </c>
      <c r="R589" s="8">
        <f>IF(Tabela1[[#This Row],[Durable Goods CPI]]="",#N/A,((Tabela1[[#This Row],[Durable Goods CPI]]*1)/P577)-1)</f>
        <v>1.8210609659540689E-2</v>
      </c>
      <c r="S589" s="7">
        <v>3.3682078089999998</v>
      </c>
      <c r="T589" s="7">
        <v>68.168999999999997</v>
      </c>
      <c r="U589" s="8">
        <f>IF(Tabela1[[#This Row],[Personal Consumption Expenditures (PCE)]]="",#N/A,((Tabela1[[#This Row],[Personal Consumption Expenditures (PCE)]]*1)/T588)-1)</f>
        <v>-2.9337988294297901E-5</v>
      </c>
      <c r="V589" s="8">
        <f>IF(Tabela1[[#This Row],[Personal Consumption Expenditures (PCE)]]="",#N/A,((Tabela1[[#This Row],[Personal Consumption Expenditures (PCE)]]*1)/T577)-1)</f>
        <v>1.8238035490231175E-2</v>
      </c>
      <c r="W589" s="7">
        <v>69.671999999999997</v>
      </c>
      <c r="X589" s="8">
        <f>IF(Tabela1[[#This Row],[Core PCE]]="",#N/A,((Tabela1[[#This Row],[Core PCE]]*1)/W588)-1)</f>
        <v>6.463010039208239E-4</v>
      </c>
      <c r="Y589" s="8">
        <f>IF(Tabela1[[#This Row],[Core PCE]]="",#N/A,((Tabela1[[#This Row],[Core PCE]]*1)/W577)-1)</f>
        <v>2.0356755806801186E-2</v>
      </c>
      <c r="Z589" s="8">
        <f t="shared" si="29"/>
        <v>1.7565156190064712E-2</v>
      </c>
      <c r="AA589" s="8">
        <f t="shared" si="28"/>
        <v>1.847373422071108E-2</v>
      </c>
      <c r="AB589" s="7">
        <v>2.27</v>
      </c>
      <c r="AC589" s="7"/>
      <c r="AD589" s="8"/>
      <c r="AE589" s="71"/>
      <c r="AF589" s="7">
        <v>2.8</v>
      </c>
      <c r="AG589" s="5"/>
    </row>
    <row r="590" spans="1:33" ht="12.75">
      <c r="A590" s="6">
        <v>35034</v>
      </c>
      <c r="B590" s="7">
        <v>153.9</v>
      </c>
      <c r="C590" s="8">
        <f>IF(Tabela1[[#This Row],[Consumer Price Index (CPI)]]="",#N/A,((Tabela1[[#This Row],[Consumer Price Index (CPI)]]*1)/B589)-1)</f>
        <v>1.3012361743658385E-3</v>
      </c>
      <c r="D590" s="8">
        <f>IF(Tabela1[[#This Row],[Consumer Price Index (CPI)]]="",#N/A,((Tabela1[[#This Row],[Consumer Price Index (CPI)]]*1)/B578)-1)</f>
        <v>2.5316455696202667E-2</v>
      </c>
      <c r="E590" s="25">
        <v>163.1</v>
      </c>
      <c r="F590" s="8">
        <f>IF(Tabela1[[#This Row],[Core Consumer Price Index]]="",#N/A,((Tabela1[[#This Row],[Core Consumer Price Index]]*1)/E589)-1)</f>
        <v>6.1349693251533388E-4</v>
      </c>
      <c r="G590" s="8">
        <f>IF(Tabela1[[#This Row],[Core Consumer Price Index]]="",#N/A,((Tabela1[[#This Row],[Core Consumer Price Index]]*1)/E578)-1)</f>
        <v>3.0322173089071258E-2</v>
      </c>
      <c r="H590" s="8">
        <f t="shared" si="30"/>
        <v>2.2159981756573188E-2</v>
      </c>
      <c r="I590" s="8">
        <f t="shared" si="31"/>
        <v>2.4705390928638327E-2</v>
      </c>
      <c r="J590" s="25">
        <v>170.9</v>
      </c>
      <c r="K590" s="8">
        <f>IF(Tabela1[[#This Row],[Services CPI]]="",#N/A,((Tabela1[[#This Row],[Services CPI]]*1)/J589)-1)</f>
        <v>1.1716461628588082E-3</v>
      </c>
      <c r="L590" s="8">
        <f>IF(Tabela1[[#This Row],[Services CPI]]="",#N/A,((Tabela1[[#This Row],[Services CPI]]*1)/J578)-1)</f>
        <v>3.4503631961259273E-2</v>
      </c>
      <c r="M590" s="7">
        <v>176.1</v>
      </c>
      <c r="N590" s="8">
        <f>IF(Tabela1[[#This Row],[Core-Services CPI]]="",#N/A,((Tabela1[[#This Row],[Core-Services CPI]]*1)/M589)-1)</f>
        <v>1.1370096645821892E-3</v>
      </c>
      <c r="O590" s="8">
        <f>IF(Tabela1[[#This Row],[Core-Services CPI]]="",#N/A,((Tabela1[[#This Row],[Core-Services CPI]]*1)/M578)-1)</f>
        <v>3.5882352941176476E-2</v>
      </c>
      <c r="P590" s="7">
        <v>128.69999999999999</v>
      </c>
      <c r="Q590" s="8">
        <f>IF(Tabela1[[#This Row],[Durable Goods CPI]]="",#N/A,((Tabela1[[#This Row],[Durable Goods CPI]]*1)/P589)-1)</f>
        <v>7.7760497667189732E-4</v>
      </c>
      <c r="R590" s="8">
        <f>IF(Tabela1[[#This Row],[Durable Goods CPI]]="",#N/A,((Tabela1[[#This Row],[Durable Goods CPI]]*1)/P578)-1)</f>
        <v>1.6587677725118377E-2</v>
      </c>
      <c r="S590" s="7">
        <v>3.4792874660000002</v>
      </c>
      <c r="T590" s="7">
        <v>68.3</v>
      </c>
      <c r="U590" s="8">
        <f>IF(Tabela1[[#This Row],[Personal Consumption Expenditures (PCE)]]="",#N/A,((Tabela1[[#This Row],[Personal Consumption Expenditures (PCE)]]*1)/T589)-1)</f>
        <v>1.9216946119204881E-3</v>
      </c>
      <c r="V590" s="8">
        <f>IF(Tabela1[[#This Row],[Personal Consumption Expenditures (PCE)]]="",#N/A,((Tabela1[[#This Row],[Personal Consumption Expenditures (PCE)]]*1)/T578)-1)</f>
        <v>1.9539938200653806E-2</v>
      </c>
      <c r="W590" s="7">
        <v>69.77</v>
      </c>
      <c r="X590" s="8">
        <f>IF(Tabela1[[#This Row],[Core PCE]]="",#N/A,((Tabela1[[#This Row],[Core PCE]]*1)/W589)-1)</f>
        <v>1.4065908829945517E-3</v>
      </c>
      <c r="Y590" s="8">
        <f>IF(Tabela1[[#This Row],[Core PCE]]="",#N/A,((Tabela1[[#This Row],[Core PCE]]*1)/W578)-1)</f>
        <v>2.1447917429177732E-2</v>
      </c>
      <c r="Z590" s="8">
        <f t="shared" si="29"/>
        <v>1.7944067763619564E-2</v>
      </c>
      <c r="AA590" s="8">
        <f t="shared" si="28"/>
        <v>1.9548591731282539E-2</v>
      </c>
      <c r="AB590" s="7">
        <v>2.31</v>
      </c>
      <c r="AC590" s="7"/>
      <c r="AD590" s="8"/>
      <c r="AE590" s="71"/>
      <c r="AF590" s="7">
        <v>2.7</v>
      </c>
      <c r="AG590" s="5"/>
    </row>
    <row r="591" spans="1:33" ht="12.75">
      <c r="A591" s="6">
        <v>35065</v>
      </c>
      <c r="B591" s="7">
        <v>154.69999999999999</v>
      </c>
      <c r="C591" s="8">
        <f>IF(Tabela1[[#This Row],[Consumer Price Index (CPI)]]="",#N/A,((Tabela1[[#This Row],[Consumer Price Index (CPI)]]*1)/B590)-1)</f>
        <v>5.1981806367771277E-3</v>
      </c>
      <c r="D591" s="8">
        <f>IF(Tabela1[[#This Row],[Consumer Price Index (CPI)]]="",#N/A,((Tabela1[[#This Row],[Consumer Price Index (CPI)]]*1)/B579)-1)</f>
        <v>2.7906976744185963E-2</v>
      </c>
      <c r="E591" s="25">
        <v>163.69999999999999</v>
      </c>
      <c r="F591" s="8">
        <f>IF(Tabela1[[#This Row],[Core Consumer Price Index]]="",#N/A,((Tabela1[[#This Row],[Core Consumer Price Index]]*1)/E590)-1)</f>
        <v>3.6787247087675112E-3</v>
      </c>
      <c r="G591" s="8">
        <f>IF(Tabela1[[#This Row],[Core Consumer Price Index]]="",#N/A,((Tabela1[[#This Row],[Core Consumer Price Index]]*1)/E579)-1)</f>
        <v>2.9559748427672838E-2</v>
      </c>
      <c r="H591" s="8">
        <f t="shared" si="30"/>
        <v>2.4544424364762563E-2</v>
      </c>
      <c r="I591" s="8">
        <f t="shared" si="31"/>
        <v>2.833844556032572E-2</v>
      </c>
      <c r="J591" s="25">
        <v>171.5</v>
      </c>
      <c r="K591" s="8">
        <f>IF(Tabela1[[#This Row],[Services CPI]]="",#N/A,((Tabela1[[#This Row],[Services CPI]]*1)/J590)-1)</f>
        <v>3.510825043885335E-3</v>
      </c>
      <c r="L591" s="8">
        <f>IF(Tabela1[[#This Row],[Services CPI]]="",#N/A,((Tabela1[[#This Row],[Services CPI]]*1)/J579)-1)</f>
        <v>3.3132530120481896E-2</v>
      </c>
      <c r="M591" s="7">
        <v>176.7</v>
      </c>
      <c r="N591" s="8">
        <f>IF(Tabela1[[#This Row],[Core-Services CPI]]="",#N/A,((Tabela1[[#This Row],[Core-Services CPI]]*1)/M590)-1)</f>
        <v>3.4071550255536653E-3</v>
      </c>
      <c r="O591" s="8">
        <f>IF(Tabela1[[#This Row],[Core-Services CPI]]="",#N/A,((Tabela1[[#This Row],[Core-Services CPI]]*1)/M579)-1)</f>
        <v>3.4543325526931845E-2</v>
      </c>
      <c r="P591" s="7">
        <v>129</v>
      </c>
      <c r="Q591" s="8">
        <f>IF(Tabela1[[#This Row],[Durable Goods CPI]]="",#N/A,((Tabela1[[#This Row],[Durable Goods CPI]]*1)/P590)-1)</f>
        <v>2.3310023310023631E-3</v>
      </c>
      <c r="R591" s="8">
        <f>IF(Tabela1[[#This Row],[Durable Goods CPI]]="",#N/A,((Tabela1[[#This Row],[Durable Goods CPI]]*1)/P579)-1)</f>
        <v>1.6548463356973908E-2</v>
      </c>
      <c r="S591" s="7">
        <v>3.394879542</v>
      </c>
      <c r="T591" s="7">
        <v>68.451999999999998</v>
      </c>
      <c r="U591" s="8">
        <f>IF(Tabela1[[#This Row],[Personal Consumption Expenditures (PCE)]]="",#N/A,((Tabela1[[#This Row],[Personal Consumption Expenditures (PCE)]]*1)/T590)-1)</f>
        <v>2.2254758418740472E-3</v>
      </c>
      <c r="V591" s="8">
        <f>IF(Tabela1[[#This Row],[Personal Consumption Expenditures (PCE)]]="",#N/A,((Tabela1[[#This Row],[Personal Consumption Expenditures (PCE)]]*1)/T579)-1)</f>
        <v>1.9738704247173278E-2</v>
      </c>
      <c r="W591" s="7">
        <v>69.849000000000004</v>
      </c>
      <c r="X591" s="8">
        <f>IF(Tabela1[[#This Row],[Core PCE]]="",#N/A,((Tabela1[[#This Row],[Core PCE]]*1)/W590)-1)</f>
        <v>1.1322918159668571E-3</v>
      </c>
      <c r="Y591" s="8">
        <f>IF(Tabela1[[#This Row],[Core PCE]]="",#N/A,((Tabela1[[#This Row],[Core PCE]]*1)/W579)-1)</f>
        <v>2.0065717415115092E-2</v>
      </c>
      <c r="Z591" s="8">
        <f t="shared" si="29"/>
        <v>1.2740734811528931E-2</v>
      </c>
      <c r="AA591" s="8">
        <f t="shared" si="28"/>
        <v>1.8657962024479779E-2</v>
      </c>
      <c r="AB591" s="7">
        <v>2.25</v>
      </c>
      <c r="AC591" s="7"/>
      <c r="AD591" s="8"/>
      <c r="AE591" s="71"/>
      <c r="AF591" s="7">
        <v>2.8</v>
      </c>
      <c r="AG591" s="5"/>
    </row>
    <row r="592" spans="1:33" ht="12.75">
      <c r="A592" s="6">
        <v>35096</v>
      </c>
      <c r="B592" s="7">
        <v>155</v>
      </c>
      <c r="C592" s="8">
        <f>IF(Tabela1[[#This Row],[Consumer Price Index (CPI)]]="",#N/A,((Tabela1[[#This Row],[Consumer Price Index (CPI)]]*1)/B591)-1)</f>
        <v>1.9392372333548735E-3</v>
      </c>
      <c r="D592" s="8">
        <f>IF(Tabela1[[#This Row],[Consumer Price Index (CPI)]]="",#N/A,((Tabela1[[#This Row],[Consumer Price Index (CPI)]]*1)/B580)-1)</f>
        <v>2.7170311464546071E-2</v>
      </c>
      <c r="E592" s="25">
        <v>164</v>
      </c>
      <c r="F592" s="8">
        <f>IF(Tabela1[[#This Row],[Core Consumer Price Index]]="",#N/A,((Tabela1[[#This Row],[Core Consumer Price Index]]*1)/E591)-1)</f>
        <v>1.8326206475260953E-3</v>
      </c>
      <c r="G592" s="8">
        <f>IF(Tabela1[[#This Row],[Core Consumer Price Index]]="",#N/A,((Tabela1[[#This Row],[Core Consumer Price Index]]*1)/E580)-1)</f>
        <v>2.8858218318695172E-2</v>
      </c>
      <c r="H592" s="8">
        <f t="shared" si="30"/>
        <v>2.4499369155235762E-2</v>
      </c>
      <c r="I592" s="8">
        <f t="shared" si="31"/>
        <v>2.704705736343227E-2</v>
      </c>
      <c r="J592" s="25">
        <v>172</v>
      </c>
      <c r="K592" s="8">
        <f>IF(Tabela1[[#This Row],[Services CPI]]="",#N/A,((Tabela1[[#This Row],[Services CPI]]*1)/J591)-1)</f>
        <v>2.9154518950438302E-3</v>
      </c>
      <c r="L592" s="8">
        <f>IF(Tabela1[[#This Row],[Services CPI]]="",#N/A,((Tabela1[[#This Row],[Services CPI]]*1)/J580)-1)</f>
        <v>3.3033033033033066E-2</v>
      </c>
      <c r="M592" s="7">
        <v>177.3</v>
      </c>
      <c r="N592" s="8">
        <f>IF(Tabela1[[#This Row],[Core-Services CPI]]="",#N/A,((Tabela1[[#This Row],[Core-Services CPI]]*1)/M591)-1)</f>
        <v>3.3955857385399302E-3</v>
      </c>
      <c r="O592" s="8">
        <f>IF(Tabela1[[#This Row],[Core-Services CPI]]="",#N/A,((Tabela1[[#This Row],[Core-Services CPI]]*1)/M580)-1)</f>
        <v>3.5026269702276736E-2</v>
      </c>
      <c r="P592" s="7">
        <v>129.1</v>
      </c>
      <c r="Q592" s="8">
        <f>IF(Tabela1[[#This Row],[Durable Goods CPI]]="",#N/A,((Tabela1[[#This Row],[Durable Goods CPI]]*1)/P591)-1)</f>
        <v>7.7519379844948055E-4</v>
      </c>
      <c r="R592" s="8">
        <f>IF(Tabela1[[#This Row],[Durable Goods CPI]]="",#N/A,((Tabela1[[#This Row],[Durable Goods CPI]]*1)/P580)-1)</f>
        <v>1.3343799058084693E-2</v>
      </c>
      <c r="S592" s="7">
        <v>3.397750888</v>
      </c>
      <c r="T592" s="7">
        <v>68.56</v>
      </c>
      <c r="U592" s="8">
        <f>IF(Tabela1[[#This Row],[Personal Consumption Expenditures (PCE)]]="",#N/A,((Tabela1[[#This Row],[Personal Consumption Expenditures (PCE)]]*1)/T591)-1)</f>
        <v>1.5777479109448933E-3</v>
      </c>
      <c r="V592" s="8">
        <f>IF(Tabela1[[#This Row],[Personal Consumption Expenditures (PCE)]]="",#N/A,((Tabela1[[#This Row],[Personal Consumption Expenditures (PCE)]]*1)/T580)-1)</f>
        <v>1.9540195699372598E-2</v>
      </c>
      <c r="W592" s="7">
        <v>69.94</v>
      </c>
      <c r="X592" s="8">
        <f>IF(Tabela1[[#This Row],[Core PCE]]="",#N/A,((Tabela1[[#This Row],[Core PCE]]*1)/W591)-1)</f>
        <v>1.3028103480363651E-3</v>
      </c>
      <c r="Y592" s="8">
        <f>IF(Tabela1[[#This Row],[Core PCE]]="",#N/A,((Tabela1[[#This Row],[Core PCE]]*1)/W580)-1)</f>
        <v>1.9726770379226322E-2</v>
      </c>
      <c r="Z592" s="8">
        <f t="shared" si="29"/>
        <v>1.5366772187991096E-2</v>
      </c>
      <c r="AA592" s="8">
        <f t="shared" si="28"/>
        <v>1.6465964189027904E-2</v>
      </c>
      <c r="AB592" s="7">
        <v>2.25</v>
      </c>
      <c r="AC592" s="7"/>
      <c r="AD592" s="8"/>
      <c r="AE592" s="71"/>
      <c r="AF592" s="7">
        <v>2.8</v>
      </c>
      <c r="AG592" s="5"/>
    </row>
    <row r="593" spans="1:33" ht="12.75">
      <c r="A593" s="6">
        <v>35125</v>
      </c>
      <c r="B593" s="7">
        <v>155.5</v>
      </c>
      <c r="C593" s="8">
        <f>IF(Tabela1[[#This Row],[Consumer Price Index (CPI)]]="",#N/A,((Tabela1[[#This Row],[Consumer Price Index (CPI)]]*1)/B592)-1)</f>
        <v>3.225806451612856E-3</v>
      </c>
      <c r="D593" s="8">
        <f>IF(Tabela1[[#This Row],[Consumer Price Index (CPI)]]="",#N/A,((Tabela1[[#This Row],[Consumer Price Index (CPI)]]*1)/B581)-1)</f>
        <v>2.8439153439153486E-2</v>
      </c>
      <c r="E593" s="25">
        <v>164.4</v>
      </c>
      <c r="F593" s="8">
        <f>IF(Tabela1[[#This Row],[Core Consumer Price Index]]="",#N/A,((Tabela1[[#This Row],[Core Consumer Price Index]]*1)/E592)-1)</f>
        <v>2.4390243902439046E-3</v>
      </c>
      <c r="G593" s="8">
        <f>IF(Tabela1[[#This Row],[Core Consumer Price Index]]="",#N/A,((Tabela1[[#This Row],[Core Consumer Price Index]]*1)/E581)-1)</f>
        <v>2.814258911819878E-2</v>
      </c>
      <c r="H593" s="8">
        <f t="shared" si="30"/>
        <v>3.1801478986150045E-2</v>
      </c>
      <c r="I593" s="8">
        <f t="shared" si="31"/>
        <v>2.6980730371361616E-2</v>
      </c>
      <c r="J593" s="25">
        <v>172.4</v>
      </c>
      <c r="K593" s="8">
        <f>IF(Tabela1[[#This Row],[Services CPI]]="",#N/A,((Tabela1[[#This Row],[Services CPI]]*1)/J592)-1)</f>
        <v>2.3255813953488857E-3</v>
      </c>
      <c r="L593" s="8">
        <f>IF(Tabela1[[#This Row],[Services CPI]]="",#N/A,((Tabela1[[#This Row],[Services CPI]]*1)/J581)-1)</f>
        <v>3.1717534410532711E-2</v>
      </c>
      <c r="M593" s="7">
        <v>177.7</v>
      </c>
      <c r="N593" s="8">
        <f>IF(Tabela1[[#This Row],[Core-Services CPI]]="",#N/A,((Tabela1[[#This Row],[Core-Services CPI]]*1)/M592)-1)</f>
        <v>2.2560631697685629E-3</v>
      </c>
      <c r="O593" s="8">
        <f>IF(Tabela1[[#This Row],[Core-Services CPI]]="",#N/A,((Tabela1[[#This Row],[Core-Services CPI]]*1)/M581)-1)</f>
        <v>3.31395348837209E-2</v>
      </c>
      <c r="P593" s="7">
        <v>129.30000000000001</v>
      </c>
      <c r="Q593" s="8">
        <f>IF(Tabela1[[#This Row],[Durable Goods CPI]]="",#N/A,((Tabela1[[#This Row],[Durable Goods CPI]]*1)/P592)-1)</f>
        <v>1.5491866769947737E-3</v>
      </c>
      <c r="R593" s="8">
        <f>IF(Tabela1[[#This Row],[Durable Goods CPI]]="",#N/A,((Tabela1[[#This Row],[Durable Goods CPI]]*1)/P581)-1)</f>
        <v>1.3322884012539227E-2</v>
      </c>
      <c r="S593" s="7">
        <v>3.2942967049999998</v>
      </c>
      <c r="T593" s="7">
        <v>68.766999999999996</v>
      </c>
      <c r="U593" s="8">
        <f>IF(Tabela1[[#This Row],[Personal Consumption Expenditures (PCE)]]="",#N/A,((Tabela1[[#This Row],[Personal Consumption Expenditures (PCE)]]*1)/T592)-1)</f>
        <v>3.019253208867978E-3</v>
      </c>
      <c r="V593" s="8">
        <f>IF(Tabela1[[#This Row],[Personal Consumption Expenditures (PCE)]]="",#N/A,((Tabela1[[#This Row],[Personal Consumption Expenditures (PCE)]]*1)/T581)-1)</f>
        <v>2.0736232744544836E-2</v>
      </c>
      <c r="W593" s="7">
        <v>70.102000000000004</v>
      </c>
      <c r="X593" s="8">
        <f>IF(Tabela1[[#This Row],[Core PCE]]="",#N/A,((Tabela1[[#This Row],[Core PCE]]*1)/W592)-1)</f>
        <v>2.3162710895052729E-3</v>
      </c>
      <c r="Y593" s="8">
        <f>IF(Tabela1[[#This Row],[Core PCE]]="",#N/A,((Tabela1[[#This Row],[Core PCE]]*1)/W581)-1)</f>
        <v>1.9591302450731041E-2</v>
      </c>
      <c r="Z593" s="8">
        <f t="shared" si="29"/>
        <v>1.9005493014033981E-2</v>
      </c>
      <c r="AA593" s="8">
        <f t="shared" si="28"/>
        <v>1.8474780388826773E-2</v>
      </c>
      <c r="AB593" s="7">
        <v>2.2599999999999998</v>
      </c>
      <c r="AC593" s="7"/>
      <c r="AD593" s="8"/>
      <c r="AE593" s="71"/>
      <c r="AF593" s="7">
        <v>2.9</v>
      </c>
      <c r="AG593" s="5"/>
    </row>
    <row r="594" spans="1:33" ht="12.75">
      <c r="A594" s="6">
        <v>35156</v>
      </c>
      <c r="B594" s="7">
        <v>156.1</v>
      </c>
      <c r="C594" s="8">
        <f>IF(Tabela1[[#This Row],[Consumer Price Index (CPI)]]="",#N/A,((Tabela1[[#This Row],[Consumer Price Index (CPI)]]*1)/B593)-1)</f>
        <v>3.8585209003214604E-3</v>
      </c>
      <c r="D594" s="8">
        <f>IF(Tabela1[[#This Row],[Consumer Price Index (CPI)]]="",#N/A,((Tabela1[[#This Row],[Consumer Price Index (CPI)]]*1)/B582)-1)</f>
        <v>2.832674571805005E-2</v>
      </c>
      <c r="E594" s="25">
        <v>164.6</v>
      </c>
      <c r="F594" s="8">
        <f>IF(Tabela1[[#This Row],[Core Consumer Price Index]]="",#N/A,((Tabela1[[#This Row],[Core Consumer Price Index]]*1)/E593)-1)</f>
        <v>1.2165450121652821E-3</v>
      </c>
      <c r="G594" s="8">
        <f>IF(Tabela1[[#This Row],[Core Consumer Price Index]]="",#N/A,((Tabela1[[#This Row],[Core Consumer Price Index]]*1)/E582)-1)</f>
        <v>2.6184538653366562E-2</v>
      </c>
      <c r="H594" s="8">
        <f t="shared" si="30"/>
        <v>2.1952760199741128E-2</v>
      </c>
      <c r="I594" s="8">
        <f t="shared" si="31"/>
        <v>2.3248592282251845E-2</v>
      </c>
      <c r="J594" s="25">
        <v>172.8</v>
      </c>
      <c r="K594" s="8">
        <f>IF(Tabela1[[#This Row],[Services CPI]]="",#N/A,((Tabela1[[#This Row],[Services CPI]]*1)/J593)-1)</f>
        <v>2.3201856148491462E-3</v>
      </c>
      <c r="L594" s="8">
        <f>IF(Tabela1[[#This Row],[Services CPI]]="",#N/A,((Tabela1[[#This Row],[Services CPI]]*1)/J582)-1)</f>
        <v>3.0411449016100267E-2</v>
      </c>
      <c r="M594" s="7">
        <v>178</v>
      </c>
      <c r="N594" s="8">
        <f>IF(Tabela1[[#This Row],[Core-Services CPI]]="",#N/A,((Tabela1[[#This Row],[Core-Services CPI]]*1)/M593)-1)</f>
        <v>1.6882386043894915E-3</v>
      </c>
      <c r="O594" s="8">
        <f>IF(Tabela1[[#This Row],[Core-Services CPI]]="",#N/A,((Tabela1[[#This Row],[Core-Services CPI]]*1)/M582)-1)</f>
        <v>3.1286210892236488E-2</v>
      </c>
      <c r="P594" s="7">
        <v>129.19999999999999</v>
      </c>
      <c r="Q594" s="8">
        <f>IF(Tabela1[[#This Row],[Durable Goods CPI]]="",#N/A,((Tabela1[[#This Row],[Durable Goods CPI]]*1)/P593)-1)</f>
        <v>-7.7339520494990044E-4</v>
      </c>
      <c r="R594" s="8">
        <f>IF(Tabela1[[#This Row],[Durable Goods CPI]]="",#N/A,((Tabela1[[#This Row],[Durable Goods CPI]]*1)/P582)-1)</f>
        <v>1.0164190774042181E-2</v>
      </c>
      <c r="S594" s="7">
        <v>3.278044833</v>
      </c>
      <c r="T594" s="7">
        <v>68.972999999999999</v>
      </c>
      <c r="U594" s="8">
        <f>IF(Tabela1[[#This Row],[Personal Consumption Expenditures (PCE)]]="",#N/A,((Tabela1[[#This Row],[Personal Consumption Expenditures (PCE)]]*1)/T593)-1)</f>
        <v>2.9956229005192458E-3</v>
      </c>
      <c r="V594" s="8">
        <f>IF(Tabela1[[#This Row],[Personal Consumption Expenditures (PCE)]]="",#N/A,((Tabela1[[#This Row],[Personal Consumption Expenditures (PCE)]]*1)/T582)-1)</f>
        <v>2.1111226257272797E-2</v>
      </c>
      <c r="W594" s="7">
        <v>70.197000000000003</v>
      </c>
      <c r="X594" s="8">
        <f>IF(Tabela1[[#This Row],[Core PCE]]="",#N/A,((Tabela1[[#This Row],[Core PCE]]*1)/W593)-1)</f>
        <v>1.3551681835040075E-3</v>
      </c>
      <c r="Y594" s="8">
        <f>IF(Tabela1[[#This Row],[Core PCE]]="",#N/A,((Tabela1[[#This Row],[Core PCE]]*1)/W582)-1)</f>
        <v>1.8602626423855462E-2</v>
      </c>
      <c r="Z594" s="8">
        <f t="shared" si="29"/>
        <v>1.9896998484182582E-2</v>
      </c>
      <c r="AA594" s="8">
        <f t="shared" si="28"/>
        <v>1.6318866647855756E-2</v>
      </c>
      <c r="AB594" s="7">
        <v>2.2200000000000002</v>
      </c>
      <c r="AC594" s="7"/>
      <c r="AD594" s="8"/>
      <c r="AE594" s="71"/>
      <c r="AF594" s="7">
        <v>3</v>
      </c>
      <c r="AG594" s="5"/>
    </row>
    <row r="595" spans="1:33" ht="12.75">
      <c r="A595" s="6">
        <v>35186</v>
      </c>
      <c r="B595" s="7">
        <v>156.4</v>
      </c>
      <c r="C595" s="8">
        <f>IF(Tabela1[[#This Row],[Consumer Price Index (CPI)]]="",#N/A,((Tabela1[[#This Row],[Consumer Price Index (CPI)]]*1)/B594)-1)</f>
        <v>1.9218449711724261E-3</v>
      </c>
      <c r="D595" s="8">
        <f>IF(Tabela1[[#This Row],[Consumer Price Index (CPI)]]="",#N/A,((Tabela1[[#This Row],[Consumer Price Index (CPI)]]*1)/B583)-1)</f>
        <v>2.8270874424720649E-2</v>
      </c>
      <c r="E595" s="25">
        <v>165</v>
      </c>
      <c r="F595" s="8">
        <f>IF(Tabela1[[#This Row],[Core Consumer Price Index]]="",#N/A,((Tabela1[[#This Row],[Core Consumer Price Index]]*1)/E594)-1)</f>
        <v>2.430133657351119E-3</v>
      </c>
      <c r="G595" s="8">
        <f>IF(Tabela1[[#This Row],[Core Consumer Price Index]]="",#N/A,((Tabela1[[#This Row],[Core Consumer Price Index]]*1)/E583)-1)</f>
        <v>2.6757934038581288E-2</v>
      </c>
      <c r="H595" s="8">
        <f t="shared" si="30"/>
        <v>2.4342812239041223E-2</v>
      </c>
      <c r="I595" s="8">
        <f t="shared" si="31"/>
        <v>2.4421090697138492E-2</v>
      </c>
      <c r="J595" s="25">
        <v>173.4</v>
      </c>
      <c r="K595" s="8">
        <f>IF(Tabela1[[#This Row],[Services CPI]]="",#N/A,((Tabela1[[#This Row],[Services CPI]]*1)/J594)-1)</f>
        <v>3.4722222222220989E-3</v>
      </c>
      <c r="L595" s="8">
        <f>IF(Tabela1[[#This Row],[Services CPI]]="",#N/A,((Tabela1[[#This Row],[Services CPI]]*1)/J583)-1)</f>
        <v>3.1528851873884767E-2</v>
      </c>
      <c r="M595" s="7">
        <v>178.7</v>
      </c>
      <c r="N595" s="8">
        <f>IF(Tabela1[[#This Row],[Core-Services CPI]]="",#N/A,((Tabela1[[#This Row],[Core-Services CPI]]*1)/M594)-1)</f>
        <v>3.9325842696629199E-3</v>
      </c>
      <c r="O595" s="8">
        <f>IF(Tabela1[[#This Row],[Core-Services CPI]]="",#N/A,((Tabela1[[#This Row],[Core-Services CPI]]*1)/M583)-1)</f>
        <v>3.2351242056614549E-2</v>
      </c>
      <c r="P595" s="7">
        <v>129.19999999999999</v>
      </c>
      <c r="Q595" s="8">
        <f>IF(Tabela1[[#This Row],[Durable Goods CPI]]="",#N/A,((Tabela1[[#This Row],[Durable Goods CPI]]*1)/P594)-1)</f>
        <v>0</v>
      </c>
      <c r="R595" s="8">
        <f>IF(Tabela1[[#This Row],[Durable Goods CPI]]="",#N/A,((Tabela1[[#This Row],[Durable Goods CPI]]*1)/P583)-1)</f>
        <v>9.3749999999999112E-3</v>
      </c>
      <c r="S595" s="7">
        <v>3.1512329600000002</v>
      </c>
      <c r="T595" s="7">
        <v>69.091999999999999</v>
      </c>
      <c r="U595" s="8">
        <f>IF(Tabela1[[#This Row],[Personal Consumption Expenditures (PCE)]]="",#N/A,((Tabela1[[#This Row],[Personal Consumption Expenditures (PCE)]]*1)/T594)-1)</f>
        <v>1.7253128035608079E-3</v>
      </c>
      <c r="V595" s="8">
        <f>IF(Tabela1[[#This Row],[Personal Consumption Expenditures (PCE)]]="",#N/A,((Tabela1[[#This Row],[Personal Consumption Expenditures (PCE)]]*1)/T583)-1)</f>
        <v>2.1300498144890767E-2</v>
      </c>
      <c r="W595" s="7">
        <v>70.319000000000003</v>
      </c>
      <c r="X595" s="8">
        <f>IF(Tabela1[[#This Row],[Core PCE]]="",#N/A,((Tabela1[[#This Row],[Core PCE]]*1)/W594)-1)</f>
        <v>1.7379660099434702E-3</v>
      </c>
      <c r="Y595" s="8">
        <f>IF(Tabela1[[#This Row],[Core PCE]]="",#N/A,((Tabela1[[#This Row],[Core PCE]]*1)/W583)-1)</f>
        <v>1.8643527639355728E-2</v>
      </c>
      <c r="Z595" s="8">
        <f t="shared" si="29"/>
        <v>2.1637621131811002E-2</v>
      </c>
      <c r="AA595" s="8">
        <f t="shared" si="28"/>
        <v>1.8502196659901049E-2</v>
      </c>
      <c r="AB595" s="7">
        <v>2.25</v>
      </c>
      <c r="AC595" s="7"/>
      <c r="AD595" s="8"/>
      <c r="AE595" s="71"/>
      <c r="AF595" s="7">
        <v>3.1</v>
      </c>
      <c r="AG595" s="5"/>
    </row>
    <row r="596" spans="1:33" ht="12.75">
      <c r="A596" s="6">
        <v>35217</v>
      </c>
      <c r="B596" s="7">
        <v>156.69999999999999</v>
      </c>
      <c r="C596" s="8">
        <f>IF(Tabela1[[#This Row],[Consumer Price Index (CPI)]]="",#N/A,((Tabela1[[#This Row],[Consumer Price Index (CPI)]]*1)/B595)-1)</f>
        <v>1.9181585677747748E-3</v>
      </c>
      <c r="D596" s="8">
        <f>IF(Tabela1[[#This Row],[Consumer Price Index (CPI)]]="",#N/A,((Tabela1[[#This Row],[Consumer Price Index (CPI)]]*1)/B584)-1)</f>
        <v>2.8215223097112663E-2</v>
      </c>
      <c r="E596" s="25">
        <v>165.4</v>
      </c>
      <c r="F596" s="8">
        <f>IF(Tabela1[[#This Row],[Core Consumer Price Index]]="",#N/A,((Tabela1[[#This Row],[Core Consumer Price Index]]*1)/E595)-1)</f>
        <v>2.4242424242424399E-3</v>
      </c>
      <c r="G596" s="8">
        <f>IF(Tabela1[[#This Row],[Core Consumer Price Index]]="",#N/A,((Tabela1[[#This Row],[Core Consumer Price Index]]*1)/E584)-1)</f>
        <v>2.669149596523912E-2</v>
      </c>
      <c r="H596" s="8">
        <f t="shared" si="30"/>
        <v>2.4283684375035364E-2</v>
      </c>
      <c r="I596" s="8">
        <f t="shared" si="31"/>
        <v>2.8042581680592704E-2</v>
      </c>
      <c r="J596" s="25">
        <v>173.8</v>
      </c>
      <c r="K596" s="8">
        <f>IF(Tabela1[[#This Row],[Services CPI]]="",#N/A,((Tabela1[[#This Row],[Services CPI]]*1)/J595)-1)</f>
        <v>2.3068050749712743E-3</v>
      </c>
      <c r="L596" s="8">
        <f>IF(Tabela1[[#This Row],[Services CPI]]="",#N/A,((Tabela1[[#This Row],[Services CPI]]*1)/J584)-1)</f>
        <v>3.1454005934718143E-2</v>
      </c>
      <c r="M596" s="7">
        <v>179.2</v>
      </c>
      <c r="N596" s="8">
        <f>IF(Tabela1[[#This Row],[Core-Services CPI]]="",#N/A,((Tabela1[[#This Row],[Core-Services CPI]]*1)/M595)-1)</f>
        <v>2.7979854504756041E-3</v>
      </c>
      <c r="O596" s="8">
        <f>IF(Tabela1[[#This Row],[Core-Services CPI]]="",#N/A,((Tabela1[[#This Row],[Core-Services CPI]]*1)/M584)-1)</f>
        <v>3.2258064516129004E-2</v>
      </c>
      <c r="P596" s="7">
        <v>129.30000000000001</v>
      </c>
      <c r="Q596" s="8">
        <f>IF(Tabela1[[#This Row],[Durable Goods CPI]]="",#N/A,((Tabela1[[#This Row],[Durable Goods CPI]]*1)/P595)-1)</f>
        <v>7.7399380804976659E-4</v>
      </c>
      <c r="R596" s="8">
        <f>IF(Tabela1[[#This Row],[Durable Goods CPI]]="",#N/A,((Tabela1[[#This Row],[Durable Goods CPI]]*1)/P584)-1)</f>
        <v>1.0156250000000089E-2</v>
      </c>
      <c r="S596" s="7">
        <v>3.0214190420000002</v>
      </c>
      <c r="T596" s="7">
        <v>69.090999999999994</v>
      </c>
      <c r="U596" s="8">
        <f>IF(Tabela1[[#This Row],[Personal Consumption Expenditures (PCE)]]="",#N/A,((Tabela1[[#This Row],[Personal Consumption Expenditures (PCE)]]*1)/T595)-1)</f>
        <v>-1.4473455682395553E-5</v>
      </c>
      <c r="V596" s="8">
        <f>IF(Tabela1[[#This Row],[Personal Consumption Expenditures (PCE)]]="",#N/A,((Tabela1[[#This Row],[Personal Consumption Expenditures (PCE)]]*1)/T584)-1)</f>
        <v>2.0290325915205853E-2</v>
      </c>
      <c r="W596" s="7">
        <v>70.373000000000005</v>
      </c>
      <c r="X596" s="8">
        <f>IF(Tabela1[[#This Row],[Core PCE]]="",#N/A,((Tabela1[[#This Row],[Core PCE]]*1)/W595)-1)</f>
        <v>7.6792900922950658E-4</v>
      </c>
      <c r="Y596" s="8">
        <f>IF(Tabela1[[#This Row],[Core PCE]]="",#N/A,((Tabela1[[#This Row],[Core PCE]]*1)/W584)-1)</f>
        <v>1.8540496728999045E-2</v>
      </c>
      <c r="Z596" s="8">
        <f t="shared" si="29"/>
        <v>1.5444252810707937E-2</v>
      </c>
      <c r="AA596" s="8">
        <f t="shared" si="28"/>
        <v>1.7224872912370959E-2</v>
      </c>
      <c r="AB596" s="7">
        <v>2.29</v>
      </c>
      <c r="AC596" s="7"/>
      <c r="AD596" s="8"/>
      <c r="AE596" s="71"/>
      <c r="AF596" s="7">
        <v>2.9</v>
      </c>
      <c r="AG596" s="5"/>
    </row>
    <row r="597" spans="1:33" ht="12.75">
      <c r="A597" s="6">
        <v>35247</v>
      </c>
      <c r="B597" s="7">
        <v>157</v>
      </c>
      <c r="C597" s="8">
        <f>IF(Tabela1[[#This Row],[Consumer Price Index (CPI)]]="",#N/A,((Tabela1[[#This Row],[Consumer Price Index (CPI)]]*1)/B596)-1)</f>
        <v>1.9144862795150708E-3</v>
      </c>
      <c r="D597" s="8">
        <f>IF(Tabela1[[#This Row],[Consumer Price Index (CPI)]]="",#N/A,((Tabela1[[#This Row],[Consumer Price Index (CPI)]]*1)/B585)-1)</f>
        <v>2.8833551769331667E-2</v>
      </c>
      <c r="E597" s="25">
        <v>165.7</v>
      </c>
      <c r="F597" s="8">
        <f>IF(Tabela1[[#This Row],[Core Consumer Price Index]]="",#N/A,((Tabela1[[#This Row],[Core Consumer Price Index]]*1)/E596)-1)</f>
        <v>1.8137847642079041E-3</v>
      </c>
      <c r="G597" s="8">
        <f>IF(Tabela1[[#This Row],[Core Consumer Price Index]]="",#N/A,((Tabela1[[#This Row],[Core Consumer Price Index]]*1)/E585)-1)</f>
        <v>2.6641883519206822E-2</v>
      </c>
      <c r="H597" s="8">
        <f t="shared" si="30"/>
        <v>2.6672643383205852E-2</v>
      </c>
      <c r="I597" s="8">
        <f t="shared" si="31"/>
        <v>2.431270179147349E-2</v>
      </c>
      <c r="J597" s="25">
        <v>174.4</v>
      </c>
      <c r="K597" s="8">
        <f>IF(Tabela1[[#This Row],[Services CPI]]="",#N/A,((Tabela1[[#This Row],[Services CPI]]*1)/J596)-1)</f>
        <v>3.4522439585731313E-3</v>
      </c>
      <c r="L597" s="8">
        <f>IF(Tabela1[[#This Row],[Services CPI]]="",#N/A,((Tabela1[[#This Row],[Services CPI]]*1)/J585)-1)</f>
        <v>3.2563647128478479E-2</v>
      </c>
      <c r="M597" s="7">
        <v>179.7</v>
      </c>
      <c r="N597" s="8">
        <f>IF(Tabela1[[#This Row],[Core-Services CPI]]="",#N/A,((Tabela1[[#This Row],[Core-Services CPI]]*1)/M596)-1)</f>
        <v>2.7901785714286031E-3</v>
      </c>
      <c r="O597" s="8">
        <f>IF(Tabela1[[#This Row],[Core-Services CPI]]="",#N/A,((Tabela1[[#This Row],[Core-Services CPI]]*1)/M585)-1)</f>
        <v>3.2758620689655071E-2</v>
      </c>
      <c r="P597" s="7">
        <v>129.30000000000001</v>
      </c>
      <c r="Q597" s="8">
        <f>IF(Tabela1[[#This Row],[Durable Goods CPI]]="",#N/A,((Tabela1[[#This Row],[Durable Goods CPI]]*1)/P596)-1)</f>
        <v>0</v>
      </c>
      <c r="R597" s="8">
        <f>IF(Tabela1[[#This Row],[Durable Goods CPI]]="",#N/A,((Tabela1[[#This Row],[Durable Goods CPI]]*1)/P585)-1)</f>
        <v>1.0156250000000089E-2</v>
      </c>
      <c r="S597" s="7">
        <v>3.065009249</v>
      </c>
      <c r="T597" s="7">
        <v>69.236999999999995</v>
      </c>
      <c r="U597" s="8">
        <f>IF(Tabela1[[#This Row],[Personal Consumption Expenditures (PCE)]]="",#N/A,((Tabela1[[#This Row],[Personal Consumption Expenditures (PCE)]]*1)/T596)-1)</f>
        <v>2.1131551142696825E-3</v>
      </c>
      <c r="V597" s="8">
        <f>IF(Tabela1[[#This Row],[Personal Consumption Expenditures (PCE)]]="",#N/A,((Tabela1[[#This Row],[Personal Consumption Expenditures (PCE)]]*1)/T585)-1)</f>
        <v>2.1164567416890101E-2</v>
      </c>
      <c r="W597" s="7">
        <v>70.504999999999995</v>
      </c>
      <c r="X597" s="8">
        <f>IF(Tabela1[[#This Row],[Core PCE]]="",#N/A,((Tabela1[[#This Row],[Core PCE]]*1)/W596)-1)</f>
        <v>1.8757193810123862E-3</v>
      </c>
      <c r="Y597" s="8">
        <f>IF(Tabela1[[#This Row],[Core PCE]]="",#N/A,((Tabela1[[#This Row],[Core PCE]]*1)/W585)-1)</f>
        <v>1.8843658328636881E-2</v>
      </c>
      <c r="Z597" s="8">
        <f t="shared" si="29"/>
        <v>1.7526457600741452E-2</v>
      </c>
      <c r="AA597" s="8">
        <f t="shared" si="28"/>
        <v>1.8711728042462017E-2</v>
      </c>
      <c r="AB597" s="7">
        <v>2.3199999999999998</v>
      </c>
      <c r="AC597" s="7"/>
      <c r="AD597" s="8"/>
      <c r="AE597" s="71"/>
      <c r="AF597" s="7">
        <v>3</v>
      </c>
      <c r="AG597" s="5"/>
    </row>
    <row r="598" spans="1:33" ht="12.75">
      <c r="A598" s="6">
        <v>35278</v>
      </c>
      <c r="B598" s="7">
        <v>157.19999999999999</v>
      </c>
      <c r="C598" s="8">
        <f>IF(Tabela1[[#This Row],[Consumer Price Index (CPI)]]="",#N/A,((Tabela1[[#This Row],[Consumer Price Index (CPI)]]*1)/B597)-1)</f>
        <v>1.2738853503184711E-3</v>
      </c>
      <c r="D598" s="8">
        <f>IF(Tabela1[[#This Row],[Consumer Price Index (CPI)]]="",#N/A,((Tabela1[[#This Row],[Consumer Price Index (CPI)]]*1)/B586)-1)</f>
        <v>2.8122956180510084E-2</v>
      </c>
      <c r="E598" s="25">
        <v>166</v>
      </c>
      <c r="F598" s="8">
        <f>IF(Tabela1[[#This Row],[Core Consumer Price Index]]="",#N/A,((Tabela1[[#This Row],[Core Consumer Price Index]]*1)/E597)-1)</f>
        <v>1.8105009052504784E-3</v>
      </c>
      <c r="G598" s="8">
        <f>IF(Tabela1[[#This Row],[Core Consumer Price Index]]="",#N/A,((Tabela1[[#This Row],[Core Consumer Price Index]]*1)/E586)-1)</f>
        <v>2.5957972805933149E-2</v>
      </c>
      <c r="H598" s="8">
        <f t="shared" si="30"/>
        <v>2.4194112374803289E-2</v>
      </c>
      <c r="I598" s="8">
        <f t="shared" si="31"/>
        <v>2.4268462306922256E-2</v>
      </c>
      <c r="J598" s="25">
        <v>174.9</v>
      </c>
      <c r="K598" s="8">
        <f>IF(Tabela1[[#This Row],[Services CPI]]="",#N/A,((Tabela1[[#This Row],[Services CPI]]*1)/J597)-1)</f>
        <v>2.8669724770642446E-3</v>
      </c>
      <c r="L598" s="8">
        <f>IF(Tabela1[[#This Row],[Services CPI]]="",#N/A,((Tabela1[[#This Row],[Services CPI]]*1)/J586)-1)</f>
        <v>3.3077377436503186E-2</v>
      </c>
      <c r="M598" s="7">
        <v>180.2</v>
      </c>
      <c r="N598" s="8">
        <f>IF(Tabela1[[#This Row],[Core-Services CPI]]="",#N/A,((Tabela1[[#This Row],[Core-Services CPI]]*1)/M597)-1)</f>
        <v>2.7824151363382565E-3</v>
      </c>
      <c r="O598" s="8">
        <f>IF(Tabela1[[#This Row],[Core-Services CPI]]="",#N/A,((Tabela1[[#This Row],[Core-Services CPI]]*1)/M586)-1)</f>
        <v>3.3849684452093909E-2</v>
      </c>
      <c r="P598" s="7">
        <v>129.5</v>
      </c>
      <c r="Q598" s="8">
        <f>IF(Tabela1[[#This Row],[Durable Goods CPI]]="",#N/A,((Tabela1[[#This Row],[Durable Goods CPI]]*1)/P597)-1)</f>
        <v>1.5467904098993568E-3</v>
      </c>
      <c r="R598" s="8">
        <f>IF(Tabela1[[#This Row],[Durable Goods CPI]]="",#N/A,((Tabela1[[#This Row],[Durable Goods CPI]]*1)/P586)-1)</f>
        <v>1.0140405616224646E-2</v>
      </c>
      <c r="S598" s="7">
        <v>3.0665103980000001</v>
      </c>
      <c r="T598" s="7">
        <v>69.302999999999997</v>
      </c>
      <c r="U598" s="8">
        <f>IF(Tabela1[[#This Row],[Personal Consumption Expenditures (PCE)]]="",#N/A,((Tabela1[[#This Row],[Personal Consumption Expenditures (PCE)]]*1)/T597)-1)</f>
        <v>9.5324754105474696E-4</v>
      </c>
      <c r="V598" s="8">
        <f>IF(Tabela1[[#This Row],[Personal Consumption Expenditures (PCE)]]="",#N/A,((Tabela1[[#This Row],[Personal Consumption Expenditures (PCE)]]*1)/T586)-1)</f>
        <v>1.9941720138929808E-2</v>
      </c>
      <c r="W598" s="7">
        <v>70.566000000000003</v>
      </c>
      <c r="X598" s="8">
        <f>IF(Tabela1[[#This Row],[Core PCE]]="",#N/A,((Tabela1[[#This Row],[Core PCE]]*1)/W597)-1)</f>
        <v>8.6518686617975682E-4</v>
      </c>
      <c r="Y598" s="8">
        <f>IF(Tabela1[[#This Row],[Core PCE]]="",#N/A,((Tabela1[[#This Row],[Core PCE]]*1)/W586)-1)</f>
        <v>1.728487609381979E-2</v>
      </c>
      <c r="Z598" s="8">
        <f t="shared" si="29"/>
        <v>1.4035341025686598E-2</v>
      </c>
      <c r="AA598" s="8">
        <f t="shared" si="28"/>
        <v>1.78364810787488E-2</v>
      </c>
      <c r="AB598" s="7">
        <v>2.31</v>
      </c>
      <c r="AC598" s="7"/>
      <c r="AD598" s="8"/>
      <c r="AE598" s="71"/>
      <c r="AF598" s="7">
        <v>3.1</v>
      </c>
      <c r="AG598" s="5"/>
    </row>
    <row r="599" spans="1:33" ht="12.75">
      <c r="A599" s="6">
        <v>35309</v>
      </c>
      <c r="B599" s="7">
        <v>157.69999999999999</v>
      </c>
      <c r="C599" s="8">
        <f>IF(Tabela1[[#This Row],[Consumer Price Index (CPI)]]="",#N/A,((Tabela1[[#This Row],[Consumer Price Index (CPI)]]*1)/B598)-1)</f>
        <v>3.1806615776082126E-3</v>
      </c>
      <c r="D599" s="8">
        <f>IF(Tabela1[[#This Row],[Consumer Price Index (CPI)]]="",#N/A,((Tabela1[[#This Row],[Consumer Price Index (CPI)]]*1)/B587)-1)</f>
        <v>3.0045721750489918E-2</v>
      </c>
      <c r="E599" s="25">
        <v>166.5</v>
      </c>
      <c r="F599" s="8">
        <f>IF(Tabela1[[#This Row],[Core Consumer Price Index]]="",#N/A,((Tabela1[[#This Row],[Core Consumer Price Index]]*1)/E598)-1)</f>
        <v>3.0120481927711218E-3</v>
      </c>
      <c r="G599" s="8">
        <f>IF(Tabela1[[#This Row],[Core Consumer Price Index]]="",#N/A,((Tabela1[[#This Row],[Core Consumer Price Index]]*1)/E587)-1)</f>
        <v>2.6510480887792953E-2</v>
      </c>
      <c r="H599" s="8">
        <f t="shared" si="30"/>
        <v>2.6545335448918017E-2</v>
      </c>
      <c r="I599" s="8">
        <f t="shared" si="31"/>
        <v>2.541450991197669E-2</v>
      </c>
      <c r="J599" s="25">
        <v>175.4</v>
      </c>
      <c r="K599" s="8">
        <f>IF(Tabela1[[#This Row],[Services CPI]]="",#N/A,((Tabela1[[#This Row],[Services CPI]]*1)/J598)-1)</f>
        <v>2.8587764436820429E-3</v>
      </c>
      <c r="L599" s="8">
        <f>IF(Tabela1[[#This Row],[Services CPI]]="",#N/A,((Tabela1[[#This Row],[Services CPI]]*1)/J587)-1)</f>
        <v>3.3588685916323024E-2</v>
      </c>
      <c r="M599" s="7">
        <v>180.7</v>
      </c>
      <c r="N599" s="8">
        <f>IF(Tabela1[[#This Row],[Core-Services CPI]]="",#N/A,((Tabela1[[#This Row],[Core-Services CPI]]*1)/M598)-1)</f>
        <v>2.7746947835738389E-3</v>
      </c>
      <c r="O599" s="8">
        <f>IF(Tabela1[[#This Row],[Core-Services CPI]]="",#N/A,((Tabela1[[#This Row],[Core-Services CPI]]*1)/M587)-1)</f>
        <v>3.3161806746712319E-2</v>
      </c>
      <c r="P599" s="7">
        <v>129.69999999999999</v>
      </c>
      <c r="Q599" s="8">
        <f>IF(Tabela1[[#This Row],[Durable Goods CPI]]="",#N/A,((Tabela1[[#This Row],[Durable Goods CPI]]*1)/P598)-1)</f>
        <v>1.5444015444014969E-3</v>
      </c>
      <c r="R599" s="8">
        <f>IF(Tabela1[[#This Row],[Durable Goods CPI]]="",#N/A,((Tabela1[[#This Row],[Durable Goods CPI]]*1)/P587)-1)</f>
        <v>1.0911925175369985E-2</v>
      </c>
      <c r="S599" s="7">
        <v>3.1031348639999998</v>
      </c>
      <c r="T599" s="7">
        <v>69.498999999999995</v>
      </c>
      <c r="U599" s="8">
        <f>IF(Tabela1[[#This Row],[Personal Consumption Expenditures (PCE)]]="",#N/A,((Tabela1[[#This Row],[Personal Consumption Expenditures (PCE)]]*1)/T598)-1)</f>
        <v>2.8281603970967684E-3</v>
      </c>
      <c r="V599" s="8">
        <f>IF(Tabela1[[#This Row],[Personal Consumption Expenditures (PCE)]]="",#N/A,((Tabela1[[#This Row],[Personal Consumption Expenditures (PCE)]]*1)/T587)-1)</f>
        <v>2.2119273475990742E-2</v>
      </c>
      <c r="W599" s="7">
        <v>70.78</v>
      </c>
      <c r="X599" s="8">
        <f>IF(Tabela1[[#This Row],[Core PCE]]="",#N/A,((Tabela1[[#This Row],[Core PCE]]*1)/W598)-1)</f>
        <v>3.0326219425784728E-3</v>
      </c>
      <c r="Y599" s="8">
        <f>IF(Tabela1[[#This Row],[Core PCE]]="",#N/A,((Tabela1[[#This Row],[Core PCE]]*1)/W587)-1)</f>
        <v>1.9033084741858497E-2</v>
      </c>
      <c r="Z599" s="8">
        <f t="shared" si="29"/>
        <v>2.3094112759082464E-2</v>
      </c>
      <c r="AA599" s="8">
        <f t="shared" si="28"/>
        <v>1.92691827848952E-2</v>
      </c>
      <c r="AB599" s="7">
        <v>2.36</v>
      </c>
      <c r="AC599" s="7"/>
      <c r="AD599" s="8"/>
      <c r="AE599" s="71"/>
      <c r="AF599" s="7">
        <v>3.2</v>
      </c>
      <c r="AG599" s="5"/>
    </row>
    <row r="600" spans="1:33" ht="12.75">
      <c r="A600" s="6">
        <v>35339</v>
      </c>
      <c r="B600" s="7">
        <v>158.19999999999999</v>
      </c>
      <c r="C600" s="8">
        <f>IF(Tabela1[[#This Row],[Consumer Price Index (CPI)]]="",#N/A,((Tabela1[[#This Row],[Consumer Price Index (CPI)]]*1)/B599)-1)</f>
        <v>3.1705770450221049E-3</v>
      </c>
      <c r="D600" s="8">
        <f>IF(Tabela1[[#This Row],[Consumer Price Index (CPI)]]="",#N/A,((Tabela1[[#This Row],[Consumer Price Index (CPI)]]*1)/B588)-1)</f>
        <v>3.0618892508143203E-2</v>
      </c>
      <c r="E600" s="25">
        <v>166.8</v>
      </c>
      <c r="F600" s="8">
        <f>IF(Tabela1[[#This Row],[Core Consumer Price Index]]="",#N/A,((Tabela1[[#This Row],[Core Consumer Price Index]]*1)/E599)-1)</f>
        <v>1.8018018018017834E-3</v>
      </c>
      <c r="G600" s="8">
        <f>IF(Tabela1[[#This Row],[Core Consumer Price Index]]="",#N/A,((Tabela1[[#This Row],[Core Consumer Price Index]]*1)/E588)-1)</f>
        <v>2.5199754148740094E-2</v>
      </c>
      <c r="H600" s="8">
        <f t="shared" si="30"/>
        <v>2.6497403599293534E-2</v>
      </c>
      <c r="I600" s="8">
        <f t="shared" si="31"/>
        <v>2.6585023491249693E-2</v>
      </c>
      <c r="J600" s="25">
        <v>175.8</v>
      </c>
      <c r="K600" s="8">
        <f>IF(Tabela1[[#This Row],[Services CPI]]="",#N/A,((Tabela1[[#This Row],[Services CPI]]*1)/J599)-1)</f>
        <v>2.2805017103764147E-3</v>
      </c>
      <c r="L600" s="8">
        <f>IF(Tabela1[[#This Row],[Services CPI]]="",#N/A,((Tabela1[[#This Row],[Services CPI]]*1)/J588)-1)</f>
        <v>3.2295948326482637E-2</v>
      </c>
      <c r="M600" s="7">
        <v>181.2</v>
      </c>
      <c r="N600" s="8">
        <f>IF(Tabela1[[#This Row],[Core-Services CPI]]="",#N/A,((Tabela1[[#This Row],[Core-Services CPI]]*1)/M599)-1)</f>
        <v>2.7670171555063128E-3</v>
      </c>
      <c r="O600" s="8">
        <f>IF(Tabela1[[#This Row],[Core-Services CPI]]="",#N/A,((Tabela1[[#This Row],[Core-Services CPI]]*1)/M588)-1)</f>
        <v>3.2478632478632363E-2</v>
      </c>
      <c r="P600" s="7">
        <v>129.6</v>
      </c>
      <c r="Q600" s="8">
        <f>IF(Tabela1[[#This Row],[Durable Goods CPI]]="",#N/A,((Tabela1[[#This Row],[Durable Goods CPI]]*1)/P599)-1)</f>
        <v>-7.7101002313029188E-4</v>
      </c>
      <c r="R600" s="8">
        <f>IF(Tabela1[[#This Row],[Durable Goods CPI]]="",#N/A,((Tabela1[[#This Row],[Durable Goods CPI]]*1)/P588)-1)</f>
        <v>9.3457943925232545E-3</v>
      </c>
      <c r="S600" s="7">
        <v>3.0962431339999998</v>
      </c>
      <c r="T600" s="7">
        <v>69.709000000000003</v>
      </c>
      <c r="U600" s="8">
        <f>IF(Tabela1[[#This Row],[Personal Consumption Expenditures (PCE)]]="",#N/A,((Tabela1[[#This Row],[Personal Consumption Expenditures (PCE)]]*1)/T599)-1)</f>
        <v>3.0216262104492131E-3</v>
      </c>
      <c r="V600" s="8">
        <f>IF(Tabela1[[#This Row],[Personal Consumption Expenditures (PCE)]]="",#N/A,((Tabela1[[#This Row],[Personal Consumption Expenditures (PCE)]]*1)/T588)-1)</f>
        <v>2.2560912998195626E-2</v>
      </c>
      <c r="W600" s="7">
        <v>70.947999999999993</v>
      </c>
      <c r="X600" s="8">
        <f>IF(Tabela1[[#This Row],[Core PCE]]="",#N/A,((Tabela1[[#This Row],[Core PCE]]*1)/W599)-1)</f>
        <v>2.3735518508052333E-3</v>
      </c>
      <c r="Y600" s="8">
        <f>IF(Tabela1[[#This Row],[Core PCE]]="",#N/A,((Tabela1[[#This Row],[Core PCE]]*1)/W588)-1)</f>
        <v>1.8972525026211162E-2</v>
      </c>
      <c r="Z600" s="8">
        <f t="shared" si="29"/>
        <v>2.5085442638253852E-2</v>
      </c>
      <c r="AA600" s="8">
        <f t="shared" si="28"/>
        <v>2.1305950119497652E-2</v>
      </c>
      <c r="AB600" s="7">
        <v>2.34</v>
      </c>
      <c r="AC600" s="7"/>
      <c r="AD600" s="8"/>
      <c r="AE600" s="71"/>
      <c r="AF600" s="7">
        <v>3</v>
      </c>
      <c r="AG600" s="5"/>
    </row>
    <row r="601" spans="1:33" ht="12.75">
      <c r="A601" s="6">
        <v>35370</v>
      </c>
      <c r="B601" s="7">
        <v>158.69999999999999</v>
      </c>
      <c r="C601" s="8">
        <f>IF(Tabela1[[#This Row],[Consumer Price Index (CPI)]]="",#N/A,((Tabela1[[#This Row],[Consumer Price Index (CPI)]]*1)/B600)-1)</f>
        <v>3.160556257901348E-3</v>
      </c>
      <c r="D601" s="8">
        <f>IF(Tabela1[[#This Row],[Consumer Price Index (CPI)]]="",#N/A,((Tabela1[[#This Row],[Consumer Price Index (CPI)]]*1)/B589)-1)</f>
        <v>3.2530904359141077E-2</v>
      </c>
      <c r="E601" s="25">
        <v>167.2</v>
      </c>
      <c r="F601" s="8">
        <f>IF(Tabela1[[#This Row],[Core Consumer Price Index]]="",#N/A,((Tabela1[[#This Row],[Core Consumer Price Index]]*1)/E600)-1)</f>
        <v>2.3980815347719453E-3</v>
      </c>
      <c r="G601" s="8">
        <f>IF(Tabela1[[#This Row],[Core Consumer Price Index]]="",#N/A,((Tabela1[[#This Row],[Core Consumer Price Index]]*1)/E589)-1)</f>
        <v>2.5766871165644023E-2</v>
      </c>
      <c r="H601" s="8">
        <f t="shared" si="30"/>
        <v>2.8847726117379402E-2</v>
      </c>
      <c r="I601" s="8">
        <f t="shared" si="31"/>
        <v>2.6520919246091346E-2</v>
      </c>
      <c r="J601" s="25">
        <v>176.3</v>
      </c>
      <c r="K601" s="8">
        <f>IF(Tabela1[[#This Row],[Services CPI]]="",#N/A,((Tabela1[[#This Row],[Services CPI]]*1)/J600)-1)</f>
        <v>2.8441410693971214E-3</v>
      </c>
      <c r="L601" s="8">
        <f>IF(Tabela1[[#This Row],[Services CPI]]="",#N/A,((Tabela1[[#This Row],[Services CPI]]*1)/J589)-1)</f>
        <v>3.2806092560047073E-2</v>
      </c>
      <c r="M601" s="7">
        <v>181.7</v>
      </c>
      <c r="N601" s="8">
        <f>IF(Tabela1[[#This Row],[Core-Services CPI]]="",#N/A,((Tabela1[[#This Row],[Core-Services CPI]]*1)/M600)-1)</f>
        <v>2.7593818984548157E-3</v>
      </c>
      <c r="O601" s="8">
        <f>IF(Tabela1[[#This Row],[Core-Services CPI]]="",#N/A,((Tabela1[[#This Row],[Core-Services CPI]]*1)/M589)-1)</f>
        <v>3.2973280272882155E-2</v>
      </c>
      <c r="P601" s="7">
        <v>129.5</v>
      </c>
      <c r="Q601" s="8">
        <f>IF(Tabela1[[#This Row],[Durable Goods CPI]]="",#N/A,((Tabela1[[#This Row],[Durable Goods CPI]]*1)/P600)-1)</f>
        <v>-7.7160493827155285E-4</v>
      </c>
      <c r="R601" s="8">
        <f>IF(Tabela1[[#This Row],[Durable Goods CPI]]="",#N/A,((Tabela1[[#This Row],[Durable Goods CPI]]*1)/P589)-1)</f>
        <v>6.9984447900466318E-3</v>
      </c>
      <c r="S601" s="7">
        <v>3.0767095719999999</v>
      </c>
      <c r="T601" s="7">
        <v>69.832999999999998</v>
      </c>
      <c r="U601" s="8">
        <f>IF(Tabela1[[#This Row],[Personal Consumption Expenditures (PCE)]]="",#N/A,((Tabela1[[#This Row],[Personal Consumption Expenditures (PCE)]]*1)/T600)-1)</f>
        <v>1.7788233943967224E-3</v>
      </c>
      <c r="V601" s="8">
        <f>IF(Tabela1[[#This Row],[Personal Consumption Expenditures (PCE)]]="",#N/A,((Tabela1[[#This Row],[Personal Consumption Expenditures (PCE)]]*1)/T589)-1)</f>
        <v>2.4409922398744399E-2</v>
      </c>
      <c r="W601" s="7">
        <v>71.040999999999997</v>
      </c>
      <c r="X601" s="8">
        <f>IF(Tabela1[[#This Row],[Core PCE]]="",#N/A,((Tabela1[[#This Row],[Core PCE]]*1)/W600)-1)</f>
        <v>1.3108191915205403E-3</v>
      </c>
      <c r="Y601" s="8">
        <f>IF(Tabela1[[#This Row],[Core PCE]]="",#N/A,((Tabela1[[#This Row],[Core PCE]]*1)/W589)-1)</f>
        <v>1.964921345734294E-2</v>
      </c>
      <c r="Z601" s="8">
        <f t="shared" si="29"/>
        <v>2.6867971939616986E-2</v>
      </c>
      <c r="AA601" s="8">
        <f t="shared" ref="AA601:AA664" si="32">SUM(X596:X601)*2</f>
        <v>2.0451656482651792E-2</v>
      </c>
      <c r="AB601" s="7">
        <v>2.39</v>
      </c>
      <c r="AC601" s="7"/>
      <c r="AD601" s="8"/>
      <c r="AE601" s="71"/>
      <c r="AF601" s="7">
        <v>3</v>
      </c>
      <c r="AG601" s="5"/>
    </row>
    <row r="602" spans="1:33" ht="12.75">
      <c r="A602" s="6">
        <v>35400</v>
      </c>
      <c r="B602" s="7">
        <v>159.1</v>
      </c>
      <c r="C602" s="8">
        <f>IF(Tabela1[[#This Row],[Consumer Price Index (CPI)]]="",#N/A,((Tabela1[[#This Row],[Consumer Price Index (CPI)]]*1)/B601)-1)</f>
        <v>2.520478890989386E-3</v>
      </c>
      <c r="D602" s="8">
        <f>IF(Tabela1[[#This Row],[Consumer Price Index (CPI)]]="",#N/A,((Tabela1[[#This Row],[Consumer Price Index (CPI)]]*1)/B590)-1)</f>
        <v>3.378817413905133E-2</v>
      </c>
      <c r="E602" s="25">
        <v>167.4</v>
      </c>
      <c r="F602" s="8">
        <f>IF(Tabela1[[#This Row],[Core Consumer Price Index]]="",#N/A,((Tabela1[[#This Row],[Core Consumer Price Index]]*1)/E601)-1)</f>
        <v>1.1961722488038617E-3</v>
      </c>
      <c r="G602" s="8">
        <f>IF(Tabela1[[#This Row],[Core Consumer Price Index]]="",#N/A,((Tabela1[[#This Row],[Core Consumer Price Index]]*1)/E590)-1)</f>
        <v>2.6364193746168052E-2</v>
      </c>
      <c r="H602" s="8">
        <f t="shared" si="30"/>
        <v>2.1584222341510362E-2</v>
      </c>
      <c r="I602" s="8">
        <f t="shared" si="31"/>
        <v>2.4064778895214189E-2</v>
      </c>
      <c r="J602" s="25">
        <v>176.7</v>
      </c>
      <c r="K602" s="8">
        <f>IF(Tabela1[[#This Row],[Services CPI]]="",#N/A,((Tabela1[[#This Row],[Services CPI]]*1)/J601)-1)</f>
        <v>2.2688598979012653E-3</v>
      </c>
      <c r="L602" s="8">
        <f>IF(Tabela1[[#This Row],[Services CPI]]="",#N/A,((Tabela1[[#This Row],[Services CPI]]*1)/J590)-1)</f>
        <v>3.3937975424224609E-2</v>
      </c>
      <c r="M602" s="7">
        <v>182.1</v>
      </c>
      <c r="N602" s="8">
        <f>IF(Tabela1[[#This Row],[Core-Services CPI]]="",#N/A,((Tabela1[[#This Row],[Core-Services CPI]]*1)/M601)-1)</f>
        <v>2.2014309301046087E-3</v>
      </c>
      <c r="O602" s="8">
        <f>IF(Tabela1[[#This Row],[Core-Services CPI]]="",#N/A,((Tabela1[[#This Row],[Core-Services CPI]]*1)/M590)-1)</f>
        <v>3.4071550255536653E-2</v>
      </c>
      <c r="P602" s="7">
        <v>129.6</v>
      </c>
      <c r="Q602" s="8">
        <f>IF(Tabela1[[#This Row],[Durable Goods CPI]]="",#N/A,((Tabela1[[#This Row],[Durable Goods CPI]]*1)/P601)-1)</f>
        <v>7.7220077220063743E-4</v>
      </c>
      <c r="R602" s="8">
        <f>IF(Tabela1[[#This Row],[Durable Goods CPI]]="",#N/A,((Tabela1[[#This Row],[Durable Goods CPI]]*1)/P590)-1)</f>
        <v>6.9930069930070893E-3</v>
      </c>
      <c r="S602" s="7">
        <v>2.9573286240000001</v>
      </c>
      <c r="T602" s="7">
        <v>69.914000000000001</v>
      </c>
      <c r="U602" s="8">
        <f>IF(Tabela1[[#This Row],[Personal Consumption Expenditures (PCE)]]="",#N/A,((Tabela1[[#This Row],[Personal Consumption Expenditures (PCE)]]*1)/T601)-1)</f>
        <v>1.1599100711698895E-3</v>
      </c>
      <c r="V602" s="8">
        <f>IF(Tabela1[[#This Row],[Personal Consumption Expenditures (PCE)]]="",#N/A,((Tabela1[[#This Row],[Personal Consumption Expenditures (PCE)]]*1)/T590)-1)</f>
        <v>2.3631039531478937E-2</v>
      </c>
      <c r="W602" s="7">
        <v>71.067999999999998</v>
      </c>
      <c r="X602" s="8">
        <f>IF(Tabela1[[#This Row],[Core PCE]]="",#N/A,((Tabela1[[#This Row],[Core PCE]]*1)/W601)-1)</f>
        <v>3.8006221759268044E-4</v>
      </c>
      <c r="Y602" s="8">
        <f>IF(Tabela1[[#This Row],[Core PCE]]="",#N/A,((Tabela1[[#This Row],[Core PCE]]*1)/W590)-1)</f>
        <v>1.8603984520567662E-2</v>
      </c>
      <c r="Z602" s="8">
        <f t="shared" si="29"/>
        <v>1.6257733039673816E-2</v>
      </c>
      <c r="AA602" s="8">
        <f t="shared" si="32"/>
        <v>1.967592289937814E-2</v>
      </c>
      <c r="AB602" s="7">
        <v>2.38</v>
      </c>
      <c r="AC602" s="7"/>
      <c r="AD602" s="8"/>
      <c r="AE602" s="71"/>
      <c r="AF602" s="7">
        <v>3</v>
      </c>
      <c r="AG602" s="5"/>
    </row>
    <row r="603" spans="1:33" ht="12.75">
      <c r="A603" s="6">
        <v>35431</v>
      </c>
      <c r="B603" s="7">
        <v>159.4</v>
      </c>
      <c r="C603" s="8">
        <f>IF(Tabela1[[#This Row],[Consumer Price Index (CPI)]]="",#N/A,((Tabela1[[#This Row],[Consumer Price Index (CPI)]]*1)/B602)-1)</f>
        <v>1.8856065367693908E-3</v>
      </c>
      <c r="D603" s="8">
        <f>IF(Tabela1[[#This Row],[Consumer Price Index (CPI)]]="",#N/A,((Tabela1[[#This Row],[Consumer Price Index (CPI)]]*1)/B591)-1)</f>
        <v>3.0381383322559907E-2</v>
      </c>
      <c r="E603" s="25">
        <v>167.8</v>
      </c>
      <c r="F603" s="8">
        <f>IF(Tabela1[[#This Row],[Core Consumer Price Index]]="",#N/A,((Tabela1[[#This Row],[Core Consumer Price Index]]*1)/E602)-1)</f>
        <v>2.389486260454099E-3</v>
      </c>
      <c r="G603" s="8">
        <f>IF(Tabela1[[#This Row],[Core Consumer Price Index]]="",#N/A,((Tabela1[[#This Row],[Core Consumer Price Index]]*1)/E591)-1)</f>
        <v>2.5045815516188341E-2</v>
      </c>
      <c r="H603" s="8">
        <f t="shared" si="30"/>
        <v>2.3934960176119624E-2</v>
      </c>
      <c r="I603" s="8">
        <f t="shared" si="31"/>
        <v>2.5216181887706579E-2</v>
      </c>
      <c r="J603" s="25">
        <v>177.3</v>
      </c>
      <c r="K603" s="8">
        <f>IF(Tabela1[[#This Row],[Services CPI]]="",#N/A,((Tabela1[[#This Row],[Services CPI]]*1)/J602)-1)</f>
        <v>3.3955857385399302E-3</v>
      </c>
      <c r="L603" s="8">
        <f>IF(Tabela1[[#This Row],[Services CPI]]="",#N/A,((Tabela1[[#This Row],[Services CPI]]*1)/J591)-1)</f>
        <v>3.3819241982507409E-2</v>
      </c>
      <c r="M603" s="7">
        <v>182.5</v>
      </c>
      <c r="N603" s="8">
        <f>IF(Tabela1[[#This Row],[Core-Services CPI]]="",#N/A,((Tabela1[[#This Row],[Core-Services CPI]]*1)/M602)-1)</f>
        <v>2.1965952773201902E-3</v>
      </c>
      <c r="O603" s="8">
        <f>IF(Tabela1[[#This Row],[Core-Services CPI]]="",#N/A,((Tabela1[[#This Row],[Core-Services CPI]]*1)/M591)-1)</f>
        <v>3.2823995472552436E-2</v>
      </c>
      <c r="P603" s="7">
        <v>129.4</v>
      </c>
      <c r="Q603" s="8">
        <f>IF(Tabela1[[#This Row],[Durable Goods CPI]]="",#N/A,((Tabela1[[#This Row],[Durable Goods CPI]]*1)/P602)-1)</f>
        <v>-1.5432098765431057E-3</v>
      </c>
      <c r="R603" s="8">
        <f>IF(Tabela1[[#This Row],[Durable Goods CPI]]="",#N/A,((Tabela1[[#This Row],[Durable Goods CPI]]*1)/P591)-1)</f>
        <v>3.1007751937985883E-3</v>
      </c>
      <c r="S603" s="7">
        <v>2.99348831</v>
      </c>
      <c r="T603" s="7">
        <v>70.004999999999995</v>
      </c>
      <c r="U603" s="8">
        <f>IF(Tabela1[[#This Row],[Personal Consumption Expenditures (PCE)]]="",#N/A,((Tabela1[[#This Row],[Personal Consumption Expenditures (PCE)]]*1)/T602)-1)</f>
        <v>1.3015991074747379E-3</v>
      </c>
      <c r="V603" s="8">
        <f>IF(Tabela1[[#This Row],[Personal Consumption Expenditures (PCE)]]="",#N/A,((Tabela1[[#This Row],[Personal Consumption Expenditures (PCE)]]*1)/T591)-1)</f>
        <v>2.2687430608309356E-2</v>
      </c>
      <c r="W603" s="7">
        <v>71.144000000000005</v>
      </c>
      <c r="X603" s="8">
        <f>IF(Tabela1[[#This Row],[Core PCE]]="",#N/A,((Tabela1[[#This Row],[Core PCE]]*1)/W602)-1)</f>
        <v>1.0693983227332282E-3</v>
      </c>
      <c r="Y603" s="8">
        <f>IF(Tabela1[[#This Row],[Core PCE]]="",#N/A,((Tabela1[[#This Row],[Core PCE]]*1)/W591)-1)</f>
        <v>1.8539993414365297E-2</v>
      </c>
      <c r="Z603" s="8">
        <f t="shared" si="29"/>
        <v>1.1041118927385796E-2</v>
      </c>
      <c r="AA603" s="8">
        <f t="shared" si="32"/>
        <v>1.8063280782819824E-2</v>
      </c>
      <c r="AB603" s="7">
        <v>2.35</v>
      </c>
      <c r="AC603" s="7"/>
      <c r="AD603" s="8"/>
      <c r="AE603" s="71"/>
      <c r="AF603" s="7">
        <v>3</v>
      </c>
      <c r="AG603" s="5"/>
    </row>
    <row r="604" spans="1:33" ht="12.75">
      <c r="A604" s="6">
        <v>35462</v>
      </c>
      <c r="B604" s="7">
        <v>159.69999999999999</v>
      </c>
      <c r="C604" s="8">
        <f>IF(Tabela1[[#This Row],[Consumer Price Index (CPI)]]="",#N/A,((Tabela1[[#This Row],[Consumer Price Index (CPI)]]*1)/B603)-1)</f>
        <v>1.8820577164364583E-3</v>
      </c>
      <c r="D604" s="8">
        <f>IF(Tabela1[[#This Row],[Consumer Price Index (CPI)]]="",#N/A,((Tabela1[[#This Row],[Consumer Price Index (CPI)]]*1)/B592)-1)</f>
        <v>3.0322580645161246E-2</v>
      </c>
      <c r="E604" s="25">
        <v>168.1</v>
      </c>
      <c r="F604" s="8">
        <f>IF(Tabela1[[#This Row],[Core Consumer Price Index]]="",#N/A,((Tabela1[[#This Row],[Core Consumer Price Index]]*1)/E603)-1)</f>
        <v>1.7878426698449967E-3</v>
      </c>
      <c r="G604" s="8">
        <f>IF(Tabela1[[#This Row],[Core Consumer Price Index]]="",#N/A,((Tabela1[[#This Row],[Core Consumer Price Index]]*1)/E592)-1)</f>
        <v>2.4999999999999911E-2</v>
      </c>
      <c r="H604" s="8">
        <f t="shared" si="30"/>
        <v>2.149400471641183E-2</v>
      </c>
      <c r="I604" s="8">
        <f t="shared" si="31"/>
        <v>2.5170865416895616E-2</v>
      </c>
      <c r="J604" s="25">
        <v>177.6</v>
      </c>
      <c r="K604" s="8">
        <f>IF(Tabela1[[#This Row],[Services CPI]]="",#N/A,((Tabela1[[#This Row],[Services CPI]]*1)/J603)-1)</f>
        <v>1.6920473773265332E-3</v>
      </c>
      <c r="L604" s="8">
        <f>IF(Tabela1[[#This Row],[Services CPI]]="",#N/A,((Tabela1[[#This Row],[Services CPI]]*1)/J592)-1)</f>
        <v>3.2558139534883734E-2</v>
      </c>
      <c r="M604" s="7">
        <v>182.8</v>
      </c>
      <c r="N604" s="8">
        <f>IF(Tabela1[[#This Row],[Core-Services CPI]]="",#N/A,((Tabela1[[#This Row],[Core-Services CPI]]*1)/M603)-1)</f>
        <v>1.6438356164383272E-3</v>
      </c>
      <c r="O604" s="8">
        <f>IF(Tabela1[[#This Row],[Core-Services CPI]]="",#N/A,((Tabela1[[#This Row],[Core-Services CPI]]*1)/M592)-1)</f>
        <v>3.1020868584320294E-2</v>
      </c>
      <c r="P604" s="7">
        <v>129.5</v>
      </c>
      <c r="Q604" s="8">
        <f>IF(Tabela1[[#This Row],[Durable Goods CPI]]="",#N/A,((Tabela1[[#This Row],[Durable Goods CPI]]*1)/P603)-1)</f>
        <v>7.7279752704795257E-4</v>
      </c>
      <c r="R604" s="8">
        <f>IF(Tabela1[[#This Row],[Durable Goods CPI]]="",#N/A,((Tabela1[[#This Row],[Durable Goods CPI]]*1)/P592)-1)</f>
        <v>3.0983733539891034E-3</v>
      </c>
      <c r="S604" s="7">
        <v>3.0667608670000002</v>
      </c>
      <c r="T604" s="7">
        <v>70.150999999999996</v>
      </c>
      <c r="U604" s="8">
        <f>IF(Tabela1[[#This Row],[Personal Consumption Expenditures (PCE)]]="",#N/A,((Tabela1[[#This Row],[Personal Consumption Expenditures (PCE)]]*1)/T603)-1)</f>
        <v>2.0855653167630717E-3</v>
      </c>
      <c r="V604" s="8">
        <f>IF(Tabela1[[#This Row],[Personal Consumption Expenditures (PCE)]]="",#N/A,((Tabela1[[#This Row],[Personal Consumption Expenditures (PCE)]]*1)/T592)-1)</f>
        <v>2.320595099183187E-2</v>
      </c>
      <c r="W604" s="7">
        <v>71.290000000000006</v>
      </c>
      <c r="X604" s="8">
        <f>IF(Tabela1[[#This Row],[Core PCE]]="",#N/A,((Tabela1[[#This Row],[Core PCE]]*1)/W603)-1)</f>
        <v>2.0521758686606884E-3</v>
      </c>
      <c r="Y604" s="8">
        <f>IF(Tabela1[[#This Row],[Core PCE]]="",#N/A,((Tabela1[[#This Row],[Core PCE]]*1)/W592)-1)</f>
        <v>1.9302259079210904E-2</v>
      </c>
      <c r="Z604" s="8">
        <f t="shared" si="29"/>
        <v>1.4006545635946388E-2</v>
      </c>
      <c r="AA604" s="8">
        <f t="shared" si="32"/>
        <v>2.0437258787781687E-2</v>
      </c>
      <c r="AB604" s="7">
        <v>2.36</v>
      </c>
      <c r="AC604" s="7"/>
      <c r="AD604" s="8"/>
      <c r="AE604" s="71"/>
      <c r="AF604" s="7">
        <v>3</v>
      </c>
      <c r="AG604" s="5"/>
    </row>
    <row r="605" spans="1:33" ht="12.75">
      <c r="A605" s="6">
        <v>35490</v>
      </c>
      <c r="B605" s="7">
        <v>159.80000000000001</v>
      </c>
      <c r="C605" s="8">
        <f>IF(Tabela1[[#This Row],[Consumer Price Index (CPI)]]="",#N/A,((Tabela1[[#This Row],[Consumer Price Index (CPI)]]*1)/B604)-1)</f>
        <v>6.2617407639331546E-4</v>
      </c>
      <c r="D605" s="8">
        <f>IF(Tabela1[[#This Row],[Consumer Price Index (CPI)]]="",#N/A,((Tabela1[[#This Row],[Consumer Price Index (CPI)]]*1)/B593)-1)</f>
        <v>2.7652733118971096E-2</v>
      </c>
      <c r="E605" s="25">
        <v>168.4</v>
      </c>
      <c r="F605" s="8">
        <f>IF(Tabela1[[#This Row],[Core Consumer Price Index]]="",#N/A,((Tabela1[[#This Row],[Core Consumer Price Index]]*1)/E604)-1)</f>
        <v>1.7846519928614857E-3</v>
      </c>
      <c r="G605" s="8">
        <f>IF(Tabela1[[#This Row],[Core Consumer Price Index]]="",#N/A,((Tabela1[[#This Row],[Core Consumer Price Index]]*1)/E593)-1)</f>
        <v>2.4330900243308973E-2</v>
      </c>
      <c r="H605" s="8">
        <f t="shared" si="30"/>
        <v>2.3847923692642325E-2</v>
      </c>
      <c r="I605" s="8">
        <f t="shared" si="31"/>
        <v>2.2716073017076344E-2</v>
      </c>
      <c r="J605" s="25">
        <v>178</v>
      </c>
      <c r="K605" s="8">
        <f>IF(Tabela1[[#This Row],[Services CPI]]="",#N/A,((Tabela1[[#This Row],[Services CPI]]*1)/J604)-1)</f>
        <v>2.2522522522523403E-3</v>
      </c>
      <c r="L605" s="8">
        <f>IF(Tabela1[[#This Row],[Services CPI]]="",#N/A,((Tabela1[[#This Row],[Services CPI]]*1)/J593)-1)</f>
        <v>3.2482598607888491E-2</v>
      </c>
      <c r="M605" s="7">
        <v>183.4</v>
      </c>
      <c r="N605" s="8">
        <f>IF(Tabela1[[#This Row],[Core-Services CPI]]="",#N/A,((Tabela1[[#This Row],[Core-Services CPI]]*1)/M604)-1)</f>
        <v>3.2822757111596879E-3</v>
      </c>
      <c r="O605" s="8">
        <f>IF(Tabela1[[#This Row],[Core-Services CPI]]="",#N/A,((Tabela1[[#This Row],[Core-Services CPI]]*1)/M593)-1)</f>
        <v>3.2076533483399006E-2</v>
      </c>
      <c r="P605" s="7">
        <v>129.6</v>
      </c>
      <c r="Q605" s="8">
        <f>IF(Tabela1[[#This Row],[Durable Goods CPI]]="",#N/A,((Tabela1[[#This Row],[Durable Goods CPI]]*1)/P604)-1)</f>
        <v>7.7220077220063743E-4</v>
      </c>
      <c r="R605" s="8">
        <f>IF(Tabela1[[#This Row],[Durable Goods CPI]]="",#N/A,((Tabela1[[#This Row],[Durable Goods CPI]]*1)/P593)-1)</f>
        <v>2.3201856148491462E-3</v>
      </c>
      <c r="S605" s="7">
        <v>2.9248529579999998</v>
      </c>
      <c r="T605" s="7">
        <v>70.224999999999994</v>
      </c>
      <c r="U605" s="8">
        <f>IF(Tabela1[[#This Row],[Personal Consumption Expenditures (PCE)]]="",#N/A,((Tabela1[[#This Row],[Personal Consumption Expenditures (PCE)]]*1)/T604)-1)</f>
        <v>1.0548673575572209E-3</v>
      </c>
      <c r="V605" s="8">
        <f>IF(Tabela1[[#This Row],[Personal Consumption Expenditures (PCE)]]="",#N/A,((Tabela1[[#This Row],[Personal Consumption Expenditures (PCE)]]*1)/T593)-1)</f>
        <v>2.1202030043480091E-2</v>
      </c>
      <c r="W605" s="7">
        <v>71.459999999999994</v>
      </c>
      <c r="X605" s="8">
        <f>IF(Tabela1[[#This Row],[Core PCE]]="",#N/A,((Tabela1[[#This Row],[Core PCE]]*1)/W604)-1)</f>
        <v>2.3846261747788589E-3</v>
      </c>
      <c r="Y605" s="8">
        <f>IF(Tabela1[[#This Row],[Core PCE]]="",#N/A,((Tabela1[[#This Row],[Core PCE]]*1)/W593)-1)</f>
        <v>1.9371772559983791E-2</v>
      </c>
      <c r="Z605" s="8">
        <f t="shared" si="29"/>
        <v>2.2024801464691102E-2</v>
      </c>
      <c r="AA605" s="8">
        <f t="shared" si="32"/>
        <v>1.9141267252182459E-2</v>
      </c>
      <c r="AB605" s="7">
        <v>2.31</v>
      </c>
      <c r="AC605" s="7"/>
      <c r="AD605" s="8"/>
      <c r="AE605" s="71"/>
      <c r="AF605" s="7">
        <v>2.8</v>
      </c>
      <c r="AG605" s="5"/>
    </row>
    <row r="606" spans="1:33" ht="12.75">
      <c r="A606" s="6">
        <v>35521</v>
      </c>
      <c r="B606" s="7">
        <v>159.9</v>
      </c>
      <c r="C606" s="8">
        <f>IF(Tabela1[[#This Row],[Consumer Price Index (CPI)]]="",#N/A,((Tabela1[[#This Row],[Consumer Price Index (CPI)]]*1)/B605)-1)</f>
        <v>6.2578222778464365E-4</v>
      </c>
      <c r="D606" s="8">
        <f>IF(Tabela1[[#This Row],[Consumer Price Index (CPI)]]="",#N/A,((Tabela1[[#This Row],[Consumer Price Index (CPI)]]*1)/B594)-1)</f>
        <v>2.4343369634849621E-2</v>
      </c>
      <c r="E606" s="25">
        <v>168.9</v>
      </c>
      <c r="F606" s="8">
        <f>IF(Tabela1[[#This Row],[Core Consumer Price Index]]="",#N/A,((Tabela1[[#This Row],[Core Consumer Price Index]]*1)/E605)-1)</f>
        <v>2.9691211401425832E-3</v>
      </c>
      <c r="G606" s="8">
        <f>IF(Tabela1[[#This Row],[Core Consumer Price Index]]="",#N/A,((Tabela1[[#This Row],[Core Consumer Price Index]]*1)/E594)-1)</f>
        <v>2.6123936816524918E-2</v>
      </c>
      <c r="H606" s="8">
        <f t="shared" si="30"/>
        <v>2.6166463211396263E-2</v>
      </c>
      <c r="I606" s="8">
        <f t="shared" si="31"/>
        <v>2.5050711693757943E-2</v>
      </c>
      <c r="J606" s="25">
        <v>178.4</v>
      </c>
      <c r="K606" s="8">
        <f>IF(Tabela1[[#This Row],[Services CPI]]="",#N/A,((Tabela1[[#This Row],[Services CPI]]*1)/J605)-1)</f>
        <v>2.2471910112360494E-3</v>
      </c>
      <c r="L606" s="8">
        <f>IF(Tabela1[[#This Row],[Services CPI]]="",#N/A,((Tabela1[[#This Row],[Services CPI]]*1)/J594)-1)</f>
        <v>3.240740740740744E-2</v>
      </c>
      <c r="M606" s="7">
        <v>183.9</v>
      </c>
      <c r="N606" s="8">
        <f>IF(Tabela1[[#This Row],[Core-Services CPI]]="",#N/A,((Tabela1[[#This Row],[Core-Services CPI]]*1)/M605)-1)</f>
        <v>2.7262813522355156E-3</v>
      </c>
      <c r="O606" s="8">
        <f>IF(Tabela1[[#This Row],[Core-Services CPI]]="",#N/A,((Tabela1[[#This Row],[Core-Services CPI]]*1)/M594)-1)</f>
        <v>3.3146067415730451E-2</v>
      </c>
      <c r="P606" s="7">
        <v>129.30000000000001</v>
      </c>
      <c r="Q606" s="8">
        <f>IF(Tabela1[[#This Row],[Durable Goods CPI]]="",#N/A,((Tabela1[[#This Row],[Durable Goods CPI]]*1)/P605)-1)</f>
        <v>-2.3148148148146586E-3</v>
      </c>
      <c r="R606" s="8">
        <f>IF(Tabela1[[#This Row],[Durable Goods CPI]]="",#N/A,((Tabela1[[#This Row],[Durable Goods CPI]]*1)/P594)-1)</f>
        <v>7.7399380804976659E-4</v>
      </c>
      <c r="S606" s="7">
        <v>2.8154920489999999</v>
      </c>
      <c r="T606" s="7">
        <v>70.293999999999997</v>
      </c>
      <c r="U606" s="8">
        <f>IF(Tabela1[[#This Row],[Personal Consumption Expenditures (PCE)]]="",#N/A,((Tabela1[[#This Row],[Personal Consumption Expenditures (PCE)]]*1)/T605)-1)</f>
        <v>9.8255606977581955E-4</v>
      </c>
      <c r="V606" s="8">
        <f>IF(Tabela1[[#This Row],[Personal Consumption Expenditures (PCE)]]="",#N/A,((Tabela1[[#This Row],[Personal Consumption Expenditures (PCE)]]*1)/T594)-1)</f>
        <v>1.9152421962217003E-2</v>
      </c>
      <c r="W606" s="7">
        <v>71.599999999999994</v>
      </c>
      <c r="X606" s="8">
        <f>IF(Tabela1[[#This Row],[Core PCE]]="",#N/A,((Tabela1[[#This Row],[Core PCE]]*1)/W605)-1)</f>
        <v>1.9591379792891495E-3</v>
      </c>
      <c r="Y606" s="8">
        <f>IF(Tabela1[[#This Row],[Core PCE]]="",#N/A,((Tabela1[[#This Row],[Core PCE]]*1)/W594)-1)</f>
        <v>1.9986609114349463E-2</v>
      </c>
      <c r="Z606" s="8">
        <f t="shared" si="29"/>
        <v>2.5583760090914787E-2</v>
      </c>
      <c r="AA606" s="8">
        <f t="shared" si="32"/>
        <v>1.8312439509150291E-2</v>
      </c>
      <c r="AB606" s="7">
        <v>2.31</v>
      </c>
      <c r="AC606" s="7"/>
      <c r="AD606" s="8"/>
      <c r="AE606" s="71"/>
      <c r="AF606" s="7">
        <v>3</v>
      </c>
      <c r="AG606" s="5"/>
    </row>
    <row r="607" spans="1:33" ht="12.75">
      <c r="A607" s="6">
        <v>35551</v>
      </c>
      <c r="B607" s="7">
        <v>159.9</v>
      </c>
      <c r="C607" s="8">
        <f>IF(Tabela1[[#This Row],[Consumer Price Index (CPI)]]="",#N/A,((Tabela1[[#This Row],[Consumer Price Index (CPI)]]*1)/B606)-1)</f>
        <v>0</v>
      </c>
      <c r="D607" s="8">
        <f>IF(Tabela1[[#This Row],[Consumer Price Index (CPI)]]="",#N/A,((Tabela1[[#This Row],[Consumer Price Index (CPI)]]*1)/B595)-1)</f>
        <v>2.2378516624040889E-2</v>
      </c>
      <c r="E607" s="25">
        <v>169.2</v>
      </c>
      <c r="F607" s="8">
        <f>IF(Tabela1[[#This Row],[Core Consumer Price Index]]="",#N/A,((Tabela1[[#This Row],[Core Consumer Price Index]]*1)/E606)-1)</f>
        <v>1.7761989342806039E-3</v>
      </c>
      <c r="G607" s="8">
        <f>IF(Tabela1[[#This Row],[Core Consumer Price Index]]="",#N/A,((Tabela1[[#This Row],[Core Consumer Price Index]]*1)/E595)-1)</f>
        <v>2.5454545454545396E-2</v>
      </c>
      <c r="H607" s="8">
        <f t="shared" si="30"/>
        <v>2.6119888269138691E-2</v>
      </c>
      <c r="I607" s="8">
        <f t="shared" si="31"/>
        <v>2.3806946492775261E-2</v>
      </c>
      <c r="J607" s="25">
        <v>178.7</v>
      </c>
      <c r="K607" s="8">
        <f>IF(Tabela1[[#This Row],[Services CPI]]="",#N/A,((Tabela1[[#This Row],[Services CPI]]*1)/J606)-1)</f>
        <v>1.6816143497757619E-3</v>
      </c>
      <c r="L607" s="8">
        <f>IF(Tabela1[[#This Row],[Services CPI]]="",#N/A,((Tabela1[[#This Row],[Services CPI]]*1)/J595)-1)</f>
        <v>3.0565167243367775E-2</v>
      </c>
      <c r="M607" s="7">
        <v>184.3</v>
      </c>
      <c r="N607" s="8">
        <f>IF(Tabela1[[#This Row],[Core-Services CPI]]="",#N/A,((Tabela1[[#This Row],[Core-Services CPI]]*1)/M606)-1)</f>
        <v>2.175095160413365E-3</v>
      </c>
      <c r="O607" s="8">
        <f>IF(Tabela1[[#This Row],[Core-Services CPI]]="",#N/A,((Tabela1[[#This Row],[Core-Services CPI]]*1)/M595)-1)</f>
        <v>3.1337437045327432E-2</v>
      </c>
      <c r="P607" s="7">
        <v>129.30000000000001</v>
      </c>
      <c r="Q607" s="8">
        <f>IF(Tabela1[[#This Row],[Durable Goods CPI]]="",#N/A,((Tabela1[[#This Row],[Durable Goods CPI]]*1)/P606)-1)</f>
        <v>0</v>
      </c>
      <c r="R607" s="8">
        <f>IF(Tabela1[[#This Row],[Durable Goods CPI]]="",#N/A,((Tabela1[[#This Row],[Durable Goods CPI]]*1)/P595)-1)</f>
        <v>7.7399380804976659E-4</v>
      </c>
      <c r="S607" s="7">
        <v>2.8684481609999999</v>
      </c>
      <c r="T607" s="7">
        <v>70.262</v>
      </c>
      <c r="U607" s="8">
        <f>IF(Tabela1[[#This Row],[Personal Consumption Expenditures (PCE)]]="",#N/A,((Tabela1[[#This Row],[Personal Consumption Expenditures (PCE)]]*1)/T606)-1)</f>
        <v>-4.5523088741561413E-4</v>
      </c>
      <c r="V607" s="8">
        <f>IF(Tabela1[[#This Row],[Personal Consumption Expenditures (PCE)]]="",#N/A,((Tabela1[[#This Row],[Personal Consumption Expenditures (PCE)]]*1)/T595)-1)</f>
        <v>1.6933943148266017E-2</v>
      </c>
      <c r="W607" s="7">
        <v>71.652000000000001</v>
      </c>
      <c r="X607" s="8">
        <f>IF(Tabela1[[#This Row],[Core PCE]]="",#N/A,((Tabela1[[#This Row],[Core PCE]]*1)/W606)-1)</f>
        <v>7.2625698324024768E-4</v>
      </c>
      <c r="Y607" s="8">
        <f>IF(Tabela1[[#This Row],[Core PCE]]="",#N/A,((Tabela1[[#This Row],[Core PCE]]*1)/W595)-1)</f>
        <v>1.8956469801902687E-2</v>
      </c>
      <c r="Z607" s="8">
        <f t="shared" si="29"/>
        <v>2.0280084549233024E-2</v>
      </c>
      <c r="AA607" s="8">
        <f t="shared" si="32"/>
        <v>1.7143315092589706E-2</v>
      </c>
      <c r="AB607" s="7">
        <v>2.2200000000000002</v>
      </c>
      <c r="AC607" s="7"/>
      <c r="AD607" s="8"/>
      <c r="AE607" s="71"/>
      <c r="AF607" s="7">
        <v>2.9</v>
      </c>
      <c r="AG607" s="5"/>
    </row>
    <row r="608" spans="1:33" ht="12.75">
      <c r="A608" s="6">
        <v>35582</v>
      </c>
      <c r="B608" s="7">
        <v>160.19999999999999</v>
      </c>
      <c r="C608" s="8">
        <f>IF(Tabela1[[#This Row],[Consumer Price Index (CPI)]]="",#N/A,((Tabela1[[#This Row],[Consumer Price Index (CPI)]]*1)/B607)-1)</f>
        <v>1.8761726078797558E-3</v>
      </c>
      <c r="D608" s="8">
        <f>IF(Tabela1[[#This Row],[Consumer Price Index (CPI)]]="",#N/A,((Tabela1[[#This Row],[Consumer Price Index (CPI)]]*1)/B596)-1)</f>
        <v>2.2335673261008271E-2</v>
      </c>
      <c r="E608" s="25">
        <v>169.4</v>
      </c>
      <c r="F608" s="8">
        <f>IF(Tabela1[[#This Row],[Core Consumer Price Index]]="",#N/A,((Tabela1[[#This Row],[Core Consumer Price Index]]*1)/E607)-1)</f>
        <v>1.1820330969267712E-3</v>
      </c>
      <c r="G608" s="8">
        <f>IF(Tabela1[[#This Row],[Core Consumer Price Index]]="",#N/A,((Tabela1[[#This Row],[Core Consumer Price Index]]*1)/E596)-1)</f>
        <v>2.4183796856106499E-2</v>
      </c>
      <c r="H608" s="8">
        <f t="shared" si="30"/>
        <v>2.3709412685399833E-2</v>
      </c>
      <c r="I608" s="8">
        <f t="shared" si="31"/>
        <v>2.3778668189021079E-2</v>
      </c>
      <c r="J608" s="25">
        <v>179.2</v>
      </c>
      <c r="K608" s="8">
        <f>IF(Tabela1[[#This Row],[Services CPI]]="",#N/A,((Tabela1[[#This Row],[Services CPI]]*1)/J607)-1)</f>
        <v>2.7979854504756041E-3</v>
      </c>
      <c r="L608" s="8">
        <f>IF(Tabela1[[#This Row],[Services CPI]]="",#N/A,((Tabela1[[#This Row],[Services CPI]]*1)/J596)-1)</f>
        <v>3.1070195627157515E-2</v>
      </c>
      <c r="M608" s="7">
        <v>184.8</v>
      </c>
      <c r="N608" s="8">
        <f>IF(Tabela1[[#This Row],[Core-Services CPI]]="",#N/A,((Tabela1[[#This Row],[Core-Services CPI]]*1)/M607)-1)</f>
        <v>2.7129679869777323E-3</v>
      </c>
      <c r="O608" s="8">
        <f>IF(Tabela1[[#This Row],[Core-Services CPI]]="",#N/A,((Tabela1[[#This Row],[Core-Services CPI]]*1)/M596)-1)</f>
        <v>3.1250000000000222E-2</v>
      </c>
      <c r="P608" s="7">
        <v>129</v>
      </c>
      <c r="Q608" s="8">
        <f>IF(Tabela1[[#This Row],[Durable Goods CPI]]="",#N/A,((Tabela1[[#This Row],[Durable Goods CPI]]*1)/P607)-1)</f>
        <v>-2.3201856148492572E-3</v>
      </c>
      <c r="R608" s="8">
        <f>IF(Tabela1[[#This Row],[Durable Goods CPI]]="",#N/A,((Tabela1[[#This Row],[Durable Goods CPI]]*1)/P596)-1)</f>
        <v>-2.3201856148492572E-3</v>
      </c>
      <c r="S608" s="7">
        <v>2.9248815160000001</v>
      </c>
      <c r="T608" s="7">
        <v>70.352000000000004</v>
      </c>
      <c r="U608" s="8">
        <f>IF(Tabela1[[#This Row],[Personal Consumption Expenditures (PCE)]]="",#N/A,((Tabela1[[#This Row],[Personal Consumption Expenditures (PCE)]]*1)/T607)-1)</f>
        <v>1.2809199851984143E-3</v>
      </c>
      <c r="V608" s="8">
        <f>IF(Tabela1[[#This Row],[Personal Consumption Expenditures (PCE)]]="",#N/A,((Tabela1[[#This Row],[Personal Consumption Expenditures (PCE)]]*1)/T596)-1)</f>
        <v>1.8251291774616263E-2</v>
      </c>
      <c r="W608" s="7">
        <v>71.757999999999996</v>
      </c>
      <c r="X608" s="8">
        <f>IF(Tabela1[[#This Row],[Core PCE]]="",#N/A,((Tabela1[[#This Row],[Core PCE]]*1)/W607)-1)</f>
        <v>1.4793725227486565E-3</v>
      </c>
      <c r="Y608" s="8">
        <f>IF(Tabela1[[#This Row],[Core PCE]]="",#N/A,((Tabela1[[#This Row],[Core PCE]]*1)/W596)-1)</f>
        <v>1.968084350532151E-2</v>
      </c>
      <c r="Z608" s="8">
        <f t="shared" si="29"/>
        <v>1.6659069941112215E-2</v>
      </c>
      <c r="AA608" s="8">
        <f t="shared" si="32"/>
        <v>1.9341935702901658E-2</v>
      </c>
      <c r="AB608" s="7">
        <v>2.2200000000000002</v>
      </c>
      <c r="AC608" s="7"/>
      <c r="AD608" s="8"/>
      <c r="AE608" s="71"/>
      <c r="AF608" s="7">
        <v>2.8</v>
      </c>
      <c r="AG608" s="5"/>
    </row>
    <row r="609" spans="1:33" ht="12.75">
      <c r="A609" s="6">
        <v>35612</v>
      </c>
      <c r="B609" s="7">
        <v>160.4</v>
      </c>
      <c r="C609" s="8">
        <f>IF(Tabela1[[#This Row],[Consumer Price Index (CPI)]]="",#N/A,((Tabela1[[#This Row],[Consumer Price Index (CPI)]]*1)/B608)-1)</f>
        <v>1.2484394506866447E-3</v>
      </c>
      <c r="D609" s="8">
        <f>IF(Tabela1[[#This Row],[Consumer Price Index (CPI)]]="",#N/A,((Tabela1[[#This Row],[Consumer Price Index (CPI)]]*1)/B597)-1)</f>
        <v>2.1656050955414008E-2</v>
      </c>
      <c r="E609" s="25">
        <v>169.7</v>
      </c>
      <c r="F609" s="8">
        <f>IF(Tabela1[[#This Row],[Core Consumer Price Index]]="",#N/A,((Tabela1[[#This Row],[Core Consumer Price Index]]*1)/E608)-1)</f>
        <v>1.7709563164107767E-3</v>
      </c>
      <c r="G609" s="8">
        <f>IF(Tabela1[[#This Row],[Core Consumer Price Index]]="",#N/A,((Tabela1[[#This Row],[Core Consumer Price Index]]*1)/E597)-1)</f>
        <v>2.4140012070005934E-2</v>
      </c>
      <c r="H609" s="8">
        <f t="shared" si="30"/>
        <v>1.8916753390472607E-2</v>
      </c>
      <c r="I609" s="8">
        <f t="shared" si="31"/>
        <v>2.2541608300934435E-2</v>
      </c>
      <c r="J609" s="25">
        <v>179.7</v>
      </c>
      <c r="K609" s="8">
        <f>IF(Tabela1[[#This Row],[Services CPI]]="",#N/A,((Tabela1[[#This Row],[Services CPI]]*1)/J608)-1)</f>
        <v>2.7901785714286031E-3</v>
      </c>
      <c r="L609" s="8">
        <f>IF(Tabela1[[#This Row],[Services CPI]]="",#N/A,((Tabela1[[#This Row],[Services CPI]]*1)/J597)-1)</f>
        <v>3.0389908256880593E-2</v>
      </c>
      <c r="M609" s="7">
        <v>185.3</v>
      </c>
      <c r="N609" s="8">
        <f>IF(Tabela1[[#This Row],[Core-Services CPI]]="",#N/A,((Tabela1[[#This Row],[Core-Services CPI]]*1)/M608)-1)</f>
        <v>2.7056277056276556E-3</v>
      </c>
      <c r="O609" s="8">
        <f>IF(Tabela1[[#This Row],[Core-Services CPI]]="",#N/A,((Tabela1[[#This Row],[Core-Services CPI]]*1)/M597)-1)</f>
        <v>3.116304952698945E-2</v>
      </c>
      <c r="P609" s="7">
        <v>128.6</v>
      </c>
      <c r="Q609" s="8">
        <f>IF(Tabela1[[#This Row],[Durable Goods CPI]]="",#N/A,((Tabela1[[#This Row],[Durable Goods CPI]]*1)/P608)-1)</f>
        <v>-3.1007751937984773E-3</v>
      </c>
      <c r="R609" s="8">
        <f>IF(Tabela1[[#This Row],[Durable Goods CPI]]="",#N/A,((Tabela1[[#This Row],[Durable Goods CPI]]*1)/P597)-1)</f>
        <v>-5.4137664346481928E-3</v>
      </c>
      <c r="S609" s="7">
        <v>2.883239208</v>
      </c>
      <c r="T609" s="7">
        <v>70.394000000000005</v>
      </c>
      <c r="U609" s="8">
        <f>IF(Tabela1[[#This Row],[Personal Consumption Expenditures (PCE)]]="",#N/A,((Tabela1[[#This Row],[Personal Consumption Expenditures (PCE)]]*1)/T608)-1)</f>
        <v>5.9699795314993587E-4</v>
      </c>
      <c r="V609" s="8">
        <f>IF(Tabela1[[#This Row],[Personal Consumption Expenditures (PCE)]]="",#N/A,((Tabela1[[#This Row],[Personal Consumption Expenditures (PCE)]]*1)/T597)-1)</f>
        <v>1.6710718257579193E-2</v>
      </c>
      <c r="W609" s="7">
        <v>71.807000000000002</v>
      </c>
      <c r="X609" s="8">
        <f>IF(Tabela1[[#This Row],[Core PCE]]="",#N/A,((Tabela1[[#This Row],[Core PCE]]*1)/W608)-1)</f>
        <v>6.8285069260576314E-4</v>
      </c>
      <c r="Y609" s="8">
        <f>IF(Tabela1[[#This Row],[Core PCE]]="",#N/A,((Tabela1[[#This Row],[Core PCE]]*1)/W597)-1)</f>
        <v>1.8466775405999725E-2</v>
      </c>
      <c r="Z609" s="8">
        <f t="shared" si="29"/>
        <v>1.1553920794378669E-2</v>
      </c>
      <c r="AA609" s="8">
        <f t="shared" si="32"/>
        <v>1.8568840442646728E-2</v>
      </c>
      <c r="AB609" s="7">
        <v>2.13</v>
      </c>
      <c r="AC609" s="7"/>
      <c r="AD609" s="8"/>
      <c r="AE609" s="71"/>
      <c r="AF609" s="7">
        <v>2.7</v>
      </c>
      <c r="AG609" s="5"/>
    </row>
    <row r="610" spans="1:33" ht="12.75">
      <c r="A610" s="6">
        <v>35643</v>
      </c>
      <c r="B610" s="7">
        <v>160.80000000000001</v>
      </c>
      <c r="C610" s="8">
        <f>IF(Tabela1[[#This Row],[Consumer Price Index (CPI)]]="",#N/A,((Tabela1[[#This Row],[Consumer Price Index (CPI)]]*1)/B609)-1)</f>
        <v>2.4937655860348684E-3</v>
      </c>
      <c r="D610" s="8">
        <f>IF(Tabela1[[#This Row],[Consumer Price Index (CPI)]]="",#N/A,((Tabela1[[#This Row],[Consumer Price Index (CPI)]]*1)/B598)-1)</f>
        <v>2.2900763358778775E-2</v>
      </c>
      <c r="E610" s="25">
        <v>169.8</v>
      </c>
      <c r="F610" s="8">
        <f>IF(Tabela1[[#This Row],[Core Consumer Price Index]]="",#N/A,((Tabela1[[#This Row],[Core Consumer Price Index]]*1)/E609)-1)</f>
        <v>5.892751915146377E-4</v>
      </c>
      <c r="G610" s="8">
        <f>IF(Tabela1[[#This Row],[Core Consumer Price Index]]="",#N/A,((Tabela1[[#This Row],[Core Consumer Price Index]]*1)/E598)-1)</f>
        <v>2.2891566265060392E-2</v>
      </c>
      <c r="H610" s="8">
        <f t="shared" si="30"/>
        <v>1.4169058419408742E-2</v>
      </c>
      <c r="I610" s="8">
        <f t="shared" si="31"/>
        <v>2.0144473344273717E-2</v>
      </c>
      <c r="J610" s="25">
        <v>179.9</v>
      </c>
      <c r="K610" s="8">
        <f>IF(Tabela1[[#This Row],[Services CPI]]="",#N/A,((Tabela1[[#This Row],[Services CPI]]*1)/J609)-1)</f>
        <v>1.1129660545354803E-3</v>
      </c>
      <c r="L610" s="8">
        <f>IF(Tabela1[[#This Row],[Services CPI]]="",#N/A,((Tabela1[[#This Row],[Services CPI]]*1)/J598)-1)</f>
        <v>2.8587764436821095E-2</v>
      </c>
      <c r="M610" s="7">
        <v>185.6</v>
      </c>
      <c r="N610" s="8">
        <f>IF(Tabela1[[#This Row],[Core-Services CPI]]="",#N/A,((Tabela1[[#This Row],[Core-Services CPI]]*1)/M609)-1)</f>
        <v>1.6189962223420729E-3</v>
      </c>
      <c r="O610" s="8">
        <f>IF(Tabela1[[#This Row],[Core-Services CPI]]="",#N/A,((Tabela1[[#This Row],[Core-Services CPI]]*1)/M598)-1)</f>
        <v>2.9966703662597238E-2</v>
      </c>
      <c r="P610" s="7">
        <v>128.30000000000001</v>
      </c>
      <c r="Q610" s="8">
        <f>IF(Tabela1[[#This Row],[Durable Goods CPI]]="",#N/A,((Tabela1[[#This Row],[Durable Goods CPI]]*1)/P609)-1)</f>
        <v>-2.3328149300154699E-3</v>
      </c>
      <c r="R610" s="8">
        <f>IF(Tabela1[[#This Row],[Durable Goods CPI]]="",#N/A,((Tabela1[[#This Row],[Durable Goods CPI]]*1)/P598)-1)</f>
        <v>-9.2664092664092035E-3</v>
      </c>
      <c r="S610" s="7">
        <v>2.8415075559999998</v>
      </c>
      <c r="T610" s="7">
        <v>70.45</v>
      </c>
      <c r="U610" s="8">
        <f>IF(Tabela1[[#This Row],[Personal Consumption Expenditures (PCE)]]="",#N/A,((Tabela1[[#This Row],[Personal Consumption Expenditures (PCE)]]*1)/T609)-1)</f>
        <v>7.9552234565438695E-4</v>
      </c>
      <c r="V610" s="8">
        <f>IF(Tabela1[[#This Row],[Personal Consumption Expenditures (PCE)]]="",#N/A,((Tabela1[[#This Row],[Personal Consumption Expenditures (PCE)]]*1)/T598)-1)</f>
        <v>1.6550510078928937E-2</v>
      </c>
      <c r="W610" s="7">
        <v>71.778000000000006</v>
      </c>
      <c r="X610" s="8">
        <f>IF(Tabela1[[#This Row],[Core PCE]]="",#N/A,((Tabela1[[#This Row],[Core PCE]]*1)/W609)-1)</f>
        <v>-4.0386034787687208E-4</v>
      </c>
      <c r="Y610" s="8">
        <f>IF(Tabela1[[#This Row],[Core PCE]]="",#N/A,((Tabela1[[#This Row],[Core PCE]]*1)/W598)-1)</f>
        <v>1.7175410254230083E-2</v>
      </c>
      <c r="Z610" s="8">
        <f t="shared" si="29"/>
        <v>7.0334514699101902E-3</v>
      </c>
      <c r="AA610" s="8">
        <f t="shared" si="32"/>
        <v>1.3656768009571607E-2</v>
      </c>
      <c r="AB610" s="7">
        <v>2.06</v>
      </c>
      <c r="AC610" s="7"/>
      <c r="AD610" s="8"/>
      <c r="AE610" s="71"/>
      <c r="AF610" s="7">
        <v>2.7</v>
      </c>
      <c r="AG610" s="5"/>
    </row>
    <row r="611" spans="1:33" ht="12.75">
      <c r="A611" s="6">
        <v>35674</v>
      </c>
      <c r="B611" s="7">
        <v>161.19999999999999</v>
      </c>
      <c r="C611" s="8">
        <f>IF(Tabela1[[#This Row],[Consumer Price Index (CPI)]]="",#N/A,((Tabela1[[#This Row],[Consumer Price Index (CPI)]]*1)/B610)-1)</f>
        <v>2.4875621890545485E-3</v>
      </c>
      <c r="D611" s="8">
        <f>IF(Tabela1[[#This Row],[Consumer Price Index (CPI)]]="",#N/A,((Tabela1[[#This Row],[Consumer Price Index (CPI)]]*1)/B599)-1)</f>
        <v>2.2194039315155401E-2</v>
      </c>
      <c r="E611" s="25">
        <v>170.2</v>
      </c>
      <c r="F611" s="8">
        <f>IF(Tabela1[[#This Row],[Core Consumer Price Index]]="",#N/A,((Tabela1[[#This Row],[Core Consumer Price Index]]*1)/E610)-1)</f>
        <v>2.3557126030622211E-3</v>
      </c>
      <c r="G611" s="8">
        <f>IF(Tabela1[[#This Row],[Core Consumer Price Index]]="",#N/A,((Tabela1[[#This Row],[Core Consumer Price Index]]*1)/E599)-1)</f>
        <v>2.2222222222222143E-2</v>
      </c>
      <c r="H611" s="8">
        <f t="shared" si="30"/>
        <v>1.8863776443950542E-2</v>
      </c>
      <c r="I611" s="8">
        <f t="shared" si="31"/>
        <v>2.1286594564675188E-2</v>
      </c>
      <c r="J611" s="25">
        <v>180.4</v>
      </c>
      <c r="K611" s="8">
        <f>IF(Tabela1[[#This Row],[Services CPI]]="",#N/A,((Tabela1[[#This Row],[Services CPI]]*1)/J610)-1)</f>
        <v>2.7793218454696955E-3</v>
      </c>
      <c r="L611" s="8">
        <f>IF(Tabela1[[#This Row],[Services CPI]]="",#N/A,((Tabela1[[#This Row],[Services CPI]]*1)/J599)-1)</f>
        <v>2.8506271379703518E-2</v>
      </c>
      <c r="M611" s="7">
        <v>186</v>
      </c>
      <c r="N611" s="8">
        <f>IF(Tabela1[[#This Row],[Core-Services CPI]]="",#N/A,((Tabela1[[#This Row],[Core-Services CPI]]*1)/M610)-1)</f>
        <v>2.1551724137931494E-3</v>
      </c>
      <c r="O611" s="8">
        <f>IF(Tabela1[[#This Row],[Core-Services CPI]]="",#N/A,((Tabela1[[#This Row],[Core-Services CPI]]*1)/M599)-1)</f>
        <v>2.9330381848367448E-2</v>
      </c>
      <c r="P611" s="7">
        <v>128.1</v>
      </c>
      <c r="Q611" s="8">
        <f>IF(Tabela1[[#This Row],[Durable Goods CPI]]="",#N/A,((Tabela1[[#This Row],[Durable Goods CPI]]*1)/P610)-1)</f>
        <v>-1.5588464536244739E-3</v>
      </c>
      <c r="R611" s="8">
        <f>IF(Tabela1[[#This Row],[Durable Goods CPI]]="",#N/A,((Tabela1[[#This Row],[Durable Goods CPI]]*1)/P599)-1)</f>
        <v>-1.2336160370084781E-2</v>
      </c>
      <c r="S611" s="7">
        <v>2.7643113669999999</v>
      </c>
      <c r="T611" s="7">
        <v>70.62</v>
      </c>
      <c r="U611" s="8">
        <f>IF(Tabela1[[#This Row],[Personal Consumption Expenditures (PCE)]]="",#N/A,((Tabela1[[#This Row],[Personal Consumption Expenditures (PCE)]]*1)/T610)-1)</f>
        <v>2.4130589070263664E-3</v>
      </c>
      <c r="V611" s="8">
        <f>IF(Tabela1[[#This Row],[Personal Consumption Expenditures (PCE)]]="",#N/A,((Tabela1[[#This Row],[Personal Consumption Expenditures (PCE)]]*1)/T599)-1)</f>
        <v>1.6129728485302142E-2</v>
      </c>
      <c r="W611" s="7">
        <v>71.927000000000007</v>
      </c>
      <c r="X611" s="8">
        <f>IF(Tabela1[[#This Row],[Core PCE]]="",#N/A,((Tabela1[[#This Row],[Core PCE]]*1)/W610)-1)</f>
        <v>2.0758449664242118E-3</v>
      </c>
      <c r="Y611" s="8">
        <f>IF(Tabela1[[#This Row],[Core PCE]]="",#N/A,((Tabela1[[#This Row],[Core PCE]]*1)/W599)-1)</f>
        <v>1.6205142695676855E-2</v>
      </c>
      <c r="Z611" s="8">
        <f t="shared" si="29"/>
        <v>9.4193412446124114E-3</v>
      </c>
      <c r="AA611" s="8">
        <f t="shared" si="32"/>
        <v>1.3039205592862313E-2</v>
      </c>
      <c r="AB611" s="7">
        <v>2.0499999999999998</v>
      </c>
      <c r="AC611" s="7"/>
      <c r="AD611" s="8"/>
      <c r="AE611" s="71"/>
      <c r="AF611" s="7">
        <v>2.8</v>
      </c>
      <c r="AG611" s="5"/>
    </row>
    <row r="612" spans="1:33" ht="12.75">
      <c r="A612" s="6">
        <v>35704</v>
      </c>
      <c r="B612" s="7">
        <v>161.5</v>
      </c>
      <c r="C612" s="8">
        <f>IF(Tabela1[[#This Row],[Consumer Price Index (CPI)]]="",#N/A,((Tabela1[[#This Row],[Consumer Price Index (CPI)]]*1)/B611)-1)</f>
        <v>1.8610421836229296E-3</v>
      </c>
      <c r="D612" s="8">
        <f>IF(Tabela1[[#This Row],[Consumer Price Index (CPI)]]="",#N/A,((Tabela1[[#This Row],[Consumer Price Index (CPI)]]*1)/B600)-1)</f>
        <v>2.0859671302149163E-2</v>
      </c>
      <c r="E612" s="25">
        <v>170.6</v>
      </c>
      <c r="F612" s="8">
        <f>IF(Tabela1[[#This Row],[Core Consumer Price Index]]="",#N/A,((Tabela1[[#This Row],[Core Consumer Price Index]]*1)/E611)-1)</f>
        <v>2.3501762632198719E-3</v>
      </c>
      <c r="G612" s="8">
        <f>IF(Tabela1[[#This Row],[Core Consumer Price Index]]="",#N/A,((Tabela1[[#This Row],[Core Consumer Price Index]]*1)/E600)-1)</f>
        <v>2.278177458033559E-2</v>
      </c>
      <c r="H612" s="8">
        <f t="shared" si="30"/>
        <v>2.1180656231186923E-2</v>
      </c>
      <c r="I612" s="8">
        <f t="shared" si="31"/>
        <v>2.0048704810829765E-2</v>
      </c>
      <c r="J612" s="25">
        <v>180.9</v>
      </c>
      <c r="K612" s="8">
        <f>IF(Tabela1[[#This Row],[Services CPI]]="",#N/A,((Tabela1[[#This Row],[Services CPI]]*1)/J611)-1)</f>
        <v>2.7716186252770836E-3</v>
      </c>
      <c r="L612" s="8">
        <f>IF(Tabela1[[#This Row],[Services CPI]]="",#N/A,((Tabela1[[#This Row],[Services CPI]]*1)/J600)-1)</f>
        <v>2.9010238907849706E-2</v>
      </c>
      <c r="M612" s="7">
        <v>186.6</v>
      </c>
      <c r="N612" s="8">
        <f>IF(Tabela1[[#This Row],[Core-Services CPI]]="",#N/A,((Tabela1[[#This Row],[Core-Services CPI]]*1)/M611)-1)</f>
        <v>3.225806451612856E-3</v>
      </c>
      <c r="O612" s="8">
        <f>IF(Tabela1[[#This Row],[Core-Services CPI]]="",#N/A,((Tabela1[[#This Row],[Core-Services CPI]]*1)/M600)-1)</f>
        <v>2.9801324503311299E-2</v>
      </c>
      <c r="P612" s="7">
        <v>128.1</v>
      </c>
      <c r="Q612" s="8">
        <f>IF(Tabela1[[#This Row],[Durable Goods CPI]]="",#N/A,((Tabela1[[#This Row],[Durable Goods CPI]]*1)/P611)-1)</f>
        <v>0</v>
      </c>
      <c r="R612" s="8">
        <f>IF(Tabela1[[#This Row],[Durable Goods CPI]]="",#N/A,((Tabela1[[#This Row],[Durable Goods CPI]]*1)/P600)-1)</f>
        <v>-1.157407407407407E-2</v>
      </c>
      <c r="S612" s="7">
        <v>2.6686607009999999</v>
      </c>
      <c r="T612" s="7">
        <v>70.712000000000003</v>
      </c>
      <c r="U612" s="8">
        <f>IF(Tabela1[[#This Row],[Personal Consumption Expenditures (PCE)]]="",#N/A,((Tabela1[[#This Row],[Personal Consumption Expenditures (PCE)]]*1)/T611)-1)</f>
        <v>1.3027470971396227E-3</v>
      </c>
      <c r="V612" s="8">
        <f>IF(Tabela1[[#This Row],[Personal Consumption Expenditures (PCE)]]="",#N/A,((Tabela1[[#This Row],[Personal Consumption Expenditures (PCE)]]*1)/T600)-1)</f>
        <v>1.4388386004676512E-2</v>
      </c>
      <c r="W612" s="7">
        <v>72.036000000000001</v>
      </c>
      <c r="X612" s="8">
        <f>IF(Tabela1[[#This Row],[Core PCE]]="",#N/A,((Tabela1[[#This Row],[Core PCE]]*1)/W611)-1)</f>
        <v>1.5154253618250291E-3</v>
      </c>
      <c r="Y612" s="8">
        <f>IF(Tabela1[[#This Row],[Core PCE]]="",#N/A,((Tabela1[[#This Row],[Core PCE]]*1)/W600)-1)</f>
        <v>1.5335175057788808E-2</v>
      </c>
      <c r="Z612" s="8">
        <f t="shared" si="29"/>
        <v>1.2749639921489475E-2</v>
      </c>
      <c r="AA612" s="8">
        <f t="shared" si="32"/>
        <v>1.2151780357934072E-2</v>
      </c>
      <c r="AB612" s="7">
        <v>1.9</v>
      </c>
      <c r="AC612" s="7"/>
      <c r="AD612" s="8"/>
      <c r="AE612" s="71"/>
      <c r="AF612" s="7">
        <v>2.8</v>
      </c>
      <c r="AG612" s="5"/>
    </row>
    <row r="613" spans="1:33" ht="12.75">
      <c r="A613" s="6">
        <v>35735</v>
      </c>
      <c r="B613" s="7">
        <v>161.69999999999999</v>
      </c>
      <c r="C613" s="8">
        <f>IF(Tabela1[[#This Row],[Consumer Price Index (CPI)]]="",#N/A,((Tabela1[[#This Row],[Consumer Price Index (CPI)]]*1)/B612)-1)</f>
        <v>1.2383900928791824E-3</v>
      </c>
      <c r="D613" s="8">
        <f>IF(Tabela1[[#This Row],[Consumer Price Index (CPI)]]="",#N/A,((Tabela1[[#This Row],[Consumer Price Index (CPI)]]*1)/B601)-1)</f>
        <v>1.8903591682419618E-2</v>
      </c>
      <c r="E613" s="25">
        <v>170.8</v>
      </c>
      <c r="F613" s="8">
        <f>IF(Tabela1[[#This Row],[Core Consumer Price Index]]="",#N/A,((Tabela1[[#This Row],[Core Consumer Price Index]]*1)/E612)-1)</f>
        <v>1.1723329425556983E-3</v>
      </c>
      <c r="G613" s="8">
        <f>IF(Tabela1[[#This Row],[Core Consumer Price Index]]="",#N/A,((Tabela1[[#This Row],[Core Consumer Price Index]]*1)/E601)-1)</f>
        <v>2.1531100478469067E-2</v>
      </c>
      <c r="H613" s="8">
        <f t="shared" si="30"/>
        <v>2.3512887235351165E-2</v>
      </c>
      <c r="I613" s="8">
        <f t="shared" si="31"/>
        <v>1.8840972827379954E-2</v>
      </c>
      <c r="J613" s="25">
        <v>181.4</v>
      </c>
      <c r="K613" s="8">
        <f>IF(Tabela1[[#This Row],[Services CPI]]="",#N/A,((Tabela1[[#This Row],[Services CPI]]*1)/J612)-1)</f>
        <v>2.7639579878386833E-3</v>
      </c>
      <c r="L613" s="8">
        <f>IF(Tabela1[[#This Row],[Services CPI]]="",#N/A,((Tabela1[[#This Row],[Services CPI]]*1)/J601)-1)</f>
        <v>2.8927963698241577E-2</v>
      </c>
      <c r="M613" s="7">
        <v>187</v>
      </c>
      <c r="N613" s="8">
        <f>IF(Tabela1[[#This Row],[Core-Services CPI]]="",#N/A,((Tabela1[[#This Row],[Core-Services CPI]]*1)/M612)-1)</f>
        <v>2.1436227224009841E-3</v>
      </c>
      <c r="O613" s="8">
        <f>IF(Tabela1[[#This Row],[Core-Services CPI]]="",#N/A,((Tabela1[[#This Row],[Core-Services CPI]]*1)/M601)-1)</f>
        <v>2.9168959823885565E-2</v>
      </c>
      <c r="P613" s="7">
        <v>127.8</v>
      </c>
      <c r="Q613" s="8">
        <f>IF(Tabela1[[#This Row],[Durable Goods CPI]]="",#N/A,((Tabela1[[#This Row],[Durable Goods CPI]]*1)/P612)-1)</f>
        <v>-2.3419203747072626E-3</v>
      </c>
      <c r="R613" s="8">
        <f>IF(Tabela1[[#This Row],[Durable Goods CPI]]="",#N/A,((Tabela1[[#This Row],[Durable Goods CPI]]*1)/P601)-1)</f>
        <v>-1.3127413127413168E-2</v>
      </c>
      <c r="S613" s="7">
        <v>2.5588931449999999</v>
      </c>
      <c r="T613" s="7">
        <v>70.715999999999994</v>
      </c>
      <c r="U613" s="8">
        <f>IF(Tabela1[[#This Row],[Personal Consumption Expenditures (PCE)]]="",#N/A,((Tabela1[[#This Row],[Personal Consumption Expenditures (PCE)]]*1)/T612)-1)</f>
        <v>5.6567485009484386E-5</v>
      </c>
      <c r="V613" s="8">
        <f>IF(Tabela1[[#This Row],[Personal Consumption Expenditures (PCE)]]="",#N/A,((Tabela1[[#This Row],[Personal Consumption Expenditures (PCE)]]*1)/T601)-1)</f>
        <v>1.2644451763492937E-2</v>
      </c>
      <c r="W613" s="7">
        <v>72.058000000000007</v>
      </c>
      <c r="X613" s="8">
        <f>IF(Tabela1[[#This Row],[Core PCE]]="",#N/A,((Tabela1[[#This Row],[Core PCE]]*1)/W612)-1)</f>
        <v>3.0540285412850032E-4</v>
      </c>
      <c r="Y613" s="8">
        <f>IF(Tabela1[[#This Row],[Core PCE]]="",#N/A,((Tabela1[[#This Row],[Core PCE]]*1)/W601)-1)</f>
        <v>1.431567686265689E-2</v>
      </c>
      <c r="Z613" s="8">
        <f t="shared" si="29"/>
        <v>1.5586692729510965E-2</v>
      </c>
      <c r="AA613" s="8">
        <f t="shared" si="32"/>
        <v>1.1310072099710577E-2</v>
      </c>
      <c r="AB613" s="7">
        <v>1.8</v>
      </c>
      <c r="AC613" s="7"/>
      <c r="AD613" s="8"/>
      <c r="AE613" s="71"/>
      <c r="AF613" s="7">
        <v>2.9</v>
      </c>
      <c r="AG613" s="5"/>
    </row>
    <row r="614" spans="1:33" ht="12.75">
      <c r="A614" s="6">
        <v>35765</v>
      </c>
      <c r="B614" s="7">
        <v>161.80000000000001</v>
      </c>
      <c r="C614" s="8">
        <f>IF(Tabela1[[#This Row],[Consumer Price Index (CPI)]]="",#N/A,((Tabela1[[#This Row],[Consumer Price Index (CPI)]]*1)/B613)-1)</f>
        <v>6.1842918985788309E-4</v>
      </c>
      <c r="D614" s="8">
        <f>IF(Tabela1[[#This Row],[Consumer Price Index (CPI)]]="",#N/A,((Tabela1[[#This Row],[Consumer Price Index (CPI)]]*1)/B602)-1)</f>
        <v>1.6970458830924073E-2</v>
      </c>
      <c r="E614" s="25">
        <v>171.2</v>
      </c>
      <c r="F614" s="8">
        <f>IF(Tabela1[[#This Row],[Core Consumer Price Index]]="",#N/A,((Tabela1[[#This Row],[Core Consumer Price Index]]*1)/E613)-1)</f>
        <v>2.3419203747070405E-3</v>
      </c>
      <c r="G614" s="8">
        <f>IF(Tabela1[[#This Row],[Core Consumer Price Index]]="",#N/A,((Tabela1[[#This Row],[Core Consumer Price Index]]*1)/E602)-1)</f>
        <v>2.270011947431283E-2</v>
      </c>
      <c r="H614" s="8">
        <f t="shared" si="30"/>
        <v>2.3457718321930443E-2</v>
      </c>
      <c r="I614" s="8">
        <f t="shared" si="31"/>
        <v>2.1160747382940492E-2</v>
      </c>
      <c r="J614" s="25">
        <v>181.7</v>
      </c>
      <c r="K614" s="8">
        <f>IF(Tabela1[[#This Row],[Services CPI]]="",#N/A,((Tabela1[[#This Row],[Services CPI]]*1)/J613)-1)</f>
        <v>1.6538037486217849E-3</v>
      </c>
      <c r="L614" s="8">
        <f>IF(Tabela1[[#This Row],[Services CPI]]="",#N/A,((Tabela1[[#This Row],[Services CPI]]*1)/J602)-1)</f>
        <v>2.8296547821165863E-2</v>
      </c>
      <c r="M614" s="7">
        <v>187.5</v>
      </c>
      <c r="N614" s="8">
        <f>IF(Tabela1[[#This Row],[Core-Services CPI]]="",#N/A,((Tabela1[[#This Row],[Core-Services CPI]]*1)/M613)-1)</f>
        <v>2.673796791443861E-3</v>
      </c>
      <c r="O614" s="8">
        <f>IF(Tabela1[[#This Row],[Core-Services CPI]]="",#N/A,((Tabela1[[#This Row],[Core-Services CPI]]*1)/M602)-1)</f>
        <v>2.9654036243822013E-2</v>
      </c>
      <c r="P614" s="7">
        <v>127.7</v>
      </c>
      <c r="Q614" s="8">
        <f>IF(Tabela1[[#This Row],[Durable Goods CPI]]="",#N/A,((Tabela1[[#This Row],[Durable Goods CPI]]*1)/P613)-1)</f>
        <v>-7.8247261345842922E-4</v>
      </c>
      <c r="R614" s="8">
        <f>IF(Tabela1[[#This Row],[Durable Goods CPI]]="",#N/A,((Tabela1[[#This Row],[Durable Goods CPI]]*1)/P602)-1)</f>
        <v>-1.4660493827160392E-2</v>
      </c>
      <c r="S614" s="7">
        <v>2.6338840370000001</v>
      </c>
      <c r="T614" s="7">
        <v>70.700999999999993</v>
      </c>
      <c r="U614" s="8">
        <f>IF(Tabela1[[#This Row],[Personal Consumption Expenditures (PCE)]]="",#N/A,((Tabela1[[#This Row],[Personal Consumption Expenditures (PCE)]]*1)/T613)-1)</f>
        <v>-2.1211606991344834E-4</v>
      </c>
      <c r="V614" s="8">
        <f>IF(Tabela1[[#This Row],[Personal Consumption Expenditures (PCE)]]="",#N/A,((Tabela1[[#This Row],[Personal Consumption Expenditures (PCE)]]*1)/T602)-1)</f>
        <v>1.1256686786623504E-2</v>
      </c>
      <c r="W614" s="7">
        <v>72.099999999999994</v>
      </c>
      <c r="X614" s="8">
        <f>IF(Tabela1[[#This Row],[Core PCE]]="",#N/A,((Tabela1[[#This Row],[Core PCE]]*1)/W613)-1)</f>
        <v>5.828638041576184E-4</v>
      </c>
      <c r="Y614" s="8">
        <f>IF(Tabela1[[#This Row],[Core PCE]]="",#N/A,((Tabela1[[#This Row],[Core PCE]]*1)/W602)-1)</f>
        <v>1.4521303540271147E-2</v>
      </c>
      <c r="Z614" s="8">
        <f t="shared" si="29"/>
        <v>9.6147680804445912E-3</v>
      </c>
      <c r="AA614" s="8">
        <f t="shared" si="32"/>
        <v>9.5170546625285013E-3</v>
      </c>
      <c r="AB614" s="7">
        <v>1.73</v>
      </c>
      <c r="AC614" s="7"/>
      <c r="AD614" s="8"/>
      <c r="AE614" s="71"/>
      <c r="AF614" s="7">
        <v>2.8</v>
      </c>
      <c r="AG614" s="5"/>
    </row>
    <row r="615" spans="1:33" ht="12.75">
      <c r="A615" s="6">
        <v>35796</v>
      </c>
      <c r="B615" s="7">
        <v>162</v>
      </c>
      <c r="C615" s="8">
        <f>IF(Tabela1[[#This Row],[Consumer Price Index (CPI)]]="",#N/A,((Tabela1[[#This Row],[Consumer Price Index (CPI)]]*1)/B614)-1)</f>
        <v>1.2360939431395046E-3</v>
      </c>
      <c r="D615" s="8">
        <f>IF(Tabela1[[#This Row],[Consumer Price Index (CPI)]]="",#N/A,((Tabela1[[#This Row],[Consumer Price Index (CPI)]]*1)/B603)-1)</f>
        <v>1.6311166875784044E-2</v>
      </c>
      <c r="E615" s="25">
        <v>171.6</v>
      </c>
      <c r="F615" s="8">
        <f>IF(Tabela1[[#This Row],[Core Consumer Price Index]]="",#N/A,((Tabela1[[#This Row],[Core Consumer Price Index]]*1)/E614)-1)</f>
        <v>2.3364485981309802E-3</v>
      </c>
      <c r="G615" s="8">
        <f>IF(Tabela1[[#This Row],[Core Consumer Price Index]]="",#N/A,((Tabela1[[#This Row],[Core Consumer Price Index]]*1)/E603)-1)</f>
        <v>2.2646007151370551E-2</v>
      </c>
      <c r="H615" s="8">
        <f t="shared" si="30"/>
        <v>2.3402807661574876E-2</v>
      </c>
      <c r="I615" s="8">
        <f t="shared" si="31"/>
        <v>2.2291731946380899E-2</v>
      </c>
      <c r="J615" s="25">
        <v>182.1</v>
      </c>
      <c r="K615" s="8">
        <f>IF(Tabela1[[#This Row],[Services CPI]]="",#N/A,((Tabela1[[#This Row],[Services CPI]]*1)/J614)-1)</f>
        <v>2.2014309301046087E-3</v>
      </c>
      <c r="L615" s="8">
        <f>IF(Tabela1[[#This Row],[Services CPI]]="",#N/A,((Tabela1[[#This Row],[Services CPI]]*1)/J603)-1)</f>
        <v>2.7072758037224975E-2</v>
      </c>
      <c r="M615" s="7">
        <v>188.1</v>
      </c>
      <c r="N615" s="8">
        <f>IF(Tabela1[[#This Row],[Core-Services CPI]]="",#N/A,((Tabela1[[#This Row],[Core-Services CPI]]*1)/M614)-1)</f>
        <v>3.1999999999998696E-3</v>
      </c>
      <c r="O615" s="8">
        <f>IF(Tabela1[[#This Row],[Core-Services CPI]]="",#N/A,((Tabela1[[#This Row],[Core-Services CPI]]*1)/M603)-1)</f>
        <v>3.0684931506849367E-2</v>
      </c>
      <c r="P615" s="7">
        <v>127.8</v>
      </c>
      <c r="Q615" s="8">
        <f>IF(Tabela1[[#This Row],[Durable Goods CPI]]="",#N/A,((Tabela1[[#This Row],[Durable Goods CPI]]*1)/P614)-1)</f>
        <v>7.8308535630378096E-4</v>
      </c>
      <c r="R615" s="8">
        <f>IF(Tabela1[[#This Row],[Durable Goods CPI]]="",#N/A,((Tabela1[[#This Row],[Durable Goods CPI]]*1)/P603)-1)</f>
        <v>-1.2364760432766686E-2</v>
      </c>
      <c r="S615" s="7">
        <v>2.5648882020000001</v>
      </c>
      <c r="T615" s="7">
        <v>70.736000000000004</v>
      </c>
      <c r="U615" s="8">
        <f>IF(Tabela1[[#This Row],[Personal Consumption Expenditures (PCE)]]="",#N/A,((Tabela1[[#This Row],[Personal Consumption Expenditures (PCE)]]*1)/T614)-1)</f>
        <v>4.9504250293508356E-4</v>
      </c>
      <c r="V615" s="8">
        <f>IF(Tabela1[[#This Row],[Personal Consumption Expenditures (PCE)]]="",#N/A,((Tabela1[[#This Row],[Personal Consumption Expenditures (PCE)]]*1)/T603)-1)</f>
        <v>1.0442111277765953E-2</v>
      </c>
      <c r="W615" s="7">
        <v>72.209999999999994</v>
      </c>
      <c r="X615" s="8">
        <f>IF(Tabela1[[#This Row],[Core PCE]]="",#N/A,((Tabela1[[#This Row],[Core PCE]]*1)/W614)-1)</f>
        <v>1.5256588072121158E-3</v>
      </c>
      <c r="Y615" s="8">
        <f>IF(Tabela1[[#This Row],[Core PCE]]="",#N/A,((Tabela1[[#This Row],[Core PCE]]*1)/W603)-1)</f>
        <v>1.4983695041043354E-2</v>
      </c>
      <c r="Z615" s="8">
        <f t="shared" ref="Z615:Z678" si="33">SUM(X613:X615)*4</f>
        <v>9.655701861992938E-3</v>
      </c>
      <c r="AA615" s="8">
        <f t="shared" si="32"/>
        <v>1.1202670891741207E-2</v>
      </c>
      <c r="AB615" s="7">
        <v>1.66</v>
      </c>
      <c r="AC615" s="7"/>
      <c r="AD615" s="8"/>
      <c r="AE615" s="71"/>
      <c r="AF615" s="7">
        <v>2.2999999999999998</v>
      </c>
      <c r="AG615" s="5"/>
    </row>
    <row r="616" spans="1:33" ht="12.75">
      <c r="A616" s="6">
        <v>35827</v>
      </c>
      <c r="B616" s="7">
        <v>162</v>
      </c>
      <c r="C616" s="8">
        <f>IF(Tabela1[[#This Row],[Consumer Price Index (CPI)]]="",#N/A,((Tabela1[[#This Row],[Consumer Price Index (CPI)]]*1)/B615)-1)</f>
        <v>0</v>
      </c>
      <c r="D616" s="8">
        <f>IF(Tabela1[[#This Row],[Consumer Price Index (CPI)]]="",#N/A,((Tabela1[[#This Row],[Consumer Price Index (CPI)]]*1)/B604)-1)</f>
        <v>1.4402003757044479E-2</v>
      </c>
      <c r="E616" s="25">
        <v>171.9</v>
      </c>
      <c r="F616" s="8">
        <f>IF(Tabela1[[#This Row],[Core Consumer Price Index]]="",#N/A,((Tabela1[[#This Row],[Core Consumer Price Index]]*1)/E615)-1)</f>
        <v>1.7482517482518833E-3</v>
      </c>
      <c r="G616" s="8">
        <f>IF(Tabela1[[#This Row],[Core Consumer Price Index]]="",#N/A,((Tabela1[[#This Row],[Core Consumer Price Index]]*1)/E604)-1)</f>
        <v>2.2605591909577782E-2</v>
      </c>
      <c r="H616" s="8">
        <f t="shared" si="30"/>
        <v>2.5706482884359616E-2</v>
      </c>
      <c r="I616" s="8">
        <f t="shared" si="31"/>
        <v>2.4609685059855391E-2</v>
      </c>
      <c r="J616" s="25">
        <v>182.3</v>
      </c>
      <c r="K616" s="8">
        <f>IF(Tabela1[[#This Row],[Services CPI]]="",#N/A,((Tabela1[[#This Row],[Services CPI]]*1)/J615)-1)</f>
        <v>1.0982976386602061E-3</v>
      </c>
      <c r="L616" s="8">
        <f>IF(Tabela1[[#This Row],[Services CPI]]="",#N/A,((Tabela1[[#This Row],[Services CPI]]*1)/J604)-1)</f>
        <v>2.646396396396411E-2</v>
      </c>
      <c r="M616" s="7">
        <v>188.5</v>
      </c>
      <c r="N616" s="8">
        <f>IF(Tabela1[[#This Row],[Core-Services CPI]]="",#N/A,((Tabela1[[#This Row],[Core-Services CPI]]*1)/M615)-1)</f>
        <v>2.1265284423179764E-3</v>
      </c>
      <c r="O616" s="8">
        <f>IF(Tabela1[[#This Row],[Core-Services CPI]]="",#N/A,((Tabela1[[#This Row],[Core-Services CPI]]*1)/M604)-1)</f>
        <v>3.1181619256017479E-2</v>
      </c>
      <c r="P616" s="7">
        <v>127.9</v>
      </c>
      <c r="Q616" s="8">
        <f>IF(Tabela1[[#This Row],[Durable Goods CPI]]="",#N/A,((Tabela1[[#This Row],[Durable Goods CPI]]*1)/P615)-1)</f>
        <v>7.8247261345865127E-4</v>
      </c>
      <c r="R616" s="8">
        <f>IF(Tabela1[[#This Row],[Durable Goods CPI]]="",#N/A,((Tabela1[[#This Row],[Durable Goods CPI]]*1)/P604)-1)</f>
        <v>-1.2355212355212308E-2</v>
      </c>
      <c r="S616" s="7">
        <v>2.6365856320000001</v>
      </c>
      <c r="T616" s="7">
        <v>70.698999999999998</v>
      </c>
      <c r="U616" s="8">
        <f>IF(Tabela1[[#This Row],[Personal Consumption Expenditures (PCE)]]="",#N/A,((Tabela1[[#This Row],[Personal Consumption Expenditures (PCE)]]*1)/T615)-1)</f>
        <v>-5.2307170323462326E-4</v>
      </c>
      <c r="V616" s="8">
        <f>IF(Tabela1[[#This Row],[Personal Consumption Expenditures (PCE)]]="",#N/A,((Tabela1[[#This Row],[Personal Consumption Expenditures (PCE)]]*1)/T604)-1)</f>
        <v>7.8117204316403566E-3</v>
      </c>
      <c r="W616" s="7">
        <v>72.272000000000006</v>
      </c>
      <c r="X616" s="8">
        <f>IF(Tabela1[[#This Row],[Core PCE]]="",#N/A,((Tabela1[[#This Row],[Core PCE]]*1)/W615)-1)</f>
        <v>8.5860684115779407E-4</v>
      </c>
      <c r="Y616" s="8">
        <f>IF(Tabela1[[#This Row],[Core PCE]]="",#N/A,((Tabela1[[#This Row],[Core PCE]]*1)/W604)-1)</f>
        <v>1.3774722962547337E-2</v>
      </c>
      <c r="Z616" s="8">
        <f t="shared" si="33"/>
        <v>1.1868517810110113E-2</v>
      </c>
      <c r="AA616" s="8">
        <f t="shared" si="32"/>
        <v>1.3727605269810539E-2</v>
      </c>
      <c r="AB616" s="7">
        <v>1.61</v>
      </c>
      <c r="AC616" s="7"/>
      <c r="AD616" s="8"/>
      <c r="AE616" s="71"/>
      <c r="AF616" s="7">
        <v>2.4</v>
      </c>
      <c r="AG616" s="5"/>
    </row>
    <row r="617" spans="1:33" ht="12.75">
      <c r="A617" s="6">
        <v>35855</v>
      </c>
      <c r="B617" s="7">
        <v>162</v>
      </c>
      <c r="C617" s="8">
        <f>IF(Tabela1[[#This Row],[Consumer Price Index (CPI)]]="",#N/A,((Tabela1[[#This Row],[Consumer Price Index (CPI)]]*1)/B616)-1)</f>
        <v>0</v>
      </c>
      <c r="D617" s="8">
        <f>IF(Tabela1[[#This Row],[Consumer Price Index (CPI)]]="",#N/A,((Tabela1[[#This Row],[Consumer Price Index (CPI)]]*1)/B605)-1)</f>
        <v>1.3767209011263937E-2</v>
      </c>
      <c r="E617" s="25">
        <v>172.2</v>
      </c>
      <c r="F617" s="8">
        <f>IF(Tabela1[[#This Row],[Core Consumer Price Index]]="",#N/A,((Tabela1[[#This Row],[Core Consumer Price Index]]*1)/E616)-1)</f>
        <v>1.7452006980802626E-3</v>
      </c>
      <c r="G617" s="8">
        <f>IF(Tabela1[[#This Row],[Core Consumer Price Index]]="",#N/A,((Tabela1[[#This Row],[Core Consumer Price Index]]*1)/E605)-1)</f>
        <v>2.25653206650831E-2</v>
      </c>
      <c r="H617" s="8">
        <f t="shared" si="30"/>
        <v>2.3319604177852504E-2</v>
      </c>
      <c r="I617" s="8">
        <f t="shared" si="31"/>
        <v>2.3388661249891474E-2</v>
      </c>
      <c r="J617" s="25">
        <v>182.8</v>
      </c>
      <c r="K617" s="8">
        <f>IF(Tabela1[[#This Row],[Services CPI]]="",#N/A,((Tabela1[[#This Row],[Services CPI]]*1)/J616)-1)</f>
        <v>2.7427317608337276E-3</v>
      </c>
      <c r="L617" s="8">
        <f>IF(Tabela1[[#This Row],[Services CPI]]="",#N/A,((Tabela1[[#This Row],[Services CPI]]*1)/J605)-1)</f>
        <v>2.6966292134831482E-2</v>
      </c>
      <c r="M617" s="7">
        <v>189</v>
      </c>
      <c r="N617" s="8">
        <f>IF(Tabela1[[#This Row],[Core-Services CPI]]="",#N/A,((Tabela1[[#This Row],[Core-Services CPI]]*1)/M616)-1)</f>
        <v>2.6525198938991412E-3</v>
      </c>
      <c r="O617" s="8">
        <f>IF(Tabela1[[#This Row],[Core-Services CPI]]="",#N/A,((Tabela1[[#This Row],[Core-Services CPI]]*1)/M605)-1)</f>
        <v>3.0534351145038219E-2</v>
      </c>
      <c r="P617" s="7">
        <v>127.7</v>
      </c>
      <c r="Q617" s="8">
        <f>IF(Tabela1[[#This Row],[Durable Goods CPI]]="",#N/A,((Tabela1[[#This Row],[Durable Goods CPI]]*1)/P616)-1)</f>
        <v>-1.5637216575449253E-3</v>
      </c>
      <c r="R617" s="8">
        <f>IF(Tabela1[[#This Row],[Durable Goods CPI]]="",#N/A,((Tabela1[[#This Row],[Durable Goods CPI]]*1)/P605)-1)</f>
        <v>-1.4660493827160392E-2</v>
      </c>
      <c r="S617" s="7">
        <v>2.6863129969999999</v>
      </c>
      <c r="T617" s="7">
        <v>70.709999999999994</v>
      </c>
      <c r="U617" s="8">
        <f>IF(Tabela1[[#This Row],[Personal Consumption Expenditures (PCE)]]="",#N/A,((Tabela1[[#This Row],[Personal Consumption Expenditures (PCE)]]*1)/T616)-1)</f>
        <v>1.5558918796587662E-4</v>
      </c>
      <c r="V617" s="8">
        <f>IF(Tabela1[[#This Row],[Personal Consumption Expenditures (PCE)]]="",#N/A,((Tabela1[[#This Row],[Personal Consumption Expenditures (PCE)]]*1)/T605)-1)</f>
        <v>6.9063723745104166E-3</v>
      </c>
      <c r="W617" s="7">
        <v>72.349000000000004</v>
      </c>
      <c r="X617" s="8">
        <f>IF(Tabela1[[#This Row],[Core PCE]]="",#N/A,((Tabela1[[#This Row],[Core PCE]]*1)/W616)-1)</f>
        <v>1.0654195262342903E-3</v>
      </c>
      <c r="Y617" s="8">
        <f>IF(Tabela1[[#This Row],[Core PCE]]="",#N/A,((Tabela1[[#This Row],[Core PCE]]*1)/W605)-1)</f>
        <v>1.2440526168485899E-2</v>
      </c>
      <c r="Z617" s="8">
        <f t="shared" si="33"/>
        <v>1.37987406984168E-2</v>
      </c>
      <c r="AA617" s="8">
        <f t="shared" si="32"/>
        <v>1.1706754389430696E-2</v>
      </c>
      <c r="AB617" s="7">
        <v>1.65</v>
      </c>
      <c r="AC617" s="7"/>
      <c r="AD617" s="8"/>
      <c r="AE617" s="71"/>
      <c r="AF617" s="7">
        <v>2.5</v>
      </c>
      <c r="AG617" s="5"/>
    </row>
    <row r="618" spans="1:33" ht="12.75">
      <c r="A618" s="6">
        <v>35886</v>
      </c>
      <c r="B618" s="7">
        <v>162.19999999999999</v>
      </c>
      <c r="C618" s="8">
        <f>IF(Tabela1[[#This Row],[Consumer Price Index (CPI)]]="",#N/A,((Tabela1[[#This Row],[Consumer Price Index (CPI)]]*1)/B617)-1)</f>
        <v>1.2345679012344402E-3</v>
      </c>
      <c r="D618" s="8">
        <f>IF(Tabela1[[#This Row],[Consumer Price Index (CPI)]]="",#N/A,((Tabela1[[#This Row],[Consumer Price Index (CPI)]]*1)/B606)-1)</f>
        <v>1.4383989993745905E-2</v>
      </c>
      <c r="E618" s="25">
        <v>172.5</v>
      </c>
      <c r="F618" s="8">
        <f>IF(Tabela1[[#This Row],[Core Consumer Price Index]]="",#N/A,((Tabela1[[#This Row],[Core Consumer Price Index]]*1)/E617)-1)</f>
        <v>1.7421602787457413E-3</v>
      </c>
      <c r="G618" s="8">
        <f>IF(Tabela1[[#This Row],[Core Consumer Price Index]]="",#N/A,((Tabela1[[#This Row],[Core Consumer Price Index]]*1)/E606)-1)</f>
        <v>2.1314387211367691E-2</v>
      </c>
      <c r="H618" s="8">
        <f t="shared" si="30"/>
        <v>2.0942450900311549E-2</v>
      </c>
      <c r="I618" s="8">
        <f t="shared" si="31"/>
        <v>2.2172629280943212E-2</v>
      </c>
      <c r="J618" s="25">
        <v>183.3</v>
      </c>
      <c r="K618" s="8">
        <f>IF(Tabela1[[#This Row],[Services CPI]]="",#N/A,((Tabela1[[#This Row],[Services CPI]]*1)/J617)-1)</f>
        <v>2.7352297592997399E-3</v>
      </c>
      <c r="L618" s="8">
        <f>IF(Tabela1[[#This Row],[Services CPI]]="",#N/A,((Tabela1[[#This Row],[Services CPI]]*1)/J606)-1)</f>
        <v>2.746636771300448E-2</v>
      </c>
      <c r="M618" s="7">
        <v>189.5</v>
      </c>
      <c r="N618" s="8">
        <f>IF(Tabela1[[#This Row],[Core-Services CPI]]="",#N/A,((Tabela1[[#This Row],[Core-Services CPI]]*1)/M617)-1)</f>
        <v>2.6455026455025621E-3</v>
      </c>
      <c r="O618" s="8">
        <f>IF(Tabela1[[#This Row],[Core-Services CPI]]="",#N/A,((Tabela1[[#This Row],[Core-Services CPI]]*1)/M606)-1)</f>
        <v>3.0451332245785778E-2</v>
      </c>
      <c r="P618" s="7">
        <v>127.8</v>
      </c>
      <c r="Q618" s="8">
        <f>IF(Tabela1[[#This Row],[Durable Goods CPI]]="",#N/A,((Tabela1[[#This Row],[Durable Goods CPI]]*1)/P617)-1)</f>
        <v>7.8308535630378096E-4</v>
      </c>
      <c r="R618" s="8">
        <f>IF(Tabela1[[#This Row],[Durable Goods CPI]]="",#N/A,((Tabela1[[#This Row],[Durable Goods CPI]]*1)/P606)-1)</f>
        <v>-1.1600928074246064E-2</v>
      </c>
      <c r="S618" s="7">
        <v>2.7023556800000001</v>
      </c>
      <c r="T618" s="7">
        <v>70.798000000000002</v>
      </c>
      <c r="U618" s="8">
        <f>IF(Tabela1[[#This Row],[Personal Consumption Expenditures (PCE)]]="",#N/A,((Tabela1[[#This Row],[Personal Consumption Expenditures (PCE)]]*1)/T617)-1)</f>
        <v>1.2445198698911586E-3</v>
      </c>
      <c r="V618" s="8">
        <f>IF(Tabela1[[#This Row],[Personal Consumption Expenditures (PCE)]]="",#N/A,((Tabela1[[#This Row],[Personal Consumption Expenditures (PCE)]]*1)/T606)-1)</f>
        <v>7.1698864767975046E-3</v>
      </c>
      <c r="W618" s="7">
        <v>72.481999999999999</v>
      </c>
      <c r="X618" s="8">
        <f>IF(Tabela1[[#This Row],[Core PCE]]="",#N/A,((Tabela1[[#This Row],[Core PCE]]*1)/W617)-1)</f>
        <v>1.8383115177817988E-3</v>
      </c>
      <c r="Y618" s="8">
        <f>IF(Tabela1[[#This Row],[Core PCE]]="",#N/A,((Tabela1[[#This Row],[Core PCE]]*1)/W606)-1)</f>
        <v>1.2318435754190116E-2</v>
      </c>
      <c r="Z618" s="8">
        <f t="shared" si="33"/>
        <v>1.5049351540695532E-2</v>
      </c>
      <c r="AA618" s="8">
        <f t="shared" si="32"/>
        <v>1.2352526701344235E-2</v>
      </c>
      <c r="AB618" s="7">
        <v>1.63</v>
      </c>
      <c r="AC618" s="7"/>
      <c r="AD618" s="8"/>
      <c r="AE618" s="71"/>
      <c r="AF618" s="7">
        <v>2.4</v>
      </c>
      <c r="AG618" s="5"/>
    </row>
    <row r="619" spans="1:33" ht="12.75">
      <c r="A619" s="6">
        <v>35916</v>
      </c>
      <c r="B619" s="7">
        <v>162.6</v>
      </c>
      <c r="C619" s="8">
        <f>IF(Tabela1[[#This Row],[Consumer Price Index (CPI)]]="",#N/A,((Tabela1[[#This Row],[Consumer Price Index (CPI)]]*1)/B618)-1)</f>
        <v>2.4660912453762229E-3</v>
      </c>
      <c r="D619" s="8">
        <f>IF(Tabela1[[#This Row],[Consumer Price Index (CPI)]]="",#N/A,((Tabela1[[#This Row],[Consumer Price Index (CPI)]]*1)/B607)-1)</f>
        <v>1.6885553470919357E-2</v>
      </c>
      <c r="E619" s="25">
        <v>172.9</v>
      </c>
      <c r="F619" s="8">
        <f>IF(Tabela1[[#This Row],[Core Consumer Price Index]]="",#N/A,((Tabela1[[#This Row],[Core Consumer Price Index]]*1)/E618)-1)</f>
        <v>2.3188405797101019E-3</v>
      </c>
      <c r="G619" s="8">
        <f>IF(Tabela1[[#This Row],[Core Consumer Price Index]]="",#N/A,((Tabela1[[#This Row],[Core Consumer Price Index]]*1)/E607)-1)</f>
        <v>2.1867612293144267E-2</v>
      </c>
      <c r="H619" s="8">
        <f t="shared" si="30"/>
        <v>2.3224806226144423E-2</v>
      </c>
      <c r="I619" s="8">
        <f t="shared" si="31"/>
        <v>2.446564455525202E-2</v>
      </c>
      <c r="J619" s="25">
        <v>183.7</v>
      </c>
      <c r="K619" s="8">
        <f>IF(Tabela1[[#This Row],[Services CPI]]="",#N/A,((Tabela1[[#This Row],[Services CPI]]*1)/J618)-1)</f>
        <v>2.1822149481722786E-3</v>
      </c>
      <c r="L619" s="8">
        <f>IF(Tabela1[[#This Row],[Services CPI]]="",#N/A,((Tabela1[[#This Row],[Services CPI]]*1)/J607)-1)</f>
        <v>2.7979854504756485E-2</v>
      </c>
      <c r="M619" s="7">
        <v>190</v>
      </c>
      <c r="N619" s="8">
        <f>IF(Tabela1[[#This Row],[Core-Services CPI]]="",#N/A,((Tabela1[[#This Row],[Core-Services CPI]]*1)/M618)-1)</f>
        <v>2.6385224274405594E-3</v>
      </c>
      <c r="O619" s="8">
        <f>IF(Tabela1[[#This Row],[Core-Services CPI]]="",#N/A,((Tabela1[[#This Row],[Core-Services CPI]]*1)/M607)-1)</f>
        <v>3.0927835051546282E-2</v>
      </c>
      <c r="P619" s="7">
        <v>127.5</v>
      </c>
      <c r="Q619" s="8">
        <f>IF(Tabela1[[#This Row],[Durable Goods CPI]]="",#N/A,((Tabela1[[#This Row],[Durable Goods CPI]]*1)/P618)-1)</f>
        <v>-2.3474178403755097E-3</v>
      </c>
      <c r="R619" s="8">
        <f>IF(Tabela1[[#This Row],[Durable Goods CPI]]="",#N/A,((Tabela1[[#This Row],[Durable Goods CPI]]*1)/P607)-1)</f>
        <v>-1.392111368909521E-2</v>
      </c>
      <c r="S619" s="7">
        <v>2.6827929410000002</v>
      </c>
      <c r="T619" s="7">
        <v>70.894999999999996</v>
      </c>
      <c r="U619" s="8">
        <f>IF(Tabela1[[#This Row],[Personal Consumption Expenditures (PCE)]]="",#N/A,((Tabela1[[#This Row],[Personal Consumption Expenditures (PCE)]]*1)/T618)-1)</f>
        <v>1.3700952004294109E-3</v>
      </c>
      <c r="V619" s="8">
        <f>IF(Tabela1[[#This Row],[Personal Consumption Expenditures (PCE)]]="",#N/A,((Tabela1[[#This Row],[Personal Consumption Expenditures (PCE)]]*1)/T607)-1)</f>
        <v>9.0091372292275818E-3</v>
      </c>
      <c r="W619" s="7">
        <v>72.552000000000007</v>
      </c>
      <c r="X619" s="8">
        <f>IF(Tabela1[[#This Row],[Core PCE]]="",#N/A,((Tabela1[[#This Row],[Core PCE]]*1)/W618)-1)</f>
        <v>9.6575701553502924E-4</v>
      </c>
      <c r="Y619" s="8">
        <f>IF(Tabela1[[#This Row],[Core PCE]]="",#N/A,((Tabela1[[#This Row],[Core PCE]]*1)/W607)-1)</f>
        <v>1.256071009881099E-2</v>
      </c>
      <c r="Z619" s="8">
        <f t="shared" si="33"/>
        <v>1.5477952238204473E-2</v>
      </c>
      <c r="AA619" s="8">
        <f t="shared" si="32"/>
        <v>1.3673235024157293E-2</v>
      </c>
      <c r="AB619" s="7">
        <v>1.71</v>
      </c>
      <c r="AC619" s="7"/>
      <c r="AD619" s="8"/>
      <c r="AE619" s="71"/>
      <c r="AF619" s="7">
        <v>2.6</v>
      </c>
      <c r="AG619" s="5"/>
    </row>
    <row r="620" spans="1:33" ht="12.75">
      <c r="A620" s="6">
        <v>35947</v>
      </c>
      <c r="B620" s="7">
        <v>162.80000000000001</v>
      </c>
      <c r="C620" s="8">
        <f>IF(Tabela1[[#This Row],[Consumer Price Index (CPI)]]="",#N/A,((Tabela1[[#This Row],[Consumer Price Index (CPI)]]*1)/B619)-1)</f>
        <v>1.2300123001232066E-3</v>
      </c>
      <c r="D620" s="8">
        <f>IF(Tabela1[[#This Row],[Consumer Price Index (CPI)]]="",#N/A,((Tabela1[[#This Row],[Consumer Price Index (CPI)]]*1)/B608)-1)</f>
        <v>1.6229712858926382E-2</v>
      </c>
      <c r="E620" s="25">
        <v>173.2</v>
      </c>
      <c r="F620" s="8">
        <f>IF(Tabela1[[#This Row],[Core Consumer Price Index]]="",#N/A,((Tabela1[[#This Row],[Core Consumer Price Index]]*1)/E619)-1)</f>
        <v>1.7351069982647349E-3</v>
      </c>
      <c r="G620" s="8">
        <f>IF(Tabela1[[#This Row],[Core Consumer Price Index]]="",#N/A,((Tabela1[[#This Row],[Core Consumer Price Index]]*1)/E608)-1)</f>
        <v>2.2432113341204207E-2</v>
      </c>
      <c r="H620" s="8">
        <f t="shared" si="30"/>
        <v>2.3184431426882313E-2</v>
      </c>
      <c r="I620" s="8">
        <f t="shared" si="31"/>
        <v>2.3252017802367408E-2</v>
      </c>
      <c r="J620" s="25">
        <v>184</v>
      </c>
      <c r="K620" s="8">
        <f>IF(Tabela1[[#This Row],[Services CPI]]="",#N/A,((Tabela1[[#This Row],[Services CPI]]*1)/J619)-1)</f>
        <v>1.6330974414806576E-3</v>
      </c>
      <c r="L620" s="8">
        <f>IF(Tabela1[[#This Row],[Services CPI]]="",#N/A,((Tabela1[[#This Row],[Services CPI]]*1)/J608)-1)</f>
        <v>2.6785714285714413E-2</v>
      </c>
      <c r="M620" s="7">
        <v>190.3</v>
      </c>
      <c r="N620" s="8">
        <f>IF(Tabela1[[#This Row],[Core-Services CPI]]="",#N/A,((Tabela1[[#This Row],[Core-Services CPI]]*1)/M619)-1)</f>
        <v>1.5789473684211242E-3</v>
      </c>
      <c r="O620" s="8">
        <f>IF(Tabela1[[#This Row],[Core-Services CPI]]="",#N/A,((Tabela1[[#This Row],[Core-Services CPI]]*1)/M608)-1)</f>
        <v>2.9761904761904656E-2</v>
      </c>
      <c r="P620" s="7">
        <v>127.5</v>
      </c>
      <c r="Q620" s="8">
        <f>IF(Tabela1[[#This Row],[Durable Goods CPI]]="",#N/A,((Tabela1[[#This Row],[Durable Goods CPI]]*1)/P619)-1)</f>
        <v>0</v>
      </c>
      <c r="R620" s="8">
        <f>IF(Tabela1[[#This Row],[Durable Goods CPI]]="",#N/A,((Tabela1[[#This Row],[Durable Goods CPI]]*1)/P608)-1)</f>
        <v>-1.1627906976744207E-2</v>
      </c>
      <c r="S620" s="7">
        <v>2.6505509269999998</v>
      </c>
      <c r="T620" s="7">
        <v>70.834999999999994</v>
      </c>
      <c r="U620" s="8">
        <f>IF(Tabela1[[#This Row],[Personal Consumption Expenditures (PCE)]]="",#N/A,((Tabela1[[#This Row],[Personal Consumption Expenditures (PCE)]]*1)/T619)-1)</f>
        <v>-8.4632202553069913E-4</v>
      </c>
      <c r="V620" s="8">
        <f>IF(Tabela1[[#This Row],[Personal Consumption Expenditures (PCE)]]="",#N/A,((Tabela1[[#This Row],[Personal Consumption Expenditures (PCE)]]*1)/T608)-1)</f>
        <v>6.8654764612234853E-3</v>
      </c>
      <c r="W620" s="7">
        <v>72.460999999999999</v>
      </c>
      <c r="X620" s="8">
        <f>IF(Tabela1[[#This Row],[Core PCE]]="",#N/A,((Tabela1[[#This Row],[Core PCE]]*1)/W619)-1)</f>
        <v>-1.2542727974419465E-3</v>
      </c>
      <c r="Y620" s="8">
        <f>IF(Tabela1[[#This Row],[Core PCE]]="",#N/A,((Tabela1[[#This Row],[Core PCE]]*1)/W608)-1)</f>
        <v>9.7968170796287612E-3</v>
      </c>
      <c r="Z620" s="8">
        <f t="shared" si="33"/>
        <v>6.199182943499526E-3</v>
      </c>
      <c r="AA620" s="8">
        <f t="shared" si="32"/>
        <v>9.9989618209581632E-3</v>
      </c>
      <c r="AB620" s="7">
        <v>1.64</v>
      </c>
      <c r="AC620" s="7"/>
      <c r="AD620" s="8"/>
      <c r="AE620" s="71"/>
      <c r="AF620" s="7">
        <v>2.7</v>
      </c>
      <c r="AG620" s="5"/>
    </row>
    <row r="621" spans="1:33" ht="12.75">
      <c r="A621" s="6">
        <v>35977</v>
      </c>
      <c r="B621" s="7">
        <v>163.19999999999999</v>
      </c>
      <c r="C621" s="8">
        <f>IF(Tabela1[[#This Row],[Consumer Price Index (CPI)]]="",#N/A,((Tabela1[[#This Row],[Consumer Price Index (CPI)]]*1)/B620)-1)</f>
        <v>2.4570024570023108E-3</v>
      </c>
      <c r="D621" s="8">
        <f>IF(Tabela1[[#This Row],[Consumer Price Index (CPI)]]="",#N/A,((Tabela1[[#This Row],[Consumer Price Index (CPI)]]*1)/B609)-1)</f>
        <v>1.7456359102244301E-2</v>
      </c>
      <c r="E621" s="25">
        <v>173.5</v>
      </c>
      <c r="F621" s="8">
        <f>IF(Tabela1[[#This Row],[Core Consumer Price Index]]="",#N/A,((Tabela1[[#This Row],[Core Consumer Price Index]]*1)/E620)-1)</f>
        <v>1.7321016166282899E-3</v>
      </c>
      <c r="G621" s="8">
        <f>IF(Tabela1[[#This Row],[Core Consumer Price Index]]="",#N/A,((Tabela1[[#This Row],[Core Consumer Price Index]]*1)/E609)-1)</f>
        <v>2.2392457277548683E-2</v>
      </c>
      <c r="H621" s="8">
        <f t="shared" si="30"/>
        <v>2.3144196778412507E-2</v>
      </c>
      <c r="I621" s="8">
        <f t="shared" si="31"/>
        <v>2.2043323839362028E-2</v>
      </c>
      <c r="J621" s="25">
        <v>184.3</v>
      </c>
      <c r="K621" s="8">
        <f>IF(Tabela1[[#This Row],[Services CPI]]="",#N/A,((Tabela1[[#This Row],[Services CPI]]*1)/J620)-1)</f>
        <v>1.630434782608825E-3</v>
      </c>
      <c r="L621" s="8">
        <f>IF(Tabela1[[#This Row],[Services CPI]]="",#N/A,((Tabela1[[#This Row],[Services CPI]]*1)/J609)-1)</f>
        <v>2.5598219254312937E-2</v>
      </c>
      <c r="M621" s="7">
        <v>190.7</v>
      </c>
      <c r="N621" s="8">
        <f>IF(Tabela1[[#This Row],[Core-Services CPI]]="",#N/A,((Tabela1[[#This Row],[Core-Services CPI]]*1)/M620)-1)</f>
        <v>2.1019442984759884E-3</v>
      </c>
      <c r="O621" s="8">
        <f>IF(Tabela1[[#This Row],[Core-Services CPI]]="",#N/A,((Tabela1[[#This Row],[Core-Services CPI]]*1)/M609)-1)</f>
        <v>2.9141932002158644E-2</v>
      </c>
      <c r="P621" s="7">
        <v>127.8</v>
      </c>
      <c r="Q621" s="8">
        <f>IF(Tabela1[[#This Row],[Durable Goods CPI]]="",#N/A,((Tabela1[[#This Row],[Durable Goods CPI]]*1)/P620)-1)</f>
        <v>2.3529411764706687E-3</v>
      </c>
      <c r="R621" s="8">
        <f>IF(Tabela1[[#This Row],[Durable Goods CPI]]="",#N/A,((Tabela1[[#This Row],[Durable Goods CPI]]*1)/P609)-1)</f>
        <v>-6.2208398133747345E-3</v>
      </c>
      <c r="S621" s="7">
        <v>2.6211999459999999</v>
      </c>
      <c r="T621" s="7">
        <v>71.010000000000005</v>
      </c>
      <c r="U621" s="8">
        <f>IF(Tabela1[[#This Row],[Personal Consumption Expenditures (PCE)]]="",#N/A,((Tabela1[[#This Row],[Personal Consumption Expenditures (PCE)]]*1)/T620)-1)</f>
        <v>2.4705301051741735E-3</v>
      </c>
      <c r="V621" s="8">
        <f>IF(Tabela1[[#This Row],[Personal Consumption Expenditures (PCE)]]="",#N/A,((Tabela1[[#This Row],[Personal Consumption Expenditures (PCE)]]*1)/T609)-1)</f>
        <v>8.7507458021991447E-3</v>
      </c>
      <c r="W621" s="7">
        <v>72.665000000000006</v>
      </c>
      <c r="X621" s="8">
        <f>IF(Tabela1[[#This Row],[Core PCE]]="",#N/A,((Tabela1[[#This Row],[Core PCE]]*1)/W620)-1)</f>
        <v>2.8153075447483467E-3</v>
      </c>
      <c r="Y621" s="8">
        <f>IF(Tabela1[[#This Row],[Core PCE]]="",#N/A,((Tabela1[[#This Row],[Core PCE]]*1)/W609)-1)</f>
        <v>1.1948695809600896E-2</v>
      </c>
      <c r="Z621" s="8">
        <f t="shared" si="33"/>
        <v>1.0107167051365717E-2</v>
      </c>
      <c r="AA621" s="8">
        <f t="shared" si="32"/>
        <v>1.2578259296030625E-2</v>
      </c>
      <c r="AB621" s="7">
        <v>1.69</v>
      </c>
      <c r="AC621" s="7"/>
      <c r="AD621" s="8"/>
      <c r="AE621" s="71"/>
      <c r="AF621" s="7">
        <v>2.6</v>
      </c>
      <c r="AG621" s="5"/>
    </row>
    <row r="622" spans="1:33" ht="12.75">
      <c r="A622" s="6">
        <v>36008</v>
      </c>
      <c r="B622" s="7">
        <v>163.4</v>
      </c>
      <c r="C622" s="8">
        <f>IF(Tabela1[[#This Row],[Consumer Price Index (CPI)]]="",#N/A,((Tabela1[[#This Row],[Consumer Price Index (CPI)]]*1)/B621)-1)</f>
        <v>1.225490196078427E-3</v>
      </c>
      <c r="D622" s="8">
        <f>IF(Tabela1[[#This Row],[Consumer Price Index (CPI)]]="",#N/A,((Tabela1[[#This Row],[Consumer Price Index (CPI)]]*1)/B610)-1)</f>
        <v>1.6169154228855787E-2</v>
      </c>
      <c r="E622" s="25">
        <v>174</v>
      </c>
      <c r="F622" s="8">
        <f>IF(Tabela1[[#This Row],[Core Consumer Price Index]]="",#N/A,((Tabela1[[#This Row],[Core Consumer Price Index]]*1)/E621)-1)</f>
        <v>2.8818443804035088E-3</v>
      </c>
      <c r="G622" s="8">
        <f>IF(Tabela1[[#This Row],[Core Consumer Price Index]]="",#N/A,((Tabela1[[#This Row],[Core Consumer Price Index]]*1)/E610)-1)</f>
        <v>2.4734982332155431E-2</v>
      </c>
      <c r="H622" s="8">
        <f t="shared" si="30"/>
        <v>2.5396211981186134E-2</v>
      </c>
      <c r="I622" s="8">
        <f t="shared" si="31"/>
        <v>2.4310509103665279E-2</v>
      </c>
      <c r="J622" s="25">
        <v>184.7</v>
      </c>
      <c r="K622" s="8">
        <f>IF(Tabela1[[#This Row],[Services CPI]]="",#N/A,((Tabela1[[#This Row],[Services CPI]]*1)/J621)-1)</f>
        <v>2.1703743895820082E-3</v>
      </c>
      <c r="L622" s="8">
        <f>IF(Tabela1[[#This Row],[Services CPI]]="",#N/A,((Tabela1[[#This Row],[Services CPI]]*1)/J610)-1)</f>
        <v>2.6681489716509077E-2</v>
      </c>
      <c r="M622" s="7">
        <v>191.2</v>
      </c>
      <c r="N622" s="8">
        <f>IF(Tabela1[[#This Row],[Core-Services CPI]]="",#N/A,((Tabela1[[#This Row],[Core-Services CPI]]*1)/M621)-1)</f>
        <v>2.6219192448873052E-3</v>
      </c>
      <c r="O622" s="8">
        <f>IF(Tabela1[[#This Row],[Core-Services CPI]]="",#N/A,((Tabela1[[#This Row],[Core-Services CPI]]*1)/M610)-1)</f>
        <v>3.0172413793103425E-2</v>
      </c>
      <c r="P622" s="7">
        <v>127.8</v>
      </c>
      <c r="Q622" s="8">
        <f>IF(Tabela1[[#This Row],[Durable Goods CPI]]="",#N/A,((Tabela1[[#This Row],[Durable Goods CPI]]*1)/P621)-1)</f>
        <v>0</v>
      </c>
      <c r="R622" s="8">
        <f>IF(Tabela1[[#This Row],[Durable Goods CPI]]="",#N/A,((Tabela1[[#This Row],[Durable Goods CPI]]*1)/P610)-1)</f>
        <v>-3.8971161340608518E-3</v>
      </c>
      <c r="S622" s="7">
        <v>2.610692088</v>
      </c>
      <c r="T622" s="7">
        <v>71.108000000000004</v>
      </c>
      <c r="U622" s="8">
        <f>IF(Tabela1[[#This Row],[Personal Consumption Expenditures (PCE)]]="",#N/A,((Tabela1[[#This Row],[Personal Consumption Expenditures (PCE)]]*1)/T621)-1)</f>
        <v>1.3800873116462942E-3</v>
      </c>
      <c r="V622" s="8">
        <f>IF(Tabela1[[#This Row],[Personal Consumption Expenditures (PCE)]]="",#N/A,((Tabela1[[#This Row],[Personal Consumption Expenditures (PCE)]]*1)/T610)-1)</f>
        <v>9.3399574166075361E-3</v>
      </c>
      <c r="W622" s="7">
        <v>72.807000000000002</v>
      </c>
      <c r="X622" s="8">
        <f>IF(Tabela1[[#This Row],[Core PCE]]="",#N/A,((Tabela1[[#This Row],[Core PCE]]*1)/W621)-1)</f>
        <v>1.9541732608545637E-3</v>
      </c>
      <c r="Y622" s="8">
        <f>IF(Tabela1[[#This Row],[Core PCE]]="",#N/A,((Tabela1[[#This Row],[Core PCE]]*1)/W610)-1)</f>
        <v>1.4335868929198359E-2</v>
      </c>
      <c r="Z622" s="8">
        <f t="shared" si="33"/>
        <v>1.4060832032643855E-2</v>
      </c>
      <c r="AA622" s="8">
        <f t="shared" si="32"/>
        <v>1.4769392135424164E-2</v>
      </c>
      <c r="AB622" s="7">
        <v>1.75</v>
      </c>
      <c r="AC622" s="7"/>
      <c r="AD622" s="8"/>
      <c r="AE622" s="71"/>
      <c r="AF622" s="7">
        <v>2.4</v>
      </c>
      <c r="AG622" s="5"/>
    </row>
    <row r="623" spans="1:33" ht="12.75">
      <c r="A623" s="6">
        <v>36039</v>
      </c>
      <c r="B623" s="7">
        <v>163.5</v>
      </c>
      <c r="C623" s="8">
        <f>IF(Tabela1[[#This Row],[Consumer Price Index (CPI)]]="",#N/A,((Tabela1[[#This Row],[Consumer Price Index (CPI)]]*1)/B622)-1)</f>
        <v>6.1199510403908697E-4</v>
      </c>
      <c r="D623" s="8">
        <f>IF(Tabela1[[#This Row],[Consumer Price Index (CPI)]]="",#N/A,((Tabela1[[#This Row],[Consumer Price Index (CPI)]]*1)/B611)-1)</f>
        <v>1.4267990074441794E-2</v>
      </c>
      <c r="E623" s="25">
        <v>174.2</v>
      </c>
      <c r="F623" s="8">
        <f>IF(Tabela1[[#This Row],[Core Consumer Price Index]]="",#N/A,((Tabela1[[#This Row],[Core Consumer Price Index]]*1)/E622)-1)</f>
        <v>1.1494252873562871E-3</v>
      </c>
      <c r="G623" s="8">
        <f>IF(Tabela1[[#This Row],[Core Consumer Price Index]]="",#N/A,((Tabela1[[#This Row],[Core Consumer Price Index]]*1)/E611)-1)</f>
        <v>2.3501762632197387E-2</v>
      </c>
      <c r="H623" s="8">
        <f t="shared" si="30"/>
        <v>2.3053485137552343E-2</v>
      </c>
      <c r="I623" s="8">
        <f t="shared" si="31"/>
        <v>2.3118958282217328E-2</v>
      </c>
      <c r="J623" s="25">
        <v>185.1</v>
      </c>
      <c r="K623" s="8">
        <f>IF(Tabela1[[#This Row],[Services CPI]]="",#N/A,((Tabela1[[#This Row],[Services CPI]]*1)/J622)-1)</f>
        <v>2.1656740660531693E-3</v>
      </c>
      <c r="L623" s="8">
        <f>IF(Tabela1[[#This Row],[Services CPI]]="",#N/A,((Tabela1[[#This Row],[Services CPI]]*1)/J611)-1)</f>
        <v>2.6053215077605163E-2</v>
      </c>
      <c r="M623" s="7">
        <v>191.8</v>
      </c>
      <c r="N623" s="8">
        <f>IF(Tabela1[[#This Row],[Core-Services CPI]]="",#N/A,((Tabela1[[#This Row],[Core-Services CPI]]*1)/M622)-1)</f>
        <v>3.13807531380772E-3</v>
      </c>
      <c r="O623" s="8">
        <f>IF(Tabela1[[#This Row],[Core-Services CPI]]="",#N/A,((Tabela1[[#This Row],[Core-Services CPI]]*1)/M611)-1)</f>
        <v>3.1182795698924792E-2</v>
      </c>
      <c r="P623" s="7">
        <v>127.3</v>
      </c>
      <c r="Q623" s="8">
        <f>IF(Tabela1[[#This Row],[Durable Goods CPI]]="",#N/A,((Tabela1[[#This Row],[Durable Goods CPI]]*1)/P622)-1)</f>
        <v>-3.9123630672925902E-3</v>
      </c>
      <c r="R623" s="8">
        <f>IF(Tabela1[[#This Row],[Durable Goods CPI]]="",#N/A,((Tabela1[[#This Row],[Durable Goods CPI]]*1)/P611)-1)</f>
        <v>-6.2451209992193668E-3</v>
      </c>
      <c r="S623" s="7">
        <v>2.613395599</v>
      </c>
      <c r="T623" s="7">
        <v>71.066999999999993</v>
      </c>
      <c r="U623" s="8">
        <f>IF(Tabela1[[#This Row],[Personal Consumption Expenditures (PCE)]]="",#N/A,((Tabela1[[#This Row],[Personal Consumption Expenditures (PCE)]]*1)/T622)-1)</f>
        <v>-5.76587725713118E-4</v>
      </c>
      <c r="V623" s="8">
        <f>IF(Tabela1[[#This Row],[Personal Consumption Expenditures (PCE)]]="",#N/A,((Tabela1[[#This Row],[Personal Consumption Expenditures (PCE)]]*1)/T611)-1)</f>
        <v>6.3296516567543648E-3</v>
      </c>
      <c r="W623" s="7">
        <v>72.795000000000002</v>
      </c>
      <c r="X623" s="8">
        <f>IF(Tabela1[[#This Row],[Core PCE]]="",#N/A,((Tabela1[[#This Row],[Core PCE]]*1)/W622)-1)</f>
        <v>-1.6481931682388318E-4</v>
      </c>
      <c r="Y623" s="8">
        <f>IF(Tabela1[[#This Row],[Core PCE]]="",#N/A,((Tabela1[[#This Row],[Core PCE]]*1)/W611)-1)</f>
        <v>1.2067790954717994E-2</v>
      </c>
      <c r="Z623" s="8">
        <f t="shared" si="33"/>
        <v>1.8418645955116109E-2</v>
      </c>
      <c r="AA623" s="8">
        <f t="shared" si="32"/>
        <v>1.2308914449307817E-2</v>
      </c>
      <c r="AB623" s="7">
        <v>1.7</v>
      </c>
      <c r="AC623" s="7"/>
      <c r="AD623" s="8"/>
      <c r="AE623" s="71"/>
      <c r="AF623" s="7">
        <v>2.2999999999999998</v>
      </c>
      <c r="AG623" s="5"/>
    </row>
    <row r="624" spans="1:33" ht="12.75">
      <c r="A624" s="6">
        <v>36069</v>
      </c>
      <c r="B624" s="7">
        <v>163.9</v>
      </c>
      <c r="C624" s="8">
        <f>IF(Tabela1[[#This Row],[Consumer Price Index (CPI)]]="",#N/A,((Tabela1[[#This Row],[Consumer Price Index (CPI)]]*1)/B623)-1)</f>
        <v>2.4464831804280607E-3</v>
      </c>
      <c r="D624" s="8">
        <f>IF(Tabela1[[#This Row],[Consumer Price Index (CPI)]]="",#N/A,((Tabela1[[#This Row],[Consumer Price Index (CPI)]]*1)/B612)-1)</f>
        <v>1.4860681114551078E-2</v>
      </c>
      <c r="E624" s="25">
        <v>174.4</v>
      </c>
      <c r="F624" s="8">
        <f>IF(Tabela1[[#This Row],[Core Consumer Price Index]]="",#N/A,((Tabela1[[#This Row],[Core Consumer Price Index]]*1)/E623)-1)</f>
        <v>1.1481056257176547E-3</v>
      </c>
      <c r="G624" s="8">
        <f>IF(Tabela1[[#This Row],[Core Consumer Price Index]]="",#N/A,((Tabela1[[#This Row],[Core Consumer Price Index]]*1)/E612)-1)</f>
        <v>2.2274325908558046E-2</v>
      </c>
      <c r="H624" s="8">
        <f t="shared" si="30"/>
        <v>2.0717501173909803E-2</v>
      </c>
      <c r="I624" s="8">
        <f t="shared" si="31"/>
        <v>2.1930848976161155E-2</v>
      </c>
      <c r="J624" s="25">
        <v>185.5</v>
      </c>
      <c r="K624" s="8">
        <f>IF(Tabela1[[#This Row],[Services CPI]]="",#N/A,((Tabela1[[#This Row],[Services CPI]]*1)/J623)-1)</f>
        <v>2.160994057266441E-3</v>
      </c>
      <c r="L624" s="8">
        <f>IF(Tabela1[[#This Row],[Services CPI]]="",#N/A,((Tabela1[[#This Row],[Services CPI]]*1)/J612)-1)</f>
        <v>2.5428413488114865E-2</v>
      </c>
      <c r="M624" s="7">
        <v>192.2</v>
      </c>
      <c r="N624" s="8">
        <f>IF(Tabela1[[#This Row],[Core-Services CPI]]="",#N/A,((Tabela1[[#This Row],[Core-Services CPI]]*1)/M623)-1)</f>
        <v>2.085505735140547E-3</v>
      </c>
      <c r="O624" s="8">
        <f>IF(Tabela1[[#This Row],[Core-Services CPI]]="",#N/A,((Tabela1[[#This Row],[Core-Services CPI]]*1)/M612)-1)</f>
        <v>3.0010718113612E-2</v>
      </c>
      <c r="P624" s="7">
        <v>127.1</v>
      </c>
      <c r="Q624" s="8">
        <f>IF(Tabela1[[#This Row],[Durable Goods CPI]]="",#N/A,((Tabela1[[#This Row],[Durable Goods CPI]]*1)/P623)-1)</f>
        <v>-1.5710919088767206E-3</v>
      </c>
      <c r="R624" s="8">
        <f>IF(Tabela1[[#This Row],[Durable Goods CPI]]="",#N/A,((Tabela1[[#This Row],[Durable Goods CPI]]*1)/P612)-1)</f>
        <v>-7.8064012490242085E-3</v>
      </c>
      <c r="S624" s="7">
        <v>2.643666793</v>
      </c>
      <c r="T624" s="7">
        <v>71.222999999999999</v>
      </c>
      <c r="U624" s="8">
        <f>IF(Tabela1[[#This Row],[Personal Consumption Expenditures (PCE)]]="",#N/A,((Tabela1[[#This Row],[Personal Consumption Expenditures (PCE)]]*1)/T623)-1)</f>
        <v>2.1951116551985894E-3</v>
      </c>
      <c r="V624" s="8">
        <f>IF(Tabela1[[#This Row],[Personal Consumption Expenditures (PCE)]]="",#N/A,((Tabela1[[#This Row],[Personal Consumption Expenditures (PCE)]]*1)/T612)-1)</f>
        <v>7.2264962099783947E-3</v>
      </c>
      <c r="W624" s="7">
        <v>72.936999999999998</v>
      </c>
      <c r="X624" s="8">
        <f>IF(Tabela1[[#This Row],[Core PCE]]="",#N/A,((Tabela1[[#This Row],[Core PCE]]*1)/W623)-1)</f>
        <v>1.9506834260594186E-3</v>
      </c>
      <c r="Y624" s="8">
        <f>IF(Tabela1[[#This Row],[Core PCE]]="",#N/A,((Tabela1[[#This Row],[Core PCE]]*1)/W612)-1)</f>
        <v>1.2507635071353107E-2</v>
      </c>
      <c r="Z624" s="8">
        <f t="shared" si="33"/>
        <v>1.4960149480360396E-2</v>
      </c>
      <c r="AA624" s="8">
        <f t="shared" si="32"/>
        <v>1.2533658265863057E-2</v>
      </c>
      <c r="AB624" s="7">
        <v>1.77</v>
      </c>
      <c r="AC624" s="7"/>
      <c r="AD624" s="8"/>
      <c r="AE624" s="71"/>
      <c r="AF624" s="7">
        <v>2.5</v>
      </c>
      <c r="AG624" s="5"/>
    </row>
    <row r="625" spans="1:33" ht="12.75">
      <c r="A625" s="6">
        <v>36100</v>
      </c>
      <c r="B625" s="7">
        <v>164.1</v>
      </c>
      <c r="C625" s="8">
        <f>IF(Tabela1[[#This Row],[Consumer Price Index (CPI)]]="",#N/A,((Tabela1[[#This Row],[Consumer Price Index (CPI)]]*1)/B624)-1)</f>
        <v>1.2202562538132788E-3</v>
      </c>
      <c r="D625" s="8">
        <f>IF(Tabela1[[#This Row],[Consumer Price Index (CPI)]]="",#N/A,((Tabela1[[#This Row],[Consumer Price Index (CPI)]]*1)/B613)-1)</f>
        <v>1.4842300556586308E-2</v>
      </c>
      <c r="E625" s="25">
        <v>174.8</v>
      </c>
      <c r="F625" s="8">
        <f>IF(Tabela1[[#This Row],[Core Consumer Price Index]]="",#N/A,((Tabela1[[#This Row],[Core Consumer Price Index]]*1)/E624)-1)</f>
        <v>2.2935779816513069E-3</v>
      </c>
      <c r="G625" s="8">
        <f>IF(Tabela1[[#This Row],[Core Consumer Price Index]]="",#N/A,((Tabela1[[#This Row],[Core Consumer Price Index]]*1)/E613)-1)</f>
        <v>2.3419203747072626E-2</v>
      </c>
      <c r="H625" s="8">
        <f t="shared" si="30"/>
        <v>1.8364435578900995E-2</v>
      </c>
      <c r="I625" s="8">
        <f t="shared" si="31"/>
        <v>2.1880323780043565E-2</v>
      </c>
      <c r="J625" s="25">
        <v>186</v>
      </c>
      <c r="K625" s="8">
        <f>IF(Tabela1[[#This Row],[Services CPI]]="",#N/A,((Tabela1[[#This Row],[Services CPI]]*1)/J624)-1)</f>
        <v>2.6954177897573484E-3</v>
      </c>
      <c r="L625" s="8">
        <f>IF(Tabela1[[#This Row],[Services CPI]]="",#N/A,((Tabela1[[#This Row],[Services CPI]]*1)/J613)-1)</f>
        <v>2.5358324145534628E-2</v>
      </c>
      <c r="M625" s="7">
        <v>192.8</v>
      </c>
      <c r="N625" s="8">
        <f>IF(Tabela1[[#This Row],[Core-Services CPI]]="",#N/A,((Tabela1[[#This Row],[Core-Services CPI]]*1)/M624)-1)</f>
        <v>3.1217481789802548E-3</v>
      </c>
      <c r="O625" s="8">
        <f>IF(Tabela1[[#This Row],[Core-Services CPI]]="",#N/A,((Tabela1[[#This Row],[Core-Services CPI]]*1)/M613)-1)</f>
        <v>3.1016042780748654E-2</v>
      </c>
      <c r="P625" s="7">
        <v>127.2</v>
      </c>
      <c r="Q625" s="8">
        <f>IF(Tabela1[[#This Row],[Durable Goods CPI]]="",#N/A,((Tabela1[[#This Row],[Durable Goods CPI]]*1)/P624)-1)</f>
        <v>7.8678206136917339E-4</v>
      </c>
      <c r="R625" s="8">
        <f>IF(Tabela1[[#This Row],[Durable Goods CPI]]="",#N/A,((Tabela1[[#This Row],[Durable Goods CPI]]*1)/P613)-1)</f>
        <v>-4.6948356807511304E-3</v>
      </c>
      <c r="S625" s="7">
        <v>2.603431515</v>
      </c>
      <c r="T625" s="7">
        <v>71.225999999999999</v>
      </c>
      <c r="U625" s="8">
        <f>IF(Tabela1[[#This Row],[Personal Consumption Expenditures (PCE)]]="",#N/A,((Tabela1[[#This Row],[Personal Consumption Expenditures (PCE)]]*1)/T624)-1)</f>
        <v>4.2121224885116604E-5</v>
      </c>
      <c r="V625" s="8">
        <f>IF(Tabela1[[#This Row],[Personal Consumption Expenditures (PCE)]]="",#N/A,((Tabela1[[#This Row],[Personal Consumption Expenditures (PCE)]]*1)/T613)-1)</f>
        <v>7.2119463770576875E-3</v>
      </c>
      <c r="W625" s="7">
        <v>72.95</v>
      </c>
      <c r="X625" s="8">
        <f>IF(Tabela1[[#This Row],[Core PCE]]="",#N/A,((Tabela1[[#This Row],[Core PCE]]*1)/W624)-1)</f>
        <v>1.7823601190070093E-4</v>
      </c>
      <c r="Y625" s="8">
        <f>IF(Tabela1[[#This Row],[Core PCE]]="",#N/A,((Tabela1[[#This Row],[Core PCE]]*1)/W613)-1)</f>
        <v>1.2378916983540877E-2</v>
      </c>
      <c r="Z625" s="8">
        <f t="shared" si="33"/>
        <v>7.8564004845449453E-3</v>
      </c>
      <c r="AA625" s="8">
        <f t="shared" si="32"/>
        <v>1.09586162585944E-2</v>
      </c>
      <c r="AB625" s="7">
        <v>1.78</v>
      </c>
      <c r="AC625" s="7"/>
      <c r="AD625" s="8"/>
      <c r="AE625" s="71"/>
      <c r="AF625" s="7">
        <v>2.2999999999999998</v>
      </c>
      <c r="AG625" s="5"/>
    </row>
    <row r="626" spans="1:33" ht="12.75">
      <c r="A626" s="6">
        <v>36130</v>
      </c>
      <c r="B626" s="7">
        <v>164.4</v>
      </c>
      <c r="C626" s="8">
        <f>IF(Tabela1[[#This Row],[Consumer Price Index (CPI)]]="",#N/A,((Tabela1[[#This Row],[Consumer Price Index (CPI)]]*1)/B625)-1)</f>
        <v>1.8281535648996261E-3</v>
      </c>
      <c r="D626" s="8">
        <f>IF(Tabela1[[#This Row],[Consumer Price Index (CPI)]]="",#N/A,((Tabela1[[#This Row],[Consumer Price Index (CPI)]]*1)/B614)-1)</f>
        <v>1.606922126081578E-2</v>
      </c>
      <c r="E626" s="25">
        <v>175.4</v>
      </c>
      <c r="F626" s="8">
        <f>IF(Tabela1[[#This Row],[Core Consumer Price Index]]="",#N/A,((Tabela1[[#This Row],[Core Consumer Price Index]]*1)/E625)-1)</f>
        <v>3.4324942791761348E-3</v>
      </c>
      <c r="G626" s="8">
        <f>IF(Tabela1[[#This Row],[Core Consumer Price Index]]="",#N/A,((Tabela1[[#This Row],[Core Consumer Price Index]]*1)/E614)-1)</f>
        <v>2.4532710280373848E-2</v>
      </c>
      <c r="H626" s="8">
        <f t="shared" si="30"/>
        <v>2.7496711546180386E-2</v>
      </c>
      <c r="I626" s="8">
        <f t="shared" si="31"/>
        <v>2.5275098341866364E-2</v>
      </c>
      <c r="J626" s="25">
        <v>186.4</v>
      </c>
      <c r="K626" s="8">
        <f>IF(Tabela1[[#This Row],[Services CPI]]="",#N/A,((Tabela1[[#This Row],[Services CPI]]*1)/J625)-1)</f>
        <v>2.1505376344086446E-3</v>
      </c>
      <c r="L626" s="8">
        <f>IF(Tabela1[[#This Row],[Services CPI]]="",#N/A,((Tabela1[[#This Row],[Services CPI]]*1)/J614)-1)</f>
        <v>2.5866813428728763E-2</v>
      </c>
      <c r="M626" s="7">
        <v>193.2</v>
      </c>
      <c r="N626" s="8">
        <f>IF(Tabela1[[#This Row],[Core-Services CPI]]="",#N/A,((Tabela1[[#This Row],[Core-Services CPI]]*1)/M625)-1)</f>
        <v>2.0746887966804906E-3</v>
      </c>
      <c r="O626" s="8">
        <f>IF(Tabela1[[#This Row],[Core-Services CPI]]="",#N/A,((Tabela1[[#This Row],[Core-Services CPI]]*1)/M614)-1)</f>
        <v>3.0399999999999983E-2</v>
      </c>
      <c r="P626" s="7">
        <v>127</v>
      </c>
      <c r="Q626" s="8">
        <f>IF(Tabela1[[#This Row],[Durable Goods CPI]]="",#N/A,((Tabela1[[#This Row],[Durable Goods CPI]]*1)/P625)-1)</f>
        <v>-1.5723270440252124E-3</v>
      </c>
      <c r="R626" s="8">
        <f>IF(Tabela1[[#This Row],[Durable Goods CPI]]="",#N/A,((Tabela1[[#This Row],[Durable Goods CPI]]*1)/P614)-1)</f>
        <v>-5.4815974941269108E-3</v>
      </c>
      <c r="S626" s="7">
        <v>2.5443529100000002</v>
      </c>
      <c r="T626" s="7">
        <v>71.298000000000002</v>
      </c>
      <c r="U626" s="8">
        <f>IF(Tabela1[[#This Row],[Personal Consumption Expenditures (PCE)]]="",#N/A,((Tabela1[[#This Row],[Personal Consumption Expenditures (PCE)]]*1)/T625)-1)</f>
        <v>1.0108668182966518E-3</v>
      </c>
      <c r="V626" s="8">
        <f>IF(Tabela1[[#This Row],[Personal Consumption Expenditures (PCE)]]="",#N/A,((Tabela1[[#This Row],[Personal Consumption Expenditures (PCE)]]*1)/T614)-1)</f>
        <v>8.4440106929182246E-3</v>
      </c>
      <c r="W626" s="7">
        <v>73.075999999999993</v>
      </c>
      <c r="X626" s="8">
        <f>IF(Tabela1[[#This Row],[Core PCE]]="",#N/A,((Tabela1[[#This Row],[Core PCE]]*1)/W625)-1)</f>
        <v>1.727210418094538E-3</v>
      </c>
      <c r="Y626" s="8">
        <f>IF(Tabela1[[#This Row],[Core PCE]]="",#N/A,((Tabela1[[#This Row],[Core PCE]]*1)/W614)-1)</f>
        <v>1.3536754507628368E-2</v>
      </c>
      <c r="Z626" s="8">
        <f t="shared" si="33"/>
        <v>1.542451942421863E-2</v>
      </c>
      <c r="AA626" s="8">
        <f t="shared" si="32"/>
        <v>1.6921582689667369E-2</v>
      </c>
      <c r="AB626" s="7">
        <v>1.81</v>
      </c>
      <c r="AC626" s="7"/>
      <c r="AD626" s="8"/>
      <c r="AE626" s="71"/>
      <c r="AF626" s="7">
        <v>2.5</v>
      </c>
      <c r="AG626" s="5"/>
    </row>
    <row r="627" spans="1:33" ht="12.75">
      <c r="A627" s="6">
        <v>36161</v>
      </c>
      <c r="B627" s="7">
        <v>164.7</v>
      </c>
      <c r="C627" s="8">
        <f>IF(Tabela1[[#This Row],[Consumer Price Index (CPI)]]="",#N/A,((Tabela1[[#This Row],[Consumer Price Index (CPI)]]*1)/B626)-1)</f>
        <v>1.8248175182480342E-3</v>
      </c>
      <c r="D627" s="8">
        <f>IF(Tabela1[[#This Row],[Consumer Price Index (CPI)]]="",#N/A,((Tabela1[[#This Row],[Consumer Price Index (CPI)]]*1)/B615)-1)</f>
        <v>1.6666666666666607E-2</v>
      </c>
      <c r="E627" s="25">
        <v>175.6</v>
      </c>
      <c r="F627" s="8">
        <f>IF(Tabela1[[#This Row],[Core Consumer Price Index]]="",#N/A,((Tabela1[[#This Row],[Core Consumer Price Index]]*1)/E626)-1)</f>
        <v>1.1402508551880963E-3</v>
      </c>
      <c r="G627" s="8">
        <f>IF(Tabela1[[#This Row],[Core Consumer Price Index]]="",#N/A,((Tabela1[[#This Row],[Core Consumer Price Index]]*1)/E615)-1)</f>
        <v>2.3310023310023409E-2</v>
      </c>
      <c r="H627" s="8">
        <f t="shared" si="30"/>
        <v>2.7465292464062152E-2</v>
      </c>
      <c r="I627" s="8">
        <f t="shared" si="31"/>
        <v>2.4091396818985977E-2</v>
      </c>
      <c r="J627" s="25">
        <v>186.6</v>
      </c>
      <c r="K627" s="8">
        <f>IF(Tabela1[[#This Row],[Services CPI]]="",#N/A,((Tabela1[[#This Row],[Services CPI]]*1)/J626)-1)</f>
        <v>1.0729613733904131E-3</v>
      </c>
      <c r="L627" s="8">
        <f>IF(Tabela1[[#This Row],[Services CPI]]="",#N/A,((Tabela1[[#This Row],[Services CPI]]*1)/J615)-1)</f>
        <v>2.4711696869851751E-2</v>
      </c>
      <c r="M627" s="7">
        <v>193.4</v>
      </c>
      <c r="N627" s="8">
        <f>IF(Tabela1[[#This Row],[Core-Services CPI]]="",#N/A,((Tabela1[[#This Row],[Core-Services CPI]]*1)/M626)-1)</f>
        <v>1.0351966873707319E-3</v>
      </c>
      <c r="O627" s="8">
        <f>IF(Tabela1[[#This Row],[Core-Services CPI]]="",#N/A,((Tabela1[[#This Row],[Core-Services CPI]]*1)/M615)-1)</f>
        <v>2.8176501860712522E-2</v>
      </c>
      <c r="P627" s="7">
        <v>126.7</v>
      </c>
      <c r="Q627" s="8">
        <f>IF(Tabela1[[#This Row],[Durable Goods CPI]]="",#N/A,((Tabela1[[#This Row],[Durable Goods CPI]]*1)/P626)-1)</f>
        <v>-2.3622047244094002E-3</v>
      </c>
      <c r="R627" s="8">
        <f>IF(Tabela1[[#This Row],[Durable Goods CPI]]="",#N/A,((Tabela1[[#This Row],[Durable Goods CPI]]*1)/P615)-1)</f>
        <v>-8.6071987480437206E-3</v>
      </c>
      <c r="S627" s="7">
        <v>2.5314469270000002</v>
      </c>
      <c r="T627" s="7">
        <v>71.397999999999996</v>
      </c>
      <c r="U627" s="8">
        <f>IF(Tabela1[[#This Row],[Personal Consumption Expenditures (PCE)]]="",#N/A,((Tabela1[[#This Row],[Personal Consumption Expenditures (PCE)]]*1)/T626)-1)</f>
        <v>1.4025638867849466E-3</v>
      </c>
      <c r="V627" s="8">
        <f>IF(Tabela1[[#This Row],[Personal Consumption Expenditures (PCE)]]="",#N/A,((Tabela1[[#This Row],[Personal Consumption Expenditures (PCE)]]*1)/T615)-1)</f>
        <v>9.3587423659804436E-3</v>
      </c>
      <c r="W627" s="7">
        <v>73.180000000000007</v>
      </c>
      <c r="X627" s="8">
        <f>IF(Tabela1[[#This Row],[Core PCE]]="",#N/A,((Tabela1[[#This Row],[Core PCE]]*1)/W626)-1)</f>
        <v>1.4231758716953813E-3</v>
      </c>
      <c r="Y627" s="8">
        <f>IF(Tabela1[[#This Row],[Core PCE]]="",#N/A,((Tabela1[[#This Row],[Core PCE]]*1)/W615)-1)</f>
        <v>1.3433042514887417E-2</v>
      </c>
      <c r="Z627" s="8">
        <f t="shared" si="33"/>
        <v>1.3314489206762481E-2</v>
      </c>
      <c r="AA627" s="8">
        <f t="shared" si="32"/>
        <v>1.4137319343561439E-2</v>
      </c>
      <c r="AB627" s="7">
        <v>1.84</v>
      </c>
      <c r="AC627" s="7"/>
      <c r="AD627" s="8"/>
      <c r="AE627" s="71"/>
      <c r="AF627" s="7">
        <v>2.7</v>
      </c>
      <c r="AG627" s="5"/>
    </row>
    <row r="628" spans="1:33" ht="12.75">
      <c r="A628" s="6">
        <v>36192</v>
      </c>
      <c r="B628" s="7">
        <v>164.7</v>
      </c>
      <c r="C628" s="8">
        <f>IF(Tabela1[[#This Row],[Consumer Price Index (CPI)]]="",#N/A,((Tabela1[[#This Row],[Consumer Price Index (CPI)]]*1)/B627)-1)</f>
        <v>0</v>
      </c>
      <c r="D628" s="8">
        <f>IF(Tabela1[[#This Row],[Consumer Price Index (CPI)]]="",#N/A,((Tabela1[[#This Row],[Consumer Price Index (CPI)]]*1)/B616)-1)</f>
        <v>1.6666666666666607E-2</v>
      </c>
      <c r="E628" s="25">
        <v>175.6</v>
      </c>
      <c r="F628" s="8">
        <f>IF(Tabela1[[#This Row],[Core Consumer Price Index]]="",#N/A,((Tabela1[[#This Row],[Core Consumer Price Index]]*1)/E627)-1)</f>
        <v>0</v>
      </c>
      <c r="G628" s="8">
        <f>IF(Tabela1[[#This Row],[Core Consumer Price Index]]="",#N/A,((Tabela1[[#This Row],[Core Consumer Price Index]]*1)/E616)-1)</f>
        <v>2.1524141942990127E-2</v>
      </c>
      <c r="H628" s="8">
        <f t="shared" si="30"/>
        <v>1.8290980537456925E-2</v>
      </c>
      <c r="I628" s="8">
        <f t="shared" si="31"/>
        <v>1.832770805817896E-2</v>
      </c>
      <c r="J628" s="25">
        <v>186.9</v>
      </c>
      <c r="K628" s="8">
        <f>IF(Tabela1[[#This Row],[Services CPI]]="",#N/A,((Tabela1[[#This Row],[Services CPI]]*1)/J627)-1)</f>
        <v>1.607717041800738E-3</v>
      </c>
      <c r="L628" s="8">
        <f>IF(Tabela1[[#This Row],[Services CPI]]="",#N/A,((Tabela1[[#This Row],[Services CPI]]*1)/J616)-1)</f>
        <v>2.5233132199670827E-2</v>
      </c>
      <c r="M628" s="7">
        <v>193.7</v>
      </c>
      <c r="N628" s="8">
        <f>IF(Tabela1[[#This Row],[Core-Services CPI]]="",#N/A,((Tabela1[[#This Row],[Core-Services CPI]]*1)/M627)-1)</f>
        <v>1.5511892450879028E-3</v>
      </c>
      <c r="O628" s="8">
        <f>IF(Tabela1[[#This Row],[Core-Services CPI]]="",#N/A,((Tabela1[[#This Row],[Core-Services CPI]]*1)/M616)-1)</f>
        <v>2.7586206896551557E-2</v>
      </c>
      <c r="P628" s="7">
        <v>126.2</v>
      </c>
      <c r="Q628" s="8">
        <f>IF(Tabela1[[#This Row],[Durable Goods CPI]]="",#N/A,((Tabela1[[#This Row],[Durable Goods CPI]]*1)/P627)-1)</f>
        <v>-3.9463299131807794E-3</v>
      </c>
      <c r="R628" s="8">
        <f>IF(Tabela1[[#This Row],[Durable Goods CPI]]="",#N/A,((Tabela1[[#This Row],[Durable Goods CPI]]*1)/P616)-1)</f>
        <v>-1.3291634089132143E-2</v>
      </c>
      <c r="S628" s="7">
        <v>2.446189532</v>
      </c>
      <c r="T628" s="7">
        <v>71.358000000000004</v>
      </c>
      <c r="U628" s="8">
        <f>IF(Tabela1[[#This Row],[Personal Consumption Expenditures (PCE)]]="",#N/A,((Tabela1[[#This Row],[Personal Consumption Expenditures (PCE)]]*1)/T627)-1)</f>
        <v>-5.6023978262687013E-4</v>
      </c>
      <c r="V628" s="8">
        <f>IF(Tabela1[[#This Row],[Personal Consumption Expenditures (PCE)]]="",#N/A,((Tabela1[[#This Row],[Personal Consumption Expenditures (PCE)]]*1)/T616)-1)</f>
        <v>9.3212068063197595E-3</v>
      </c>
      <c r="W628" s="7">
        <v>73.155000000000001</v>
      </c>
      <c r="X628" s="8">
        <f>IF(Tabela1[[#This Row],[Core PCE]]="",#N/A,((Tabela1[[#This Row],[Core PCE]]*1)/W627)-1)</f>
        <v>-3.4162339437016076E-4</v>
      </c>
      <c r="Y628" s="8">
        <f>IF(Tabela1[[#This Row],[Core PCE]]="",#N/A,((Tabela1[[#This Row],[Core PCE]]*1)/W616)-1)</f>
        <v>1.2217733008633935E-2</v>
      </c>
      <c r="Z628" s="8">
        <f t="shared" si="33"/>
        <v>1.1235051581679034E-2</v>
      </c>
      <c r="AA628" s="8">
        <f t="shared" si="32"/>
        <v>9.5457260331119898E-3</v>
      </c>
      <c r="AB628" s="7">
        <v>1.8</v>
      </c>
      <c r="AC628" s="7"/>
      <c r="AD628" s="8"/>
      <c r="AE628" s="71"/>
      <c r="AF628" s="7">
        <v>2.5</v>
      </c>
      <c r="AG628" s="5"/>
    </row>
    <row r="629" spans="1:33" ht="12.75">
      <c r="A629" s="6">
        <v>36220</v>
      </c>
      <c r="B629" s="7">
        <v>164.8</v>
      </c>
      <c r="C629" s="8">
        <f>IF(Tabela1[[#This Row],[Consumer Price Index (CPI)]]="",#N/A,((Tabela1[[#This Row],[Consumer Price Index (CPI)]]*1)/B628)-1)</f>
        <v>6.0716454159082112E-4</v>
      </c>
      <c r="D629" s="8">
        <f>IF(Tabela1[[#This Row],[Consumer Price Index (CPI)]]="",#N/A,((Tabela1[[#This Row],[Consumer Price Index (CPI)]]*1)/B617)-1)</f>
        <v>1.7283950617283939E-2</v>
      </c>
      <c r="E629" s="25">
        <v>175.7</v>
      </c>
      <c r="F629" s="8">
        <f>IF(Tabela1[[#This Row],[Core Consumer Price Index]]="",#N/A,((Tabela1[[#This Row],[Core Consumer Price Index]]*1)/E628)-1)</f>
        <v>5.6947608200452748E-4</v>
      </c>
      <c r="G629" s="8">
        <f>IF(Tabela1[[#This Row],[Core Consumer Price Index]]="",#N/A,((Tabela1[[#This Row],[Core Consumer Price Index]]*1)/E617)-1)</f>
        <v>2.0325203252032464E-2</v>
      </c>
      <c r="H629" s="8">
        <f t="shared" si="30"/>
        <v>6.8389077487704952E-3</v>
      </c>
      <c r="I629" s="8">
        <f t="shared" si="31"/>
        <v>1.716780964747544E-2</v>
      </c>
      <c r="J629" s="25">
        <v>187.4</v>
      </c>
      <c r="K629" s="8">
        <f>IF(Tabela1[[#This Row],[Services CPI]]="",#N/A,((Tabela1[[#This Row],[Services CPI]]*1)/J628)-1)</f>
        <v>2.675227394328461E-3</v>
      </c>
      <c r="L629" s="8">
        <f>IF(Tabela1[[#This Row],[Services CPI]]="",#N/A,((Tabela1[[#This Row],[Services CPI]]*1)/J617)-1)</f>
        <v>2.5164113785558051E-2</v>
      </c>
      <c r="M629" s="7">
        <v>194.2</v>
      </c>
      <c r="N629" s="8">
        <f>IF(Tabela1[[#This Row],[Core-Services CPI]]="",#N/A,((Tabela1[[#This Row],[Core-Services CPI]]*1)/M628)-1)</f>
        <v>2.5813113061434745E-3</v>
      </c>
      <c r="O629" s="8">
        <f>IF(Tabela1[[#This Row],[Core-Services CPI]]="",#N/A,((Tabela1[[#This Row],[Core-Services CPI]]*1)/M617)-1)</f>
        <v>2.7513227513227489E-2</v>
      </c>
      <c r="P629" s="7">
        <v>125.9</v>
      </c>
      <c r="Q629" s="8">
        <f>IF(Tabela1[[#This Row],[Durable Goods CPI]]="",#N/A,((Tabela1[[#This Row],[Durable Goods CPI]]*1)/P628)-1)</f>
        <v>-2.3771790808240212E-3</v>
      </c>
      <c r="R629" s="8">
        <f>IF(Tabela1[[#This Row],[Durable Goods CPI]]="",#N/A,((Tabela1[[#This Row],[Durable Goods CPI]]*1)/P617)-1)</f>
        <v>-1.4095536413469056E-2</v>
      </c>
      <c r="S629" s="7">
        <v>2.3907588</v>
      </c>
      <c r="T629" s="7">
        <v>71.412000000000006</v>
      </c>
      <c r="U629" s="8">
        <f>IF(Tabela1[[#This Row],[Personal Consumption Expenditures (PCE)]]="",#N/A,((Tabela1[[#This Row],[Personal Consumption Expenditures (PCE)]]*1)/T628)-1)</f>
        <v>7.5674766669475702E-4</v>
      </c>
      <c r="V629" s="8">
        <f>IF(Tabela1[[#This Row],[Personal Consumption Expenditures (PCE)]]="",#N/A,((Tabela1[[#This Row],[Personal Consumption Expenditures (PCE)]]*1)/T617)-1)</f>
        <v>9.9278744166315658E-3</v>
      </c>
      <c r="W629" s="7">
        <v>73.177000000000007</v>
      </c>
      <c r="X629" s="8">
        <f>IF(Tabela1[[#This Row],[Core PCE]]="",#N/A,((Tabela1[[#This Row],[Core PCE]]*1)/W628)-1)</f>
        <v>3.0073132390140422E-4</v>
      </c>
      <c r="Y629" s="8">
        <f>IF(Tabela1[[#This Row],[Core PCE]]="",#N/A,((Tabela1[[#This Row],[Core PCE]]*1)/W617)-1)</f>
        <v>1.1444525840025532E-2</v>
      </c>
      <c r="Z629" s="8">
        <f t="shared" si="33"/>
        <v>5.529135204906499E-3</v>
      </c>
      <c r="AA629" s="8">
        <f t="shared" si="32"/>
        <v>1.0476827314562565E-2</v>
      </c>
      <c r="AB629" s="7">
        <v>1.72</v>
      </c>
      <c r="AC629" s="7"/>
      <c r="AD629" s="8"/>
      <c r="AE629" s="71"/>
      <c r="AF629" s="7">
        <v>2.7</v>
      </c>
      <c r="AG629" s="5"/>
    </row>
    <row r="630" spans="1:33" ht="12.75">
      <c r="A630" s="6">
        <v>36251</v>
      </c>
      <c r="B630" s="7">
        <v>165.9</v>
      </c>
      <c r="C630" s="8">
        <f>IF(Tabela1[[#This Row],[Consumer Price Index (CPI)]]="",#N/A,((Tabela1[[#This Row],[Consumer Price Index (CPI)]]*1)/B629)-1)</f>
        <v>6.6747572815533118E-3</v>
      </c>
      <c r="D630" s="8">
        <f>IF(Tabela1[[#This Row],[Consumer Price Index (CPI)]]="",#N/A,((Tabela1[[#This Row],[Consumer Price Index (CPI)]]*1)/B618)-1)</f>
        <v>2.2811344019728841E-2</v>
      </c>
      <c r="E630" s="25">
        <v>176.3</v>
      </c>
      <c r="F630" s="8">
        <f>IF(Tabela1[[#This Row],[Core Consumer Price Index]]="",#N/A,((Tabela1[[#This Row],[Core Consumer Price Index]]*1)/E629)-1)</f>
        <v>3.4149117814457064E-3</v>
      </c>
      <c r="G630" s="8">
        <f>IF(Tabela1[[#This Row],[Core Consumer Price Index]]="",#N/A,((Tabela1[[#This Row],[Core Consumer Price Index]]*1)/E618)-1)</f>
        <v>2.2028985507246412E-2</v>
      </c>
      <c r="H630" s="8">
        <f t="shared" si="30"/>
        <v>1.5937551453800936E-2</v>
      </c>
      <c r="I630" s="8">
        <f t="shared" si="31"/>
        <v>2.1701421958931544E-2</v>
      </c>
      <c r="J630" s="25">
        <v>187.9</v>
      </c>
      <c r="K630" s="8">
        <f>IF(Tabela1[[#This Row],[Services CPI]]="",#N/A,((Tabela1[[#This Row],[Services CPI]]*1)/J629)-1)</f>
        <v>2.6680896478121774E-3</v>
      </c>
      <c r="L630" s="8">
        <f>IF(Tabela1[[#This Row],[Services CPI]]="",#N/A,((Tabela1[[#This Row],[Services CPI]]*1)/J618)-1)</f>
        <v>2.5095471903982425E-2</v>
      </c>
      <c r="M630" s="7">
        <v>194.8</v>
      </c>
      <c r="N630" s="8">
        <f>IF(Tabela1[[#This Row],[Core-Services CPI]]="",#N/A,((Tabela1[[#This Row],[Core-Services CPI]]*1)/M629)-1)</f>
        <v>3.08959835221434E-3</v>
      </c>
      <c r="O630" s="8">
        <f>IF(Tabela1[[#This Row],[Core-Services CPI]]="",#N/A,((Tabela1[[#This Row],[Core-Services CPI]]*1)/M618)-1)</f>
        <v>2.7968337730870818E-2</v>
      </c>
      <c r="P630" s="7">
        <v>125.9</v>
      </c>
      <c r="Q630" s="8">
        <f>IF(Tabela1[[#This Row],[Durable Goods CPI]]="",#N/A,((Tabela1[[#This Row],[Durable Goods CPI]]*1)/P629)-1)</f>
        <v>0</v>
      </c>
      <c r="R630" s="8">
        <f>IF(Tabela1[[#This Row],[Durable Goods CPI]]="",#N/A,((Tabela1[[#This Row],[Durable Goods CPI]]*1)/P618)-1)</f>
        <v>-1.4866979655711932E-2</v>
      </c>
      <c r="S630" s="7">
        <v>2.3238316000000001</v>
      </c>
      <c r="T630" s="7">
        <v>71.757000000000005</v>
      </c>
      <c r="U630" s="8">
        <f>IF(Tabela1[[#This Row],[Personal Consumption Expenditures (PCE)]]="",#N/A,((Tabela1[[#This Row],[Personal Consumption Expenditures (PCE)]]*1)/T629)-1)</f>
        <v>4.8311208200302325E-3</v>
      </c>
      <c r="V630" s="8">
        <f>IF(Tabela1[[#This Row],[Personal Consumption Expenditures (PCE)]]="",#N/A,((Tabela1[[#This Row],[Personal Consumption Expenditures (PCE)]]*1)/T618)-1)</f>
        <v>1.3545580383626632E-2</v>
      </c>
      <c r="W630" s="7">
        <v>73.364999999999995</v>
      </c>
      <c r="X630" s="8">
        <f>IF(Tabela1[[#This Row],[Core PCE]]="",#N/A,((Tabela1[[#This Row],[Core PCE]]*1)/W629)-1)</f>
        <v>2.5691132459650934E-3</v>
      </c>
      <c r="Y630" s="8">
        <f>IF(Tabela1[[#This Row],[Core PCE]]="",#N/A,((Tabela1[[#This Row],[Core PCE]]*1)/W618)-1)</f>
        <v>1.2182334924532912E-2</v>
      </c>
      <c r="Z630" s="8">
        <f t="shared" si="33"/>
        <v>1.0112884701985347E-2</v>
      </c>
      <c r="AA630" s="8">
        <f t="shared" si="32"/>
        <v>1.1713686954373914E-2</v>
      </c>
      <c r="AB630" s="7">
        <v>1.77</v>
      </c>
      <c r="AC630" s="7"/>
      <c r="AD630" s="8"/>
      <c r="AE630" s="71"/>
      <c r="AF630" s="7">
        <v>2.7</v>
      </c>
      <c r="AG630" s="5"/>
    </row>
    <row r="631" spans="1:33" ht="12.75">
      <c r="A631" s="6">
        <v>36281</v>
      </c>
      <c r="B631" s="7">
        <v>166</v>
      </c>
      <c r="C631" s="8">
        <f>IF(Tabela1[[#This Row],[Consumer Price Index (CPI)]]="",#N/A,((Tabela1[[#This Row],[Consumer Price Index (CPI)]]*1)/B630)-1)</f>
        <v>6.027727546713546E-4</v>
      </c>
      <c r="D631" s="8">
        <f>IF(Tabela1[[#This Row],[Consumer Price Index (CPI)]]="",#N/A,((Tabela1[[#This Row],[Consumer Price Index (CPI)]]*1)/B619)-1)</f>
        <v>2.091020910209096E-2</v>
      </c>
      <c r="E631" s="25">
        <v>176.5</v>
      </c>
      <c r="F631" s="8">
        <f>IF(Tabela1[[#This Row],[Core Consumer Price Index]]="",#N/A,((Tabela1[[#This Row],[Core Consumer Price Index]]*1)/E630)-1)</f>
        <v>1.1344299489506326E-3</v>
      </c>
      <c r="G631" s="8">
        <f>IF(Tabela1[[#This Row],[Core Consumer Price Index]]="",#N/A,((Tabela1[[#This Row],[Core Consumer Price Index]]*1)/E619)-1)</f>
        <v>2.0821283979178595E-2</v>
      </c>
      <c r="H631" s="8">
        <f t="shared" si="30"/>
        <v>2.0475271249603466E-2</v>
      </c>
      <c r="I631" s="8">
        <f t="shared" si="31"/>
        <v>1.9383125893530195E-2</v>
      </c>
      <c r="J631" s="25">
        <v>188.1</v>
      </c>
      <c r="K631" s="8">
        <f>IF(Tabela1[[#This Row],[Services CPI]]="",#N/A,((Tabela1[[#This Row],[Services CPI]]*1)/J630)-1)</f>
        <v>1.0643959552953941E-3</v>
      </c>
      <c r="L631" s="8">
        <f>IF(Tabela1[[#This Row],[Services CPI]]="",#N/A,((Tabela1[[#This Row],[Services CPI]]*1)/J619)-1)</f>
        <v>2.39520958083832E-2</v>
      </c>
      <c r="M631" s="7">
        <v>195.1</v>
      </c>
      <c r="N631" s="8">
        <f>IF(Tabela1[[#This Row],[Core-Services CPI]]="",#N/A,((Tabela1[[#This Row],[Core-Services CPI]]*1)/M630)-1)</f>
        <v>1.5400410677617327E-3</v>
      </c>
      <c r="O631" s="8">
        <f>IF(Tabela1[[#This Row],[Core-Services CPI]]="",#N/A,((Tabela1[[#This Row],[Core-Services CPI]]*1)/M619)-1)</f>
        <v>2.6842105263157778E-2</v>
      </c>
      <c r="P631" s="7">
        <v>125.7</v>
      </c>
      <c r="Q631" s="8">
        <f>IF(Tabela1[[#This Row],[Durable Goods CPI]]="",#N/A,((Tabela1[[#This Row],[Durable Goods CPI]]*1)/P630)-1)</f>
        <v>-1.5885623510722979E-3</v>
      </c>
      <c r="R631" s="8">
        <f>IF(Tabela1[[#This Row],[Durable Goods CPI]]="",#N/A,((Tabela1[[#This Row],[Durable Goods CPI]]*1)/P619)-1)</f>
        <v>-1.4117647058823457E-2</v>
      </c>
      <c r="S631" s="7">
        <v>2.2464618999999999</v>
      </c>
      <c r="T631" s="7">
        <v>71.804000000000002</v>
      </c>
      <c r="U631" s="8">
        <f>IF(Tabela1[[#This Row],[Personal Consumption Expenditures (PCE)]]="",#N/A,((Tabela1[[#This Row],[Personal Consumption Expenditures (PCE)]]*1)/T630)-1)</f>
        <v>6.5498836350452727E-4</v>
      </c>
      <c r="V631" s="8">
        <f>IF(Tabela1[[#This Row],[Personal Consumption Expenditures (PCE)]]="",#N/A,((Tabela1[[#This Row],[Personal Consumption Expenditures (PCE)]]*1)/T619)-1)</f>
        <v>1.2821778686790353E-2</v>
      </c>
      <c r="W631" s="7">
        <v>73.435000000000002</v>
      </c>
      <c r="X631" s="8">
        <f>IF(Tabela1[[#This Row],[Core PCE]]="",#N/A,((Tabela1[[#This Row],[Core PCE]]*1)/W630)-1)</f>
        <v>9.541334423772696E-4</v>
      </c>
      <c r="Y631" s="8">
        <f>IF(Tabela1[[#This Row],[Core PCE]]="",#N/A,((Tabela1[[#This Row],[Core PCE]]*1)/W619)-1)</f>
        <v>1.2170581100451994E-2</v>
      </c>
      <c r="Z631" s="8">
        <f t="shared" si="33"/>
        <v>1.5295912048975069E-2</v>
      </c>
      <c r="AA631" s="8">
        <f t="shared" si="32"/>
        <v>1.3265481815327052E-2</v>
      </c>
      <c r="AB631" s="7">
        <v>1.73</v>
      </c>
      <c r="AC631" s="7"/>
      <c r="AD631" s="8"/>
      <c r="AE631" s="71"/>
      <c r="AF631" s="7">
        <v>2.8</v>
      </c>
      <c r="AG631" s="5"/>
    </row>
    <row r="632" spans="1:33" ht="12.75">
      <c r="A632" s="6">
        <v>36312</v>
      </c>
      <c r="B632" s="7">
        <v>166</v>
      </c>
      <c r="C632" s="8">
        <f>IF(Tabela1[[#This Row],[Consumer Price Index (CPI)]]="",#N/A,((Tabela1[[#This Row],[Consumer Price Index (CPI)]]*1)/B631)-1)</f>
        <v>0</v>
      </c>
      <c r="D632" s="8">
        <f>IF(Tabela1[[#This Row],[Consumer Price Index (CPI)]]="",#N/A,((Tabela1[[#This Row],[Consumer Price Index (CPI)]]*1)/B620)-1)</f>
        <v>1.9656019656019597E-2</v>
      </c>
      <c r="E632" s="25">
        <v>176.6</v>
      </c>
      <c r="F632" s="8">
        <f>IF(Tabela1[[#This Row],[Core Consumer Price Index]]="",#N/A,((Tabela1[[#This Row],[Core Consumer Price Index]]*1)/E631)-1)</f>
        <v>5.6657223796041656E-4</v>
      </c>
      <c r="G632" s="8">
        <f>IF(Tabela1[[#This Row],[Core Consumer Price Index]]="",#N/A,((Tabela1[[#This Row],[Core Consumer Price Index]]*1)/E620)-1)</f>
        <v>1.9630484988452768E-2</v>
      </c>
      <c r="H632" s="8">
        <f t="shared" si="30"/>
        <v>2.0463655873427022E-2</v>
      </c>
      <c r="I632" s="8">
        <f t="shared" si="31"/>
        <v>1.3651281811098759E-2</v>
      </c>
      <c r="J632" s="25">
        <v>188.3</v>
      </c>
      <c r="K632" s="8">
        <f>IF(Tabela1[[#This Row],[Services CPI]]="",#N/A,((Tabela1[[#This Row],[Services CPI]]*1)/J631)-1)</f>
        <v>1.0632642211589882E-3</v>
      </c>
      <c r="L632" s="8">
        <f>IF(Tabela1[[#This Row],[Services CPI]]="",#N/A,((Tabela1[[#This Row],[Services CPI]]*1)/J620)-1)</f>
        <v>2.3369565217391308E-2</v>
      </c>
      <c r="M632" s="7">
        <v>195.3</v>
      </c>
      <c r="N632" s="8">
        <f>IF(Tabela1[[#This Row],[Core-Services CPI]]="",#N/A,((Tabela1[[#This Row],[Core-Services CPI]]*1)/M631)-1)</f>
        <v>1.025115325474113E-3</v>
      </c>
      <c r="O632" s="8">
        <f>IF(Tabela1[[#This Row],[Core-Services CPI]]="",#N/A,((Tabela1[[#This Row],[Core-Services CPI]]*1)/M620)-1)</f>
        <v>2.6274303730951187E-2</v>
      </c>
      <c r="P632" s="7">
        <v>125.8</v>
      </c>
      <c r="Q632" s="8">
        <f>IF(Tabela1[[#This Row],[Durable Goods CPI]]="",#N/A,((Tabela1[[#This Row],[Durable Goods CPI]]*1)/P631)-1)</f>
        <v>7.9554494828948386E-4</v>
      </c>
      <c r="R632" s="8">
        <f>IF(Tabela1[[#This Row],[Durable Goods CPI]]="",#N/A,((Tabela1[[#This Row],[Durable Goods CPI]]*1)/P620)-1)</f>
        <v>-1.3333333333333308E-2</v>
      </c>
      <c r="S632" s="7">
        <v>2.2358612999999998</v>
      </c>
      <c r="T632" s="7">
        <v>71.825999999999993</v>
      </c>
      <c r="U632" s="8">
        <f>IF(Tabela1[[#This Row],[Personal Consumption Expenditures (PCE)]]="",#N/A,((Tabela1[[#This Row],[Personal Consumption Expenditures (PCE)]]*1)/T631)-1)</f>
        <v>3.0638961617723837E-4</v>
      </c>
      <c r="V632" s="8">
        <f>IF(Tabela1[[#This Row],[Personal Consumption Expenditures (PCE)]]="",#N/A,((Tabela1[[#This Row],[Personal Consumption Expenditures (PCE)]]*1)/T620)-1)</f>
        <v>1.3990259052728105E-2</v>
      </c>
      <c r="W632" s="7">
        <v>73.474000000000004</v>
      </c>
      <c r="X632" s="8">
        <f>IF(Tabela1[[#This Row],[Core PCE]]="",#N/A,((Tabela1[[#This Row],[Core PCE]]*1)/W631)-1)</f>
        <v>5.3108190917150466E-4</v>
      </c>
      <c r="Y632" s="8">
        <f>IF(Tabela1[[#This Row],[Core PCE]]="",#N/A,((Tabela1[[#This Row],[Core PCE]]*1)/W620)-1)</f>
        <v>1.3979934033480079E-2</v>
      </c>
      <c r="Z632" s="8">
        <f t="shared" si="33"/>
        <v>1.6217314390055471E-2</v>
      </c>
      <c r="AA632" s="8">
        <f t="shared" si="32"/>
        <v>1.0873224797480985E-2</v>
      </c>
      <c r="AB632" s="7">
        <v>1.76</v>
      </c>
      <c r="AC632" s="7"/>
      <c r="AD632" s="8"/>
      <c r="AE632" s="71"/>
      <c r="AF632" s="7">
        <v>2.5</v>
      </c>
      <c r="AG632" s="5"/>
    </row>
    <row r="633" spans="1:33" ht="12.75">
      <c r="A633" s="6">
        <v>36342</v>
      </c>
      <c r="B633" s="7">
        <v>166.7</v>
      </c>
      <c r="C633" s="8">
        <f>IF(Tabela1[[#This Row],[Consumer Price Index (CPI)]]="",#N/A,((Tabela1[[#This Row],[Consumer Price Index (CPI)]]*1)/B632)-1)</f>
        <v>4.2168674698794817E-3</v>
      </c>
      <c r="D633" s="8">
        <f>IF(Tabela1[[#This Row],[Consumer Price Index (CPI)]]="",#N/A,((Tabela1[[#This Row],[Consumer Price Index (CPI)]]*1)/B621)-1)</f>
        <v>2.1446078431372584E-2</v>
      </c>
      <c r="E633" s="25">
        <v>177.1</v>
      </c>
      <c r="F633" s="8">
        <f>IF(Tabela1[[#This Row],[Core Consumer Price Index]]="",#N/A,((Tabela1[[#This Row],[Core Consumer Price Index]]*1)/E632)-1)</f>
        <v>2.8312570781428015E-3</v>
      </c>
      <c r="G633" s="8">
        <f>IF(Tabela1[[#This Row],[Core Consumer Price Index]]="",#N/A,((Tabela1[[#This Row],[Core Consumer Price Index]]*1)/E621)-1)</f>
        <v>2.0749279538904819E-2</v>
      </c>
      <c r="H633" s="8">
        <f t="shared" si="30"/>
        <v>1.8129037060215403E-2</v>
      </c>
      <c r="I633" s="8">
        <f t="shared" si="31"/>
        <v>1.7033294257008169E-2</v>
      </c>
      <c r="J633" s="25">
        <v>188.9</v>
      </c>
      <c r="K633" s="8">
        <f>IF(Tabela1[[#This Row],[Services CPI]]="",#N/A,((Tabela1[[#This Row],[Services CPI]]*1)/J632)-1)</f>
        <v>3.1864046733935947E-3</v>
      </c>
      <c r="L633" s="8">
        <f>IF(Tabela1[[#This Row],[Services CPI]]="",#N/A,((Tabela1[[#This Row],[Services CPI]]*1)/J621)-1)</f>
        <v>2.4959305480195315E-2</v>
      </c>
      <c r="M633" s="7">
        <v>195.9</v>
      </c>
      <c r="N633" s="8">
        <f>IF(Tabela1[[#This Row],[Core-Services CPI]]="",#N/A,((Tabela1[[#This Row],[Core-Services CPI]]*1)/M632)-1)</f>
        <v>3.0721966205837781E-3</v>
      </c>
      <c r="O633" s="8">
        <f>IF(Tabela1[[#This Row],[Core-Services CPI]]="",#N/A,((Tabela1[[#This Row],[Core-Services CPI]]*1)/M621)-1)</f>
        <v>2.726796014682753E-2</v>
      </c>
      <c r="P633" s="7">
        <v>125.9</v>
      </c>
      <c r="Q633" s="8">
        <f>IF(Tabela1[[#This Row],[Durable Goods CPI]]="",#N/A,((Tabela1[[#This Row],[Durable Goods CPI]]*1)/P632)-1)</f>
        <v>7.9491255961849916E-4</v>
      </c>
      <c r="R633" s="8">
        <f>IF(Tabela1[[#This Row],[Durable Goods CPI]]="",#N/A,((Tabela1[[#This Row],[Durable Goods CPI]]*1)/P621)-1)</f>
        <v>-1.4866979655711932E-2</v>
      </c>
      <c r="S633" s="7">
        <v>2.1625266999999999</v>
      </c>
      <c r="T633" s="7">
        <v>72.016999999999996</v>
      </c>
      <c r="U633" s="8">
        <f>IF(Tabela1[[#This Row],[Personal Consumption Expenditures (PCE)]]="",#N/A,((Tabela1[[#This Row],[Personal Consumption Expenditures (PCE)]]*1)/T632)-1)</f>
        <v>2.6592041878985562E-3</v>
      </c>
      <c r="V633" s="8">
        <f>IF(Tabela1[[#This Row],[Personal Consumption Expenditures (PCE)]]="",#N/A,((Tabela1[[#This Row],[Personal Consumption Expenditures (PCE)]]*1)/T621)-1)</f>
        <v>1.4181101253344375E-2</v>
      </c>
      <c r="W633" s="7">
        <v>73.605999999999995</v>
      </c>
      <c r="X633" s="8">
        <f>IF(Tabela1[[#This Row],[Core PCE]]="",#N/A,((Tabela1[[#This Row],[Core PCE]]*1)/W632)-1)</f>
        <v>1.7965538830060357E-3</v>
      </c>
      <c r="Y633" s="8">
        <f>IF(Tabela1[[#This Row],[Core PCE]]="",#N/A,((Tabela1[[#This Row],[Core PCE]]*1)/W621)-1)</f>
        <v>1.2949838299043392E-2</v>
      </c>
      <c r="Z633" s="8">
        <f t="shared" si="33"/>
        <v>1.312707693821924E-2</v>
      </c>
      <c r="AA633" s="8">
        <f t="shared" si="32"/>
        <v>1.1619980820102294E-2</v>
      </c>
      <c r="AB633" s="7">
        <v>1.79</v>
      </c>
      <c r="AC633" s="7"/>
      <c r="AD633" s="8"/>
      <c r="AE633" s="71"/>
      <c r="AF633" s="7">
        <v>2.7</v>
      </c>
      <c r="AG633" s="5"/>
    </row>
    <row r="634" spans="1:33" ht="12.75">
      <c r="A634" s="6">
        <v>36373</v>
      </c>
      <c r="B634" s="7">
        <v>167.1</v>
      </c>
      <c r="C634" s="8">
        <f>IF(Tabela1[[#This Row],[Consumer Price Index (CPI)]]="",#N/A,((Tabela1[[#This Row],[Consumer Price Index (CPI)]]*1)/B633)-1)</f>
        <v>2.3995200959807672E-3</v>
      </c>
      <c r="D634" s="8">
        <f>IF(Tabela1[[#This Row],[Consumer Price Index (CPI)]]="",#N/A,((Tabela1[[#This Row],[Consumer Price Index (CPI)]]*1)/B622)-1)</f>
        <v>2.2643818849449104E-2</v>
      </c>
      <c r="E634" s="25">
        <v>177.3</v>
      </c>
      <c r="F634" s="8">
        <f>IF(Tabela1[[#This Row],[Core Consumer Price Index]]="",#N/A,((Tabela1[[#This Row],[Core Consumer Price Index]]*1)/E633)-1)</f>
        <v>1.1293054771317479E-3</v>
      </c>
      <c r="G634" s="8">
        <f>IF(Tabela1[[#This Row],[Core Consumer Price Index]]="",#N/A,((Tabela1[[#This Row],[Core Consumer Price Index]]*1)/E622)-1)</f>
        <v>1.8965517241379404E-2</v>
      </c>
      <c r="H634" s="8">
        <f t="shared" si="30"/>
        <v>1.8108539172939864E-2</v>
      </c>
      <c r="I634" s="8">
        <f t="shared" si="31"/>
        <v>1.9291905211271665E-2</v>
      </c>
      <c r="J634" s="25">
        <v>189.3</v>
      </c>
      <c r="K634" s="8">
        <f>IF(Tabela1[[#This Row],[Services CPI]]="",#N/A,((Tabela1[[#This Row],[Services CPI]]*1)/J633)-1)</f>
        <v>2.1175224986764718E-3</v>
      </c>
      <c r="L634" s="8">
        <f>IF(Tabela1[[#This Row],[Services CPI]]="",#N/A,((Tabela1[[#This Row],[Services CPI]]*1)/J622)-1)</f>
        <v>2.4905251759610225E-2</v>
      </c>
      <c r="M634" s="7">
        <v>196.2</v>
      </c>
      <c r="N634" s="8">
        <f>IF(Tabela1[[#This Row],[Core-Services CPI]]="",#N/A,((Tabela1[[#This Row],[Core-Services CPI]]*1)/M633)-1)</f>
        <v>1.5313935681469104E-3</v>
      </c>
      <c r="O634" s="8">
        <f>IF(Tabela1[[#This Row],[Core-Services CPI]]="",#N/A,((Tabela1[[#This Row],[Core-Services CPI]]*1)/M622)-1)</f>
        <v>2.6150627615062705E-2</v>
      </c>
      <c r="P634" s="7">
        <v>126</v>
      </c>
      <c r="Q634" s="8">
        <f>IF(Tabela1[[#This Row],[Durable Goods CPI]]="",#N/A,((Tabela1[[#This Row],[Durable Goods CPI]]*1)/P633)-1)</f>
        <v>7.9428117553614896E-4</v>
      </c>
      <c r="R634" s="8">
        <f>IF(Tabela1[[#This Row],[Durable Goods CPI]]="",#N/A,((Tabela1[[#This Row],[Durable Goods CPI]]*1)/P622)-1)</f>
        <v>-1.4084507042253502E-2</v>
      </c>
      <c r="S634" s="7">
        <v>2.0812547000000001</v>
      </c>
      <c r="T634" s="7">
        <v>72.147999999999996</v>
      </c>
      <c r="U634" s="8">
        <f>IF(Tabela1[[#This Row],[Personal Consumption Expenditures (PCE)]]="",#N/A,((Tabela1[[#This Row],[Personal Consumption Expenditures (PCE)]]*1)/T633)-1)</f>
        <v>1.8190149548023005E-3</v>
      </c>
      <c r="V634" s="8">
        <f>IF(Tabela1[[#This Row],[Personal Consumption Expenditures (PCE)]]="",#N/A,((Tabela1[[#This Row],[Personal Consumption Expenditures (PCE)]]*1)/T622)-1)</f>
        <v>1.4625639871744367E-2</v>
      </c>
      <c r="W634" s="7">
        <v>73.641999999999996</v>
      </c>
      <c r="X634" s="8">
        <f>IF(Tabela1[[#This Row],[Core PCE]]="",#N/A,((Tabela1[[#This Row],[Core PCE]]*1)/W633)-1)</f>
        <v>4.890905632692899E-4</v>
      </c>
      <c r="Y634" s="8">
        <f>IF(Tabela1[[#This Row],[Core PCE]]="",#N/A,((Tabela1[[#This Row],[Core PCE]]*1)/W622)-1)</f>
        <v>1.1468677462331822E-2</v>
      </c>
      <c r="Z634" s="8">
        <f t="shared" si="33"/>
        <v>1.1266905421787321E-2</v>
      </c>
      <c r="AA634" s="8">
        <f t="shared" si="32"/>
        <v>1.3281408735381195E-2</v>
      </c>
      <c r="AB634" s="7">
        <v>1.75</v>
      </c>
      <c r="AC634" s="7"/>
      <c r="AD634" s="8"/>
      <c r="AE634" s="71"/>
      <c r="AF634" s="7">
        <v>2.8</v>
      </c>
      <c r="AG634" s="5"/>
    </row>
    <row r="635" spans="1:33" ht="12.75">
      <c r="A635" s="6">
        <v>36404</v>
      </c>
      <c r="B635" s="7">
        <v>167.8</v>
      </c>
      <c r="C635" s="8">
        <f>IF(Tabela1[[#This Row],[Consumer Price Index (CPI)]]="",#N/A,((Tabela1[[#This Row],[Consumer Price Index (CPI)]]*1)/B634)-1)</f>
        <v>4.1891083183722699E-3</v>
      </c>
      <c r="D635" s="8">
        <f>IF(Tabela1[[#This Row],[Consumer Price Index (CPI)]]="",#N/A,((Tabela1[[#This Row],[Consumer Price Index (CPI)]]*1)/B623)-1)</f>
        <v>2.629969418960254E-2</v>
      </c>
      <c r="E635" s="25">
        <v>177.8</v>
      </c>
      <c r="F635" s="8">
        <f>IF(Tabela1[[#This Row],[Core Consumer Price Index]]="",#N/A,((Tabela1[[#This Row],[Core Consumer Price Index]]*1)/E634)-1)</f>
        <v>2.8200789622110367E-3</v>
      </c>
      <c r="G635" s="8">
        <f>IF(Tabela1[[#This Row],[Core Consumer Price Index]]="",#N/A,((Tabela1[[#This Row],[Core Consumer Price Index]]*1)/E623)-1)</f>
        <v>2.0665901262916231E-2</v>
      </c>
      <c r="H635" s="8">
        <f t="shared" si="30"/>
        <v>2.7122566069942344E-2</v>
      </c>
      <c r="I635" s="8">
        <f t="shared" si="31"/>
        <v>2.3793110971684683E-2</v>
      </c>
      <c r="J635" s="25">
        <v>189.8</v>
      </c>
      <c r="K635" s="8">
        <f>IF(Tabela1[[#This Row],[Services CPI]]="",#N/A,((Tabela1[[#This Row],[Services CPI]]*1)/J634)-1)</f>
        <v>2.641310089804616E-3</v>
      </c>
      <c r="L635" s="8">
        <f>IF(Tabela1[[#This Row],[Services CPI]]="",#N/A,((Tabela1[[#This Row],[Services CPI]]*1)/J623)-1)</f>
        <v>2.5391680172879516E-2</v>
      </c>
      <c r="M635" s="7">
        <v>196.7</v>
      </c>
      <c r="N635" s="8">
        <f>IF(Tabela1[[#This Row],[Core-Services CPI]]="",#N/A,((Tabela1[[#This Row],[Core-Services CPI]]*1)/M634)-1)</f>
        <v>2.5484199796126372E-3</v>
      </c>
      <c r="O635" s="8">
        <f>IF(Tabela1[[#This Row],[Core-Services CPI]]="",#N/A,((Tabela1[[#This Row],[Core-Services CPI]]*1)/M623)-1)</f>
        <v>2.5547445255474255E-2</v>
      </c>
      <c r="P635" s="7">
        <v>126.1</v>
      </c>
      <c r="Q635" s="8">
        <f>IF(Tabela1[[#This Row],[Durable Goods CPI]]="",#N/A,((Tabela1[[#This Row],[Durable Goods CPI]]*1)/P634)-1)</f>
        <v>7.9365079365079083E-4</v>
      </c>
      <c r="R635" s="8">
        <f>IF(Tabela1[[#This Row],[Durable Goods CPI]]="",#N/A,((Tabela1[[#This Row],[Durable Goods CPI]]*1)/P623)-1)</f>
        <v>-9.4265514532599903E-3</v>
      </c>
      <c r="S635" s="7">
        <v>2.1244532999999999</v>
      </c>
      <c r="T635" s="7">
        <v>72.406999999999996</v>
      </c>
      <c r="U635" s="8">
        <f>IF(Tabela1[[#This Row],[Personal Consumption Expenditures (PCE)]]="",#N/A,((Tabela1[[#This Row],[Personal Consumption Expenditures (PCE)]]*1)/T634)-1)</f>
        <v>3.5898431002938658E-3</v>
      </c>
      <c r="V635" s="8">
        <f>IF(Tabela1[[#This Row],[Personal Consumption Expenditures (PCE)]]="",#N/A,((Tabela1[[#This Row],[Personal Consumption Expenditures (PCE)]]*1)/T623)-1)</f>
        <v>1.8855446269013809E-2</v>
      </c>
      <c r="W635" s="7">
        <v>73.837000000000003</v>
      </c>
      <c r="X635" s="8">
        <f>IF(Tabela1[[#This Row],[Core PCE]]="",#N/A,((Tabela1[[#This Row],[Core PCE]]*1)/W634)-1)</f>
        <v>2.6479454659027457E-3</v>
      </c>
      <c r="Y635" s="8">
        <f>IF(Tabela1[[#This Row],[Core PCE]]="",#N/A,((Tabela1[[#This Row],[Core PCE]]*1)/W623)-1)</f>
        <v>1.4314169929253495E-2</v>
      </c>
      <c r="Z635" s="8">
        <f t="shared" si="33"/>
        <v>1.9734359648712285E-2</v>
      </c>
      <c r="AA635" s="8">
        <f t="shared" si="32"/>
        <v>1.7975837019383878E-2</v>
      </c>
      <c r="AB635" s="7">
        <v>1.8</v>
      </c>
      <c r="AC635" s="7"/>
      <c r="AD635" s="8"/>
      <c r="AE635" s="71"/>
      <c r="AF635" s="7">
        <v>2.7</v>
      </c>
      <c r="AG635" s="5"/>
    </row>
    <row r="636" spans="1:33" ht="12.75">
      <c r="A636" s="6">
        <v>36434</v>
      </c>
      <c r="B636" s="7">
        <v>168.1</v>
      </c>
      <c r="C636" s="8">
        <f>IF(Tabela1[[#This Row],[Consumer Price Index (CPI)]]="",#N/A,((Tabela1[[#This Row],[Consumer Price Index (CPI)]]*1)/B635)-1)</f>
        <v>1.7878426698449967E-3</v>
      </c>
      <c r="D636" s="8">
        <f>IF(Tabela1[[#This Row],[Consumer Price Index (CPI)]]="",#N/A,((Tabela1[[#This Row],[Consumer Price Index (CPI)]]*1)/B624)-1)</f>
        <v>2.56253813300793E-2</v>
      </c>
      <c r="E636" s="25">
        <v>178.1</v>
      </c>
      <c r="F636" s="8">
        <f>IF(Tabela1[[#This Row],[Core Consumer Price Index]]="",#N/A,((Tabela1[[#This Row],[Core Consumer Price Index]]*1)/E635)-1)</f>
        <v>1.6872890888637304E-3</v>
      </c>
      <c r="G636" s="8">
        <f>IF(Tabela1[[#This Row],[Core Consumer Price Index]]="",#N/A,((Tabela1[[#This Row],[Core Consumer Price Index]]*1)/E624)-1)</f>
        <v>2.1215596330275144E-2</v>
      </c>
      <c r="H636" s="8">
        <f t="shared" si="30"/>
        <v>2.254669411282606E-2</v>
      </c>
      <c r="I636" s="8">
        <f t="shared" si="31"/>
        <v>2.0337865586520731E-2</v>
      </c>
      <c r="J636" s="25">
        <v>190.2</v>
      </c>
      <c r="K636" s="8">
        <f>IF(Tabela1[[#This Row],[Services CPI]]="",#N/A,((Tabela1[[#This Row],[Services CPI]]*1)/J635)-1)</f>
        <v>2.1074815595363283E-3</v>
      </c>
      <c r="L636" s="8">
        <f>IF(Tabela1[[#This Row],[Services CPI]]="",#N/A,((Tabela1[[#This Row],[Services CPI]]*1)/J624)-1)</f>
        <v>2.5336927223719607E-2</v>
      </c>
      <c r="M636" s="7">
        <v>197.2</v>
      </c>
      <c r="N636" s="8">
        <f>IF(Tabela1[[#This Row],[Core-Services CPI]]="",#N/A,((Tabela1[[#This Row],[Core-Services CPI]]*1)/M635)-1)</f>
        <v>2.5419420437213791E-3</v>
      </c>
      <c r="O636" s="8">
        <f>IF(Tabela1[[#This Row],[Core-Services CPI]]="",#N/A,((Tabela1[[#This Row],[Core-Services CPI]]*1)/M624)-1)</f>
        <v>2.6014568158168494E-2</v>
      </c>
      <c r="P636" s="7">
        <v>126.1</v>
      </c>
      <c r="Q636" s="8">
        <f>IF(Tabela1[[#This Row],[Durable Goods CPI]]="",#N/A,((Tabela1[[#This Row],[Durable Goods CPI]]*1)/P635)-1)</f>
        <v>0</v>
      </c>
      <c r="R636" s="8">
        <f>IF(Tabela1[[#This Row],[Durable Goods CPI]]="",#N/A,((Tabela1[[#This Row],[Durable Goods CPI]]*1)/P624)-1)</f>
        <v>-7.8678206136899576E-3</v>
      </c>
      <c r="S636" s="7">
        <v>2.1074136999999999</v>
      </c>
      <c r="T636" s="7">
        <v>72.528999999999996</v>
      </c>
      <c r="U636" s="8">
        <f>IF(Tabela1[[#This Row],[Personal Consumption Expenditures (PCE)]]="",#N/A,((Tabela1[[#This Row],[Personal Consumption Expenditures (PCE)]]*1)/T635)-1)</f>
        <v>1.6849199663016012E-3</v>
      </c>
      <c r="V636" s="8">
        <f>IF(Tabela1[[#This Row],[Personal Consumption Expenditures (PCE)]]="",#N/A,((Tabela1[[#This Row],[Personal Consumption Expenditures (PCE)]]*1)/T624)-1)</f>
        <v>1.8336773233365689E-2</v>
      </c>
      <c r="W636" s="7">
        <v>73.962999999999994</v>
      </c>
      <c r="X636" s="8">
        <f>IF(Tabela1[[#This Row],[Core PCE]]="",#N/A,((Tabela1[[#This Row],[Core PCE]]*1)/W635)-1)</f>
        <v>1.7064615301269903E-3</v>
      </c>
      <c r="Y636" s="8">
        <f>IF(Tabela1[[#This Row],[Core PCE]]="",#N/A,((Tabela1[[#This Row],[Core PCE]]*1)/W624)-1)</f>
        <v>1.40669344776998E-2</v>
      </c>
      <c r="Z636" s="8">
        <f t="shared" si="33"/>
        <v>1.9373990237196104E-2</v>
      </c>
      <c r="AA636" s="8">
        <f t="shared" si="32"/>
        <v>1.6250533587707672E-2</v>
      </c>
      <c r="AB636" s="7">
        <v>1.81</v>
      </c>
      <c r="AC636" s="7"/>
      <c r="AD636" s="8"/>
      <c r="AE636" s="71"/>
      <c r="AF636" s="7">
        <v>2.9</v>
      </c>
      <c r="AG636" s="5"/>
    </row>
    <row r="637" spans="1:33" ht="12.75">
      <c r="A637" s="6">
        <v>36465</v>
      </c>
      <c r="B637" s="7">
        <v>168.4</v>
      </c>
      <c r="C637" s="8">
        <f>IF(Tabela1[[#This Row],[Consumer Price Index (CPI)]]="",#N/A,((Tabela1[[#This Row],[Consumer Price Index (CPI)]]*1)/B636)-1)</f>
        <v>1.7846519928614857E-3</v>
      </c>
      <c r="D637" s="8">
        <f>IF(Tabela1[[#This Row],[Consumer Price Index (CPI)]]="",#N/A,((Tabela1[[#This Row],[Consumer Price Index (CPI)]]*1)/B625)-1)</f>
        <v>2.6203534430225606E-2</v>
      </c>
      <c r="E637" s="25">
        <v>178.4</v>
      </c>
      <c r="F637" s="8">
        <f>IF(Tabela1[[#This Row],[Core Consumer Price Index]]="",#N/A,((Tabela1[[#This Row],[Core Consumer Price Index]]*1)/E636)-1)</f>
        <v>1.6844469399215356E-3</v>
      </c>
      <c r="G637" s="8">
        <f>IF(Tabela1[[#This Row],[Core Consumer Price Index]]="",#N/A,((Tabela1[[#This Row],[Core Consumer Price Index]]*1)/E625)-1)</f>
        <v>2.0594965675057253E-2</v>
      </c>
      <c r="H637" s="8">
        <f t="shared" si="30"/>
        <v>2.4767259963985211E-2</v>
      </c>
      <c r="I637" s="8">
        <f t="shared" si="31"/>
        <v>2.1437899568462537E-2</v>
      </c>
      <c r="J637" s="25">
        <v>190.9</v>
      </c>
      <c r="K637" s="8">
        <f>IF(Tabela1[[#This Row],[Services CPI]]="",#N/A,((Tabela1[[#This Row],[Services CPI]]*1)/J636)-1)</f>
        <v>3.680336487907665E-3</v>
      </c>
      <c r="L637" s="8">
        <f>IF(Tabela1[[#This Row],[Services CPI]]="",#N/A,((Tabela1[[#This Row],[Services CPI]]*1)/J625)-1)</f>
        <v>2.6344086021505397E-2</v>
      </c>
      <c r="M637" s="7">
        <v>197.9</v>
      </c>
      <c r="N637" s="8">
        <f>IF(Tabela1[[#This Row],[Core-Services CPI]]="",#N/A,((Tabela1[[#This Row],[Core-Services CPI]]*1)/M636)-1)</f>
        <v>3.5496957403651219E-3</v>
      </c>
      <c r="O637" s="8">
        <f>IF(Tabela1[[#This Row],[Core-Services CPI]]="",#N/A,((Tabela1[[#This Row],[Core-Services CPI]]*1)/M625)-1)</f>
        <v>2.6452282157676255E-2</v>
      </c>
      <c r="P637" s="7">
        <v>125.8</v>
      </c>
      <c r="Q637" s="8">
        <f>IF(Tabela1[[#This Row],[Durable Goods CPI]]="",#N/A,((Tabela1[[#This Row],[Durable Goods CPI]]*1)/P636)-1)</f>
        <v>-2.3790642347343294E-3</v>
      </c>
      <c r="R637" s="8">
        <f>IF(Tabela1[[#This Row],[Durable Goods CPI]]="",#N/A,((Tabela1[[#This Row],[Durable Goods CPI]]*1)/P625)-1)</f>
        <v>-1.1006289308176154E-2</v>
      </c>
      <c r="S637" s="7">
        <v>2.0832918999999999</v>
      </c>
      <c r="T637" s="7">
        <v>72.593999999999994</v>
      </c>
      <c r="U637" s="8">
        <f>IF(Tabela1[[#This Row],[Personal Consumption Expenditures (PCE)]]="",#N/A,((Tabela1[[#This Row],[Personal Consumption Expenditures (PCE)]]*1)/T636)-1)</f>
        <v>8.9619324683920532E-4</v>
      </c>
      <c r="V637" s="8">
        <f>IF(Tabela1[[#This Row],[Personal Consumption Expenditures (PCE)]]="",#N/A,((Tabela1[[#This Row],[Personal Consumption Expenditures (PCE)]]*1)/T625)-1)</f>
        <v>1.9206469547637051E-2</v>
      </c>
      <c r="W637" s="7">
        <v>74.034000000000006</v>
      </c>
      <c r="X637" s="8">
        <f>IF(Tabela1[[#This Row],[Core PCE]]="",#N/A,((Tabela1[[#This Row],[Core PCE]]*1)/W636)-1)</f>
        <v>9.5993942917416142E-4</v>
      </c>
      <c r="Y637" s="8">
        <f>IF(Tabela1[[#This Row],[Core PCE]]="",#N/A,((Tabela1[[#This Row],[Core PCE]]*1)/W625)-1)</f>
        <v>1.4859492803289909E-2</v>
      </c>
      <c r="Z637" s="8">
        <f t="shared" si="33"/>
        <v>2.125738570081559E-2</v>
      </c>
      <c r="AA637" s="8">
        <f t="shared" si="32"/>
        <v>1.6262145561301455E-2</v>
      </c>
      <c r="AB637" s="7">
        <v>1.84</v>
      </c>
      <c r="AC637" s="7"/>
      <c r="AD637" s="8"/>
      <c r="AE637" s="71"/>
      <c r="AF637" s="7">
        <v>2.9</v>
      </c>
      <c r="AG637" s="5"/>
    </row>
    <row r="638" spans="1:33" ht="12.75">
      <c r="A638" s="6">
        <v>36495</v>
      </c>
      <c r="B638" s="7">
        <v>168.8</v>
      </c>
      <c r="C638" s="8">
        <f>IF(Tabela1[[#This Row],[Consumer Price Index (CPI)]]="",#N/A,((Tabela1[[#This Row],[Consumer Price Index (CPI)]]*1)/B637)-1)</f>
        <v>2.3752969121140222E-3</v>
      </c>
      <c r="D638" s="8">
        <f>IF(Tabela1[[#This Row],[Consumer Price Index (CPI)]]="",#N/A,((Tabela1[[#This Row],[Consumer Price Index (CPI)]]*1)/B626)-1)</f>
        <v>2.6763990267639981E-2</v>
      </c>
      <c r="E638" s="25">
        <v>178.7</v>
      </c>
      <c r="F638" s="8">
        <f>IF(Tabela1[[#This Row],[Core Consumer Price Index]]="",#N/A,((Tabela1[[#This Row],[Core Consumer Price Index]]*1)/E637)-1)</f>
        <v>1.6816143497757619E-3</v>
      </c>
      <c r="G638" s="8">
        <f>IF(Tabela1[[#This Row],[Core Consumer Price Index]]="",#N/A,((Tabela1[[#This Row],[Core Consumer Price Index]]*1)/E626)-1)</f>
        <v>1.8814139110604255E-2</v>
      </c>
      <c r="H638" s="8">
        <f t="shared" ref="H638:H701" si="34">SUM(F636:F638)*4</f>
        <v>2.0213401514244111E-2</v>
      </c>
      <c r="I638" s="8">
        <f t="shared" si="31"/>
        <v>2.3667983792093228E-2</v>
      </c>
      <c r="J638" s="25">
        <v>191.2</v>
      </c>
      <c r="K638" s="8">
        <f>IF(Tabela1[[#This Row],[Services CPI]]="",#N/A,((Tabela1[[#This Row],[Services CPI]]*1)/J637)-1)</f>
        <v>1.5715034049239573E-3</v>
      </c>
      <c r="L638" s="8">
        <f>IF(Tabela1[[#This Row],[Services CPI]]="",#N/A,((Tabela1[[#This Row],[Services CPI]]*1)/J626)-1)</f>
        <v>2.5751072961373245E-2</v>
      </c>
      <c r="M638" s="7">
        <v>198.3</v>
      </c>
      <c r="N638" s="8">
        <f>IF(Tabela1[[#This Row],[Core-Services CPI]]="",#N/A,((Tabela1[[#This Row],[Core-Services CPI]]*1)/M637)-1)</f>
        <v>2.0212228398182042E-3</v>
      </c>
      <c r="O638" s="8">
        <f>IF(Tabela1[[#This Row],[Core-Services CPI]]="",#N/A,((Tabela1[[#This Row],[Core-Services CPI]]*1)/M626)-1)</f>
        <v>2.6397515527950333E-2</v>
      </c>
      <c r="P638" s="7">
        <v>125.5</v>
      </c>
      <c r="Q638" s="8">
        <f>IF(Tabela1[[#This Row],[Durable Goods CPI]]="",#N/A,((Tabela1[[#This Row],[Durable Goods CPI]]*1)/P637)-1)</f>
        <v>-2.3847376788552754E-3</v>
      </c>
      <c r="R638" s="8">
        <f>IF(Tabela1[[#This Row],[Durable Goods CPI]]="",#N/A,((Tabela1[[#This Row],[Durable Goods CPI]]*1)/P626)-1)</f>
        <v>-1.1811023622047223E-2</v>
      </c>
      <c r="S638" s="7">
        <v>2.0639533000000001</v>
      </c>
      <c r="T638" s="7">
        <v>72.763000000000005</v>
      </c>
      <c r="U638" s="8">
        <f>IF(Tabela1[[#This Row],[Personal Consumption Expenditures (PCE)]]="",#N/A,((Tabela1[[#This Row],[Personal Consumption Expenditures (PCE)]]*1)/T637)-1)</f>
        <v>2.3280160894840751E-3</v>
      </c>
      <c r="V638" s="8">
        <f>IF(Tabela1[[#This Row],[Personal Consumption Expenditures (PCE)]]="",#N/A,((Tabela1[[#This Row],[Personal Consumption Expenditures (PCE)]]*1)/T626)-1)</f>
        <v>2.0547560941400977E-2</v>
      </c>
      <c r="W638" s="7">
        <v>74.128</v>
      </c>
      <c r="X638" s="8">
        <f>IF(Tabela1[[#This Row],[Core PCE]]="",#N/A,((Tabela1[[#This Row],[Core PCE]]*1)/W637)-1)</f>
        <v>1.2696869006132427E-3</v>
      </c>
      <c r="Y638" s="8">
        <f>IF(Tabela1[[#This Row],[Core PCE]]="",#N/A,((Tabela1[[#This Row],[Core PCE]]*1)/W626)-1)</f>
        <v>1.4395971317532563E-2</v>
      </c>
      <c r="Z638" s="8">
        <f t="shared" si="33"/>
        <v>1.5744351439657578E-2</v>
      </c>
      <c r="AA638" s="8">
        <f t="shared" si="32"/>
        <v>1.7739355544184932E-2</v>
      </c>
      <c r="AB638" s="7">
        <v>1.88</v>
      </c>
      <c r="AC638" s="7"/>
      <c r="AD638" s="8"/>
      <c r="AE638" s="71"/>
      <c r="AF638" s="7">
        <v>3</v>
      </c>
      <c r="AG638" s="5"/>
    </row>
    <row r="639" spans="1:33" ht="12.75">
      <c r="A639" s="6">
        <v>36526</v>
      </c>
      <c r="B639" s="7">
        <v>169.3</v>
      </c>
      <c r="C639" s="8">
        <f>IF(Tabela1[[#This Row],[Consumer Price Index (CPI)]]="",#N/A,((Tabela1[[#This Row],[Consumer Price Index (CPI)]]*1)/B638)-1)</f>
        <v>2.962085308056972E-3</v>
      </c>
      <c r="D639" s="8">
        <f>IF(Tabela1[[#This Row],[Consumer Price Index (CPI)]]="",#N/A,((Tabela1[[#This Row],[Consumer Price Index (CPI)]]*1)/B627)-1)</f>
        <v>2.7929568913175551E-2</v>
      </c>
      <c r="E639" s="25">
        <v>179.3</v>
      </c>
      <c r="F639" s="8">
        <f>IF(Tabela1[[#This Row],[Core Consumer Price Index]]="",#N/A,((Tabela1[[#This Row],[Core Consumer Price Index]]*1)/E638)-1)</f>
        <v>3.357582540570947E-3</v>
      </c>
      <c r="G639" s="8">
        <f>IF(Tabela1[[#This Row],[Core Consumer Price Index]]="",#N/A,((Tabela1[[#This Row],[Core Consumer Price Index]]*1)/E627)-1)</f>
        <v>2.1070615034168627E-2</v>
      </c>
      <c r="H639" s="8">
        <f t="shared" si="34"/>
        <v>2.6894575321072978E-2</v>
      </c>
      <c r="I639" s="8">
        <f t="shared" si="31"/>
        <v>2.4720634716949519E-2</v>
      </c>
      <c r="J639" s="25">
        <v>192</v>
      </c>
      <c r="K639" s="8">
        <f>IF(Tabela1[[#This Row],[Services CPI]]="",#N/A,((Tabela1[[#This Row],[Services CPI]]*1)/J638)-1)</f>
        <v>4.1841004184099972E-3</v>
      </c>
      <c r="L639" s="8">
        <f>IF(Tabela1[[#This Row],[Services CPI]]="",#N/A,((Tabela1[[#This Row],[Services CPI]]*1)/J627)-1)</f>
        <v>2.8938906752411508E-2</v>
      </c>
      <c r="M639" s="7">
        <v>199.2</v>
      </c>
      <c r="N639" s="8">
        <f>IF(Tabela1[[#This Row],[Core-Services CPI]]="",#N/A,((Tabela1[[#This Row],[Core-Services CPI]]*1)/M638)-1)</f>
        <v>4.5385779122539827E-3</v>
      </c>
      <c r="O639" s="8">
        <f>IF(Tabela1[[#This Row],[Core-Services CPI]]="",#N/A,((Tabela1[[#This Row],[Core-Services CPI]]*1)/M627)-1)</f>
        <v>2.9989658738365899E-2</v>
      </c>
      <c r="P639" s="7">
        <v>125.3</v>
      </c>
      <c r="Q639" s="8">
        <f>IF(Tabela1[[#This Row],[Durable Goods CPI]]="",#N/A,((Tabela1[[#This Row],[Durable Goods CPI]]*1)/P638)-1)</f>
        <v>-1.5936254980080111E-3</v>
      </c>
      <c r="R639" s="8">
        <f>IF(Tabela1[[#This Row],[Durable Goods CPI]]="",#N/A,((Tabela1[[#This Row],[Durable Goods CPI]]*1)/P627)-1)</f>
        <v>-1.104972375690616E-2</v>
      </c>
      <c r="S639" s="7">
        <v>2.1623250999999999</v>
      </c>
      <c r="T639" s="7">
        <v>72.960999999999999</v>
      </c>
      <c r="U639" s="8">
        <f>IF(Tabela1[[#This Row],[Personal Consumption Expenditures (PCE)]]="",#N/A,((Tabela1[[#This Row],[Personal Consumption Expenditures (PCE)]]*1)/T638)-1)</f>
        <v>2.721163228563972E-3</v>
      </c>
      <c r="V639" s="8">
        <f>IF(Tabela1[[#This Row],[Personal Consumption Expenditures (PCE)]]="",#N/A,((Tabela1[[#This Row],[Personal Consumption Expenditures (PCE)]]*1)/T627)-1)</f>
        <v>2.1891369506148672E-2</v>
      </c>
      <c r="W639" s="7">
        <v>74.305999999999997</v>
      </c>
      <c r="X639" s="8">
        <f>IF(Tabela1[[#This Row],[Core PCE]]="",#N/A,((Tabela1[[#This Row],[Core PCE]]*1)/W638)-1)</f>
        <v>2.4012518886249445E-3</v>
      </c>
      <c r="Y639" s="8">
        <f>IF(Tabela1[[#This Row],[Core PCE]]="",#N/A,((Tabela1[[#This Row],[Core PCE]]*1)/W627)-1)</f>
        <v>1.538671768242672E-2</v>
      </c>
      <c r="Z639" s="8">
        <f t="shared" si="33"/>
        <v>1.8523512873649395E-2</v>
      </c>
      <c r="AA639" s="8">
        <f t="shared" si="32"/>
        <v>1.8948751555422749E-2</v>
      </c>
      <c r="AB639" s="7">
        <v>2</v>
      </c>
      <c r="AC639" s="7"/>
      <c r="AD639" s="8"/>
      <c r="AE639" s="71"/>
      <c r="AF639" s="7">
        <v>3</v>
      </c>
      <c r="AG639" s="5"/>
    </row>
    <row r="640" spans="1:33" ht="12.75">
      <c r="A640" s="6">
        <v>36557</v>
      </c>
      <c r="B640" s="7">
        <v>170</v>
      </c>
      <c r="C640" s="8">
        <f>IF(Tabela1[[#This Row],[Consumer Price Index (CPI)]]="",#N/A,((Tabela1[[#This Row],[Consumer Price Index (CPI)]]*1)/B639)-1)</f>
        <v>4.1346721795627595E-3</v>
      </c>
      <c r="D640" s="8">
        <f>IF(Tabela1[[#This Row],[Consumer Price Index (CPI)]]="",#N/A,((Tabela1[[#This Row],[Consumer Price Index (CPI)]]*1)/B628)-1)</f>
        <v>3.2179720704310855E-2</v>
      </c>
      <c r="E640" s="25">
        <v>179.4</v>
      </c>
      <c r="F640" s="8">
        <f>IF(Tabela1[[#This Row],[Core Consumer Price Index]]="",#N/A,((Tabela1[[#This Row],[Core Consumer Price Index]]*1)/E639)-1)</f>
        <v>5.5772448410484898E-4</v>
      </c>
      <c r="G640" s="8">
        <f>IF(Tabela1[[#This Row],[Core Consumer Price Index]]="",#N/A,((Tabela1[[#This Row],[Core Consumer Price Index]]*1)/E628)-1)</f>
        <v>2.1640091116173155E-2</v>
      </c>
      <c r="H640" s="8">
        <f t="shared" si="34"/>
        <v>2.2387685497806231E-2</v>
      </c>
      <c r="I640" s="8">
        <f t="shared" si="31"/>
        <v>2.3577472730895721E-2</v>
      </c>
      <c r="J640" s="25">
        <v>192.5</v>
      </c>
      <c r="K640" s="8">
        <f>IF(Tabela1[[#This Row],[Services CPI]]="",#N/A,((Tabela1[[#This Row],[Services CPI]]*1)/J639)-1)</f>
        <v>2.6041666666667407E-3</v>
      </c>
      <c r="L640" s="8">
        <f>IF(Tabela1[[#This Row],[Services CPI]]="",#N/A,((Tabela1[[#This Row],[Services CPI]]*1)/J628)-1)</f>
        <v>2.9962546816479474E-2</v>
      </c>
      <c r="M640" s="7">
        <v>199.5</v>
      </c>
      <c r="N640" s="8">
        <f>IF(Tabela1[[#This Row],[Core-Services CPI]]="",#N/A,((Tabela1[[#This Row],[Core-Services CPI]]*1)/M639)-1)</f>
        <v>1.5060240963855609E-3</v>
      </c>
      <c r="O640" s="8">
        <f>IF(Tabela1[[#This Row],[Core-Services CPI]]="",#N/A,((Tabela1[[#This Row],[Core-Services CPI]]*1)/M628)-1)</f>
        <v>2.994321115126497E-2</v>
      </c>
      <c r="P640" s="7">
        <v>125.1</v>
      </c>
      <c r="Q640" s="8">
        <f>IF(Tabela1[[#This Row],[Durable Goods CPI]]="",#N/A,((Tabela1[[#This Row],[Durable Goods CPI]]*1)/P639)-1)</f>
        <v>-1.5961691939345712E-3</v>
      </c>
      <c r="R640" s="8">
        <f>IF(Tabela1[[#This Row],[Durable Goods CPI]]="",#N/A,((Tabela1[[#This Row],[Durable Goods CPI]]*1)/P628)-1)</f>
        <v>-8.7163232963550774E-3</v>
      </c>
      <c r="S640" s="7">
        <v>2.1818507999999999</v>
      </c>
      <c r="T640" s="7">
        <v>73.191000000000003</v>
      </c>
      <c r="U640" s="8">
        <f>IF(Tabela1[[#This Row],[Personal Consumption Expenditures (PCE)]]="",#N/A,((Tabela1[[#This Row],[Personal Consumption Expenditures (PCE)]]*1)/T639)-1)</f>
        <v>3.1523690738888277E-3</v>
      </c>
      <c r="V640" s="8">
        <f>IF(Tabela1[[#This Row],[Personal Consumption Expenditures (PCE)]]="",#N/A,((Tabela1[[#This Row],[Personal Consumption Expenditures (PCE)]]*1)/T628)-1)</f>
        <v>2.5687379130580945E-2</v>
      </c>
      <c r="W640" s="7">
        <v>74.415000000000006</v>
      </c>
      <c r="X640" s="8">
        <f>IF(Tabela1[[#This Row],[Core PCE]]="",#N/A,((Tabela1[[#This Row],[Core PCE]]*1)/W639)-1)</f>
        <v>1.4669071138266876E-3</v>
      </c>
      <c r="Y640" s="8">
        <f>IF(Tabela1[[#This Row],[Core PCE]]="",#N/A,((Tabela1[[#This Row],[Core PCE]]*1)/W628)-1)</f>
        <v>1.7223703096165721E-2</v>
      </c>
      <c r="Z640" s="8">
        <f t="shared" si="33"/>
        <v>2.05513836122595E-2</v>
      </c>
      <c r="AA640" s="8">
        <f t="shared" si="32"/>
        <v>2.0904384656537545E-2</v>
      </c>
      <c r="AB640" s="7">
        <v>2.12</v>
      </c>
      <c r="AC640" s="7"/>
      <c r="AD640" s="8"/>
      <c r="AE640" s="71"/>
      <c r="AF640" s="7">
        <v>2.9</v>
      </c>
      <c r="AG640" s="5"/>
    </row>
    <row r="641" spans="1:33" ht="12.75">
      <c r="A641" s="6">
        <v>36586</v>
      </c>
      <c r="B641" s="7">
        <v>171</v>
      </c>
      <c r="C641" s="8">
        <f>IF(Tabela1[[#This Row],[Consumer Price Index (CPI)]]="",#N/A,((Tabela1[[#This Row],[Consumer Price Index (CPI)]]*1)/B640)-1)</f>
        <v>5.8823529411764497E-3</v>
      </c>
      <c r="D641" s="8">
        <f>IF(Tabela1[[#This Row],[Consumer Price Index (CPI)]]="",#N/A,((Tabela1[[#This Row],[Consumer Price Index (CPI)]]*1)/B629)-1)</f>
        <v>3.762135922330101E-2</v>
      </c>
      <c r="E641" s="25">
        <v>180</v>
      </c>
      <c r="F641" s="8">
        <f>IF(Tabela1[[#This Row],[Core Consumer Price Index]]="",#N/A,((Tabela1[[#This Row],[Core Consumer Price Index]]*1)/E640)-1)</f>
        <v>3.3444816053511683E-3</v>
      </c>
      <c r="G641" s="8">
        <f>IF(Tabela1[[#This Row],[Core Consumer Price Index]]="",#N/A,((Tabela1[[#This Row],[Core Consumer Price Index]]*1)/E629)-1)</f>
        <v>2.4473534433693933E-2</v>
      </c>
      <c r="H641" s="8">
        <f t="shared" si="34"/>
        <v>2.9039154520107857E-2</v>
      </c>
      <c r="I641" s="8">
        <f t="shared" ref="I641:I704" si="35">SUM(F636:F641)*2</f>
        <v>2.4626278017175984E-2</v>
      </c>
      <c r="J641" s="25">
        <v>193.1</v>
      </c>
      <c r="K641" s="8">
        <f>IF(Tabela1[[#This Row],[Services CPI]]="",#N/A,((Tabela1[[#This Row],[Services CPI]]*1)/J640)-1)</f>
        <v>3.1168831168830735E-3</v>
      </c>
      <c r="L641" s="8">
        <f>IF(Tabela1[[#This Row],[Services CPI]]="",#N/A,((Tabela1[[#This Row],[Services CPI]]*1)/J629)-1)</f>
        <v>3.0416221985058556E-2</v>
      </c>
      <c r="M641" s="7">
        <v>200.2</v>
      </c>
      <c r="N641" s="8">
        <f>IF(Tabela1[[#This Row],[Core-Services CPI]]="",#N/A,((Tabela1[[#This Row],[Core-Services CPI]]*1)/M640)-1)</f>
        <v>3.5087719298245723E-3</v>
      </c>
      <c r="O641" s="8">
        <f>IF(Tabela1[[#This Row],[Core-Services CPI]]="",#N/A,((Tabela1[[#This Row],[Core-Services CPI]]*1)/M629)-1)</f>
        <v>3.0895983522142068E-2</v>
      </c>
      <c r="P641" s="7">
        <v>125.5</v>
      </c>
      <c r="Q641" s="8">
        <f>IF(Tabela1[[#This Row],[Durable Goods CPI]]="",#N/A,((Tabela1[[#This Row],[Durable Goods CPI]]*1)/P640)-1)</f>
        <v>3.1974420463629638E-3</v>
      </c>
      <c r="R641" s="8">
        <f>IF(Tabela1[[#This Row],[Durable Goods CPI]]="",#N/A,((Tabela1[[#This Row],[Durable Goods CPI]]*1)/P629)-1)</f>
        <v>-3.1771247021445959E-3</v>
      </c>
      <c r="S641" s="7">
        <v>2.3501949999999998</v>
      </c>
      <c r="T641" s="7">
        <v>73.504999999999995</v>
      </c>
      <c r="U641" s="8">
        <f>IF(Tabela1[[#This Row],[Personal Consumption Expenditures (PCE)]]="",#N/A,((Tabela1[[#This Row],[Personal Consumption Expenditures (PCE)]]*1)/T640)-1)</f>
        <v>4.2901449631784772E-3</v>
      </c>
      <c r="V641" s="8">
        <f>IF(Tabela1[[#This Row],[Personal Consumption Expenditures (PCE)]]="",#N/A,((Tabela1[[#This Row],[Personal Consumption Expenditures (PCE)]]*1)/T629)-1)</f>
        <v>2.930879964151667E-2</v>
      </c>
      <c r="W641" s="7">
        <v>74.567999999999998</v>
      </c>
      <c r="X641" s="8">
        <f>IF(Tabela1[[#This Row],[Core PCE]]="",#N/A,((Tabela1[[#This Row],[Core PCE]]*1)/W640)-1)</f>
        <v>2.0560370892963586E-3</v>
      </c>
      <c r="Y641" s="8">
        <f>IF(Tabela1[[#This Row],[Core PCE]]="",#N/A,((Tabela1[[#This Row],[Core PCE]]*1)/W629)-1)</f>
        <v>1.9008704920945085E-2</v>
      </c>
      <c r="Z641" s="8">
        <f t="shared" si="33"/>
        <v>2.3696784366991963E-2</v>
      </c>
      <c r="AA641" s="8">
        <f t="shared" si="32"/>
        <v>1.972056790332477E-2</v>
      </c>
      <c r="AB641" s="7">
        <v>2.2400000000000002</v>
      </c>
      <c r="AC641" s="7"/>
      <c r="AD641" s="8"/>
      <c r="AE641" s="71"/>
      <c r="AF641" s="7">
        <v>3.2</v>
      </c>
      <c r="AG641" s="5"/>
    </row>
    <row r="642" spans="1:33" ht="12.75">
      <c r="A642" s="6">
        <v>36617</v>
      </c>
      <c r="B642" s="7">
        <v>170.9</v>
      </c>
      <c r="C642" s="8">
        <f>IF(Tabela1[[#This Row],[Consumer Price Index (CPI)]]="",#N/A,((Tabela1[[#This Row],[Consumer Price Index (CPI)]]*1)/B641)-1)</f>
        <v>-5.847953216373547E-4</v>
      </c>
      <c r="D642" s="8">
        <f>IF(Tabela1[[#This Row],[Consumer Price Index (CPI)]]="",#N/A,((Tabela1[[#This Row],[Consumer Price Index (CPI)]]*1)/B630)-1)</f>
        <v>3.0138637733574392E-2</v>
      </c>
      <c r="E642" s="25">
        <v>180.3</v>
      </c>
      <c r="F642" s="8">
        <f>IF(Tabela1[[#This Row],[Core Consumer Price Index]]="",#N/A,((Tabela1[[#This Row],[Core Consumer Price Index]]*1)/E641)-1)</f>
        <v>1.6666666666667052E-3</v>
      </c>
      <c r="G642" s="8">
        <f>IF(Tabela1[[#This Row],[Core Consumer Price Index]]="",#N/A,((Tabela1[[#This Row],[Core Consumer Price Index]]*1)/E630)-1)</f>
        <v>2.2688598979013097E-2</v>
      </c>
      <c r="H642" s="8">
        <f t="shared" si="34"/>
        <v>2.227549102449089E-2</v>
      </c>
      <c r="I642" s="8">
        <f t="shared" si="35"/>
        <v>2.4585033172781934E-2</v>
      </c>
      <c r="J642" s="25">
        <v>193.5</v>
      </c>
      <c r="K642" s="8">
        <f>IF(Tabela1[[#This Row],[Services CPI]]="",#N/A,((Tabela1[[#This Row],[Services CPI]]*1)/J641)-1)</f>
        <v>2.0714655618849775E-3</v>
      </c>
      <c r="L642" s="8">
        <f>IF(Tabela1[[#This Row],[Services CPI]]="",#N/A,((Tabela1[[#This Row],[Services CPI]]*1)/J630)-1)</f>
        <v>2.9803086748270369E-2</v>
      </c>
      <c r="M642" s="7">
        <v>200.6</v>
      </c>
      <c r="N642" s="8">
        <f>IF(Tabela1[[#This Row],[Core-Services CPI]]="",#N/A,((Tabela1[[#This Row],[Core-Services CPI]]*1)/M641)-1)</f>
        <v>1.9980019980019303E-3</v>
      </c>
      <c r="O642" s="8">
        <f>IF(Tabela1[[#This Row],[Core-Services CPI]]="",#N/A,((Tabela1[[#This Row],[Core-Services CPI]]*1)/M630)-1)</f>
        <v>2.9774127310061571E-2</v>
      </c>
      <c r="P642" s="7">
        <v>125.4</v>
      </c>
      <c r="Q642" s="8">
        <f>IF(Tabela1[[#This Row],[Durable Goods CPI]]="",#N/A,((Tabela1[[#This Row],[Durable Goods CPI]]*1)/P641)-1)</f>
        <v>-7.9681274900389454E-4</v>
      </c>
      <c r="R642" s="8">
        <f>IF(Tabela1[[#This Row],[Durable Goods CPI]]="",#N/A,((Tabela1[[#This Row],[Durable Goods CPI]]*1)/P630)-1)</f>
        <v>-3.9714058776807448E-3</v>
      </c>
      <c r="S642" s="7">
        <v>2.3950909</v>
      </c>
      <c r="T642" s="7">
        <v>73.444000000000003</v>
      </c>
      <c r="U642" s="8">
        <f>IF(Tabela1[[#This Row],[Personal Consumption Expenditures (PCE)]]="",#N/A,((Tabela1[[#This Row],[Personal Consumption Expenditures (PCE)]]*1)/T641)-1)</f>
        <v>-8.298755186720852E-4</v>
      </c>
      <c r="V642" s="8">
        <f>IF(Tabela1[[#This Row],[Personal Consumption Expenditures (PCE)]]="",#N/A,((Tabela1[[#This Row],[Personal Consumption Expenditures (PCE)]]*1)/T630)-1)</f>
        <v>2.3509901473026895E-2</v>
      </c>
      <c r="W642" s="7">
        <v>74.617000000000004</v>
      </c>
      <c r="X642" s="8">
        <f>IF(Tabela1[[#This Row],[Core PCE]]="",#N/A,((Tabela1[[#This Row],[Core PCE]]*1)/W641)-1)</f>
        <v>6.5711833494264127E-4</v>
      </c>
      <c r="Y642" s="8">
        <f>IF(Tabela1[[#This Row],[Core PCE]]="",#N/A,((Tabela1[[#This Row],[Core PCE]]*1)/W630)-1)</f>
        <v>1.70653581408029E-2</v>
      </c>
      <c r="Z642" s="8">
        <f t="shared" si="33"/>
        <v>1.672025015226275E-2</v>
      </c>
      <c r="AA642" s="8">
        <f t="shared" si="32"/>
        <v>1.7621881512956072E-2</v>
      </c>
      <c r="AB642" s="7">
        <v>2.1800000000000002</v>
      </c>
      <c r="AC642" s="7"/>
      <c r="AD642" s="8"/>
      <c r="AE642" s="71"/>
      <c r="AF642" s="7">
        <v>3.2</v>
      </c>
      <c r="AG642" s="5"/>
    </row>
    <row r="643" spans="1:33" ht="12.75">
      <c r="A643" s="6">
        <v>36647</v>
      </c>
      <c r="B643" s="7">
        <v>171.2</v>
      </c>
      <c r="C643" s="8">
        <f>IF(Tabela1[[#This Row],[Consumer Price Index (CPI)]]="",#N/A,((Tabela1[[#This Row],[Consumer Price Index (CPI)]]*1)/B642)-1)</f>
        <v>1.7554125219425565E-3</v>
      </c>
      <c r="D643" s="8">
        <f>IF(Tabela1[[#This Row],[Consumer Price Index (CPI)]]="",#N/A,((Tabela1[[#This Row],[Consumer Price Index (CPI)]]*1)/B631)-1)</f>
        <v>3.1325301204819134E-2</v>
      </c>
      <c r="E643" s="25">
        <v>180.7</v>
      </c>
      <c r="F643" s="8">
        <f>IF(Tabela1[[#This Row],[Core Consumer Price Index]]="",#N/A,((Tabela1[[#This Row],[Core Consumer Price Index]]*1)/E642)-1)</f>
        <v>2.2185246810868531E-3</v>
      </c>
      <c r="G643" s="8">
        <f>IF(Tabela1[[#This Row],[Core Consumer Price Index]]="",#N/A,((Tabela1[[#This Row],[Core Consumer Price Index]]*1)/E631)-1)</f>
        <v>2.3796033994334165E-2</v>
      </c>
      <c r="H643" s="8">
        <f t="shared" si="34"/>
        <v>2.8918691812418906E-2</v>
      </c>
      <c r="I643" s="8">
        <f t="shared" si="35"/>
        <v>2.5653188655112569E-2</v>
      </c>
      <c r="J643" s="25">
        <v>194</v>
      </c>
      <c r="K643" s="8">
        <f>IF(Tabela1[[#This Row],[Services CPI]]="",#N/A,((Tabela1[[#This Row],[Services CPI]]*1)/J642)-1)</f>
        <v>2.5839793281654533E-3</v>
      </c>
      <c r="L643" s="8">
        <f>IF(Tabela1[[#This Row],[Services CPI]]="",#N/A,((Tabela1[[#This Row],[Services CPI]]*1)/J631)-1)</f>
        <v>3.1366294524189264E-2</v>
      </c>
      <c r="M643" s="7">
        <v>201.2</v>
      </c>
      <c r="N643" s="8">
        <f>IF(Tabela1[[#This Row],[Core-Services CPI]]="",#N/A,((Tabela1[[#This Row],[Core-Services CPI]]*1)/M642)-1)</f>
        <v>2.9910269192421346E-3</v>
      </c>
      <c r="O643" s="8">
        <f>IF(Tabela1[[#This Row],[Core-Services CPI]]="",#N/A,((Tabela1[[#This Row],[Core-Services CPI]]*1)/M631)-1)</f>
        <v>3.1266017426960557E-2</v>
      </c>
      <c r="P643" s="7">
        <v>125.8</v>
      </c>
      <c r="Q643" s="8">
        <f>IF(Tabela1[[#This Row],[Durable Goods CPI]]="",#N/A,((Tabela1[[#This Row],[Durable Goods CPI]]*1)/P642)-1)</f>
        <v>3.1897926634767426E-3</v>
      </c>
      <c r="R643" s="8">
        <f>IF(Tabela1[[#This Row],[Durable Goods CPI]]="",#N/A,((Tabela1[[#This Row],[Durable Goods CPI]]*1)/P631)-1)</f>
        <v>7.9554494828948386E-4</v>
      </c>
      <c r="S643" s="7">
        <v>2.4989588999999999</v>
      </c>
      <c r="T643" s="7">
        <v>73.504999999999995</v>
      </c>
      <c r="U643" s="8">
        <f>IF(Tabela1[[#This Row],[Personal Consumption Expenditures (PCE)]]="",#N/A,((Tabela1[[#This Row],[Personal Consumption Expenditures (PCE)]]*1)/T642)-1)</f>
        <v>8.305647840529673E-4</v>
      </c>
      <c r="V643" s="8">
        <f>IF(Tabela1[[#This Row],[Personal Consumption Expenditures (PCE)]]="",#N/A,((Tabela1[[#This Row],[Personal Consumption Expenditures (PCE)]]*1)/T631)-1)</f>
        <v>2.3689488050804952E-2</v>
      </c>
      <c r="W643" s="7">
        <v>74.697000000000003</v>
      </c>
      <c r="X643" s="8">
        <f>IF(Tabela1[[#This Row],[Core PCE]]="",#N/A,((Tabela1[[#This Row],[Core PCE]]*1)/W642)-1)</f>
        <v>1.0721417371375441E-3</v>
      </c>
      <c r="Y643" s="8">
        <f>IF(Tabela1[[#This Row],[Core PCE]]="",#N/A,((Tabela1[[#This Row],[Core PCE]]*1)/W631)-1)</f>
        <v>1.7185265881391798E-2</v>
      </c>
      <c r="Z643" s="8">
        <f t="shared" si="33"/>
        <v>1.5141188645506176E-2</v>
      </c>
      <c r="AA643" s="8">
        <f t="shared" si="32"/>
        <v>1.7846286128882838E-2</v>
      </c>
      <c r="AB643" s="7">
        <v>2.2200000000000002</v>
      </c>
      <c r="AC643" s="7"/>
      <c r="AD643" s="8"/>
      <c r="AE643" s="71"/>
      <c r="AF643" s="7">
        <v>3</v>
      </c>
      <c r="AG643" s="5"/>
    </row>
    <row r="644" spans="1:33" ht="12.75">
      <c r="A644" s="6">
        <v>36678</v>
      </c>
      <c r="B644" s="7">
        <v>172.2</v>
      </c>
      <c r="C644" s="8">
        <f>IF(Tabela1[[#This Row],[Consumer Price Index (CPI)]]="",#N/A,((Tabela1[[#This Row],[Consumer Price Index (CPI)]]*1)/B643)-1)</f>
        <v>5.8411214953271173E-3</v>
      </c>
      <c r="D644" s="8">
        <f>IF(Tabela1[[#This Row],[Consumer Price Index (CPI)]]="",#N/A,((Tabela1[[#This Row],[Consumer Price Index (CPI)]]*1)/B632)-1)</f>
        <v>3.7349397590361377E-2</v>
      </c>
      <c r="E644" s="25">
        <v>181.1</v>
      </c>
      <c r="F644" s="8">
        <f>IF(Tabela1[[#This Row],[Core Consumer Price Index]]="",#N/A,((Tabela1[[#This Row],[Core Consumer Price Index]]*1)/E643)-1)</f>
        <v>2.2136137244050946E-3</v>
      </c>
      <c r="G644" s="8">
        <f>IF(Tabela1[[#This Row],[Core Consumer Price Index]]="",#N/A,((Tabela1[[#This Row],[Core Consumer Price Index]]*1)/E632)-1)</f>
        <v>2.5481313703284325E-2</v>
      </c>
      <c r="H644" s="8">
        <f t="shared" si="34"/>
        <v>2.4395220288634611E-2</v>
      </c>
      <c r="I644" s="8">
        <f t="shared" si="35"/>
        <v>2.6717187404371234E-2</v>
      </c>
      <c r="J644" s="25">
        <v>194.9</v>
      </c>
      <c r="K644" s="8">
        <f>IF(Tabela1[[#This Row],[Services CPI]]="",#N/A,((Tabela1[[#This Row],[Services CPI]]*1)/J643)-1)</f>
        <v>4.6391752577319423E-3</v>
      </c>
      <c r="L644" s="8">
        <f>IF(Tabela1[[#This Row],[Services CPI]]="",#N/A,((Tabela1[[#This Row],[Services CPI]]*1)/J632)-1)</f>
        <v>3.5050451407328653E-2</v>
      </c>
      <c r="M644" s="7">
        <v>201.9</v>
      </c>
      <c r="N644" s="8">
        <f>IF(Tabela1[[#This Row],[Core-Services CPI]]="",#N/A,((Tabela1[[#This Row],[Core-Services CPI]]*1)/M643)-1)</f>
        <v>3.4791252485091295E-3</v>
      </c>
      <c r="O644" s="8">
        <f>IF(Tabela1[[#This Row],[Core-Services CPI]]="",#N/A,((Tabela1[[#This Row],[Core-Services CPI]]*1)/M632)-1)</f>
        <v>3.3794162826420893E-2</v>
      </c>
      <c r="P644" s="7">
        <v>125.5</v>
      </c>
      <c r="Q644" s="8">
        <f>IF(Tabela1[[#This Row],[Durable Goods CPI]]="",#N/A,((Tabela1[[#This Row],[Durable Goods CPI]]*1)/P643)-1)</f>
        <v>-2.3847376788552754E-3</v>
      </c>
      <c r="R644" s="8">
        <f>IF(Tabela1[[#This Row],[Durable Goods CPI]]="",#N/A,((Tabela1[[#This Row],[Durable Goods CPI]]*1)/P632)-1)</f>
        <v>-2.3847376788552754E-3</v>
      </c>
      <c r="S644" s="7">
        <v>2.4247193999999999</v>
      </c>
      <c r="T644" s="7">
        <v>73.754000000000005</v>
      </c>
      <c r="U644" s="8">
        <f>IF(Tabela1[[#This Row],[Personal Consumption Expenditures (PCE)]]="",#N/A,((Tabela1[[#This Row],[Personal Consumption Expenditures (PCE)]]*1)/T643)-1)</f>
        <v>3.3875246581867025E-3</v>
      </c>
      <c r="V644" s="8">
        <f>IF(Tabela1[[#This Row],[Personal Consumption Expenditures (PCE)]]="",#N/A,((Tabela1[[#This Row],[Personal Consumption Expenditures (PCE)]]*1)/T632)-1)</f>
        <v>2.6842647509258688E-2</v>
      </c>
      <c r="W644" s="7">
        <v>74.754000000000005</v>
      </c>
      <c r="X644" s="8">
        <f>IF(Tabela1[[#This Row],[Core PCE]]="",#N/A,((Tabela1[[#This Row],[Core PCE]]*1)/W643)-1)</f>
        <v>7.6308285473314363E-4</v>
      </c>
      <c r="Y644" s="8">
        <f>IF(Tabela1[[#This Row],[Core PCE]]="",#N/A,((Tabela1[[#This Row],[Core PCE]]*1)/W632)-1)</f>
        <v>1.7421128562484789E-2</v>
      </c>
      <c r="Z644" s="8">
        <f t="shared" si="33"/>
        <v>9.9693717072533161E-3</v>
      </c>
      <c r="AA644" s="8">
        <f t="shared" si="32"/>
        <v>1.683307803712264E-2</v>
      </c>
      <c r="AB644" s="7">
        <v>2.27</v>
      </c>
      <c r="AC644" s="7"/>
      <c r="AD644" s="8"/>
      <c r="AE644" s="71"/>
      <c r="AF644" s="7">
        <v>2.9</v>
      </c>
      <c r="AG644" s="5"/>
    </row>
    <row r="645" spans="1:33" ht="12.75">
      <c r="A645" s="6">
        <v>36708</v>
      </c>
      <c r="B645" s="7">
        <v>172.7</v>
      </c>
      <c r="C645" s="8">
        <f>IF(Tabela1[[#This Row],[Consumer Price Index (CPI)]]="",#N/A,((Tabela1[[#This Row],[Consumer Price Index (CPI)]]*1)/B644)-1)</f>
        <v>2.9036004645761615E-3</v>
      </c>
      <c r="D645" s="8">
        <f>IF(Tabela1[[#This Row],[Consumer Price Index (CPI)]]="",#N/A,((Tabela1[[#This Row],[Consumer Price Index (CPI)]]*1)/B633)-1)</f>
        <v>3.5992801439711952E-2</v>
      </c>
      <c r="E645" s="25">
        <v>181.5</v>
      </c>
      <c r="F645" s="8">
        <f>IF(Tabela1[[#This Row],[Core Consumer Price Index]]="",#N/A,((Tabela1[[#This Row],[Core Consumer Price Index]]*1)/E644)-1)</f>
        <v>2.2087244616233459E-3</v>
      </c>
      <c r="G645" s="8">
        <f>IF(Tabela1[[#This Row],[Core Consumer Price Index]]="",#N/A,((Tabela1[[#This Row],[Core Consumer Price Index]]*1)/E633)-1)</f>
        <v>2.4844720496894457E-2</v>
      </c>
      <c r="H645" s="8">
        <f t="shared" si="34"/>
        <v>2.6563451468461174E-2</v>
      </c>
      <c r="I645" s="8">
        <f t="shared" si="35"/>
        <v>2.4419471246476032E-2</v>
      </c>
      <c r="J645" s="25">
        <v>195.7</v>
      </c>
      <c r="K645" s="8">
        <f>IF(Tabela1[[#This Row],[Services CPI]]="",#N/A,((Tabela1[[#This Row],[Services CPI]]*1)/J644)-1)</f>
        <v>4.104669061056887E-3</v>
      </c>
      <c r="L645" s="8">
        <f>IF(Tabela1[[#This Row],[Services CPI]]="",#N/A,((Tabela1[[#This Row],[Services CPI]]*1)/J633)-1)</f>
        <v>3.5997882477501131E-2</v>
      </c>
      <c r="M645" s="7">
        <v>202.5</v>
      </c>
      <c r="N645" s="8">
        <f>IF(Tabela1[[#This Row],[Core-Services CPI]]="",#N/A,((Tabela1[[#This Row],[Core-Services CPI]]*1)/M644)-1)</f>
        <v>2.9717682020802272E-3</v>
      </c>
      <c r="O645" s="8">
        <f>IF(Tabela1[[#This Row],[Core-Services CPI]]="",#N/A,((Tabela1[[#This Row],[Core-Services CPI]]*1)/M633)-1)</f>
        <v>3.3690658499234249E-2</v>
      </c>
      <c r="P645" s="7">
        <v>125.4</v>
      </c>
      <c r="Q645" s="8">
        <f>IF(Tabela1[[#This Row],[Durable Goods CPI]]="",#N/A,((Tabela1[[#This Row],[Durable Goods CPI]]*1)/P644)-1)</f>
        <v>-7.9681274900389454E-4</v>
      </c>
      <c r="R645" s="8">
        <f>IF(Tabela1[[#This Row],[Durable Goods CPI]]="",#N/A,((Tabela1[[#This Row],[Durable Goods CPI]]*1)/P633)-1)</f>
        <v>-3.9714058776807448E-3</v>
      </c>
      <c r="S645" s="7">
        <v>2.5736327000000001</v>
      </c>
      <c r="T645" s="7">
        <v>73.938999999999993</v>
      </c>
      <c r="U645" s="8">
        <f>IF(Tabela1[[#This Row],[Personal Consumption Expenditures (PCE)]]="",#N/A,((Tabela1[[#This Row],[Personal Consumption Expenditures (PCE)]]*1)/T644)-1)</f>
        <v>2.5083385307913542E-3</v>
      </c>
      <c r="V645" s="8">
        <f>IF(Tabela1[[#This Row],[Personal Consumption Expenditures (PCE)]]="",#N/A,((Tabela1[[#This Row],[Personal Consumption Expenditures (PCE)]]*1)/T633)-1)</f>
        <v>2.6688143077328919E-2</v>
      </c>
      <c r="W645" s="7">
        <v>74.924999999999997</v>
      </c>
      <c r="X645" s="8">
        <f>IF(Tabela1[[#This Row],[Core PCE]]="",#N/A,((Tabela1[[#This Row],[Core PCE]]*1)/W644)-1)</f>
        <v>2.2875030098723492E-3</v>
      </c>
      <c r="Y645" s="8">
        <f>IF(Tabela1[[#This Row],[Core PCE]]="",#N/A,((Tabela1[[#This Row],[Core PCE]]*1)/W633)-1)</f>
        <v>1.7919734804227927E-2</v>
      </c>
      <c r="Z645" s="8">
        <f t="shared" si="33"/>
        <v>1.6490910406972148E-2</v>
      </c>
      <c r="AA645" s="8">
        <f t="shared" si="32"/>
        <v>1.6605580279617449E-2</v>
      </c>
      <c r="AB645" s="7">
        <v>2.2999999999999998</v>
      </c>
      <c r="AC645" s="7"/>
      <c r="AD645" s="8"/>
      <c r="AE645" s="71"/>
      <c r="AF645" s="7">
        <v>3</v>
      </c>
      <c r="AG645" s="5"/>
    </row>
    <row r="646" spans="1:33" ht="12.75">
      <c r="A646" s="6">
        <v>36739</v>
      </c>
      <c r="B646" s="7">
        <v>172.7</v>
      </c>
      <c r="C646" s="8">
        <f>IF(Tabela1[[#This Row],[Consumer Price Index (CPI)]]="",#N/A,((Tabela1[[#This Row],[Consumer Price Index (CPI)]]*1)/B645)-1)</f>
        <v>0</v>
      </c>
      <c r="D646" s="8">
        <f>IF(Tabela1[[#This Row],[Consumer Price Index (CPI)]]="",#N/A,((Tabela1[[#This Row],[Consumer Price Index (CPI)]]*1)/B634)-1)</f>
        <v>3.3512866546977715E-2</v>
      </c>
      <c r="E646" s="25">
        <v>181.9</v>
      </c>
      <c r="F646" s="8">
        <f>IF(Tabela1[[#This Row],[Core Consumer Price Index]]="",#N/A,((Tabela1[[#This Row],[Core Consumer Price Index]]*1)/E645)-1)</f>
        <v>2.2038567493112282E-3</v>
      </c>
      <c r="G646" s="8">
        <f>IF(Tabela1[[#This Row],[Core Consumer Price Index]]="",#N/A,((Tabela1[[#This Row],[Core Consumer Price Index]]*1)/E634)-1)</f>
        <v>2.5944726452340694E-2</v>
      </c>
      <c r="H646" s="8">
        <f t="shared" si="34"/>
        <v>2.6504779741358675E-2</v>
      </c>
      <c r="I646" s="8">
        <f t="shared" si="35"/>
        <v>2.7711735776888791E-2</v>
      </c>
      <c r="J646" s="25">
        <v>196.3</v>
      </c>
      <c r="K646" s="8">
        <f>IF(Tabela1[[#This Row],[Services CPI]]="",#N/A,((Tabela1[[#This Row],[Services CPI]]*1)/J645)-1)</f>
        <v>3.0659172202351925E-3</v>
      </c>
      <c r="L646" s="8">
        <f>IF(Tabela1[[#This Row],[Services CPI]]="",#N/A,((Tabela1[[#This Row],[Services CPI]]*1)/J634)-1)</f>
        <v>3.6978341257263514E-2</v>
      </c>
      <c r="M646" s="7">
        <v>203.2</v>
      </c>
      <c r="N646" s="8">
        <f>IF(Tabela1[[#This Row],[Core-Services CPI]]="",#N/A,((Tabela1[[#This Row],[Core-Services CPI]]*1)/M645)-1)</f>
        <v>3.4567901234567877E-3</v>
      </c>
      <c r="O646" s="8">
        <f>IF(Tabela1[[#This Row],[Core-Services CPI]]="",#N/A,((Tabela1[[#This Row],[Core-Services CPI]]*1)/M634)-1)</f>
        <v>3.5677879714576921E-2</v>
      </c>
      <c r="P646" s="7">
        <v>125.3</v>
      </c>
      <c r="Q646" s="8">
        <f>IF(Tabela1[[#This Row],[Durable Goods CPI]]="",#N/A,((Tabela1[[#This Row],[Durable Goods CPI]]*1)/P645)-1)</f>
        <v>-7.9744816586924117E-4</v>
      </c>
      <c r="R646" s="8">
        <f>IF(Tabela1[[#This Row],[Durable Goods CPI]]="",#N/A,((Tabela1[[#This Row],[Durable Goods CPI]]*1)/P634)-1)</f>
        <v>-5.5555555555555358E-3</v>
      </c>
      <c r="S646" s="7">
        <v>2.7153641999999998</v>
      </c>
      <c r="T646" s="7">
        <v>73.933999999999997</v>
      </c>
      <c r="U646" s="8">
        <f>IF(Tabela1[[#This Row],[Personal Consumption Expenditures (PCE)]]="",#N/A,((Tabela1[[#This Row],[Personal Consumption Expenditures (PCE)]]*1)/T645)-1)</f>
        <v>-6.7623311107767314E-5</v>
      </c>
      <c r="V646" s="8">
        <f>IF(Tabela1[[#This Row],[Personal Consumption Expenditures (PCE)]]="",#N/A,((Tabela1[[#This Row],[Personal Consumption Expenditures (PCE)]]*1)/T634)-1)</f>
        <v>2.4754670954149738E-2</v>
      </c>
      <c r="W646" s="7">
        <v>75.021000000000001</v>
      </c>
      <c r="X646" s="8">
        <f>IF(Tabela1[[#This Row],[Core PCE]]="",#N/A,((Tabela1[[#This Row],[Core PCE]]*1)/W645)-1)</f>
        <v>1.2812812812812435E-3</v>
      </c>
      <c r="Y646" s="8">
        <f>IF(Tabela1[[#This Row],[Core PCE]]="",#N/A,((Tabela1[[#This Row],[Core PCE]]*1)/W634)-1)</f>
        <v>1.8725727166562622E-2</v>
      </c>
      <c r="Z646" s="8">
        <f t="shared" si="33"/>
        <v>1.7327468583546946E-2</v>
      </c>
      <c r="AA646" s="8">
        <f t="shared" si="32"/>
        <v>1.6234328614526561E-2</v>
      </c>
      <c r="AB646" s="7">
        <v>2.3199999999999998</v>
      </c>
      <c r="AC646" s="7"/>
      <c r="AD646" s="8"/>
      <c r="AE646" s="71"/>
      <c r="AF646" s="7">
        <v>2.7</v>
      </c>
      <c r="AG646" s="5"/>
    </row>
    <row r="647" spans="1:33" ht="12.75">
      <c r="A647" s="6">
        <v>36770</v>
      </c>
      <c r="B647" s="7">
        <v>173.6</v>
      </c>
      <c r="C647" s="8">
        <f>IF(Tabela1[[#This Row],[Consumer Price Index (CPI)]]="",#N/A,((Tabela1[[#This Row],[Consumer Price Index (CPI)]]*1)/B646)-1)</f>
        <v>5.2113491603937856E-3</v>
      </c>
      <c r="D647" s="8">
        <f>IF(Tabela1[[#This Row],[Consumer Price Index (CPI)]]="",#N/A,((Tabela1[[#This Row],[Consumer Price Index (CPI)]]*1)/B635)-1)</f>
        <v>3.4564958283670899E-2</v>
      </c>
      <c r="E647" s="25">
        <v>182.3</v>
      </c>
      <c r="F647" s="8">
        <f>IF(Tabela1[[#This Row],[Core Consumer Price Index]]="",#N/A,((Tabela1[[#This Row],[Core Consumer Price Index]]*1)/E646)-1)</f>
        <v>2.1990104452995762E-3</v>
      </c>
      <c r="G647" s="8">
        <f>IF(Tabela1[[#This Row],[Core Consumer Price Index]]="",#N/A,((Tabela1[[#This Row],[Core Consumer Price Index]]*1)/E635)-1)</f>
        <v>2.5309336332958399E-2</v>
      </c>
      <c r="H647" s="8">
        <f t="shared" si="34"/>
        <v>2.6446366624936601E-2</v>
      </c>
      <c r="I647" s="8">
        <f t="shared" si="35"/>
        <v>2.5420793456785606E-2</v>
      </c>
      <c r="J647" s="25">
        <v>196.9</v>
      </c>
      <c r="K647" s="8">
        <f>IF(Tabela1[[#This Row],[Services CPI]]="",#N/A,((Tabela1[[#This Row],[Services CPI]]*1)/J646)-1)</f>
        <v>3.0565461029037344E-3</v>
      </c>
      <c r="L647" s="8">
        <f>IF(Tabela1[[#This Row],[Services CPI]]="",#N/A,((Tabela1[[#This Row],[Services CPI]]*1)/J635)-1)</f>
        <v>3.7407797681770161E-2</v>
      </c>
      <c r="M647" s="7">
        <v>203.6</v>
      </c>
      <c r="N647" s="8">
        <f>IF(Tabela1[[#This Row],[Core-Services CPI]]="",#N/A,((Tabela1[[#This Row],[Core-Services CPI]]*1)/M646)-1)</f>
        <v>1.9685039370078705E-3</v>
      </c>
      <c r="O647" s="8">
        <f>IF(Tabela1[[#This Row],[Core-Services CPI]]="",#N/A,((Tabela1[[#This Row],[Core-Services CPI]]*1)/M635)-1)</f>
        <v>3.5078800203355298E-2</v>
      </c>
      <c r="P647" s="7">
        <v>125.3</v>
      </c>
      <c r="Q647" s="8">
        <f>IF(Tabela1[[#This Row],[Durable Goods CPI]]="",#N/A,((Tabela1[[#This Row],[Durable Goods CPI]]*1)/P646)-1)</f>
        <v>0</v>
      </c>
      <c r="R647" s="8">
        <f>IF(Tabela1[[#This Row],[Durable Goods CPI]]="",#N/A,((Tabela1[[#This Row],[Durable Goods CPI]]*1)/P635)-1)</f>
        <v>-6.3441712926248783E-3</v>
      </c>
      <c r="S647" s="7">
        <v>2.7240004999999998</v>
      </c>
      <c r="T647" s="7">
        <v>74.251999999999995</v>
      </c>
      <c r="U647" s="8">
        <f>IF(Tabela1[[#This Row],[Personal Consumption Expenditures (PCE)]]="",#N/A,((Tabela1[[#This Row],[Personal Consumption Expenditures (PCE)]]*1)/T646)-1)</f>
        <v>4.3011334433413762E-3</v>
      </c>
      <c r="V647" s="8">
        <f>IF(Tabela1[[#This Row],[Personal Consumption Expenditures (PCE)]]="",#N/A,((Tabela1[[#This Row],[Personal Consumption Expenditures (PCE)]]*1)/T635)-1)</f>
        <v>2.5480961785462775E-2</v>
      </c>
      <c r="W647" s="7">
        <v>75.203000000000003</v>
      </c>
      <c r="X647" s="8">
        <f>IF(Tabela1[[#This Row],[Core PCE]]="",#N/A,((Tabela1[[#This Row],[Core PCE]]*1)/W646)-1)</f>
        <v>2.4259873901975038E-3</v>
      </c>
      <c r="Y647" s="8">
        <f>IF(Tabela1[[#This Row],[Core PCE]]="",#N/A,((Tabela1[[#This Row],[Core PCE]]*1)/W635)-1)</f>
        <v>1.8500209921854971E-2</v>
      </c>
      <c r="Z647" s="8">
        <f t="shared" si="33"/>
        <v>2.3979086725404386E-2</v>
      </c>
      <c r="AA647" s="8">
        <f t="shared" si="32"/>
        <v>1.6974229216328851E-2</v>
      </c>
      <c r="AB647" s="7">
        <v>2.39</v>
      </c>
      <c r="AC647" s="7"/>
      <c r="AD647" s="8"/>
      <c r="AE647" s="71"/>
      <c r="AF647" s="7">
        <v>2.9</v>
      </c>
      <c r="AG647" s="5"/>
    </row>
    <row r="648" spans="1:33" ht="12.75">
      <c r="A648" s="6">
        <v>36800</v>
      </c>
      <c r="B648" s="7">
        <v>173.9</v>
      </c>
      <c r="C648" s="8">
        <f>IF(Tabela1[[#This Row],[Consumer Price Index (CPI)]]="",#N/A,((Tabela1[[#This Row],[Consumer Price Index (CPI)]]*1)/B647)-1)</f>
        <v>1.7281105990785139E-3</v>
      </c>
      <c r="D648" s="8">
        <f>IF(Tabela1[[#This Row],[Consumer Price Index (CPI)]]="",#N/A,((Tabela1[[#This Row],[Consumer Price Index (CPI)]]*1)/B636)-1)</f>
        <v>3.4503271861986873E-2</v>
      </c>
      <c r="E648" s="25">
        <v>182.6</v>
      </c>
      <c r="F648" s="8">
        <f>IF(Tabela1[[#This Row],[Core Consumer Price Index]]="",#N/A,((Tabela1[[#This Row],[Core Consumer Price Index]]*1)/E647)-1)</f>
        <v>1.645639056500281E-3</v>
      </c>
      <c r="G648" s="8">
        <f>IF(Tabela1[[#This Row],[Core Consumer Price Index]]="",#N/A,((Tabela1[[#This Row],[Core Consumer Price Index]]*1)/E636)-1)</f>
        <v>2.5266704098820814E-2</v>
      </c>
      <c r="H648" s="8">
        <f t="shared" si="34"/>
        <v>2.4194025004444342E-2</v>
      </c>
      <c r="I648" s="8">
        <f t="shared" si="35"/>
        <v>2.5378738236452758E-2</v>
      </c>
      <c r="J648" s="25">
        <v>197.7</v>
      </c>
      <c r="K648" s="8">
        <f>IF(Tabela1[[#This Row],[Services CPI]]="",#N/A,((Tabela1[[#This Row],[Services CPI]]*1)/J647)-1)</f>
        <v>4.0629761300150502E-3</v>
      </c>
      <c r="L648" s="8">
        <f>IF(Tabela1[[#This Row],[Services CPI]]="",#N/A,((Tabela1[[#This Row],[Services CPI]]*1)/J636)-1)</f>
        <v>3.9432176656151396E-2</v>
      </c>
      <c r="M648" s="7">
        <v>204.1</v>
      </c>
      <c r="N648" s="8">
        <f>IF(Tabela1[[#This Row],[Core-Services CPI]]="",#N/A,((Tabela1[[#This Row],[Core-Services CPI]]*1)/M647)-1)</f>
        <v>2.4557956777995216E-3</v>
      </c>
      <c r="O648" s="8">
        <f>IF(Tabela1[[#This Row],[Core-Services CPI]]="",#N/A,((Tabela1[[#This Row],[Core-Services CPI]]*1)/M636)-1)</f>
        <v>3.4989858012170361E-2</v>
      </c>
      <c r="P648" s="7">
        <v>125.2</v>
      </c>
      <c r="Q648" s="8">
        <f>IF(Tabela1[[#This Row],[Durable Goods CPI]]="",#N/A,((Tabela1[[#This Row],[Durable Goods CPI]]*1)/P647)-1)</f>
        <v>-7.9808459696728562E-4</v>
      </c>
      <c r="R648" s="8">
        <f>IF(Tabela1[[#This Row],[Durable Goods CPI]]="",#N/A,((Tabela1[[#This Row],[Durable Goods CPI]]*1)/P636)-1)</f>
        <v>-7.1371927042029881E-3</v>
      </c>
      <c r="S648" s="7">
        <v>2.8853852</v>
      </c>
      <c r="T648" s="7">
        <v>74.352999999999994</v>
      </c>
      <c r="U648" s="8">
        <f>IF(Tabela1[[#This Row],[Personal Consumption Expenditures (PCE)]]="",#N/A,((Tabela1[[#This Row],[Personal Consumption Expenditures (PCE)]]*1)/T647)-1)</f>
        <v>1.360232721004051E-3</v>
      </c>
      <c r="V648" s="8">
        <f>IF(Tabela1[[#This Row],[Personal Consumption Expenditures (PCE)]]="",#N/A,((Tabela1[[#This Row],[Personal Consumption Expenditures (PCE)]]*1)/T636)-1)</f>
        <v>2.5148561265149194E-2</v>
      </c>
      <c r="W648" s="7">
        <v>75.308000000000007</v>
      </c>
      <c r="X648" s="8">
        <f>IF(Tabela1[[#This Row],[Core PCE]]="",#N/A,((Tabela1[[#This Row],[Core PCE]]*1)/W647)-1)</f>
        <v>1.3962208954430011E-3</v>
      </c>
      <c r="Y648" s="8">
        <f>IF(Tabela1[[#This Row],[Core PCE]]="",#N/A,((Tabela1[[#This Row],[Core PCE]]*1)/W636)-1)</f>
        <v>1.8184768059705814E-2</v>
      </c>
      <c r="Z648" s="8">
        <f t="shared" si="33"/>
        <v>2.0413958267686994E-2</v>
      </c>
      <c r="AA648" s="8">
        <f t="shared" si="32"/>
        <v>1.8452434337329571E-2</v>
      </c>
      <c r="AB648" s="7">
        <v>2.42</v>
      </c>
      <c r="AC648" s="7"/>
      <c r="AD648" s="8"/>
      <c r="AE648" s="71"/>
      <c r="AF648" s="7">
        <v>3.2</v>
      </c>
      <c r="AG648" s="5"/>
    </row>
    <row r="649" spans="1:33" ht="12.75">
      <c r="A649" s="6">
        <v>36831</v>
      </c>
      <c r="B649" s="7">
        <v>174.2</v>
      </c>
      <c r="C649" s="8">
        <f>IF(Tabela1[[#This Row],[Consumer Price Index (CPI)]]="",#N/A,((Tabela1[[#This Row],[Consumer Price Index (CPI)]]*1)/B648)-1)</f>
        <v>1.7251293847038163E-3</v>
      </c>
      <c r="D649" s="8">
        <f>IF(Tabela1[[#This Row],[Consumer Price Index (CPI)]]="",#N/A,((Tabela1[[#This Row],[Consumer Price Index (CPI)]]*1)/B637)-1)</f>
        <v>3.444180522565321E-2</v>
      </c>
      <c r="E649" s="25">
        <v>183.1</v>
      </c>
      <c r="F649" s="8">
        <f>IF(Tabela1[[#This Row],[Core Consumer Price Index]]="",#N/A,((Tabela1[[#This Row],[Core Consumer Price Index]]*1)/E648)-1)</f>
        <v>2.7382256297918683E-3</v>
      </c>
      <c r="G649" s="8">
        <f>IF(Tabela1[[#This Row],[Core Consumer Price Index]]="",#N/A,((Tabela1[[#This Row],[Core Consumer Price Index]]*1)/E637)-1)</f>
        <v>2.6345291479820565E-2</v>
      </c>
      <c r="H649" s="8">
        <f t="shared" si="34"/>
        <v>2.6331500526366902E-2</v>
      </c>
      <c r="I649" s="8">
        <f t="shared" si="35"/>
        <v>2.6418140133862789E-2</v>
      </c>
      <c r="J649" s="25">
        <v>198.1</v>
      </c>
      <c r="K649" s="8">
        <f>IF(Tabela1[[#This Row],[Services CPI]]="",#N/A,((Tabela1[[#This Row],[Services CPI]]*1)/J648)-1)</f>
        <v>2.0232675771370001E-3</v>
      </c>
      <c r="L649" s="8">
        <f>IF(Tabela1[[#This Row],[Services CPI]]="",#N/A,((Tabela1[[#This Row],[Services CPI]]*1)/J637)-1)</f>
        <v>3.7716081718176975E-2</v>
      </c>
      <c r="M649" s="7">
        <v>204.7</v>
      </c>
      <c r="N649" s="8">
        <f>IF(Tabela1[[#This Row],[Core-Services CPI]]="",#N/A,((Tabela1[[#This Row],[Core-Services CPI]]*1)/M648)-1)</f>
        <v>2.9397354238118734E-3</v>
      </c>
      <c r="O649" s="8">
        <f>IF(Tabela1[[#This Row],[Core-Services CPI]]="",#N/A,((Tabela1[[#This Row],[Core-Services CPI]]*1)/M637)-1)</f>
        <v>3.4360788276907472E-2</v>
      </c>
      <c r="P649" s="7">
        <v>125.3</v>
      </c>
      <c r="Q649" s="8">
        <f>IF(Tabela1[[#This Row],[Durable Goods CPI]]="",#N/A,((Tabela1[[#This Row],[Durable Goods CPI]]*1)/P648)-1)</f>
        <v>7.987220447283061E-4</v>
      </c>
      <c r="R649" s="8">
        <f>IF(Tabela1[[#This Row],[Durable Goods CPI]]="",#N/A,((Tabela1[[#This Row],[Durable Goods CPI]]*1)/P637)-1)</f>
        <v>-3.9745627980921627E-3</v>
      </c>
      <c r="S649" s="7">
        <v>2.9087960000000002</v>
      </c>
      <c r="T649" s="7">
        <v>74.456999999999994</v>
      </c>
      <c r="U649" s="8">
        <f>IF(Tabela1[[#This Row],[Personal Consumption Expenditures (PCE)]]="",#N/A,((Tabela1[[#This Row],[Personal Consumption Expenditures (PCE)]]*1)/T648)-1)</f>
        <v>1.3987330706226597E-3</v>
      </c>
      <c r="V649" s="8">
        <f>IF(Tabela1[[#This Row],[Personal Consumption Expenditures (PCE)]]="",#N/A,((Tabela1[[#This Row],[Personal Consumption Expenditures (PCE)]]*1)/T637)-1)</f>
        <v>2.5663277956855968E-2</v>
      </c>
      <c r="W649" s="7">
        <v>75.441000000000003</v>
      </c>
      <c r="X649" s="8">
        <f>IF(Tabela1[[#This Row],[Core PCE]]="",#N/A,((Tabela1[[#This Row],[Core PCE]]*1)/W648)-1)</f>
        <v>1.7660806288839481E-3</v>
      </c>
      <c r="Y649" s="8">
        <f>IF(Tabela1[[#This Row],[Core PCE]]="",#N/A,((Tabela1[[#This Row],[Core PCE]]*1)/W637)-1)</f>
        <v>1.9004781586838382E-2</v>
      </c>
      <c r="Z649" s="8">
        <f t="shared" si="33"/>
        <v>2.2353155658097812E-2</v>
      </c>
      <c r="AA649" s="8">
        <f t="shared" si="32"/>
        <v>1.9840312120822379E-2</v>
      </c>
      <c r="AB649" s="7">
        <v>2.4500000000000002</v>
      </c>
      <c r="AC649" s="7"/>
      <c r="AD649" s="8"/>
      <c r="AE649" s="71"/>
      <c r="AF649" s="7">
        <v>2.9</v>
      </c>
      <c r="AG649" s="5"/>
    </row>
    <row r="650" spans="1:33" ht="12.75">
      <c r="A650" s="6">
        <v>36861</v>
      </c>
      <c r="B650" s="7">
        <v>174.6</v>
      </c>
      <c r="C650" s="8">
        <f>IF(Tabela1[[#This Row],[Consumer Price Index (CPI)]]="",#N/A,((Tabela1[[#This Row],[Consumer Price Index (CPI)]]*1)/B649)-1)</f>
        <v>2.2962112514350874E-3</v>
      </c>
      <c r="D650" s="8">
        <f>IF(Tabela1[[#This Row],[Consumer Price Index (CPI)]]="",#N/A,((Tabela1[[#This Row],[Consumer Price Index (CPI)]]*1)/B638)-1)</f>
        <v>3.4360189573459543E-2</v>
      </c>
      <c r="E650" s="25">
        <v>183.3</v>
      </c>
      <c r="F650" s="8">
        <f>IF(Tabela1[[#This Row],[Core Consumer Price Index]]="",#N/A,((Tabela1[[#This Row],[Core Consumer Price Index]]*1)/E649)-1)</f>
        <v>1.0922992900055384E-3</v>
      </c>
      <c r="G650" s="8">
        <f>IF(Tabela1[[#This Row],[Core Consumer Price Index]]="",#N/A,((Tabela1[[#This Row],[Core Consumer Price Index]]*1)/E638)-1)</f>
        <v>2.5741466144376224E-2</v>
      </c>
      <c r="H650" s="8">
        <f t="shared" si="34"/>
        <v>2.1904655905190751E-2</v>
      </c>
      <c r="I650" s="8">
        <f t="shared" si="35"/>
        <v>2.4175511265063676E-2</v>
      </c>
      <c r="J650" s="25">
        <v>198.8</v>
      </c>
      <c r="K650" s="8">
        <f>IF(Tabela1[[#This Row],[Services CPI]]="",#N/A,((Tabela1[[#This Row],[Services CPI]]*1)/J649)-1)</f>
        <v>3.5335689045936647E-3</v>
      </c>
      <c r="L650" s="8">
        <f>IF(Tabela1[[#This Row],[Services CPI]]="",#N/A,((Tabela1[[#This Row],[Services CPI]]*1)/J638)-1)</f>
        <v>3.9748953974895418E-2</v>
      </c>
      <c r="M650" s="7">
        <v>205.1</v>
      </c>
      <c r="N650" s="8">
        <f>IF(Tabela1[[#This Row],[Core-Services CPI]]="",#N/A,((Tabela1[[#This Row],[Core-Services CPI]]*1)/M649)-1)</f>
        <v>1.9540791402052893E-3</v>
      </c>
      <c r="O650" s="8">
        <f>IF(Tabela1[[#This Row],[Core-Services CPI]]="",#N/A,((Tabela1[[#This Row],[Core-Services CPI]]*1)/M638)-1)</f>
        <v>3.4291477559253547E-2</v>
      </c>
      <c r="P650" s="7">
        <v>125.5</v>
      </c>
      <c r="Q650" s="8">
        <f>IF(Tabela1[[#This Row],[Durable Goods CPI]]="",#N/A,((Tabela1[[#This Row],[Durable Goods CPI]]*1)/P649)-1)</f>
        <v>1.5961691939345712E-3</v>
      </c>
      <c r="R650" s="8">
        <f>IF(Tabela1[[#This Row],[Durable Goods CPI]]="",#N/A,((Tabela1[[#This Row],[Durable Goods CPI]]*1)/P638)-1)</f>
        <v>0</v>
      </c>
      <c r="S650" s="7">
        <v>2.9310364999999998</v>
      </c>
      <c r="T650" s="7">
        <v>74.570999999999998</v>
      </c>
      <c r="U650" s="8">
        <f>IF(Tabela1[[#This Row],[Personal Consumption Expenditures (PCE)]]="",#N/A,((Tabela1[[#This Row],[Personal Consumption Expenditures (PCE)]]*1)/T649)-1)</f>
        <v>1.5310850558041267E-3</v>
      </c>
      <c r="V650" s="8">
        <f>IF(Tabela1[[#This Row],[Personal Consumption Expenditures (PCE)]]="",#N/A,((Tabela1[[#This Row],[Personal Consumption Expenditures (PCE)]]*1)/T638)-1)</f>
        <v>2.4847793521432404E-2</v>
      </c>
      <c r="W650" s="7">
        <v>75.515000000000001</v>
      </c>
      <c r="X650" s="8">
        <f>IF(Tabela1[[#This Row],[Core PCE]]="",#N/A,((Tabela1[[#This Row],[Core PCE]]*1)/W649)-1)</f>
        <v>9.8089898066033854E-4</v>
      </c>
      <c r="Y650" s="8">
        <f>IF(Tabela1[[#This Row],[Core PCE]]="",#N/A,((Tabela1[[#This Row],[Core PCE]]*1)/W638)-1)</f>
        <v>1.8710878480466153E-2</v>
      </c>
      <c r="Z650" s="8">
        <f t="shared" si="33"/>
        <v>1.6572802019949151E-2</v>
      </c>
      <c r="AA650" s="8">
        <f t="shared" si="32"/>
        <v>2.0275944372676769E-2</v>
      </c>
      <c r="AB650" s="7">
        <v>2.5</v>
      </c>
      <c r="AC650" s="7"/>
      <c r="AD650" s="8"/>
      <c r="AE650" s="71"/>
      <c r="AF650" s="7">
        <v>2.8</v>
      </c>
      <c r="AG650" s="5"/>
    </row>
    <row r="651" spans="1:33" ht="12.75">
      <c r="A651" s="6">
        <v>36892</v>
      </c>
      <c r="B651" s="7">
        <v>175.6</v>
      </c>
      <c r="C651" s="8">
        <f>IF(Tabela1[[#This Row],[Consumer Price Index (CPI)]]="",#N/A,((Tabela1[[#This Row],[Consumer Price Index (CPI)]]*1)/B650)-1)</f>
        <v>5.7273768613974596E-3</v>
      </c>
      <c r="D651" s="8">
        <f>IF(Tabela1[[#This Row],[Consumer Price Index (CPI)]]="",#N/A,((Tabela1[[#This Row],[Consumer Price Index (CPI)]]*1)/B639)-1)</f>
        <v>3.7212049616065945E-2</v>
      </c>
      <c r="E651" s="25">
        <v>183.9</v>
      </c>
      <c r="F651" s="8">
        <f>IF(Tabela1[[#This Row],[Core Consumer Price Index]]="",#N/A,((Tabela1[[#This Row],[Core Consumer Price Index]]*1)/E650)-1)</f>
        <v>3.2733224222585289E-3</v>
      </c>
      <c r="G651" s="8">
        <f>IF(Tabela1[[#This Row],[Core Consumer Price Index]]="",#N/A,((Tabela1[[#This Row],[Core Consumer Price Index]]*1)/E639)-1)</f>
        <v>2.5655326268823275E-2</v>
      </c>
      <c r="H651" s="8">
        <f t="shared" si="34"/>
        <v>2.8415389368223742E-2</v>
      </c>
      <c r="I651" s="8">
        <f t="shared" si="35"/>
        <v>2.6304707186334042E-2</v>
      </c>
      <c r="J651" s="25">
        <v>200.6</v>
      </c>
      <c r="K651" s="8">
        <f>IF(Tabela1[[#This Row],[Services CPI]]="",#N/A,((Tabela1[[#This Row],[Services CPI]]*1)/J650)-1)</f>
        <v>9.0543259557342992E-3</v>
      </c>
      <c r="L651" s="8">
        <f>IF(Tabela1[[#This Row],[Services CPI]]="",#N/A,((Tabela1[[#This Row],[Services CPI]]*1)/J639)-1)</f>
        <v>4.4791666666666563E-2</v>
      </c>
      <c r="M651" s="7">
        <v>206</v>
      </c>
      <c r="N651" s="8">
        <f>IF(Tabela1[[#This Row],[Core-Services CPI]]="",#N/A,((Tabela1[[#This Row],[Core-Services CPI]]*1)/M650)-1)</f>
        <v>4.3881033642125811E-3</v>
      </c>
      <c r="O651" s="8">
        <f>IF(Tabela1[[#This Row],[Core-Services CPI]]="",#N/A,((Tabela1[[#This Row],[Core-Services CPI]]*1)/M639)-1)</f>
        <v>3.4136546184738936E-2</v>
      </c>
      <c r="P651" s="7">
        <v>125.5</v>
      </c>
      <c r="Q651" s="8">
        <f>IF(Tabela1[[#This Row],[Durable Goods CPI]]="",#N/A,((Tabela1[[#This Row],[Durable Goods CPI]]*1)/P650)-1)</f>
        <v>0</v>
      </c>
      <c r="R651" s="8">
        <f>IF(Tabela1[[#This Row],[Durable Goods CPI]]="",#N/A,((Tabela1[[#This Row],[Durable Goods CPI]]*1)/P639)-1)</f>
        <v>1.5961691939345712E-3</v>
      </c>
      <c r="S651" s="7">
        <v>2.8816134</v>
      </c>
      <c r="T651" s="7">
        <v>74.932000000000002</v>
      </c>
      <c r="U651" s="8">
        <f>IF(Tabela1[[#This Row],[Personal Consumption Expenditures (PCE)]]="",#N/A,((Tabela1[[#This Row],[Personal Consumption Expenditures (PCE)]]*1)/T650)-1)</f>
        <v>4.8410239905594121E-3</v>
      </c>
      <c r="V651" s="8">
        <f>IF(Tabela1[[#This Row],[Personal Consumption Expenditures (PCE)]]="",#N/A,((Tabela1[[#This Row],[Personal Consumption Expenditures (PCE)]]*1)/T639)-1)</f>
        <v>2.7014432367977514E-2</v>
      </c>
      <c r="W651" s="7">
        <v>75.796000000000006</v>
      </c>
      <c r="X651" s="8">
        <f>IF(Tabela1[[#This Row],[Core PCE]]="",#N/A,((Tabela1[[#This Row],[Core PCE]]*1)/W650)-1)</f>
        <v>3.7211150102629542E-3</v>
      </c>
      <c r="Y651" s="8">
        <f>IF(Tabela1[[#This Row],[Core PCE]]="",#N/A,((Tabela1[[#This Row],[Core PCE]]*1)/W639)-1)</f>
        <v>2.0052216510106913E-2</v>
      </c>
      <c r="Z651" s="8">
        <f t="shared" si="33"/>
        <v>2.5872378479228963E-2</v>
      </c>
      <c r="AA651" s="8">
        <f t="shared" si="32"/>
        <v>2.3143168373457979E-2</v>
      </c>
      <c r="AB651" s="7">
        <v>2.52</v>
      </c>
      <c r="AC651" s="7"/>
      <c r="AD651" s="8"/>
      <c r="AE651" s="71"/>
      <c r="AF651" s="7">
        <v>3</v>
      </c>
      <c r="AG651" s="5"/>
    </row>
    <row r="652" spans="1:33" ht="12.75">
      <c r="A652" s="6">
        <v>36923</v>
      </c>
      <c r="B652" s="7">
        <v>176</v>
      </c>
      <c r="C652" s="8">
        <f>IF(Tabela1[[#This Row],[Consumer Price Index (CPI)]]="",#N/A,((Tabela1[[#This Row],[Consumer Price Index (CPI)]]*1)/B651)-1)</f>
        <v>2.277904328018332E-3</v>
      </c>
      <c r="D652" s="8">
        <f>IF(Tabela1[[#This Row],[Consumer Price Index (CPI)]]="",#N/A,((Tabela1[[#This Row],[Consumer Price Index (CPI)]]*1)/B640)-1)</f>
        <v>3.529411764705892E-2</v>
      </c>
      <c r="E652" s="25">
        <v>184.4</v>
      </c>
      <c r="F652" s="8">
        <f>IF(Tabela1[[#This Row],[Core Consumer Price Index]]="",#N/A,((Tabela1[[#This Row],[Core Consumer Price Index]]*1)/E651)-1)</f>
        <v>2.7188689505166508E-3</v>
      </c>
      <c r="G652" s="8">
        <f>IF(Tabela1[[#This Row],[Core Consumer Price Index]]="",#N/A,((Tabela1[[#This Row],[Core Consumer Price Index]]*1)/E640)-1)</f>
        <v>2.7870680044593144E-2</v>
      </c>
      <c r="H652" s="8">
        <f t="shared" si="34"/>
        <v>2.8337962651122872E-2</v>
      </c>
      <c r="I652" s="8">
        <f t="shared" si="35"/>
        <v>2.7334731588744887E-2</v>
      </c>
      <c r="J652" s="25">
        <v>201.2</v>
      </c>
      <c r="K652" s="8">
        <f>IF(Tabela1[[#This Row],[Services CPI]]="",#N/A,((Tabela1[[#This Row],[Services CPI]]*1)/J651)-1)</f>
        <v>2.9910269192421346E-3</v>
      </c>
      <c r="L652" s="8">
        <f>IF(Tabela1[[#This Row],[Services CPI]]="",#N/A,((Tabela1[[#This Row],[Services CPI]]*1)/J640)-1)</f>
        <v>4.5194805194805232E-2</v>
      </c>
      <c r="M652" s="7">
        <v>206.6</v>
      </c>
      <c r="N652" s="8">
        <f>IF(Tabela1[[#This Row],[Core-Services CPI]]="",#N/A,((Tabela1[[#This Row],[Core-Services CPI]]*1)/M651)-1)</f>
        <v>2.9126213592232109E-3</v>
      </c>
      <c r="O652" s="8">
        <f>IF(Tabela1[[#This Row],[Core-Services CPI]]="",#N/A,((Tabela1[[#This Row],[Core-Services CPI]]*1)/M640)-1)</f>
        <v>3.5588972431077615E-2</v>
      </c>
      <c r="P652" s="7">
        <v>125.7</v>
      </c>
      <c r="Q652" s="8">
        <f>IF(Tabela1[[#This Row],[Durable Goods CPI]]="",#N/A,((Tabela1[[#This Row],[Durable Goods CPI]]*1)/P651)-1)</f>
        <v>1.5936254980080111E-3</v>
      </c>
      <c r="R652" s="8">
        <f>IF(Tabela1[[#This Row],[Durable Goods CPI]]="",#N/A,((Tabela1[[#This Row],[Durable Goods CPI]]*1)/P640)-1)</f>
        <v>4.7961630695443347E-3</v>
      </c>
      <c r="S652" s="7">
        <v>2.9838402999999998</v>
      </c>
      <c r="T652" s="7">
        <v>75.048000000000002</v>
      </c>
      <c r="U652" s="8">
        <f>IF(Tabela1[[#This Row],[Personal Consumption Expenditures (PCE)]]="",#N/A,((Tabela1[[#This Row],[Personal Consumption Expenditures (PCE)]]*1)/T651)-1)</f>
        <v>1.5480702503603005E-3</v>
      </c>
      <c r="V652" s="8">
        <f>IF(Tabela1[[#This Row],[Personal Consumption Expenditures (PCE)]]="",#N/A,((Tabela1[[#This Row],[Personal Consumption Expenditures (PCE)]]*1)/T640)-1)</f>
        <v>2.5371971963765949E-2</v>
      </c>
      <c r="W652" s="7">
        <v>75.930000000000007</v>
      </c>
      <c r="X652" s="8">
        <f>IF(Tabela1[[#This Row],[Core PCE]]="",#N/A,((Tabela1[[#This Row],[Core PCE]]*1)/W651)-1)</f>
        <v>1.7679033194364369E-3</v>
      </c>
      <c r="Y652" s="8">
        <f>IF(Tabela1[[#This Row],[Core PCE]]="",#N/A,((Tabela1[[#This Row],[Core PCE]]*1)/W640)-1)</f>
        <v>2.0358798629308561E-2</v>
      </c>
      <c r="Z652" s="8">
        <f t="shared" si="33"/>
        <v>2.5879669241438918E-2</v>
      </c>
      <c r="AA652" s="8">
        <f t="shared" si="32"/>
        <v>2.4116412449768365E-2</v>
      </c>
      <c r="AB652" s="7">
        <v>2.54</v>
      </c>
      <c r="AC652" s="7"/>
      <c r="AD652" s="8"/>
      <c r="AE652" s="71"/>
      <c r="AF652" s="7">
        <v>2.8</v>
      </c>
      <c r="AG652" s="5"/>
    </row>
    <row r="653" spans="1:33" ht="12.75">
      <c r="A653" s="6">
        <v>36951</v>
      </c>
      <c r="B653" s="7">
        <v>176.1</v>
      </c>
      <c r="C653" s="8">
        <f>IF(Tabela1[[#This Row],[Consumer Price Index (CPI)]]="",#N/A,((Tabela1[[#This Row],[Consumer Price Index (CPI)]]*1)/B652)-1)</f>
        <v>5.6818181818174551E-4</v>
      </c>
      <c r="D653" s="8">
        <f>IF(Tabela1[[#This Row],[Consumer Price Index (CPI)]]="",#N/A,((Tabela1[[#This Row],[Consumer Price Index (CPI)]]*1)/B641)-1)</f>
        <v>2.9824561403508643E-2</v>
      </c>
      <c r="E653" s="25">
        <v>184.7</v>
      </c>
      <c r="F653" s="8">
        <f>IF(Tabela1[[#This Row],[Core Consumer Price Index]]="",#N/A,((Tabela1[[#This Row],[Core Consumer Price Index]]*1)/E652)-1)</f>
        <v>1.6268980477223138E-3</v>
      </c>
      <c r="G653" s="8">
        <f>IF(Tabela1[[#This Row],[Core Consumer Price Index]]="",#N/A,((Tabela1[[#This Row],[Core Consumer Price Index]]*1)/E641)-1)</f>
        <v>2.6111111111110974E-2</v>
      </c>
      <c r="H653" s="8">
        <f t="shared" si="34"/>
        <v>3.0476357681989974E-2</v>
      </c>
      <c r="I653" s="8">
        <f t="shared" si="35"/>
        <v>2.6190506793590362E-2</v>
      </c>
      <c r="J653" s="25">
        <v>201.6</v>
      </c>
      <c r="K653" s="8">
        <f>IF(Tabela1[[#This Row],[Services CPI]]="",#N/A,((Tabela1[[#This Row],[Services CPI]]*1)/J652)-1)</f>
        <v>1.9880715705766772E-3</v>
      </c>
      <c r="L653" s="8">
        <f>IF(Tabela1[[#This Row],[Services CPI]]="",#N/A,((Tabela1[[#This Row],[Services CPI]]*1)/J641)-1)</f>
        <v>4.4018643190056883E-2</v>
      </c>
      <c r="M653" s="7">
        <v>207.3</v>
      </c>
      <c r="N653" s="8">
        <f>IF(Tabela1[[#This Row],[Core-Services CPI]]="",#N/A,((Tabela1[[#This Row],[Core-Services CPI]]*1)/M652)-1)</f>
        <v>3.3881897386254245E-3</v>
      </c>
      <c r="O653" s="8">
        <f>IF(Tabela1[[#This Row],[Core-Services CPI]]="",#N/A,((Tabela1[[#This Row],[Core-Services CPI]]*1)/M641)-1)</f>
        <v>3.546453546453554E-2</v>
      </c>
      <c r="P653" s="7">
        <v>125.4</v>
      </c>
      <c r="Q653" s="8">
        <f>IF(Tabela1[[#This Row],[Durable Goods CPI]]="",#N/A,((Tabela1[[#This Row],[Durable Goods CPI]]*1)/P652)-1)</f>
        <v>-2.3866348448686736E-3</v>
      </c>
      <c r="R653" s="8">
        <f>IF(Tabela1[[#This Row],[Durable Goods CPI]]="",#N/A,((Tabela1[[#This Row],[Durable Goods CPI]]*1)/P641)-1)</f>
        <v>-7.9681274900389454E-4</v>
      </c>
      <c r="S653" s="7">
        <v>2.8896430999999998</v>
      </c>
      <c r="T653" s="7">
        <v>75.055000000000007</v>
      </c>
      <c r="U653" s="8">
        <f>IF(Tabela1[[#This Row],[Personal Consumption Expenditures (PCE)]]="",#N/A,((Tabela1[[#This Row],[Personal Consumption Expenditures (PCE)]]*1)/T652)-1)</f>
        <v>9.3273638204882658E-5</v>
      </c>
      <c r="V653" s="8">
        <f>IF(Tabela1[[#This Row],[Personal Consumption Expenditures (PCE)]]="",#N/A,((Tabela1[[#This Row],[Personal Consumption Expenditures (PCE)]]*1)/T641)-1)</f>
        <v>2.1087000884293827E-2</v>
      </c>
      <c r="W653" s="7">
        <v>76.009</v>
      </c>
      <c r="X653" s="8">
        <f>IF(Tabela1[[#This Row],[Core PCE]]="",#N/A,((Tabela1[[#This Row],[Core PCE]]*1)/W652)-1)</f>
        <v>1.0404319768206882E-3</v>
      </c>
      <c r="Y653" s="8">
        <f>IF(Tabela1[[#This Row],[Core PCE]]="",#N/A,((Tabela1[[#This Row],[Core PCE]]*1)/W641)-1)</f>
        <v>1.932464327861827E-2</v>
      </c>
      <c r="Z653" s="8">
        <f t="shared" si="33"/>
        <v>2.6117801226080317E-2</v>
      </c>
      <c r="AA653" s="8">
        <f t="shared" si="32"/>
        <v>2.1345301623014734E-2</v>
      </c>
      <c r="AB653" s="7">
        <v>2.5</v>
      </c>
      <c r="AC653" s="7"/>
      <c r="AD653" s="8"/>
      <c r="AE653" s="71"/>
      <c r="AF653" s="7">
        <v>2.8</v>
      </c>
      <c r="AG653" s="5"/>
    </row>
    <row r="654" spans="1:33" ht="12.75">
      <c r="A654" s="6">
        <v>36982</v>
      </c>
      <c r="B654" s="7">
        <v>176.4</v>
      </c>
      <c r="C654" s="8">
        <f>IF(Tabela1[[#This Row],[Consumer Price Index (CPI)]]="",#N/A,((Tabela1[[#This Row],[Consumer Price Index (CPI)]]*1)/B653)-1)</f>
        <v>1.7035775127769437E-3</v>
      </c>
      <c r="D654" s="8">
        <f>IF(Tabela1[[#This Row],[Consumer Price Index (CPI)]]="",#N/A,((Tabela1[[#This Row],[Consumer Price Index (CPI)]]*1)/B642)-1)</f>
        <v>3.2182562902282053E-2</v>
      </c>
      <c r="E654" s="25">
        <v>185.1</v>
      </c>
      <c r="F654" s="8">
        <f>IF(Tabela1[[#This Row],[Core Consumer Price Index]]="",#N/A,((Tabela1[[#This Row],[Core Consumer Price Index]]*1)/E653)-1)</f>
        <v>2.1656740660531693E-3</v>
      </c>
      <c r="G654" s="8">
        <f>IF(Tabela1[[#This Row],[Core Consumer Price Index]]="",#N/A,((Tabela1[[#This Row],[Core Consumer Price Index]]*1)/E642)-1)</f>
        <v>2.6622296173044901E-2</v>
      </c>
      <c r="H654" s="8">
        <f t="shared" si="34"/>
        <v>2.6045764257168535E-2</v>
      </c>
      <c r="I654" s="8">
        <f t="shared" si="35"/>
        <v>2.7230576812696139E-2</v>
      </c>
      <c r="J654" s="25">
        <v>202</v>
      </c>
      <c r="K654" s="8">
        <f>IF(Tabela1[[#This Row],[Services CPI]]="",#N/A,((Tabela1[[#This Row],[Services CPI]]*1)/J653)-1)</f>
        <v>1.9841269841269771E-3</v>
      </c>
      <c r="L654" s="8">
        <f>IF(Tabela1[[#This Row],[Services CPI]]="",#N/A,((Tabela1[[#This Row],[Services CPI]]*1)/J642)-1)</f>
        <v>4.3927648578811374E-2</v>
      </c>
      <c r="M654" s="7">
        <v>207.8</v>
      </c>
      <c r="N654" s="8">
        <f>IF(Tabela1[[#This Row],[Core-Services CPI]]="",#N/A,((Tabela1[[#This Row],[Core-Services CPI]]*1)/M653)-1)</f>
        <v>2.4119633381571859E-3</v>
      </c>
      <c r="O654" s="8">
        <f>IF(Tabela1[[#This Row],[Core-Services CPI]]="",#N/A,((Tabela1[[#This Row],[Core-Services CPI]]*1)/M642)-1)</f>
        <v>3.5892323030907392E-2</v>
      </c>
      <c r="P654" s="7">
        <v>125.2</v>
      </c>
      <c r="Q654" s="8">
        <f>IF(Tabela1[[#This Row],[Durable Goods CPI]]="",#N/A,((Tabela1[[#This Row],[Durable Goods CPI]]*1)/P653)-1)</f>
        <v>-1.5948963317384823E-3</v>
      </c>
      <c r="R654" s="8">
        <f>IF(Tabela1[[#This Row],[Durable Goods CPI]]="",#N/A,((Tabela1[[#This Row],[Durable Goods CPI]]*1)/P642)-1)</f>
        <v>-1.5948963317384823E-3</v>
      </c>
      <c r="S654" s="7">
        <v>2.9893325000000002</v>
      </c>
      <c r="T654" s="7">
        <v>75.186999999999998</v>
      </c>
      <c r="U654" s="8">
        <f>IF(Tabela1[[#This Row],[Personal Consumption Expenditures (PCE)]]="",#N/A,((Tabela1[[#This Row],[Personal Consumption Expenditures (PCE)]]*1)/T653)-1)</f>
        <v>1.7587102791285503E-3</v>
      </c>
      <c r="V654" s="8">
        <f>IF(Tabela1[[#This Row],[Personal Consumption Expenditures (PCE)]]="",#N/A,((Tabela1[[#This Row],[Personal Consumption Expenditures (PCE)]]*1)/T642)-1)</f>
        <v>2.3732367518108921E-2</v>
      </c>
      <c r="W654" s="7">
        <v>76.13</v>
      </c>
      <c r="X654" s="8">
        <f>IF(Tabela1[[#This Row],[Core PCE]]="",#N/A,((Tabela1[[#This Row],[Core PCE]]*1)/W653)-1)</f>
        <v>1.5919167467008943E-3</v>
      </c>
      <c r="Y654" s="8">
        <f>IF(Tabela1[[#This Row],[Core PCE]]="",#N/A,((Tabela1[[#This Row],[Core PCE]]*1)/W642)-1)</f>
        <v>2.0276880603615766E-2</v>
      </c>
      <c r="Z654" s="8">
        <f t="shared" si="33"/>
        <v>1.7601008171832078E-2</v>
      </c>
      <c r="AA654" s="8">
        <f t="shared" si="32"/>
        <v>2.1736693325530521E-2</v>
      </c>
      <c r="AB654" s="7">
        <v>2.59</v>
      </c>
      <c r="AC654" s="7"/>
      <c r="AD654" s="8"/>
      <c r="AE654" s="71"/>
      <c r="AF654" s="7">
        <v>3.1</v>
      </c>
      <c r="AG654" s="5"/>
    </row>
    <row r="655" spans="1:33" ht="12.75">
      <c r="A655" s="6">
        <v>37012</v>
      </c>
      <c r="B655" s="7">
        <v>177.3</v>
      </c>
      <c r="C655" s="8">
        <f>IF(Tabela1[[#This Row],[Consumer Price Index (CPI)]]="",#N/A,((Tabela1[[#This Row],[Consumer Price Index (CPI)]]*1)/B654)-1)</f>
        <v>5.1020408163264808E-3</v>
      </c>
      <c r="D655" s="8">
        <f>IF(Tabela1[[#This Row],[Consumer Price Index (CPI)]]="",#N/A,((Tabela1[[#This Row],[Consumer Price Index (CPI)]]*1)/B643)-1)</f>
        <v>3.5630841121495394E-2</v>
      </c>
      <c r="E655" s="25">
        <v>185.3</v>
      </c>
      <c r="F655" s="8">
        <f>IF(Tabela1[[#This Row],[Core Consumer Price Index]]="",#N/A,((Tabela1[[#This Row],[Core Consumer Price Index]]*1)/E654)-1)</f>
        <v>1.0804970286333315E-3</v>
      </c>
      <c r="G655" s="8">
        <f>IF(Tabela1[[#This Row],[Core Consumer Price Index]]="",#N/A,((Tabela1[[#This Row],[Core Consumer Price Index]]*1)/E643)-1)</f>
        <v>2.5456557830658699E-2</v>
      </c>
      <c r="H655" s="8">
        <f t="shared" si="34"/>
        <v>1.9492276569635258E-2</v>
      </c>
      <c r="I655" s="8">
        <f t="shared" si="35"/>
        <v>2.3915119610379065E-2</v>
      </c>
      <c r="J655" s="25">
        <v>202.7</v>
      </c>
      <c r="K655" s="8">
        <f>IF(Tabela1[[#This Row],[Services CPI]]="",#N/A,((Tabela1[[#This Row],[Services CPI]]*1)/J654)-1)</f>
        <v>3.4653465346534684E-3</v>
      </c>
      <c r="L655" s="8">
        <f>IF(Tabela1[[#This Row],[Services CPI]]="",#N/A,((Tabela1[[#This Row],[Services CPI]]*1)/J643)-1)</f>
        <v>4.4845360824742109E-2</v>
      </c>
      <c r="M655" s="7">
        <v>208.4</v>
      </c>
      <c r="N655" s="8">
        <f>IF(Tabela1[[#This Row],[Core-Services CPI]]="",#N/A,((Tabela1[[#This Row],[Core-Services CPI]]*1)/M654)-1)</f>
        <v>2.887391722810273E-3</v>
      </c>
      <c r="O655" s="8">
        <f>IF(Tabela1[[#This Row],[Core-Services CPI]]="",#N/A,((Tabela1[[#This Row],[Core-Services CPI]]*1)/M643)-1)</f>
        <v>3.5785288270377746E-2</v>
      </c>
      <c r="P655" s="7">
        <v>124.8</v>
      </c>
      <c r="Q655" s="8">
        <f>IF(Tabela1[[#This Row],[Durable Goods CPI]]="",#N/A,((Tabela1[[#This Row],[Durable Goods CPI]]*1)/P654)-1)</f>
        <v>-3.1948881789137795E-3</v>
      </c>
      <c r="R655" s="8">
        <f>IF(Tabela1[[#This Row],[Durable Goods CPI]]="",#N/A,((Tabela1[[#This Row],[Durable Goods CPI]]*1)/P643)-1)</f>
        <v>-7.9491255961844365E-3</v>
      </c>
      <c r="S655" s="7">
        <v>2.9711853000000001</v>
      </c>
      <c r="T655" s="7">
        <v>75.385000000000005</v>
      </c>
      <c r="U655" s="8">
        <f>IF(Tabela1[[#This Row],[Personal Consumption Expenditures (PCE)]]="",#N/A,((Tabela1[[#This Row],[Personal Consumption Expenditures (PCE)]]*1)/T654)-1)</f>
        <v>2.6334339712983379E-3</v>
      </c>
      <c r="V655" s="8">
        <f>IF(Tabela1[[#This Row],[Personal Consumption Expenditures (PCE)]]="",#N/A,((Tabela1[[#This Row],[Personal Consumption Expenditures (PCE)]]*1)/T643)-1)</f>
        <v>2.5576491395143286E-2</v>
      </c>
      <c r="W655" s="7">
        <v>76.147999999999996</v>
      </c>
      <c r="X655" s="8">
        <f>IF(Tabela1[[#This Row],[Core PCE]]="",#N/A,((Tabela1[[#This Row],[Core PCE]]*1)/W654)-1)</f>
        <v>2.3643767240244529E-4</v>
      </c>
      <c r="Y655" s="8">
        <f>IF(Tabela1[[#This Row],[Core PCE]]="",#N/A,((Tabela1[[#This Row],[Core PCE]]*1)/W643)-1)</f>
        <v>1.9425144249434201E-2</v>
      </c>
      <c r="Z655" s="8">
        <f t="shared" si="33"/>
        <v>1.1475145583696111E-2</v>
      </c>
      <c r="AA655" s="8">
        <f t="shared" si="32"/>
        <v>1.8677407412567515E-2</v>
      </c>
      <c r="AB655" s="7">
        <v>2.59</v>
      </c>
      <c r="AC655" s="7"/>
      <c r="AD655" s="8"/>
      <c r="AE655" s="71"/>
      <c r="AF655" s="7">
        <v>3.2</v>
      </c>
      <c r="AG655" s="5"/>
    </row>
    <row r="656" spans="1:33" ht="12.75">
      <c r="A656" s="6">
        <v>37043</v>
      </c>
      <c r="B656" s="7">
        <v>177.7</v>
      </c>
      <c r="C656" s="8">
        <f>IF(Tabela1[[#This Row],[Consumer Price Index (CPI)]]="",#N/A,((Tabela1[[#This Row],[Consumer Price Index (CPI)]]*1)/B655)-1)</f>
        <v>2.2560631697685629E-3</v>
      </c>
      <c r="D656" s="8">
        <f>IF(Tabela1[[#This Row],[Consumer Price Index (CPI)]]="",#N/A,((Tabela1[[#This Row],[Consumer Price Index (CPI)]]*1)/B644)-1)</f>
        <v>3.1939605110336888E-2</v>
      </c>
      <c r="E656" s="25">
        <v>186</v>
      </c>
      <c r="F656" s="8">
        <f>IF(Tabela1[[#This Row],[Core Consumer Price Index]]="",#N/A,((Tabela1[[#This Row],[Core Consumer Price Index]]*1)/E655)-1)</f>
        <v>3.7776578521315773E-3</v>
      </c>
      <c r="G656" s="8">
        <f>IF(Tabela1[[#This Row],[Core Consumer Price Index]]="",#N/A,((Tabela1[[#This Row],[Core Consumer Price Index]]*1)/E644)-1)</f>
        <v>2.7056874654886931E-2</v>
      </c>
      <c r="H656" s="8">
        <f t="shared" si="34"/>
        <v>2.8095315787272312E-2</v>
      </c>
      <c r="I656" s="8">
        <f t="shared" si="35"/>
        <v>2.9285836734631143E-2</v>
      </c>
      <c r="J656" s="25">
        <v>203.5</v>
      </c>
      <c r="K656" s="8">
        <f>IF(Tabela1[[#This Row],[Services CPI]]="",#N/A,((Tabela1[[#This Row],[Services CPI]]*1)/J655)-1)</f>
        <v>3.9467192895905612E-3</v>
      </c>
      <c r="L656" s="8">
        <f>IF(Tabela1[[#This Row],[Services CPI]]="",#N/A,((Tabela1[[#This Row],[Services CPI]]*1)/J644)-1)</f>
        <v>4.4125192406362146E-2</v>
      </c>
      <c r="M656" s="7">
        <v>209.4</v>
      </c>
      <c r="N656" s="8">
        <f>IF(Tabela1[[#This Row],[Core-Services CPI]]="",#N/A,((Tabela1[[#This Row],[Core-Services CPI]]*1)/M655)-1)</f>
        <v>4.7984644913627861E-3</v>
      </c>
      <c r="O656" s="8">
        <f>IF(Tabela1[[#This Row],[Core-Services CPI]]="",#N/A,((Tabela1[[#This Row],[Core-Services CPI]]*1)/M644)-1)</f>
        <v>3.7147102526003062E-2</v>
      </c>
      <c r="P656" s="7">
        <v>124.6</v>
      </c>
      <c r="Q656" s="8">
        <f>IF(Tabela1[[#This Row],[Durable Goods CPI]]="",#N/A,((Tabela1[[#This Row],[Durable Goods CPI]]*1)/P655)-1)</f>
        <v>-1.6025641025640969E-3</v>
      </c>
      <c r="R656" s="8">
        <f>IF(Tabela1[[#This Row],[Durable Goods CPI]]="",#N/A,((Tabela1[[#This Row],[Durable Goods CPI]]*1)/P644)-1)</f>
        <v>-7.171314741035939E-3</v>
      </c>
      <c r="S656" s="7">
        <v>3.1007641000000001</v>
      </c>
      <c r="T656" s="7">
        <v>75.518000000000001</v>
      </c>
      <c r="U656" s="8">
        <f>IF(Tabela1[[#This Row],[Personal Consumption Expenditures (PCE)]]="",#N/A,((Tabela1[[#This Row],[Personal Consumption Expenditures (PCE)]]*1)/T655)-1)</f>
        <v>1.7642767128738246E-3</v>
      </c>
      <c r="V656" s="8">
        <f>IF(Tabela1[[#This Row],[Personal Consumption Expenditures (PCE)]]="",#N/A,((Tabela1[[#This Row],[Personal Consumption Expenditures (PCE)]]*1)/T644)-1)</f>
        <v>2.3917346855763633E-2</v>
      </c>
      <c r="W656" s="7">
        <v>76.317999999999998</v>
      </c>
      <c r="X656" s="8">
        <f>IF(Tabela1[[#This Row],[Core PCE]]="",#N/A,((Tabela1[[#This Row],[Core PCE]]*1)/W655)-1)</f>
        <v>2.2324946157483705E-3</v>
      </c>
      <c r="Y656" s="8">
        <f>IF(Tabela1[[#This Row],[Core PCE]]="",#N/A,((Tabela1[[#This Row],[Core PCE]]*1)/W644)-1)</f>
        <v>2.0921957353452481E-2</v>
      </c>
      <c r="Z656" s="8">
        <f t="shared" si="33"/>
        <v>1.624339613940684E-2</v>
      </c>
      <c r="AA656" s="8">
        <f t="shared" si="32"/>
        <v>2.1180598682743579E-2</v>
      </c>
      <c r="AB656" s="7">
        <v>2.67</v>
      </c>
      <c r="AC656" s="7"/>
      <c r="AD656" s="8"/>
      <c r="AE656" s="71"/>
      <c r="AF656" s="7">
        <v>3</v>
      </c>
      <c r="AG656" s="5"/>
    </row>
    <row r="657" spans="1:33" ht="12.75">
      <c r="A657" s="6">
        <v>37073</v>
      </c>
      <c r="B657" s="7">
        <v>177.4</v>
      </c>
      <c r="C657" s="8">
        <f>IF(Tabela1[[#This Row],[Consumer Price Index (CPI)]]="",#N/A,((Tabela1[[#This Row],[Consumer Price Index (CPI)]]*1)/B656)-1)</f>
        <v>-1.6882386043892694E-3</v>
      </c>
      <c r="D657" s="8">
        <f>IF(Tabela1[[#This Row],[Consumer Price Index (CPI)]]="",#N/A,((Tabela1[[#This Row],[Consumer Price Index (CPI)]]*1)/B645)-1)</f>
        <v>2.7214823393167498E-2</v>
      </c>
      <c r="E657" s="25">
        <v>186.4</v>
      </c>
      <c r="F657" s="8">
        <f>IF(Tabela1[[#This Row],[Core Consumer Price Index]]="",#N/A,((Tabela1[[#This Row],[Core Consumer Price Index]]*1)/E656)-1)</f>
        <v>2.1505376344086446E-3</v>
      </c>
      <c r="G657" s="8">
        <f>IF(Tabela1[[#This Row],[Core Consumer Price Index]]="",#N/A,((Tabela1[[#This Row],[Core Consumer Price Index]]*1)/E645)-1)</f>
        <v>2.6997245179063434E-2</v>
      </c>
      <c r="H657" s="8">
        <f t="shared" si="34"/>
        <v>2.8034770060694214E-2</v>
      </c>
      <c r="I657" s="8">
        <f t="shared" si="35"/>
        <v>2.7040267158931375E-2</v>
      </c>
      <c r="J657" s="25">
        <v>203.8</v>
      </c>
      <c r="K657" s="8">
        <f>IF(Tabela1[[#This Row],[Services CPI]]="",#N/A,((Tabela1[[#This Row],[Services CPI]]*1)/J656)-1)</f>
        <v>1.4742014742015197E-3</v>
      </c>
      <c r="L657" s="8">
        <f>IF(Tabela1[[#This Row],[Services CPI]]="",#N/A,((Tabela1[[#This Row],[Services CPI]]*1)/J645)-1)</f>
        <v>4.1389882473173323E-2</v>
      </c>
      <c r="M657" s="7">
        <v>209.9</v>
      </c>
      <c r="N657" s="8">
        <f>IF(Tabela1[[#This Row],[Core-Services CPI]]="",#N/A,((Tabela1[[#This Row],[Core-Services CPI]]*1)/M656)-1)</f>
        <v>2.3877745940783512E-3</v>
      </c>
      <c r="O657" s="8">
        <f>IF(Tabela1[[#This Row],[Core-Services CPI]]="",#N/A,((Tabela1[[#This Row],[Core-Services CPI]]*1)/M645)-1)</f>
        <v>3.6543209876543248E-2</v>
      </c>
      <c r="P657" s="7">
        <v>124.4</v>
      </c>
      <c r="Q657" s="8">
        <f>IF(Tabela1[[#This Row],[Durable Goods CPI]]="",#N/A,((Tabela1[[#This Row],[Durable Goods CPI]]*1)/P656)-1)</f>
        <v>-1.6051364365969878E-3</v>
      </c>
      <c r="R657" s="8">
        <f>IF(Tabela1[[#This Row],[Durable Goods CPI]]="",#N/A,((Tabela1[[#This Row],[Durable Goods CPI]]*1)/P645)-1)</f>
        <v>-7.9744816586921896E-3</v>
      </c>
      <c r="S657" s="7">
        <v>3.0843327</v>
      </c>
      <c r="T657" s="7">
        <v>75.492999999999995</v>
      </c>
      <c r="U657" s="8">
        <f>IF(Tabela1[[#This Row],[Personal Consumption Expenditures (PCE)]]="",#N/A,((Tabela1[[#This Row],[Personal Consumption Expenditures (PCE)]]*1)/T656)-1)</f>
        <v>-3.3104690272522941E-4</v>
      </c>
      <c r="V657" s="8">
        <f>IF(Tabela1[[#This Row],[Personal Consumption Expenditures (PCE)]]="",#N/A,((Tabela1[[#This Row],[Personal Consumption Expenditures (PCE)]]*1)/T645)-1)</f>
        <v>2.1017325092305805E-2</v>
      </c>
      <c r="W657" s="7">
        <v>76.515000000000001</v>
      </c>
      <c r="X657" s="8">
        <f>IF(Tabela1[[#This Row],[Core PCE]]="",#N/A,((Tabela1[[#This Row],[Core PCE]]*1)/W656)-1)</f>
        <v>2.5813045415237212E-3</v>
      </c>
      <c r="Y657" s="8">
        <f>IF(Tabela1[[#This Row],[Core PCE]]="",#N/A,((Tabela1[[#This Row],[Core PCE]]*1)/W645)-1)</f>
        <v>2.1221221221221276E-2</v>
      </c>
      <c r="Z657" s="8">
        <f t="shared" si="33"/>
        <v>2.0200947318698148E-2</v>
      </c>
      <c r="AA657" s="8">
        <f t="shared" si="32"/>
        <v>1.8900977745265113E-2</v>
      </c>
      <c r="AB657" s="7">
        <v>2.63</v>
      </c>
      <c r="AC657" s="7"/>
      <c r="AD657" s="8"/>
      <c r="AE657" s="71"/>
      <c r="AF657" s="7">
        <v>2.6</v>
      </c>
      <c r="AG657" s="5"/>
    </row>
    <row r="658" spans="1:33" ht="12.75">
      <c r="A658" s="6">
        <v>37104</v>
      </c>
      <c r="B658" s="7">
        <v>177.4</v>
      </c>
      <c r="C658" s="8">
        <f>IF(Tabela1[[#This Row],[Consumer Price Index (CPI)]]="",#N/A,((Tabela1[[#This Row],[Consumer Price Index (CPI)]]*1)/B657)-1)</f>
        <v>0</v>
      </c>
      <c r="D658" s="8">
        <f>IF(Tabela1[[#This Row],[Consumer Price Index (CPI)]]="",#N/A,((Tabela1[[#This Row],[Consumer Price Index (CPI)]]*1)/B646)-1)</f>
        <v>2.7214823393167498E-2</v>
      </c>
      <c r="E658" s="25">
        <v>186.7</v>
      </c>
      <c r="F658" s="8">
        <f>IF(Tabela1[[#This Row],[Core Consumer Price Index]]="",#N/A,((Tabela1[[#This Row],[Core Consumer Price Index]]*1)/E657)-1)</f>
        <v>1.6094420600858417E-3</v>
      </c>
      <c r="G658" s="8">
        <f>IF(Tabela1[[#This Row],[Core Consumer Price Index]]="",#N/A,((Tabela1[[#This Row],[Core Consumer Price Index]]*1)/E646)-1)</f>
        <v>2.6388125343595359E-2</v>
      </c>
      <c r="H658" s="8">
        <f t="shared" si="34"/>
        <v>3.0150550186504255E-2</v>
      </c>
      <c r="I658" s="8">
        <f t="shared" si="35"/>
        <v>2.4821413378069757E-2</v>
      </c>
      <c r="J658" s="25">
        <v>204.4</v>
      </c>
      <c r="K658" s="8">
        <f>IF(Tabela1[[#This Row],[Services CPI]]="",#N/A,((Tabela1[[#This Row],[Services CPI]]*1)/J657)-1)</f>
        <v>2.9440628066732533E-3</v>
      </c>
      <c r="L658" s="8">
        <f>IF(Tabela1[[#This Row],[Services CPI]]="",#N/A,((Tabela1[[#This Row],[Services CPI]]*1)/J646)-1)</f>
        <v>4.1263372389200192E-2</v>
      </c>
      <c r="M658" s="7">
        <v>210.8</v>
      </c>
      <c r="N658" s="8">
        <f>IF(Tabela1[[#This Row],[Core-Services CPI]]="",#N/A,((Tabela1[[#This Row],[Core-Services CPI]]*1)/M657)-1)</f>
        <v>4.2877560743210807E-3</v>
      </c>
      <c r="O658" s="8">
        <f>IF(Tabela1[[#This Row],[Core-Services CPI]]="",#N/A,((Tabela1[[#This Row],[Core-Services CPI]]*1)/M646)-1)</f>
        <v>3.7401574803149762E-2</v>
      </c>
      <c r="P658" s="7">
        <v>124.2</v>
      </c>
      <c r="Q658" s="8">
        <f>IF(Tabela1[[#This Row],[Durable Goods CPI]]="",#N/A,((Tabela1[[#This Row],[Durable Goods CPI]]*1)/P657)-1)</f>
        <v>-1.607717041800627E-3</v>
      </c>
      <c r="R658" s="8">
        <f>IF(Tabela1[[#This Row],[Durable Goods CPI]]="",#N/A,((Tabela1[[#This Row],[Durable Goods CPI]]*1)/P646)-1)</f>
        <v>-8.7789305666400308E-3</v>
      </c>
      <c r="S658" s="7">
        <v>3.2118098000000002</v>
      </c>
      <c r="T658" s="7">
        <v>75.483999999999995</v>
      </c>
      <c r="U658" s="8">
        <f>IF(Tabela1[[#This Row],[Personal Consumption Expenditures (PCE)]]="",#N/A,((Tabela1[[#This Row],[Personal Consumption Expenditures (PCE)]]*1)/T657)-1)</f>
        <v>-1.1921635118483653E-4</v>
      </c>
      <c r="V658" s="8">
        <f>IF(Tabela1[[#This Row],[Personal Consumption Expenditures (PCE)]]="",#N/A,((Tabela1[[#This Row],[Personal Consumption Expenditures (PCE)]]*1)/T646)-1)</f>
        <v>2.0964644142072553E-2</v>
      </c>
      <c r="W658" s="7">
        <v>76.552999999999997</v>
      </c>
      <c r="X658" s="8">
        <f>IF(Tabela1[[#This Row],[Core PCE]]="",#N/A,((Tabela1[[#This Row],[Core PCE]]*1)/W657)-1)</f>
        <v>4.9663464680116398E-4</v>
      </c>
      <c r="Y658" s="8">
        <f>IF(Tabela1[[#This Row],[Core PCE]]="",#N/A,((Tabela1[[#This Row],[Core PCE]]*1)/W646)-1)</f>
        <v>2.0420948801002314E-2</v>
      </c>
      <c r="Z658" s="8">
        <f t="shared" si="33"/>
        <v>2.1241735216293023E-2</v>
      </c>
      <c r="AA658" s="8">
        <f t="shared" si="32"/>
        <v>1.6358440399994567E-2</v>
      </c>
      <c r="AB658" s="7">
        <v>2.65</v>
      </c>
      <c r="AC658" s="7"/>
      <c r="AD658" s="8"/>
      <c r="AE658" s="71"/>
      <c r="AF658" s="7">
        <v>2.7</v>
      </c>
      <c r="AG658" s="5"/>
    </row>
    <row r="659" spans="1:33" ht="12.75">
      <c r="A659" s="6">
        <v>37135</v>
      </c>
      <c r="B659" s="7">
        <v>178.1</v>
      </c>
      <c r="C659" s="8">
        <f>IF(Tabela1[[#This Row],[Consumer Price Index (CPI)]]="",#N/A,((Tabela1[[#This Row],[Consumer Price Index (CPI)]]*1)/B658)-1)</f>
        <v>3.9458850056368622E-3</v>
      </c>
      <c r="D659" s="8">
        <f>IF(Tabela1[[#This Row],[Consumer Price Index (CPI)]]="",#N/A,((Tabela1[[#This Row],[Consumer Price Index (CPI)]]*1)/B647)-1)</f>
        <v>2.5921658986175045E-2</v>
      </c>
      <c r="E659" s="25">
        <v>187.1</v>
      </c>
      <c r="F659" s="8">
        <f>IF(Tabela1[[#This Row],[Core Consumer Price Index]]="",#N/A,((Tabela1[[#This Row],[Core Consumer Price Index]]*1)/E658)-1)</f>
        <v>2.1424745581146709E-3</v>
      </c>
      <c r="G659" s="8">
        <f>IF(Tabela1[[#This Row],[Core Consumer Price Index]]="",#N/A,((Tabela1[[#This Row],[Core Consumer Price Index]]*1)/E647)-1)</f>
        <v>2.6330224904004274E-2</v>
      </c>
      <c r="H659" s="8">
        <f t="shared" si="34"/>
        <v>2.3609817010436629E-2</v>
      </c>
      <c r="I659" s="8">
        <f t="shared" si="35"/>
        <v>2.5852566398854471E-2</v>
      </c>
      <c r="J659" s="25">
        <v>204.5</v>
      </c>
      <c r="K659" s="8">
        <f>IF(Tabela1[[#This Row],[Services CPI]]="",#N/A,((Tabela1[[#This Row],[Services CPI]]*1)/J658)-1)</f>
        <v>4.8923679060663972E-4</v>
      </c>
      <c r="L659" s="8">
        <f>IF(Tabela1[[#This Row],[Services CPI]]="",#N/A,((Tabela1[[#This Row],[Services CPI]]*1)/J647)-1)</f>
        <v>3.8598273235144642E-2</v>
      </c>
      <c r="M659" s="7">
        <v>211.2</v>
      </c>
      <c r="N659" s="8">
        <f>IF(Tabela1[[#This Row],[Core-Services CPI]]="",#N/A,((Tabela1[[#This Row],[Core-Services CPI]]*1)/M658)-1)</f>
        <v>1.8975332068309481E-3</v>
      </c>
      <c r="O659" s="8">
        <f>IF(Tabela1[[#This Row],[Core-Services CPI]]="",#N/A,((Tabela1[[#This Row],[Core-Services CPI]]*1)/M647)-1)</f>
        <v>3.7328094302554016E-2</v>
      </c>
      <c r="P659" s="7">
        <v>123.9</v>
      </c>
      <c r="Q659" s="8">
        <f>IF(Tabela1[[#This Row],[Durable Goods CPI]]="",#N/A,((Tabela1[[#This Row],[Durable Goods CPI]]*1)/P658)-1)</f>
        <v>-2.4154589371980784E-3</v>
      </c>
      <c r="R659" s="8">
        <f>IF(Tabela1[[#This Row],[Durable Goods CPI]]="",#N/A,((Tabela1[[#This Row],[Durable Goods CPI]]*1)/P647)-1)</f>
        <v>-1.1173184357541777E-2</v>
      </c>
      <c r="S659" s="7">
        <v>3.2190557000000002</v>
      </c>
      <c r="T659" s="7">
        <v>75.227000000000004</v>
      </c>
      <c r="U659" s="8">
        <f>IF(Tabela1[[#This Row],[Personal Consumption Expenditures (PCE)]]="",#N/A,((Tabela1[[#This Row],[Personal Consumption Expenditures (PCE)]]*1)/T658)-1)</f>
        <v>-3.4046950347091931E-3</v>
      </c>
      <c r="V659" s="8">
        <f>IF(Tabela1[[#This Row],[Personal Consumption Expenditures (PCE)]]="",#N/A,((Tabela1[[#This Row],[Personal Consumption Expenditures (PCE)]]*1)/T647)-1)</f>
        <v>1.3130959435436296E-2</v>
      </c>
      <c r="W659" s="7">
        <v>76.117999999999995</v>
      </c>
      <c r="X659" s="8">
        <f>IF(Tabela1[[#This Row],[Core PCE]]="",#N/A,((Tabela1[[#This Row],[Core PCE]]*1)/W658)-1)</f>
        <v>-5.6823377268037101E-3</v>
      </c>
      <c r="Y659" s="8">
        <f>IF(Tabela1[[#This Row],[Core PCE]]="",#N/A,((Tabela1[[#This Row],[Core PCE]]*1)/W647)-1)</f>
        <v>1.2167067803146026E-2</v>
      </c>
      <c r="Z659" s="8">
        <f t="shared" si="33"/>
        <v>-1.0417594153915299E-2</v>
      </c>
      <c r="AA659" s="8">
        <f t="shared" si="32"/>
        <v>2.9129009927457705E-3</v>
      </c>
      <c r="AB659" s="7">
        <v>2.5299999999999998</v>
      </c>
      <c r="AC659" s="7"/>
      <c r="AD659" s="8"/>
      <c r="AE659" s="71"/>
      <c r="AF659" s="7">
        <v>2.8</v>
      </c>
      <c r="AG659" s="5"/>
    </row>
    <row r="660" spans="1:33" ht="12.75">
      <c r="A660" s="6">
        <v>37165</v>
      </c>
      <c r="B660" s="7">
        <v>177.6</v>
      </c>
      <c r="C660" s="8">
        <f>IF(Tabela1[[#This Row],[Consumer Price Index (CPI)]]="",#N/A,((Tabela1[[#This Row],[Consumer Price Index (CPI)]]*1)/B659)-1)</f>
        <v>-2.8074115665356336E-3</v>
      </c>
      <c r="D660" s="8">
        <f>IF(Tabela1[[#This Row],[Consumer Price Index (CPI)]]="",#N/A,((Tabela1[[#This Row],[Consumer Price Index (CPI)]]*1)/B648)-1)</f>
        <v>2.1276595744680771E-2</v>
      </c>
      <c r="E660" s="25">
        <v>187.4</v>
      </c>
      <c r="F660" s="8">
        <f>IF(Tabela1[[#This Row],[Core Consumer Price Index]]="",#N/A,((Tabela1[[#This Row],[Core Consumer Price Index]]*1)/E659)-1)</f>
        <v>1.6034206306787535E-3</v>
      </c>
      <c r="G660" s="8">
        <f>IF(Tabela1[[#This Row],[Core Consumer Price Index]]="",#N/A,((Tabela1[[#This Row],[Core Consumer Price Index]]*1)/E648)-1)</f>
        <v>2.6286966046002336E-2</v>
      </c>
      <c r="H660" s="8">
        <f t="shared" si="34"/>
        <v>2.1421348995517064E-2</v>
      </c>
      <c r="I660" s="8">
        <f t="shared" si="35"/>
        <v>2.4728059528105639E-2</v>
      </c>
      <c r="J660" s="25">
        <v>204.8</v>
      </c>
      <c r="K660" s="8">
        <f>IF(Tabela1[[#This Row],[Services CPI]]="",#N/A,((Tabela1[[#This Row],[Services CPI]]*1)/J659)-1)</f>
        <v>1.4669926650368037E-3</v>
      </c>
      <c r="L660" s="8">
        <f>IF(Tabela1[[#This Row],[Services CPI]]="",#N/A,((Tabela1[[#This Row],[Services CPI]]*1)/J648)-1)</f>
        <v>3.591299949418314E-2</v>
      </c>
      <c r="M660" s="7">
        <v>211.7</v>
      </c>
      <c r="N660" s="8">
        <f>IF(Tabela1[[#This Row],[Core-Services CPI]]="",#N/A,((Tabela1[[#This Row],[Core-Services CPI]]*1)/M659)-1)</f>
        <v>2.3674242424243097E-3</v>
      </c>
      <c r="O660" s="8">
        <f>IF(Tabela1[[#This Row],[Core-Services CPI]]="",#N/A,((Tabela1[[#This Row],[Core-Services CPI]]*1)/M648)-1)</f>
        <v>3.7236648701616915E-2</v>
      </c>
      <c r="P660" s="7">
        <v>123.9</v>
      </c>
      <c r="Q660" s="8">
        <f>IF(Tabela1[[#This Row],[Durable Goods CPI]]="",#N/A,((Tabela1[[#This Row],[Durable Goods CPI]]*1)/P659)-1)</f>
        <v>0</v>
      </c>
      <c r="R660" s="8">
        <f>IF(Tabela1[[#This Row],[Durable Goods CPI]]="",#N/A,((Tabela1[[#This Row],[Durable Goods CPI]]*1)/P648)-1)</f>
        <v>-1.0383386581469645E-2</v>
      </c>
      <c r="S660" s="7">
        <v>3.2635089000000002</v>
      </c>
      <c r="T660" s="7">
        <v>75.492000000000004</v>
      </c>
      <c r="U660" s="8">
        <f>IF(Tabela1[[#This Row],[Personal Consumption Expenditures (PCE)]]="",#N/A,((Tabela1[[#This Row],[Personal Consumption Expenditures (PCE)]]*1)/T659)-1)</f>
        <v>3.5226713812859245E-3</v>
      </c>
      <c r="V660" s="8">
        <f>IF(Tabela1[[#This Row],[Personal Consumption Expenditures (PCE)]]="",#N/A,((Tabela1[[#This Row],[Personal Consumption Expenditures (PCE)]]*1)/T648)-1)</f>
        <v>1.5318816994607021E-2</v>
      </c>
      <c r="W660" s="7">
        <v>76.653999999999996</v>
      </c>
      <c r="X660" s="8">
        <f>IF(Tabela1[[#This Row],[Core PCE]]="",#N/A,((Tabela1[[#This Row],[Core PCE]]*1)/W659)-1)</f>
        <v>7.0416984156178586E-3</v>
      </c>
      <c r="Y660" s="8">
        <f>IF(Tabela1[[#This Row],[Core PCE]]="",#N/A,((Tabela1[[#This Row],[Core PCE]]*1)/W648)-1)</f>
        <v>1.7873267116375269E-2</v>
      </c>
      <c r="Z660" s="8">
        <f t="shared" si="33"/>
        <v>7.42398134246125E-3</v>
      </c>
      <c r="AA660" s="8">
        <f t="shared" si="32"/>
        <v>1.3812464330579699E-2</v>
      </c>
      <c r="AB660" s="7">
        <v>2.5</v>
      </c>
      <c r="AC660" s="7"/>
      <c r="AD660" s="8"/>
      <c r="AE660" s="71"/>
      <c r="AF660" s="7">
        <v>1</v>
      </c>
      <c r="AG660" s="5"/>
    </row>
    <row r="661" spans="1:33" ht="12.75">
      <c r="A661" s="6">
        <v>37196</v>
      </c>
      <c r="B661" s="7">
        <v>177.5</v>
      </c>
      <c r="C661" s="8">
        <f>IF(Tabela1[[#This Row],[Consumer Price Index (CPI)]]="",#N/A,((Tabela1[[#This Row],[Consumer Price Index (CPI)]]*1)/B660)-1)</f>
        <v>-5.6306306306308507E-4</v>
      </c>
      <c r="D661" s="8">
        <f>IF(Tabela1[[#This Row],[Consumer Price Index (CPI)]]="",#N/A,((Tabela1[[#This Row],[Consumer Price Index (CPI)]]*1)/B649)-1)</f>
        <v>1.8943742824339971E-2</v>
      </c>
      <c r="E661" s="25">
        <v>188.1</v>
      </c>
      <c r="F661" s="8">
        <f>IF(Tabela1[[#This Row],[Core Consumer Price Index]]="",#N/A,((Tabela1[[#This Row],[Core Consumer Price Index]]*1)/E660)-1)</f>
        <v>3.7353255069370039E-3</v>
      </c>
      <c r="G661" s="8">
        <f>IF(Tabela1[[#This Row],[Core Consumer Price Index]]="",#N/A,((Tabela1[[#This Row],[Core Consumer Price Index]]*1)/E649)-1)</f>
        <v>2.7307482250136461E-2</v>
      </c>
      <c r="H661" s="8">
        <f t="shared" si="34"/>
        <v>2.9924882782921713E-2</v>
      </c>
      <c r="I661" s="8">
        <f t="shared" si="35"/>
        <v>3.0037716484712984E-2</v>
      </c>
      <c r="J661" s="25">
        <v>205.6</v>
      </c>
      <c r="K661" s="8">
        <f>IF(Tabela1[[#This Row],[Services CPI]]="",#N/A,((Tabela1[[#This Row],[Services CPI]]*1)/J660)-1)</f>
        <v>3.90625E-3</v>
      </c>
      <c r="L661" s="8">
        <f>IF(Tabela1[[#This Row],[Services CPI]]="",#N/A,((Tabela1[[#This Row],[Services CPI]]*1)/J649)-1)</f>
        <v>3.7859666834931804E-2</v>
      </c>
      <c r="M661" s="7">
        <v>212.7</v>
      </c>
      <c r="N661" s="8">
        <f>IF(Tabela1[[#This Row],[Core-Services CPI]]="",#N/A,((Tabela1[[#This Row],[Core-Services CPI]]*1)/M660)-1)</f>
        <v>4.7236655644780079E-3</v>
      </c>
      <c r="O661" s="8">
        <f>IF(Tabela1[[#This Row],[Core-Services CPI]]="",#N/A,((Tabela1[[#This Row],[Core-Services CPI]]*1)/M649)-1)</f>
        <v>3.9081582804103565E-2</v>
      </c>
      <c r="P661" s="7">
        <v>124</v>
      </c>
      <c r="Q661" s="8">
        <f>IF(Tabela1[[#This Row],[Durable Goods CPI]]="",#N/A,((Tabela1[[#This Row],[Durable Goods CPI]]*1)/P660)-1)</f>
        <v>8.0710250201776468E-4</v>
      </c>
      <c r="R661" s="8">
        <f>IF(Tabela1[[#This Row],[Durable Goods CPI]]="",#N/A,((Tabela1[[#This Row],[Durable Goods CPI]]*1)/P649)-1)</f>
        <v>-1.0375099760574602E-2</v>
      </c>
      <c r="S661" s="7">
        <v>3.3990087</v>
      </c>
      <c r="T661" s="7">
        <v>75.441000000000003</v>
      </c>
      <c r="U661" s="8">
        <f>IF(Tabela1[[#This Row],[Personal Consumption Expenditures (PCE)]]="",#N/A,((Tabela1[[#This Row],[Personal Consumption Expenditures (PCE)]]*1)/T660)-1)</f>
        <v>-6.7556827213477444E-4</v>
      </c>
      <c r="V661" s="8">
        <f>IF(Tabela1[[#This Row],[Personal Consumption Expenditures (PCE)]]="",#N/A,((Tabela1[[#This Row],[Personal Consumption Expenditures (PCE)]]*1)/T649)-1)</f>
        <v>1.3215681534308521E-2</v>
      </c>
      <c r="W661" s="7">
        <v>76.81</v>
      </c>
      <c r="X661" s="8">
        <f>IF(Tabela1[[#This Row],[Core PCE]]="",#N/A,((Tabela1[[#This Row],[Core PCE]]*1)/W660)-1)</f>
        <v>2.0351188457223834E-3</v>
      </c>
      <c r="Y661" s="8">
        <f>IF(Tabela1[[#This Row],[Core PCE]]="",#N/A,((Tabela1[[#This Row],[Core PCE]]*1)/W649)-1)</f>
        <v>1.8146631142217151E-2</v>
      </c>
      <c r="Z661" s="8">
        <f t="shared" si="33"/>
        <v>1.3577918138146128E-2</v>
      </c>
      <c r="AA661" s="8">
        <f t="shared" si="32"/>
        <v>1.7409826677219575E-2</v>
      </c>
      <c r="AB661" s="7">
        <v>2.4700000000000002</v>
      </c>
      <c r="AC661" s="7"/>
      <c r="AD661" s="8"/>
      <c r="AE661" s="71"/>
      <c r="AF661" s="7">
        <v>0.4</v>
      </c>
      <c r="AG661" s="5"/>
    </row>
    <row r="662" spans="1:33" ht="12.75">
      <c r="A662" s="6">
        <v>37226</v>
      </c>
      <c r="B662" s="7">
        <v>177.4</v>
      </c>
      <c r="C662" s="8">
        <f>IF(Tabela1[[#This Row],[Consumer Price Index (CPI)]]="",#N/A,((Tabela1[[#This Row],[Consumer Price Index (CPI)]]*1)/B661)-1)</f>
        <v>-5.6338028169011789E-4</v>
      </c>
      <c r="D662" s="8">
        <f>IF(Tabela1[[#This Row],[Consumer Price Index (CPI)]]="",#N/A,((Tabela1[[#This Row],[Consumer Price Index (CPI)]]*1)/B650)-1)</f>
        <v>1.6036655211913109E-2</v>
      </c>
      <c r="E662" s="25">
        <v>188.4</v>
      </c>
      <c r="F662" s="8">
        <f>IF(Tabela1[[#This Row],[Core Consumer Price Index]]="",#N/A,((Tabela1[[#This Row],[Core Consumer Price Index]]*1)/E661)-1)</f>
        <v>1.5948963317384823E-3</v>
      </c>
      <c r="G662" s="8">
        <f>IF(Tabela1[[#This Row],[Core Consumer Price Index]]="",#N/A,((Tabela1[[#This Row],[Core Consumer Price Index]]*1)/E650)-1)</f>
        <v>2.7823240589198051E-2</v>
      </c>
      <c r="H662" s="8">
        <f t="shared" si="34"/>
        <v>2.7734569877416959E-2</v>
      </c>
      <c r="I662" s="8">
        <f t="shared" si="35"/>
        <v>2.5672193443926794E-2</v>
      </c>
      <c r="J662" s="25">
        <v>206.1</v>
      </c>
      <c r="K662" s="8">
        <f>IF(Tabela1[[#This Row],[Services CPI]]="",#N/A,((Tabela1[[#This Row],[Services CPI]]*1)/J661)-1)</f>
        <v>2.4319066147859836E-3</v>
      </c>
      <c r="L662" s="8">
        <f>IF(Tabela1[[#This Row],[Services CPI]]="",#N/A,((Tabela1[[#This Row],[Services CPI]]*1)/J650)-1)</f>
        <v>3.6720321931589472E-2</v>
      </c>
      <c r="M662" s="7">
        <v>213.3</v>
      </c>
      <c r="N662" s="8">
        <f>IF(Tabela1[[#This Row],[Core-Services CPI]]="",#N/A,((Tabela1[[#This Row],[Core-Services CPI]]*1)/M661)-1)</f>
        <v>2.8208744710862543E-3</v>
      </c>
      <c r="O662" s="8">
        <f>IF(Tabela1[[#This Row],[Core-Services CPI]]="",#N/A,((Tabela1[[#This Row],[Core-Services CPI]]*1)/M650)-1)</f>
        <v>3.998049731838127E-2</v>
      </c>
      <c r="P662" s="7">
        <v>124</v>
      </c>
      <c r="Q662" s="8">
        <f>IF(Tabela1[[#This Row],[Durable Goods CPI]]="",#N/A,((Tabela1[[#This Row],[Durable Goods CPI]]*1)/P661)-1)</f>
        <v>0</v>
      </c>
      <c r="R662" s="8">
        <f>IF(Tabela1[[#This Row],[Durable Goods CPI]]="",#N/A,((Tabela1[[#This Row],[Durable Goods CPI]]*1)/P650)-1)</f>
        <v>-1.195219123505975E-2</v>
      </c>
      <c r="S662" s="7">
        <v>3.4934371</v>
      </c>
      <c r="T662" s="7">
        <v>75.363</v>
      </c>
      <c r="U662" s="8">
        <f>IF(Tabela1[[#This Row],[Personal Consumption Expenditures (PCE)]]="",#N/A,((Tabela1[[#This Row],[Personal Consumption Expenditures (PCE)]]*1)/T661)-1)</f>
        <v>-1.033920547182654E-3</v>
      </c>
      <c r="V662" s="8">
        <f>IF(Tabela1[[#This Row],[Personal Consumption Expenditures (PCE)]]="",#N/A,((Tabela1[[#This Row],[Personal Consumption Expenditures (PCE)]]*1)/T650)-1)</f>
        <v>1.0620750693969505E-2</v>
      </c>
      <c r="W662" s="7">
        <v>76.828000000000003</v>
      </c>
      <c r="X662" s="8">
        <f>IF(Tabela1[[#This Row],[Core PCE]]="",#N/A,((Tabela1[[#This Row],[Core PCE]]*1)/W661)-1)</f>
        <v>2.343444863950328E-4</v>
      </c>
      <c r="Y662" s="8">
        <f>IF(Tabela1[[#This Row],[Core PCE]]="",#N/A,((Tabela1[[#This Row],[Core PCE]]*1)/W650)-1)</f>
        <v>1.738727405151308E-2</v>
      </c>
      <c r="Z662" s="8">
        <f t="shared" si="33"/>
        <v>3.7244646990941099E-2</v>
      </c>
      <c r="AA662" s="8">
        <f t="shared" si="32"/>
        <v>1.34135264185129E-2</v>
      </c>
      <c r="AB662" s="7">
        <v>2.37</v>
      </c>
      <c r="AC662" s="7"/>
      <c r="AD662" s="8"/>
      <c r="AE662" s="71"/>
      <c r="AF662" s="7">
        <v>1.8</v>
      </c>
      <c r="AG662" s="5"/>
    </row>
    <row r="663" spans="1:33" ht="12.75">
      <c r="A663" s="6">
        <v>37257</v>
      </c>
      <c r="B663" s="7">
        <v>177.7</v>
      </c>
      <c r="C663" s="8">
        <f>IF(Tabela1[[#This Row],[Consumer Price Index (CPI)]]="",#N/A,((Tabela1[[#This Row],[Consumer Price Index (CPI)]]*1)/B662)-1)</f>
        <v>1.6910935738443378E-3</v>
      </c>
      <c r="D663" s="8">
        <f>IF(Tabela1[[#This Row],[Consumer Price Index (CPI)]]="",#N/A,((Tabela1[[#This Row],[Consumer Price Index (CPI)]]*1)/B651)-1)</f>
        <v>1.1958997722095743E-2</v>
      </c>
      <c r="E663" s="25">
        <v>188.7</v>
      </c>
      <c r="F663" s="8">
        <f>IF(Tabela1[[#This Row],[Core Consumer Price Index]]="",#N/A,((Tabela1[[#This Row],[Core Consumer Price Index]]*1)/E662)-1)</f>
        <v>1.5923566878979223E-3</v>
      </c>
      <c r="G663" s="8">
        <f>IF(Tabela1[[#This Row],[Core Consumer Price Index]]="",#N/A,((Tabela1[[#This Row],[Core Consumer Price Index]]*1)/E651)-1)</f>
        <v>2.6101141924959048E-2</v>
      </c>
      <c r="H663" s="8">
        <f t="shared" si="34"/>
        <v>2.7690314106293634E-2</v>
      </c>
      <c r="I663" s="8">
        <f t="shared" si="35"/>
        <v>2.4555831550905349E-2</v>
      </c>
      <c r="J663" s="25">
        <v>206.8</v>
      </c>
      <c r="K663" s="8">
        <f>IF(Tabela1[[#This Row],[Services CPI]]="",#N/A,((Tabela1[[#This Row],[Services CPI]]*1)/J662)-1)</f>
        <v>3.3964095099467961E-3</v>
      </c>
      <c r="L663" s="8">
        <f>IF(Tabela1[[#This Row],[Services CPI]]="",#N/A,((Tabela1[[#This Row],[Services CPI]]*1)/J651)-1)</f>
        <v>3.0907278165503538E-2</v>
      </c>
      <c r="M663" s="7">
        <v>214.2</v>
      </c>
      <c r="N663" s="8">
        <f>IF(Tabela1[[#This Row],[Core-Services CPI]]="",#N/A,((Tabela1[[#This Row],[Core-Services CPI]]*1)/M662)-1)</f>
        <v>4.2194092827003704E-3</v>
      </c>
      <c r="O663" s="8">
        <f>IF(Tabela1[[#This Row],[Core-Services CPI]]="",#N/A,((Tabela1[[#This Row],[Core-Services CPI]]*1)/M651)-1)</f>
        <v>3.9805825242718473E-2</v>
      </c>
      <c r="P663" s="7">
        <v>123.2</v>
      </c>
      <c r="Q663" s="8">
        <f>IF(Tabela1[[#This Row],[Durable Goods CPI]]="",#N/A,((Tabela1[[#This Row],[Durable Goods CPI]]*1)/P662)-1)</f>
        <v>-6.4516129032258229E-3</v>
      </c>
      <c r="R663" s="8">
        <f>IF(Tabela1[[#This Row],[Durable Goods CPI]]="",#N/A,((Tabela1[[#This Row],[Durable Goods CPI]]*1)/P651)-1)</f>
        <v>-1.8326693227091573E-2</v>
      </c>
      <c r="S663" s="7">
        <v>3.6122717</v>
      </c>
      <c r="T663" s="7">
        <v>75.430999999999997</v>
      </c>
      <c r="U663" s="8">
        <f>IF(Tabela1[[#This Row],[Personal Consumption Expenditures (PCE)]]="",#N/A,((Tabela1[[#This Row],[Personal Consumption Expenditures (PCE)]]*1)/T662)-1)</f>
        <v>9.0229953690790232E-4</v>
      </c>
      <c r="V663" s="8">
        <f>IF(Tabela1[[#This Row],[Personal Consumption Expenditures (PCE)]]="",#N/A,((Tabela1[[#This Row],[Personal Consumption Expenditures (PCE)]]*1)/T651)-1)</f>
        <v>6.6593711631879327E-3</v>
      </c>
      <c r="W663" s="7">
        <v>76.870999999999995</v>
      </c>
      <c r="X663" s="8">
        <f>IF(Tabela1[[#This Row],[Core PCE]]="",#N/A,((Tabela1[[#This Row],[Core PCE]]*1)/W662)-1)</f>
        <v>5.5969177903869571E-4</v>
      </c>
      <c r="Y663" s="8">
        <f>IF(Tabela1[[#This Row],[Core PCE]]="",#N/A,((Tabela1[[#This Row],[Core PCE]]*1)/W651)-1)</f>
        <v>1.4182806480552923E-2</v>
      </c>
      <c r="Z663" s="8">
        <f t="shared" si="33"/>
        <v>1.1316620444624448E-2</v>
      </c>
      <c r="AA663" s="8">
        <f t="shared" si="32"/>
        <v>9.3703008935428489E-3</v>
      </c>
      <c r="AB663" s="7">
        <v>2.2400000000000002</v>
      </c>
      <c r="AC663" s="7"/>
      <c r="AD663" s="8"/>
      <c r="AE663" s="71"/>
      <c r="AF663" s="7">
        <v>1.9</v>
      </c>
      <c r="AG663" s="5"/>
    </row>
    <row r="664" spans="1:33" ht="12.75">
      <c r="A664" s="6">
        <v>37288</v>
      </c>
      <c r="B664" s="7">
        <v>178</v>
      </c>
      <c r="C664" s="8">
        <f>IF(Tabela1[[#This Row],[Consumer Price Index (CPI)]]="",#N/A,((Tabela1[[#This Row],[Consumer Price Index (CPI)]]*1)/B663)-1)</f>
        <v>1.6882386043894915E-3</v>
      </c>
      <c r="D664" s="8">
        <f>IF(Tabela1[[#This Row],[Consumer Price Index (CPI)]]="",#N/A,((Tabela1[[#This Row],[Consumer Price Index (CPI)]]*1)/B652)-1)</f>
        <v>1.1363636363636465E-2</v>
      </c>
      <c r="E664" s="25">
        <v>189.1</v>
      </c>
      <c r="F664" s="8">
        <f>IF(Tabela1[[#This Row],[Core Consumer Price Index]]="",#N/A,((Tabela1[[#This Row],[Core Consumer Price Index]]*1)/E663)-1)</f>
        <v>2.1197668256491831E-3</v>
      </c>
      <c r="G664" s="8">
        <f>IF(Tabela1[[#This Row],[Core Consumer Price Index]]="",#N/A,((Tabela1[[#This Row],[Core Consumer Price Index]]*1)/E652)-1)</f>
        <v>2.5488069414316694E-2</v>
      </c>
      <c r="H664" s="8">
        <f t="shared" si="34"/>
        <v>2.1228079381142351E-2</v>
      </c>
      <c r="I664" s="8">
        <f t="shared" si="35"/>
        <v>2.5576481082032032E-2</v>
      </c>
      <c r="J664" s="25">
        <v>207.5</v>
      </c>
      <c r="K664" s="8">
        <f>IF(Tabela1[[#This Row],[Services CPI]]="",#N/A,((Tabela1[[#This Row],[Services CPI]]*1)/J663)-1)</f>
        <v>3.3849129593810368E-3</v>
      </c>
      <c r="L664" s="8">
        <f>IF(Tabela1[[#This Row],[Services CPI]]="",#N/A,((Tabela1[[#This Row],[Services CPI]]*1)/J652)-1)</f>
        <v>3.1312127236580611E-2</v>
      </c>
      <c r="M664" s="7">
        <v>215</v>
      </c>
      <c r="N664" s="8">
        <f>IF(Tabela1[[#This Row],[Core-Services CPI]]="",#N/A,((Tabela1[[#This Row],[Core-Services CPI]]*1)/M663)-1)</f>
        <v>3.7348272642390157E-3</v>
      </c>
      <c r="O664" s="8">
        <f>IF(Tabela1[[#This Row],[Core-Services CPI]]="",#N/A,((Tabela1[[#This Row],[Core-Services CPI]]*1)/M652)-1)</f>
        <v>4.0658276863504428E-2</v>
      </c>
      <c r="P664" s="7">
        <v>122.3</v>
      </c>
      <c r="Q664" s="8">
        <f>IF(Tabela1[[#This Row],[Durable Goods CPI]]="",#N/A,((Tabela1[[#This Row],[Durable Goods CPI]]*1)/P663)-1)</f>
        <v>-7.3051948051948701E-3</v>
      </c>
      <c r="R664" s="8">
        <f>IF(Tabela1[[#This Row],[Durable Goods CPI]]="",#N/A,((Tabela1[[#This Row],[Durable Goods CPI]]*1)/P652)-1)</f>
        <v>-2.7048528241845671E-2</v>
      </c>
      <c r="S664" s="7">
        <v>3.5754587</v>
      </c>
      <c r="T664" s="7">
        <v>75.558000000000007</v>
      </c>
      <c r="U664" s="8">
        <f>IF(Tabela1[[#This Row],[Personal Consumption Expenditures (PCE)]]="",#N/A,((Tabela1[[#This Row],[Personal Consumption Expenditures (PCE)]]*1)/T663)-1)</f>
        <v>1.683657912529446E-3</v>
      </c>
      <c r="V664" s="8">
        <f>IF(Tabela1[[#This Row],[Personal Consumption Expenditures (PCE)]]="",#N/A,((Tabela1[[#This Row],[Personal Consumption Expenditures (PCE)]]*1)/T652)-1)</f>
        <v>6.7956507834985302E-3</v>
      </c>
      <c r="W664" s="7">
        <v>77.018000000000001</v>
      </c>
      <c r="X664" s="8">
        <f>IF(Tabela1[[#This Row],[Core PCE]]="",#N/A,((Tabela1[[#This Row],[Core PCE]]*1)/W663)-1)</f>
        <v>1.912294623460209E-3</v>
      </c>
      <c r="Y664" s="8">
        <f>IF(Tabela1[[#This Row],[Core PCE]]="",#N/A,((Tabela1[[#This Row],[Core PCE]]*1)/W652)-1)</f>
        <v>1.4328987225075585E-2</v>
      </c>
      <c r="Z664" s="8">
        <f t="shared" si="33"/>
        <v>1.082532355557575E-2</v>
      </c>
      <c r="AA664" s="8">
        <f t="shared" si="32"/>
        <v>1.2201620846860939E-2</v>
      </c>
      <c r="AB664" s="7">
        <v>2.23</v>
      </c>
      <c r="AC664" s="7"/>
      <c r="AD664" s="8"/>
      <c r="AE664" s="71"/>
      <c r="AF664" s="7">
        <v>2.1</v>
      </c>
      <c r="AG664" s="5"/>
    </row>
    <row r="665" spans="1:33" ht="12.75">
      <c r="A665" s="6">
        <v>37316</v>
      </c>
      <c r="B665" s="7">
        <v>178.5</v>
      </c>
      <c r="C665" s="8">
        <f>IF(Tabela1[[#This Row],[Consumer Price Index (CPI)]]="",#N/A,((Tabela1[[#This Row],[Consumer Price Index (CPI)]]*1)/B664)-1)</f>
        <v>2.8089887640450062E-3</v>
      </c>
      <c r="D665" s="8">
        <f>IF(Tabela1[[#This Row],[Consumer Price Index (CPI)]]="",#N/A,((Tabela1[[#This Row],[Consumer Price Index (CPI)]]*1)/B653)-1)</f>
        <v>1.3628620102214661E-2</v>
      </c>
      <c r="E665" s="25">
        <v>189.2</v>
      </c>
      <c r="F665" s="8">
        <f>IF(Tabela1[[#This Row],[Core Consumer Price Index]]="",#N/A,((Tabela1[[#This Row],[Core Consumer Price Index]]*1)/E664)-1)</f>
        <v>5.2882072977267214E-4</v>
      </c>
      <c r="G665" s="8">
        <f>IF(Tabela1[[#This Row],[Core Consumer Price Index]]="",#N/A,((Tabela1[[#This Row],[Core Consumer Price Index]]*1)/E653)-1)</f>
        <v>2.4363833243096877E-2</v>
      </c>
      <c r="H665" s="8">
        <f t="shared" si="34"/>
        <v>1.696377697327911E-2</v>
      </c>
      <c r="I665" s="8">
        <f t="shared" si="35"/>
        <v>2.2349173425348035E-2</v>
      </c>
      <c r="J665" s="25">
        <v>207.9</v>
      </c>
      <c r="K665" s="8">
        <f>IF(Tabela1[[#This Row],[Services CPI]]="",#N/A,((Tabela1[[#This Row],[Services CPI]]*1)/J664)-1)</f>
        <v>1.9277108433735091E-3</v>
      </c>
      <c r="L665" s="8">
        <f>IF(Tabela1[[#This Row],[Services CPI]]="",#N/A,((Tabela1[[#This Row],[Services CPI]]*1)/J653)-1)</f>
        <v>3.125E-2</v>
      </c>
      <c r="M665" s="7">
        <v>215.4</v>
      </c>
      <c r="N665" s="8">
        <f>IF(Tabela1[[#This Row],[Core-Services CPI]]="",#N/A,((Tabela1[[#This Row],[Core-Services CPI]]*1)/M664)-1)</f>
        <v>1.8604651162790198E-3</v>
      </c>
      <c r="O665" s="8">
        <f>IF(Tabela1[[#This Row],[Core-Services CPI]]="",#N/A,((Tabela1[[#This Row],[Core-Services CPI]]*1)/M653)-1)</f>
        <v>3.9073806078147477E-2</v>
      </c>
      <c r="P665" s="7">
        <v>121.9</v>
      </c>
      <c r="Q665" s="8">
        <f>IF(Tabela1[[#This Row],[Durable Goods CPI]]="",#N/A,((Tabela1[[#This Row],[Durable Goods CPI]]*1)/P664)-1)</f>
        <v>-3.2706459525755349E-3</v>
      </c>
      <c r="R665" s="8">
        <f>IF(Tabela1[[#This Row],[Durable Goods CPI]]="",#N/A,((Tabela1[[#This Row],[Durable Goods CPI]]*1)/P653)-1)</f>
        <v>-2.7910685805422664E-2</v>
      </c>
      <c r="S665" s="7">
        <v>3.5684398000000002</v>
      </c>
      <c r="T665" s="7">
        <v>75.763000000000005</v>
      </c>
      <c r="U665" s="8">
        <f>IF(Tabela1[[#This Row],[Personal Consumption Expenditures (PCE)]]="",#N/A,((Tabela1[[#This Row],[Personal Consumption Expenditures (PCE)]]*1)/T664)-1)</f>
        <v>2.7131475158157503E-3</v>
      </c>
      <c r="V665" s="8">
        <f>IF(Tabela1[[#This Row],[Personal Consumption Expenditures (PCE)]]="",#N/A,((Tabela1[[#This Row],[Personal Consumption Expenditures (PCE)]]*1)/T653)-1)</f>
        <v>9.4330824062354157E-3</v>
      </c>
      <c r="W665" s="7">
        <v>77.11</v>
      </c>
      <c r="X665" s="8">
        <f>IF(Tabela1[[#This Row],[Core PCE]]="",#N/A,((Tabela1[[#This Row],[Core PCE]]*1)/W664)-1)</f>
        <v>1.1945259549714926E-3</v>
      </c>
      <c r="Y665" s="8">
        <f>IF(Tabela1[[#This Row],[Core PCE]]="",#N/A,((Tabela1[[#This Row],[Core PCE]]*1)/W653)-1)</f>
        <v>1.4485126761304645E-2</v>
      </c>
      <c r="Z665" s="8">
        <f t="shared" si="33"/>
        <v>1.4666049429881589E-2</v>
      </c>
      <c r="AA665" s="8">
        <f t="shared" ref="AA665:AA728" si="36">SUM(X660:X665)*2</f>
        <v>2.5955348210411344E-2</v>
      </c>
      <c r="AB665" s="7">
        <v>2.2200000000000002</v>
      </c>
      <c r="AC665" s="7"/>
      <c r="AD665" s="8"/>
      <c r="AE665" s="71"/>
      <c r="AF665" s="7">
        <v>2.7</v>
      </c>
      <c r="AG665" s="5"/>
    </row>
    <row r="666" spans="1:33" ht="12.75">
      <c r="A666" s="6">
        <v>37347</v>
      </c>
      <c r="B666" s="7">
        <v>179.3</v>
      </c>
      <c r="C666" s="8">
        <f>IF(Tabela1[[#This Row],[Consumer Price Index (CPI)]]="",#N/A,((Tabela1[[#This Row],[Consumer Price Index (CPI)]]*1)/B665)-1)</f>
        <v>4.4817927170868188E-3</v>
      </c>
      <c r="D666" s="8">
        <f>IF(Tabela1[[#This Row],[Consumer Price Index (CPI)]]="",#N/A,((Tabela1[[#This Row],[Consumer Price Index (CPI)]]*1)/B654)-1)</f>
        <v>1.6439909297052191E-2</v>
      </c>
      <c r="E666" s="25">
        <v>189.7</v>
      </c>
      <c r="F666" s="8">
        <f>IF(Tabela1[[#This Row],[Core Consumer Price Index]]="",#N/A,((Tabela1[[#This Row],[Core Consumer Price Index]]*1)/E665)-1)</f>
        <v>2.6427061310783095E-3</v>
      </c>
      <c r="G666" s="8">
        <f>IF(Tabela1[[#This Row],[Core Consumer Price Index]]="",#N/A,((Tabela1[[#This Row],[Core Consumer Price Index]]*1)/E654)-1)</f>
        <v>2.485143165856285E-2</v>
      </c>
      <c r="H666" s="8">
        <f t="shared" si="34"/>
        <v>2.1165174746000659E-2</v>
      </c>
      <c r="I666" s="8">
        <f t="shared" si="35"/>
        <v>2.4427744426147147E-2</v>
      </c>
      <c r="J666" s="25">
        <v>208.5</v>
      </c>
      <c r="K666" s="8">
        <f>IF(Tabela1[[#This Row],[Services CPI]]="",#N/A,((Tabela1[[#This Row],[Services CPI]]*1)/J665)-1)</f>
        <v>2.8860028860029363E-3</v>
      </c>
      <c r="L666" s="8">
        <f>IF(Tabela1[[#This Row],[Services CPI]]="",#N/A,((Tabela1[[#This Row],[Services CPI]]*1)/J654)-1)</f>
        <v>3.2178217821782207E-2</v>
      </c>
      <c r="M666" s="7">
        <v>216</v>
      </c>
      <c r="N666" s="8">
        <f>IF(Tabela1[[#This Row],[Core-Services CPI]]="",#N/A,((Tabela1[[#This Row],[Core-Services CPI]]*1)/M665)-1)</f>
        <v>2.7855153203342198E-3</v>
      </c>
      <c r="O666" s="8">
        <f>IF(Tabela1[[#This Row],[Core-Services CPI]]="",#N/A,((Tabela1[[#This Row],[Core-Services CPI]]*1)/M654)-1)</f>
        <v>3.9461020211742026E-2</v>
      </c>
      <c r="P666" s="7">
        <v>121.7</v>
      </c>
      <c r="Q666" s="8">
        <f>IF(Tabela1[[#This Row],[Durable Goods CPI]]="",#N/A,((Tabela1[[#This Row],[Durable Goods CPI]]*1)/P665)-1)</f>
        <v>-1.6406890894176129E-3</v>
      </c>
      <c r="R666" s="8">
        <f>IF(Tabela1[[#This Row],[Durable Goods CPI]]="",#N/A,((Tabela1[[#This Row],[Durable Goods CPI]]*1)/P654)-1)</f>
        <v>-2.7955271565495154E-2</v>
      </c>
      <c r="S666" s="7">
        <v>3.5387816999999999</v>
      </c>
      <c r="T666" s="7">
        <v>76.08</v>
      </c>
      <c r="U666" s="8">
        <f>IF(Tabela1[[#This Row],[Personal Consumption Expenditures (PCE)]]="",#N/A,((Tabela1[[#This Row],[Personal Consumption Expenditures (PCE)]]*1)/T665)-1)</f>
        <v>4.1841004184099972E-3</v>
      </c>
      <c r="V666" s="8">
        <f>IF(Tabela1[[#This Row],[Personal Consumption Expenditures (PCE)]]="",#N/A,((Tabela1[[#This Row],[Personal Consumption Expenditures (PCE)]]*1)/T654)-1)</f>
        <v>1.1877053213986466E-2</v>
      </c>
      <c r="W666" s="7">
        <v>77.325000000000003</v>
      </c>
      <c r="X666" s="8">
        <f>IF(Tabela1[[#This Row],[Core PCE]]="",#N/A,((Tabela1[[#This Row],[Core PCE]]*1)/W665)-1)</f>
        <v>2.7882246141874845E-3</v>
      </c>
      <c r="Y666" s="8">
        <f>IF(Tabela1[[#This Row],[Core PCE]]="",#N/A,((Tabela1[[#This Row],[Core PCE]]*1)/W654)-1)</f>
        <v>1.5696834362275203E-2</v>
      </c>
      <c r="Z666" s="8">
        <f t="shared" si="33"/>
        <v>2.3580180770476744E-2</v>
      </c>
      <c r="AA666" s="8">
        <f t="shared" si="36"/>
        <v>1.7448400607550596E-2</v>
      </c>
      <c r="AB666" s="7">
        <v>2.17</v>
      </c>
      <c r="AC666" s="7"/>
      <c r="AD666" s="8"/>
      <c r="AE666" s="71"/>
      <c r="AF666" s="7">
        <v>2.8</v>
      </c>
      <c r="AG666" s="5"/>
    </row>
    <row r="667" spans="1:33" ht="12.75">
      <c r="A667" s="6">
        <v>37377</v>
      </c>
      <c r="B667" s="7">
        <v>179.5</v>
      </c>
      <c r="C667" s="8">
        <f>IF(Tabela1[[#This Row],[Consumer Price Index (CPI)]]="",#N/A,((Tabela1[[#This Row],[Consumer Price Index (CPI)]]*1)/B666)-1)</f>
        <v>1.115448968209698E-3</v>
      </c>
      <c r="D667" s="8">
        <f>IF(Tabela1[[#This Row],[Consumer Price Index (CPI)]]="",#N/A,((Tabela1[[#This Row],[Consumer Price Index (CPI)]]*1)/B655)-1)</f>
        <v>1.2408347433727984E-2</v>
      </c>
      <c r="E667" s="25">
        <v>190</v>
      </c>
      <c r="F667" s="8">
        <f>IF(Tabela1[[#This Row],[Core Consumer Price Index]]="",#N/A,((Tabela1[[#This Row],[Core Consumer Price Index]]*1)/E666)-1)</f>
        <v>1.5814443858725991E-3</v>
      </c>
      <c r="G667" s="8">
        <f>IF(Tabela1[[#This Row],[Core Consumer Price Index]]="",#N/A,((Tabela1[[#This Row],[Core Consumer Price Index]]*1)/E655)-1)</f>
        <v>2.5364274150026844E-2</v>
      </c>
      <c r="H667" s="8">
        <f t="shared" si="34"/>
        <v>1.9011884986894323E-2</v>
      </c>
      <c r="I667" s="8">
        <f t="shared" si="35"/>
        <v>2.0119982184018337E-2</v>
      </c>
      <c r="J667" s="25">
        <v>209</v>
      </c>
      <c r="K667" s="8">
        <f>IF(Tabela1[[#This Row],[Services CPI]]="",#N/A,((Tabela1[[#This Row],[Services CPI]]*1)/J666)-1)</f>
        <v>2.3980815347721673E-3</v>
      </c>
      <c r="L667" s="8">
        <f>IF(Tabela1[[#This Row],[Services CPI]]="",#N/A,((Tabela1[[#This Row],[Services CPI]]*1)/J655)-1)</f>
        <v>3.1080414405525447E-2</v>
      </c>
      <c r="M667" s="7">
        <v>216.6</v>
      </c>
      <c r="N667" s="8">
        <f>IF(Tabela1[[#This Row],[Core-Services CPI]]="",#N/A,((Tabela1[[#This Row],[Core-Services CPI]]*1)/M666)-1)</f>
        <v>2.7777777777777679E-3</v>
      </c>
      <c r="O667" s="8">
        <f>IF(Tabela1[[#This Row],[Core-Services CPI]]="",#N/A,((Tabela1[[#This Row],[Core-Services CPI]]*1)/M655)-1)</f>
        <v>3.9347408829174535E-2</v>
      </c>
      <c r="P667" s="7">
        <v>121.6</v>
      </c>
      <c r="Q667" s="8">
        <f>IF(Tabela1[[#This Row],[Durable Goods CPI]]="",#N/A,((Tabela1[[#This Row],[Durable Goods CPI]]*1)/P666)-1)</f>
        <v>-8.2169268693510489E-4</v>
      </c>
      <c r="R667" s="8">
        <f>IF(Tabela1[[#This Row],[Durable Goods CPI]]="",#N/A,((Tabela1[[#This Row],[Durable Goods CPI]]*1)/P655)-1)</f>
        <v>-2.5641025641025661E-2</v>
      </c>
      <c r="S667" s="7">
        <v>3.4801449999999998</v>
      </c>
      <c r="T667" s="7">
        <v>76.13</v>
      </c>
      <c r="U667" s="8">
        <f>IF(Tabela1[[#This Row],[Personal Consumption Expenditures (PCE)]]="",#N/A,((Tabela1[[#This Row],[Personal Consumption Expenditures (PCE)]]*1)/T666)-1)</f>
        <v>6.5720294426907522E-4</v>
      </c>
      <c r="V667" s="8">
        <f>IF(Tabela1[[#This Row],[Personal Consumption Expenditures (PCE)]]="",#N/A,((Tabela1[[#This Row],[Personal Consumption Expenditures (PCE)]]*1)/T655)-1)</f>
        <v>9.8826026397822453E-3</v>
      </c>
      <c r="W667" s="7">
        <v>77.411000000000001</v>
      </c>
      <c r="X667" s="8">
        <f>IF(Tabela1[[#This Row],[Core PCE]]="",#N/A,((Tabela1[[#This Row],[Core PCE]]*1)/W666)-1)</f>
        <v>1.1121888134497659E-3</v>
      </c>
      <c r="Y667" s="8">
        <f>IF(Tabela1[[#This Row],[Core PCE]]="",#N/A,((Tabela1[[#This Row],[Core PCE]]*1)/W655)-1)</f>
        <v>1.6586121762882877E-2</v>
      </c>
      <c r="Z667" s="8">
        <f t="shared" si="33"/>
        <v>2.0379757530434972E-2</v>
      </c>
      <c r="AA667" s="8">
        <f t="shared" si="36"/>
        <v>1.5602540543005361E-2</v>
      </c>
      <c r="AB667" s="7">
        <v>2.11</v>
      </c>
      <c r="AC667" s="7"/>
      <c r="AD667" s="8"/>
      <c r="AE667" s="71"/>
      <c r="AF667" s="7">
        <v>2.7</v>
      </c>
      <c r="AG667" s="5"/>
    </row>
    <row r="668" spans="1:33" ht="12.75">
      <c r="A668" s="6">
        <v>37408</v>
      </c>
      <c r="B668" s="7">
        <v>179.6</v>
      </c>
      <c r="C668" s="8">
        <f>IF(Tabela1[[#This Row],[Consumer Price Index (CPI)]]="",#N/A,((Tabela1[[#This Row],[Consumer Price Index (CPI)]]*1)/B667)-1)</f>
        <v>5.5710306406675514E-4</v>
      </c>
      <c r="D668" s="8">
        <f>IF(Tabela1[[#This Row],[Consumer Price Index (CPI)]]="",#N/A,((Tabela1[[#This Row],[Consumer Price Index (CPI)]]*1)/B656)-1)</f>
        <v>1.0692177827799743E-2</v>
      </c>
      <c r="E668" s="25">
        <v>190.2</v>
      </c>
      <c r="F668" s="8">
        <f>IF(Tabela1[[#This Row],[Core Consumer Price Index]]="",#N/A,((Tabela1[[#This Row],[Core Consumer Price Index]]*1)/E667)-1)</f>
        <v>1.0526315789474161E-3</v>
      </c>
      <c r="G668" s="8">
        <f>IF(Tabela1[[#This Row],[Core Consumer Price Index]]="",#N/A,((Tabela1[[#This Row],[Core Consumer Price Index]]*1)/E656)-1)</f>
        <v>2.2580645161290214E-2</v>
      </c>
      <c r="H668" s="8">
        <f t="shared" si="34"/>
        <v>2.1107128383593299E-2</v>
      </c>
      <c r="I668" s="8">
        <f t="shared" si="35"/>
        <v>1.9035452678436204E-2</v>
      </c>
      <c r="J668" s="25">
        <v>209.3</v>
      </c>
      <c r="K668" s="8">
        <f>IF(Tabela1[[#This Row],[Services CPI]]="",#N/A,((Tabela1[[#This Row],[Services CPI]]*1)/J667)-1)</f>
        <v>1.4354066985646785E-3</v>
      </c>
      <c r="L668" s="8">
        <f>IF(Tabela1[[#This Row],[Services CPI]]="",#N/A,((Tabela1[[#This Row],[Services CPI]]*1)/J656)-1)</f>
        <v>2.8501228501228493E-2</v>
      </c>
      <c r="M668" s="7">
        <v>217</v>
      </c>
      <c r="N668" s="8">
        <f>IF(Tabela1[[#This Row],[Core-Services CPI]]="",#N/A,((Tabela1[[#This Row],[Core-Services CPI]]*1)/M667)-1)</f>
        <v>1.8467220683286989E-3</v>
      </c>
      <c r="O668" s="8">
        <f>IF(Tabela1[[#This Row],[Core-Services CPI]]="",#N/A,((Tabela1[[#This Row],[Core-Services CPI]]*1)/M656)-1)</f>
        <v>3.629417382999045E-2</v>
      </c>
      <c r="P668" s="7">
        <v>121.4</v>
      </c>
      <c r="Q668" s="8">
        <f>IF(Tabela1[[#This Row],[Durable Goods CPI]]="",#N/A,((Tabela1[[#This Row],[Durable Goods CPI]]*1)/P667)-1)</f>
        <v>-1.6447368421051989E-3</v>
      </c>
      <c r="R668" s="8">
        <f>IF(Tabela1[[#This Row],[Durable Goods CPI]]="",#N/A,((Tabela1[[#This Row],[Durable Goods CPI]]*1)/P656)-1)</f>
        <v>-2.5682182985553692E-2</v>
      </c>
      <c r="S668" s="7">
        <v>3.4775060999999998</v>
      </c>
      <c r="T668" s="7">
        <v>76.224999999999994</v>
      </c>
      <c r="U668" s="8">
        <f>IF(Tabela1[[#This Row],[Personal Consumption Expenditures (PCE)]]="",#N/A,((Tabela1[[#This Row],[Personal Consumption Expenditures (PCE)]]*1)/T667)-1)</f>
        <v>1.2478654932353006E-3</v>
      </c>
      <c r="V668" s="8">
        <f>IF(Tabela1[[#This Row],[Personal Consumption Expenditures (PCE)]]="",#N/A,((Tabela1[[#This Row],[Personal Consumption Expenditures (PCE)]]*1)/T656)-1)</f>
        <v>9.3620064090680355E-3</v>
      </c>
      <c r="W668" s="7">
        <v>77.534000000000006</v>
      </c>
      <c r="X668" s="8">
        <f>IF(Tabela1[[#This Row],[Core PCE]]="",#N/A,((Tabela1[[#This Row],[Core PCE]]*1)/W667)-1)</f>
        <v>1.588921471108895E-3</v>
      </c>
      <c r="Y668" s="8">
        <f>IF(Tabela1[[#This Row],[Core PCE]]="",#N/A,((Tabela1[[#This Row],[Core PCE]]*1)/W656)-1)</f>
        <v>1.5933331586257538E-2</v>
      </c>
      <c r="Z668" s="8">
        <f t="shared" si="33"/>
        <v>2.1957339594984582E-2</v>
      </c>
      <c r="AA668" s="8">
        <f t="shared" si="36"/>
        <v>1.8311694512433085E-2</v>
      </c>
      <c r="AB668" s="7">
        <v>2.0099999999999998</v>
      </c>
      <c r="AC668" s="7"/>
      <c r="AD668" s="8"/>
      <c r="AE668" s="71"/>
      <c r="AF668" s="7">
        <v>2.7</v>
      </c>
      <c r="AG668" s="5"/>
    </row>
    <row r="669" spans="1:33" ht="12.75">
      <c r="A669" s="6">
        <v>37438</v>
      </c>
      <c r="B669" s="7">
        <v>180</v>
      </c>
      <c r="C669" s="8">
        <f>IF(Tabela1[[#This Row],[Consumer Price Index (CPI)]]="",#N/A,((Tabela1[[#This Row],[Consumer Price Index (CPI)]]*1)/B668)-1)</f>
        <v>2.2271714922048602E-3</v>
      </c>
      <c r="D669" s="8">
        <f>IF(Tabela1[[#This Row],[Consumer Price Index (CPI)]]="",#N/A,((Tabela1[[#This Row],[Consumer Price Index (CPI)]]*1)/B657)-1)</f>
        <v>1.465614430665152E-2</v>
      </c>
      <c r="E669" s="25">
        <v>190.5</v>
      </c>
      <c r="F669" s="8">
        <f>IF(Tabela1[[#This Row],[Core Consumer Price Index]]="",#N/A,((Tabela1[[#This Row],[Core Consumer Price Index]]*1)/E668)-1)</f>
        <v>1.577287066246047E-3</v>
      </c>
      <c r="G669" s="8">
        <f>IF(Tabela1[[#This Row],[Core Consumer Price Index]]="",#N/A,((Tabela1[[#This Row],[Core Consumer Price Index]]*1)/E657)-1)</f>
        <v>2.1995708154506355E-2</v>
      </c>
      <c r="H669" s="8">
        <f t="shared" si="34"/>
        <v>1.6845452124264249E-2</v>
      </c>
      <c r="I669" s="8">
        <f t="shared" si="35"/>
        <v>1.9005313435132454E-2</v>
      </c>
      <c r="J669" s="25">
        <v>209.9</v>
      </c>
      <c r="K669" s="8">
        <f>IF(Tabela1[[#This Row],[Services CPI]]="",#N/A,((Tabela1[[#This Row],[Services CPI]]*1)/J668)-1)</f>
        <v>2.8666985188723348E-3</v>
      </c>
      <c r="L669" s="8">
        <f>IF(Tabela1[[#This Row],[Services CPI]]="",#N/A,((Tabela1[[#This Row],[Services CPI]]*1)/J657)-1)</f>
        <v>2.9931305201177594E-2</v>
      </c>
      <c r="M669" s="7">
        <v>217.7</v>
      </c>
      <c r="N669" s="8">
        <f>IF(Tabela1[[#This Row],[Core-Services CPI]]="",#N/A,((Tabela1[[#This Row],[Core-Services CPI]]*1)/M668)-1)</f>
        <v>3.225806451612856E-3</v>
      </c>
      <c r="O669" s="8">
        <f>IF(Tabela1[[#This Row],[Core-Services CPI]]="",#N/A,((Tabela1[[#This Row],[Core-Services CPI]]*1)/M657)-1)</f>
        <v>3.7160552644116107E-2</v>
      </c>
      <c r="P669" s="7">
        <v>121.3</v>
      </c>
      <c r="Q669" s="8">
        <f>IF(Tabela1[[#This Row],[Durable Goods CPI]]="",#N/A,((Tabela1[[#This Row],[Durable Goods CPI]]*1)/P668)-1)</f>
        <v>-8.237232289951546E-4</v>
      </c>
      <c r="R669" s="8">
        <f>IF(Tabela1[[#This Row],[Durable Goods CPI]]="",#N/A,((Tabela1[[#This Row],[Durable Goods CPI]]*1)/P657)-1)</f>
        <v>-2.4919614147909996E-2</v>
      </c>
      <c r="S669" s="7">
        <v>3.4632676999999998</v>
      </c>
      <c r="T669" s="7">
        <v>76.393000000000001</v>
      </c>
      <c r="U669" s="8">
        <f>IF(Tabela1[[#This Row],[Personal Consumption Expenditures (PCE)]]="",#N/A,((Tabela1[[#This Row],[Personal Consumption Expenditures (PCE)]]*1)/T668)-1)</f>
        <v>2.2040013119055679E-3</v>
      </c>
      <c r="V669" s="8">
        <f>IF(Tabela1[[#This Row],[Personal Consumption Expenditures (PCE)]]="",#N/A,((Tabela1[[#This Row],[Personal Consumption Expenditures (PCE)]]*1)/T657)-1)</f>
        <v>1.1921635118487872E-2</v>
      </c>
      <c r="W669" s="7">
        <v>77.691999999999993</v>
      </c>
      <c r="X669" s="8">
        <f>IF(Tabela1[[#This Row],[Core PCE]]="",#N/A,((Tabela1[[#This Row],[Core PCE]]*1)/W668)-1)</f>
        <v>2.037815667964793E-3</v>
      </c>
      <c r="Y669" s="8">
        <f>IF(Tabela1[[#This Row],[Core PCE]]="",#N/A,((Tabela1[[#This Row],[Core PCE]]*1)/W657)-1)</f>
        <v>1.5382604718028992E-2</v>
      </c>
      <c r="Z669" s="8">
        <f t="shared" si="33"/>
        <v>1.8955703810093816E-2</v>
      </c>
      <c r="AA669" s="8">
        <f t="shared" si="36"/>
        <v>2.126794229028528E-2</v>
      </c>
      <c r="AB669" s="7">
        <v>2.0299999999999998</v>
      </c>
      <c r="AC669" s="7"/>
      <c r="AD669" s="8"/>
      <c r="AE669" s="71"/>
      <c r="AF669" s="7">
        <v>2.6</v>
      </c>
      <c r="AG669" s="5"/>
    </row>
    <row r="670" spans="1:33" ht="12.75">
      <c r="A670" s="6">
        <v>37469</v>
      </c>
      <c r="B670" s="7">
        <v>180.5</v>
      </c>
      <c r="C670" s="8">
        <f>IF(Tabela1[[#This Row],[Consumer Price Index (CPI)]]="",#N/A,((Tabela1[[#This Row],[Consumer Price Index (CPI)]]*1)/B669)-1)</f>
        <v>2.7777777777777679E-3</v>
      </c>
      <c r="D670" s="8">
        <f>IF(Tabela1[[#This Row],[Consumer Price Index (CPI)]]="",#N/A,((Tabela1[[#This Row],[Consumer Price Index (CPI)]]*1)/B658)-1)</f>
        <v>1.7474633596392231E-2</v>
      </c>
      <c r="E670" s="25">
        <v>191.1</v>
      </c>
      <c r="F670" s="8">
        <f>IF(Tabela1[[#This Row],[Core Consumer Price Index]]="",#N/A,((Tabela1[[#This Row],[Core Consumer Price Index]]*1)/E669)-1)</f>
        <v>3.1496062992124596E-3</v>
      </c>
      <c r="G670" s="8">
        <f>IF(Tabela1[[#This Row],[Core Consumer Price Index]]="",#N/A,((Tabela1[[#This Row],[Core Consumer Price Index]]*1)/E658)-1)</f>
        <v>2.3567220139260936E-2</v>
      </c>
      <c r="H670" s="8">
        <f t="shared" si="34"/>
        <v>2.3118099777623691E-2</v>
      </c>
      <c r="I670" s="8">
        <f t="shared" si="35"/>
        <v>2.1064992382259007E-2</v>
      </c>
      <c r="J670" s="25">
        <v>210.6</v>
      </c>
      <c r="K670" s="8">
        <f>IF(Tabela1[[#This Row],[Services CPI]]="",#N/A,((Tabela1[[#This Row],[Services CPI]]*1)/J669)-1)</f>
        <v>3.3349213911386677E-3</v>
      </c>
      <c r="L670" s="8">
        <f>IF(Tabela1[[#This Row],[Services CPI]]="",#N/A,((Tabela1[[#This Row],[Services CPI]]*1)/J658)-1)</f>
        <v>3.0332681017612551E-2</v>
      </c>
      <c r="M670" s="7">
        <v>218.5</v>
      </c>
      <c r="N670" s="8">
        <f>IF(Tabela1[[#This Row],[Core-Services CPI]]="",#N/A,((Tabela1[[#This Row],[Core-Services CPI]]*1)/M669)-1)</f>
        <v>3.6747818098301632E-3</v>
      </c>
      <c r="O670" s="8">
        <f>IF(Tabela1[[#This Row],[Core-Services CPI]]="",#N/A,((Tabela1[[#This Row],[Core-Services CPI]]*1)/M658)-1)</f>
        <v>3.6527514231498914E-2</v>
      </c>
      <c r="P670" s="7">
        <v>121.3</v>
      </c>
      <c r="Q670" s="8">
        <f>IF(Tabela1[[#This Row],[Durable Goods CPI]]="",#N/A,((Tabela1[[#This Row],[Durable Goods CPI]]*1)/P669)-1)</f>
        <v>0</v>
      </c>
      <c r="R670" s="8">
        <f>IF(Tabela1[[#This Row],[Durable Goods CPI]]="",#N/A,((Tabela1[[#This Row],[Durable Goods CPI]]*1)/P658)-1)</f>
        <v>-2.3349436392914646E-2</v>
      </c>
      <c r="S670" s="7">
        <v>3.2512148999999999</v>
      </c>
      <c r="T670" s="7">
        <v>76.543000000000006</v>
      </c>
      <c r="U670" s="8">
        <f>IF(Tabela1[[#This Row],[Personal Consumption Expenditures (PCE)]]="",#N/A,((Tabela1[[#This Row],[Personal Consumption Expenditures (PCE)]]*1)/T669)-1)</f>
        <v>1.9635306899847826E-3</v>
      </c>
      <c r="V670" s="8">
        <f>IF(Tabela1[[#This Row],[Personal Consumption Expenditures (PCE)]]="",#N/A,((Tabela1[[#This Row],[Personal Consumption Expenditures (PCE)]]*1)/T658)-1)</f>
        <v>1.402946319749887E-2</v>
      </c>
      <c r="W670" s="7">
        <v>77.844999999999999</v>
      </c>
      <c r="X670" s="8">
        <f>IF(Tabela1[[#This Row],[Core PCE]]="",#N/A,((Tabela1[[#This Row],[Core PCE]]*1)/W669)-1)</f>
        <v>1.969314729959315E-3</v>
      </c>
      <c r="Y670" s="8">
        <f>IF(Tabela1[[#This Row],[Core PCE]]="",#N/A,((Tabela1[[#This Row],[Core PCE]]*1)/W658)-1)</f>
        <v>1.6877196190874244E-2</v>
      </c>
      <c r="Z670" s="8">
        <f t="shared" si="33"/>
        <v>2.2384207476132012E-2</v>
      </c>
      <c r="AA670" s="8">
        <f t="shared" si="36"/>
        <v>2.1381982503283492E-2</v>
      </c>
      <c r="AB670" s="7">
        <v>2</v>
      </c>
      <c r="AC670" s="7"/>
      <c r="AD670" s="8"/>
      <c r="AE670" s="71"/>
      <c r="AF670" s="7">
        <v>2.6</v>
      </c>
      <c r="AG670" s="5"/>
    </row>
    <row r="671" spans="1:33" ht="12.75">
      <c r="A671" s="6">
        <v>37500</v>
      </c>
      <c r="B671" s="7">
        <v>180.8</v>
      </c>
      <c r="C671" s="8">
        <f>IF(Tabela1[[#This Row],[Consumer Price Index (CPI)]]="",#N/A,((Tabela1[[#This Row],[Consumer Price Index (CPI)]]*1)/B670)-1)</f>
        <v>1.6620498614958734E-3</v>
      </c>
      <c r="D671" s="8">
        <f>IF(Tabela1[[#This Row],[Consumer Price Index (CPI)]]="",#N/A,((Tabela1[[#This Row],[Consumer Price Index (CPI)]]*1)/B659)-1)</f>
        <v>1.516002245929271E-2</v>
      </c>
      <c r="E671" s="25">
        <v>191.3</v>
      </c>
      <c r="F671" s="8">
        <f>IF(Tabela1[[#This Row],[Core Consumer Price Index]]="",#N/A,((Tabela1[[#This Row],[Core Consumer Price Index]]*1)/E670)-1)</f>
        <v>1.0465724751440586E-3</v>
      </c>
      <c r="G671" s="8">
        <f>IF(Tabela1[[#This Row],[Core Consumer Price Index]]="",#N/A,((Tabela1[[#This Row],[Core Consumer Price Index]]*1)/E659)-1)</f>
        <v>2.2447888829502993E-2</v>
      </c>
      <c r="H671" s="8">
        <f t="shared" si="34"/>
        <v>2.3093863362410261E-2</v>
      </c>
      <c r="I671" s="8">
        <f t="shared" si="35"/>
        <v>2.210049587300178E-2</v>
      </c>
      <c r="J671" s="25">
        <v>211.1</v>
      </c>
      <c r="K671" s="8">
        <f>IF(Tabela1[[#This Row],[Services CPI]]="",#N/A,((Tabela1[[#This Row],[Services CPI]]*1)/J670)-1)</f>
        <v>2.3741690408356497E-3</v>
      </c>
      <c r="L671" s="8">
        <f>IF(Tabela1[[#This Row],[Services CPI]]="",#N/A,((Tabela1[[#This Row],[Services CPI]]*1)/J659)-1)</f>
        <v>3.2273838630806795E-2</v>
      </c>
      <c r="M671" s="7">
        <v>219</v>
      </c>
      <c r="N671" s="8">
        <f>IF(Tabela1[[#This Row],[Core-Services CPI]]="",#N/A,((Tabela1[[#This Row],[Core-Services CPI]]*1)/M670)-1)</f>
        <v>2.2883295194509046E-3</v>
      </c>
      <c r="O671" s="8">
        <f>IF(Tabela1[[#This Row],[Core-Services CPI]]="",#N/A,((Tabela1[[#This Row],[Core-Services CPI]]*1)/M659)-1)</f>
        <v>3.6931818181818343E-2</v>
      </c>
      <c r="P671" s="7">
        <v>121.1</v>
      </c>
      <c r="Q671" s="8">
        <f>IF(Tabela1[[#This Row],[Durable Goods CPI]]="",#N/A,((Tabela1[[#This Row],[Durable Goods CPI]]*1)/P670)-1)</f>
        <v>-1.6488046166529546E-3</v>
      </c>
      <c r="R671" s="8">
        <f>IF(Tabela1[[#This Row],[Durable Goods CPI]]="",#N/A,((Tabela1[[#This Row],[Durable Goods CPI]]*1)/P659)-1)</f>
        <v>-2.25988700564973E-2</v>
      </c>
      <c r="S671" s="7">
        <v>3.2740984000000002</v>
      </c>
      <c r="T671" s="7">
        <v>76.680999999999997</v>
      </c>
      <c r="U671" s="8">
        <f>IF(Tabela1[[#This Row],[Personal Consumption Expenditures (PCE)]]="",#N/A,((Tabela1[[#This Row],[Personal Consumption Expenditures (PCE)]]*1)/T670)-1)</f>
        <v>1.8029081692643167E-3</v>
      </c>
      <c r="V671" s="8">
        <f>IF(Tabela1[[#This Row],[Personal Consumption Expenditures (PCE)]]="",#N/A,((Tabela1[[#This Row],[Personal Consumption Expenditures (PCE)]]*1)/T659)-1)</f>
        <v>1.9328166748640685E-2</v>
      </c>
      <c r="W671" s="7">
        <v>77.971999999999994</v>
      </c>
      <c r="X671" s="8">
        <f>IF(Tabela1[[#This Row],[Core PCE]]="",#N/A,((Tabela1[[#This Row],[Core PCE]]*1)/W670)-1)</f>
        <v>1.6314471064293734E-3</v>
      </c>
      <c r="Y671" s="8">
        <f>IF(Tabela1[[#This Row],[Core PCE]]="",#N/A,((Tabela1[[#This Row],[Core PCE]]*1)/W659)-1)</f>
        <v>2.4356919519693099E-2</v>
      </c>
      <c r="Z671" s="8">
        <f t="shared" si="33"/>
        <v>2.2554310017413925E-2</v>
      </c>
      <c r="AA671" s="8">
        <f t="shared" si="36"/>
        <v>2.2255824806199254E-2</v>
      </c>
      <c r="AB671" s="7">
        <v>2.0699999999999998</v>
      </c>
      <c r="AC671" s="7"/>
      <c r="AD671" s="8"/>
      <c r="AE671" s="71"/>
      <c r="AF671" s="7">
        <v>2.5</v>
      </c>
      <c r="AG671" s="5"/>
    </row>
    <row r="672" spans="1:33" ht="12.75">
      <c r="A672" s="6">
        <v>37530</v>
      </c>
      <c r="B672" s="7">
        <v>181.2</v>
      </c>
      <c r="C672" s="8">
        <f>IF(Tabela1[[#This Row],[Consumer Price Index (CPI)]]="",#N/A,((Tabela1[[#This Row],[Consumer Price Index (CPI)]]*1)/B671)-1)</f>
        <v>2.2123893805308104E-3</v>
      </c>
      <c r="D672" s="8">
        <f>IF(Tabela1[[#This Row],[Consumer Price Index (CPI)]]="",#N/A,((Tabela1[[#This Row],[Consumer Price Index (CPI)]]*1)/B660)-1)</f>
        <v>2.0270270270270174E-2</v>
      </c>
      <c r="E672" s="25">
        <v>191.5</v>
      </c>
      <c r="F672" s="8">
        <f>IF(Tabela1[[#This Row],[Core Consumer Price Index]]="",#N/A,((Tabela1[[#This Row],[Core Consumer Price Index]]*1)/E671)-1)</f>
        <v>1.045478306325176E-3</v>
      </c>
      <c r="G672" s="8">
        <f>IF(Tabela1[[#This Row],[Core Consumer Price Index]]="",#N/A,((Tabela1[[#This Row],[Core Consumer Price Index]]*1)/E660)-1)</f>
        <v>2.1878335112059721E-2</v>
      </c>
      <c r="H672" s="8">
        <f t="shared" si="34"/>
        <v>2.0966628322726777E-2</v>
      </c>
      <c r="I672" s="8">
        <f t="shared" si="35"/>
        <v>1.8906040223495513E-2</v>
      </c>
      <c r="J672" s="25">
        <v>211.7</v>
      </c>
      <c r="K672" s="8">
        <f>IF(Tabela1[[#This Row],[Services CPI]]="",#N/A,((Tabela1[[#This Row],[Services CPI]]*1)/J671)-1)</f>
        <v>2.8422548555186999E-3</v>
      </c>
      <c r="L672" s="8">
        <f>IF(Tabela1[[#This Row],[Services CPI]]="",#N/A,((Tabela1[[#This Row],[Services CPI]]*1)/J660)-1)</f>
        <v>3.3691406249999778E-2</v>
      </c>
      <c r="M672" s="7">
        <v>219.5</v>
      </c>
      <c r="N672" s="8">
        <f>IF(Tabela1[[#This Row],[Core-Services CPI]]="",#N/A,((Tabela1[[#This Row],[Core-Services CPI]]*1)/M671)-1)</f>
        <v>2.2831050228311334E-3</v>
      </c>
      <c r="O672" s="8">
        <f>IF(Tabela1[[#This Row],[Core-Services CPI]]="",#N/A,((Tabela1[[#This Row],[Core-Services CPI]]*1)/M660)-1)</f>
        <v>3.6844591402928728E-2</v>
      </c>
      <c r="P672" s="7">
        <v>120.9</v>
      </c>
      <c r="Q672" s="8">
        <f>IF(Tabela1[[#This Row],[Durable Goods CPI]]="",#N/A,((Tabela1[[#This Row],[Durable Goods CPI]]*1)/P671)-1)</f>
        <v>-1.6515276630882925E-3</v>
      </c>
      <c r="R672" s="8">
        <f>IF(Tabela1[[#This Row],[Durable Goods CPI]]="",#N/A,((Tabela1[[#This Row],[Durable Goods CPI]]*1)/P660)-1)</f>
        <v>-2.4213075060532718E-2</v>
      </c>
      <c r="S672" s="7">
        <v>3.1567968999999998</v>
      </c>
      <c r="T672" s="7">
        <v>76.820999999999998</v>
      </c>
      <c r="U672" s="8">
        <f>IF(Tabela1[[#This Row],[Personal Consumption Expenditures (PCE)]]="",#N/A,((Tabela1[[#This Row],[Personal Consumption Expenditures (PCE)]]*1)/T671)-1)</f>
        <v>1.8257456214707535E-3</v>
      </c>
      <c r="V672" s="8">
        <f>IF(Tabela1[[#This Row],[Personal Consumption Expenditures (PCE)]]="",#N/A,((Tabela1[[#This Row],[Personal Consumption Expenditures (PCE)]]*1)/T660)-1)</f>
        <v>1.7604514385630265E-2</v>
      </c>
      <c r="W672" s="7">
        <v>78.037999999999997</v>
      </c>
      <c r="X672" s="8">
        <f>IF(Tabela1[[#This Row],[Core PCE]]="",#N/A,((Tabela1[[#This Row],[Core PCE]]*1)/W671)-1)</f>
        <v>8.4645770276514654E-4</v>
      </c>
      <c r="Y672" s="8">
        <f>IF(Tabela1[[#This Row],[Core PCE]]="",#N/A,((Tabela1[[#This Row],[Core PCE]]*1)/W660)-1)</f>
        <v>1.8055156938972639E-2</v>
      </c>
      <c r="Z672" s="8">
        <f t="shared" si="33"/>
        <v>1.778887815661534E-2</v>
      </c>
      <c r="AA672" s="8">
        <f t="shared" si="36"/>
        <v>1.8372290983354578E-2</v>
      </c>
      <c r="AB672" s="7">
        <v>2.08</v>
      </c>
      <c r="AC672" s="7"/>
      <c r="AD672" s="8"/>
      <c r="AE672" s="71"/>
      <c r="AF672" s="7">
        <v>2.5</v>
      </c>
      <c r="AG672" s="5"/>
    </row>
    <row r="673" spans="1:33" ht="12.75">
      <c r="A673" s="6">
        <v>37561</v>
      </c>
      <c r="B673" s="7">
        <v>181.5</v>
      </c>
      <c r="C673" s="8">
        <f>IF(Tabela1[[#This Row],[Consumer Price Index (CPI)]]="",#N/A,((Tabela1[[#This Row],[Consumer Price Index (CPI)]]*1)/B672)-1)</f>
        <v>1.6556291390728006E-3</v>
      </c>
      <c r="D673" s="8">
        <f>IF(Tabela1[[#This Row],[Consumer Price Index (CPI)]]="",#N/A,((Tabela1[[#This Row],[Consumer Price Index (CPI)]]*1)/B661)-1)</f>
        <v>2.2535211267605604E-2</v>
      </c>
      <c r="E673" s="25">
        <v>191.9</v>
      </c>
      <c r="F673" s="8">
        <f>IF(Tabela1[[#This Row],[Core Consumer Price Index]]="",#N/A,((Tabela1[[#This Row],[Core Consumer Price Index]]*1)/E672)-1)</f>
        <v>2.0887728459531019E-3</v>
      </c>
      <c r="G673" s="8">
        <f>IF(Tabela1[[#This Row],[Core Consumer Price Index]]="",#N/A,((Tabela1[[#This Row],[Core Consumer Price Index]]*1)/E661)-1)</f>
        <v>2.0202020202020332E-2</v>
      </c>
      <c r="H673" s="8">
        <f t="shared" si="34"/>
        <v>1.6723294509689346E-2</v>
      </c>
      <c r="I673" s="8">
        <f t="shared" si="35"/>
        <v>1.9920697143656518E-2</v>
      </c>
      <c r="J673" s="25">
        <v>212.4</v>
      </c>
      <c r="K673" s="8">
        <f>IF(Tabela1[[#This Row],[Services CPI]]="",#N/A,((Tabela1[[#This Row],[Services CPI]]*1)/J672)-1)</f>
        <v>3.3065658951347832E-3</v>
      </c>
      <c r="L673" s="8">
        <f>IF(Tabela1[[#This Row],[Services CPI]]="",#N/A,((Tabela1[[#This Row],[Services CPI]]*1)/J661)-1)</f>
        <v>3.3073929961089599E-2</v>
      </c>
      <c r="M673" s="7">
        <v>220.2</v>
      </c>
      <c r="N673" s="8">
        <f>IF(Tabela1[[#This Row],[Core-Services CPI]]="",#N/A,((Tabela1[[#This Row],[Core-Services CPI]]*1)/M672)-1)</f>
        <v>3.1890660592255315E-3</v>
      </c>
      <c r="O673" s="8">
        <f>IF(Tabela1[[#This Row],[Core-Services CPI]]="",#N/A,((Tabela1[[#This Row],[Core-Services CPI]]*1)/M661)-1)</f>
        <v>3.5260930888575404E-2</v>
      </c>
      <c r="P673" s="7">
        <v>120.4</v>
      </c>
      <c r="Q673" s="8">
        <f>IF(Tabela1[[#This Row],[Durable Goods CPI]]="",#N/A,((Tabela1[[#This Row],[Durable Goods CPI]]*1)/P672)-1)</f>
        <v>-4.1356492969396585E-3</v>
      </c>
      <c r="R673" s="8">
        <f>IF(Tabela1[[#This Row],[Durable Goods CPI]]="",#N/A,((Tabela1[[#This Row],[Durable Goods CPI]]*1)/P661)-1)</f>
        <v>-2.9032258064516037E-2</v>
      </c>
      <c r="S673" s="7">
        <v>3.0374650999999999</v>
      </c>
      <c r="T673" s="7">
        <v>76.897000000000006</v>
      </c>
      <c r="U673" s="8">
        <f>IF(Tabela1[[#This Row],[Personal Consumption Expenditures (PCE)]]="",#N/A,((Tabela1[[#This Row],[Personal Consumption Expenditures (PCE)]]*1)/T672)-1)</f>
        <v>9.8931281810976657E-4</v>
      </c>
      <c r="V673" s="8">
        <f>IF(Tabela1[[#This Row],[Personal Consumption Expenditures (PCE)]]="",#N/A,((Tabela1[[#This Row],[Personal Consumption Expenditures (PCE)]]*1)/T661)-1)</f>
        <v>1.9299850214074654E-2</v>
      </c>
      <c r="W673" s="7">
        <v>78.114000000000004</v>
      </c>
      <c r="X673" s="8">
        <f>IF(Tabela1[[#This Row],[Core PCE]]="",#N/A,((Tabela1[[#This Row],[Core PCE]]*1)/W672)-1)</f>
        <v>9.7388451779911733E-4</v>
      </c>
      <c r="Y673" s="8">
        <f>IF(Tabela1[[#This Row],[Core PCE]]="",#N/A,((Tabela1[[#This Row],[Core PCE]]*1)/W661)-1)</f>
        <v>1.6976956125504428E-2</v>
      </c>
      <c r="Z673" s="8">
        <f t="shared" si="33"/>
        <v>1.3807157307974549E-2</v>
      </c>
      <c r="AA673" s="8">
        <f t="shared" si="36"/>
        <v>1.8095682392053281E-2</v>
      </c>
      <c r="AB673" s="7">
        <v>2.06</v>
      </c>
      <c r="AC673" s="7"/>
      <c r="AD673" s="8"/>
      <c r="AE673" s="71"/>
      <c r="AF673" s="7">
        <v>2.4</v>
      </c>
      <c r="AG673" s="5"/>
    </row>
    <row r="674" spans="1:33" ht="12.75">
      <c r="A674" s="6">
        <v>37591</v>
      </c>
      <c r="B674" s="7">
        <v>181.8</v>
      </c>
      <c r="C674" s="8">
        <f>IF(Tabela1[[#This Row],[Consumer Price Index (CPI)]]="",#N/A,((Tabela1[[#This Row],[Consumer Price Index (CPI)]]*1)/B673)-1)</f>
        <v>1.6528925619836432E-3</v>
      </c>
      <c r="D674" s="8">
        <f>IF(Tabela1[[#This Row],[Consumer Price Index (CPI)]]="",#N/A,((Tabela1[[#This Row],[Consumer Price Index (CPI)]]*1)/B662)-1)</f>
        <v>2.4802705749718212E-2</v>
      </c>
      <c r="E674" s="25">
        <v>192.1</v>
      </c>
      <c r="F674" s="8">
        <f>IF(Tabela1[[#This Row],[Core Consumer Price Index]]="",#N/A,((Tabela1[[#This Row],[Core Consumer Price Index]]*1)/E673)-1)</f>
        <v>1.0422094841062712E-3</v>
      </c>
      <c r="G674" s="8">
        <f>IF(Tabela1[[#This Row],[Core Consumer Price Index]]="",#N/A,((Tabela1[[#This Row],[Core Consumer Price Index]]*1)/E662)-1)</f>
        <v>1.9639065817409707E-2</v>
      </c>
      <c r="H674" s="8">
        <f t="shared" si="34"/>
        <v>1.6705842545538196E-2</v>
      </c>
      <c r="I674" s="8">
        <f t="shared" si="35"/>
        <v>1.9899852953974229E-2</v>
      </c>
      <c r="J674" s="25">
        <v>213</v>
      </c>
      <c r="K674" s="8">
        <f>IF(Tabela1[[#This Row],[Services CPI]]="",#N/A,((Tabela1[[#This Row],[Services CPI]]*1)/J673)-1)</f>
        <v>2.8248587570620654E-3</v>
      </c>
      <c r="L674" s="8">
        <f>IF(Tabela1[[#This Row],[Services CPI]]="",#N/A,((Tabela1[[#This Row],[Services CPI]]*1)/J662)-1)</f>
        <v>3.3478893740902516E-2</v>
      </c>
      <c r="M674" s="7">
        <v>220.7</v>
      </c>
      <c r="N674" s="8">
        <f>IF(Tabela1[[#This Row],[Core-Services CPI]]="",#N/A,((Tabela1[[#This Row],[Core-Services CPI]]*1)/M673)-1)</f>
        <v>2.2706630336057909E-3</v>
      </c>
      <c r="O674" s="8">
        <f>IF(Tabela1[[#This Row],[Core-Services CPI]]="",#N/A,((Tabela1[[#This Row],[Core-Services CPI]]*1)/M662)-1)</f>
        <v>3.4692920768869984E-2</v>
      </c>
      <c r="P674" s="7">
        <v>120</v>
      </c>
      <c r="Q674" s="8">
        <f>IF(Tabela1[[#This Row],[Durable Goods CPI]]="",#N/A,((Tabela1[[#This Row],[Durable Goods CPI]]*1)/P673)-1)</f>
        <v>-3.3222591362126463E-3</v>
      </c>
      <c r="R674" s="8">
        <f>IF(Tabela1[[#This Row],[Durable Goods CPI]]="",#N/A,((Tabela1[[#This Row],[Durable Goods CPI]]*1)/P662)-1)</f>
        <v>-3.2258064516129004E-2</v>
      </c>
      <c r="S674" s="7">
        <v>2.9477484999999999</v>
      </c>
      <c r="T674" s="7">
        <v>76.971000000000004</v>
      </c>
      <c r="U674" s="8">
        <f>IF(Tabela1[[#This Row],[Personal Consumption Expenditures (PCE)]]="",#N/A,((Tabela1[[#This Row],[Personal Consumption Expenditures (PCE)]]*1)/T673)-1)</f>
        <v>9.6232622859138139E-4</v>
      </c>
      <c r="V674" s="8">
        <f>IF(Tabela1[[#This Row],[Personal Consumption Expenditures (PCE)]]="",#N/A,((Tabela1[[#This Row],[Personal Consumption Expenditures (PCE)]]*1)/T662)-1)</f>
        <v>2.1336730225707701E-2</v>
      </c>
      <c r="W674" s="7">
        <v>78.186999999999998</v>
      </c>
      <c r="X674" s="8">
        <f>IF(Tabela1[[#This Row],[Core PCE]]="",#N/A,((Tabela1[[#This Row],[Core PCE]]*1)/W673)-1)</f>
        <v>9.3453158204659381E-4</v>
      </c>
      <c r="Y674" s="8">
        <f>IF(Tabela1[[#This Row],[Core PCE]]="",#N/A,((Tabela1[[#This Row],[Core PCE]]*1)/W662)-1)</f>
        <v>1.7688863435205926E-2</v>
      </c>
      <c r="Z674" s="8">
        <f t="shared" si="33"/>
        <v>1.1019495210443431E-2</v>
      </c>
      <c r="AA674" s="8">
        <f t="shared" si="36"/>
        <v>1.6786902613928678E-2</v>
      </c>
      <c r="AB674" s="7">
        <v>2.1</v>
      </c>
      <c r="AC674" s="7"/>
      <c r="AD674" s="8"/>
      <c r="AE674" s="71"/>
      <c r="AF674" s="7">
        <v>2.5</v>
      </c>
      <c r="AG674" s="5"/>
    </row>
    <row r="675" spans="1:33" ht="12.75">
      <c r="A675" s="6">
        <v>37622</v>
      </c>
      <c r="B675" s="7">
        <v>182.6</v>
      </c>
      <c r="C675" s="8">
        <f>IF(Tabela1[[#This Row],[Consumer Price Index (CPI)]]="",#N/A,((Tabela1[[#This Row],[Consumer Price Index (CPI)]]*1)/B674)-1)</f>
        <v>4.4004400440043057E-3</v>
      </c>
      <c r="D675" s="8">
        <f>IF(Tabela1[[#This Row],[Consumer Price Index (CPI)]]="",#N/A,((Tabela1[[#This Row],[Consumer Price Index (CPI)]]*1)/B663)-1)</f>
        <v>2.7574563871693991E-2</v>
      </c>
      <c r="E675" s="25">
        <v>192.4</v>
      </c>
      <c r="F675" s="8">
        <f>IF(Tabela1[[#This Row],[Core Consumer Price Index]]="",#N/A,((Tabela1[[#This Row],[Core Consumer Price Index]]*1)/E674)-1)</f>
        <v>1.561686621551317E-3</v>
      </c>
      <c r="G675" s="8">
        <f>IF(Tabela1[[#This Row],[Core Consumer Price Index]]="",#N/A,((Tabela1[[#This Row],[Core Consumer Price Index]]*1)/E663)-1)</f>
        <v>1.9607843137255054E-2</v>
      </c>
      <c r="H675" s="8">
        <f t="shared" si="34"/>
        <v>1.877067580644276E-2</v>
      </c>
      <c r="I675" s="8">
        <f t="shared" si="35"/>
        <v>1.9868652064584769E-2</v>
      </c>
      <c r="J675" s="25">
        <v>213.7</v>
      </c>
      <c r="K675" s="8">
        <f>IF(Tabela1[[#This Row],[Services CPI]]="",#N/A,((Tabela1[[#This Row],[Services CPI]]*1)/J674)-1)</f>
        <v>3.2863849765256692E-3</v>
      </c>
      <c r="L675" s="8">
        <f>IF(Tabela1[[#This Row],[Services CPI]]="",#N/A,((Tabela1[[#This Row],[Services CPI]]*1)/J663)-1)</f>
        <v>3.3365570599612981E-2</v>
      </c>
      <c r="M675" s="7">
        <v>221.5</v>
      </c>
      <c r="N675" s="8">
        <f>IF(Tabela1[[#This Row],[Core-Services CPI]]="",#N/A,((Tabela1[[#This Row],[Core-Services CPI]]*1)/M674)-1)</f>
        <v>3.6248300860897142E-3</v>
      </c>
      <c r="O675" s="8">
        <f>IF(Tabela1[[#This Row],[Core-Services CPI]]="",#N/A,((Tabela1[[#This Row],[Core-Services CPI]]*1)/M663)-1)</f>
        <v>3.408029878618124E-2</v>
      </c>
      <c r="P675" s="7">
        <v>119.5</v>
      </c>
      <c r="Q675" s="8">
        <f>IF(Tabela1[[#This Row],[Durable Goods CPI]]="",#N/A,((Tabela1[[#This Row],[Durable Goods CPI]]*1)/P674)-1)</f>
        <v>-4.1666666666666519E-3</v>
      </c>
      <c r="R675" s="8">
        <f>IF(Tabela1[[#This Row],[Durable Goods CPI]]="",#N/A,((Tabela1[[#This Row],[Durable Goods CPI]]*1)/P663)-1)</f>
        <v>-3.0032467532467577E-2</v>
      </c>
      <c r="S675" s="7">
        <v>2.8341831000000002</v>
      </c>
      <c r="T675" s="7">
        <v>77.200999999999993</v>
      </c>
      <c r="U675" s="8">
        <f>IF(Tabela1[[#This Row],[Personal Consumption Expenditures (PCE)]]="",#N/A,((Tabela1[[#This Row],[Personal Consumption Expenditures (PCE)]]*1)/T674)-1)</f>
        <v>2.9881383897829572E-3</v>
      </c>
      <c r="V675" s="8">
        <f>IF(Tabela1[[#This Row],[Personal Consumption Expenditures (PCE)]]="",#N/A,((Tabela1[[#This Row],[Personal Consumption Expenditures (PCE)]]*1)/T663)-1)</f>
        <v>2.3465153584070197E-2</v>
      </c>
      <c r="W675" s="7">
        <v>78.239999999999995</v>
      </c>
      <c r="X675" s="8">
        <f>IF(Tabela1[[#This Row],[Core PCE]]="",#N/A,((Tabela1[[#This Row],[Core PCE]]*1)/W674)-1)</f>
        <v>6.7786204867803512E-4</v>
      </c>
      <c r="Y675" s="8">
        <f>IF(Tabela1[[#This Row],[Core PCE]]="",#N/A,((Tabela1[[#This Row],[Core PCE]]*1)/W663)-1)</f>
        <v>1.7809056731407091E-2</v>
      </c>
      <c r="Z675" s="8">
        <f t="shared" si="33"/>
        <v>1.0345112594094985E-2</v>
      </c>
      <c r="AA675" s="8">
        <f t="shared" si="36"/>
        <v>1.4066995375355162E-2</v>
      </c>
      <c r="AB675" s="7">
        <v>2.08</v>
      </c>
      <c r="AC675" s="7"/>
      <c r="AD675" s="8"/>
      <c r="AE675" s="71"/>
      <c r="AF675" s="7">
        <v>2.5</v>
      </c>
      <c r="AG675" s="5"/>
    </row>
    <row r="676" spans="1:33" ht="12.75">
      <c r="A676" s="6">
        <v>37653</v>
      </c>
      <c r="B676" s="7">
        <v>183.6</v>
      </c>
      <c r="C676" s="8">
        <f>IF(Tabela1[[#This Row],[Consumer Price Index (CPI)]]="",#N/A,((Tabela1[[#This Row],[Consumer Price Index (CPI)]]*1)/B675)-1)</f>
        <v>5.4764512595837367E-3</v>
      </c>
      <c r="D676" s="8">
        <f>IF(Tabela1[[#This Row],[Consumer Price Index (CPI)]]="",#N/A,((Tabela1[[#This Row],[Consumer Price Index (CPI)]]*1)/B664)-1)</f>
        <v>3.1460674157303359E-2</v>
      </c>
      <c r="E676" s="25">
        <v>192.5</v>
      </c>
      <c r="F676" s="8">
        <f>IF(Tabela1[[#This Row],[Core Consumer Price Index]]="",#N/A,((Tabela1[[#This Row],[Core Consumer Price Index]]*1)/E675)-1)</f>
        <v>5.197505197505059E-4</v>
      </c>
      <c r="G676" s="8">
        <f>IF(Tabela1[[#This Row],[Core Consumer Price Index]]="",#N/A,((Tabela1[[#This Row],[Core Consumer Price Index]]*1)/E664)-1)</f>
        <v>1.7979904812268632E-2</v>
      </c>
      <c r="H676" s="8">
        <f t="shared" si="34"/>
        <v>1.2494586501632376E-2</v>
      </c>
      <c r="I676" s="8">
        <f t="shared" si="35"/>
        <v>1.4608940505660861E-2</v>
      </c>
      <c r="J676" s="25">
        <v>214.2</v>
      </c>
      <c r="K676" s="8">
        <f>IF(Tabela1[[#This Row],[Services CPI]]="",#N/A,((Tabela1[[#This Row],[Services CPI]]*1)/J675)-1)</f>
        <v>2.3397285914834587E-3</v>
      </c>
      <c r="L676" s="8">
        <f>IF(Tabela1[[#This Row],[Services CPI]]="",#N/A,((Tabela1[[#This Row],[Services CPI]]*1)/J664)-1)</f>
        <v>3.2289156626505999E-2</v>
      </c>
      <c r="M676" s="7">
        <v>221.8</v>
      </c>
      <c r="N676" s="8">
        <f>IF(Tabela1[[#This Row],[Core-Services CPI]]="",#N/A,((Tabela1[[#This Row],[Core-Services CPI]]*1)/M675)-1)</f>
        <v>1.3544018058690988E-3</v>
      </c>
      <c r="O676" s="8">
        <f>IF(Tabela1[[#This Row],[Core-Services CPI]]="",#N/A,((Tabela1[[#This Row],[Core-Services CPI]]*1)/M664)-1)</f>
        <v>3.1627906976744224E-2</v>
      </c>
      <c r="P676" s="7">
        <v>119.3</v>
      </c>
      <c r="Q676" s="8">
        <f>IF(Tabela1[[#This Row],[Durable Goods CPI]]="",#N/A,((Tabela1[[#This Row],[Durable Goods CPI]]*1)/P675)-1)</f>
        <v>-1.6736401673640433E-3</v>
      </c>
      <c r="R676" s="8">
        <f>IF(Tabela1[[#This Row],[Durable Goods CPI]]="",#N/A,((Tabela1[[#This Row],[Durable Goods CPI]]*1)/P664)-1)</f>
        <v>-2.4529844644317289E-2</v>
      </c>
      <c r="S676" s="7">
        <v>2.8018315</v>
      </c>
      <c r="T676" s="7">
        <v>77.525999999999996</v>
      </c>
      <c r="U676" s="8">
        <f>IF(Tabela1[[#This Row],[Personal Consumption Expenditures (PCE)]]="",#N/A,((Tabela1[[#This Row],[Personal Consumption Expenditures (PCE)]]*1)/T675)-1)</f>
        <v>4.2097900286266476E-3</v>
      </c>
      <c r="V676" s="8">
        <f>IF(Tabela1[[#This Row],[Personal Consumption Expenditures (PCE)]]="",#N/A,((Tabela1[[#This Row],[Personal Consumption Expenditures (PCE)]]*1)/T664)-1)</f>
        <v>2.6046216151830226E-2</v>
      </c>
      <c r="W676" s="7">
        <v>78.347999999999999</v>
      </c>
      <c r="X676" s="8">
        <f>IF(Tabela1[[#This Row],[Core PCE]]="",#N/A,((Tabela1[[#This Row],[Core PCE]]*1)/W675)-1)</f>
        <v>1.3803680981596678E-3</v>
      </c>
      <c r="Y676" s="8">
        <f>IF(Tabela1[[#This Row],[Core PCE]]="",#N/A,((Tabela1[[#This Row],[Core PCE]]*1)/W664)-1)</f>
        <v>1.7268690436001988E-2</v>
      </c>
      <c r="Z676" s="8">
        <f t="shared" si="33"/>
        <v>1.1971046915537187E-2</v>
      </c>
      <c r="AA676" s="8">
        <f t="shared" si="36"/>
        <v>1.2889102111755868E-2</v>
      </c>
      <c r="AB676" s="7">
        <v>2.0099999999999998</v>
      </c>
      <c r="AC676" s="7"/>
      <c r="AD676" s="8"/>
      <c r="AE676" s="71"/>
      <c r="AF676" s="7">
        <v>2.7</v>
      </c>
      <c r="AG676" s="5"/>
    </row>
    <row r="677" spans="1:33" ht="12.75">
      <c r="A677" s="6">
        <v>37681</v>
      </c>
      <c r="B677" s="7">
        <v>183.9</v>
      </c>
      <c r="C677" s="8">
        <f>IF(Tabela1[[#This Row],[Consumer Price Index (CPI)]]="",#N/A,((Tabela1[[#This Row],[Consumer Price Index (CPI)]]*1)/B676)-1)</f>
        <v>1.6339869281045694E-3</v>
      </c>
      <c r="D677" s="8">
        <f>IF(Tabela1[[#This Row],[Consumer Price Index (CPI)]]="",#N/A,((Tabela1[[#This Row],[Consumer Price Index (CPI)]]*1)/B665)-1)</f>
        <v>3.0252100840336249E-2</v>
      </c>
      <c r="E677" s="25">
        <v>192.5</v>
      </c>
      <c r="F677" s="8">
        <f>IF(Tabela1[[#This Row],[Core Consumer Price Index]]="",#N/A,((Tabela1[[#This Row],[Core Consumer Price Index]]*1)/E676)-1)</f>
        <v>0</v>
      </c>
      <c r="G677" s="8">
        <f>IF(Tabela1[[#This Row],[Core Consumer Price Index]]="",#N/A,((Tabela1[[#This Row],[Core Consumer Price Index]]*1)/E665)-1)</f>
        <v>1.744186046511631E-2</v>
      </c>
      <c r="H677" s="8">
        <f t="shared" si="34"/>
        <v>8.3257485652072916E-3</v>
      </c>
      <c r="I677" s="8">
        <f t="shared" si="35"/>
        <v>1.2515795555372744E-2</v>
      </c>
      <c r="J677" s="25">
        <v>215</v>
      </c>
      <c r="K677" s="8">
        <f>IF(Tabela1[[#This Row],[Services CPI]]="",#N/A,((Tabela1[[#This Row],[Services CPI]]*1)/J676)-1)</f>
        <v>3.7348272642390157E-3</v>
      </c>
      <c r="L677" s="8">
        <f>IF(Tabela1[[#This Row],[Services CPI]]="",#N/A,((Tabela1[[#This Row],[Services CPI]]*1)/J665)-1)</f>
        <v>3.4151034151034043E-2</v>
      </c>
      <c r="M677" s="7">
        <v>222</v>
      </c>
      <c r="N677" s="8">
        <f>IF(Tabela1[[#This Row],[Core-Services CPI]]="",#N/A,((Tabela1[[#This Row],[Core-Services CPI]]*1)/M676)-1)</f>
        <v>9.0171325518473289E-4</v>
      </c>
      <c r="O677" s="8">
        <f>IF(Tabela1[[#This Row],[Core-Services CPI]]="",#N/A,((Tabela1[[#This Row],[Core-Services CPI]]*1)/M665)-1)</f>
        <v>3.0640668523676862E-2</v>
      </c>
      <c r="P677" s="7">
        <v>119.3</v>
      </c>
      <c r="Q677" s="8">
        <f>IF(Tabela1[[#This Row],[Durable Goods CPI]]="",#N/A,((Tabela1[[#This Row],[Durable Goods CPI]]*1)/P676)-1)</f>
        <v>0</v>
      </c>
      <c r="R677" s="8">
        <f>IF(Tabela1[[#This Row],[Durable Goods CPI]]="",#N/A,((Tabela1[[#This Row],[Durable Goods CPI]]*1)/P665)-1)</f>
        <v>-2.1328958162428302E-2</v>
      </c>
      <c r="S677" s="7">
        <v>2.7875530999999998</v>
      </c>
      <c r="T677" s="7">
        <v>77.724999999999994</v>
      </c>
      <c r="U677" s="8">
        <f>IF(Tabela1[[#This Row],[Personal Consumption Expenditures (PCE)]]="",#N/A,((Tabela1[[#This Row],[Personal Consumption Expenditures (PCE)]]*1)/T676)-1)</f>
        <v>2.5668807883807432E-3</v>
      </c>
      <c r="V677" s="8">
        <f>IF(Tabela1[[#This Row],[Personal Consumption Expenditures (PCE)]]="",#N/A,((Tabela1[[#This Row],[Personal Consumption Expenditures (PCE)]]*1)/T665)-1)</f>
        <v>2.5896545807320148E-2</v>
      </c>
      <c r="W677" s="7">
        <v>78.474000000000004</v>
      </c>
      <c r="X677" s="8">
        <f>IF(Tabela1[[#This Row],[Core PCE]]="",#N/A,((Tabela1[[#This Row],[Core PCE]]*1)/W676)-1)</f>
        <v>1.6082095267269114E-3</v>
      </c>
      <c r="Y677" s="8">
        <f>IF(Tabela1[[#This Row],[Core PCE]]="",#N/A,((Tabela1[[#This Row],[Core PCE]]*1)/W665)-1)</f>
        <v>1.7689015691868759E-2</v>
      </c>
      <c r="Z677" s="8">
        <f t="shared" si="33"/>
        <v>1.4665758694258457E-2</v>
      </c>
      <c r="AA677" s="8">
        <f t="shared" si="36"/>
        <v>1.2842626952350944E-2</v>
      </c>
      <c r="AB677" s="7">
        <v>1.99</v>
      </c>
      <c r="AC677" s="7"/>
      <c r="AD677" s="8"/>
      <c r="AE677" s="71"/>
      <c r="AF677" s="7">
        <v>3.1</v>
      </c>
      <c r="AG677" s="5"/>
    </row>
    <row r="678" spans="1:33" ht="12.75">
      <c r="A678" s="6">
        <v>37712</v>
      </c>
      <c r="B678" s="7">
        <v>183.2</v>
      </c>
      <c r="C678" s="8">
        <f>IF(Tabela1[[#This Row],[Consumer Price Index (CPI)]]="",#N/A,((Tabela1[[#This Row],[Consumer Price Index (CPI)]]*1)/B677)-1)</f>
        <v>-3.8064165307233333E-3</v>
      </c>
      <c r="D678" s="8">
        <f>IF(Tabela1[[#This Row],[Consumer Price Index (CPI)]]="",#N/A,((Tabela1[[#This Row],[Consumer Price Index (CPI)]]*1)/B666)-1)</f>
        <v>2.175125488008911E-2</v>
      </c>
      <c r="E678" s="25">
        <v>192.5</v>
      </c>
      <c r="F678" s="8">
        <f>IF(Tabela1[[#This Row],[Core Consumer Price Index]]="",#N/A,((Tabela1[[#This Row],[Core Consumer Price Index]]*1)/E677)-1)</f>
        <v>0</v>
      </c>
      <c r="G678" s="8">
        <f>IF(Tabela1[[#This Row],[Core Consumer Price Index]]="",#N/A,((Tabela1[[#This Row],[Core Consumer Price Index]]*1)/E666)-1)</f>
        <v>1.4760147601476037E-2</v>
      </c>
      <c r="H678" s="8">
        <f t="shared" si="34"/>
        <v>2.0790020790020236E-3</v>
      </c>
      <c r="I678" s="8">
        <f t="shared" si="35"/>
        <v>1.0424838942722392E-2</v>
      </c>
      <c r="J678" s="25">
        <v>215.1</v>
      </c>
      <c r="K678" s="8">
        <f>IF(Tabela1[[#This Row],[Services CPI]]="",#N/A,((Tabela1[[#This Row],[Services CPI]]*1)/J677)-1)</f>
        <v>4.6511627906964392E-4</v>
      </c>
      <c r="L678" s="8">
        <f>IF(Tabela1[[#This Row],[Services CPI]]="",#N/A,((Tabela1[[#This Row],[Services CPI]]*1)/J666)-1)</f>
        <v>3.1654676258992875E-2</v>
      </c>
      <c r="M678" s="7">
        <v>222.2</v>
      </c>
      <c r="N678" s="8">
        <f>IF(Tabela1[[#This Row],[Core-Services CPI]]="",#N/A,((Tabela1[[#This Row],[Core-Services CPI]]*1)/M677)-1)</f>
        <v>9.009009009008917E-4</v>
      </c>
      <c r="O678" s="8">
        <f>IF(Tabela1[[#This Row],[Core-Services CPI]]="",#N/A,((Tabela1[[#This Row],[Core-Services CPI]]*1)/M666)-1)</f>
        <v>2.8703703703703676E-2</v>
      </c>
      <c r="P678" s="7">
        <v>119</v>
      </c>
      <c r="Q678" s="8">
        <f>IF(Tabela1[[#This Row],[Durable Goods CPI]]="",#N/A,((Tabela1[[#This Row],[Durable Goods CPI]]*1)/P677)-1)</f>
        <v>-2.5146689019278634E-3</v>
      </c>
      <c r="R678" s="8">
        <f>IF(Tabela1[[#This Row],[Durable Goods CPI]]="",#N/A,((Tabela1[[#This Row],[Durable Goods CPI]]*1)/P666)-1)</f>
        <v>-2.2185702547247388E-2</v>
      </c>
      <c r="S678" s="7">
        <v>2.7046594000000002</v>
      </c>
      <c r="T678" s="7">
        <v>77.593000000000004</v>
      </c>
      <c r="U678" s="8">
        <f>IF(Tabela1[[#This Row],[Personal Consumption Expenditures (PCE)]]="",#N/A,((Tabela1[[#This Row],[Personal Consumption Expenditures (PCE)]]*1)/T677)-1)</f>
        <v>-1.698295271791439E-3</v>
      </c>
      <c r="V678" s="8">
        <f>IF(Tabela1[[#This Row],[Personal Consumption Expenditures (PCE)]]="",#N/A,((Tabela1[[#This Row],[Personal Consumption Expenditures (PCE)]]*1)/T666)-1)</f>
        <v>1.9886961093585676E-2</v>
      </c>
      <c r="W678" s="7">
        <v>78.561000000000007</v>
      </c>
      <c r="X678" s="8">
        <f>IF(Tabela1[[#This Row],[Core PCE]]="",#N/A,((Tabela1[[#This Row],[Core PCE]]*1)/W677)-1)</f>
        <v>1.1086474501109667E-3</v>
      </c>
      <c r="Y678" s="8">
        <f>IF(Tabela1[[#This Row],[Core PCE]]="",#N/A,((Tabela1[[#This Row],[Core PCE]]*1)/W666)-1)</f>
        <v>1.5984481086324109E-2</v>
      </c>
      <c r="Z678" s="8">
        <f t="shared" si="33"/>
        <v>1.6388900299990183E-2</v>
      </c>
      <c r="AA678" s="8">
        <f t="shared" si="36"/>
        <v>1.3367006447042584E-2</v>
      </c>
      <c r="AB678" s="7">
        <v>1.84</v>
      </c>
      <c r="AC678" s="7"/>
      <c r="AD678" s="8"/>
      <c r="AE678" s="71"/>
      <c r="AF678" s="7">
        <v>2.4</v>
      </c>
      <c r="AG678" s="5"/>
    </row>
    <row r="679" spans="1:33" ht="12.75">
      <c r="A679" s="6">
        <v>37742</v>
      </c>
      <c r="B679" s="7">
        <v>182.9</v>
      </c>
      <c r="C679" s="8">
        <f>IF(Tabela1[[#This Row],[Consumer Price Index (CPI)]]="",#N/A,((Tabela1[[#This Row],[Consumer Price Index (CPI)]]*1)/B678)-1)</f>
        <v>-1.6375545851528006E-3</v>
      </c>
      <c r="D679" s="8">
        <f>IF(Tabela1[[#This Row],[Consumer Price Index (CPI)]]="",#N/A,((Tabela1[[#This Row],[Consumer Price Index (CPI)]]*1)/B667)-1)</f>
        <v>1.8941504178273005E-2</v>
      </c>
      <c r="E679" s="25">
        <v>192.9</v>
      </c>
      <c r="F679" s="8">
        <f>IF(Tabela1[[#This Row],[Core Consumer Price Index]]="",#N/A,((Tabela1[[#This Row],[Core Consumer Price Index]]*1)/E678)-1)</f>
        <v>2.077922077922123E-3</v>
      </c>
      <c r="G679" s="8">
        <f>IF(Tabela1[[#This Row],[Core Consumer Price Index]]="",#N/A,((Tabela1[[#This Row],[Core Consumer Price Index]]*1)/E667)-1)</f>
        <v>1.5263157894736867E-2</v>
      </c>
      <c r="H679" s="8">
        <f t="shared" si="34"/>
        <v>8.3116883116884921E-3</v>
      </c>
      <c r="I679" s="8">
        <f t="shared" si="35"/>
        <v>1.0403137406660434E-2</v>
      </c>
      <c r="J679" s="25">
        <v>216</v>
      </c>
      <c r="K679" s="8">
        <f>IF(Tabela1[[#This Row],[Services CPI]]="",#N/A,((Tabela1[[#This Row],[Services CPI]]*1)/J678)-1)</f>
        <v>4.1841004184099972E-3</v>
      </c>
      <c r="L679" s="8">
        <f>IF(Tabela1[[#This Row],[Services CPI]]="",#N/A,((Tabela1[[#This Row],[Services CPI]]*1)/J667)-1)</f>
        <v>3.3492822966507241E-2</v>
      </c>
      <c r="M679" s="7">
        <v>223.1</v>
      </c>
      <c r="N679" s="8">
        <f>IF(Tabela1[[#This Row],[Core-Services CPI]]="",#N/A,((Tabela1[[#This Row],[Core-Services CPI]]*1)/M678)-1)</f>
        <v>4.0504050405041347E-3</v>
      </c>
      <c r="O679" s="8">
        <f>IF(Tabela1[[#This Row],[Core-Services CPI]]="",#N/A,((Tabela1[[#This Row],[Core-Services CPI]]*1)/M667)-1)</f>
        <v>3.000923361034169E-2</v>
      </c>
      <c r="P679" s="7">
        <v>118.4</v>
      </c>
      <c r="Q679" s="8">
        <f>IF(Tabela1[[#This Row],[Durable Goods CPI]]="",#N/A,((Tabela1[[#This Row],[Durable Goods CPI]]*1)/P678)-1)</f>
        <v>-5.0420168067226712E-3</v>
      </c>
      <c r="R679" s="8">
        <f>IF(Tabela1[[#This Row],[Durable Goods CPI]]="",#N/A,((Tabela1[[#This Row],[Durable Goods CPI]]*1)/P667)-1)</f>
        <v>-2.631578947368407E-2</v>
      </c>
      <c r="S679" s="7">
        <v>2.6277872000000002</v>
      </c>
      <c r="T679" s="7">
        <v>77.504000000000005</v>
      </c>
      <c r="U679" s="8">
        <f>IF(Tabela1[[#This Row],[Personal Consumption Expenditures (PCE)]]="",#N/A,((Tabela1[[#This Row],[Personal Consumption Expenditures (PCE)]]*1)/T678)-1)</f>
        <v>-1.1470106839533978E-3</v>
      </c>
      <c r="V679" s="8">
        <f>IF(Tabela1[[#This Row],[Personal Consumption Expenditures (PCE)]]="",#N/A,((Tabela1[[#This Row],[Personal Consumption Expenditures (PCE)]]*1)/T667)-1)</f>
        <v>1.8048075660055396E-2</v>
      </c>
      <c r="W679" s="7">
        <v>78.674000000000007</v>
      </c>
      <c r="X679" s="8">
        <f>IF(Tabela1[[#This Row],[Core PCE]]="",#N/A,((Tabela1[[#This Row],[Core PCE]]*1)/W678)-1)</f>
        <v>1.4383727294713378E-3</v>
      </c>
      <c r="Y679" s="8">
        <f>IF(Tabela1[[#This Row],[Core PCE]]="",#N/A,((Tabela1[[#This Row],[Core PCE]]*1)/W667)-1)</f>
        <v>1.63155107155315E-2</v>
      </c>
      <c r="Z679" s="8">
        <f t="shared" ref="Z679:Z742" si="37">SUM(X677:X679)*4</f>
        <v>1.6620918825236863E-2</v>
      </c>
      <c r="AA679" s="8">
        <f t="shared" si="36"/>
        <v>1.4295982870387025E-2</v>
      </c>
      <c r="AB679" s="7">
        <v>1.82</v>
      </c>
      <c r="AC679" s="7"/>
      <c r="AD679" s="8"/>
      <c r="AE679" s="71"/>
      <c r="AF679" s="7">
        <v>2</v>
      </c>
      <c r="AG679" s="5"/>
    </row>
    <row r="680" spans="1:33" ht="12.75">
      <c r="A680" s="6">
        <v>37773</v>
      </c>
      <c r="B680" s="7">
        <v>183.1</v>
      </c>
      <c r="C680" s="8">
        <f>IF(Tabela1[[#This Row],[Consumer Price Index (CPI)]]="",#N/A,((Tabela1[[#This Row],[Consumer Price Index (CPI)]]*1)/B679)-1)</f>
        <v>1.0934937124111865E-3</v>
      </c>
      <c r="D680" s="8">
        <f>IF(Tabela1[[#This Row],[Consumer Price Index (CPI)]]="",#N/A,((Tabela1[[#This Row],[Consumer Price Index (CPI)]]*1)/B668)-1)</f>
        <v>1.9487750556792971E-2</v>
      </c>
      <c r="E680" s="25">
        <v>193</v>
      </c>
      <c r="F680" s="8">
        <f>IF(Tabela1[[#This Row],[Core Consumer Price Index]]="",#N/A,((Tabela1[[#This Row],[Core Consumer Price Index]]*1)/E679)-1)</f>
        <v>5.1840331778119086E-4</v>
      </c>
      <c r="G680" s="8">
        <f>IF(Tabela1[[#This Row],[Core Consumer Price Index]]="",#N/A,((Tabela1[[#This Row],[Core Consumer Price Index]]*1)/E668)-1)</f>
        <v>1.4721345951629994E-2</v>
      </c>
      <c r="H680" s="8">
        <f t="shared" si="34"/>
        <v>1.0385301582813256E-2</v>
      </c>
      <c r="I680" s="8">
        <f t="shared" si="35"/>
        <v>9.3555250740102736E-3</v>
      </c>
      <c r="J680" s="25">
        <v>216.2</v>
      </c>
      <c r="K680" s="8">
        <f>IF(Tabela1[[#This Row],[Services CPI]]="",#N/A,((Tabela1[[#This Row],[Services CPI]]*1)/J679)-1)</f>
        <v>9.2592592592577461E-4</v>
      </c>
      <c r="L680" s="8">
        <f>IF(Tabela1[[#This Row],[Services CPI]]="",#N/A,((Tabela1[[#This Row],[Services CPI]]*1)/J668)-1)</f>
        <v>3.296703296703285E-2</v>
      </c>
      <c r="M680" s="7">
        <v>223.3</v>
      </c>
      <c r="N680" s="8">
        <f>IF(Tabela1[[#This Row],[Core-Services CPI]]="",#N/A,((Tabela1[[#This Row],[Core-Services CPI]]*1)/M679)-1)</f>
        <v>8.9645898700152493E-4</v>
      </c>
      <c r="O680" s="8">
        <f>IF(Tabela1[[#This Row],[Core-Services CPI]]="",#N/A,((Tabela1[[#This Row],[Core-Services CPI]]*1)/M668)-1)</f>
        <v>2.9032258064516148E-2</v>
      </c>
      <c r="P680" s="7">
        <v>118</v>
      </c>
      <c r="Q680" s="8">
        <f>IF(Tabela1[[#This Row],[Durable Goods CPI]]="",#N/A,((Tabela1[[#This Row],[Durable Goods CPI]]*1)/P679)-1)</f>
        <v>-3.3783783783783994E-3</v>
      </c>
      <c r="R680" s="8">
        <f>IF(Tabela1[[#This Row],[Durable Goods CPI]]="",#N/A,((Tabela1[[#This Row],[Durable Goods CPI]]*1)/P668)-1)</f>
        <v>-2.8006589785832037E-2</v>
      </c>
      <c r="S680" s="7">
        <v>2.4593490999999998</v>
      </c>
      <c r="T680" s="7">
        <v>77.587999999999994</v>
      </c>
      <c r="U680" s="8">
        <f>IF(Tabela1[[#This Row],[Personal Consumption Expenditures (PCE)]]="",#N/A,((Tabela1[[#This Row],[Personal Consumption Expenditures (PCE)]]*1)/T679)-1)</f>
        <v>1.0838150289016468E-3</v>
      </c>
      <c r="V680" s="8">
        <f>IF(Tabela1[[#This Row],[Personal Consumption Expenditures (PCE)]]="",#N/A,((Tabela1[[#This Row],[Personal Consumption Expenditures (PCE)]]*1)/T668)-1)</f>
        <v>1.788127254837657E-2</v>
      </c>
      <c r="W680" s="7">
        <v>78.718000000000004</v>
      </c>
      <c r="X680" s="8">
        <f>IF(Tabela1[[#This Row],[Core PCE]]="",#N/A,((Tabela1[[#This Row],[Core PCE]]*1)/W679)-1)</f>
        <v>5.5926989856880382E-4</v>
      </c>
      <c r="Y680" s="8">
        <f>IF(Tabela1[[#This Row],[Core PCE]]="",#N/A,((Tabela1[[#This Row],[Core PCE]]*1)/W668)-1)</f>
        <v>1.5270719942218847E-2</v>
      </c>
      <c r="Z680" s="8">
        <f t="shared" si="37"/>
        <v>1.2425160312604433E-2</v>
      </c>
      <c r="AA680" s="8">
        <f t="shared" si="36"/>
        <v>1.3545459503431445E-2</v>
      </c>
      <c r="AB680" s="7">
        <v>1.74</v>
      </c>
      <c r="AC680" s="7"/>
      <c r="AD680" s="8"/>
      <c r="AE680" s="71"/>
      <c r="AF680" s="7">
        <v>2.1</v>
      </c>
      <c r="AG680" s="5"/>
    </row>
    <row r="681" spans="1:33" ht="12.75">
      <c r="A681" s="6">
        <v>37803</v>
      </c>
      <c r="B681" s="7">
        <v>183.7</v>
      </c>
      <c r="C681" s="8">
        <f>IF(Tabela1[[#This Row],[Consumer Price Index (CPI)]]="",#N/A,((Tabela1[[#This Row],[Consumer Price Index (CPI)]]*1)/B680)-1)</f>
        <v>3.2768978700163931E-3</v>
      </c>
      <c r="D681" s="8">
        <f>IF(Tabela1[[#This Row],[Consumer Price Index (CPI)]]="",#N/A,((Tabela1[[#This Row],[Consumer Price Index (CPI)]]*1)/B669)-1)</f>
        <v>2.0555555555555438E-2</v>
      </c>
      <c r="E681" s="25">
        <v>193.4</v>
      </c>
      <c r="F681" s="8">
        <f>IF(Tabela1[[#This Row],[Core Consumer Price Index]]="",#N/A,((Tabela1[[#This Row],[Core Consumer Price Index]]*1)/E680)-1)</f>
        <v>2.0725388601037231E-3</v>
      </c>
      <c r="G681" s="8">
        <f>IF(Tabela1[[#This Row],[Core Consumer Price Index]]="",#N/A,((Tabela1[[#This Row],[Core Consumer Price Index]]*1)/E669)-1)</f>
        <v>1.5223097112860851E-2</v>
      </c>
      <c r="H681" s="8">
        <f t="shared" si="34"/>
        <v>1.8675457023228148E-2</v>
      </c>
      <c r="I681" s="8">
        <f t="shared" si="35"/>
        <v>1.0377229551115086E-2</v>
      </c>
      <c r="J681" s="25">
        <v>216.8</v>
      </c>
      <c r="K681" s="8">
        <f>IF(Tabela1[[#This Row],[Services CPI]]="",#N/A,((Tabela1[[#This Row],[Services CPI]]*1)/J680)-1)</f>
        <v>2.7752081406107187E-3</v>
      </c>
      <c r="L681" s="8">
        <f>IF(Tabela1[[#This Row],[Services CPI]]="",#N/A,((Tabela1[[#This Row],[Services CPI]]*1)/J669)-1)</f>
        <v>3.2872796569795248E-2</v>
      </c>
      <c r="M681" s="7">
        <v>224</v>
      </c>
      <c r="N681" s="8">
        <f>IF(Tabela1[[#This Row],[Core-Services CPI]]="",#N/A,((Tabela1[[#This Row],[Core-Services CPI]]*1)/M680)-1)</f>
        <v>3.1347962382444194E-3</v>
      </c>
      <c r="O681" s="8">
        <f>IF(Tabela1[[#This Row],[Core-Services CPI]]="",#N/A,((Tabela1[[#This Row],[Core-Services CPI]]*1)/M669)-1)</f>
        <v>2.893890675241173E-2</v>
      </c>
      <c r="P681" s="7">
        <v>117.6</v>
      </c>
      <c r="Q681" s="8">
        <f>IF(Tabela1[[#This Row],[Durable Goods CPI]]="",#N/A,((Tabela1[[#This Row],[Durable Goods CPI]]*1)/P680)-1)</f>
        <v>-3.3898305084746339E-3</v>
      </c>
      <c r="R681" s="8">
        <f>IF(Tabela1[[#This Row],[Durable Goods CPI]]="",#N/A,((Tabela1[[#This Row],[Durable Goods CPI]]*1)/P669)-1)</f>
        <v>-3.0502885408079217E-2</v>
      </c>
      <c r="S681" s="7">
        <v>2.3483407000000001</v>
      </c>
      <c r="T681" s="7">
        <v>77.816000000000003</v>
      </c>
      <c r="U681" s="8">
        <f>IF(Tabela1[[#This Row],[Personal Consumption Expenditures (PCE)]]="",#N/A,((Tabela1[[#This Row],[Personal Consumption Expenditures (PCE)]]*1)/T680)-1)</f>
        <v>2.938598752384447E-3</v>
      </c>
      <c r="V681" s="8">
        <f>IF(Tabela1[[#This Row],[Personal Consumption Expenditures (PCE)]]="",#N/A,((Tabela1[[#This Row],[Personal Consumption Expenditures (PCE)]]*1)/T669)-1)</f>
        <v>1.8627361145654664E-2</v>
      </c>
      <c r="W681" s="7">
        <v>78.915000000000006</v>
      </c>
      <c r="X681" s="8">
        <f>IF(Tabela1[[#This Row],[Core PCE]]="",#N/A,((Tabela1[[#This Row],[Core PCE]]*1)/W680)-1)</f>
        <v>2.5026042328311071E-3</v>
      </c>
      <c r="Y681" s="8">
        <f>IF(Tabela1[[#This Row],[Core PCE]]="",#N/A,((Tabela1[[#This Row],[Core PCE]]*1)/W669)-1)</f>
        <v>1.5741646501570505E-2</v>
      </c>
      <c r="Z681" s="8">
        <f t="shared" si="37"/>
        <v>1.8000987443484995E-2</v>
      </c>
      <c r="AA681" s="8">
        <f t="shared" si="36"/>
        <v>1.7194943871737589E-2</v>
      </c>
      <c r="AB681" s="7">
        <v>1.77</v>
      </c>
      <c r="AC681" s="7"/>
      <c r="AD681" s="8"/>
      <c r="AE681" s="71"/>
      <c r="AF681" s="7">
        <v>1.7</v>
      </c>
      <c r="AG681" s="5"/>
    </row>
    <row r="682" spans="1:33" ht="12.75">
      <c r="A682" s="6">
        <v>37834</v>
      </c>
      <c r="B682" s="7">
        <v>184.5</v>
      </c>
      <c r="C682" s="8">
        <f>IF(Tabela1[[#This Row],[Consumer Price Index (CPI)]]="",#N/A,((Tabela1[[#This Row],[Consumer Price Index (CPI)]]*1)/B681)-1)</f>
        <v>4.354926510615087E-3</v>
      </c>
      <c r="D682" s="8">
        <f>IF(Tabela1[[#This Row],[Consumer Price Index (CPI)]]="",#N/A,((Tabela1[[#This Row],[Consumer Price Index (CPI)]]*1)/B670)-1)</f>
        <v>2.2160664819944609E-2</v>
      </c>
      <c r="E682" s="25">
        <v>193.6</v>
      </c>
      <c r="F682" s="8">
        <f>IF(Tabela1[[#This Row],[Core Consumer Price Index]]="",#N/A,((Tabela1[[#This Row],[Core Consumer Price Index]]*1)/E681)-1)</f>
        <v>1.0341261633919352E-3</v>
      </c>
      <c r="G682" s="8">
        <f>IF(Tabela1[[#This Row],[Core Consumer Price Index]]="",#N/A,((Tabela1[[#This Row],[Core Consumer Price Index]]*1)/E670)-1)</f>
        <v>1.3082155939298845E-2</v>
      </c>
      <c r="H682" s="8">
        <f t="shared" si="34"/>
        <v>1.4500273365107397E-2</v>
      </c>
      <c r="I682" s="8">
        <f t="shared" si="35"/>
        <v>1.1405980838397944E-2</v>
      </c>
      <c r="J682" s="25">
        <v>217.2</v>
      </c>
      <c r="K682" s="8">
        <f>IF(Tabela1[[#This Row],[Services CPI]]="",#N/A,((Tabela1[[#This Row],[Services CPI]]*1)/J681)-1)</f>
        <v>1.8450184501843658E-3</v>
      </c>
      <c r="L682" s="8">
        <f>IF(Tabela1[[#This Row],[Services CPI]]="",#N/A,((Tabela1[[#This Row],[Services CPI]]*1)/J670)-1)</f>
        <v>3.1339031339031376E-2</v>
      </c>
      <c r="M682" s="7">
        <v>224.4</v>
      </c>
      <c r="N682" s="8">
        <f>IF(Tabela1[[#This Row],[Core-Services CPI]]="",#N/A,((Tabela1[[#This Row],[Core-Services CPI]]*1)/M681)-1)</f>
        <v>1.7857142857142794E-3</v>
      </c>
      <c r="O682" s="8">
        <f>IF(Tabela1[[#This Row],[Core-Services CPI]]="",#N/A,((Tabela1[[#This Row],[Core-Services CPI]]*1)/M670)-1)</f>
        <v>2.7002288329519564E-2</v>
      </c>
      <c r="P682" s="7">
        <v>117.2</v>
      </c>
      <c r="Q682" s="8">
        <f>IF(Tabela1[[#This Row],[Durable Goods CPI]]="",#N/A,((Tabela1[[#This Row],[Durable Goods CPI]]*1)/P681)-1)</f>
        <v>-3.4013605442175798E-3</v>
      </c>
      <c r="R682" s="8">
        <f>IF(Tabela1[[#This Row],[Durable Goods CPI]]="",#N/A,((Tabela1[[#This Row],[Durable Goods CPI]]*1)/P670)-1)</f>
        <v>-3.3800494641384904E-2</v>
      </c>
      <c r="S682" s="7">
        <v>2.27155</v>
      </c>
      <c r="T682" s="7">
        <v>78.078999999999994</v>
      </c>
      <c r="U682" s="8">
        <f>IF(Tabela1[[#This Row],[Personal Consumption Expenditures (PCE)]]="",#N/A,((Tabela1[[#This Row],[Personal Consumption Expenditures (PCE)]]*1)/T681)-1)</f>
        <v>3.3797676570370694E-3</v>
      </c>
      <c r="V682" s="8">
        <f>IF(Tabela1[[#This Row],[Personal Consumption Expenditures (PCE)]]="",#N/A,((Tabela1[[#This Row],[Personal Consumption Expenditures (PCE)]]*1)/T670)-1)</f>
        <v>2.0067151797029004E-2</v>
      </c>
      <c r="W682" s="7">
        <v>79.004000000000005</v>
      </c>
      <c r="X682" s="8">
        <f>IF(Tabela1[[#This Row],[Core PCE]]="",#N/A,((Tabela1[[#This Row],[Core PCE]]*1)/W681)-1)</f>
        <v>1.127795729582548E-3</v>
      </c>
      <c r="Y682" s="8">
        <f>IF(Tabela1[[#This Row],[Core PCE]]="",#N/A,((Tabela1[[#This Row],[Core PCE]]*1)/W670)-1)</f>
        <v>1.4888560601194811E-2</v>
      </c>
      <c r="Z682" s="8">
        <f t="shared" si="37"/>
        <v>1.6758679443929836E-2</v>
      </c>
      <c r="AA682" s="8">
        <f t="shared" si="36"/>
        <v>1.668979913458335E-2</v>
      </c>
      <c r="AB682" s="7">
        <v>1.8</v>
      </c>
      <c r="AC682" s="7"/>
      <c r="AD682" s="8"/>
      <c r="AE682" s="71"/>
      <c r="AF682" s="7">
        <v>2.5</v>
      </c>
      <c r="AG682" s="5"/>
    </row>
    <row r="683" spans="1:33" ht="12.75">
      <c r="A683" s="6">
        <v>37865</v>
      </c>
      <c r="B683" s="7">
        <v>185.1</v>
      </c>
      <c r="C683" s="8">
        <f>IF(Tabela1[[#This Row],[Consumer Price Index (CPI)]]="",#N/A,((Tabela1[[#This Row],[Consumer Price Index (CPI)]]*1)/B682)-1)</f>
        <v>3.2520325203251321E-3</v>
      </c>
      <c r="D683" s="8">
        <f>IF(Tabela1[[#This Row],[Consumer Price Index (CPI)]]="",#N/A,((Tabela1[[#This Row],[Consumer Price Index (CPI)]]*1)/B671)-1)</f>
        <v>2.3783185840707821E-2</v>
      </c>
      <c r="E683" s="25">
        <v>193.7</v>
      </c>
      <c r="F683" s="8">
        <f>IF(Tabela1[[#This Row],[Core Consumer Price Index]]="",#N/A,((Tabela1[[#This Row],[Core Consumer Price Index]]*1)/E682)-1)</f>
        <v>5.1652892561970809E-4</v>
      </c>
      <c r="G683" s="8">
        <f>IF(Tabela1[[#This Row],[Core Consumer Price Index]]="",#N/A,((Tabela1[[#This Row],[Core Consumer Price Index]]*1)/E671)-1)</f>
        <v>1.2545739675901668E-2</v>
      </c>
      <c r="H683" s="8">
        <f t="shared" si="34"/>
        <v>1.4492775796461466E-2</v>
      </c>
      <c r="I683" s="8">
        <f t="shared" si="35"/>
        <v>1.2439038689637361E-2</v>
      </c>
      <c r="J683" s="25">
        <v>217.8</v>
      </c>
      <c r="K683" s="8">
        <f>IF(Tabela1[[#This Row],[Services CPI]]="",#N/A,((Tabela1[[#This Row],[Services CPI]]*1)/J682)-1)</f>
        <v>2.7624309392266788E-3</v>
      </c>
      <c r="L683" s="8">
        <f>IF(Tabela1[[#This Row],[Services CPI]]="",#N/A,((Tabela1[[#This Row],[Services CPI]]*1)/J671)-1)</f>
        <v>3.1738512553292297E-2</v>
      </c>
      <c r="M683" s="7">
        <v>224.9</v>
      </c>
      <c r="N683" s="8">
        <f>IF(Tabela1[[#This Row],[Core-Services CPI]]="",#N/A,((Tabela1[[#This Row],[Core-Services CPI]]*1)/M682)-1)</f>
        <v>2.2281639928698471E-3</v>
      </c>
      <c r="O683" s="8">
        <f>IF(Tabela1[[#This Row],[Core-Services CPI]]="",#N/A,((Tabela1[[#This Row],[Core-Services CPI]]*1)/M671)-1)</f>
        <v>2.6940639269406486E-2</v>
      </c>
      <c r="P683" s="7">
        <v>116.2</v>
      </c>
      <c r="Q683" s="8">
        <f>IF(Tabela1[[#This Row],[Durable Goods CPI]]="",#N/A,((Tabela1[[#This Row],[Durable Goods CPI]]*1)/P682)-1)</f>
        <v>-8.5324232081911422E-3</v>
      </c>
      <c r="R683" s="8">
        <f>IF(Tabela1[[#This Row],[Durable Goods CPI]]="",#N/A,((Tabela1[[#This Row],[Durable Goods CPI]]*1)/P671)-1)</f>
        <v>-4.0462427745664664E-2</v>
      </c>
      <c r="S683" s="7">
        <v>2.2372079999999999</v>
      </c>
      <c r="T683" s="7">
        <v>78.322999999999993</v>
      </c>
      <c r="U683" s="8">
        <f>IF(Tabela1[[#This Row],[Personal Consumption Expenditures (PCE)]]="",#N/A,((Tabela1[[#This Row],[Personal Consumption Expenditures (PCE)]]*1)/T682)-1)</f>
        <v>3.1250400235658393E-3</v>
      </c>
      <c r="V683" s="8">
        <f>IF(Tabela1[[#This Row],[Personal Consumption Expenditures (PCE)]]="",#N/A,((Tabela1[[#This Row],[Personal Consumption Expenditures (PCE)]]*1)/T671)-1)</f>
        <v>2.1413387931821459E-2</v>
      </c>
      <c r="W683" s="7">
        <v>79.114000000000004</v>
      </c>
      <c r="X683" s="8">
        <f>IF(Tabela1[[#This Row],[Core PCE]]="",#N/A,((Tabela1[[#This Row],[Core PCE]]*1)/W682)-1)</f>
        <v>1.3923345653383823E-3</v>
      </c>
      <c r="Y683" s="8">
        <f>IF(Tabela1[[#This Row],[Core PCE]]="",#N/A,((Tabela1[[#This Row],[Core PCE]]*1)/W671)-1)</f>
        <v>1.4646283281178007E-2</v>
      </c>
      <c r="Z683" s="8">
        <f t="shared" si="37"/>
        <v>2.009093811100815E-2</v>
      </c>
      <c r="AA683" s="8">
        <f t="shared" si="36"/>
        <v>1.6258049211806291E-2</v>
      </c>
      <c r="AB683" s="7">
        <v>1.75</v>
      </c>
      <c r="AC683" s="7"/>
      <c r="AD683" s="8"/>
      <c r="AE683" s="71"/>
      <c r="AF683" s="7">
        <v>2.8</v>
      </c>
      <c r="AG683" s="5"/>
    </row>
    <row r="684" spans="1:33" ht="12.75">
      <c r="A684" s="6">
        <v>37895</v>
      </c>
      <c r="B684" s="7">
        <v>184.9</v>
      </c>
      <c r="C684" s="8">
        <f>IF(Tabela1[[#This Row],[Consumer Price Index (CPI)]]="",#N/A,((Tabela1[[#This Row],[Consumer Price Index (CPI)]]*1)/B683)-1)</f>
        <v>-1.0804970286331095E-3</v>
      </c>
      <c r="D684" s="8">
        <f>IF(Tabela1[[#This Row],[Consumer Price Index (CPI)]]="",#N/A,((Tabela1[[#This Row],[Consumer Price Index (CPI)]]*1)/B672)-1)</f>
        <v>2.0419426048565281E-2</v>
      </c>
      <c r="E684" s="25">
        <v>194</v>
      </c>
      <c r="F684" s="8">
        <f>IF(Tabela1[[#This Row],[Core Consumer Price Index]]="",#N/A,((Tabela1[[#This Row],[Core Consumer Price Index]]*1)/E683)-1)</f>
        <v>1.5487867836860847E-3</v>
      </c>
      <c r="G684" s="8">
        <f>IF(Tabela1[[#This Row],[Core Consumer Price Index]]="",#N/A,((Tabela1[[#This Row],[Core Consumer Price Index]]*1)/E672)-1)</f>
        <v>1.3054830287206221E-2</v>
      </c>
      <c r="H684" s="8">
        <f t="shared" si="34"/>
        <v>1.2397767490790912E-2</v>
      </c>
      <c r="I684" s="8">
        <f t="shared" si="35"/>
        <v>1.553661225700953E-2</v>
      </c>
      <c r="J684" s="25">
        <v>218.4</v>
      </c>
      <c r="K684" s="8">
        <f>IF(Tabela1[[#This Row],[Services CPI]]="",#N/A,((Tabela1[[#This Row],[Services CPI]]*1)/J683)-1)</f>
        <v>2.7548209366390353E-3</v>
      </c>
      <c r="L684" s="8">
        <f>IF(Tabela1[[#This Row],[Services CPI]]="",#N/A,((Tabela1[[#This Row],[Services CPI]]*1)/J672)-1)</f>
        <v>3.1648559282002831E-2</v>
      </c>
      <c r="M684" s="7">
        <v>225.7</v>
      </c>
      <c r="N684" s="8">
        <f>IF(Tabela1[[#This Row],[Core-Services CPI]]="",#N/A,((Tabela1[[#This Row],[Core-Services CPI]]*1)/M683)-1)</f>
        <v>3.5571365051132453E-3</v>
      </c>
      <c r="O684" s="8">
        <f>IF(Tabela1[[#This Row],[Core-Services CPI]]="",#N/A,((Tabela1[[#This Row],[Core-Services CPI]]*1)/M672)-1)</f>
        <v>2.8246013667425851E-2</v>
      </c>
      <c r="P684" s="7">
        <v>115.5</v>
      </c>
      <c r="Q684" s="8">
        <f>IF(Tabela1[[#This Row],[Durable Goods CPI]]="",#N/A,((Tabela1[[#This Row],[Durable Goods CPI]]*1)/P683)-1)</f>
        <v>-6.0240963855422436E-3</v>
      </c>
      <c r="R684" s="8">
        <f>IF(Tabela1[[#This Row],[Durable Goods CPI]]="",#N/A,((Tabela1[[#This Row],[Durable Goods CPI]]*1)/P672)-1)</f>
        <v>-4.4665012406947979E-2</v>
      </c>
      <c r="S684" s="7">
        <v>2.1655338</v>
      </c>
      <c r="T684" s="7">
        <v>78.332999999999998</v>
      </c>
      <c r="U684" s="8">
        <f>IF(Tabela1[[#This Row],[Personal Consumption Expenditures (PCE)]]="",#N/A,((Tabela1[[#This Row],[Personal Consumption Expenditures (PCE)]]*1)/T683)-1)</f>
        <v>1.2767641688915532E-4</v>
      </c>
      <c r="V684" s="8">
        <f>IF(Tabela1[[#This Row],[Personal Consumption Expenditures (PCE)]]="",#N/A,((Tabela1[[#This Row],[Personal Consumption Expenditures (PCE)]]*1)/T672)-1)</f>
        <v>1.9682118170812668E-2</v>
      </c>
      <c r="W684" s="7">
        <v>79.260000000000005</v>
      </c>
      <c r="X684" s="8">
        <f>IF(Tabela1[[#This Row],[Core PCE]]="",#N/A,((Tabela1[[#This Row],[Core PCE]]*1)/W683)-1)</f>
        <v>1.845438228379237E-3</v>
      </c>
      <c r="Y684" s="8">
        <f>IF(Tabela1[[#This Row],[Core PCE]]="",#N/A,((Tabela1[[#This Row],[Core PCE]]*1)/W672)-1)</f>
        <v>1.5659037904610651E-2</v>
      </c>
      <c r="Z684" s="8">
        <f t="shared" si="37"/>
        <v>1.7462274093200669E-2</v>
      </c>
      <c r="AA684" s="8">
        <f t="shared" si="36"/>
        <v>1.7731630768342832E-2</v>
      </c>
      <c r="AB684" s="7">
        <v>1.73</v>
      </c>
      <c r="AC684" s="7"/>
      <c r="AD684" s="8"/>
      <c r="AE684" s="71"/>
      <c r="AF684" s="7">
        <v>2.6</v>
      </c>
      <c r="AG684" s="5"/>
    </row>
    <row r="685" spans="1:33" ht="12.75">
      <c r="A685" s="6">
        <v>37926</v>
      </c>
      <c r="B685" s="7">
        <v>185</v>
      </c>
      <c r="C685" s="8">
        <f>IF(Tabela1[[#This Row],[Consumer Price Index (CPI)]]="",#N/A,((Tabela1[[#This Row],[Consumer Price Index (CPI)]]*1)/B684)-1)</f>
        <v>5.4083288263928608E-4</v>
      </c>
      <c r="D685" s="8">
        <f>IF(Tabela1[[#This Row],[Consumer Price Index (CPI)]]="",#N/A,((Tabela1[[#This Row],[Consumer Price Index (CPI)]]*1)/B673)-1)</f>
        <v>1.9283746556473913E-2</v>
      </c>
      <c r="E685" s="25">
        <v>194</v>
      </c>
      <c r="F685" s="8">
        <f>IF(Tabela1[[#This Row],[Core Consumer Price Index]]="",#N/A,((Tabela1[[#This Row],[Core Consumer Price Index]]*1)/E684)-1)</f>
        <v>0</v>
      </c>
      <c r="G685" s="8">
        <f>IF(Tabela1[[#This Row],[Core Consumer Price Index]]="",#N/A,((Tabela1[[#This Row],[Core Consumer Price Index]]*1)/E673)-1)</f>
        <v>1.0943199583116181E-2</v>
      </c>
      <c r="H685" s="8">
        <f t="shared" si="34"/>
        <v>8.2612628372231711E-3</v>
      </c>
      <c r="I685" s="8">
        <f t="shared" si="35"/>
        <v>1.1380768101165284E-2</v>
      </c>
      <c r="J685" s="25">
        <v>218.6</v>
      </c>
      <c r="K685" s="8">
        <f>IF(Tabela1[[#This Row],[Services CPI]]="",#N/A,((Tabela1[[#This Row],[Services CPI]]*1)/J684)-1)</f>
        <v>9.157509157509125E-4</v>
      </c>
      <c r="L685" s="8">
        <f>IF(Tabela1[[#This Row],[Services CPI]]="",#N/A,((Tabela1[[#This Row],[Services CPI]]*1)/J673)-1)</f>
        <v>2.9190207156308823E-2</v>
      </c>
      <c r="M685" s="7">
        <v>226</v>
      </c>
      <c r="N685" s="8">
        <f>IF(Tabela1[[#This Row],[Core-Services CPI]]="",#N/A,((Tabela1[[#This Row],[Core-Services CPI]]*1)/M684)-1)</f>
        <v>1.3291980505096834E-3</v>
      </c>
      <c r="O685" s="8">
        <f>IF(Tabela1[[#This Row],[Core-Services CPI]]="",#N/A,((Tabela1[[#This Row],[Core-Services CPI]]*1)/M673)-1)</f>
        <v>2.6339691189827485E-2</v>
      </c>
      <c r="P685" s="7">
        <v>115.1</v>
      </c>
      <c r="Q685" s="8">
        <f>IF(Tabela1[[#This Row],[Durable Goods CPI]]="",#N/A,((Tabela1[[#This Row],[Durable Goods CPI]]*1)/P684)-1)</f>
        <v>-3.4632034632035014E-3</v>
      </c>
      <c r="R685" s="8">
        <f>IF(Tabela1[[#This Row],[Durable Goods CPI]]="",#N/A,((Tabela1[[#This Row],[Durable Goods CPI]]*1)/P673)-1)</f>
        <v>-4.401993355481737E-2</v>
      </c>
      <c r="S685" s="7">
        <v>2.1842475000000001</v>
      </c>
      <c r="T685" s="7">
        <v>78.432000000000002</v>
      </c>
      <c r="U685" s="8">
        <f>IF(Tabela1[[#This Row],[Personal Consumption Expenditures (PCE)]]="",#N/A,((Tabela1[[#This Row],[Personal Consumption Expenditures (PCE)]]*1)/T684)-1)</f>
        <v>1.2638351652560775E-3</v>
      </c>
      <c r="V685" s="8">
        <f>IF(Tabela1[[#This Row],[Personal Consumption Expenditures (PCE)]]="",#N/A,((Tabela1[[#This Row],[Personal Consumption Expenditures (PCE)]]*1)/T673)-1)</f>
        <v>1.996176703902619E-2</v>
      </c>
      <c r="W685" s="7">
        <v>79.367999999999995</v>
      </c>
      <c r="X685" s="8">
        <f>IF(Tabela1[[#This Row],[Core PCE]]="",#N/A,((Tabela1[[#This Row],[Core PCE]]*1)/W684)-1)</f>
        <v>1.3626040878120804E-3</v>
      </c>
      <c r="Y685" s="8">
        <f>IF(Tabela1[[#This Row],[Core PCE]]="",#N/A,((Tabela1[[#This Row],[Core PCE]]*1)/W673)-1)</f>
        <v>1.6053460327213998E-2</v>
      </c>
      <c r="Z685" s="8">
        <f t="shared" si="37"/>
        <v>1.8401507526118799E-2</v>
      </c>
      <c r="AA685" s="8">
        <f t="shared" si="36"/>
        <v>1.7580093485024317E-2</v>
      </c>
      <c r="AB685" s="7">
        <v>1.74</v>
      </c>
      <c r="AC685" s="7"/>
      <c r="AD685" s="8"/>
      <c r="AE685" s="71"/>
      <c r="AF685" s="7">
        <v>2.7</v>
      </c>
      <c r="AG685" s="5"/>
    </row>
    <row r="686" spans="1:33" ht="12.75">
      <c r="A686" s="6">
        <v>37956</v>
      </c>
      <c r="B686" s="7">
        <v>185.5</v>
      </c>
      <c r="C686" s="8">
        <f>IF(Tabela1[[#This Row],[Consumer Price Index (CPI)]]="",#N/A,((Tabela1[[#This Row],[Consumer Price Index (CPI)]]*1)/B685)-1)</f>
        <v>2.7027027027026751E-3</v>
      </c>
      <c r="D686" s="8">
        <f>IF(Tabela1[[#This Row],[Consumer Price Index (CPI)]]="",#N/A,((Tabela1[[#This Row],[Consumer Price Index (CPI)]]*1)/B674)-1)</f>
        <v>2.0352035203520247E-2</v>
      </c>
      <c r="E686" s="25">
        <v>194.2</v>
      </c>
      <c r="F686" s="8">
        <f>IF(Tabela1[[#This Row],[Core Consumer Price Index]]="",#N/A,((Tabela1[[#This Row],[Core Consumer Price Index]]*1)/E685)-1)</f>
        <v>1.0309278350515427E-3</v>
      </c>
      <c r="G686" s="8">
        <f>IF(Tabela1[[#This Row],[Core Consumer Price Index]]="",#N/A,((Tabela1[[#This Row],[Core Consumer Price Index]]*1)/E674)-1)</f>
        <v>1.0931806350858997E-2</v>
      </c>
      <c r="H686" s="8">
        <f t="shared" si="34"/>
        <v>1.031885847495051E-2</v>
      </c>
      <c r="I686" s="8">
        <f t="shared" si="35"/>
        <v>1.2405817135705988E-2</v>
      </c>
      <c r="J686" s="25">
        <v>219</v>
      </c>
      <c r="K686" s="8">
        <f>IF(Tabela1[[#This Row],[Services CPI]]="",#N/A,((Tabela1[[#This Row],[Services CPI]]*1)/J685)-1)</f>
        <v>1.8298261665141702E-3</v>
      </c>
      <c r="L686" s="8">
        <f>IF(Tabela1[[#This Row],[Services CPI]]="",#N/A,((Tabela1[[#This Row],[Services CPI]]*1)/J674)-1)</f>
        <v>2.8169014084507005E-2</v>
      </c>
      <c r="M686" s="7">
        <v>226.5</v>
      </c>
      <c r="N686" s="8">
        <f>IF(Tabela1[[#This Row],[Core-Services CPI]]="",#N/A,((Tabela1[[#This Row],[Core-Services CPI]]*1)/M685)-1)</f>
        <v>2.2123893805310324E-3</v>
      </c>
      <c r="O686" s="8">
        <f>IF(Tabela1[[#This Row],[Core-Services CPI]]="",#N/A,((Tabela1[[#This Row],[Core-Services CPI]]*1)/M674)-1)</f>
        <v>2.6280018124150484E-2</v>
      </c>
      <c r="P686" s="7">
        <v>114.9</v>
      </c>
      <c r="Q686" s="8">
        <f>IF(Tabela1[[#This Row],[Durable Goods CPI]]="",#N/A,((Tabela1[[#This Row],[Durable Goods CPI]]*1)/P685)-1)</f>
        <v>-1.7376194613378804E-3</v>
      </c>
      <c r="R686" s="8">
        <f>IF(Tabela1[[#This Row],[Durable Goods CPI]]="",#N/A,((Tabela1[[#This Row],[Durable Goods CPI]]*1)/P674)-1)</f>
        <v>-4.2499999999999982E-2</v>
      </c>
      <c r="S686" s="7">
        <v>2.1611132999999998</v>
      </c>
      <c r="T686" s="7">
        <v>78.605000000000004</v>
      </c>
      <c r="U686" s="8">
        <f>IF(Tabela1[[#This Row],[Personal Consumption Expenditures (PCE)]]="",#N/A,((Tabela1[[#This Row],[Personal Consumption Expenditures (PCE)]]*1)/T685)-1)</f>
        <v>2.2057323541411211E-3</v>
      </c>
      <c r="V686" s="8">
        <f>IF(Tabela1[[#This Row],[Personal Consumption Expenditures (PCE)]]="",#N/A,((Tabela1[[#This Row],[Personal Consumption Expenditures (PCE)]]*1)/T674)-1)</f>
        <v>2.1228774473502909E-2</v>
      </c>
      <c r="W686" s="7">
        <v>79.466999999999999</v>
      </c>
      <c r="X686" s="8">
        <f>IF(Tabela1[[#This Row],[Core PCE]]="",#N/A,((Tabela1[[#This Row],[Core PCE]]*1)/W685)-1)</f>
        <v>1.2473540973692021E-3</v>
      </c>
      <c r="Y686" s="8">
        <f>IF(Tabela1[[#This Row],[Core PCE]]="",#N/A,((Tabela1[[#This Row],[Core PCE]]*1)/W674)-1)</f>
        <v>1.6371007968076556E-2</v>
      </c>
      <c r="Z686" s="8">
        <f t="shared" si="37"/>
        <v>1.7821585654242078E-2</v>
      </c>
      <c r="AA686" s="8">
        <f t="shared" si="36"/>
        <v>1.8956261882625114E-2</v>
      </c>
      <c r="AB686" s="7">
        <v>1.74</v>
      </c>
      <c r="AC686" s="7"/>
      <c r="AD686" s="8"/>
      <c r="AE686" s="71"/>
      <c r="AF686" s="7">
        <v>2.6</v>
      </c>
      <c r="AG686" s="5"/>
    </row>
    <row r="687" spans="1:33" ht="12.75">
      <c r="A687" s="6">
        <v>37987</v>
      </c>
      <c r="B687" s="7">
        <v>186.3</v>
      </c>
      <c r="C687" s="8">
        <f>IF(Tabela1[[#This Row],[Consumer Price Index (CPI)]]="",#N/A,((Tabela1[[#This Row],[Consumer Price Index (CPI)]]*1)/B686)-1)</f>
        <v>4.3126684636118906E-3</v>
      </c>
      <c r="D687" s="8">
        <f>IF(Tabela1[[#This Row],[Consumer Price Index (CPI)]]="",#N/A,((Tabela1[[#This Row],[Consumer Price Index (CPI)]]*1)/B675)-1)</f>
        <v>2.0262869660460092E-2</v>
      </c>
      <c r="E687" s="25">
        <v>194.6</v>
      </c>
      <c r="F687" s="8">
        <f>IF(Tabela1[[#This Row],[Core Consumer Price Index]]="",#N/A,((Tabela1[[#This Row],[Core Consumer Price Index]]*1)/E686)-1)</f>
        <v>2.059732234809486E-3</v>
      </c>
      <c r="G687" s="8">
        <f>IF(Tabela1[[#This Row],[Core Consumer Price Index]]="",#N/A,((Tabela1[[#This Row],[Core Consumer Price Index]]*1)/E675)-1)</f>
        <v>1.1434511434511352E-2</v>
      </c>
      <c r="H687" s="8">
        <f t="shared" si="34"/>
        <v>1.2362640279444115E-2</v>
      </c>
      <c r="I687" s="8">
        <f t="shared" si="35"/>
        <v>1.2380203885117513E-2</v>
      </c>
      <c r="J687" s="25">
        <v>219.7</v>
      </c>
      <c r="K687" s="8">
        <f>IF(Tabela1[[#This Row],[Services CPI]]="",#N/A,((Tabela1[[#This Row],[Services CPI]]*1)/J686)-1)</f>
        <v>3.1963470319633647E-3</v>
      </c>
      <c r="L687" s="8">
        <f>IF(Tabela1[[#This Row],[Services CPI]]="",#N/A,((Tabela1[[#This Row],[Services CPI]]*1)/J675)-1)</f>
        <v>2.8076743097800616E-2</v>
      </c>
      <c r="M687" s="7">
        <v>227.1</v>
      </c>
      <c r="N687" s="8">
        <f>IF(Tabela1[[#This Row],[Core-Services CPI]]="",#N/A,((Tabela1[[#This Row],[Core-Services CPI]]*1)/M686)-1)</f>
        <v>2.6490066225164366E-3</v>
      </c>
      <c r="O687" s="8">
        <f>IF(Tabela1[[#This Row],[Core-Services CPI]]="",#N/A,((Tabela1[[#This Row],[Core-Services CPI]]*1)/M675)-1)</f>
        <v>2.5282167042889325E-2</v>
      </c>
      <c r="P687" s="7">
        <v>114.8</v>
      </c>
      <c r="Q687" s="8">
        <f>IF(Tabela1[[#This Row],[Durable Goods CPI]]="",#N/A,((Tabela1[[#This Row],[Durable Goods CPI]]*1)/P686)-1)</f>
        <v>-8.7032201914716278E-4</v>
      </c>
      <c r="R687" s="8">
        <f>IF(Tabela1[[#This Row],[Durable Goods CPI]]="",#N/A,((Tabela1[[#This Row],[Durable Goods CPI]]*1)/P675)-1)</f>
        <v>-3.9330543933054463E-2</v>
      </c>
      <c r="S687" s="7">
        <v>2.0365931000000002</v>
      </c>
      <c r="T687" s="7">
        <v>78.909000000000006</v>
      </c>
      <c r="U687" s="8">
        <f>IF(Tabela1[[#This Row],[Personal Consumption Expenditures (PCE)]]="",#N/A,((Tabela1[[#This Row],[Personal Consumption Expenditures (PCE)]]*1)/T686)-1)</f>
        <v>3.8674384581134369E-3</v>
      </c>
      <c r="V687" s="8">
        <f>IF(Tabela1[[#This Row],[Personal Consumption Expenditures (PCE)]]="",#N/A,((Tabela1[[#This Row],[Personal Consumption Expenditures (PCE)]]*1)/T675)-1)</f>
        <v>2.2124065750443789E-2</v>
      </c>
      <c r="W687" s="7">
        <v>79.671000000000006</v>
      </c>
      <c r="X687" s="8">
        <f>IF(Tabela1[[#This Row],[Core PCE]]="",#N/A,((Tabela1[[#This Row],[Core PCE]]*1)/W686)-1)</f>
        <v>2.567103325908926E-3</v>
      </c>
      <c r="Y687" s="8">
        <f>IF(Tabela1[[#This Row],[Core PCE]]="",#N/A,((Tabela1[[#This Row],[Core PCE]]*1)/W675)-1)</f>
        <v>1.8289877300613711E-2</v>
      </c>
      <c r="Z687" s="8">
        <f t="shared" si="37"/>
        <v>2.0708246044360834E-2</v>
      </c>
      <c r="AA687" s="8">
        <f t="shared" si="36"/>
        <v>1.9085260068780752E-2</v>
      </c>
      <c r="AB687" s="7">
        <v>1.81</v>
      </c>
      <c r="AC687" s="7"/>
      <c r="AD687" s="8"/>
      <c r="AE687" s="71"/>
      <c r="AF687" s="7">
        <v>2.7</v>
      </c>
      <c r="AG687" s="5"/>
    </row>
    <row r="688" spans="1:33" ht="12.75">
      <c r="A688" s="6">
        <v>38018</v>
      </c>
      <c r="B688" s="7">
        <v>186.7</v>
      </c>
      <c r="C688" s="8">
        <f>IF(Tabela1[[#This Row],[Consumer Price Index (CPI)]]="",#N/A,((Tabela1[[#This Row],[Consumer Price Index (CPI)]]*1)/B687)-1)</f>
        <v>2.1470746108425143E-3</v>
      </c>
      <c r="D688" s="8">
        <f>IF(Tabela1[[#This Row],[Consumer Price Index (CPI)]]="",#N/A,((Tabela1[[#This Row],[Consumer Price Index (CPI)]]*1)/B676)-1)</f>
        <v>1.6884531590413809E-2</v>
      </c>
      <c r="E688" s="25">
        <v>194.9</v>
      </c>
      <c r="F688" s="8">
        <f>IF(Tabela1[[#This Row],[Core Consumer Price Index]]="",#N/A,((Tabela1[[#This Row],[Core Consumer Price Index]]*1)/E687)-1)</f>
        <v>1.5416238437822027E-3</v>
      </c>
      <c r="G688" s="8">
        <f>IF(Tabela1[[#This Row],[Core Consumer Price Index]]="",#N/A,((Tabela1[[#This Row],[Core Consumer Price Index]]*1)/E676)-1)</f>
        <v>1.2467532467532516E-2</v>
      </c>
      <c r="H688" s="8">
        <f t="shared" si="34"/>
        <v>1.8529135654572926E-2</v>
      </c>
      <c r="I688" s="8">
        <f t="shared" si="35"/>
        <v>1.3395199245898048E-2</v>
      </c>
      <c r="J688" s="25">
        <v>220.1</v>
      </c>
      <c r="K688" s="8">
        <f>IF(Tabela1[[#This Row],[Services CPI]]="",#N/A,((Tabela1[[#This Row],[Services CPI]]*1)/J687)-1)</f>
        <v>1.8206645425580259E-3</v>
      </c>
      <c r="L688" s="8">
        <f>IF(Tabela1[[#This Row],[Services CPI]]="",#N/A,((Tabela1[[#This Row],[Services CPI]]*1)/J676)-1)</f>
        <v>2.7544351073762963E-2</v>
      </c>
      <c r="M688" s="7">
        <v>227.4</v>
      </c>
      <c r="N688" s="8">
        <f>IF(Tabela1[[#This Row],[Core-Services CPI]]="",#N/A,((Tabela1[[#This Row],[Core-Services CPI]]*1)/M687)-1)</f>
        <v>1.3210039630120463E-3</v>
      </c>
      <c r="O688" s="8">
        <f>IF(Tabela1[[#This Row],[Core-Services CPI]]="",#N/A,((Tabela1[[#This Row],[Core-Services CPI]]*1)/M676)-1)</f>
        <v>2.5247971145175852E-2</v>
      </c>
      <c r="P688" s="7">
        <v>114.9</v>
      </c>
      <c r="Q688" s="8">
        <f>IF(Tabela1[[#This Row],[Durable Goods CPI]]="",#N/A,((Tabela1[[#This Row],[Durable Goods CPI]]*1)/P687)-1)</f>
        <v>8.7108013937298168E-4</v>
      </c>
      <c r="R688" s="8">
        <f>IF(Tabela1[[#This Row],[Durable Goods CPI]]="",#N/A,((Tabela1[[#This Row],[Durable Goods CPI]]*1)/P676)-1)</f>
        <v>-3.6881810561609329E-2</v>
      </c>
      <c r="S688" s="7">
        <v>1.976213</v>
      </c>
      <c r="T688" s="7">
        <v>79.076999999999998</v>
      </c>
      <c r="U688" s="8">
        <f>IF(Tabela1[[#This Row],[Personal Consumption Expenditures (PCE)]]="",#N/A,((Tabela1[[#This Row],[Personal Consumption Expenditures (PCE)]]*1)/T687)-1)</f>
        <v>2.1290347108693375E-3</v>
      </c>
      <c r="V688" s="8">
        <f>IF(Tabela1[[#This Row],[Personal Consumption Expenditures (PCE)]]="",#N/A,((Tabela1[[#This Row],[Personal Consumption Expenditures (PCE)]]*1)/T676)-1)</f>
        <v>2.000619147124838E-2</v>
      </c>
      <c r="W688" s="7">
        <v>79.8</v>
      </c>
      <c r="X688" s="8">
        <f>IF(Tabela1[[#This Row],[Core PCE]]="",#N/A,((Tabela1[[#This Row],[Core PCE]]*1)/W687)-1)</f>
        <v>1.6191587905258764E-3</v>
      </c>
      <c r="Y688" s="8">
        <f>IF(Tabela1[[#This Row],[Core PCE]]="",#N/A,((Tabela1[[#This Row],[Core PCE]]*1)/W676)-1)</f>
        <v>1.8532700260376789E-2</v>
      </c>
      <c r="Z688" s="8">
        <f t="shared" si="37"/>
        <v>2.1734464855216018E-2</v>
      </c>
      <c r="AA688" s="8">
        <f t="shared" si="36"/>
        <v>2.0067986190667408E-2</v>
      </c>
      <c r="AB688" s="7">
        <v>1.88</v>
      </c>
      <c r="AC688" s="7"/>
      <c r="AD688" s="8"/>
      <c r="AE688" s="71"/>
      <c r="AF688" s="7">
        <v>2.6</v>
      </c>
      <c r="AG688" s="5"/>
    </row>
    <row r="689" spans="1:33" ht="12.75">
      <c r="A689" s="6">
        <v>38047</v>
      </c>
      <c r="B689" s="7">
        <v>187.1</v>
      </c>
      <c r="C689" s="8">
        <f>IF(Tabela1[[#This Row],[Consumer Price Index (CPI)]]="",#N/A,((Tabela1[[#This Row],[Consumer Price Index (CPI)]]*1)/B688)-1)</f>
        <v>2.1424745581146709E-3</v>
      </c>
      <c r="D689" s="8">
        <f>IF(Tabela1[[#This Row],[Consumer Price Index (CPI)]]="",#N/A,((Tabela1[[#This Row],[Consumer Price Index (CPI)]]*1)/B677)-1)</f>
        <v>1.7400761283306032E-2</v>
      </c>
      <c r="E689" s="25">
        <v>195.5</v>
      </c>
      <c r="F689" s="8">
        <f>IF(Tabela1[[#This Row],[Core Consumer Price Index]]="",#N/A,((Tabela1[[#This Row],[Core Consumer Price Index]]*1)/E688)-1)</f>
        <v>3.0785017957926097E-3</v>
      </c>
      <c r="G689" s="8">
        <f>IF(Tabela1[[#This Row],[Core Consumer Price Index]]="",#N/A,((Tabela1[[#This Row],[Core Consumer Price Index]]*1)/E677)-1)</f>
        <v>1.558441558441559E-2</v>
      </c>
      <c r="H689" s="8">
        <f t="shared" si="34"/>
        <v>2.6719431497537194E-2</v>
      </c>
      <c r="I689" s="8">
        <f t="shared" si="35"/>
        <v>1.8519144986243852E-2</v>
      </c>
      <c r="J689" s="25">
        <v>220.8</v>
      </c>
      <c r="K689" s="8">
        <f>IF(Tabela1[[#This Row],[Services CPI]]="",#N/A,((Tabela1[[#This Row],[Services CPI]]*1)/J688)-1)</f>
        <v>3.180372557928246E-3</v>
      </c>
      <c r="L689" s="8">
        <f>IF(Tabela1[[#This Row],[Services CPI]]="",#N/A,((Tabela1[[#This Row],[Services CPI]]*1)/J677)-1)</f>
        <v>2.6976744186046675E-2</v>
      </c>
      <c r="M689" s="7">
        <v>228.3</v>
      </c>
      <c r="N689" s="8">
        <f>IF(Tabela1[[#This Row],[Core-Services CPI]]="",#N/A,((Tabela1[[#This Row],[Core-Services CPI]]*1)/M688)-1)</f>
        <v>3.9577836411610612E-3</v>
      </c>
      <c r="O689" s="8">
        <f>IF(Tabela1[[#This Row],[Core-Services CPI]]="",#N/A,((Tabela1[[#This Row],[Core-Services CPI]]*1)/M677)-1)</f>
        <v>2.8378378378378422E-2</v>
      </c>
      <c r="P689" s="7">
        <v>114.8</v>
      </c>
      <c r="Q689" s="8">
        <f>IF(Tabela1[[#This Row],[Durable Goods CPI]]="",#N/A,((Tabela1[[#This Row],[Durable Goods CPI]]*1)/P688)-1)</f>
        <v>-8.7032201914716278E-4</v>
      </c>
      <c r="R689" s="8">
        <f>IF(Tabela1[[#This Row],[Durable Goods CPI]]="",#N/A,((Tabela1[[#This Row],[Durable Goods CPI]]*1)/P677)-1)</f>
        <v>-3.7720033528918728E-2</v>
      </c>
      <c r="S689" s="7">
        <v>1.9607228999999999</v>
      </c>
      <c r="T689" s="7">
        <v>79.198999999999998</v>
      </c>
      <c r="U689" s="8">
        <f>IF(Tabela1[[#This Row],[Personal Consumption Expenditures (PCE)]]="",#N/A,((Tabela1[[#This Row],[Personal Consumption Expenditures (PCE)]]*1)/T688)-1)</f>
        <v>1.5428000556418908E-3</v>
      </c>
      <c r="V689" s="8">
        <f>IF(Tabela1[[#This Row],[Personal Consumption Expenditures (PCE)]]="",#N/A,((Tabela1[[#This Row],[Personal Consumption Expenditures (PCE)]]*1)/T677)-1)</f>
        <v>1.8964297201672586E-2</v>
      </c>
      <c r="W689" s="7">
        <v>79.933999999999997</v>
      </c>
      <c r="X689" s="8">
        <f>IF(Tabela1[[#This Row],[Core PCE]]="",#N/A,((Tabela1[[#This Row],[Core PCE]]*1)/W688)-1)</f>
        <v>1.6791979949875024E-3</v>
      </c>
      <c r="Y689" s="8">
        <f>IF(Tabela1[[#This Row],[Core PCE]]="",#N/A,((Tabela1[[#This Row],[Core PCE]]*1)/W677)-1)</f>
        <v>1.8604888243239692E-2</v>
      </c>
      <c r="Z689" s="8">
        <f t="shared" si="37"/>
        <v>2.3461840445689219E-2</v>
      </c>
      <c r="AA689" s="8">
        <f t="shared" si="36"/>
        <v>2.0641713049965649E-2</v>
      </c>
      <c r="AB689" s="7">
        <v>1.88</v>
      </c>
      <c r="AC689" s="7"/>
      <c r="AD689" s="8"/>
      <c r="AE689" s="71"/>
      <c r="AF689" s="7">
        <v>2.9</v>
      </c>
      <c r="AG689" s="5"/>
    </row>
    <row r="690" spans="1:33" ht="12.75">
      <c r="A690" s="6">
        <v>38078</v>
      </c>
      <c r="B690" s="7">
        <v>187.4</v>
      </c>
      <c r="C690" s="8">
        <f>IF(Tabela1[[#This Row],[Consumer Price Index (CPI)]]="",#N/A,((Tabela1[[#This Row],[Consumer Price Index (CPI)]]*1)/B689)-1)</f>
        <v>1.6034206306787535E-3</v>
      </c>
      <c r="D690" s="8">
        <f>IF(Tabela1[[#This Row],[Consumer Price Index (CPI)]]="",#N/A,((Tabela1[[#This Row],[Consumer Price Index (CPI)]]*1)/B678)-1)</f>
        <v>2.2925764192139875E-2</v>
      </c>
      <c r="E690" s="25">
        <v>195.9</v>
      </c>
      <c r="F690" s="8">
        <f>IF(Tabela1[[#This Row],[Core Consumer Price Index]]="",#N/A,((Tabela1[[#This Row],[Core Consumer Price Index]]*1)/E689)-1)</f>
        <v>2.0460358056266781E-3</v>
      </c>
      <c r="G690" s="8">
        <f>IF(Tabela1[[#This Row],[Core Consumer Price Index]]="",#N/A,((Tabela1[[#This Row],[Core Consumer Price Index]]*1)/E678)-1)</f>
        <v>1.7662337662337713E-2</v>
      </c>
      <c r="H690" s="8">
        <f t="shared" si="34"/>
        <v>2.6664645780805962E-2</v>
      </c>
      <c r="I690" s="8">
        <f t="shared" si="35"/>
        <v>1.9513643030125039E-2</v>
      </c>
      <c r="J690" s="25">
        <v>221.4</v>
      </c>
      <c r="K690" s="8">
        <f>IF(Tabela1[[#This Row],[Services CPI]]="",#N/A,((Tabela1[[#This Row],[Services CPI]]*1)/J689)-1)</f>
        <v>2.7173913043478937E-3</v>
      </c>
      <c r="L690" s="8">
        <f>IF(Tabela1[[#This Row],[Services CPI]]="",#N/A,((Tabela1[[#This Row],[Services CPI]]*1)/J678)-1)</f>
        <v>2.9288702928870425E-2</v>
      </c>
      <c r="M690" s="7">
        <v>229</v>
      </c>
      <c r="N690" s="8">
        <f>IF(Tabela1[[#This Row],[Core-Services CPI]]="",#N/A,((Tabela1[[#This Row],[Core-Services CPI]]*1)/M689)-1)</f>
        <v>3.0661410424879243E-3</v>
      </c>
      <c r="O690" s="8">
        <f>IF(Tabela1[[#This Row],[Core-Services CPI]]="",#N/A,((Tabela1[[#This Row],[Core-Services CPI]]*1)/M678)-1)</f>
        <v>3.0603060306030549E-2</v>
      </c>
      <c r="P690" s="7">
        <v>114.7</v>
      </c>
      <c r="Q690" s="8">
        <f>IF(Tabela1[[#This Row],[Durable Goods CPI]]="",#N/A,((Tabela1[[#This Row],[Durable Goods CPI]]*1)/P689)-1)</f>
        <v>-8.7108013937275963E-4</v>
      </c>
      <c r="R690" s="8">
        <f>IF(Tabela1[[#This Row],[Durable Goods CPI]]="",#N/A,((Tabela1[[#This Row],[Durable Goods CPI]]*1)/P678)-1)</f>
        <v>-3.6134453781512588E-2</v>
      </c>
      <c r="S690" s="7">
        <v>2.0481367000000001</v>
      </c>
      <c r="T690" s="7">
        <v>79.346000000000004</v>
      </c>
      <c r="U690" s="8">
        <f>IF(Tabela1[[#This Row],[Personal Consumption Expenditures (PCE)]]="",#N/A,((Tabela1[[#This Row],[Personal Consumption Expenditures (PCE)]]*1)/T689)-1)</f>
        <v>1.8560840414652002E-3</v>
      </c>
      <c r="V690" s="8">
        <f>IF(Tabela1[[#This Row],[Personal Consumption Expenditures (PCE)]]="",#N/A,((Tabela1[[#This Row],[Personal Consumption Expenditures (PCE)]]*1)/T678)-1)</f>
        <v>2.2592244145734686E-2</v>
      </c>
      <c r="W690" s="7">
        <v>80.141999999999996</v>
      </c>
      <c r="X690" s="8">
        <f>IF(Tabela1[[#This Row],[Core PCE]]="",#N/A,((Tabela1[[#This Row],[Core PCE]]*1)/W689)-1)</f>
        <v>2.6021467710861668E-3</v>
      </c>
      <c r="Y690" s="8">
        <f>IF(Tabela1[[#This Row],[Core PCE]]="",#N/A,((Tabela1[[#This Row],[Core PCE]]*1)/W678)-1)</f>
        <v>2.0124489250391342E-2</v>
      </c>
      <c r="Z690" s="8">
        <f t="shared" si="37"/>
        <v>2.3602014226398182E-2</v>
      </c>
      <c r="AA690" s="8">
        <f t="shared" si="36"/>
        <v>2.2155130135379508E-2</v>
      </c>
      <c r="AB690" s="7">
        <v>2.11</v>
      </c>
      <c r="AC690" s="7"/>
      <c r="AD690" s="8"/>
      <c r="AE690" s="71"/>
      <c r="AF690" s="7">
        <v>3.2</v>
      </c>
      <c r="AG690" s="5"/>
    </row>
    <row r="691" spans="1:33" ht="12.75">
      <c r="A691" s="6">
        <v>38108</v>
      </c>
      <c r="B691" s="7">
        <v>188.2</v>
      </c>
      <c r="C691" s="8">
        <f>IF(Tabela1[[#This Row],[Consumer Price Index (CPI)]]="",#N/A,((Tabela1[[#This Row],[Consumer Price Index (CPI)]]*1)/B690)-1)</f>
        <v>4.2689434364993062E-3</v>
      </c>
      <c r="D691" s="8">
        <f>IF(Tabela1[[#This Row],[Consumer Price Index (CPI)]]="",#N/A,((Tabela1[[#This Row],[Consumer Price Index (CPI)]]*1)/B679)-1)</f>
        <v>2.8977583378895444E-2</v>
      </c>
      <c r="E691" s="25">
        <v>196.2</v>
      </c>
      <c r="F691" s="8">
        <f>IF(Tabela1[[#This Row],[Core Consumer Price Index]]="",#N/A,((Tabela1[[#This Row],[Core Consumer Price Index]]*1)/E690)-1)</f>
        <v>1.5313935681469104E-3</v>
      </c>
      <c r="G691" s="8">
        <f>IF(Tabela1[[#This Row],[Core Consumer Price Index]]="",#N/A,((Tabela1[[#This Row],[Core Consumer Price Index]]*1)/E679)-1)</f>
        <v>1.7107309486780631E-2</v>
      </c>
      <c r="H691" s="8">
        <f t="shared" si="34"/>
        <v>2.6623724678264793E-2</v>
      </c>
      <c r="I691" s="8">
        <f t="shared" si="35"/>
        <v>2.2576430166418859E-2</v>
      </c>
      <c r="J691" s="25">
        <v>221.9</v>
      </c>
      <c r="K691" s="8">
        <f>IF(Tabela1[[#This Row],[Services CPI]]="",#N/A,((Tabela1[[#This Row],[Services CPI]]*1)/J690)-1)</f>
        <v>2.258355916892496E-3</v>
      </c>
      <c r="L691" s="8">
        <f>IF(Tabela1[[#This Row],[Services CPI]]="",#N/A,((Tabela1[[#This Row],[Services CPI]]*1)/J679)-1)</f>
        <v>2.7314814814814792E-2</v>
      </c>
      <c r="M691" s="7">
        <v>229.5</v>
      </c>
      <c r="N691" s="8">
        <f>IF(Tabela1[[#This Row],[Core-Services CPI]]="",#N/A,((Tabela1[[#This Row],[Core-Services CPI]]*1)/M690)-1)</f>
        <v>2.1834061135370675E-3</v>
      </c>
      <c r="O691" s="8">
        <f>IF(Tabela1[[#This Row],[Core-Services CPI]]="",#N/A,((Tabela1[[#This Row],[Core-Services CPI]]*1)/M679)-1)</f>
        <v>2.8686687584043025E-2</v>
      </c>
      <c r="P691" s="7">
        <v>114.7</v>
      </c>
      <c r="Q691" s="8">
        <f>IF(Tabela1[[#This Row],[Durable Goods CPI]]="",#N/A,((Tabela1[[#This Row],[Durable Goods CPI]]*1)/P690)-1)</f>
        <v>0</v>
      </c>
      <c r="R691" s="8">
        <f>IF(Tabela1[[#This Row],[Durable Goods CPI]]="",#N/A,((Tabela1[[#This Row],[Durable Goods CPI]]*1)/P679)-1)</f>
        <v>-3.125E-2</v>
      </c>
      <c r="S691" s="7">
        <v>2.1370610999999999</v>
      </c>
      <c r="T691" s="7">
        <v>79.603999999999999</v>
      </c>
      <c r="U691" s="8">
        <f>IF(Tabela1[[#This Row],[Personal Consumption Expenditures (PCE)]]="",#N/A,((Tabela1[[#This Row],[Personal Consumption Expenditures (PCE)]]*1)/T690)-1)</f>
        <v>3.251581680235871E-3</v>
      </c>
      <c r="V691" s="8">
        <f>IF(Tabela1[[#This Row],[Personal Consumption Expenditures (PCE)]]="",#N/A,((Tabela1[[#This Row],[Personal Consumption Expenditures (PCE)]]*1)/T679)-1)</f>
        <v>2.7095375722543169E-2</v>
      </c>
      <c r="W691" s="7">
        <v>80.251999999999995</v>
      </c>
      <c r="X691" s="8">
        <f>IF(Tabela1[[#This Row],[Core PCE]]="",#N/A,((Tabela1[[#This Row],[Core PCE]]*1)/W690)-1)</f>
        <v>1.3725636994335044E-3</v>
      </c>
      <c r="Y691" s="8">
        <f>IF(Tabela1[[#This Row],[Core PCE]]="",#N/A,((Tabela1[[#This Row],[Core PCE]]*1)/W679)-1)</f>
        <v>2.0057452271398324E-2</v>
      </c>
      <c r="Z691" s="8">
        <f t="shared" si="37"/>
        <v>2.2615633862028695E-2</v>
      </c>
      <c r="AA691" s="8">
        <f t="shared" si="36"/>
        <v>2.2175049358622356E-2</v>
      </c>
      <c r="AB691" s="7">
        <v>2.21</v>
      </c>
      <c r="AC691" s="7"/>
      <c r="AD691" s="8"/>
      <c r="AE691" s="71"/>
      <c r="AF691" s="7">
        <v>3.3</v>
      </c>
      <c r="AG691" s="5"/>
    </row>
    <row r="692" spans="1:33" ht="12.75">
      <c r="A692" s="6">
        <v>38139</v>
      </c>
      <c r="B692" s="7">
        <v>188.9</v>
      </c>
      <c r="C692" s="8">
        <f>IF(Tabela1[[#This Row],[Consumer Price Index (CPI)]]="",#N/A,((Tabela1[[#This Row],[Consumer Price Index (CPI)]]*1)/B691)-1)</f>
        <v>3.7194473963868546E-3</v>
      </c>
      <c r="D692" s="8">
        <f>IF(Tabela1[[#This Row],[Consumer Price Index (CPI)]]="",#N/A,((Tabela1[[#This Row],[Consumer Price Index (CPI)]]*1)/B680)-1)</f>
        <v>3.1676679410158393E-2</v>
      </c>
      <c r="E692" s="25">
        <v>196.6</v>
      </c>
      <c r="F692" s="8">
        <f>IF(Tabela1[[#This Row],[Core Consumer Price Index]]="",#N/A,((Tabela1[[#This Row],[Core Consumer Price Index]]*1)/E691)-1)</f>
        <v>2.0387359836901986E-3</v>
      </c>
      <c r="G692" s="8">
        <f>IF(Tabela1[[#This Row],[Core Consumer Price Index]]="",#N/A,((Tabela1[[#This Row],[Core Consumer Price Index]]*1)/E680)-1)</f>
        <v>1.865284974093262E-2</v>
      </c>
      <c r="H692" s="8">
        <f t="shared" si="34"/>
        <v>2.2464661429855148E-2</v>
      </c>
      <c r="I692" s="8">
        <f t="shared" si="35"/>
        <v>2.4592046463696171E-2</v>
      </c>
      <c r="J692" s="25">
        <v>222.7</v>
      </c>
      <c r="K692" s="8">
        <f>IF(Tabela1[[#This Row],[Services CPI]]="",#N/A,((Tabela1[[#This Row],[Services CPI]]*1)/J691)-1)</f>
        <v>3.6052275799909328E-3</v>
      </c>
      <c r="L692" s="8">
        <f>IF(Tabela1[[#This Row],[Services CPI]]="",#N/A,((Tabela1[[#This Row],[Services CPI]]*1)/J680)-1)</f>
        <v>3.0064754856614195E-2</v>
      </c>
      <c r="M692" s="7">
        <v>230</v>
      </c>
      <c r="N692" s="8">
        <f>IF(Tabela1[[#This Row],[Core-Services CPI]]="",#N/A,((Tabela1[[#This Row],[Core-Services CPI]]*1)/M691)-1)</f>
        <v>2.1786492374726851E-3</v>
      </c>
      <c r="O692" s="8">
        <f>IF(Tabela1[[#This Row],[Core-Services CPI]]="",#N/A,((Tabela1[[#This Row],[Core-Services CPI]]*1)/M680)-1)</f>
        <v>3.0004478280340363E-2</v>
      </c>
      <c r="P692" s="7">
        <v>114.5</v>
      </c>
      <c r="Q692" s="8">
        <f>IF(Tabela1[[#This Row],[Durable Goods CPI]]="",#N/A,((Tabela1[[#This Row],[Durable Goods CPI]]*1)/P691)-1)</f>
        <v>-1.7436791630339732E-3</v>
      </c>
      <c r="R692" s="8">
        <f>IF(Tabela1[[#This Row],[Durable Goods CPI]]="",#N/A,((Tabela1[[#This Row],[Durable Goods CPI]]*1)/P680)-1)</f>
        <v>-2.9661016949152574E-2</v>
      </c>
      <c r="S692" s="7">
        <v>2.2577612999999999</v>
      </c>
      <c r="T692" s="7">
        <v>79.831000000000003</v>
      </c>
      <c r="U692" s="8">
        <f>IF(Tabela1[[#This Row],[Personal Consumption Expenditures (PCE)]]="",#N/A,((Tabela1[[#This Row],[Personal Consumption Expenditures (PCE)]]*1)/T691)-1)</f>
        <v>2.8516154967086482E-3</v>
      </c>
      <c r="V692" s="8">
        <f>IF(Tabela1[[#This Row],[Personal Consumption Expenditures (PCE)]]="",#N/A,((Tabela1[[#This Row],[Personal Consumption Expenditures (PCE)]]*1)/T680)-1)</f>
        <v>2.890910965613247E-2</v>
      </c>
      <c r="W692" s="7">
        <v>80.379000000000005</v>
      </c>
      <c r="X692" s="8">
        <f>IF(Tabela1[[#This Row],[Core PCE]]="",#N/A,((Tabela1[[#This Row],[Core PCE]]*1)/W691)-1)</f>
        <v>1.5825150775059527E-3</v>
      </c>
      <c r="Y692" s="8">
        <f>IF(Tabela1[[#This Row],[Core PCE]]="",#N/A,((Tabela1[[#This Row],[Core PCE]]*1)/W680)-1)</f>
        <v>2.1100637719454252E-2</v>
      </c>
      <c r="Z692" s="8">
        <f t="shared" si="37"/>
        <v>2.2228902192102495E-2</v>
      </c>
      <c r="AA692" s="8">
        <f t="shared" si="36"/>
        <v>2.2845371318895857E-2</v>
      </c>
      <c r="AB692" s="7">
        <v>2.33</v>
      </c>
      <c r="AC692" s="7"/>
      <c r="AD692" s="8"/>
      <c r="AE692" s="71"/>
      <c r="AF692" s="7">
        <v>3.3</v>
      </c>
      <c r="AG692" s="5"/>
    </row>
    <row r="693" spans="1:33" ht="12.75">
      <c r="A693" s="6">
        <v>38169</v>
      </c>
      <c r="B693" s="7">
        <v>189.1</v>
      </c>
      <c r="C693" s="8">
        <f>IF(Tabela1[[#This Row],[Consumer Price Index (CPI)]]="",#N/A,((Tabela1[[#This Row],[Consumer Price Index (CPI)]]*1)/B692)-1)</f>
        <v>1.0587612493382359E-3</v>
      </c>
      <c r="D693" s="8">
        <f>IF(Tabela1[[#This Row],[Consumer Price Index (CPI)]]="",#N/A,((Tabela1[[#This Row],[Consumer Price Index (CPI)]]*1)/B681)-1)</f>
        <v>2.9395753946652281E-2</v>
      </c>
      <c r="E693" s="25">
        <v>196.8</v>
      </c>
      <c r="F693" s="8">
        <f>IF(Tabela1[[#This Row],[Core Consumer Price Index]]="",#N/A,((Tabela1[[#This Row],[Core Consumer Price Index]]*1)/E692)-1)</f>
        <v>1.0172939979655737E-3</v>
      </c>
      <c r="G693" s="8">
        <f>IF(Tabela1[[#This Row],[Core Consumer Price Index]]="",#N/A,((Tabela1[[#This Row],[Core Consumer Price Index]]*1)/E681)-1)</f>
        <v>1.7580144777662898E-2</v>
      </c>
      <c r="H693" s="8">
        <f t="shared" si="34"/>
        <v>1.8349694199210731E-2</v>
      </c>
      <c r="I693" s="8">
        <f t="shared" si="35"/>
        <v>2.2507169990008347E-2</v>
      </c>
      <c r="J693" s="25">
        <v>223.2</v>
      </c>
      <c r="K693" s="8">
        <f>IF(Tabela1[[#This Row],[Services CPI]]="",#N/A,((Tabela1[[#This Row],[Services CPI]]*1)/J692)-1)</f>
        <v>2.2451728783117186E-3</v>
      </c>
      <c r="L693" s="8">
        <f>IF(Tabela1[[#This Row],[Services CPI]]="",#N/A,((Tabela1[[#This Row],[Services CPI]]*1)/J681)-1)</f>
        <v>2.9520295202951852E-2</v>
      </c>
      <c r="M693" s="7">
        <v>230.5</v>
      </c>
      <c r="N693" s="8">
        <f>IF(Tabela1[[#This Row],[Core-Services CPI]]="",#N/A,((Tabela1[[#This Row],[Core-Services CPI]]*1)/M692)-1)</f>
        <v>2.1739130434783593E-3</v>
      </c>
      <c r="O693" s="8">
        <f>IF(Tabela1[[#This Row],[Core-Services CPI]]="",#N/A,((Tabela1[[#This Row],[Core-Services CPI]]*1)/M681)-1)</f>
        <v>2.9017857142857206E-2</v>
      </c>
      <c r="P693" s="7">
        <v>114.3</v>
      </c>
      <c r="Q693" s="8">
        <f>IF(Tabela1[[#This Row],[Durable Goods CPI]]="",#N/A,((Tabela1[[#This Row],[Durable Goods CPI]]*1)/P692)-1)</f>
        <v>-1.7467248908297206E-3</v>
      </c>
      <c r="R693" s="8">
        <f>IF(Tabela1[[#This Row],[Durable Goods CPI]]="",#N/A,((Tabela1[[#This Row],[Durable Goods CPI]]*1)/P681)-1)</f>
        <v>-2.8061224489795866E-2</v>
      </c>
      <c r="S693" s="7">
        <v>2.2378638</v>
      </c>
      <c r="T693" s="7">
        <v>79.905000000000001</v>
      </c>
      <c r="U693" s="8">
        <f>IF(Tabela1[[#This Row],[Personal Consumption Expenditures (PCE)]]="",#N/A,((Tabela1[[#This Row],[Personal Consumption Expenditures (PCE)]]*1)/T692)-1)</f>
        <v>9.2695819919574873E-4</v>
      </c>
      <c r="V693" s="8">
        <f>IF(Tabela1[[#This Row],[Personal Consumption Expenditures (PCE)]]="",#N/A,((Tabela1[[#This Row],[Personal Consumption Expenditures (PCE)]]*1)/T681)-1)</f>
        <v>2.684537884239746E-2</v>
      </c>
      <c r="W693" s="7">
        <v>80.474000000000004</v>
      </c>
      <c r="X693" s="8">
        <f>IF(Tabela1[[#This Row],[Core PCE]]="",#N/A,((Tabela1[[#This Row],[Core PCE]]*1)/W692)-1)</f>
        <v>1.1819007452193997E-3</v>
      </c>
      <c r="Y693" s="8">
        <f>IF(Tabela1[[#This Row],[Core PCE]]="",#N/A,((Tabela1[[#This Row],[Core PCE]]*1)/W681)-1)</f>
        <v>1.9755433060888228E-2</v>
      </c>
      <c r="Z693" s="8">
        <f t="shared" si="37"/>
        <v>1.6547918088635427E-2</v>
      </c>
      <c r="AA693" s="8">
        <f t="shared" si="36"/>
        <v>2.0074966157516805E-2</v>
      </c>
      <c r="AB693" s="7">
        <v>2.2599999999999998</v>
      </c>
      <c r="AC693" s="7"/>
      <c r="AD693" s="8"/>
      <c r="AE693" s="71"/>
      <c r="AF693" s="7">
        <v>3</v>
      </c>
      <c r="AG693" s="5"/>
    </row>
    <row r="694" spans="1:33" ht="12.75">
      <c r="A694" s="6">
        <v>38200</v>
      </c>
      <c r="B694" s="7">
        <v>189.2</v>
      </c>
      <c r="C694" s="8">
        <f>IF(Tabela1[[#This Row],[Consumer Price Index (CPI)]]="",#N/A,((Tabela1[[#This Row],[Consumer Price Index (CPI)]]*1)/B693)-1)</f>
        <v>5.2882072977267214E-4</v>
      </c>
      <c r="D694" s="8">
        <f>IF(Tabela1[[#This Row],[Consumer Price Index (CPI)]]="",#N/A,((Tabela1[[#This Row],[Consumer Price Index (CPI)]]*1)/B682)-1)</f>
        <v>2.5474254742547275E-2</v>
      </c>
      <c r="E694" s="25">
        <v>196.9</v>
      </c>
      <c r="F694" s="8">
        <f>IF(Tabela1[[#This Row],[Core Consumer Price Index]]="",#N/A,((Tabela1[[#This Row],[Core Consumer Price Index]]*1)/E693)-1)</f>
        <v>5.0813008130079496E-4</v>
      </c>
      <c r="G694" s="8">
        <f>IF(Tabela1[[#This Row],[Core Consumer Price Index]]="",#N/A,((Tabela1[[#This Row],[Core Consumer Price Index]]*1)/E682)-1)</f>
        <v>1.7045454545454586E-2</v>
      </c>
      <c r="H694" s="8">
        <f t="shared" si="34"/>
        <v>1.4256640251826269E-2</v>
      </c>
      <c r="I694" s="8">
        <f t="shared" si="35"/>
        <v>2.0440182465045531E-2</v>
      </c>
      <c r="J694" s="25">
        <v>223.7</v>
      </c>
      <c r="K694" s="8">
        <f>IF(Tabela1[[#This Row],[Services CPI]]="",#N/A,((Tabela1[[#This Row],[Services CPI]]*1)/J693)-1)</f>
        <v>2.2401433691756623E-3</v>
      </c>
      <c r="L694" s="8">
        <f>IF(Tabela1[[#This Row],[Services CPI]]="",#N/A,((Tabela1[[#This Row],[Services CPI]]*1)/J682)-1)</f>
        <v>2.9926335174953911E-2</v>
      </c>
      <c r="M694" s="7">
        <v>230.9</v>
      </c>
      <c r="N694" s="8">
        <f>IF(Tabela1[[#This Row],[Core-Services CPI]]="",#N/A,((Tabela1[[#This Row],[Core-Services CPI]]*1)/M693)-1)</f>
        <v>1.7353579175705125E-3</v>
      </c>
      <c r="O694" s="8">
        <f>IF(Tabela1[[#This Row],[Core-Services CPI]]="",#N/A,((Tabela1[[#This Row],[Core-Services CPI]]*1)/M682)-1)</f>
        <v>2.8966131907308457E-2</v>
      </c>
      <c r="P694" s="7">
        <v>114</v>
      </c>
      <c r="Q694" s="8">
        <f>IF(Tabela1[[#This Row],[Durable Goods CPI]]="",#N/A,((Tabela1[[#This Row],[Durable Goods CPI]]*1)/P693)-1)</f>
        <v>-2.624671916010457E-3</v>
      </c>
      <c r="R694" s="8">
        <f>IF(Tabela1[[#This Row],[Durable Goods CPI]]="",#N/A,((Tabela1[[#This Row],[Durable Goods CPI]]*1)/P682)-1)</f>
        <v>-2.7303754266211677E-2</v>
      </c>
      <c r="S694" s="7">
        <v>2.3794884000000001</v>
      </c>
      <c r="T694" s="7">
        <v>79.945999999999998</v>
      </c>
      <c r="U694" s="8">
        <f>IF(Tabela1[[#This Row],[Personal Consumption Expenditures (PCE)]]="",#N/A,((Tabela1[[#This Row],[Personal Consumption Expenditures (PCE)]]*1)/T693)-1)</f>
        <v>5.1310931731429754E-4</v>
      </c>
      <c r="V694" s="8">
        <f>IF(Tabela1[[#This Row],[Personal Consumption Expenditures (PCE)]]="",#N/A,((Tabela1[[#This Row],[Personal Consumption Expenditures (PCE)]]*1)/T682)-1)</f>
        <v>2.3911679196711111E-2</v>
      </c>
      <c r="W694" s="7">
        <v>80.504999999999995</v>
      </c>
      <c r="X694" s="8">
        <f>IF(Tabela1[[#This Row],[Core PCE]]="",#N/A,((Tabela1[[#This Row],[Core PCE]]*1)/W693)-1)</f>
        <v>3.8521758580389864E-4</v>
      </c>
      <c r="Y694" s="8">
        <f>IF(Tabela1[[#This Row],[Core PCE]]="",#N/A,((Tabela1[[#This Row],[Core PCE]]*1)/W682)-1)</f>
        <v>1.899903802339109E-2</v>
      </c>
      <c r="Z694" s="8">
        <f t="shared" si="37"/>
        <v>1.2598533634117004E-2</v>
      </c>
      <c r="AA694" s="8">
        <f t="shared" si="36"/>
        <v>1.7607083748072849E-2</v>
      </c>
      <c r="AB694" s="7">
        <v>2.2000000000000002</v>
      </c>
      <c r="AC694" s="7"/>
      <c r="AD694" s="8"/>
      <c r="AE694" s="71"/>
      <c r="AF694" s="7">
        <v>2.8</v>
      </c>
      <c r="AG694" s="5"/>
    </row>
    <row r="695" spans="1:33" ht="12.75">
      <c r="A695" s="6">
        <v>38231</v>
      </c>
      <c r="B695" s="7">
        <v>189.8</v>
      </c>
      <c r="C695" s="8">
        <f>IF(Tabela1[[#This Row],[Consumer Price Index (CPI)]]="",#N/A,((Tabela1[[#This Row],[Consumer Price Index (CPI)]]*1)/B694)-1)</f>
        <v>3.1712473572940159E-3</v>
      </c>
      <c r="D695" s="8">
        <f>IF(Tabela1[[#This Row],[Consumer Price Index (CPI)]]="",#N/A,((Tabela1[[#This Row],[Consumer Price Index (CPI)]]*1)/B683)-1)</f>
        <v>2.5391680172879516E-2</v>
      </c>
      <c r="E695" s="25">
        <v>197.5</v>
      </c>
      <c r="F695" s="8">
        <f>IF(Tabela1[[#This Row],[Core Consumer Price Index]]="",#N/A,((Tabela1[[#This Row],[Core Consumer Price Index]]*1)/E694)-1)</f>
        <v>3.0472320975114542E-3</v>
      </c>
      <c r="G695" s="8">
        <f>IF(Tabela1[[#This Row],[Core Consumer Price Index]]="",#N/A,((Tabela1[[#This Row],[Core Consumer Price Index]]*1)/E683)-1)</f>
        <v>1.961796592669085E-2</v>
      </c>
      <c r="H695" s="8">
        <f t="shared" si="34"/>
        <v>1.8290624707111292E-2</v>
      </c>
      <c r="I695" s="8">
        <f t="shared" si="35"/>
        <v>2.037764306848322E-2</v>
      </c>
      <c r="J695" s="25">
        <v>224.2</v>
      </c>
      <c r="K695" s="8">
        <f>IF(Tabela1[[#This Row],[Services CPI]]="",#N/A,((Tabela1[[#This Row],[Services CPI]]*1)/J694)-1)</f>
        <v>2.2351363433168459E-3</v>
      </c>
      <c r="L695" s="8">
        <f>IF(Tabela1[[#This Row],[Services CPI]]="",#N/A,((Tabela1[[#This Row],[Services CPI]]*1)/J683)-1)</f>
        <v>2.9384756657483857E-2</v>
      </c>
      <c r="M695" s="7">
        <v>231.6</v>
      </c>
      <c r="N695" s="8">
        <f>IF(Tabela1[[#This Row],[Core-Services CPI]]="",#N/A,((Tabela1[[#This Row],[Core-Services CPI]]*1)/M694)-1)</f>
        <v>3.0316154179297339E-3</v>
      </c>
      <c r="O695" s="8">
        <f>IF(Tabela1[[#This Row],[Core-Services CPI]]="",#N/A,((Tabela1[[#This Row],[Core-Services CPI]]*1)/M683)-1)</f>
        <v>2.9791018230324484E-2</v>
      </c>
      <c r="P695" s="7">
        <v>114.6</v>
      </c>
      <c r="Q695" s="8">
        <f>IF(Tabela1[[#This Row],[Durable Goods CPI]]="",#N/A,((Tabela1[[#This Row],[Durable Goods CPI]]*1)/P694)-1)</f>
        <v>5.2631578947368585E-3</v>
      </c>
      <c r="R695" s="8">
        <f>IF(Tabela1[[#This Row],[Durable Goods CPI]]="",#N/A,((Tabela1[[#This Row],[Durable Goods CPI]]*1)/P683)-1)</f>
        <v>-1.3769363166953652E-2</v>
      </c>
      <c r="S695" s="7">
        <v>2.2638524000000002</v>
      </c>
      <c r="T695" s="7">
        <v>80.103999999999999</v>
      </c>
      <c r="U695" s="8">
        <f>IF(Tabela1[[#This Row],[Personal Consumption Expenditures (PCE)]]="",#N/A,((Tabela1[[#This Row],[Personal Consumption Expenditures (PCE)]]*1)/T694)-1)</f>
        <v>1.9763340254672634E-3</v>
      </c>
      <c r="V695" s="8">
        <f>IF(Tabela1[[#This Row],[Personal Consumption Expenditures (PCE)]]="",#N/A,((Tabela1[[#This Row],[Personal Consumption Expenditures (PCE)]]*1)/T683)-1)</f>
        <v>2.2739169847937557E-2</v>
      </c>
      <c r="W695" s="7">
        <v>80.656000000000006</v>
      </c>
      <c r="X695" s="8">
        <f>IF(Tabela1[[#This Row],[Core PCE]]="",#N/A,((Tabela1[[#This Row],[Core PCE]]*1)/W694)-1)</f>
        <v>1.8756598969009719E-3</v>
      </c>
      <c r="Y695" s="8">
        <f>IF(Tabela1[[#This Row],[Core PCE]]="",#N/A,((Tabela1[[#This Row],[Core PCE]]*1)/W683)-1)</f>
        <v>1.9490861288773198E-2</v>
      </c>
      <c r="Z695" s="8">
        <f t="shared" si="37"/>
        <v>1.3771112911697081E-2</v>
      </c>
      <c r="AA695" s="8">
        <f t="shared" si="36"/>
        <v>1.8000007551899788E-2</v>
      </c>
      <c r="AB695" s="7">
        <v>2.19</v>
      </c>
      <c r="AC695" s="7"/>
      <c r="AD695" s="8"/>
      <c r="AE695" s="71"/>
      <c r="AF695" s="7">
        <v>2.8</v>
      </c>
      <c r="AG695" s="5"/>
    </row>
    <row r="696" spans="1:33" ht="12.75">
      <c r="A696" s="6">
        <v>38261</v>
      </c>
      <c r="B696" s="7">
        <v>190.8</v>
      </c>
      <c r="C696" s="8">
        <f>IF(Tabela1[[#This Row],[Consumer Price Index (CPI)]]="",#N/A,((Tabela1[[#This Row],[Consumer Price Index (CPI)]]*1)/B695)-1)</f>
        <v>5.2687038988408208E-3</v>
      </c>
      <c r="D696" s="8">
        <f>IF(Tabela1[[#This Row],[Consumer Price Index (CPI)]]="",#N/A,((Tabela1[[#This Row],[Consumer Price Index (CPI)]]*1)/B684)-1)</f>
        <v>3.1909140075716547E-2</v>
      </c>
      <c r="E696" s="25">
        <v>197.9</v>
      </c>
      <c r="F696" s="8">
        <f>IF(Tabela1[[#This Row],[Core Consumer Price Index]]="",#N/A,((Tabela1[[#This Row],[Core Consumer Price Index]]*1)/E695)-1)</f>
        <v>2.0253164556962577E-3</v>
      </c>
      <c r="G696" s="8">
        <f>IF(Tabela1[[#This Row],[Core Consumer Price Index]]="",#N/A,((Tabela1[[#This Row],[Core Consumer Price Index]]*1)/E684)-1)</f>
        <v>2.0103092783505083E-2</v>
      </c>
      <c r="H696" s="8">
        <f t="shared" si="34"/>
        <v>2.2322714538034027E-2</v>
      </c>
      <c r="I696" s="8">
        <f t="shared" si="35"/>
        <v>2.0336204368622379E-2</v>
      </c>
      <c r="J696" s="25">
        <v>224.6</v>
      </c>
      <c r="K696" s="8">
        <f>IF(Tabela1[[#This Row],[Services CPI]]="",#N/A,((Tabela1[[#This Row],[Services CPI]]*1)/J695)-1)</f>
        <v>1.784121320249854E-3</v>
      </c>
      <c r="L696" s="8">
        <f>IF(Tabela1[[#This Row],[Services CPI]]="",#N/A,((Tabela1[[#This Row],[Services CPI]]*1)/J684)-1)</f>
        <v>2.8388278388278287E-2</v>
      </c>
      <c r="M696" s="7">
        <v>232</v>
      </c>
      <c r="N696" s="8">
        <f>IF(Tabela1[[#This Row],[Core-Services CPI]]="",#N/A,((Tabela1[[#This Row],[Core-Services CPI]]*1)/M695)-1)</f>
        <v>1.7271157167531026E-3</v>
      </c>
      <c r="O696" s="8">
        <f>IF(Tabela1[[#This Row],[Core-Services CPI]]="",#N/A,((Tabela1[[#This Row],[Core-Services CPI]]*1)/M684)-1)</f>
        <v>2.7913159060700021E-2</v>
      </c>
      <c r="P696" s="7">
        <v>115</v>
      </c>
      <c r="Q696" s="8">
        <f>IF(Tabela1[[#This Row],[Durable Goods CPI]]="",#N/A,((Tabela1[[#This Row],[Durable Goods CPI]]*1)/P695)-1)</f>
        <v>3.4904013961605251E-3</v>
      </c>
      <c r="R696" s="8">
        <f>IF(Tabela1[[#This Row],[Durable Goods CPI]]="",#N/A,((Tabela1[[#This Row],[Durable Goods CPI]]*1)/P684)-1)</f>
        <v>-4.3290043290042934E-3</v>
      </c>
      <c r="S696" s="7">
        <v>2.2577292</v>
      </c>
      <c r="T696" s="7">
        <v>80.447999999999993</v>
      </c>
      <c r="U696" s="8">
        <f>IF(Tabela1[[#This Row],[Personal Consumption Expenditures (PCE)]]="",#N/A,((Tabela1[[#This Row],[Personal Consumption Expenditures (PCE)]]*1)/T695)-1)</f>
        <v>4.2944172575651862E-3</v>
      </c>
      <c r="V696" s="8">
        <f>IF(Tabela1[[#This Row],[Personal Consumption Expenditures (PCE)]]="",#N/A,((Tabela1[[#This Row],[Personal Consumption Expenditures (PCE)]]*1)/T684)-1)</f>
        <v>2.700011489410592E-2</v>
      </c>
      <c r="W696" s="7">
        <v>80.831000000000003</v>
      </c>
      <c r="X696" s="8">
        <f>IF(Tabela1[[#This Row],[Core PCE]]="",#N/A,((Tabela1[[#This Row],[Core PCE]]*1)/W695)-1)</f>
        <v>2.1697083911922377E-3</v>
      </c>
      <c r="Y696" s="8">
        <f>IF(Tabela1[[#This Row],[Core PCE]]="",#N/A,((Tabela1[[#This Row],[Core PCE]]*1)/W684)-1)</f>
        <v>1.9820842795861715E-2</v>
      </c>
      <c r="Z696" s="8">
        <f t="shared" si="37"/>
        <v>1.7722343495588433E-2</v>
      </c>
      <c r="AA696" s="8">
        <f t="shared" si="36"/>
        <v>1.713513079211193E-2</v>
      </c>
      <c r="AB696" s="7">
        <v>2.21</v>
      </c>
      <c r="AC696" s="7"/>
      <c r="AD696" s="8"/>
      <c r="AE696" s="71"/>
      <c r="AF696" s="7">
        <v>3.1</v>
      </c>
      <c r="AG696" s="5"/>
    </row>
    <row r="697" spans="1:33" ht="12.75">
      <c r="A697" s="6">
        <v>38292</v>
      </c>
      <c r="B697" s="7">
        <v>191.7</v>
      </c>
      <c r="C697" s="8">
        <f>IF(Tabela1[[#This Row],[Consumer Price Index (CPI)]]="",#N/A,((Tabela1[[#This Row],[Consumer Price Index (CPI)]]*1)/B696)-1)</f>
        <v>4.7169811320753041E-3</v>
      </c>
      <c r="D697" s="8">
        <f>IF(Tabela1[[#This Row],[Consumer Price Index (CPI)]]="",#N/A,((Tabela1[[#This Row],[Consumer Price Index (CPI)]]*1)/B685)-1)</f>
        <v>3.6216216216216068E-2</v>
      </c>
      <c r="E697" s="25">
        <v>198.3</v>
      </c>
      <c r="F697" s="8">
        <f>IF(Tabela1[[#This Row],[Core Consumer Price Index]]="",#N/A,((Tabela1[[#This Row],[Core Consumer Price Index]]*1)/E696)-1)</f>
        <v>2.0212228398182042E-3</v>
      </c>
      <c r="G697" s="8">
        <f>IF(Tabela1[[#This Row],[Core Consumer Price Index]]="",#N/A,((Tabela1[[#This Row],[Core Consumer Price Index]]*1)/E685)-1)</f>
        <v>2.2164948453608391E-2</v>
      </c>
      <c r="H697" s="8">
        <f t="shared" si="34"/>
        <v>2.8375085572103664E-2</v>
      </c>
      <c r="I697" s="8">
        <f t="shared" si="35"/>
        <v>2.1315862911964967E-2</v>
      </c>
      <c r="J697" s="25">
        <v>225.4</v>
      </c>
      <c r="K697" s="8">
        <f>IF(Tabela1[[#This Row],[Services CPI]]="",#N/A,((Tabela1[[#This Row],[Services CPI]]*1)/J696)-1)</f>
        <v>3.5618878005343468E-3</v>
      </c>
      <c r="L697" s="8">
        <f>IF(Tabela1[[#This Row],[Services CPI]]="",#N/A,((Tabela1[[#This Row],[Services CPI]]*1)/J685)-1)</f>
        <v>3.1107044830741115E-2</v>
      </c>
      <c r="M697" s="7">
        <v>232.5</v>
      </c>
      <c r="N697" s="8">
        <f>IF(Tabela1[[#This Row],[Core-Services CPI]]="",#N/A,((Tabela1[[#This Row],[Core-Services CPI]]*1)/M696)-1)</f>
        <v>2.1551724137931494E-3</v>
      </c>
      <c r="O697" s="8">
        <f>IF(Tabela1[[#This Row],[Core-Services CPI]]="",#N/A,((Tabela1[[#This Row],[Core-Services CPI]]*1)/M685)-1)</f>
        <v>2.8761061946902755E-2</v>
      </c>
      <c r="P697" s="7">
        <v>115.4</v>
      </c>
      <c r="Q697" s="8">
        <f>IF(Tabela1[[#This Row],[Durable Goods CPI]]="",#N/A,((Tabela1[[#This Row],[Durable Goods CPI]]*1)/P696)-1)</f>
        <v>3.4782608695653749E-3</v>
      </c>
      <c r="R697" s="8">
        <f>IF(Tabela1[[#This Row],[Durable Goods CPI]]="",#N/A,((Tabela1[[#This Row],[Durable Goods CPI]]*1)/P685)-1)</f>
        <v>2.6064291920071536E-3</v>
      </c>
      <c r="S697" s="7">
        <v>2.2402009999999999</v>
      </c>
      <c r="T697" s="7">
        <v>80.757999999999996</v>
      </c>
      <c r="U697" s="8">
        <f>IF(Tabela1[[#This Row],[Personal Consumption Expenditures (PCE)]]="",#N/A,((Tabela1[[#This Row],[Personal Consumption Expenditures (PCE)]]*1)/T696)-1)</f>
        <v>3.8534208432776662E-3</v>
      </c>
      <c r="V697" s="8">
        <f>IF(Tabela1[[#This Row],[Personal Consumption Expenditures (PCE)]]="",#N/A,((Tabela1[[#This Row],[Personal Consumption Expenditures (PCE)]]*1)/T685)-1)</f>
        <v>2.9656262749897966E-2</v>
      </c>
      <c r="W697" s="7">
        <v>81.004999999999995</v>
      </c>
      <c r="X697" s="8">
        <f>IF(Tabela1[[#This Row],[Core PCE]]="",#N/A,((Tabela1[[#This Row],[Core PCE]]*1)/W696)-1)</f>
        <v>2.1526394576336649E-3</v>
      </c>
      <c r="Y697" s="8">
        <f>IF(Tabela1[[#This Row],[Core PCE]]="",#N/A,((Tabela1[[#This Row],[Core PCE]]*1)/W685)-1)</f>
        <v>2.0625440983771837E-2</v>
      </c>
      <c r="Z697" s="8">
        <f t="shared" si="37"/>
        <v>2.4792030982907498E-2</v>
      </c>
      <c r="AA697" s="8">
        <f t="shared" si="36"/>
        <v>1.8695282308512251E-2</v>
      </c>
      <c r="AB697" s="7">
        <v>2.25</v>
      </c>
      <c r="AC697" s="7"/>
      <c r="AD697" s="8"/>
      <c r="AE697" s="71"/>
      <c r="AF697" s="7">
        <v>2.8</v>
      </c>
      <c r="AG697" s="5"/>
    </row>
    <row r="698" spans="1:33" ht="12.75">
      <c r="A698" s="6">
        <v>38322</v>
      </c>
      <c r="B698" s="7">
        <v>191.7</v>
      </c>
      <c r="C698" s="8">
        <f>IF(Tabela1[[#This Row],[Consumer Price Index (CPI)]]="",#N/A,((Tabela1[[#This Row],[Consumer Price Index (CPI)]]*1)/B697)-1)</f>
        <v>0</v>
      </c>
      <c r="D698" s="8">
        <f>IF(Tabela1[[#This Row],[Consumer Price Index (CPI)]]="",#N/A,((Tabela1[[#This Row],[Consumer Price Index (CPI)]]*1)/B686)-1)</f>
        <v>3.3423180592991875E-2</v>
      </c>
      <c r="E698" s="25">
        <v>198.6</v>
      </c>
      <c r="F698" s="8">
        <f>IF(Tabela1[[#This Row],[Core Consumer Price Index]]="",#N/A,((Tabela1[[#This Row],[Core Consumer Price Index]]*1)/E697)-1)</f>
        <v>1.5128593040847349E-3</v>
      </c>
      <c r="G698" s="8">
        <f>IF(Tabela1[[#This Row],[Core Consumer Price Index]]="",#N/A,((Tabela1[[#This Row],[Core Consumer Price Index]]*1)/E686)-1)</f>
        <v>2.2657054582904346E-2</v>
      </c>
      <c r="H698" s="8">
        <f t="shared" si="34"/>
        <v>2.2237594398396787E-2</v>
      </c>
      <c r="I698" s="8">
        <f t="shared" si="35"/>
        <v>2.0264109552754039E-2</v>
      </c>
      <c r="J698" s="25">
        <v>225.8</v>
      </c>
      <c r="K698" s="8">
        <f>IF(Tabela1[[#This Row],[Services CPI]]="",#N/A,((Tabela1[[#This Row],[Services CPI]]*1)/J697)-1)</f>
        <v>1.7746228926354135E-3</v>
      </c>
      <c r="L698" s="8">
        <f>IF(Tabela1[[#This Row],[Services CPI]]="",#N/A,((Tabela1[[#This Row],[Services CPI]]*1)/J686)-1)</f>
        <v>3.1050228310502304E-2</v>
      </c>
      <c r="M698" s="7">
        <v>232.9</v>
      </c>
      <c r="N698" s="8">
        <f>IF(Tabela1[[#This Row],[Core-Services CPI]]="",#N/A,((Tabela1[[#This Row],[Core-Services CPI]]*1)/M697)-1)</f>
        <v>1.7204301075268713E-3</v>
      </c>
      <c r="O698" s="8">
        <f>IF(Tabela1[[#This Row],[Core-Services CPI]]="",#N/A,((Tabela1[[#This Row],[Core-Services CPI]]*1)/M686)-1)</f>
        <v>2.8256070640176656E-2</v>
      </c>
      <c r="P698" s="7">
        <v>115.5</v>
      </c>
      <c r="Q698" s="8">
        <f>IF(Tabela1[[#This Row],[Durable Goods CPI]]="",#N/A,((Tabela1[[#This Row],[Durable Goods CPI]]*1)/P697)-1)</f>
        <v>8.6655112651645716E-4</v>
      </c>
      <c r="R698" s="8">
        <f>IF(Tabela1[[#This Row],[Durable Goods CPI]]="",#N/A,((Tabela1[[#This Row],[Durable Goods CPI]]*1)/P686)-1)</f>
        <v>5.2219321148825326E-3</v>
      </c>
      <c r="S698" s="7">
        <v>2.2372193999999999</v>
      </c>
      <c r="T698" s="7">
        <v>80.801000000000002</v>
      </c>
      <c r="U698" s="8">
        <f>IF(Tabela1[[#This Row],[Personal Consumption Expenditures (PCE)]]="",#N/A,((Tabela1[[#This Row],[Personal Consumption Expenditures (PCE)]]*1)/T697)-1)</f>
        <v>5.3245498897958043E-4</v>
      </c>
      <c r="V698" s="8">
        <f>IF(Tabela1[[#This Row],[Personal Consumption Expenditures (PCE)]]="",#N/A,((Tabela1[[#This Row],[Personal Consumption Expenditures (PCE)]]*1)/T686)-1)</f>
        <v>2.7937154125055708E-2</v>
      </c>
      <c r="W698" s="7">
        <v>81.108999999999995</v>
      </c>
      <c r="X698" s="8">
        <f>IF(Tabela1[[#This Row],[Core PCE]]="",#N/A,((Tabela1[[#This Row],[Core PCE]]*1)/W697)-1)</f>
        <v>1.2838713659650836E-3</v>
      </c>
      <c r="Y698" s="8">
        <f>IF(Tabela1[[#This Row],[Core PCE]]="",#N/A,((Tabela1[[#This Row],[Core PCE]]*1)/W686)-1)</f>
        <v>2.0662665005599656E-2</v>
      </c>
      <c r="Z698" s="8">
        <f t="shared" si="37"/>
        <v>2.2424876859163945E-2</v>
      </c>
      <c r="AA698" s="8">
        <f t="shared" si="36"/>
        <v>1.8097994885430513E-2</v>
      </c>
      <c r="AB698" s="7">
        <v>2.27</v>
      </c>
      <c r="AC698" s="7"/>
      <c r="AD698" s="8"/>
      <c r="AE698" s="71"/>
      <c r="AF698" s="7">
        <v>3</v>
      </c>
      <c r="AG698" s="5"/>
    </row>
    <row r="699" spans="1:33" ht="12.75">
      <c r="A699" s="6">
        <v>38353</v>
      </c>
      <c r="B699" s="7">
        <v>191.6</v>
      </c>
      <c r="C699" s="8">
        <f>IF(Tabela1[[#This Row],[Consumer Price Index (CPI)]]="",#N/A,((Tabela1[[#This Row],[Consumer Price Index (CPI)]]*1)/B698)-1)</f>
        <v>-5.2164840897228615E-4</v>
      </c>
      <c r="D699" s="8">
        <f>IF(Tabela1[[#This Row],[Consumer Price Index (CPI)]]="",#N/A,((Tabela1[[#This Row],[Consumer Price Index (CPI)]]*1)/B687)-1)</f>
        <v>2.8448738593666034E-2</v>
      </c>
      <c r="E699" s="25">
        <v>199</v>
      </c>
      <c r="F699" s="8">
        <f>IF(Tabela1[[#This Row],[Core Consumer Price Index]]="",#N/A,((Tabela1[[#This Row],[Core Consumer Price Index]]*1)/E698)-1)</f>
        <v>2.0140986908359082E-3</v>
      </c>
      <c r="G699" s="8">
        <f>IF(Tabela1[[#This Row],[Core Consumer Price Index]]="",#N/A,((Tabela1[[#This Row],[Core Consumer Price Index]]*1)/E687)-1)</f>
        <v>2.2610483042137641E-2</v>
      </c>
      <c r="H699" s="8">
        <f t="shared" si="34"/>
        <v>2.2192723338955389E-2</v>
      </c>
      <c r="I699" s="8">
        <f t="shared" si="35"/>
        <v>2.2257718938494708E-2</v>
      </c>
      <c r="J699" s="25">
        <v>226.2</v>
      </c>
      <c r="K699" s="8">
        <f>IF(Tabela1[[#This Row],[Services CPI]]="",#N/A,((Tabela1[[#This Row],[Services CPI]]*1)/J698)-1)</f>
        <v>1.771479185119551E-3</v>
      </c>
      <c r="L699" s="8">
        <f>IF(Tabela1[[#This Row],[Services CPI]]="",#N/A,((Tabela1[[#This Row],[Services CPI]]*1)/J687)-1)</f>
        <v>2.9585798816567976E-2</v>
      </c>
      <c r="M699" s="7">
        <v>233.5</v>
      </c>
      <c r="N699" s="8">
        <f>IF(Tabela1[[#This Row],[Core-Services CPI]]="",#N/A,((Tabela1[[#This Row],[Core-Services CPI]]*1)/M698)-1)</f>
        <v>2.5762129669386624E-3</v>
      </c>
      <c r="O699" s="8">
        <f>IF(Tabela1[[#This Row],[Core-Services CPI]]="",#N/A,((Tabela1[[#This Row],[Core-Services CPI]]*1)/M687)-1)</f>
        <v>2.8181417877586989E-2</v>
      </c>
      <c r="P699" s="7">
        <v>115.7</v>
      </c>
      <c r="Q699" s="8">
        <f>IF(Tabela1[[#This Row],[Durable Goods CPI]]="",#N/A,((Tabela1[[#This Row],[Durable Goods CPI]]*1)/P698)-1)</f>
        <v>1.7316017316018062E-3</v>
      </c>
      <c r="R699" s="8">
        <f>IF(Tabela1[[#This Row],[Durable Goods CPI]]="",#N/A,((Tabela1[[#This Row],[Durable Goods CPI]]*1)/P687)-1)</f>
        <v>7.8397212543555028E-3</v>
      </c>
      <c r="S699" s="7">
        <v>2.3012131</v>
      </c>
      <c r="T699" s="7">
        <v>80.906999999999996</v>
      </c>
      <c r="U699" s="8">
        <f>IF(Tabela1[[#This Row],[Personal Consumption Expenditures (PCE)]]="",#N/A,((Tabela1[[#This Row],[Personal Consumption Expenditures (PCE)]]*1)/T698)-1)</f>
        <v>1.3118649521663972E-3</v>
      </c>
      <c r="V699" s="8">
        <f>IF(Tabela1[[#This Row],[Personal Consumption Expenditures (PCE)]]="",#N/A,((Tabela1[[#This Row],[Personal Consumption Expenditures (PCE)]]*1)/T687)-1)</f>
        <v>2.5320305668554699E-2</v>
      </c>
      <c r="W699" s="7">
        <v>81.400999999999996</v>
      </c>
      <c r="X699" s="8">
        <f>IF(Tabela1[[#This Row],[Core PCE]]="",#N/A,((Tabela1[[#This Row],[Core PCE]]*1)/W698)-1)</f>
        <v>3.6000937010689515E-3</v>
      </c>
      <c r="Y699" s="8">
        <f>IF(Tabela1[[#This Row],[Core PCE]]="",#N/A,((Tabela1[[#This Row],[Core PCE]]*1)/W687)-1)</f>
        <v>2.1714300058992553E-2</v>
      </c>
      <c r="Z699" s="8">
        <f t="shared" si="37"/>
        <v>2.81464180986708E-2</v>
      </c>
      <c r="AA699" s="8">
        <f t="shared" si="36"/>
        <v>2.2934380797129617E-2</v>
      </c>
      <c r="AB699" s="7">
        <v>2.37</v>
      </c>
      <c r="AC699" s="7"/>
      <c r="AD699" s="8"/>
      <c r="AE699" s="71"/>
      <c r="AF699" s="7">
        <v>2.9</v>
      </c>
      <c r="AG699" s="5"/>
    </row>
    <row r="700" spans="1:33" ht="12.75">
      <c r="A700" s="6">
        <v>38384</v>
      </c>
      <c r="B700" s="7">
        <v>192.4</v>
      </c>
      <c r="C700" s="8">
        <f>IF(Tabela1[[#This Row],[Consumer Price Index (CPI)]]="",#N/A,((Tabela1[[#This Row],[Consumer Price Index (CPI)]]*1)/B699)-1)</f>
        <v>4.1753653444676075E-3</v>
      </c>
      <c r="D700" s="8">
        <f>IF(Tabela1[[#This Row],[Consumer Price Index (CPI)]]="",#N/A,((Tabela1[[#This Row],[Consumer Price Index (CPI)]]*1)/B688)-1)</f>
        <v>3.0530262453133394E-2</v>
      </c>
      <c r="E700" s="25">
        <v>199.4</v>
      </c>
      <c r="F700" s="8">
        <f>IF(Tabela1[[#This Row],[Core Consumer Price Index]]="",#N/A,((Tabela1[[#This Row],[Core Consumer Price Index]]*1)/E699)-1)</f>
        <v>2.0100502512563345E-3</v>
      </c>
      <c r="G700" s="8">
        <f>IF(Tabela1[[#This Row],[Core Consumer Price Index]]="",#N/A,((Tabela1[[#This Row],[Core Consumer Price Index]]*1)/E688)-1)</f>
        <v>2.308876346844535E-2</v>
      </c>
      <c r="H700" s="8">
        <f t="shared" si="34"/>
        <v>2.214803298470791E-2</v>
      </c>
      <c r="I700" s="8">
        <f t="shared" si="35"/>
        <v>2.5261559278405787E-2</v>
      </c>
      <c r="J700" s="25">
        <v>226.9</v>
      </c>
      <c r="K700" s="8">
        <f>IF(Tabela1[[#This Row],[Services CPI]]="",#N/A,((Tabela1[[#This Row],[Services CPI]]*1)/J699)-1)</f>
        <v>3.0946065428825165E-3</v>
      </c>
      <c r="L700" s="8">
        <f>IF(Tabela1[[#This Row],[Services CPI]]="",#N/A,((Tabela1[[#This Row],[Services CPI]]*1)/J688)-1)</f>
        <v>3.0895047705588485E-2</v>
      </c>
      <c r="M700" s="7">
        <v>234.2</v>
      </c>
      <c r="N700" s="8">
        <f>IF(Tabela1[[#This Row],[Core-Services CPI]]="",#N/A,((Tabela1[[#This Row],[Core-Services CPI]]*1)/M699)-1)</f>
        <v>2.9978586723768963E-3</v>
      </c>
      <c r="O700" s="8">
        <f>IF(Tabela1[[#This Row],[Core-Services CPI]]="",#N/A,((Tabela1[[#This Row],[Core-Services CPI]]*1)/M688)-1)</f>
        <v>2.9903254177660488E-2</v>
      </c>
      <c r="P700" s="7">
        <v>115.6</v>
      </c>
      <c r="Q700" s="8">
        <f>IF(Tabela1[[#This Row],[Durable Goods CPI]]="",#N/A,((Tabela1[[#This Row],[Durable Goods CPI]]*1)/P699)-1)</f>
        <v>-8.6430423509087362E-4</v>
      </c>
      <c r="R700" s="8">
        <f>IF(Tabela1[[#This Row],[Durable Goods CPI]]="",#N/A,((Tabela1[[#This Row],[Durable Goods CPI]]*1)/P688)-1)</f>
        <v>6.0922541340295844E-3</v>
      </c>
      <c r="S700" s="7">
        <v>2.3138858999999998</v>
      </c>
      <c r="T700" s="7">
        <v>81.132000000000005</v>
      </c>
      <c r="U700" s="8">
        <f>IF(Tabela1[[#This Row],[Personal Consumption Expenditures (PCE)]]="",#N/A,((Tabela1[[#This Row],[Personal Consumption Expenditures (PCE)]]*1)/T699)-1)</f>
        <v>2.7809707441879272E-3</v>
      </c>
      <c r="V700" s="8">
        <f>IF(Tabela1[[#This Row],[Personal Consumption Expenditures (PCE)]]="",#N/A,((Tabela1[[#This Row],[Personal Consumption Expenditures (PCE)]]*1)/T688)-1)</f>
        <v>2.5987328806100551E-2</v>
      </c>
      <c r="W700" s="7">
        <v>81.536000000000001</v>
      </c>
      <c r="X700" s="8">
        <f>IF(Tabela1[[#This Row],[Core PCE]]="",#N/A,((Tabela1[[#This Row],[Core PCE]]*1)/W699)-1)</f>
        <v>1.6584562843209305E-3</v>
      </c>
      <c r="Y700" s="8">
        <f>IF(Tabela1[[#This Row],[Core PCE]]="",#N/A,((Tabela1[[#This Row],[Core PCE]]*1)/W688)-1)</f>
        <v>2.1754385964912304E-2</v>
      </c>
      <c r="Z700" s="8">
        <f t="shared" si="37"/>
        <v>2.6169685405419862E-2</v>
      </c>
      <c r="AA700" s="8">
        <f t="shared" si="36"/>
        <v>2.548085819416368E-2</v>
      </c>
      <c r="AB700" s="7">
        <v>2.38</v>
      </c>
      <c r="AC700" s="7"/>
      <c r="AD700" s="8"/>
      <c r="AE700" s="71"/>
      <c r="AF700" s="7">
        <v>2.9</v>
      </c>
      <c r="AG700" s="5"/>
    </row>
    <row r="701" spans="1:33" ht="12.75">
      <c r="A701" s="6">
        <v>38412</v>
      </c>
      <c r="B701" s="7">
        <v>193.1</v>
      </c>
      <c r="C701" s="8">
        <f>IF(Tabela1[[#This Row],[Consumer Price Index (CPI)]]="",#N/A,((Tabela1[[#This Row],[Consumer Price Index (CPI)]]*1)/B700)-1)</f>
        <v>3.6382536382535413E-3</v>
      </c>
      <c r="D701" s="8">
        <f>IF(Tabela1[[#This Row],[Consumer Price Index (CPI)]]="",#N/A,((Tabela1[[#This Row],[Consumer Price Index (CPI)]]*1)/B689)-1)</f>
        <v>3.2068412613575736E-2</v>
      </c>
      <c r="E701" s="25">
        <v>200.1</v>
      </c>
      <c r="F701" s="8">
        <f>IF(Tabela1[[#This Row],[Core Consumer Price Index]]="",#N/A,((Tabela1[[#This Row],[Core Consumer Price Index]]*1)/E700)-1)</f>
        <v>3.5105315947843163E-3</v>
      </c>
      <c r="G701" s="8">
        <f>IF(Tabela1[[#This Row],[Core Consumer Price Index]]="",#N/A,((Tabela1[[#This Row],[Core Consumer Price Index]]*1)/E689)-1)</f>
        <v>2.3529411764705799E-2</v>
      </c>
      <c r="H701" s="8">
        <f t="shared" si="34"/>
        <v>3.0138722147506236E-2</v>
      </c>
      <c r="I701" s="8">
        <f t="shared" si="35"/>
        <v>2.6188158272951512E-2</v>
      </c>
      <c r="J701" s="25">
        <v>228</v>
      </c>
      <c r="K701" s="8">
        <f>IF(Tabela1[[#This Row],[Services CPI]]="",#N/A,((Tabela1[[#This Row],[Services CPI]]*1)/J700)-1)</f>
        <v>4.847950639047971E-3</v>
      </c>
      <c r="L701" s="8">
        <f>IF(Tabela1[[#This Row],[Services CPI]]="",#N/A,((Tabela1[[#This Row],[Services CPI]]*1)/J689)-1)</f>
        <v>3.2608695652173836E-2</v>
      </c>
      <c r="M701" s="7">
        <v>235.3</v>
      </c>
      <c r="N701" s="8">
        <f>IF(Tabela1[[#This Row],[Core-Services CPI]]="",#N/A,((Tabela1[[#This Row],[Core-Services CPI]]*1)/M700)-1)</f>
        <v>4.6968403074296727E-3</v>
      </c>
      <c r="O701" s="8">
        <f>IF(Tabela1[[#This Row],[Core-Services CPI]]="",#N/A,((Tabela1[[#This Row],[Core-Services CPI]]*1)/M689)-1)</f>
        <v>3.0661410424879465E-2</v>
      </c>
      <c r="P701" s="7">
        <v>115.4</v>
      </c>
      <c r="Q701" s="8">
        <f>IF(Tabela1[[#This Row],[Durable Goods CPI]]="",#N/A,((Tabela1[[#This Row],[Durable Goods CPI]]*1)/P700)-1)</f>
        <v>-1.7301038062282892E-3</v>
      </c>
      <c r="R701" s="8">
        <f>IF(Tabela1[[#This Row],[Durable Goods CPI]]="",#N/A,((Tabela1[[#This Row],[Durable Goods CPI]]*1)/P689)-1)</f>
        <v>5.2264808362370019E-3</v>
      </c>
      <c r="S701" s="7">
        <v>2.3158903</v>
      </c>
      <c r="T701" s="7">
        <v>81.375</v>
      </c>
      <c r="U701" s="8">
        <f>IF(Tabela1[[#This Row],[Personal Consumption Expenditures (PCE)]]="",#N/A,((Tabela1[[#This Row],[Personal Consumption Expenditures (PCE)]]*1)/T700)-1)</f>
        <v>2.99511906522687E-3</v>
      </c>
      <c r="V701" s="8">
        <f>IF(Tabela1[[#This Row],[Personal Consumption Expenditures (PCE)]]="",#N/A,((Tabela1[[#This Row],[Personal Consumption Expenditures (PCE)]]*1)/T689)-1)</f>
        <v>2.7475094382504839E-2</v>
      </c>
      <c r="W701" s="7">
        <v>81.736999999999995</v>
      </c>
      <c r="X701" s="8">
        <f>IF(Tabela1[[#This Row],[Core PCE]]="",#N/A,((Tabela1[[#This Row],[Core PCE]]*1)/W700)-1)</f>
        <v>2.4651687598116201E-3</v>
      </c>
      <c r="Y701" s="8">
        <f>IF(Tabela1[[#This Row],[Core PCE]]="",#N/A,((Tabela1[[#This Row],[Core PCE]]*1)/W689)-1)</f>
        <v>2.255610878975145E-2</v>
      </c>
      <c r="Z701" s="8">
        <f t="shared" si="37"/>
        <v>3.0894874980806009E-2</v>
      </c>
      <c r="AA701" s="8">
        <f t="shared" si="36"/>
        <v>2.6659875919984977E-2</v>
      </c>
      <c r="AB701" s="7">
        <v>2.39</v>
      </c>
      <c r="AC701" s="7"/>
      <c r="AD701" s="8"/>
      <c r="AE701" s="71"/>
      <c r="AF701" s="7">
        <v>3.2</v>
      </c>
      <c r="AG701" s="5"/>
    </row>
    <row r="702" spans="1:33" ht="12.75">
      <c r="A702" s="6">
        <v>38443</v>
      </c>
      <c r="B702" s="7">
        <v>193.7</v>
      </c>
      <c r="C702" s="8">
        <f>IF(Tabela1[[#This Row],[Consumer Price Index (CPI)]]="",#N/A,((Tabela1[[#This Row],[Consumer Price Index (CPI)]]*1)/B701)-1)</f>
        <v>3.1071983428274663E-3</v>
      </c>
      <c r="D702" s="8">
        <f>IF(Tabela1[[#This Row],[Consumer Price Index (CPI)]]="",#N/A,((Tabela1[[#This Row],[Consumer Price Index (CPI)]]*1)/B690)-1)</f>
        <v>3.3617929562433257E-2</v>
      </c>
      <c r="E702" s="25">
        <v>200.2</v>
      </c>
      <c r="F702" s="8">
        <f>IF(Tabela1[[#This Row],[Core Consumer Price Index]]="",#N/A,((Tabela1[[#This Row],[Core Consumer Price Index]]*1)/E701)-1)</f>
        <v>4.997501249375258E-4</v>
      </c>
      <c r="G702" s="8">
        <f>IF(Tabela1[[#This Row],[Core Consumer Price Index]]="",#N/A,((Tabela1[[#This Row],[Core Consumer Price Index]]*1)/E690)-1)</f>
        <v>2.1949974476773715E-2</v>
      </c>
      <c r="H702" s="8">
        <f t="shared" ref="H702:H765" si="38">SUM(F700:F702)*4</f>
        <v>2.4081327883912707E-2</v>
      </c>
      <c r="I702" s="8">
        <f t="shared" si="35"/>
        <v>2.3137025611434048E-2</v>
      </c>
      <c r="J702" s="25">
        <v>228.5</v>
      </c>
      <c r="K702" s="8">
        <f>IF(Tabela1[[#This Row],[Services CPI]]="",#N/A,((Tabela1[[#This Row],[Services CPI]]*1)/J701)-1)</f>
        <v>2.1929824561404132E-3</v>
      </c>
      <c r="L702" s="8">
        <f>IF(Tabela1[[#This Row],[Services CPI]]="",#N/A,((Tabela1[[#This Row],[Services CPI]]*1)/J690)-1)</f>
        <v>3.2068654019873577E-2</v>
      </c>
      <c r="M702" s="7">
        <v>235.6</v>
      </c>
      <c r="N702" s="8">
        <f>IF(Tabela1[[#This Row],[Core-Services CPI]]="",#N/A,((Tabela1[[#This Row],[Core-Services CPI]]*1)/M701)-1)</f>
        <v>1.2749681257968604E-3</v>
      </c>
      <c r="O702" s="8">
        <f>IF(Tabela1[[#This Row],[Core-Services CPI]]="",#N/A,((Tabela1[[#This Row],[Core-Services CPI]]*1)/M690)-1)</f>
        <v>2.8820960698690001E-2</v>
      </c>
      <c r="P702" s="7">
        <v>115.3</v>
      </c>
      <c r="Q702" s="8">
        <f>IF(Tabela1[[#This Row],[Durable Goods CPI]]="",#N/A,((Tabela1[[#This Row],[Durable Goods CPI]]*1)/P701)-1)</f>
        <v>-8.6655112651656818E-4</v>
      </c>
      <c r="R702" s="8">
        <f>IF(Tabela1[[#This Row],[Durable Goods CPI]]="",#N/A,((Tabela1[[#This Row],[Durable Goods CPI]]*1)/P690)-1)</f>
        <v>5.2310374891020306E-3</v>
      </c>
      <c r="S702" s="7">
        <v>2.2862448999999998</v>
      </c>
      <c r="T702" s="7">
        <v>81.602999999999994</v>
      </c>
      <c r="U702" s="8">
        <f>IF(Tabela1[[#This Row],[Personal Consumption Expenditures (PCE)]]="",#N/A,((Tabela1[[#This Row],[Personal Consumption Expenditures (PCE)]]*1)/T701)-1)</f>
        <v>2.8018433179721747E-3</v>
      </c>
      <c r="V702" s="8">
        <f>IF(Tabela1[[#This Row],[Personal Consumption Expenditures (PCE)]]="",#N/A,((Tabela1[[#This Row],[Personal Consumption Expenditures (PCE)]]*1)/T690)-1)</f>
        <v>2.8445038187180138E-2</v>
      </c>
      <c r="W702" s="7">
        <v>81.831000000000003</v>
      </c>
      <c r="X702" s="8">
        <f>IF(Tabela1[[#This Row],[Core PCE]]="",#N/A,((Tabela1[[#This Row],[Core PCE]]*1)/W701)-1)</f>
        <v>1.1500299741855624E-3</v>
      </c>
      <c r="Y702" s="8">
        <f>IF(Tabela1[[#This Row],[Core PCE]]="",#N/A,((Tabela1[[#This Row],[Core PCE]]*1)/W690)-1)</f>
        <v>2.1075091712210892E-2</v>
      </c>
      <c r="Z702" s="8">
        <f t="shared" si="37"/>
        <v>2.1094620073272452E-2</v>
      </c>
      <c r="AA702" s="8">
        <f t="shared" si="36"/>
        <v>2.4620519085971626E-2</v>
      </c>
      <c r="AB702" s="7">
        <v>2.29</v>
      </c>
      <c r="AC702" s="7"/>
      <c r="AD702" s="8"/>
      <c r="AE702" s="71"/>
      <c r="AF702" s="7">
        <v>3.3</v>
      </c>
      <c r="AG702" s="5"/>
    </row>
    <row r="703" spans="1:33" ht="12.75">
      <c r="A703" s="6">
        <v>38473</v>
      </c>
      <c r="B703" s="7">
        <v>193.6</v>
      </c>
      <c r="C703" s="8">
        <f>IF(Tabela1[[#This Row],[Consumer Price Index (CPI)]]="",#N/A,((Tabela1[[#This Row],[Consumer Price Index (CPI)]]*1)/B702)-1)</f>
        <v>-5.162622612286949E-4</v>
      </c>
      <c r="D703" s="8">
        <f>IF(Tabela1[[#This Row],[Consumer Price Index (CPI)]]="",#N/A,((Tabela1[[#This Row],[Consumer Price Index (CPI)]]*1)/B691)-1)</f>
        <v>2.8692879914984148E-2</v>
      </c>
      <c r="E703" s="25">
        <v>200.5</v>
      </c>
      <c r="F703" s="8">
        <f>IF(Tabela1[[#This Row],[Core Consumer Price Index]]="",#N/A,((Tabela1[[#This Row],[Core Consumer Price Index]]*1)/E702)-1)</f>
        <v>1.4985014985016143E-3</v>
      </c>
      <c r="G703" s="8">
        <f>IF(Tabela1[[#This Row],[Core Consumer Price Index]]="",#N/A,((Tabela1[[#This Row],[Core Consumer Price Index]]*1)/E691)-1)</f>
        <v>2.1916411824668858E-2</v>
      </c>
      <c r="H703" s="8">
        <f t="shared" si="38"/>
        <v>2.2035132872893826E-2</v>
      </c>
      <c r="I703" s="8">
        <f t="shared" si="35"/>
        <v>2.2091582928800868E-2</v>
      </c>
      <c r="J703" s="25">
        <v>228.9</v>
      </c>
      <c r="K703" s="8">
        <f>IF(Tabela1[[#This Row],[Services CPI]]="",#N/A,((Tabela1[[#This Row],[Services CPI]]*1)/J702)-1)</f>
        <v>1.7505470459517891E-3</v>
      </c>
      <c r="L703" s="8">
        <f>IF(Tabela1[[#This Row],[Services CPI]]="",#N/A,((Tabela1[[#This Row],[Services CPI]]*1)/J691)-1)</f>
        <v>3.1545741324921162E-2</v>
      </c>
      <c r="M703" s="7">
        <v>235.9</v>
      </c>
      <c r="N703" s="8">
        <f>IF(Tabela1[[#This Row],[Core-Services CPI]]="",#N/A,((Tabela1[[#This Row],[Core-Services CPI]]*1)/M702)-1)</f>
        <v>1.2733446519526126E-3</v>
      </c>
      <c r="O703" s="8">
        <f>IF(Tabela1[[#This Row],[Core-Services CPI]]="",#N/A,((Tabela1[[#This Row],[Core-Services CPI]]*1)/M691)-1)</f>
        <v>2.7886710239651391E-2</v>
      </c>
      <c r="P703" s="7">
        <v>115.5</v>
      </c>
      <c r="Q703" s="8">
        <f>IF(Tabela1[[#This Row],[Durable Goods CPI]]="",#N/A,((Tabela1[[#This Row],[Durable Goods CPI]]*1)/P702)-1)</f>
        <v>1.7346053772766545E-3</v>
      </c>
      <c r="R703" s="8">
        <f>IF(Tabela1[[#This Row],[Durable Goods CPI]]="",#N/A,((Tabela1[[#This Row],[Durable Goods CPI]]*1)/P691)-1)</f>
        <v>6.9747166521358928E-3</v>
      </c>
      <c r="S703" s="7">
        <v>2.2461525999999998</v>
      </c>
      <c r="T703" s="7">
        <v>81.649000000000001</v>
      </c>
      <c r="U703" s="8">
        <f>IF(Tabela1[[#This Row],[Personal Consumption Expenditures (PCE)]]="",#N/A,((Tabela1[[#This Row],[Personal Consumption Expenditures (PCE)]]*1)/T702)-1)</f>
        <v>5.6370476575628992E-4</v>
      </c>
      <c r="V703" s="8">
        <f>IF(Tabela1[[#This Row],[Personal Consumption Expenditures (PCE)]]="",#N/A,((Tabela1[[#This Row],[Personal Consumption Expenditures (PCE)]]*1)/T691)-1)</f>
        <v>2.5689663835988252E-2</v>
      </c>
      <c r="W703" s="7">
        <v>81.998999999999995</v>
      </c>
      <c r="X703" s="8">
        <f>IF(Tabela1[[#This Row],[Core PCE]]="",#N/A,((Tabela1[[#This Row],[Core PCE]]*1)/W702)-1)</f>
        <v>2.0530116948342947E-3</v>
      </c>
      <c r="Y703" s="8">
        <f>IF(Tabela1[[#This Row],[Core PCE]]="",#N/A,((Tabela1[[#This Row],[Core PCE]]*1)/W691)-1)</f>
        <v>2.1768927877186872E-2</v>
      </c>
      <c r="Z703" s="8">
        <f t="shared" si="37"/>
        <v>2.2672841715325909E-2</v>
      </c>
      <c r="AA703" s="8">
        <f t="shared" si="36"/>
        <v>2.4421263560372886E-2</v>
      </c>
      <c r="AB703" s="7">
        <v>2.25</v>
      </c>
      <c r="AC703" s="7"/>
      <c r="AD703" s="8"/>
      <c r="AE703" s="71"/>
      <c r="AF703" s="7">
        <v>3.2</v>
      </c>
      <c r="AG703" s="5"/>
    </row>
    <row r="704" spans="1:33" ht="12.75">
      <c r="A704" s="6">
        <v>38504</v>
      </c>
      <c r="B704" s="7">
        <v>193.7</v>
      </c>
      <c r="C704" s="8">
        <f>IF(Tabela1[[#This Row],[Consumer Price Index (CPI)]]="",#N/A,((Tabela1[[#This Row],[Consumer Price Index (CPI)]]*1)/B703)-1)</f>
        <v>5.1652892561970809E-4</v>
      </c>
      <c r="D704" s="8">
        <f>IF(Tabela1[[#This Row],[Consumer Price Index (CPI)]]="",#N/A,((Tabela1[[#This Row],[Consumer Price Index (CPI)]]*1)/B692)-1)</f>
        <v>2.541026998411855E-2</v>
      </c>
      <c r="E704" s="25">
        <v>200.6</v>
      </c>
      <c r="F704" s="8">
        <f>IF(Tabela1[[#This Row],[Core Consumer Price Index]]="",#N/A,((Tabela1[[#This Row],[Core Consumer Price Index]]*1)/E703)-1)</f>
        <v>4.9875311720692928E-4</v>
      </c>
      <c r="G704" s="8">
        <f>IF(Tabela1[[#This Row],[Core Consumer Price Index]]="",#N/A,((Tabela1[[#This Row],[Core Consumer Price Index]]*1)/E692)-1)</f>
        <v>2.0345879959308144E-2</v>
      </c>
      <c r="H704" s="8">
        <f t="shared" si="38"/>
        <v>9.9880189625842775E-3</v>
      </c>
      <c r="I704" s="8">
        <f t="shared" si="35"/>
        <v>2.0063370555045257E-2</v>
      </c>
      <c r="J704" s="25">
        <v>229.1</v>
      </c>
      <c r="K704" s="8">
        <f>IF(Tabela1[[#This Row],[Services CPI]]="",#N/A,((Tabela1[[#This Row],[Services CPI]]*1)/J703)-1)</f>
        <v>8.7374399300998995E-4</v>
      </c>
      <c r="L704" s="8">
        <f>IF(Tabela1[[#This Row],[Services CPI]]="",#N/A,((Tabela1[[#This Row],[Services CPI]]*1)/J692)-1)</f>
        <v>2.8738212842388977E-2</v>
      </c>
      <c r="M704" s="7">
        <v>236.2</v>
      </c>
      <c r="N704" s="8">
        <f>IF(Tabela1[[#This Row],[Core-Services CPI]]="",#N/A,((Tabela1[[#This Row],[Core-Services CPI]]*1)/M703)-1)</f>
        <v>1.2717253073335488E-3</v>
      </c>
      <c r="O704" s="8">
        <f>IF(Tabela1[[#This Row],[Core-Services CPI]]="",#N/A,((Tabela1[[#This Row],[Core-Services CPI]]*1)/M692)-1)</f>
        <v>2.6956521739130324E-2</v>
      </c>
      <c r="P704" s="7">
        <v>115.4</v>
      </c>
      <c r="Q704" s="8">
        <f>IF(Tabela1[[#This Row],[Durable Goods CPI]]="",#N/A,((Tabela1[[#This Row],[Durable Goods CPI]]*1)/P703)-1)</f>
        <v>-8.6580086580079207E-4</v>
      </c>
      <c r="R704" s="8">
        <f>IF(Tabela1[[#This Row],[Durable Goods CPI]]="",#N/A,((Tabela1[[#This Row],[Durable Goods CPI]]*1)/P692)-1)</f>
        <v>7.8602620087335762E-3</v>
      </c>
      <c r="S704" s="7">
        <v>2.2397222999999999</v>
      </c>
      <c r="T704" s="7">
        <v>81.7</v>
      </c>
      <c r="U704" s="8">
        <f>IF(Tabela1[[#This Row],[Personal Consumption Expenditures (PCE)]]="",#N/A,((Tabela1[[#This Row],[Personal Consumption Expenditures (PCE)]]*1)/T703)-1)</f>
        <v>6.2462491885995064E-4</v>
      </c>
      <c r="V704" s="8">
        <f>IF(Tabela1[[#This Row],[Personal Consumption Expenditures (PCE)]]="",#N/A,((Tabela1[[#This Row],[Personal Consumption Expenditures (PCE)]]*1)/T692)-1)</f>
        <v>2.3411957760769653E-2</v>
      </c>
      <c r="W704" s="7">
        <v>82.055999999999997</v>
      </c>
      <c r="X704" s="8">
        <f>IF(Tabela1[[#This Row],[Core PCE]]="",#N/A,((Tabela1[[#This Row],[Core PCE]]*1)/W703)-1)</f>
        <v>6.9513042841995443E-4</v>
      </c>
      <c r="Y704" s="8">
        <f>IF(Tabela1[[#This Row],[Core PCE]]="",#N/A,((Tabela1[[#This Row],[Core PCE]]*1)/W692)-1)</f>
        <v>2.0863658418243558E-2</v>
      </c>
      <c r="Z704" s="8">
        <f t="shared" si="37"/>
        <v>1.5592688389759246E-2</v>
      </c>
      <c r="AA704" s="8">
        <f t="shared" si="36"/>
        <v>2.3243781685282627E-2</v>
      </c>
      <c r="AB704" s="7">
        <v>2.1800000000000002</v>
      </c>
      <c r="AC704" s="7"/>
      <c r="AD704" s="8"/>
      <c r="AE704" s="71"/>
      <c r="AF704" s="7">
        <v>3.2</v>
      </c>
      <c r="AG704" s="5"/>
    </row>
    <row r="705" spans="1:33" ht="12.75">
      <c r="A705" s="6">
        <v>38534</v>
      </c>
      <c r="B705" s="7">
        <v>194.9</v>
      </c>
      <c r="C705" s="8">
        <f>IF(Tabela1[[#This Row],[Consumer Price Index (CPI)]]="",#N/A,((Tabela1[[#This Row],[Consumer Price Index (CPI)]]*1)/B704)-1)</f>
        <v>6.1951471347445608E-3</v>
      </c>
      <c r="D705" s="8">
        <f>IF(Tabela1[[#This Row],[Consumer Price Index (CPI)]]="",#N/A,((Tabela1[[#This Row],[Consumer Price Index (CPI)]]*1)/B693)-1)</f>
        <v>3.0671602326811209E-2</v>
      </c>
      <c r="E705" s="25">
        <v>200.9</v>
      </c>
      <c r="F705" s="8">
        <f>IF(Tabela1[[#This Row],[Core Consumer Price Index]]="",#N/A,((Tabela1[[#This Row],[Core Consumer Price Index]]*1)/E704)-1)</f>
        <v>1.4955134596212893E-3</v>
      </c>
      <c r="G705" s="8">
        <f>IF(Tabela1[[#This Row],[Core Consumer Price Index]]="",#N/A,((Tabela1[[#This Row],[Core Consumer Price Index]]*1)/E693)-1)</f>
        <v>2.0833333333333259E-2</v>
      </c>
      <c r="H705" s="8">
        <f t="shared" si="38"/>
        <v>1.3971072301319332E-2</v>
      </c>
      <c r="I705" s="8">
        <f t="shared" ref="I705:I768" si="39">SUM(F700:F705)*2</f>
        <v>1.9026200092616019E-2</v>
      </c>
      <c r="J705" s="25">
        <v>229.9</v>
      </c>
      <c r="K705" s="8">
        <f>IF(Tabela1[[#This Row],[Services CPI]]="",#N/A,((Tabela1[[#This Row],[Services CPI]]*1)/J704)-1)</f>
        <v>3.4919249236142758E-3</v>
      </c>
      <c r="L705" s="8">
        <f>IF(Tabela1[[#This Row],[Services CPI]]="",#N/A,((Tabela1[[#This Row],[Services CPI]]*1)/J693)-1)</f>
        <v>3.0017921146953563E-2</v>
      </c>
      <c r="M705" s="7">
        <v>236.8</v>
      </c>
      <c r="N705" s="8">
        <f>IF(Tabela1[[#This Row],[Core-Services CPI]]="",#N/A,((Tabela1[[#This Row],[Core-Services CPI]]*1)/M704)-1)</f>
        <v>2.5402201524133972E-3</v>
      </c>
      <c r="O705" s="8">
        <f>IF(Tabela1[[#This Row],[Core-Services CPI]]="",#N/A,((Tabela1[[#This Row],[Core-Services CPI]]*1)/M693)-1)</f>
        <v>2.7331887201735405E-2</v>
      </c>
      <c r="P705" s="7">
        <v>115</v>
      </c>
      <c r="Q705" s="8">
        <f>IF(Tabela1[[#This Row],[Durable Goods CPI]]="",#N/A,((Tabela1[[#This Row],[Durable Goods CPI]]*1)/P704)-1)</f>
        <v>-3.4662045060659397E-3</v>
      </c>
      <c r="R705" s="8">
        <f>IF(Tabela1[[#This Row],[Durable Goods CPI]]="",#N/A,((Tabela1[[#This Row],[Durable Goods CPI]]*1)/P693)-1)</f>
        <v>6.1242344706911034E-3</v>
      </c>
      <c r="S705" s="7">
        <v>2.3579552000000001</v>
      </c>
      <c r="T705" s="7">
        <v>82.046000000000006</v>
      </c>
      <c r="U705" s="8">
        <f>IF(Tabela1[[#This Row],[Personal Consumption Expenditures (PCE)]]="",#N/A,((Tabela1[[#This Row],[Personal Consumption Expenditures (PCE)]]*1)/T704)-1)</f>
        <v>4.2350061199509792E-3</v>
      </c>
      <c r="V705" s="8">
        <f>IF(Tabela1[[#This Row],[Personal Consumption Expenditures (PCE)]]="",#N/A,((Tabela1[[#This Row],[Personal Consumption Expenditures (PCE)]]*1)/T693)-1)</f>
        <v>2.6794318252925331E-2</v>
      </c>
      <c r="W705" s="7">
        <v>82.176000000000002</v>
      </c>
      <c r="X705" s="8">
        <f>IF(Tabela1[[#This Row],[Core PCE]]="",#N/A,((Tabela1[[#This Row],[Core PCE]]*1)/W704)-1)</f>
        <v>1.462415911085202E-3</v>
      </c>
      <c r="Y705" s="8">
        <f>IF(Tabela1[[#This Row],[Core PCE]]="",#N/A,((Tabela1[[#This Row],[Core PCE]]*1)/W693)-1)</f>
        <v>2.1149688098019315E-2</v>
      </c>
      <c r="Z705" s="8">
        <f t="shared" si="37"/>
        <v>1.6842232137357804E-2</v>
      </c>
      <c r="AA705" s="8">
        <f t="shared" si="36"/>
        <v>1.8968426105315128E-2</v>
      </c>
      <c r="AB705" s="7">
        <v>2.25</v>
      </c>
      <c r="AC705" s="7"/>
      <c r="AD705" s="8"/>
      <c r="AE705" s="71"/>
      <c r="AF705" s="7">
        <v>3</v>
      </c>
      <c r="AG705" s="5"/>
    </row>
    <row r="706" spans="1:33" ht="12.75">
      <c r="A706" s="6">
        <v>38565</v>
      </c>
      <c r="B706" s="7">
        <v>196.1</v>
      </c>
      <c r="C706" s="8">
        <f>IF(Tabela1[[#This Row],[Consumer Price Index (CPI)]]="",#N/A,((Tabela1[[#This Row],[Consumer Price Index (CPI)]]*1)/B705)-1)</f>
        <v>6.1570035915854415E-3</v>
      </c>
      <c r="D706" s="8">
        <f>IF(Tabela1[[#This Row],[Consumer Price Index (CPI)]]="",#N/A,((Tabela1[[#This Row],[Consumer Price Index (CPI)]]*1)/B694)-1)</f>
        <v>3.6469344608879517E-2</v>
      </c>
      <c r="E706" s="25">
        <v>201.1</v>
      </c>
      <c r="F706" s="8">
        <f>IF(Tabela1[[#This Row],[Core Consumer Price Index]]="",#N/A,((Tabela1[[#This Row],[Core Consumer Price Index]]*1)/E705)-1)</f>
        <v>9.955201592830587E-4</v>
      </c>
      <c r="G706" s="8">
        <f>IF(Tabela1[[#This Row],[Core Consumer Price Index]]="",#N/A,((Tabela1[[#This Row],[Core Consumer Price Index]]*1)/E694)-1)</f>
        <v>2.1330624682579957E-2</v>
      </c>
      <c r="H706" s="8">
        <f t="shared" si="38"/>
        <v>1.1959146944445109E-2</v>
      </c>
      <c r="I706" s="8">
        <f t="shared" si="39"/>
        <v>1.6997139908669467E-2</v>
      </c>
      <c r="J706" s="25">
        <v>230.4</v>
      </c>
      <c r="K706" s="8">
        <f>IF(Tabela1[[#This Row],[Services CPI]]="",#N/A,((Tabela1[[#This Row],[Services CPI]]*1)/J705)-1)</f>
        <v>2.1748586341887588E-3</v>
      </c>
      <c r="L706" s="8">
        <f>IF(Tabela1[[#This Row],[Services CPI]]="",#N/A,((Tabela1[[#This Row],[Services CPI]]*1)/J694)-1)</f>
        <v>2.9950827000447156E-2</v>
      </c>
      <c r="M706" s="7">
        <v>237.1</v>
      </c>
      <c r="N706" s="8">
        <f>IF(Tabela1[[#This Row],[Core-Services CPI]]="",#N/A,((Tabela1[[#This Row],[Core-Services CPI]]*1)/M705)-1)</f>
        <v>1.2668918918918859E-3</v>
      </c>
      <c r="O706" s="8">
        <f>IF(Tabela1[[#This Row],[Core-Services CPI]]="",#N/A,((Tabela1[[#This Row],[Core-Services CPI]]*1)/M694)-1)</f>
        <v>2.6851450844521452E-2</v>
      </c>
      <c r="P706" s="7">
        <v>114.7</v>
      </c>
      <c r="Q706" s="8">
        <f>IF(Tabela1[[#This Row],[Durable Goods CPI]]="",#N/A,((Tabela1[[#This Row],[Durable Goods CPI]]*1)/P705)-1)</f>
        <v>-2.6086956521739202E-3</v>
      </c>
      <c r="R706" s="8">
        <f>IF(Tabela1[[#This Row],[Durable Goods CPI]]="",#N/A,((Tabela1[[#This Row],[Durable Goods CPI]]*1)/P694)-1)</f>
        <v>6.1403508771931126E-3</v>
      </c>
      <c r="S706" s="7">
        <v>2.1993551999999998</v>
      </c>
      <c r="T706" s="7">
        <v>82.376999999999995</v>
      </c>
      <c r="U706" s="8">
        <f>IF(Tabela1[[#This Row],[Personal Consumption Expenditures (PCE)]]="",#N/A,((Tabela1[[#This Row],[Personal Consumption Expenditures (PCE)]]*1)/T705)-1)</f>
        <v>4.0343222094920694E-3</v>
      </c>
      <c r="V706" s="8">
        <f>IF(Tabela1[[#This Row],[Personal Consumption Expenditures (PCE)]]="",#N/A,((Tabela1[[#This Row],[Personal Consumption Expenditures (PCE)]]*1)/T694)-1)</f>
        <v>3.0408025417156592E-2</v>
      </c>
      <c r="W706" s="7">
        <v>82.242999999999995</v>
      </c>
      <c r="X706" s="8">
        <f>IF(Tabela1[[#This Row],[Core PCE]]="",#N/A,((Tabela1[[#This Row],[Core PCE]]*1)/W705)-1)</f>
        <v>8.1532320872268471E-4</v>
      </c>
      <c r="Y706" s="8">
        <f>IF(Tabela1[[#This Row],[Core PCE]]="",#N/A,((Tabela1[[#This Row],[Core PCE]]*1)/W694)-1)</f>
        <v>2.1588721197441041E-2</v>
      </c>
      <c r="Z706" s="8">
        <f t="shared" si="37"/>
        <v>1.1891478192911364E-2</v>
      </c>
      <c r="AA706" s="8">
        <f t="shared" si="36"/>
        <v>1.7282159954118637E-2</v>
      </c>
      <c r="AB706" s="7">
        <v>2.29</v>
      </c>
      <c r="AC706" s="7"/>
      <c r="AD706" s="8"/>
      <c r="AE706" s="71"/>
      <c r="AF706" s="7">
        <v>3.1</v>
      </c>
      <c r="AG706" s="5"/>
    </row>
    <row r="707" spans="1:33" ht="12.75">
      <c r="A707" s="6">
        <v>38596</v>
      </c>
      <c r="B707" s="7">
        <v>198.8</v>
      </c>
      <c r="C707" s="8">
        <f>IF(Tabela1[[#This Row],[Consumer Price Index (CPI)]]="",#N/A,((Tabela1[[#This Row],[Consumer Price Index (CPI)]]*1)/B706)-1)</f>
        <v>1.3768485466598701E-2</v>
      </c>
      <c r="D707" s="8">
        <f>IF(Tabela1[[#This Row],[Consumer Price Index (CPI)]]="",#N/A,((Tabela1[[#This Row],[Consumer Price Index (CPI)]]*1)/B695)-1)</f>
        <v>4.7418335089568053E-2</v>
      </c>
      <c r="E707" s="25">
        <v>201.3</v>
      </c>
      <c r="F707" s="8">
        <f>IF(Tabela1[[#This Row],[Core Consumer Price Index]]="",#N/A,((Tabela1[[#This Row],[Core Consumer Price Index]]*1)/E706)-1)</f>
        <v>9.9453008453509462E-4</v>
      </c>
      <c r="G707" s="8">
        <f>IF(Tabela1[[#This Row],[Core Consumer Price Index]]="",#N/A,((Tabela1[[#This Row],[Core Consumer Price Index]]*1)/E695)-1)</f>
        <v>1.9240506329113893E-2</v>
      </c>
      <c r="H707" s="8">
        <f t="shared" si="38"/>
        <v>1.3942254813757771E-2</v>
      </c>
      <c r="I707" s="8">
        <f t="shared" si="39"/>
        <v>1.1965136888171024E-2</v>
      </c>
      <c r="J707" s="25">
        <v>231.4</v>
      </c>
      <c r="K707" s="8">
        <f>IF(Tabela1[[#This Row],[Services CPI]]="",#N/A,((Tabela1[[#This Row],[Services CPI]]*1)/J706)-1)</f>
        <v>4.3402777777776791E-3</v>
      </c>
      <c r="L707" s="8">
        <f>IF(Tabela1[[#This Row],[Services CPI]]="",#N/A,((Tabela1[[#This Row],[Services CPI]]*1)/J695)-1)</f>
        <v>3.211418376449604E-2</v>
      </c>
      <c r="M707" s="7">
        <v>237.4</v>
      </c>
      <c r="N707" s="8">
        <f>IF(Tabela1[[#This Row],[Core-Services CPI]]="",#N/A,((Tabela1[[#This Row],[Core-Services CPI]]*1)/M706)-1)</f>
        <v>1.265288907633888E-3</v>
      </c>
      <c r="O707" s="8">
        <f>IF(Tabela1[[#This Row],[Core-Services CPI]]="",#N/A,((Tabela1[[#This Row],[Core-Services CPI]]*1)/M695)-1)</f>
        <v>2.5043177892918767E-2</v>
      </c>
      <c r="P707" s="7">
        <v>115.1</v>
      </c>
      <c r="Q707" s="8">
        <f>IF(Tabela1[[#This Row],[Durable Goods CPI]]="",#N/A,((Tabela1[[#This Row],[Durable Goods CPI]]*1)/P706)-1)</f>
        <v>3.4873583260679464E-3</v>
      </c>
      <c r="R707" s="8">
        <f>IF(Tabela1[[#This Row],[Durable Goods CPI]]="",#N/A,((Tabela1[[#This Row],[Durable Goods CPI]]*1)/P695)-1)</f>
        <v>4.3630017452007674E-3</v>
      </c>
      <c r="S707" s="7">
        <v>2.3010793999999999</v>
      </c>
      <c r="T707" s="7">
        <v>83.171999999999997</v>
      </c>
      <c r="U707" s="8">
        <f>IF(Tabela1[[#This Row],[Personal Consumption Expenditures (PCE)]]="",#N/A,((Tabela1[[#This Row],[Personal Consumption Expenditures (PCE)]]*1)/T706)-1)</f>
        <v>9.6507520302997474E-3</v>
      </c>
      <c r="V707" s="8">
        <f>IF(Tabela1[[#This Row],[Personal Consumption Expenditures (PCE)]]="",#N/A,((Tabela1[[#This Row],[Personal Consumption Expenditures (PCE)]]*1)/T695)-1)</f>
        <v>3.8300209727354373E-2</v>
      </c>
      <c r="W707" s="7">
        <v>82.424999999999997</v>
      </c>
      <c r="X707" s="8">
        <f>IF(Tabela1[[#This Row],[Core PCE]]="",#N/A,((Tabela1[[#This Row],[Core PCE]]*1)/W706)-1)</f>
        <v>2.2129542939823832E-3</v>
      </c>
      <c r="Y707" s="8">
        <f>IF(Tabela1[[#This Row],[Core PCE]]="",#N/A,((Tabela1[[#This Row],[Core PCE]]*1)/W695)-1)</f>
        <v>2.1932652251537288E-2</v>
      </c>
      <c r="Z707" s="8">
        <f t="shared" si="37"/>
        <v>1.7962773655161079E-2</v>
      </c>
      <c r="AA707" s="8">
        <f t="shared" si="36"/>
        <v>1.6777731022460163E-2</v>
      </c>
      <c r="AB707" s="7">
        <v>2.39</v>
      </c>
      <c r="AC707" s="7"/>
      <c r="AD707" s="8"/>
      <c r="AE707" s="71"/>
      <c r="AF707" s="7">
        <v>4.3</v>
      </c>
      <c r="AG707" s="5"/>
    </row>
    <row r="708" spans="1:33" ht="12.75">
      <c r="A708" s="6">
        <v>38626</v>
      </c>
      <c r="B708" s="7">
        <v>199.1</v>
      </c>
      <c r="C708" s="8">
        <f>IF(Tabela1[[#This Row],[Consumer Price Index (CPI)]]="",#N/A,((Tabela1[[#This Row],[Consumer Price Index (CPI)]]*1)/B707)-1)</f>
        <v>1.5090543259557165E-3</v>
      </c>
      <c r="D708" s="8">
        <f>IF(Tabela1[[#This Row],[Consumer Price Index (CPI)]]="",#N/A,((Tabela1[[#This Row],[Consumer Price Index (CPI)]]*1)/B696)-1)</f>
        <v>4.3501048218029359E-2</v>
      </c>
      <c r="E708" s="25">
        <v>202</v>
      </c>
      <c r="F708" s="8">
        <f>IF(Tabela1[[#This Row],[Core Consumer Price Index]]="",#N/A,((Tabela1[[#This Row],[Core Consumer Price Index]]*1)/E707)-1)</f>
        <v>3.4773969200199151E-3</v>
      </c>
      <c r="G708" s="8">
        <f>IF(Tabela1[[#This Row],[Core Consumer Price Index]]="",#N/A,((Tabela1[[#This Row],[Core Consumer Price Index]]*1)/E696)-1)</f>
        <v>2.0717534108135371E-2</v>
      </c>
      <c r="H708" s="8">
        <f t="shared" si="38"/>
        <v>2.1869788655352274E-2</v>
      </c>
      <c r="I708" s="8">
        <f t="shared" si="39"/>
        <v>1.7920430478335803E-2</v>
      </c>
      <c r="J708" s="25">
        <v>233.1</v>
      </c>
      <c r="K708" s="8">
        <f>IF(Tabela1[[#This Row],[Services CPI]]="",#N/A,((Tabela1[[#This Row],[Services CPI]]*1)/J707)-1)</f>
        <v>7.3465859982713155E-3</v>
      </c>
      <c r="L708" s="8">
        <f>IF(Tabela1[[#This Row],[Services CPI]]="",#N/A,((Tabela1[[#This Row],[Services CPI]]*1)/J696)-1)</f>
        <v>3.7845057880676825E-2</v>
      </c>
      <c r="M708" s="7">
        <v>238.3</v>
      </c>
      <c r="N708" s="8">
        <f>IF(Tabela1[[#This Row],[Core-Services CPI]]="",#N/A,((Tabela1[[#This Row],[Core-Services CPI]]*1)/M707)-1)</f>
        <v>3.7910699241785473E-3</v>
      </c>
      <c r="O708" s="8">
        <f>IF(Tabela1[[#This Row],[Core-Services CPI]]="",#N/A,((Tabela1[[#This Row],[Core-Services CPI]]*1)/M696)-1)</f>
        <v>2.7155172413793061E-2</v>
      </c>
      <c r="P708" s="7">
        <v>115.1</v>
      </c>
      <c r="Q708" s="8">
        <f>IF(Tabela1[[#This Row],[Durable Goods CPI]]="",#N/A,((Tabela1[[#This Row],[Durable Goods CPI]]*1)/P707)-1)</f>
        <v>0</v>
      </c>
      <c r="R708" s="8">
        <f>IF(Tabela1[[#This Row],[Durable Goods CPI]]="",#N/A,((Tabela1[[#This Row],[Durable Goods CPI]]*1)/P696)-1)</f>
        <v>8.6956521739134374E-4</v>
      </c>
      <c r="S708" s="7">
        <v>2.2644058999999999</v>
      </c>
      <c r="T708" s="7">
        <v>83.305000000000007</v>
      </c>
      <c r="U708" s="8">
        <f>IF(Tabela1[[#This Row],[Personal Consumption Expenditures (PCE)]]="",#N/A,((Tabela1[[#This Row],[Personal Consumption Expenditures (PCE)]]*1)/T707)-1)</f>
        <v>1.5990958495648577E-3</v>
      </c>
      <c r="V708" s="8">
        <f>IF(Tabela1[[#This Row],[Personal Consumption Expenditures (PCE)]]="",#N/A,((Tabela1[[#This Row],[Personal Consumption Expenditures (PCE)]]*1)/T696)-1)</f>
        <v>3.5513623707239539E-2</v>
      </c>
      <c r="W708" s="7">
        <v>82.662000000000006</v>
      </c>
      <c r="X708" s="8">
        <f>IF(Tabela1[[#This Row],[Core PCE]]="",#N/A,((Tabela1[[#This Row],[Core PCE]]*1)/W707)-1)</f>
        <v>2.8753412192903394E-3</v>
      </c>
      <c r="Y708" s="8">
        <f>IF(Tabela1[[#This Row],[Core PCE]]="",#N/A,((Tabela1[[#This Row],[Core PCE]]*1)/W696)-1)</f>
        <v>2.2652200269698497E-2</v>
      </c>
      <c r="Z708" s="8">
        <f t="shared" si="37"/>
        <v>2.3614474887981629E-2</v>
      </c>
      <c r="AA708" s="8">
        <f t="shared" si="36"/>
        <v>2.0228353512669717E-2</v>
      </c>
      <c r="AB708" s="7">
        <v>2.4500000000000002</v>
      </c>
      <c r="AC708" s="7"/>
      <c r="AD708" s="8"/>
      <c r="AE708" s="71"/>
      <c r="AF708" s="7">
        <v>4.5999999999999996</v>
      </c>
      <c r="AG708" s="5"/>
    </row>
    <row r="709" spans="1:33" ht="12.75">
      <c r="A709" s="6">
        <v>38657</v>
      </c>
      <c r="B709" s="7">
        <v>198.1</v>
      </c>
      <c r="C709" s="8">
        <f>IF(Tabela1[[#This Row],[Consumer Price Index (CPI)]]="",#N/A,((Tabela1[[#This Row],[Consumer Price Index (CPI)]]*1)/B708)-1)</f>
        <v>-5.0226017076845375E-3</v>
      </c>
      <c r="D709" s="8">
        <f>IF(Tabela1[[#This Row],[Consumer Price Index (CPI)]]="",#N/A,((Tabela1[[#This Row],[Consumer Price Index (CPI)]]*1)/B697)-1)</f>
        <v>3.3385498174230532E-2</v>
      </c>
      <c r="E709" s="25">
        <v>202.5</v>
      </c>
      <c r="F709" s="8">
        <f>IF(Tabela1[[#This Row],[Core Consumer Price Index]]="",#N/A,((Tabela1[[#This Row],[Core Consumer Price Index]]*1)/E708)-1)</f>
        <v>2.4752475247524774E-3</v>
      </c>
      <c r="G709" s="8">
        <f>IF(Tabela1[[#This Row],[Core Consumer Price Index]]="",#N/A,((Tabela1[[#This Row],[Core Consumer Price Index]]*1)/E697)-1)</f>
        <v>2.1180030257186067E-2</v>
      </c>
      <c r="H709" s="8">
        <f t="shared" si="38"/>
        <v>2.7788698117229949E-2</v>
      </c>
      <c r="I709" s="8">
        <f t="shared" si="39"/>
        <v>1.9873922530837529E-2</v>
      </c>
      <c r="J709" s="25">
        <v>234.2</v>
      </c>
      <c r="K709" s="8">
        <f>IF(Tabela1[[#This Row],[Services CPI]]="",#N/A,((Tabela1[[#This Row],[Services CPI]]*1)/J708)-1)</f>
        <v>4.7190047190046602E-3</v>
      </c>
      <c r="L709" s="8">
        <f>IF(Tabela1[[#This Row],[Services CPI]]="",#N/A,((Tabela1[[#This Row],[Services CPI]]*1)/J697)-1)</f>
        <v>3.9041703637976877E-2</v>
      </c>
      <c r="M709" s="7">
        <v>239.2</v>
      </c>
      <c r="N709" s="8">
        <f>IF(Tabela1[[#This Row],[Core-Services CPI]]="",#N/A,((Tabela1[[#This Row],[Core-Services CPI]]*1)/M708)-1)</f>
        <v>3.776751993285643E-3</v>
      </c>
      <c r="O709" s="8">
        <f>IF(Tabela1[[#This Row],[Core-Services CPI]]="",#N/A,((Tabela1[[#This Row],[Core-Services CPI]]*1)/M697)-1)</f>
        <v>2.8817204301075261E-2</v>
      </c>
      <c r="P709" s="7">
        <v>115</v>
      </c>
      <c r="Q709" s="8">
        <f>IF(Tabela1[[#This Row],[Durable Goods CPI]]="",#N/A,((Tabela1[[#This Row],[Durable Goods CPI]]*1)/P708)-1)</f>
        <v>-8.6880973066894018E-4</v>
      </c>
      <c r="R709" s="8">
        <f>IF(Tabela1[[#This Row],[Durable Goods CPI]]="",#N/A,((Tabela1[[#This Row],[Durable Goods CPI]]*1)/P697)-1)</f>
        <v>-3.4662045060659397E-3</v>
      </c>
      <c r="S709" s="7">
        <v>2.3340762000000002</v>
      </c>
      <c r="T709" s="7">
        <v>83.131</v>
      </c>
      <c r="U709" s="8">
        <f>IF(Tabela1[[#This Row],[Personal Consumption Expenditures (PCE)]]="",#N/A,((Tabela1[[#This Row],[Personal Consumption Expenditures (PCE)]]*1)/T708)-1)</f>
        <v>-2.0887101614549541E-3</v>
      </c>
      <c r="V709" s="8">
        <f>IF(Tabela1[[#This Row],[Personal Consumption Expenditures (PCE)]]="",#N/A,((Tabela1[[#This Row],[Personal Consumption Expenditures (PCE)]]*1)/T697)-1)</f>
        <v>2.9384085787166558E-2</v>
      </c>
      <c r="W709" s="7">
        <v>82.873000000000005</v>
      </c>
      <c r="X709" s="8">
        <f>IF(Tabela1[[#This Row],[Core PCE]]="",#N/A,((Tabela1[[#This Row],[Core PCE]]*1)/W708)-1)</f>
        <v>2.5525634511625039E-3</v>
      </c>
      <c r="Y709" s="8">
        <f>IF(Tabela1[[#This Row],[Core PCE]]="",#N/A,((Tabela1[[#This Row],[Core PCE]]*1)/W697)-1)</f>
        <v>2.3060304919449548E-2</v>
      </c>
      <c r="Z709" s="8">
        <f t="shared" si="37"/>
        <v>3.0563435857740906E-2</v>
      </c>
      <c r="AA709" s="8">
        <f t="shared" si="36"/>
        <v>2.1227457025326135E-2</v>
      </c>
      <c r="AB709" s="7">
        <v>2.46</v>
      </c>
      <c r="AC709" s="7"/>
      <c r="AD709" s="8"/>
      <c r="AE709" s="71"/>
      <c r="AF709" s="7">
        <v>3.3</v>
      </c>
      <c r="AG709" s="5"/>
    </row>
    <row r="710" spans="1:33" ht="12.75">
      <c r="A710" s="6">
        <v>38687</v>
      </c>
      <c r="B710" s="7">
        <v>198.1</v>
      </c>
      <c r="C710" s="8">
        <f>IF(Tabela1[[#This Row],[Consumer Price Index (CPI)]]="",#N/A,((Tabela1[[#This Row],[Consumer Price Index (CPI)]]*1)/B709)-1)</f>
        <v>0</v>
      </c>
      <c r="D710" s="8">
        <f>IF(Tabela1[[#This Row],[Consumer Price Index (CPI)]]="",#N/A,((Tabela1[[#This Row],[Consumer Price Index (CPI)]]*1)/B698)-1)</f>
        <v>3.3385498174230532E-2</v>
      </c>
      <c r="E710" s="25">
        <v>202.8</v>
      </c>
      <c r="F710" s="8">
        <f>IF(Tabela1[[#This Row],[Core Consumer Price Index]]="",#N/A,((Tabela1[[#This Row],[Core Consumer Price Index]]*1)/E709)-1)</f>
        <v>1.4814814814816391E-3</v>
      </c>
      <c r="G710" s="8">
        <f>IF(Tabela1[[#This Row],[Core Consumer Price Index]]="",#N/A,((Tabela1[[#This Row],[Core Consumer Price Index]]*1)/E698)-1)</f>
        <v>2.1148036253776592E-2</v>
      </c>
      <c r="H710" s="8">
        <f t="shared" si="38"/>
        <v>2.9736503705016126E-2</v>
      </c>
      <c r="I710" s="8">
        <f t="shared" si="39"/>
        <v>2.1839379259386948E-2</v>
      </c>
      <c r="J710" s="25">
        <v>234.4</v>
      </c>
      <c r="K710" s="8">
        <f>IF(Tabela1[[#This Row],[Services CPI]]="",#N/A,((Tabela1[[#This Row],[Services CPI]]*1)/J709)-1)</f>
        <v>8.5397096498729397E-4</v>
      </c>
      <c r="L710" s="8">
        <f>IF(Tabela1[[#This Row],[Services CPI]]="",#N/A,((Tabela1[[#This Row],[Services CPI]]*1)/J698)-1)</f>
        <v>3.8086802480070903E-2</v>
      </c>
      <c r="M710" s="7">
        <v>239.8</v>
      </c>
      <c r="N710" s="8">
        <f>IF(Tabela1[[#This Row],[Core-Services CPI]]="",#N/A,((Tabela1[[#This Row],[Core-Services CPI]]*1)/M709)-1)</f>
        <v>2.5083612040135428E-3</v>
      </c>
      <c r="O710" s="8">
        <f>IF(Tabela1[[#This Row],[Core-Services CPI]]="",#N/A,((Tabela1[[#This Row],[Core-Services CPI]]*1)/M698)-1)</f>
        <v>2.9626449119793952E-2</v>
      </c>
      <c r="P710" s="7">
        <v>115</v>
      </c>
      <c r="Q710" s="8">
        <f>IF(Tabela1[[#This Row],[Durable Goods CPI]]="",#N/A,((Tabela1[[#This Row],[Durable Goods CPI]]*1)/P709)-1)</f>
        <v>0</v>
      </c>
      <c r="R710" s="8">
        <f>IF(Tabela1[[#This Row],[Durable Goods CPI]]="",#N/A,((Tabela1[[#This Row],[Durable Goods CPI]]*1)/P698)-1)</f>
        <v>-4.3290043290042934E-3</v>
      </c>
      <c r="S710" s="7">
        <v>2.3253024</v>
      </c>
      <c r="T710" s="7">
        <v>83.131</v>
      </c>
      <c r="U710" s="8">
        <f>IF(Tabela1[[#This Row],[Personal Consumption Expenditures (PCE)]]="",#N/A,((Tabela1[[#This Row],[Personal Consumption Expenditures (PCE)]]*1)/T709)-1)</f>
        <v>0</v>
      </c>
      <c r="V710" s="8">
        <f>IF(Tabela1[[#This Row],[Personal Consumption Expenditures (PCE)]]="",#N/A,((Tabela1[[#This Row],[Personal Consumption Expenditures (PCE)]]*1)/T698)-1)</f>
        <v>2.8836276778752667E-2</v>
      </c>
      <c r="W710" s="7">
        <v>82.959000000000003</v>
      </c>
      <c r="X710" s="8">
        <f>IF(Tabela1[[#This Row],[Core PCE]]="",#N/A,((Tabela1[[#This Row],[Core PCE]]*1)/W709)-1)</f>
        <v>1.0377324339652105E-3</v>
      </c>
      <c r="Y710" s="8">
        <f>IF(Tabela1[[#This Row],[Core PCE]]="",#N/A,((Tabela1[[#This Row],[Core PCE]]*1)/W698)-1)</f>
        <v>2.2808812832114889E-2</v>
      </c>
      <c r="Z710" s="8">
        <f t="shared" si="37"/>
        <v>2.5862548417672215E-2</v>
      </c>
      <c r="AA710" s="8">
        <f t="shared" si="36"/>
        <v>2.1912661036416647E-2</v>
      </c>
      <c r="AB710" s="7">
        <v>2.44</v>
      </c>
      <c r="AC710" s="7"/>
      <c r="AD710" s="8"/>
      <c r="AE710" s="71"/>
      <c r="AF710" s="7">
        <v>3.1</v>
      </c>
      <c r="AG710" s="5"/>
    </row>
    <row r="711" spans="1:33" ht="12.75">
      <c r="A711" s="6">
        <v>38718</v>
      </c>
      <c r="B711" s="7">
        <v>199.3</v>
      </c>
      <c r="C711" s="8">
        <f>IF(Tabela1[[#This Row],[Consumer Price Index (CPI)]]="",#N/A,((Tabela1[[#This Row],[Consumer Price Index (CPI)]]*1)/B710)-1)</f>
        <v>6.0575466935892663E-3</v>
      </c>
      <c r="D711" s="8">
        <f>IF(Tabela1[[#This Row],[Consumer Price Index (CPI)]]="",#N/A,((Tabela1[[#This Row],[Consumer Price Index (CPI)]]*1)/B699)-1)</f>
        <v>4.0187891440501167E-2</v>
      </c>
      <c r="E711" s="25">
        <v>203.2</v>
      </c>
      <c r="F711" s="8">
        <f>IF(Tabela1[[#This Row],[Core Consumer Price Index]]="",#N/A,((Tabela1[[#This Row],[Core Consumer Price Index]]*1)/E710)-1)</f>
        <v>1.9723865877709912E-3</v>
      </c>
      <c r="G711" s="8">
        <f>IF(Tabela1[[#This Row],[Core Consumer Price Index]]="",#N/A,((Tabela1[[#This Row],[Core Consumer Price Index]]*1)/E699)-1)</f>
        <v>2.1105527638190846E-2</v>
      </c>
      <c r="H711" s="8">
        <f t="shared" si="38"/>
        <v>2.3716462376020431E-2</v>
      </c>
      <c r="I711" s="8">
        <f t="shared" si="39"/>
        <v>2.2793125515686352E-2</v>
      </c>
      <c r="J711" s="25">
        <v>235.5</v>
      </c>
      <c r="K711" s="8">
        <f>IF(Tabela1[[#This Row],[Services CPI]]="",#N/A,((Tabela1[[#This Row],[Services CPI]]*1)/J710)-1)</f>
        <v>4.6928327645050505E-3</v>
      </c>
      <c r="L711" s="8">
        <f>IF(Tabela1[[#This Row],[Services CPI]]="",#N/A,((Tabela1[[#This Row],[Services CPI]]*1)/J699)-1)</f>
        <v>4.1114058355437688E-2</v>
      </c>
      <c r="M711" s="7">
        <v>240.3</v>
      </c>
      <c r="N711" s="8">
        <f>IF(Tabela1[[#This Row],[Core-Services CPI]]="",#N/A,((Tabela1[[#This Row],[Core-Services CPI]]*1)/M710)-1)</f>
        <v>2.085070892410279E-3</v>
      </c>
      <c r="O711" s="8">
        <f>IF(Tabela1[[#This Row],[Core-Services CPI]]="",#N/A,((Tabela1[[#This Row],[Core-Services CPI]]*1)/M699)-1)</f>
        <v>2.9122055674518199E-2</v>
      </c>
      <c r="P711" s="7">
        <v>115</v>
      </c>
      <c r="Q711" s="8">
        <f>IF(Tabela1[[#This Row],[Durable Goods CPI]]="",#N/A,((Tabela1[[#This Row],[Durable Goods CPI]]*1)/P710)-1)</f>
        <v>0</v>
      </c>
      <c r="R711" s="8">
        <f>IF(Tabela1[[#This Row],[Durable Goods CPI]]="",#N/A,((Tabela1[[#This Row],[Durable Goods CPI]]*1)/P699)-1)</f>
        <v>-6.0501296456353382E-3</v>
      </c>
      <c r="S711" s="7">
        <v>2.4316658000000002</v>
      </c>
      <c r="T711" s="7">
        <v>83.534000000000006</v>
      </c>
      <c r="U711" s="8">
        <f>IF(Tabela1[[#This Row],[Personal Consumption Expenditures (PCE)]]="",#N/A,((Tabela1[[#This Row],[Personal Consumption Expenditures (PCE)]]*1)/T710)-1)</f>
        <v>4.8477703864984178E-3</v>
      </c>
      <c r="V711" s="8">
        <f>IF(Tabela1[[#This Row],[Personal Consumption Expenditures (PCE)]]="",#N/A,((Tabela1[[#This Row],[Personal Consumption Expenditures (PCE)]]*1)/T699)-1)</f>
        <v>3.2469378422139039E-2</v>
      </c>
      <c r="W711" s="7">
        <v>83.144999999999996</v>
      </c>
      <c r="X711" s="8">
        <f>IF(Tabela1[[#This Row],[Core PCE]]="",#N/A,((Tabela1[[#This Row],[Core PCE]]*1)/W710)-1)</f>
        <v>2.2420713846598161E-3</v>
      </c>
      <c r="Y711" s="8">
        <f>IF(Tabela1[[#This Row],[Core PCE]]="",#N/A,((Tabela1[[#This Row],[Core PCE]]*1)/W699)-1)</f>
        <v>2.1424798221152175E-2</v>
      </c>
      <c r="Z711" s="8">
        <f t="shared" si="37"/>
        <v>2.3329469079150122E-2</v>
      </c>
      <c r="AA711" s="8">
        <f t="shared" si="36"/>
        <v>2.3471971983565876E-2</v>
      </c>
      <c r="AB711" s="7">
        <v>2.39</v>
      </c>
      <c r="AC711" s="7"/>
      <c r="AD711" s="8"/>
      <c r="AE711" s="71"/>
      <c r="AF711" s="7">
        <v>3</v>
      </c>
      <c r="AG711" s="5"/>
    </row>
    <row r="712" spans="1:33" ht="12.75">
      <c r="A712" s="6">
        <v>38749</v>
      </c>
      <c r="B712" s="7">
        <v>199.4</v>
      </c>
      <c r="C712" s="8">
        <f>IF(Tabela1[[#This Row],[Consumer Price Index (CPI)]]="",#N/A,((Tabela1[[#This Row],[Consumer Price Index (CPI)]]*1)/B711)-1)</f>
        <v>5.0175614651282174E-4</v>
      </c>
      <c r="D712" s="8">
        <f>IF(Tabela1[[#This Row],[Consumer Price Index (CPI)]]="",#N/A,((Tabela1[[#This Row],[Consumer Price Index (CPI)]]*1)/B700)-1)</f>
        <v>3.6382536382536301E-2</v>
      </c>
      <c r="E712" s="25">
        <v>203.6</v>
      </c>
      <c r="F712" s="8">
        <f>IF(Tabela1[[#This Row],[Core Consumer Price Index]]="",#N/A,((Tabela1[[#This Row],[Core Consumer Price Index]]*1)/E711)-1)</f>
        <v>1.9685039370078705E-3</v>
      </c>
      <c r="G712" s="8">
        <f>IF(Tabela1[[#This Row],[Core Consumer Price Index]]="",#N/A,((Tabela1[[#This Row],[Core Consumer Price Index]]*1)/E700)-1)</f>
        <v>2.106318956870612E-2</v>
      </c>
      <c r="H712" s="8">
        <f t="shared" si="38"/>
        <v>2.1689488025042003E-2</v>
      </c>
      <c r="I712" s="8">
        <f t="shared" si="39"/>
        <v>2.4739093071135976E-2</v>
      </c>
      <c r="J712" s="25">
        <v>235.9</v>
      </c>
      <c r="K712" s="8">
        <f>IF(Tabela1[[#This Row],[Services CPI]]="",#N/A,((Tabela1[[#This Row],[Services CPI]]*1)/J711)-1)</f>
        <v>1.6985138004246281E-3</v>
      </c>
      <c r="L712" s="8">
        <f>IF(Tabela1[[#This Row],[Services CPI]]="",#N/A,((Tabela1[[#This Row],[Services CPI]]*1)/J700)-1)</f>
        <v>3.9665050683120207E-2</v>
      </c>
      <c r="M712" s="7">
        <v>241.1</v>
      </c>
      <c r="N712" s="8">
        <f>IF(Tabela1[[#This Row],[Core-Services CPI]]="",#N/A,((Tabela1[[#This Row],[Core-Services CPI]]*1)/M711)-1)</f>
        <v>3.3291718684975713E-3</v>
      </c>
      <c r="O712" s="8">
        <f>IF(Tabela1[[#This Row],[Core-Services CPI]]="",#N/A,((Tabela1[[#This Row],[Core-Services CPI]]*1)/M700)-1)</f>
        <v>2.9461998292058089E-2</v>
      </c>
      <c r="P712" s="7">
        <v>114.9</v>
      </c>
      <c r="Q712" s="8">
        <f>IF(Tabela1[[#This Row],[Durable Goods CPI]]="",#N/A,((Tabela1[[#This Row],[Durable Goods CPI]]*1)/P711)-1)</f>
        <v>-8.6956521739123271E-4</v>
      </c>
      <c r="R712" s="8">
        <f>IF(Tabela1[[#This Row],[Durable Goods CPI]]="",#N/A,((Tabela1[[#This Row],[Durable Goods CPI]]*1)/P700)-1)</f>
        <v>-6.0553633217992342E-3</v>
      </c>
      <c r="S712" s="7">
        <v>2.4690335000000001</v>
      </c>
      <c r="T712" s="7">
        <v>83.584000000000003</v>
      </c>
      <c r="U712" s="8">
        <f>IF(Tabela1[[#This Row],[Personal Consumption Expenditures (PCE)]]="",#N/A,((Tabela1[[#This Row],[Personal Consumption Expenditures (PCE)]]*1)/T711)-1)</f>
        <v>5.9855867072089453E-4</v>
      </c>
      <c r="V712" s="8">
        <f>IF(Tabela1[[#This Row],[Personal Consumption Expenditures (PCE)]]="",#N/A,((Tabela1[[#This Row],[Personal Consumption Expenditures (PCE)]]*1)/T700)-1)</f>
        <v>3.0222353695212645E-2</v>
      </c>
      <c r="W712" s="7">
        <v>83.278999999999996</v>
      </c>
      <c r="X712" s="8">
        <f>IF(Tabela1[[#This Row],[Core PCE]]="",#N/A,((Tabela1[[#This Row],[Core PCE]]*1)/W711)-1)</f>
        <v>1.6116423116243617E-3</v>
      </c>
      <c r="Y712" s="8">
        <f>IF(Tabela1[[#This Row],[Core PCE]]="",#N/A,((Tabela1[[#This Row],[Core PCE]]*1)/W700)-1)</f>
        <v>2.1377060439560447E-2</v>
      </c>
      <c r="Z712" s="8">
        <f t="shared" si="37"/>
        <v>1.9565784520997553E-2</v>
      </c>
      <c r="AA712" s="8">
        <f t="shared" si="36"/>
        <v>2.506461018936923E-2</v>
      </c>
      <c r="AB712" s="7">
        <v>2.34</v>
      </c>
      <c r="AC712" s="7"/>
      <c r="AD712" s="8"/>
      <c r="AE712" s="71"/>
      <c r="AF712" s="7">
        <v>3</v>
      </c>
      <c r="AG712" s="5"/>
    </row>
    <row r="713" spans="1:33" ht="12.75">
      <c r="A713" s="6">
        <v>38777</v>
      </c>
      <c r="B713" s="7">
        <v>199.7</v>
      </c>
      <c r="C713" s="8">
        <f>IF(Tabela1[[#This Row],[Consumer Price Index (CPI)]]="",#N/A,((Tabela1[[#This Row],[Consumer Price Index (CPI)]]*1)/B712)-1)</f>
        <v>1.5045135406217547E-3</v>
      </c>
      <c r="D713" s="8">
        <f>IF(Tabela1[[#This Row],[Consumer Price Index (CPI)]]="",#N/A,((Tabela1[[#This Row],[Consumer Price Index (CPI)]]*1)/B701)-1)</f>
        <v>3.4179181771103018E-2</v>
      </c>
      <c r="E713" s="25">
        <v>204.3</v>
      </c>
      <c r="F713" s="8">
        <f>IF(Tabela1[[#This Row],[Core Consumer Price Index]]="",#N/A,((Tabela1[[#This Row],[Core Consumer Price Index]]*1)/E712)-1)</f>
        <v>3.4381139489194634E-3</v>
      </c>
      <c r="G713" s="8">
        <f>IF(Tabela1[[#This Row],[Core Consumer Price Index]]="",#N/A,((Tabela1[[#This Row],[Core Consumer Price Index]]*1)/E701)-1)</f>
        <v>2.0989505247376306E-2</v>
      </c>
      <c r="H713" s="8">
        <f t="shared" si="38"/>
        <v>2.9516017894793301E-2</v>
      </c>
      <c r="I713" s="8">
        <f t="shared" si="39"/>
        <v>2.9626260799904713E-2</v>
      </c>
      <c r="J713" s="25">
        <v>236.5</v>
      </c>
      <c r="K713" s="8">
        <f>IF(Tabela1[[#This Row],[Services CPI]]="",#N/A,((Tabela1[[#This Row],[Services CPI]]*1)/J712)-1)</f>
        <v>2.5434506146670977E-3</v>
      </c>
      <c r="L713" s="8">
        <f>IF(Tabela1[[#This Row],[Services CPI]]="",#N/A,((Tabela1[[#This Row],[Services CPI]]*1)/J701)-1)</f>
        <v>3.7280701754385914E-2</v>
      </c>
      <c r="M713" s="7">
        <v>242</v>
      </c>
      <c r="N713" s="8">
        <f>IF(Tabela1[[#This Row],[Core-Services CPI]]="",#N/A,((Tabela1[[#This Row],[Core-Services CPI]]*1)/M712)-1)</f>
        <v>3.7328909166320923E-3</v>
      </c>
      <c r="O713" s="8">
        <f>IF(Tabela1[[#This Row],[Core-Services CPI]]="",#N/A,((Tabela1[[#This Row],[Core-Services CPI]]*1)/M701)-1)</f>
        <v>2.84742881427964E-2</v>
      </c>
      <c r="P713" s="7">
        <v>114.8</v>
      </c>
      <c r="Q713" s="8">
        <f>IF(Tabela1[[#This Row],[Durable Goods CPI]]="",#N/A,((Tabela1[[#This Row],[Durable Goods CPI]]*1)/P712)-1)</f>
        <v>-8.7032201914716278E-4</v>
      </c>
      <c r="R713" s="8">
        <f>IF(Tabela1[[#This Row],[Durable Goods CPI]]="",#N/A,((Tabela1[[#This Row],[Durable Goods CPI]]*1)/P701)-1)</f>
        <v>-5.199306759098854E-3</v>
      </c>
      <c r="S713" s="7">
        <v>2.4510190999999999</v>
      </c>
      <c r="T713" s="7">
        <v>83.745999999999995</v>
      </c>
      <c r="U713" s="8">
        <f>IF(Tabela1[[#This Row],[Personal Consumption Expenditures (PCE)]]="",#N/A,((Tabela1[[#This Row],[Personal Consumption Expenditures (PCE)]]*1)/T712)-1)</f>
        <v>1.938169984685878E-3</v>
      </c>
      <c r="V713" s="8">
        <f>IF(Tabela1[[#This Row],[Personal Consumption Expenditures (PCE)]]="",#N/A,((Tabela1[[#This Row],[Personal Consumption Expenditures (PCE)]]*1)/T701)-1)</f>
        <v>2.9136712749615823E-2</v>
      </c>
      <c r="W713" s="7">
        <v>83.509</v>
      </c>
      <c r="X713" s="8">
        <f>IF(Tabela1[[#This Row],[Core PCE]]="",#N/A,((Tabela1[[#This Row],[Core PCE]]*1)/W712)-1)</f>
        <v>2.7618006940526296E-3</v>
      </c>
      <c r="Y713" s="8">
        <f>IF(Tabela1[[#This Row],[Core PCE]]="",#N/A,((Tabela1[[#This Row],[Core PCE]]*1)/W701)-1)</f>
        <v>2.1679288449539369E-2</v>
      </c>
      <c r="Z713" s="8">
        <f t="shared" si="37"/>
        <v>2.646205756134723E-2</v>
      </c>
      <c r="AA713" s="8">
        <f t="shared" si="36"/>
        <v>2.6162302989509723E-2</v>
      </c>
      <c r="AB713" s="7">
        <v>2.38</v>
      </c>
      <c r="AC713" s="7"/>
      <c r="AD713" s="8"/>
      <c r="AE713" s="71"/>
      <c r="AF713" s="7">
        <v>3</v>
      </c>
      <c r="AG713" s="5"/>
    </row>
    <row r="714" spans="1:33" ht="12.75">
      <c r="A714" s="6">
        <v>38808</v>
      </c>
      <c r="B714" s="7">
        <v>200.7</v>
      </c>
      <c r="C714" s="8">
        <f>IF(Tabela1[[#This Row],[Consumer Price Index (CPI)]]="",#N/A,((Tabela1[[#This Row],[Consumer Price Index (CPI)]]*1)/B713)-1)</f>
        <v>5.0075112669003552E-3</v>
      </c>
      <c r="D714" s="8">
        <f>IF(Tabela1[[#This Row],[Consumer Price Index (CPI)]]="",#N/A,((Tabela1[[#This Row],[Consumer Price Index (CPI)]]*1)/B702)-1)</f>
        <v>3.6138358286009309E-2</v>
      </c>
      <c r="E714" s="25">
        <v>204.8</v>
      </c>
      <c r="F714" s="8">
        <f>IF(Tabela1[[#This Row],[Core Consumer Price Index]]="",#N/A,((Tabela1[[#This Row],[Core Consumer Price Index]]*1)/E713)-1)</f>
        <v>2.4473813020069457E-3</v>
      </c>
      <c r="G714" s="8">
        <f>IF(Tabela1[[#This Row],[Core Consumer Price Index]]="",#N/A,((Tabela1[[#This Row],[Core Consumer Price Index]]*1)/E702)-1)</f>
        <v>2.2977022977023198E-2</v>
      </c>
      <c r="H714" s="8">
        <f t="shared" si="38"/>
        <v>3.1415996751737119E-2</v>
      </c>
      <c r="I714" s="8">
        <f t="shared" si="39"/>
        <v>2.7566229563878775E-2</v>
      </c>
      <c r="J714" s="25">
        <v>237.1</v>
      </c>
      <c r="K714" s="8">
        <f>IF(Tabela1[[#This Row],[Services CPI]]="",#N/A,((Tabela1[[#This Row],[Services CPI]]*1)/J713)-1)</f>
        <v>2.5369978858351683E-3</v>
      </c>
      <c r="L714" s="8">
        <f>IF(Tabela1[[#This Row],[Services CPI]]="",#N/A,((Tabela1[[#This Row],[Services CPI]]*1)/J702)-1)</f>
        <v>3.7636761487964909E-2</v>
      </c>
      <c r="M714" s="7">
        <v>242.8</v>
      </c>
      <c r="N714" s="8">
        <f>IF(Tabela1[[#This Row],[Core-Services CPI]]="",#N/A,((Tabela1[[#This Row],[Core-Services CPI]]*1)/M713)-1)</f>
        <v>3.3057851239670644E-3</v>
      </c>
      <c r="O714" s="8">
        <f>IF(Tabela1[[#This Row],[Core-Services CPI]]="",#N/A,((Tabela1[[#This Row],[Core-Services CPI]]*1)/M702)-1)</f>
        <v>3.056027164685915E-2</v>
      </c>
      <c r="P714" s="7">
        <v>114.9</v>
      </c>
      <c r="Q714" s="8">
        <f>IF(Tabela1[[#This Row],[Durable Goods CPI]]="",#N/A,((Tabela1[[#This Row],[Durable Goods CPI]]*1)/P713)-1)</f>
        <v>8.7108013937298168E-4</v>
      </c>
      <c r="R714" s="8">
        <f>IF(Tabela1[[#This Row],[Durable Goods CPI]]="",#N/A,((Tabela1[[#This Row],[Durable Goods CPI]]*1)/P702)-1)</f>
        <v>-3.4692107545533091E-3</v>
      </c>
      <c r="S714" s="7">
        <v>2.4992554</v>
      </c>
      <c r="T714" s="7">
        <v>84.135000000000005</v>
      </c>
      <c r="U714" s="8">
        <f>IF(Tabela1[[#This Row],[Personal Consumption Expenditures (PCE)]]="",#N/A,((Tabela1[[#This Row],[Personal Consumption Expenditures (PCE)]]*1)/T713)-1)</f>
        <v>4.6449979700524668E-3</v>
      </c>
      <c r="V714" s="8">
        <f>IF(Tabela1[[#This Row],[Personal Consumption Expenditures (PCE)]]="",#N/A,((Tabela1[[#This Row],[Personal Consumption Expenditures (PCE)]]*1)/T702)-1)</f>
        <v>3.102827101944805E-2</v>
      </c>
      <c r="W714" s="7">
        <v>83.763999999999996</v>
      </c>
      <c r="X714" s="8">
        <f>IF(Tabela1[[#This Row],[Core PCE]]="",#N/A,((Tabela1[[#This Row],[Core PCE]]*1)/W713)-1)</f>
        <v>3.0535630890082821E-3</v>
      </c>
      <c r="Y714" s="8">
        <f>IF(Tabela1[[#This Row],[Core PCE]]="",#N/A,((Tabela1[[#This Row],[Core PCE]]*1)/W702)-1)</f>
        <v>2.362185479830381E-2</v>
      </c>
      <c r="Z714" s="8">
        <f t="shared" si="37"/>
        <v>2.9708024378741094E-2</v>
      </c>
      <c r="AA714" s="8">
        <f t="shared" si="36"/>
        <v>2.6518746728945608E-2</v>
      </c>
      <c r="AB714" s="7">
        <v>2.4700000000000002</v>
      </c>
      <c r="AC714" s="7"/>
      <c r="AD714" s="8"/>
      <c r="AE714" s="71"/>
      <c r="AF714" s="7">
        <v>3.3</v>
      </c>
      <c r="AG714" s="5"/>
    </row>
    <row r="715" spans="1:33" ht="12.75">
      <c r="A715" s="6">
        <v>38838</v>
      </c>
      <c r="B715" s="7">
        <v>201.3</v>
      </c>
      <c r="C715" s="8">
        <f>IF(Tabela1[[#This Row],[Consumer Price Index (CPI)]]="",#N/A,((Tabela1[[#This Row],[Consumer Price Index (CPI)]]*1)/B714)-1)</f>
        <v>2.989536621823774E-3</v>
      </c>
      <c r="D715" s="8">
        <f>IF(Tabela1[[#This Row],[Consumer Price Index (CPI)]]="",#N/A,((Tabela1[[#This Row],[Consumer Price Index (CPI)]]*1)/B703)-1)</f>
        <v>3.9772727272727293E-2</v>
      </c>
      <c r="E715" s="25">
        <v>205.4</v>
      </c>
      <c r="F715" s="8">
        <f>IF(Tabela1[[#This Row],[Core Consumer Price Index]]="",#N/A,((Tabela1[[#This Row],[Core Consumer Price Index]]*1)/E714)-1)</f>
        <v>2.9296875E-3</v>
      </c>
      <c r="G715" s="8">
        <f>IF(Tabela1[[#This Row],[Core Consumer Price Index]]="",#N/A,((Tabela1[[#This Row],[Core Consumer Price Index]]*1)/E703)-1)</f>
        <v>2.4438902743142199E-2</v>
      </c>
      <c r="H715" s="8">
        <f t="shared" si="38"/>
        <v>3.5260731003705637E-2</v>
      </c>
      <c r="I715" s="8">
        <f t="shared" si="39"/>
        <v>2.847510951437382E-2</v>
      </c>
      <c r="J715" s="25">
        <v>237.8</v>
      </c>
      <c r="K715" s="8">
        <f>IF(Tabela1[[#This Row],[Services CPI]]="",#N/A,((Tabela1[[#This Row],[Services CPI]]*1)/J714)-1)</f>
        <v>2.9523407844791461E-3</v>
      </c>
      <c r="L715" s="8">
        <f>IF(Tabela1[[#This Row],[Services CPI]]="",#N/A,((Tabela1[[#This Row],[Services CPI]]*1)/J703)-1)</f>
        <v>3.8881607688947106E-2</v>
      </c>
      <c r="M715" s="7">
        <v>243.7</v>
      </c>
      <c r="N715" s="8">
        <f>IF(Tabela1[[#This Row],[Core-Services CPI]]="",#N/A,((Tabela1[[#This Row],[Core-Services CPI]]*1)/M714)-1)</f>
        <v>3.7067545304776406E-3</v>
      </c>
      <c r="O715" s="8">
        <f>IF(Tabela1[[#This Row],[Core-Services CPI]]="",#N/A,((Tabela1[[#This Row],[Core-Services CPI]]*1)/M703)-1)</f>
        <v>3.3064857990674046E-2</v>
      </c>
      <c r="P715" s="7">
        <v>114.8</v>
      </c>
      <c r="Q715" s="8">
        <f>IF(Tabela1[[#This Row],[Durable Goods CPI]]="",#N/A,((Tabela1[[#This Row],[Durable Goods CPI]]*1)/P714)-1)</f>
        <v>-8.7032201914716278E-4</v>
      </c>
      <c r="R715" s="8">
        <f>IF(Tabela1[[#This Row],[Durable Goods CPI]]="",#N/A,((Tabela1[[#This Row],[Durable Goods CPI]]*1)/P703)-1)</f>
        <v>-6.0606060606060996E-3</v>
      </c>
      <c r="S715" s="7">
        <v>2.5812189999999999</v>
      </c>
      <c r="T715" s="7">
        <v>84.361000000000004</v>
      </c>
      <c r="U715" s="8">
        <f>IF(Tabela1[[#This Row],[Personal Consumption Expenditures (PCE)]]="",#N/A,((Tabela1[[#This Row],[Personal Consumption Expenditures (PCE)]]*1)/T714)-1)</f>
        <v>2.6861591489868442E-3</v>
      </c>
      <c r="V715" s="8">
        <f>IF(Tabela1[[#This Row],[Personal Consumption Expenditures (PCE)]]="",#N/A,((Tabela1[[#This Row],[Personal Consumption Expenditures (PCE)]]*1)/T703)-1)</f>
        <v>3.3215348626437491E-2</v>
      </c>
      <c r="W715" s="7">
        <v>83.974000000000004</v>
      </c>
      <c r="X715" s="8">
        <f>IF(Tabela1[[#This Row],[Core PCE]]="",#N/A,((Tabela1[[#This Row],[Core PCE]]*1)/W714)-1)</f>
        <v>2.507043598682035E-3</v>
      </c>
      <c r="Y715" s="8">
        <f>IF(Tabela1[[#This Row],[Core PCE]]="",#N/A,((Tabela1[[#This Row],[Core PCE]]*1)/W703)-1)</f>
        <v>2.4085659581214447E-2</v>
      </c>
      <c r="Z715" s="8">
        <f t="shared" si="37"/>
        <v>3.3289629526971787E-2</v>
      </c>
      <c r="AA715" s="8">
        <f t="shared" si="36"/>
        <v>2.642770702398467E-2</v>
      </c>
      <c r="AB715" s="7">
        <v>2.61</v>
      </c>
      <c r="AC715" s="7"/>
      <c r="AD715" s="8"/>
      <c r="AE715" s="71"/>
      <c r="AF715" s="7">
        <v>4</v>
      </c>
      <c r="AG715" s="5"/>
    </row>
    <row r="716" spans="1:33" ht="12.75">
      <c r="A716" s="6">
        <v>38869</v>
      </c>
      <c r="B716" s="7">
        <v>201.8</v>
      </c>
      <c r="C716" s="8">
        <f>IF(Tabela1[[#This Row],[Consumer Price Index (CPI)]]="",#N/A,((Tabela1[[#This Row],[Consumer Price Index (CPI)]]*1)/B715)-1)</f>
        <v>2.4838549428713996E-3</v>
      </c>
      <c r="D716" s="8">
        <f>IF(Tabela1[[#This Row],[Consumer Price Index (CPI)]]="",#N/A,((Tabela1[[#This Row],[Consumer Price Index (CPI)]]*1)/B704)-1)</f>
        <v>4.1817243159525175E-2</v>
      </c>
      <c r="E716" s="25">
        <v>205.9</v>
      </c>
      <c r="F716" s="8">
        <f>IF(Tabela1[[#This Row],[Core Consumer Price Index]]="",#N/A,((Tabela1[[#This Row],[Core Consumer Price Index]]*1)/E715)-1)</f>
        <v>2.4342745861734016E-3</v>
      </c>
      <c r="G716" s="8">
        <f>IF(Tabela1[[#This Row],[Core Consumer Price Index]]="",#N/A,((Tabela1[[#This Row],[Core Consumer Price Index]]*1)/E704)-1)</f>
        <v>2.6420737786640114E-2</v>
      </c>
      <c r="H716" s="8">
        <f t="shared" si="38"/>
        <v>3.1245373552721389E-2</v>
      </c>
      <c r="I716" s="8">
        <f t="shared" si="39"/>
        <v>3.0380695723757345E-2</v>
      </c>
      <c r="J716" s="25">
        <v>238.5</v>
      </c>
      <c r="K716" s="8">
        <f>IF(Tabela1[[#This Row],[Services CPI]]="",#N/A,((Tabela1[[#This Row],[Services CPI]]*1)/J715)-1)</f>
        <v>2.943650126156383E-3</v>
      </c>
      <c r="L716" s="8">
        <f>IF(Tabela1[[#This Row],[Services CPI]]="",#N/A,((Tabela1[[#This Row],[Services CPI]]*1)/J704)-1)</f>
        <v>4.103011785246613E-2</v>
      </c>
      <c r="M716" s="7">
        <v>244.5</v>
      </c>
      <c r="N716" s="8">
        <f>IF(Tabela1[[#This Row],[Core-Services CPI]]="",#N/A,((Tabela1[[#This Row],[Core-Services CPI]]*1)/M715)-1)</f>
        <v>3.2827246614690608E-3</v>
      </c>
      <c r="O716" s="8">
        <f>IF(Tabela1[[#This Row],[Core-Services CPI]]="",#N/A,((Tabela1[[#This Row],[Core-Services CPI]]*1)/M704)-1)</f>
        <v>3.5139712108382737E-2</v>
      </c>
      <c r="P716" s="7">
        <v>114.6</v>
      </c>
      <c r="Q716" s="8">
        <f>IF(Tabela1[[#This Row],[Durable Goods CPI]]="",#N/A,((Tabela1[[#This Row],[Durable Goods CPI]]*1)/P715)-1)</f>
        <v>-1.7421602787456303E-3</v>
      </c>
      <c r="R716" s="8">
        <f>IF(Tabela1[[#This Row],[Durable Goods CPI]]="",#N/A,((Tabela1[[#This Row],[Durable Goods CPI]]*1)/P704)-1)</f>
        <v>-6.9324090121317683E-3</v>
      </c>
      <c r="S716" s="7">
        <v>2.6806926</v>
      </c>
      <c r="T716" s="7">
        <v>84.569000000000003</v>
      </c>
      <c r="U716" s="8">
        <f>IF(Tabela1[[#This Row],[Personal Consumption Expenditures (PCE)]]="",#N/A,((Tabela1[[#This Row],[Personal Consumption Expenditures (PCE)]]*1)/T715)-1)</f>
        <v>2.4655942912008566E-3</v>
      </c>
      <c r="V716" s="8">
        <f>IF(Tabela1[[#This Row],[Personal Consumption Expenditures (PCE)]]="",#N/A,((Tabela1[[#This Row],[Personal Consumption Expenditures (PCE)]]*1)/T704)-1)</f>
        <v>3.5116279069767442E-2</v>
      </c>
      <c r="W716" s="7">
        <v>84.186000000000007</v>
      </c>
      <c r="X716" s="8">
        <f>IF(Tabela1[[#This Row],[Core PCE]]="",#N/A,((Tabela1[[#This Row],[Core PCE]]*1)/W715)-1)</f>
        <v>2.524590944816385E-3</v>
      </c>
      <c r="Y716" s="8">
        <f>IF(Tabela1[[#This Row],[Core PCE]]="",#N/A,((Tabela1[[#This Row],[Core PCE]]*1)/W704)-1)</f>
        <v>2.5957882421760781E-2</v>
      </c>
      <c r="Z716" s="8">
        <f t="shared" si="37"/>
        <v>3.2340790530026808E-2</v>
      </c>
      <c r="AA716" s="8">
        <f t="shared" si="36"/>
        <v>2.9401424045687019E-2</v>
      </c>
      <c r="AB716" s="7">
        <v>2.78</v>
      </c>
      <c r="AC716" s="7"/>
      <c r="AD716" s="8"/>
      <c r="AE716" s="71"/>
      <c r="AF716" s="7">
        <v>3.3</v>
      </c>
      <c r="AG716" s="5"/>
    </row>
    <row r="717" spans="1:33" ht="12.75">
      <c r="A717" s="6">
        <v>38899</v>
      </c>
      <c r="B717" s="7">
        <v>202.9</v>
      </c>
      <c r="C717" s="8">
        <f>IF(Tabela1[[#This Row],[Consumer Price Index (CPI)]]="",#N/A,((Tabela1[[#This Row],[Consumer Price Index (CPI)]]*1)/B716)-1)</f>
        <v>5.4509415262635752E-3</v>
      </c>
      <c r="D717" s="8">
        <f>IF(Tabela1[[#This Row],[Consumer Price Index (CPI)]]="",#N/A,((Tabela1[[#This Row],[Consumer Price Index (CPI)]]*1)/B705)-1)</f>
        <v>4.1046690610569536E-2</v>
      </c>
      <c r="E717" s="25">
        <v>206.3</v>
      </c>
      <c r="F717" s="8">
        <f>IF(Tabela1[[#This Row],[Core Consumer Price Index]]="",#N/A,((Tabela1[[#This Row],[Core Consumer Price Index]]*1)/E716)-1)</f>
        <v>1.9426906265178623E-3</v>
      </c>
      <c r="G717" s="8">
        <f>IF(Tabela1[[#This Row],[Core Consumer Price Index]]="",#N/A,((Tabela1[[#This Row],[Core Consumer Price Index]]*1)/E705)-1)</f>
        <v>2.6879044300647026E-2</v>
      </c>
      <c r="H717" s="8">
        <f t="shared" si="38"/>
        <v>2.9226610850765056E-2</v>
      </c>
      <c r="I717" s="8">
        <f t="shared" si="39"/>
        <v>3.0321303801251087E-2</v>
      </c>
      <c r="J717" s="25">
        <v>239.2</v>
      </c>
      <c r="K717" s="8">
        <f>IF(Tabela1[[#This Row],[Services CPI]]="",#N/A,((Tabela1[[#This Row],[Services CPI]]*1)/J716)-1)</f>
        <v>2.9350104821801448E-3</v>
      </c>
      <c r="L717" s="8">
        <f>IF(Tabela1[[#This Row],[Services CPI]]="",#N/A,((Tabela1[[#This Row],[Services CPI]]*1)/J705)-1)</f>
        <v>4.0452370595911225E-2</v>
      </c>
      <c r="M717" s="7">
        <v>245.2</v>
      </c>
      <c r="N717" s="8">
        <f>IF(Tabela1[[#This Row],[Core-Services CPI]]="",#N/A,((Tabela1[[#This Row],[Core-Services CPI]]*1)/M716)-1)</f>
        <v>2.8629856850714841E-3</v>
      </c>
      <c r="O717" s="8">
        <f>IF(Tabela1[[#This Row],[Core-Services CPI]]="",#N/A,((Tabela1[[#This Row],[Core-Services CPI]]*1)/M705)-1)</f>
        <v>3.5472972972972805E-2</v>
      </c>
      <c r="P717" s="7">
        <v>114.7</v>
      </c>
      <c r="Q717" s="8">
        <f>IF(Tabela1[[#This Row],[Durable Goods CPI]]="",#N/A,((Tabela1[[#This Row],[Durable Goods CPI]]*1)/P716)-1)</f>
        <v>8.7260034904024231E-4</v>
      </c>
      <c r="R717" s="8">
        <f>IF(Tabela1[[#This Row],[Durable Goods CPI]]="",#N/A,((Tabela1[[#This Row],[Durable Goods CPI]]*1)/P705)-1)</f>
        <v>-2.6086956521739202E-3</v>
      </c>
      <c r="S717" s="7">
        <v>2.7839594999999999</v>
      </c>
      <c r="T717" s="7">
        <v>84.858000000000004</v>
      </c>
      <c r="U717" s="8">
        <f>IF(Tabela1[[#This Row],[Personal Consumption Expenditures (PCE)]]="",#N/A,((Tabela1[[#This Row],[Personal Consumption Expenditures (PCE)]]*1)/T716)-1)</f>
        <v>3.4173278624556325E-3</v>
      </c>
      <c r="V717" s="8">
        <f>IF(Tabela1[[#This Row],[Personal Consumption Expenditures (PCE)]]="",#N/A,((Tabela1[[#This Row],[Personal Consumption Expenditures (PCE)]]*1)/T705)-1)</f>
        <v>3.4273456353752785E-2</v>
      </c>
      <c r="W717" s="7">
        <v>84.268000000000001</v>
      </c>
      <c r="X717" s="8">
        <f>IF(Tabela1[[#This Row],[Core PCE]]="",#N/A,((Tabela1[[#This Row],[Core PCE]]*1)/W716)-1)</f>
        <v>9.7403368731141526E-4</v>
      </c>
      <c r="Y717" s="8">
        <f>IF(Tabela1[[#This Row],[Core PCE]]="",#N/A,((Tabela1[[#This Row],[Core PCE]]*1)/W705)-1)</f>
        <v>2.5457554517134051E-2</v>
      </c>
      <c r="Z717" s="8">
        <f t="shared" si="37"/>
        <v>2.4022672923239341E-2</v>
      </c>
      <c r="AA717" s="8">
        <f t="shared" si="36"/>
        <v>2.6865348650990217E-2</v>
      </c>
      <c r="AB717" s="7">
        <v>2.79</v>
      </c>
      <c r="AC717" s="7"/>
      <c r="AD717" s="8"/>
      <c r="AE717" s="71"/>
      <c r="AF717" s="7">
        <v>3.2</v>
      </c>
      <c r="AG717" s="5"/>
    </row>
    <row r="718" spans="1:33" ht="12.75">
      <c r="A718" s="6">
        <v>38930</v>
      </c>
      <c r="B718" s="7">
        <v>203.8</v>
      </c>
      <c r="C718" s="8">
        <f>IF(Tabela1[[#This Row],[Consumer Price Index (CPI)]]="",#N/A,((Tabela1[[#This Row],[Consumer Price Index (CPI)]]*1)/B717)-1)</f>
        <v>4.4356826022671214E-3</v>
      </c>
      <c r="D718" s="8">
        <f>IF(Tabela1[[#This Row],[Consumer Price Index (CPI)]]="",#N/A,((Tabela1[[#This Row],[Consumer Price Index (CPI)]]*1)/B706)-1)</f>
        <v>3.9265680775114831E-2</v>
      </c>
      <c r="E718" s="25">
        <v>206.8</v>
      </c>
      <c r="F718" s="8">
        <f>IF(Tabela1[[#This Row],[Core Consumer Price Index]]="",#N/A,((Tabela1[[#This Row],[Core Consumer Price Index]]*1)/E717)-1)</f>
        <v>2.4236548715463879E-3</v>
      </c>
      <c r="G718" s="8">
        <f>IF(Tabela1[[#This Row],[Core Consumer Price Index]]="",#N/A,((Tabela1[[#This Row],[Core Consumer Price Index]]*1)/E706)-1)</f>
        <v>2.8344107409249197E-2</v>
      </c>
      <c r="H718" s="8">
        <f t="shared" si="38"/>
        <v>2.7202480336950607E-2</v>
      </c>
      <c r="I718" s="8">
        <f t="shared" si="39"/>
        <v>3.1231605670328122E-2</v>
      </c>
      <c r="J718" s="25">
        <v>239.9</v>
      </c>
      <c r="K718" s="8">
        <f>IF(Tabela1[[#This Row],[Services CPI]]="",#N/A,((Tabela1[[#This Row],[Services CPI]]*1)/J717)-1)</f>
        <v>2.9264214046822445E-3</v>
      </c>
      <c r="L718" s="8">
        <f>IF(Tabela1[[#This Row],[Services CPI]]="",#N/A,((Tabela1[[#This Row],[Services CPI]]*1)/J706)-1)</f>
        <v>4.123263888888884E-2</v>
      </c>
      <c r="M718" s="7">
        <v>246</v>
      </c>
      <c r="N718" s="8">
        <f>IF(Tabela1[[#This Row],[Core-Services CPI]]="",#N/A,((Tabela1[[#This Row],[Core-Services CPI]]*1)/M717)-1)</f>
        <v>3.2626427406199365E-3</v>
      </c>
      <c r="O718" s="8">
        <f>IF(Tabela1[[#This Row],[Core-Services CPI]]="",#N/A,((Tabela1[[#This Row],[Core-Services CPI]]*1)/M706)-1)</f>
        <v>3.7536904259805937E-2</v>
      </c>
      <c r="P718" s="7">
        <v>114.5</v>
      </c>
      <c r="Q718" s="8">
        <f>IF(Tabela1[[#This Row],[Durable Goods CPI]]="",#N/A,((Tabela1[[#This Row],[Durable Goods CPI]]*1)/P717)-1)</f>
        <v>-1.7436791630339732E-3</v>
      </c>
      <c r="R718" s="8">
        <f>IF(Tabela1[[#This Row],[Durable Goods CPI]]="",#N/A,((Tabela1[[#This Row],[Durable Goods CPI]]*1)/P706)-1)</f>
        <v>-1.7436791630339732E-3</v>
      </c>
      <c r="S718" s="7">
        <v>3.0344297999999998</v>
      </c>
      <c r="T718" s="7">
        <v>85.125</v>
      </c>
      <c r="U718" s="8">
        <f>IF(Tabela1[[#This Row],[Personal Consumption Expenditures (PCE)]]="",#N/A,((Tabela1[[#This Row],[Personal Consumption Expenditures (PCE)]]*1)/T717)-1)</f>
        <v>3.1464328643144857E-3</v>
      </c>
      <c r="V718" s="8">
        <f>IF(Tabela1[[#This Row],[Personal Consumption Expenditures (PCE)]]="",#N/A,((Tabela1[[#This Row],[Personal Consumption Expenditures (PCE)]]*1)/T706)-1)</f>
        <v>3.3358825885866361E-2</v>
      </c>
      <c r="W718" s="7">
        <v>84.44</v>
      </c>
      <c r="X718" s="8">
        <f>IF(Tabela1[[#This Row],[Core PCE]]="",#N/A,((Tabela1[[#This Row],[Core PCE]]*1)/W717)-1)</f>
        <v>2.041106944510318E-3</v>
      </c>
      <c r="Y718" s="8">
        <f>IF(Tabela1[[#This Row],[Core PCE]]="",#N/A,((Tabela1[[#This Row],[Core PCE]]*1)/W706)-1)</f>
        <v>2.6713519691645482E-2</v>
      </c>
      <c r="Z718" s="8">
        <f t="shared" si="37"/>
        <v>2.2158926306552473E-2</v>
      </c>
      <c r="AA718" s="8">
        <f t="shared" si="36"/>
        <v>2.772427791676213E-2</v>
      </c>
      <c r="AB718" s="7">
        <v>2.86</v>
      </c>
      <c r="AC718" s="7"/>
      <c r="AD718" s="8"/>
      <c r="AE718" s="71"/>
      <c r="AF718" s="7">
        <v>3.8</v>
      </c>
      <c r="AG718" s="5"/>
    </row>
    <row r="719" spans="1:33" ht="12.75">
      <c r="A719" s="6">
        <v>38961</v>
      </c>
      <c r="B719" s="7">
        <v>202.8</v>
      </c>
      <c r="C719" s="8">
        <f>IF(Tabela1[[#This Row],[Consumer Price Index (CPI)]]="",#N/A,((Tabela1[[#This Row],[Consumer Price Index (CPI)]]*1)/B718)-1)</f>
        <v>-4.9067713444553851E-3</v>
      </c>
      <c r="D719" s="8">
        <f>IF(Tabela1[[#This Row],[Consumer Price Index (CPI)]]="",#N/A,((Tabela1[[#This Row],[Consumer Price Index (CPI)]]*1)/B707)-1)</f>
        <v>2.0120724346076369E-2</v>
      </c>
      <c r="E719" s="25">
        <v>207.2</v>
      </c>
      <c r="F719" s="8">
        <f>IF(Tabela1[[#This Row],[Core Consumer Price Index]]="",#N/A,((Tabela1[[#This Row],[Core Consumer Price Index]]*1)/E718)-1)</f>
        <v>1.9342359767891004E-3</v>
      </c>
      <c r="G719" s="8">
        <f>IF(Tabela1[[#This Row],[Core Consumer Price Index]]="",#N/A,((Tabela1[[#This Row],[Core Consumer Price Index]]*1)/E707)-1)</f>
        <v>2.9309488325881761E-2</v>
      </c>
      <c r="H719" s="8">
        <f t="shared" si="38"/>
        <v>2.5202325899413403E-2</v>
      </c>
      <c r="I719" s="8">
        <f t="shared" si="39"/>
        <v>2.8223849726067396E-2</v>
      </c>
      <c r="J719" s="25">
        <v>240.7</v>
      </c>
      <c r="K719" s="8">
        <f>IF(Tabela1[[#This Row],[Services CPI]]="",#N/A,((Tabela1[[#This Row],[Services CPI]]*1)/J718)-1)</f>
        <v>3.3347228011670893E-3</v>
      </c>
      <c r="L719" s="8">
        <f>IF(Tabela1[[#This Row],[Services CPI]]="",#N/A,((Tabela1[[#This Row],[Services CPI]]*1)/J707)-1)</f>
        <v>4.019014693171985E-2</v>
      </c>
      <c r="M719" s="7">
        <v>246.6</v>
      </c>
      <c r="N719" s="8">
        <f>IF(Tabela1[[#This Row],[Core-Services CPI]]="",#N/A,((Tabela1[[#This Row],[Core-Services CPI]]*1)/M718)-1)</f>
        <v>2.4390243902439046E-3</v>
      </c>
      <c r="O719" s="8">
        <f>IF(Tabela1[[#This Row],[Core-Services CPI]]="",#N/A,((Tabela1[[#This Row],[Core-Services CPI]]*1)/M707)-1)</f>
        <v>3.8753159224936828E-2</v>
      </c>
      <c r="P719" s="7">
        <v>114.3</v>
      </c>
      <c r="Q719" s="8">
        <f>IF(Tabela1[[#This Row],[Durable Goods CPI]]="",#N/A,((Tabela1[[#This Row],[Durable Goods CPI]]*1)/P718)-1)</f>
        <v>-1.7467248908297206E-3</v>
      </c>
      <c r="R719" s="8">
        <f>IF(Tabela1[[#This Row],[Durable Goods CPI]]="",#N/A,((Tabela1[[#This Row],[Durable Goods CPI]]*1)/P707)-1)</f>
        <v>-6.9504778453518545E-3</v>
      </c>
      <c r="S719" s="7">
        <v>3.0939988</v>
      </c>
      <c r="T719" s="7">
        <v>84.902000000000001</v>
      </c>
      <c r="U719" s="8">
        <f>IF(Tabela1[[#This Row],[Personal Consumption Expenditures (PCE)]]="",#N/A,((Tabela1[[#This Row],[Personal Consumption Expenditures (PCE)]]*1)/T718)-1)</f>
        <v>-2.6196769456681146E-3</v>
      </c>
      <c r="V719" s="8">
        <f>IF(Tabela1[[#This Row],[Personal Consumption Expenditures (PCE)]]="",#N/A,((Tabela1[[#This Row],[Personal Consumption Expenditures (PCE)]]*1)/T707)-1)</f>
        <v>2.0800269321406217E-2</v>
      </c>
      <c r="W719" s="7">
        <v>84.572999999999993</v>
      </c>
      <c r="X719" s="8">
        <f>IF(Tabela1[[#This Row],[Core PCE]]="",#N/A,((Tabela1[[#This Row],[Core PCE]]*1)/W718)-1)</f>
        <v>1.5750828990999111E-3</v>
      </c>
      <c r="Y719" s="8">
        <f>IF(Tabela1[[#This Row],[Core PCE]]="",#N/A,((Tabela1[[#This Row],[Core PCE]]*1)/W707)-1)</f>
        <v>2.6060054595086424E-2</v>
      </c>
      <c r="Z719" s="8">
        <f t="shared" si="37"/>
        <v>1.8360894123686577E-2</v>
      </c>
      <c r="AA719" s="8">
        <f t="shared" si="36"/>
        <v>2.5350842326856693E-2</v>
      </c>
      <c r="AB719" s="7">
        <v>2.78</v>
      </c>
      <c r="AC719" s="7"/>
      <c r="AD719" s="8"/>
      <c r="AE719" s="71"/>
      <c r="AF719" s="7">
        <v>3.1</v>
      </c>
      <c r="AG719" s="5"/>
    </row>
    <row r="720" spans="1:33" ht="12.75">
      <c r="A720" s="6">
        <v>38991</v>
      </c>
      <c r="B720" s="7">
        <v>201.9</v>
      </c>
      <c r="C720" s="8">
        <f>IF(Tabela1[[#This Row],[Consumer Price Index (CPI)]]="",#N/A,((Tabela1[[#This Row],[Consumer Price Index (CPI)]]*1)/B719)-1)</f>
        <v>-4.4378698224852853E-3</v>
      </c>
      <c r="D720" s="8">
        <f>IF(Tabela1[[#This Row],[Consumer Price Index (CPI)]]="",#N/A,((Tabela1[[#This Row],[Consumer Price Index (CPI)]]*1)/B708)-1)</f>
        <v>1.4063284781516971E-2</v>
      </c>
      <c r="E720" s="25">
        <v>207.6</v>
      </c>
      <c r="F720" s="8">
        <f>IF(Tabela1[[#This Row],[Core Consumer Price Index]]="",#N/A,((Tabela1[[#This Row],[Core Consumer Price Index]]*1)/E719)-1)</f>
        <v>1.9305019305020377E-3</v>
      </c>
      <c r="G720" s="8">
        <f>IF(Tabela1[[#This Row],[Core Consumer Price Index]]="",#N/A,((Tabela1[[#This Row],[Core Consumer Price Index]]*1)/E708)-1)</f>
        <v>2.7722772277227747E-2</v>
      </c>
      <c r="H720" s="8">
        <f t="shared" si="38"/>
        <v>2.5153571115350104E-2</v>
      </c>
      <c r="I720" s="8">
        <f t="shared" si="39"/>
        <v>2.719009098305758E-2</v>
      </c>
      <c r="J720" s="25">
        <v>241</v>
      </c>
      <c r="K720" s="8">
        <f>IF(Tabela1[[#This Row],[Services CPI]]="",#N/A,((Tabela1[[#This Row],[Services CPI]]*1)/J719)-1)</f>
        <v>1.2463647694225255E-3</v>
      </c>
      <c r="L720" s="8">
        <f>IF(Tabela1[[#This Row],[Services CPI]]="",#N/A,((Tabela1[[#This Row],[Services CPI]]*1)/J708)-1)</f>
        <v>3.3891033891033873E-2</v>
      </c>
      <c r="M720" s="7">
        <v>247.4</v>
      </c>
      <c r="N720" s="8">
        <f>IF(Tabela1[[#This Row],[Core-Services CPI]]="",#N/A,((Tabela1[[#This Row],[Core-Services CPI]]*1)/M719)-1)</f>
        <v>3.2441200324413444E-3</v>
      </c>
      <c r="O720" s="8">
        <f>IF(Tabela1[[#This Row],[Core-Services CPI]]="",#N/A,((Tabela1[[#This Row],[Core-Services CPI]]*1)/M708)-1)</f>
        <v>3.8187159043222785E-2</v>
      </c>
      <c r="P720" s="7">
        <v>114</v>
      </c>
      <c r="Q720" s="8">
        <f>IF(Tabela1[[#This Row],[Durable Goods CPI]]="",#N/A,((Tabela1[[#This Row],[Durable Goods CPI]]*1)/P719)-1)</f>
        <v>-2.624671916010457E-3</v>
      </c>
      <c r="R720" s="8">
        <f>IF(Tabela1[[#This Row],[Durable Goods CPI]]="",#N/A,((Tabela1[[#This Row],[Durable Goods CPI]]*1)/P708)-1)</f>
        <v>-9.5569070373587861E-3</v>
      </c>
      <c r="S720" s="7">
        <v>3.2251143999999998</v>
      </c>
      <c r="T720" s="7">
        <v>84.701999999999998</v>
      </c>
      <c r="U720" s="8">
        <f>IF(Tabela1[[#This Row],[Personal Consumption Expenditures (PCE)]]="",#N/A,((Tabela1[[#This Row],[Personal Consumption Expenditures (PCE)]]*1)/T719)-1)</f>
        <v>-2.3556571105509683E-3</v>
      </c>
      <c r="V720" s="8">
        <f>IF(Tabela1[[#This Row],[Personal Consumption Expenditures (PCE)]]="",#N/A,((Tabela1[[#This Row],[Personal Consumption Expenditures (PCE)]]*1)/T708)-1)</f>
        <v>1.6769701698577499E-2</v>
      </c>
      <c r="W720" s="7">
        <v>84.725999999999999</v>
      </c>
      <c r="X720" s="8">
        <f>IF(Tabela1[[#This Row],[Core PCE]]="",#N/A,((Tabela1[[#This Row],[Core PCE]]*1)/W719)-1)</f>
        <v>1.8090880068106774E-3</v>
      </c>
      <c r="Y720" s="8">
        <f>IF(Tabela1[[#This Row],[Core PCE]]="",#N/A,((Tabela1[[#This Row],[Core PCE]]*1)/W708)-1)</f>
        <v>2.4969151484357965E-2</v>
      </c>
      <c r="Z720" s="8">
        <f t="shared" si="37"/>
        <v>2.1701111401683626E-2</v>
      </c>
      <c r="AA720" s="8">
        <f t="shared" si="36"/>
        <v>2.2861892162461483E-2</v>
      </c>
      <c r="AB720" s="7">
        <v>2.71</v>
      </c>
      <c r="AC720" s="7"/>
      <c r="AD720" s="8"/>
      <c r="AE720" s="71"/>
      <c r="AF720" s="7">
        <v>3.1</v>
      </c>
      <c r="AG720" s="5"/>
    </row>
    <row r="721" spans="1:33" ht="12.75">
      <c r="A721" s="6">
        <v>39022</v>
      </c>
      <c r="B721" s="7">
        <v>202</v>
      </c>
      <c r="C721" s="8">
        <f>IF(Tabela1[[#This Row],[Consumer Price Index (CPI)]]="",#N/A,((Tabela1[[#This Row],[Consumer Price Index (CPI)]]*1)/B720)-1)</f>
        <v>4.9529470034670453E-4</v>
      </c>
      <c r="D721" s="8">
        <f>IF(Tabela1[[#This Row],[Consumer Price Index (CPI)]]="",#N/A,((Tabela1[[#This Row],[Consumer Price Index (CPI)]]*1)/B709)-1)</f>
        <v>1.9687026754164672E-2</v>
      </c>
      <c r="E721" s="25">
        <v>207.8</v>
      </c>
      <c r="F721" s="8">
        <f>IF(Tabela1[[#This Row],[Core Consumer Price Index]]="",#N/A,((Tabela1[[#This Row],[Core Consumer Price Index]]*1)/E720)-1)</f>
        <v>9.6339113680166122E-4</v>
      </c>
      <c r="G721" s="8">
        <f>IF(Tabela1[[#This Row],[Core Consumer Price Index]]="",#N/A,((Tabela1[[#This Row],[Core Consumer Price Index]]*1)/E709)-1)</f>
        <v>2.6172839506172885E-2</v>
      </c>
      <c r="H721" s="8">
        <f t="shared" si="38"/>
        <v>1.9312516176371197E-2</v>
      </c>
      <c r="I721" s="8">
        <f t="shared" si="39"/>
        <v>2.3257498256660902E-2</v>
      </c>
      <c r="J721" s="25">
        <v>241.7</v>
      </c>
      <c r="K721" s="8">
        <f>IF(Tabela1[[#This Row],[Services CPI]]="",#N/A,((Tabela1[[#This Row],[Services CPI]]*1)/J720)-1)</f>
        <v>2.9045643153526868E-3</v>
      </c>
      <c r="L721" s="8">
        <f>IF(Tabela1[[#This Row],[Services CPI]]="",#N/A,((Tabela1[[#This Row],[Services CPI]]*1)/J709)-1)</f>
        <v>3.2023911187019749E-2</v>
      </c>
      <c r="M721" s="7">
        <v>248</v>
      </c>
      <c r="N721" s="8">
        <f>IF(Tabela1[[#This Row],[Core-Services CPI]]="",#N/A,((Tabela1[[#This Row],[Core-Services CPI]]*1)/M720)-1)</f>
        <v>2.4252223120453387E-3</v>
      </c>
      <c r="O721" s="8">
        <f>IF(Tabela1[[#This Row],[Core-Services CPI]]="",#N/A,((Tabela1[[#This Row],[Core-Services CPI]]*1)/M709)-1)</f>
        <v>3.6789297658862852E-2</v>
      </c>
      <c r="P721" s="7">
        <v>113.6</v>
      </c>
      <c r="Q721" s="8">
        <f>IF(Tabela1[[#This Row],[Durable Goods CPI]]="",#N/A,((Tabela1[[#This Row],[Durable Goods CPI]]*1)/P720)-1)</f>
        <v>-3.5087719298245723E-3</v>
      </c>
      <c r="R721" s="8">
        <f>IF(Tabela1[[#This Row],[Durable Goods CPI]]="",#N/A,((Tabela1[[#This Row],[Durable Goods CPI]]*1)/P709)-1)</f>
        <v>-1.2173913043478257E-2</v>
      </c>
      <c r="S721" s="7">
        <v>3.2120120000000001</v>
      </c>
      <c r="T721" s="7">
        <v>84.730999999999995</v>
      </c>
      <c r="U721" s="8">
        <f>IF(Tabela1[[#This Row],[Personal Consumption Expenditures (PCE)]]="",#N/A,((Tabela1[[#This Row],[Personal Consumption Expenditures (PCE)]]*1)/T720)-1)</f>
        <v>3.42376803381228E-4</v>
      </c>
      <c r="V721" s="8">
        <f>IF(Tabela1[[#This Row],[Personal Consumption Expenditures (PCE)]]="",#N/A,((Tabela1[[#This Row],[Personal Consumption Expenditures (PCE)]]*1)/T709)-1)</f>
        <v>1.9246731063020883E-2</v>
      </c>
      <c r="W721" s="7">
        <v>84.766000000000005</v>
      </c>
      <c r="X721" s="8">
        <f>IF(Tabela1[[#This Row],[Core PCE]]="",#N/A,((Tabela1[[#This Row],[Core PCE]]*1)/W720)-1)</f>
        <v>4.7211009607450727E-4</v>
      </c>
      <c r="Y721" s="8">
        <f>IF(Tabela1[[#This Row],[Core PCE]]="",#N/A,((Tabela1[[#This Row],[Core PCE]]*1)/W709)-1)</f>
        <v>2.2842180203443752E-2</v>
      </c>
      <c r="Z721" s="8">
        <f t="shared" si="37"/>
        <v>1.5425124007940383E-2</v>
      </c>
      <c r="AA721" s="8">
        <f t="shared" si="36"/>
        <v>1.8792025157246428E-2</v>
      </c>
      <c r="AB721" s="7">
        <v>2.57</v>
      </c>
      <c r="AC721" s="7"/>
      <c r="AD721" s="8"/>
      <c r="AE721" s="71"/>
      <c r="AF721" s="7">
        <v>3</v>
      </c>
      <c r="AG721" s="5"/>
    </row>
    <row r="722" spans="1:33" ht="12.75">
      <c r="A722" s="6">
        <v>39052</v>
      </c>
      <c r="B722" s="7">
        <v>203.1</v>
      </c>
      <c r="C722" s="8">
        <f>IF(Tabela1[[#This Row],[Consumer Price Index (CPI)]]="",#N/A,((Tabela1[[#This Row],[Consumer Price Index (CPI)]]*1)/B721)-1)</f>
        <v>5.4455445544554504E-3</v>
      </c>
      <c r="D722" s="8">
        <f>IF(Tabela1[[#This Row],[Consumer Price Index (CPI)]]="",#N/A,((Tabela1[[#This Row],[Consumer Price Index (CPI)]]*1)/B710)-1)</f>
        <v>2.5239777889954462E-2</v>
      </c>
      <c r="E722" s="25">
        <v>208.1</v>
      </c>
      <c r="F722" s="8">
        <f>IF(Tabela1[[#This Row],[Core Consumer Price Index]]="",#N/A,((Tabela1[[#This Row],[Core Consumer Price Index]]*1)/E721)-1)</f>
        <v>1.4436958614050255E-3</v>
      </c>
      <c r="G722" s="8">
        <f>IF(Tabela1[[#This Row],[Core Consumer Price Index]]="",#N/A,((Tabela1[[#This Row],[Core Consumer Price Index]]*1)/E710)-1)</f>
        <v>2.6134122287968298E-2</v>
      </c>
      <c r="H722" s="8">
        <f t="shared" si="38"/>
        <v>1.7350355714834897E-2</v>
      </c>
      <c r="I722" s="8">
        <f t="shared" si="39"/>
        <v>2.127634080712415E-2</v>
      </c>
      <c r="J722" s="25">
        <v>242.4</v>
      </c>
      <c r="K722" s="8">
        <f>IF(Tabela1[[#This Row],[Services CPI]]="",#N/A,((Tabela1[[#This Row],[Services CPI]]*1)/J721)-1)</f>
        <v>2.8961522548613949E-3</v>
      </c>
      <c r="L722" s="8">
        <f>IF(Tabela1[[#This Row],[Services CPI]]="",#N/A,((Tabela1[[#This Row],[Services CPI]]*1)/J710)-1)</f>
        <v>3.4129692832764569E-2</v>
      </c>
      <c r="M722" s="7">
        <v>248.6</v>
      </c>
      <c r="N722" s="8">
        <f>IF(Tabela1[[#This Row],[Core-Services CPI]]="",#N/A,((Tabela1[[#This Row],[Core-Services CPI]]*1)/M721)-1)</f>
        <v>2.4193548387096975E-3</v>
      </c>
      <c r="O722" s="8">
        <f>IF(Tabela1[[#This Row],[Core-Services CPI]]="",#N/A,((Tabela1[[#This Row],[Core-Services CPI]]*1)/M710)-1)</f>
        <v>3.669724770642202E-2</v>
      </c>
      <c r="P722" s="7">
        <v>113.4</v>
      </c>
      <c r="Q722" s="8">
        <f>IF(Tabela1[[#This Row],[Durable Goods CPI]]="",#N/A,((Tabela1[[#This Row],[Durable Goods CPI]]*1)/P721)-1)</f>
        <v>-1.7605633802816323E-3</v>
      </c>
      <c r="R722" s="8">
        <f>IF(Tabela1[[#This Row],[Durable Goods CPI]]="",#N/A,((Tabela1[[#This Row],[Durable Goods CPI]]*1)/P710)-1)</f>
        <v>-1.3913043478260834E-2</v>
      </c>
      <c r="S722" s="7">
        <v>3.2911245999999998</v>
      </c>
      <c r="T722" s="7">
        <v>85.031999999999996</v>
      </c>
      <c r="U722" s="8">
        <f>IF(Tabela1[[#This Row],[Personal Consumption Expenditures (PCE)]]="",#N/A,((Tabela1[[#This Row],[Personal Consumption Expenditures (PCE)]]*1)/T721)-1)</f>
        <v>3.5524188313604821E-3</v>
      </c>
      <c r="V722" s="8">
        <f>IF(Tabela1[[#This Row],[Personal Consumption Expenditures (PCE)]]="",#N/A,((Tabela1[[#This Row],[Personal Consumption Expenditures (PCE)]]*1)/T710)-1)</f>
        <v>2.2867522344251823E-2</v>
      </c>
      <c r="W722" s="7">
        <v>84.88</v>
      </c>
      <c r="X722" s="8">
        <f>IF(Tabela1[[#This Row],[Core PCE]]="",#N/A,((Tabela1[[#This Row],[Core PCE]]*1)/W721)-1)</f>
        <v>1.3448788429322178E-3</v>
      </c>
      <c r="Y722" s="8">
        <f>IF(Tabela1[[#This Row],[Core PCE]]="",#N/A,((Tabela1[[#This Row],[Core PCE]]*1)/W710)-1)</f>
        <v>2.3156016827589498E-2</v>
      </c>
      <c r="Z722" s="8">
        <f t="shared" si="37"/>
        <v>1.450430778326961E-2</v>
      </c>
      <c r="AA722" s="8">
        <f t="shared" si="36"/>
        <v>1.6432600953478094E-2</v>
      </c>
      <c r="AB722" s="7">
        <v>2.67</v>
      </c>
      <c r="AC722" s="7"/>
      <c r="AD722" s="8"/>
      <c r="AE722" s="71"/>
      <c r="AF722" s="7">
        <v>2.9</v>
      </c>
      <c r="AG722" s="5"/>
    </row>
    <row r="723" spans="1:33" ht="12.75">
      <c r="A723" s="6">
        <v>39083</v>
      </c>
      <c r="B723" s="7">
        <v>203.43700000000001</v>
      </c>
      <c r="C723" s="8">
        <f>IF(Tabela1[[#This Row],[Consumer Price Index (CPI)]]="",#N/A,((Tabela1[[#This Row],[Consumer Price Index (CPI)]]*1)/B722)-1)</f>
        <v>1.659281142294633E-3</v>
      </c>
      <c r="D723" s="8">
        <f>IF(Tabela1[[#This Row],[Consumer Price Index (CPI)]]="",#N/A,((Tabela1[[#This Row],[Consumer Price Index (CPI)]]*1)/B711)-1)</f>
        <v>2.0757651781234232E-2</v>
      </c>
      <c r="E723" s="25">
        <v>208.6</v>
      </c>
      <c r="F723" s="8">
        <f>IF(Tabela1[[#This Row],[Core Consumer Price Index]]="",#N/A,((Tabela1[[#This Row],[Core Consumer Price Index]]*1)/E722)-1)</f>
        <v>2.4026910139356428E-3</v>
      </c>
      <c r="G723" s="8">
        <f>IF(Tabela1[[#This Row],[Core Consumer Price Index]]="",#N/A,((Tabela1[[#This Row],[Core Consumer Price Index]]*1)/E711)-1)</f>
        <v>2.6574803149606252E-2</v>
      </c>
      <c r="H723" s="8">
        <f t="shared" si="38"/>
        <v>1.9239112048569318E-2</v>
      </c>
      <c r="I723" s="8">
        <f t="shared" si="39"/>
        <v>2.2196341581959711E-2</v>
      </c>
      <c r="J723" s="25">
        <v>243.214</v>
      </c>
      <c r="K723" s="8">
        <f>IF(Tabela1[[#This Row],[Services CPI]]="",#N/A,((Tabela1[[#This Row],[Services CPI]]*1)/J722)-1)</f>
        <v>3.3580858085808796E-3</v>
      </c>
      <c r="L723" s="8">
        <f>IF(Tabela1[[#This Row],[Services CPI]]="",#N/A,((Tabela1[[#This Row],[Services CPI]]*1)/J711)-1)</f>
        <v>3.2755838641189028E-2</v>
      </c>
      <c r="M723" s="7">
        <v>249.38200000000001</v>
      </c>
      <c r="N723" s="8">
        <f>IF(Tabela1[[#This Row],[Core-Services CPI]]="",#N/A,((Tabela1[[#This Row],[Core-Services CPI]]*1)/M722)-1)</f>
        <v>3.1456154465003827E-3</v>
      </c>
      <c r="O723" s="8">
        <f>IF(Tabela1[[#This Row],[Core-Services CPI]]="",#N/A,((Tabela1[[#This Row],[Core-Services CPI]]*1)/M711)-1)</f>
        <v>3.7794423637120156E-2</v>
      </c>
      <c r="P723" s="7">
        <v>113.07899999999999</v>
      </c>
      <c r="Q723" s="8">
        <f>IF(Tabela1[[#This Row],[Durable Goods CPI]]="",#N/A,((Tabela1[[#This Row],[Durable Goods CPI]]*1)/P722)-1)</f>
        <v>-2.8306878306879613E-3</v>
      </c>
      <c r="R723" s="8">
        <f>IF(Tabela1[[#This Row],[Durable Goods CPI]]="",#N/A,((Tabela1[[#This Row],[Durable Goods CPI]]*1)/P711)-1)</f>
        <v>-1.6704347826086985E-2</v>
      </c>
      <c r="S723" s="7">
        <v>3.1482614</v>
      </c>
      <c r="T723" s="7">
        <v>85.316000000000003</v>
      </c>
      <c r="U723" s="8">
        <f>IF(Tabela1[[#This Row],[Personal Consumption Expenditures (PCE)]]="",#N/A,((Tabela1[[#This Row],[Personal Consumption Expenditures (PCE)]]*1)/T722)-1)</f>
        <v>3.3399190892842157E-3</v>
      </c>
      <c r="V723" s="8">
        <f>IF(Tabela1[[#This Row],[Personal Consumption Expenditures (PCE)]]="",#N/A,((Tabela1[[#This Row],[Personal Consumption Expenditures (PCE)]]*1)/T711)-1)</f>
        <v>2.133263102449301E-2</v>
      </c>
      <c r="W723" s="7">
        <v>85.224000000000004</v>
      </c>
      <c r="X723" s="8">
        <f>IF(Tabela1[[#This Row],[Core PCE]]="",#N/A,((Tabela1[[#This Row],[Core PCE]]*1)/W722)-1)</f>
        <v>4.0527803958529951E-3</v>
      </c>
      <c r="Y723" s="8">
        <f>IF(Tabela1[[#This Row],[Core PCE]]="",#N/A,((Tabela1[[#This Row],[Core PCE]]*1)/W711)-1)</f>
        <v>2.5004510193036289E-2</v>
      </c>
      <c r="Z723" s="8">
        <f t="shared" si="37"/>
        <v>2.3479077339438881E-2</v>
      </c>
      <c r="AA723" s="8">
        <f t="shared" si="36"/>
        <v>2.2590094370561253E-2</v>
      </c>
      <c r="AB723" s="7">
        <v>2.71</v>
      </c>
      <c r="AC723" s="7"/>
      <c r="AD723" s="8"/>
      <c r="AE723" s="71"/>
      <c r="AF723" s="7">
        <v>3</v>
      </c>
      <c r="AG723" s="5"/>
    </row>
    <row r="724" spans="1:33" ht="12.75">
      <c r="A724" s="6">
        <v>39114</v>
      </c>
      <c r="B724" s="7">
        <v>204.226</v>
      </c>
      <c r="C724" s="8">
        <f>IF(Tabela1[[#This Row],[Consumer Price Index (CPI)]]="",#N/A,((Tabela1[[#This Row],[Consumer Price Index (CPI)]]*1)/B723)-1)</f>
        <v>3.8783505458692691E-3</v>
      </c>
      <c r="D724" s="8">
        <f>IF(Tabela1[[#This Row],[Consumer Price Index (CPI)]]="",#N/A,((Tabela1[[#This Row],[Consumer Price Index (CPI)]]*1)/B712)-1)</f>
        <v>2.4202607823470279E-2</v>
      </c>
      <c r="E724" s="25">
        <v>209.13499999999999</v>
      </c>
      <c r="F724" s="8">
        <f>IF(Tabela1[[#This Row],[Core Consumer Price Index]]="",#N/A,((Tabela1[[#This Row],[Core Consumer Price Index]]*1)/E723)-1)</f>
        <v>2.5647171620326592E-3</v>
      </c>
      <c r="G724" s="8">
        <f>IF(Tabela1[[#This Row],[Core Consumer Price Index]]="",#N/A,((Tabela1[[#This Row],[Core Consumer Price Index]]*1)/E712)-1)</f>
        <v>2.7185658153241699E-2</v>
      </c>
      <c r="H724" s="8">
        <f t="shared" si="38"/>
        <v>2.564441614949331E-2</v>
      </c>
      <c r="I724" s="8">
        <f t="shared" si="39"/>
        <v>2.2478466162932254E-2</v>
      </c>
      <c r="J724" s="25">
        <v>244.09100000000001</v>
      </c>
      <c r="K724" s="8">
        <f>IF(Tabela1[[#This Row],[Services CPI]]="",#N/A,((Tabela1[[#This Row],[Services CPI]]*1)/J723)-1)</f>
        <v>3.6058779511047856E-3</v>
      </c>
      <c r="L724" s="8">
        <f>IF(Tabela1[[#This Row],[Services CPI]]="",#N/A,((Tabela1[[#This Row],[Services CPI]]*1)/J712)-1)</f>
        <v>3.472233997456553E-2</v>
      </c>
      <c r="M724" s="7">
        <v>250.24199999999999</v>
      </c>
      <c r="N724" s="8">
        <f>IF(Tabela1[[#This Row],[Core-Services CPI]]="",#N/A,((Tabela1[[#This Row],[Core-Services CPI]]*1)/M723)-1)</f>
        <v>3.4485247531899077E-3</v>
      </c>
      <c r="O724" s="8">
        <f>IF(Tabela1[[#This Row],[Core-Services CPI]]="",#N/A,((Tabela1[[#This Row],[Core-Services CPI]]*1)/M712)-1)</f>
        <v>3.7917876399834016E-2</v>
      </c>
      <c r="P724" s="7">
        <v>112.97199999999999</v>
      </c>
      <c r="Q724" s="8">
        <f>IF(Tabela1[[#This Row],[Durable Goods CPI]]="",#N/A,((Tabela1[[#This Row],[Durable Goods CPI]]*1)/P723)-1)</f>
        <v>-9.4624112346231026E-4</v>
      </c>
      <c r="R724" s="8">
        <f>IF(Tabela1[[#This Row],[Durable Goods CPI]]="",#N/A,((Tabela1[[#This Row],[Durable Goods CPI]]*1)/P712)-1)</f>
        <v>-1.6779808529155837E-2</v>
      </c>
      <c r="S724" s="7">
        <v>3.1241582999999999</v>
      </c>
      <c r="T724" s="7">
        <v>85.581000000000003</v>
      </c>
      <c r="U724" s="8">
        <f>IF(Tabela1[[#This Row],[Personal Consumption Expenditures (PCE)]]="",#N/A,((Tabela1[[#This Row],[Personal Consumption Expenditures (PCE)]]*1)/T723)-1)</f>
        <v>3.1060996764968873E-3</v>
      </c>
      <c r="V724" s="8">
        <f>IF(Tabela1[[#This Row],[Personal Consumption Expenditures (PCE)]]="",#N/A,((Tabela1[[#This Row],[Personal Consumption Expenditures (PCE)]]*1)/T712)-1)</f>
        <v>2.389213246554367E-2</v>
      </c>
      <c r="W724" s="7">
        <v>85.408000000000001</v>
      </c>
      <c r="X724" s="8">
        <f>IF(Tabela1[[#This Row],[Core PCE]]="",#N/A,((Tabela1[[#This Row],[Core PCE]]*1)/W723)-1)</f>
        <v>2.1590162395568324E-3</v>
      </c>
      <c r="Y724" s="8">
        <f>IF(Tabela1[[#This Row],[Core PCE]]="",#N/A,((Tabela1[[#This Row],[Core PCE]]*1)/W712)-1)</f>
        <v>2.5564668163642779E-2</v>
      </c>
      <c r="Z724" s="8">
        <f t="shared" si="37"/>
        <v>3.0226701913368181E-2</v>
      </c>
      <c r="AA724" s="8">
        <f t="shared" si="36"/>
        <v>2.2825912960654282E-2</v>
      </c>
      <c r="AB724" s="7">
        <v>2.82</v>
      </c>
      <c r="AC724" s="7"/>
      <c r="AD724" s="8"/>
      <c r="AE724" s="71"/>
      <c r="AF724" s="7">
        <v>3</v>
      </c>
      <c r="AG724" s="5"/>
    </row>
    <row r="725" spans="1:33" ht="12.75">
      <c r="A725" s="6">
        <v>39142</v>
      </c>
      <c r="B725" s="7">
        <v>205.28800000000001</v>
      </c>
      <c r="C725" s="8">
        <f>IF(Tabela1[[#This Row],[Consumer Price Index (CPI)]]="",#N/A,((Tabela1[[#This Row],[Consumer Price Index (CPI)]]*1)/B724)-1)</f>
        <v>5.2001214340975377E-3</v>
      </c>
      <c r="D725" s="8">
        <f>IF(Tabela1[[#This Row],[Consumer Price Index (CPI)]]="",#N/A,((Tabela1[[#This Row],[Consumer Price Index (CPI)]]*1)/B713)-1)</f>
        <v>2.7981972959439272E-2</v>
      </c>
      <c r="E725" s="25">
        <v>209.41800000000001</v>
      </c>
      <c r="F725" s="8">
        <f>IF(Tabela1[[#This Row],[Core Consumer Price Index]]="",#N/A,((Tabela1[[#This Row],[Core Consumer Price Index]]*1)/E724)-1)</f>
        <v>1.3531929136683107E-3</v>
      </c>
      <c r="G725" s="8">
        <f>IF(Tabela1[[#This Row],[Core Consumer Price Index]]="",#N/A,((Tabela1[[#This Row],[Core Consumer Price Index]]*1)/E713)-1)</f>
        <v>2.5051395007342103E-2</v>
      </c>
      <c r="H725" s="8">
        <f t="shared" si="38"/>
        <v>2.5282404358546451E-2</v>
      </c>
      <c r="I725" s="8">
        <f t="shared" si="39"/>
        <v>2.1316380036690674E-2</v>
      </c>
      <c r="J725" s="25">
        <v>244.74299999999999</v>
      </c>
      <c r="K725" s="8">
        <f>IF(Tabela1[[#This Row],[Services CPI]]="",#N/A,((Tabela1[[#This Row],[Services CPI]]*1)/J724)-1)</f>
        <v>2.6711349455734723E-3</v>
      </c>
      <c r="L725" s="8">
        <f>IF(Tabela1[[#This Row],[Services CPI]]="",#N/A,((Tabela1[[#This Row],[Services CPI]]*1)/J713)-1)</f>
        <v>3.4854122621564398E-2</v>
      </c>
      <c r="M725" s="7">
        <v>250.74199999999999</v>
      </c>
      <c r="N725" s="8">
        <f>IF(Tabela1[[#This Row],[Core-Services CPI]]="",#N/A,((Tabela1[[#This Row],[Core-Services CPI]]*1)/M724)-1)</f>
        <v>1.9980658722356104E-3</v>
      </c>
      <c r="O725" s="8">
        <f>IF(Tabela1[[#This Row],[Core-Services CPI]]="",#N/A,((Tabela1[[#This Row],[Core-Services CPI]]*1)/M713)-1)</f>
        <v>3.61239669421487E-2</v>
      </c>
      <c r="P725" s="7">
        <v>112.93600000000001</v>
      </c>
      <c r="Q725" s="8">
        <f>IF(Tabela1[[#This Row],[Durable Goods CPI]]="",#N/A,((Tabela1[[#This Row],[Durable Goods CPI]]*1)/P724)-1)</f>
        <v>-3.1866303154748366E-4</v>
      </c>
      <c r="R725" s="8">
        <f>IF(Tabela1[[#This Row],[Durable Goods CPI]]="",#N/A,((Tabela1[[#This Row],[Durable Goods CPI]]*1)/P713)-1)</f>
        <v>-1.6236933797909359E-2</v>
      </c>
      <c r="S725" s="7">
        <v>3.1457342000000001</v>
      </c>
      <c r="T725" s="7">
        <v>85.894000000000005</v>
      </c>
      <c r="U725" s="8">
        <f>IF(Tabela1[[#This Row],[Personal Consumption Expenditures (PCE)]]="",#N/A,((Tabela1[[#This Row],[Personal Consumption Expenditures (PCE)]]*1)/T724)-1)</f>
        <v>3.6573538519064641E-3</v>
      </c>
      <c r="V725" s="8">
        <f>IF(Tabela1[[#This Row],[Personal Consumption Expenditures (PCE)]]="",#N/A,((Tabela1[[#This Row],[Personal Consumption Expenditures (PCE)]]*1)/T713)-1)</f>
        <v>2.5648986220237591E-2</v>
      </c>
      <c r="W725" s="7">
        <v>85.494</v>
      </c>
      <c r="X725" s="8">
        <f>IF(Tabela1[[#This Row],[Core PCE]]="",#N/A,((Tabela1[[#This Row],[Core PCE]]*1)/W724)-1)</f>
        <v>1.006931434994307E-3</v>
      </c>
      <c r="Y725" s="8">
        <f>IF(Tabela1[[#This Row],[Core PCE]]="",#N/A,((Tabela1[[#This Row],[Core PCE]]*1)/W713)-1)</f>
        <v>2.3769893065417991E-2</v>
      </c>
      <c r="Z725" s="8">
        <f t="shared" si="37"/>
        <v>2.8874912281616538E-2</v>
      </c>
      <c r="AA725" s="8">
        <f t="shared" si="36"/>
        <v>2.1689610032443074E-2</v>
      </c>
      <c r="AB725" s="7">
        <v>2.77</v>
      </c>
      <c r="AC725" s="7"/>
      <c r="AD725" s="8"/>
      <c r="AE725" s="71"/>
      <c r="AF725" s="7">
        <v>3</v>
      </c>
      <c r="AG725" s="5"/>
    </row>
    <row r="726" spans="1:33" ht="12.75">
      <c r="A726" s="6">
        <v>39173</v>
      </c>
      <c r="B726" s="7">
        <v>205.904</v>
      </c>
      <c r="C726" s="8">
        <f>IF(Tabela1[[#This Row],[Consumer Price Index (CPI)]]="",#N/A,((Tabela1[[#This Row],[Consumer Price Index (CPI)]]*1)/B725)-1)</f>
        <v>3.0006624839249429E-3</v>
      </c>
      <c r="D726" s="8">
        <f>IF(Tabela1[[#This Row],[Consumer Price Index (CPI)]]="",#N/A,((Tabela1[[#This Row],[Consumer Price Index (CPI)]]*1)/B714)-1)</f>
        <v>2.5929247633283525E-2</v>
      </c>
      <c r="E726" s="25">
        <v>209.74700000000001</v>
      </c>
      <c r="F726" s="8">
        <f>IF(Tabela1[[#This Row],[Core Consumer Price Index]]="",#N/A,((Tabela1[[#This Row],[Core Consumer Price Index]]*1)/E725)-1)</f>
        <v>1.5710206381496228E-3</v>
      </c>
      <c r="G726" s="8">
        <f>IF(Tabela1[[#This Row],[Core Consumer Price Index]]="",#N/A,((Tabela1[[#This Row],[Core Consumer Price Index]]*1)/E714)-1)</f>
        <v>2.4155273437499902E-2</v>
      </c>
      <c r="H726" s="8">
        <f t="shared" si="38"/>
        <v>2.1955722855402371E-2</v>
      </c>
      <c r="I726" s="8">
        <f t="shared" si="39"/>
        <v>2.0597417451985844E-2</v>
      </c>
      <c r="J726" s="25">
        <v>245.315</v>
      </c>
      <c r="K726" s="8">
        <f>IF(Tabela1[[#This Row],[Services CPI]]="",#N/A,((Tabela1[[#This Row],[Services CPI]]*1)/J725)-1)</f>
        <v>2.3371454954790316E-3</v>
      </c>
      <c r="L726" s="8">
        <f>IF(Tabela1[[#This Row],[Services CPI]]="",#N/A,((Tabela1[[#This Row],[Services CPI]]*1)/J714)-1)</f>
        <v>3.4647827920708529E-2</v>
      </c>
      <c r="M726" s="7">
        <v>251.38499999999999</v>
      </c>
      <c r="N726" s="8">
        <f>IF(Tabela1[[#This Row],[Core-Services CPI]]="",#N/A,((Tabela1[[#This Row],[Core-Services CPI]]*1)/M725)-1)</f>
        <v>2.5643888937632031E-3</v>
      </c>
      <c r="O726" s="8">
        <f>IF(Tabela1[[#This Row],[Core-Services CPI]]="",#N/A,((Tabela1[[#This Row],[Core-Services CPI]]*1)/M714)-1)</f>
        <v>3.5358319604612776E-2</v>
      </c>
      <c r="P726" s="7">
        <v>112.80500000000001</v>
      </c>
      <c r="Q726" s="8">
        <f>IF(Tabela1[[#This Row],[Durable Goods CPI]]="",#N/A,((Tabela1[[#This Row],[Durable Goods CPI]]*1)/P725)-1)</f>
        <v>-1.1599489976623634E-3</v>
      </c>
      <c r="R726" s="8">
        <f>IF(Tabela1[[#This Row],[Durable Goods CPI]]="",#N/A,((Tabela1[[#This Row],[Durable Goods CPI]]*1)/P714)-1)</f>
        <v>-1.8233246301131434E-2</v>
      </c>
      <c r="S726" s="7">
        <v>3.1615579999999999</v>
      </c>
      <c r="T726" s="7">
        <v>86.096000000000004</v>
      </c>
      <c r="U726" s="8">
        <f>IF(Tabela1[[#This Row],[Personal Consumption Expenditures (PCE)]]="",#N/A,((Tabela1[[#This Row],[Personal Consumption Expenditures (PCE)]]*1)/T725)-1)</f>
        <v>2.3517358604792094E-3</v>
      </c>
      <c r="V726" s="8">
        <f>IF(Tabela1[[#This Row],[Personal Consumption Expenditures (PCE)]]="",#N/A,((Tabela1[[#This Row],[Personal Consumption Expenditures (PCE)]]*1)/T714)-1)</f>
        <v>2.3307779164438047E-2</v>
      </c>
      <c r="W726" s="7">
        <v>85.616</v>
      </c>
      <c r="X726" s="8">
        <f>IF(Tabela1[[#This Row],[Core PCE]]="",#N/A,((Tabela1[[#This Row],[Core PCE]]*1)/W725)-1)</f>
        <v>1.4270007251970807E-3</v>
      </c>
      <c r="Y726" s="8">
        <f>IF(Tabela1[[#This Row],[Core PCE]]="",#N/A,((Tabela1[[#This Row],[Core PCE]]*1)/W714)-1)</f>
        <v>2.2109736879805109E-2</v>
      </c>
      <c r="Z726" s="8">
        <f t="shared" si="37"/>
        <v>1.837179359899288E-2</v>
      </c>
      <c r="AA726" s="8">
        <f t="shared" si="36"/>
        <v>2.0925435469215881E-2</v>
      </c>
      <c r="AB726" s="7">
        <v>2.66</v>
      </c>
      <c r="AC726" s="7"/>
      <c r="AD726" s="8"/>
      <c r="AE726" s="71"/>
      <c r="AF726" s="7">
        <v>3.3</v>
      </c>
      <c r="AG726" s="5"/>
    </row>
    <row r="727" spans="1:33" ht="12.75">
      <c r="A727" s="6">
        <v>39203</v>
      </c>
      <c r="B727" s="7">
        <v>206.755</v>
      </c>
      <c r="C727" s="8">
        <f>IF(Tabela1[[#This Row],[Consumer Price Index (CPI)]]="",#N/A,((Tabela1[[#This Row],[Consumer Price Index (CPI)]]*1)/B726)-1)</f>
        <v>4.1329940166290324E-3</v>
      </c>
      <c r="D727" s="8">
        <f>IF(Tabela1[[#This Row],[Consumer Price Index (CPI)]]="",#N/A,((Tabela1[[#This Row],[Consumer Price Index (CPI)]]*1)/B715)-1)</f>
        <v>2.7098857426726131E-2</v>
      </c>
      <c r="E727" s="25">
        <v>210.05799999999999</v>
      </c>
      <c r="F727" s="8">
        <f>IF(Tabela1[[#This Row],[Core Consumer Price Index]]="",#N/A,((Tabela1[[#This Row],[Core Consumer Price Index]]*1)/E726)-1)</f>
        <v>1.4827387280866855E-3</v>
      </c>
      <c r="G727" s="8">
        <f>IF(Tabela1[[#This Row],[Core Consumer Price Index]]="",#N/A,((Tabela1[[#This Row],[Core Consumer Price Index]]*1)/E715)-1)</f>
        <v>2.2677702044790582E-2</v>
      </c>
      <c r="H727" s="8">
        <f t="shared" si="38"/>
        <v>1.7627809119618476E-2</v>
      </c>
      <c r="I727" s="8">
        <f t="shared" si="39"/>
        <v>2.1636112634555893E-2</v>
      </c>
      <c r="J727" s="25">
        <v>245.89599999999999</v>
      </c>
      <c r="K727" s="8">
        <f>IF(Tabela1[[#This Row],[Services CPI]]="",#N/A,((Tabela1[[#This Row],[Services CPI]]*1)/J726)-1)</f>
        <v>2.3683835069197023E-3</v>
      </c>
      <c r="L727" s="8">
        <f>IF(Tabela1[[#This Row],[Services CPI]]="",#N/A,((Tabela1[[#This Row],[Services CPI]]*1)/J715)-1)</f>
        <v>3.4045416316232036E-2</v>
      </c>
      <c r="M727" s="7">
        <v>251.99100000000001</v>
      </c>
      <c r="N727" s="8">
        <f>IF(Tabela1[[#This Row],[Core-Services CPI]]="",#N/A,((Tabela1[[#This Row],[Core-Services CPI]]*1)/M726)-1)</f>
        <v>2.4106450265530821E-3</v>
      </c>
      <c r="O727" s="8">
        <f>IF(Tabela1[[#This Row],[Core-Services CPI]]="",#N/A,((Tabela1[[#This Row],[Core-Services CPI]]*1)/M715)-1)</f>
        <v>3.4021337710299582E-2</v>
      </c>
      <c r="P727" s="7">
        <v>112.53400000000001</v>
      </c>
      <c r="Q727" s="8">
        <f>IF(Tabela1[[#This Row],[Durable Goods CPI]]="",#N/A,((Tabela1[[#This Row],[Durable Goods CPI]]*1)/P726)-1)</f>
        <v>-2.4023757812153823E-3</v>
      </c>
      <c r="R727" s="8">
        <f>IF(Tabela1[[#This Row],[Durable Goods CPI]]="",#N/A,((Tabela1[[#This Row],[Durable Goods CPI]]*1)/P715)-1)</f>
        <v>-1.9738675958188123E-2</v>
      </c>
      <c r="S727" s="7">
        <v>3.1090013999999999</v>
      </c>
      <c r="T727" s="7">
        <v>86.346000000000004</v>
      </c>
      <c r="U727" s="8">
        <f>IF(Tabela1[[#This Row],[Personal Consumption Expenditures (PCE)]]="",#N/A,((Tabela1[[#This Row],[Personal Consumption Expenditures (PCE)]]*1)/T726)-1)</f>
        <v>2.903735365173743E-3</v>
      </c>
      <c r="V727" s="8">
        <f>IF(Tabela1[[#This Row],[Personal Consumption Expenditures (PCE)]]="",#N/A,((Tabela1[[#This Row],[Personal Consumption Expenditures (PCE)]]*1)/T715)-1)</f>
        <v>2.352983013477794E-2</v>
      </c>
      <c r="W727" s="7">
        <v>85.716999999999999</v>
      </c>
      <c r="X727" s="8">
        <f>IF(Tabela1[[#This Row],[Core PCE]]="",#N/A,((Tabela1[[#This Row],[Core PCE]]*1)/W726)-1)</f>
        <v>1.1796860399924114E-3</v>
      </c>
      <c r="Y727" s="8">
        <f>IF(Tabela1[[#This Row],[Core PCE]]="",#N/A,((Tabela1[[#This Row],[Core PCE]]*1)/W715)-1)</f>
        <v>2.0756424607616619E-2</v>
      </c>
      <c r="Z727" s="8">
        <f t="shared" si="37"/>
        <v>1.4454472800735196E-2</v>
      </c>
      <c r="AA727" s="8">
        <f t="shared" si="36"/>
        <v>2.2340587357051689E-2</v>
      </c>
      <c r="AB727" s="7">
        <v>2.5099999999999998</v>
      </c>
      <c r="AC727" s="7"/>
      <c r="AD727" s="8"/>
      <c r="AE727" s="71"/>
      <c r="AF727" s="7">
        <v>3.3</v>
      </c>
      <c r="AG727" s="5"/>
    </row>
    <row r="728" spans="1:33" ht="12.75">
      <c r="A728" s="6">
        <v>39234</v>
      </c>
      <c r="B728" s="7">
        <v>207.23400000000001</v>
      </c>
      <c r="C728" s="8">
        <f>IF(Tabela1[[#This Row],[Consumer Price Index (CPI)]]="",#N/A,((Tabela1[[#This Row],[Consumer Price Index (CPI)]]*1)/B727)-1)</f>
        <v>2.3167517109623503E-3</v>
      </c>
      <c r="D728" s="8">
        <f>IF(Tabela1[[#This Row],[Consumer Price Index (CPI)]]="",#N/A,((Tabela1[[#This Row],[Consumer Price Index (CPI)]]*1)/B716)-1)</f>
        <v>2.692765113974227E-2</v>
      </c>
      <c r="E728" s="25">
        <v>210.392</v>
      </c>
      <c r="F728" s="8">
        <f>IF(Tabela1[[#This Row],[Core Consumer Price Index]]="",#N/A,((Tabela1[[#This Row],[Core Consumer Price Index]]*1)/E727)-1)</f>
        <v>1.59003703738958E-3</v>
      </c>
      <c r="G728" s="8">
        <f>IF(Tabela1[[#This Row],[Core Consumer Price Index]]="",#N/A,((Tabela1[[#This Row],[Core Consumer Price Index]]*1)/E716)-1)</f>
        <v>2.181641573579407E-2</v>
      </c>
      <c r="H728" s="8">
        <f t="shared" si="38"/>
        <v>1.8575185614503553E-2</v>
      </c>
      <c r="I728" s="8">
        <f t="shared" si="39"/>
        <v>2.1928794986525002E-2</v>
      </c>
      <c r="J728" s="25">
        <v>246.64500000000001</v>
      </c>
      <c r="K728" s="8">
        <f>IF(Tabela1[[#This Row],[Services CPI]]="",#N/A,((Tabela1[[#This Row],[Services CPI]]*1)/J727)-1)</f>
        <v>3.0460031883399186E-3</v>
      </c>
      <c r="L728" s="8">
        <f>IF(Tabela1[[#This Row],[Services CPI]]="",#N/A,((Tabela1[[#This Row],[Services CPI]]*1)/J716)-1)</f>
        <v>3.4150943396226374E-2</v>
      </c>
      <c r="M728" s="7">
        <v>252.64699999999999</v>
      </c>
      <c r="N728" s="8">
        <f>IF(Tabela1[[#This Row],[Core-Services CPI]]="",#N/A,((Tabela1[[#This Row],[Core-Services CPI]]*1)/M727)-1)</f>
        <v>2.6032675770164548E-3</v>
      </c>
      <c r="O728" s="8">
        <f>IF(Tabela1[[#This Row],[Core-Services CPI]]="",#N/A,((Tabela1[[#This Row],[Core-Services CPI]]*1)/M716)-1)</f>
        <v>3.3321063394682993E-2</v>
      </c>
      <c r="P728" s="7">
        <v>112.36499999999999</v>
      </c>
      <c r="Q728" s="8">
        <f>IF(Tabela1[[#This Row],[Durable Goods CPI]]="",#N/A,((Tabela1[[#This Row],[Durable Goods CPI]]*1)/P727)-1)</f>
        <v>-1.5017683544529259E-3</v>
      </c>
      <c r="R728" s="8">
        <f>IF(Tabela1[[#This Row],[Durable Goods CPI]]="",#N/A,((Tabela1[[#This Row],[Durable Goods CPI]]*1)/P716)-1)</f>
        <v>-1.9502617801047117E-2</v>
      </c>
      <c r="S728" s="7">
        <v>2.9667028000000002</v>
      </c>
      <c r="T728" s="7">
        <v>86.528999999999996</v>
      </c>
      <c r="U728" s="8">
        <f>IF(Tabela1[[#This Row],[Personal Consumption Expenditures (PCE)]]="",#N/A,((Tabela1[[#This Row],[Personal Consumption Expenditures (PCE)]]*1)/T727)-1)</f>
        <v>2.1193801681604896E-3</v>
      </c>
      <c r="V728" s="8">
        <f>IF(Tabela1[[#This Row],[Personal Consumption Expenditures (PCE)]]="",#N/A,((Tabela1[[#This Row],[Personal Consumption Expenditures (PCE)]]*1)/T716)-1)</f>
        <v>2.3176341212501006E-2</v>
      </c>
      <c r="W728" s="7">
        <v>85.858999999999995</v>
      </c>
      <c r="X728" s="8">
        <f>IF(Tabela1[[#This Row],[Core PCE]]="",#N/A,((Tabela1[[#This Row],[Core PCE]]*1)/W727)-1)</f>
        <v>1.6566142072167445E-3</v>
      </c>
      <c r="Y728" s="8">
        <f>IF(Tabela1[[#This Row],[Core PCE]]="",#N/A,((Tabela1[[#This Row],[Core PCE]]*1)/W716)-1)</f>
        <v>1.9872662913073214E-2</v>
      </c>
      <c r="Z728" s="8">
        <f t="shared" si="37"/>
        <v>1.7053203889624946E-2</v>
      </c>
      <c r="AA728" s="8">
        <f t="shared" si="36"/>
        <v>2.2964058085620742E-2</v>
      </c>
      <c r="AB728" s="7">
        <v>2.41</v>
      </c>
      <c r="AC728" s="7"/>
      <c r="AD728" s="8"/>
      <c r="AE728" s="71"/>
      <c r="AF728" s="7">
        <v>3.4</v>
      </c>
      <c r="AG728" s="5"/>
    </row>
    <row r="729" spans="1:33" ht="12.75">
      <c r="A729" s="6">
        <v>39264</v>
      </c>
      <c r="B729" s="7">
        <v>207.60300000000001</v>
      </c>
      <c r="C729" s="8">
        <f>IF(Tabela1[[#This Row],[Consumer Price Index (CPI)]]="",#N/A,((Tabela1[[#This Row],[Consumer Price Index (CPI)]]*1)/B728)-1)</f>
        <v>1.7805958481715844E-3</v>
      </c>
      <c r="D729" s="8">
        <f>IF(Tabela1[[#This Row],[Consumer Price Index (CPI)]]="",#N/A,((Tabela1[[#This Row],[Consumer Price Index (CPI)]]*1)/B717)-1)</f>
        <v>2.3178905864958077E-2</v>
      </c>
      <c r="E729" s="25">
        <v>210.773</v>
      </c>
      <c r="F729" s="8">
        <f>IF(Tabela1[[#This Row],[Core Consumer Price Index]]="",#N/A,((Tabela1[[#This Row],[Core Consumer Price Index]]*1)/E728)-1)</f>
        <v>1.8109053576180756E-3</v>
      </c>
      <c r="G729" s="8">
        <f>IF(Tabela1[[#This Row],[Core Consumer Price Index]]="",#N/A,((Tabela1[[#This Row],[Core Consumer Price Index]]*1)/E717)-1)</f>
        <v>2.1682016480853106E-2</v>
      </c>
      <c r="H729" s="8">
        <f t="shared" si="38"/>
        <v>1.9534724492377364E-2</v>
      </c>
      <c r="I729" s="8">
        <f t="shared" si="39"/>
        <v>2.0745223673889868E-2</v>
      </c>
      <c r="J729" s="25">
        <v>247.065</v>
      </c>
      <c r="K729" s="8">
        <f>IF(Tabela1[[#This Row],[Services CPI]]="",#N/A,((Tabela1[[#This Row],[Services CPI]]*1)/J728)-1)</f>
        <v>1.7028522775648369E-3</v>
      </c>
      <c r="L729" s="8">
        <f>IF(Tabela1[[#This Row],[Services CPI]]="",#N/A,((Tabela1[[#This Row],[Services CPI]]*1)/J717)-1)</f>
        <v>3.2880434782608825E-2</v>
      </c>
      <c r="M729" s="7">
        <v>253.27099999999999</v>
      </c>
      <c r="N729" s="8">
        <f>IF(Tabela1[[#This Row],[Core-Services CPI]]="",#N/A,((Tabela1[[#This Row],[Core-Services CPI]]*1)/M728)-1)</f>
        <v>2.4698492362862368E-3</v>
      </c>
      <c r="O729" s="8">
        <f>IF(Tabela1[[#This Row],[Core-Services CPI]]="",#N/A,((Tabela1[[#This Row],[Core-Services CPI]]*1)/M717)-1)</f>
        <v>3.2915986949429099E-2</v>
      </c>
      <c r="P729" s="7">
        <v>112.092</v>
      </c>
      <c r="Q729" s="8">
        <f>IF(Tabela1[[#This Row],[Durable Goods CPI]]="",#N/A,((Tabela1[[#This Row],[Durable Goods CPI]]*1)/P728)-1)</f>
        <v>-2.4295821652648986E-3</v>
      </c>
      <c r="R729" s="8">
        <f>IF(Tabela1[[#This Row],[Durable Goods CPI]]="",#N/A,((Tabela1[[#This Row],[Durable Goods CPI]]*1)/P717)-1)</f>
        <v>-2.2737576285963401E-2</v>
      </c>
      <c r="S729" s="7">
        <v>2.7833239999999999</v>
      </c>
      <c r="T729" s="7">
        <v>86.661000000000001</v>
      </c>
      <c r="U729" s="8">
        <f>IF(Tabela1[[#This Row],[Personal Consumption Expenditures (PCE)]]="",#N/A,((Tabela1[[#This Row],[Personal Consumption Expenditures (PCE)]]*1)/T728)-1)</f>
        <v>1.5255001213465569E-3</v>
      </c>
      <c r="V729" s="8">
        <f>IF(Tabela1[[#This Row],[Personal Consumption Expenditures (PCE)]]="",#N/A,((Tabela1[[#This Row],[Personal Consumption Expenditures (PCE)]]*1)/T717)-1)</f>
        <v>2.1247260128685497E-2</v>
      </c>
      <c r="W729" s="7">
        <v>85.988</v>
      </c>
      <c r="X729" s="8">
        <f>IF(Tabela1[[#This Row],[Core PCE]]="",#N/A,((Tabela1[[#This Row],[Core PCE]]*1)/W728)-1)</f>
        <v>1.5024633410591903E-3</v>
      </c>
      <c r="Y729" s="8">
        <f>IF(Tabela1[[#This Row],[Core PCE]]="",#N/A,((Tabela1[[#This Row],[Core PCE]]*1)/W717)-1)</f>
        <v>2.0411069445103625E-2</v>
      </c>
      <c r="Z729" s="8">
        <f t="shared" si="37"/>
        <v>1.7355054353073385E-2</v>
      </c>
      <c r="AA729" s="8">
        <f t="shared" ref="AA729:AA792" si="40">SUM(X724:X729)*2</f>
        <v>1.7863423976033133E-2</v>
      </c>
      <c r="AB729" s="7">
        <v>2.35</v>
      </c>
      <c r="AC729" s="7"/>
      <c r="AD729" s="8"/>
      <c r="AE729" s="71"/>
      <c r="AF729" s="7">
        <v>3.4</v>
      </c>
      <c r="AG729" s="5"/>
    </row>
    <row r="730" spans="1:33" ht="12.75">
      <c r="A730" s="6">
        <v>39295</v>
      </c>
      <c r="B730" s="7">
        <v>207.667</v>
      </c>
      <c r="C730" s="8">
        <f>IF(Tabela1[[#This Row],[Consumer Price Index (CPI)]]="",#N/A,((Tabela1[[#This Row],[Consumer Price Index (CPI)]]*1)/B729)-1)</f>
        <v>3.0828070885302594E-4</v>
      </c>
      <c r="D730" s="8">
        <f>IF(Tabela1[[#This Row],[Consumer Price Index (CPI)]]="",#N/A,((Tabela1[[#This Row],[Consumer Price Index (CPI)]]*1)/B718)-1)</f>
        <v>1.8974484789008761E-2</v>
      </c>
      <c r="E730" s="25">
        <v>211.119</v>
      </c>
      <c r="F730" s="8">
        <f>IF(Tabela1[[#This Row],[Core Consumer Price Index]]="",#N/A,((Tabela1[[#This Row],[Core Consumer Price Index]]*1)/E729)-1)</f>
        <v>1.6415764827564239E-3</v>
      </c>
      <c r="G730" s="8">
        <f>IF(Tabela1[[#This Row],[Core Consumer Price Index]]="",#N/A,((Tabela1[[#This Row],[Core Consumer Price Index]]*1)/E718)-1)</f>
        <v>2.0884912959380886E-2</v>
      </c>
      <c r="H730" s="8">
        <f t="shared" si="38"/>
        <v>2.0170075511056318E-2</v>
      </c>
      <c r="I730" s="8">
        <f t="shared" si="39"/>
        <v>1.8898942315337397E-2</v>
      </c>
      <c r="J730" s="25">
        <v>247.505</v>
      </c>
      <c r="K730" s="8">
        <f>IF(Tabela1[[#This Row],[Services CPI]]="",#N/A,((Tabela1[[#This Row],[Services CPI]]*1)/J729)-1)</f>
        <v>1.78090785825602E-3</v>
      </c>
      <c r="L730" s="8">
        <f>IF(Tabela1[[#This Row],[Services CPI]]="",#N/A,((Tabela1[[#This Row],[Services CPI]]*1)/J718)-1)</f>
        <v>3.1700708628595198E-2</v>
      </c>
      <c r="M730" s="7">
        <v>253.874</v>
      </c>
      <c r="N730" s="8">
        <f>IF(Tabela1[[#This Row],[Core-Services CPI]]="",#N/A,((Tabela1[[#This Row],[Core-Services CPI]]*1)/M729)-1)</f>
        <v>2.3808489720498205E-3</v>
      </c>
      <c r="O730" s="8">
        <f>IF(Tabela1[[#This Row],[Core-Services CPI]]="",#N/A,((Tabela1[[#This Row],[Core-Services CPI]]*1)/M718)-1)</f>
        <v>3.2008130081300878E-2</v>
      </c>
      <c r="P730" s="7">
        <v>112.117</v>
      </c>
      <c r="Q730" s="8">
        <f>IF(Tabela1[[#This Row],[Durable Goods CPI]]="",#N/A,((Tabela1[[#This Row],[Durable Goods CPI]]*1)/P729)-1)</f>
        <v>2.2303108161159102E-4</v>
      </c>
      <c r="R730" s="8">
        <f>IF(Tabela1[[#This Row],[Durable Goods CPI]]="",#N/A,((Tabela1[[#This Row],[Durable Goods CPI]]*1)/P718)-1)</f>
        <v>-2.0812227074235801E-2</v>
      </c>
      <c r="S730" s="7">
        <v>2.6305790999999998</v>
      </c>
      <c r="T730" s="7">
        <v>86.72</v>
      </c>
      <c r="U730" s="8">
        <f>IF(Tabela1[[#This Row],[Personal Consumption Expenditures (PCE)]]="",#N/A,((Tabela1[[#This Row],[Personal Consumption Expenditures (PCE)]]*1)/T729)-1)</f>
        <v>6.8081374551409723E-4</v>
      </c>
      <c r="V730" s="8">
        <f>IF(Tabela1[[#This Row],[Personal Consumption Expenditures (PCE)]]="",#N/A,((Tabela1[[#This Row],[Personal Consumption Expenditures (PCE)]]*1)/T718)-1)</f>
        <v>1.8737151248164441E-2</v>
      </c>
      <c r="W730" s="7">
        <v>86.116</v>
      </c>
      <c r="X730" s="8">
        <f>IF(Tabela1[[#This Row],[Core PCE]]="",#N/A,((Tabela1[[#This Row],[Core PCE]]*1)/W729)-1)</f>
        <v>1.4885798018329233E-3</v>
      </c>
      <c r="Y730" s="8">
        <f>IF(Tabela1[[#This Row],[Core PCE]]="",#N/A,((Tabela1[[#This Row],[Core PCE]]*1)/W718)-1)</f>
        <v>1.9848413074372351E-2</v>
      </c>
      <c r="Z730" s="8">
        <f t="shared" si="37"/>
        <v>1.8590629400435432E-2</v>
      </c>
      <c r="AA730" s="8">
        <f t="shared" si="40"/>
        <v>1.6522551100585314E-2</v>
      </c>
      <c r="AB730" s="7">
        <v>2.2999999999999998</v>
      </c>
      <c r="AC730" s="7"/>
      <c r="AD730" s="8"/>
      <c r="AE730" s="71"/>
      <c r="AF730" s="7">
        <v>3.2</v>
      </c>
      <c r="AG730" s="5"/>
    </row>
    <row r="731" spans="1:33" ht="12.75">
      <c r="A731" s="6">
        <v>39326</v>
      </c>
      <c r="B731" s="7">
        <v>208.547</v>
      </c>
      <c r="C731" s="8">
        <f>IF(Tabela1[[#This Row],[Consumer Price Index (CPI)]]="",#N/A,((Tabela1[[#This Row],[Consumer Price Index (CPI)]]*1)/B730)-1)</f>
        <v>4.2375533907650365E-3</v>
      </c>
      <c r="D731" s="8">
        <f>IF(Tabela1[[#This Row],[Consumer Price Index (CPI)]]="",#N/A,((Tabela1[[#This Row],[Consumer Price Index (CPI)]]*1)/B719)-1)</f>
        <v>2.8338264299802685E-2</v>
      </c>
      <c r="E731" s="25">
        <v>211.554</v>
      </c>
      <c r="F731" s="8">
        <f>IF(Tabela1[[#This Row],[Core Consumer Price Index]]="",#N/A,((Tabela1[[#This Row],[Core Consumer Price Index]]*1)/E730)-1)</f>
        <v>2.0604493200517826E-3</v>
      </c>
      <c r="G731" s="8">
        <f>IF(Tabela1[[#This Row],[Core Consumer Price Index]]="",#N/A,((Tabela1[[#This Row],[Core Consumer Price Index]]*1)/E719)-1)</f>
        <v>2.101351351351366E-2</v>
      </c>
      <c r="H731" s="8">
        <f t="shared" si="38"/>
        <v>2.2051724641705128E-2</v>
      </c>
      <c r="I731" s="8">
        <f t="shared" si="39"/>
        <v>2.0313455128104341E-2</v>
      </c>
      <c r="J731" s="25">
        <v>248.24799999999999</v>
      </c>
      <c r="K731" s="8">
        <f>IF(Tabela1[[#This Row],[Services CPI]]="",#N/A,((Tabela1[[#This Row],[Services CPI]]*1)/J730)-1)</f>
        <v>3.0019595563726131E-3</v>
      </c>
      <c r="L731" s="8">
        <f>IF(Tabela1[[#This Row],[Services CPI]]="",#N/A,((Tabela1[[#This Row],[Services CPI]]*1)/J719)-1)</f>
        <v>3.1358537598670466E-2</v>
      </c>
      <c r="M731" s="7">
        <v>254.61600000000001</v>
      </c>
      <c r="N731" s="8">
        <f>IF(Tabela1[[#This Row],[Core-Services CPI]]="",#N/A,((Tabela1[[#This Row],[Core-Services CPI]]*1)/M730)-1)</f>
        <v>2.9227096906339067E-3</v>
      </c>
      <c r="O731" s="8">
        <f>IF(Tabela1[[#This Row],[Core-Services CPI]]="",#N/A,((Tabela1[[#This Row],[Core-Services CPI]]*1)/M719)-1)</f>
        <v>3.2506082725060947E-2</v>
      </c>
      <c r="P731" s="7">
        <v>112.116</v>
      </c>
      <c r="Q731" s="8">
        <f>IF(Tabela1[[#This Row],[Durable Goods CPI]]="",#N/A,((Tabela1[[#This Row],[Durable Goods CPI]]*1)/P730)-1)</f>
        <v>-8.9192539936000514E-6</v>
      </c>
      <c r="R731" s="8">
        <f>IF(Tabela1[[#This Row],[Durable Goods CPI]]="",#N/A,((Tabela1[[#This Row],[Durable Goods CPI]]*1)/P719)-1)</f>
        <v>-1.9107611548556447E-2</v>
      </c>
      <c r="S731" s="7">
        <v>2.5346411</v>
      </c>
      <c r="T731" s="7">
        <v>87.054000000000002</v>
      </c>
      <c r="U731" s="8">
        <f>IF(Tabela1[[#This Row],[Personal Consumption Expenditures (PCE)]]="",#N/A,((Tabela1[[#This Row],[Personal Consumption Expenditures (PCE)]]*1)/T730)-1)</f>
        <v>3.8514760147601024E-3</v>
      </c>
      <c r="V731" s="8">
        <f>IF(Tabela1[[#This Row],[Personal Consumption Expenditures (PCE)]]="",#N/A,((Tabela1[[#This Row],[Personal Consumption Expenditures (PCE)]]*1)/T719)-1)</f>
        <v>2.5346870509528552E-2</v>
      </c>
      <c r="W731" s="7">
        <v>86.350999999999999</v>
      </c>
      <c r="X731" s="8">
        <f>IF(Tabela1[[#This Row],[Core PCE]]="",#N/A,((Tabela1[[#This Row],[Core PCE]]*1)/W730)-1)</f>
        <v>2.7288773282549972E-3</v>
      </c>
      <c r="Y731" s="8">
        <f>IF(Tabela1[[#This Row],[Core PCE]]="",#N/A,((Tabela1[[#This Row],[Core PCE]]*1)/W719)-1)</f>
        <v>2.1023258013787016E-2</v>
      </c>
      <c r="Z731" s="8">
        <f t="shared" si="37"/>
        <v>2.2879681884588443E-2</v>
      </c>
      <c r="AA731" s="8">
        <f t="shared" si="40"/>
        <v>1.9966442887106695E-2</v>
      </c>
      <c r="AB731" s="7">
        <v>2.38</v>
      </c>
      <c r="AC731" s="7"/>
      <c r="AD731" s="8"/>
      <c r="AE731" s="71"/>
      <c r="AF731" s="7">
        <v>3.1</v>
      </c>
      <c r="AG731" s="5"/>
    </row>
    <row r="732" spans="1:33" ht="12.75">
      <c r="A732" s="6">
        <v>39356</v>
      </c>
      <c r="B732" s="7">
        <v>209.19</v>
      </c>
      <c r="C732" s="8">
        <f>IF(Tabela1[[#This Row],[Consumer Price Index (CPI)]]="",#N/A,((Tabela1[[#This Row],[Consumer Price Index (CPI)]]*1)/B731)-1)</f>
        <v>3.0832378312801723E-3</v>
      </c>
      <c r="D732" s="8">
        <f>IF(Tabela1[[#This Row],[Consumer Price Index (CPI)]]="",#N/A,((Tabela1[[#This Row],[Consumer Price Index (CPI)]]*1)/B720)-1)</f>
        <v>3.610698365527476E-2</v>
      </c>
      <c r="E732" s="25">
        <v>212.077</v>
      </c>
      <c r="F732" s="8">
        <f>IF(Tabela1[[#This Row],[Core Consumer Price Index]]="",#N/A,((Tabela1[[#This Row],[Core Consumer Price Index]]*1)/E731)-1)</f>
        <v>2.4721820433553088E-3</v>
      </c>
      <c r="G732" s="8">
        <f>IF(Tabela1[[#This Row],[Core Consumer Price Index]]="",#N/A,((Tabela1[[#This Row],[Core Consumer Price Index]]*1)/E720)-1)</f>
        <v>2.1565510597302495E-2</v>
      </c>
      <c r="H732" s="8">
        <f t="shared" si="38"/>
        <v>2.4696831384654061E-2</v>
      </c>
      <c r="I732" s="8">
        <f t="shared" si="39"/>
        <v>2.2115777938515713E-2</v>
      </c>
      <c r="J732" s="25">
        <v>249.054</v>
      </c>
      <c r="K732" s="8">
        <f>IF(Tabela1[[#This Row],[Services CPI]]="",#N/A,((Tabela1[[#This Row],[Services CPI]]*1)/J731)-1)</f>
        <v>3.2467532467532756E-3</v>
      </c>
      <c r="L732" s="8">
        <f>IF(Tabela1[[#This Row],[Services CPI]]="",#N/A,((Tabela1[[#This Row],[Services CPI]]*1)/J720)-1)</f>
        <v>3.3419087136929537E-2</v>
      </c>
      <c r="M732" s="7">
        <v>255.37899999999999</v>
      </c>
      <c r="N732" s="8">
        <f>IF(Tabela1[[#This Row],[Core-Services CPI]]="",#N/A,((Tabela1[[#This Row],[Core-Services CPI]]*1)/M731)-1)</f>
        <v>2.9966694944543182E-3</v>
      </c>
      <c r="O732" s="8">
        <f>IF(Tabela1[[#This Row],[Core-Services CPI]]="",#N/A,((Tabela1[[#This Row],[Core-Services CPI]]*1)/M720)-1)</f>
        <v>3.2251414713015292E-2</v>
      </c>
      <c r="P732" s="7">
        <v>112.086</v>
      </c>
      <c r="Q732" s="8">
        <f>IF(Tabela1[[#This Row],[Durable Goods CPI]]="",#N/A,((Tabela1[[#This Row],[Durable Goods CPI]]*1)/P731)-1)</f>
        <v>-2.6758000642190805E-4</v>
      </c>
      <c r="R732" s="8">
        <f>IF(Tabela1[[#This Row],[Durable Goods CPI]]="",#N/A,((Tabela1[[#This Row],[Durable Goods CPI]]*1)/P720)-1)</f>
        <v>-1.6789473684210576E-2</v>
      </c>
      <c r="S732" s="7">
        <v>2.4685402000000001</v>
      </c>
      <c r="T732" s="7">
        <v>87.317999999999998</v>
      </c>
      <c r="U732" s="8">
        <f>IF(Tabela1[[#This Row],[Personal Consumption Expenditures (PCE)]]="",#N/A,((Tabela1[[#This Row],[Personal Consumption Expenditures (PCE)]]*1)/T731)-1)</f>
        <v>3.0326004548899554E-3</v>
      </c>
      <c r="V732" s="8">
        <f>IF(Tabela1[[#This Row],[Personal Consumption Expenditures (PCE)]]="",#N/A,((Tabela1[[#This Row],[Personal Consumption Expenditures (PCE)]]*1)/T720)-1)</f>
        <v>3.0884748884323798E-2</v>
      </c>
      <c r="W732" s="7">
        <v>86.575999999999993</v>
      </c>
      <c r="X732" s="8">
        <f>IF(Tabela1[[#This Row],[Core PCE]]="",#N/A,((Tabela1[[#This Row],[Core PCE]]*1)/W731)-1)</f>
        <v>2.6056444048128125E-3</v>
      </c>
      <c r="Y732" s="8">
        <f>IF(Tabela1[[#This Row],[Core PCE]]="",#N/A,((Tabela1[[#This Row],[Core PCE]]*1)/W720)-1)</f>
        <v>2.1835091943441132E-2</v>
      </c>
      <c r="Z732" s="8">
        <f t="shared" si="37"/>
        <v>2.7292406139602932E-2</v>
      </c>
      <c r="AA732" s="8">
        <f t="shared" si="40"/>
        <v>2.2323730246338158E-2</v>
      </c>
      <c r="AB732" s="7">
        <v>2.4700000000000002</v>
      </c>
      <c r="AC732" s="7"/>
      <c r="AD732" s="8"/>
      <c r="AE732" s="71"/>
      <c r="AF732" s="7">
        <v>3.1</v>
      </c>
      <c r="AG732" s="5"/>
    </row>
    <row r="733" spans="1:33" ht="12.75">
      <c r="A733" s="6">
        <v>39387</v>
      </c>
      <c r="B733" s="7">
        <v>210.834</v>
      </c>
      <c r="C733" s="8">
        <f>IF(Tabela1[[#This Row],[Consumer Price Index (CPI)]]="",#N/A,((Tabela1[[#This Row],[Consumer Price Index (CPI)]]*1)/B732)-1)</f>
        <v>7.858884267890387E-3</v>
      </c>
      <c r="D733" s="8">
        <f>IF(Tabela1[[#This Row],[Consumer Price Index (CPI)]]="",#N/A,((Tabela1[[#This Row],[Consumer Price Index (CPI)]]*1)/B721)-1)</f>
        <v>4.373267326732666E-2</v>
      </c>
      <c r="E733" s="25">
        <v>212.66</v>
      </c>
      <c r="F733" s="8">
        <f>IF(Tabela1[[#This Row],[Core Consumer Price Index]]="",#N/A,((Tabela1[[#This Row],[Core Consumer Price Index]]*1)/E732)-1)</f>
        <v>2.7490015418927261E-3</v>
      </c>
      <c r="G733" s="8">
        <f>IF(Tabela1[[#This Row],[Core Consumer Price Index]]="",#N/A,((Tabela1[[#This Row],[Core Consumer Price Index]]*1)/E721)-1)</f>
        <v>2.3387872954764077E-2</v>
      </c>
      <c r="H733" s="8">
        <f t="shared" si="38"/>
        <v>2.912653162119927E-2</v>
      </c>
      <c r="I733" s="8">
        <f t="shared" si="39"/>
        <v>2.4648303566127794E-2</v>
      </c>
      <c r="J733" s="25">
        <v>249.81800000000001</v>
      </c>
      <c r="K733" s="8">
        <f>IF(Tabela1[[#This Row],[Services CPI]]="",#N/A,((Tabela1[[#This Row],[Services CPI]]*1)/J732)-1)</f>
        <v>3.0676078280211794E-3</v>
      </c>
      <c r="L733" s="8">
        <f>IF(Tabela1[[#This Row],[Services CPI]]="",#N/A,((Tabela1[[#This Row],[Services CPI]]*1)/J721)-1)</f>
        <v>3.3587091435664185E-2</v>
      </c>
      <c r="M733" s="7">
        <v>256.16399999999999</v>
      </c>
      <c r="N733" s="8">
        <f>IF(Tabela1[[#This Row],[Core-Services CPI]]="",#N/A,((Tabela1[[#This Row],[Core-Services CPI]]*1)/M732)-1)</f>
        <v>3.0738627686692777E-3</v>
      </c>
      <c r="O733" s="8">
        <f>IF(Tabela1[[#This Row],[Core-Services CPI]]="",#N/A,((Tabela1[[#This Row],[Core-Services CPI]]*1)/M721)-1)</f>
        <v>3.2919354838709669E-2</v>
      </c>
      <c r="P733" s="7">
        <v>112.246</v>
      </c>
      <c r="Q733" s="8">
        <f>IF(Tabela1[[#This Row],[Durable Goods CPI]]="",#N/A,((Tabela1[[#This Row],[Durable Goods CPI]]*1)/P732)-1)</f>
        <v>1.4274753314418298E-3</v>
      </c>
      <c r="R733" s="8">
        <f>IF(Tabela1[[#This Row],[Durable Goods CPI]]="",#N/A,((Tabela1[[#This Row],[Durable Goods CPI]]*1)/P721)-1)</f>
        <v>-1.1919014084507018E-2</v>
      </c>
      <c r="S733" s="7">
        <v>2.4838822999999999</v>
      </c>
      <c r="T733" s="7">
        <v>87.781000000000006</v>
      </c>
      <c r="U733" s="8">
        <f>IF(Tabela1[[#This Row],[Personal Consumption Expenditures (PCE)]]="",#N/A,((Tabela1[[#This Row],[Personal Consumption Expenditures (PCE)]]*1)/T732)-1)</f>
        <v>5.3024576834102E-3</v>
      </c>
      <c r="V733" s="8">
        <f>IF(Tabela1[[#This Row],[Personal Consumption Expenditures (PCE)]]="",#N/A,((Tabela1[[#This Row],[Personal Consumption Expenditures (PCE)]]*1)/T721)-1)</f>
        <v>3.5996270550330056E-2</v>
      </c>
      <c r="W733" s="7">
        <v>86.745999999999995</v>
      </c>
      <c r="X733" s="8">
        <f>IF(Tabela1[[#This Row],[Core PCE]]="",#N/A,((Tabela1[[#This Row],[Core PCE]]*1)/W732)-1)</f>
        <v>1.9635926815746441E-3</v>
      </c>
      <c r="Y733" s="8">
        <f>IF(Tabela1[[#This Row],[Core PCE]]="",#N/A,((Tabela1[[#This Row],[Core PCE]]*1)/W721)-1)</f>
        <v>2.3358422008824098E-2</v>
      </c>
      <c r="Z733" s="8">
        <f t="shared" si="37"/>
        <v>2.9192457658569815E-2</v>
      </c>
      <c r="AA733" s="8">
        <f t="shared" si="40"/>
        <v>2.3891543529502623E-2</v>
      </c>
      <c r="AB733" s="7">
        <v>2.66</v>
      </c>
      <c r="AC733" s="7"/>
      <c r="AD733" s="8"/>
      <c r="AE733" s="71"/>
      <c r="AF733" s="7">
        <v>3.4</v>
      </c>
      <c r="AG733" s="5"/>
    </row>
    <row r="734" spans="1:33" ht="12.75">
      <c r="A734" s="6">
        <v>39417</v>
      </c>
      <c r="B734" s="7">
        <v>211.44499999999999</v>
      </c>
      <c r="C734" s="8">
        <f>IF(Tabela1[[#This Row],[Consumer Price Index (CPI)]]="",#N/A,((Tabela1[[#This Row],[Consumer Price Index (CPI)]]*1)/B733)-1)</f>
        <v>2.8980145517325528E-3</v>
      </c>
      <c r="D734" s="8">
        <f>IF(Tabela1[[#This Row],[Consumer Price Index (CPI)]]="",#N/A,((Tabela1[[#This Row],[Consumer Price Index (CPI)]]*1)/B722)-1)</f>
        <v>4.1088133924175319E-2</v>
      </c>
      <c r="E734" s="25">
        <v>213.16800000000001</v>
      </c>
      <c r="F734" s="8">
        <f>IF(Tabela1[[#This Row],[Core Consumer Price Index]]="",#N/A,((Tabela1[[#This Row],[Core Consumer Price Index]]*1)/E733)-1)</f>
        <v>2.3887896172294365E-3</v>
      </c>
      <c r="G734" s="8">
        <f>IF(Tabela1[[#This Row],[Core Consumer Price Index]]="",#N/A,((Tabela1[[#This Row],[Core Consumer Price Index]]*1)/E722)-1)</f>
        <v>2.4353676117251366E-2</v>
      </c>
      <c r="H734" s="8">
        <f t="shared" si="38"/>
        <v>3.0439892809909885E-2</v>
      </c>
      <c r="I734" s="8">
        <f t="shared" si="39"/>
        <v>2.6245808725807507E-2</v>
      </c>
      <c r="J734" s="25">
        <v>250.54599999999999</v>
      </c>
      <c r="K734" s="8">
        <f>IF(Tabela1[[#This Row],[Services CPI]]="",#N/A,((Tabela1[[#This Row],[Services CPI]]*1)/J733)-1)</f>
        <v>2.9141214804375704E-3</v>
      </c>
      <c r="L734" s="8">
        <f>IF(Tabela1[[#This Row],[Services CPI]]="",#N/A,((Tabela1[[#This Row],[Services CPI]]*1)/J722)-1)</f>
        <v>3.3605610561056043E-2</v>
      </c>
      <c r="M734" s="7">
        <v>256.93299999999999</v>
      </c>
      <c r="N734" s="8">
        <f>IF(Tabela1[[#This Row],[Core-Services CPI]]="",#N/A,((Tabela1[[#This Row],[Core-Services CPI]]*1)/M733)-1)</f>
        <v>3.0019831045735579E-3</v>
      </c>
      <c r="O734" s="8">
        <f>IF(Tabela1[[#This Row],[Core-Services CPI]]="",#N/A,((Tabela1[[#This Row],[Core-Services CPI]]*1)/M722)-1)</f>
        <v>3.3519710378117518E-2</v>
      </c>
      <c r="P734" s="7">
        <v>112.244</v>
      </c>
      <c r="Q734" s="8">
        <f>IF(Tabela1[[#This Row],[Durable Goods CPI]]="",#N/A,((Tabela1[[#This Row],[Durable Goods CPI]]*1)/P733)-1)</f>
        <v>-1.7818006877723391E-5</v>
      </c>
      <c r="R734" s="8">
        <f>IF(Tabela1[[#This Row],[Durable Goods CPI]]="",#N/A,((Tabela1[[#This Row],[Durable Goods CPI]]*1)/P722)-1)</f>
        <v>-1.0194003527336903E-2</v>
      </c>
      <c r="S734" s="7">
        <v>2.5033248000000001</v>
      </c>
      <c r="T734" s="7">
        <v>87.983999999999995</v>
      </c>
      <c r="U734" s="8">
        <f>IF(Tabela1[[#This Row],[Personal Consumption Expenditures (PCE)]]="",#N/A,((Tabela1[[#This Row],[Personal Consumption Expenditures (PCE)]]*1)/T733)-1)</f>
        <v>2.31257333591528E-3</v>
      </c>
      <c r="V734" s="8">
        <f>IF(Tabela1[[#This Row],[Personal Consumption Expenditures (PCE)]]="",#N/A,((Tabela1[[#This Row],[Personal Consumption Expenditures (PCE)]]*1)/T722)-1)</f>
        <v>3.4716342082980578E-2</v>
      </c>
      <c r="W734" s="7">
        <v>86.92</v>
      </c>
      <c r="X734" s="8">
        <f>IF(Tabela1[[#This Row],[Core PCE]]="",#N/A,((Tabela1[[#This Row],[Core PCE]]*1)/W733)-1)</f>
        <v>2.0058561778064643E-3</v>
      </c>
      <c r="Y734" s="8">
        <f>IF(Tabela1[[#This Row],[Core PCE]]="",#N/A,((Tabela1[[#This Row],[Core PCE]]*1)/W722)-1)</f>
        <v>2.4033930254476976E-2</v>
      </c>
      <c r="Z734" s="8">
        <f t="shared" si="37"/>
        <v>2.6300373056775683E-2</v>
      </c>
      <c r="AA734" s="8">
        <f t="shared" si="40"/>
        <v>2.4590027470682063E-2</v>
      </c>
      <c r="AB734" s="7">
        <v>2.63</v>
      </c>
      <c r="AC734" s="7"/>
      <c r="AD734" s="8"/>
      <c r="AE734" s="71"/>
      <c r="AF734" s="7">
        <v>3.4</v>
      </c>
      <c r="AG734" s="5"/>
    </row>
    <row r="735" spans="1:33" ht="12.75">
      <c r="A735" s="6">
        <v>39448</v>
      </c>
      <c r="B735" s="7">
        <v>212.17400000000001</v>
      </c>
      <c r="C735" s="8">
        <f>IF(Tabela1[[#This Row],[Consumer Price Index (CPI)]]="",#N/A,((Tabela1[[#This Row],[Consumer Price Index (CPI)]]*1)/B734)-1)</f>
        <v>3.4477050769703421E-3</v>
      </c>
      <c r="D735" s="8">
        <f>IF(Tabela1[[#This Row],[Consumer Price Index (CPI)]]="",#N/A,((Tabela1[[#This Row],[Consumer Price Index (CPI)]]*1)/B723)-1)</f>
        <v>4.294695655165981E-2</v>
      </c>
      <c r="E735" s="25">
        <v>213.77099999999999</v>
      </c>
      <c r="F735" s="8">
        <f>IF(Tabela1[[#This Row],[Core Consumer Price Index]]="",#N/A,((Tabela1[[#This Row],[Core Consumer Price Index]]*1)/E734)-1)</f>
        <v>2.8287547849581429E-3</v>
      </c>
      <c r="G735" s="8">
        <f>IF(Tabela1[[#This Row],[Core Consumer Price Index]]="",#N/A,((Tabela1[[#This Row],[Core Consumer Price Index]]*1)/E723)-1)</f>
        <v>2.4789069990412305E-2</v>
      </c>
      <c r="H735" s="8">
        <f t="shared" si="38"/>
        <v>3.1866183776321222E-2</v>
      </c>
      <c r="I735" s="8">
        <f t="shared" si="39"/>
        <v>2.8281507580487641E-2</v>
      </c>
      <c r="J735" s="25">
        <v>251.25399999999999</v>
      </c>
      <c r="K735" s="8">
        <f>IF(Tabela1[[#This Row],[Services CPI]]="",#N/A,((Tabela1[[#This Row],[Services CPI]]*1)/J734)-1)</f>
        <v>2.8258283907944826E-3</v>
      </c>
      <c r="L735" s="8">
        <f>IF(Tabela1[[#This Row],[Services CPI]]="",#N/A,((Tabela1[[#This Row],[Services CPI]]*1)/J723)-1)</f>
        <v>3.3057307556308313E-2</v>
      </c>
      <c r="M735" s="7">
        <v>257.74799999999999</v>
      </c>
      <c r="N735" s="8">
        <f>IF(Tabela1[[#This Row],[Core-Services CPI]]="",#N/A,((Tabela1[[#This Row],[Core-Services CPI]]*1)/M734)-1)</f>
        <v>3.1720331759641507E-3</v>
      </c>
      <c r="O735" s="8">
        <f>IF(Tabela1[[#This Row],[Core-Services CPI]]="",#N/A,((Tabela1[[#This Row],[Core-Services CPI]]*1)/M723)-1)</f>
        <v>3.3546928006030763E-2</v>
      </c>
      <c r="P735" s="7">
        <v>112.229</v>
      </c>
      <c r="Q735" s="8">
        <f>IF(Tabela1[[#This Row],[Durable Goods CPI]]="",#N/A,((Tabela1[[#This Row],[Durable Goods CPI]]*1)/P734)-1)</f>
        <v>-1.3363743273586692E-4</v>
      </c>
      <c r="R735" s="8">
        <f>IF(Tabela1[[#This Row],[Durable Goods CPI]]="",#N/A,((Tabela1[[#This Row],[Durable Goods CPI]]*1)/P723)-1)</f>
        <v>-7.5168687377850096E-3</v>
      </c>
      <c r="S735" s="7">
        <v>2.6563696999999999</v>
      </c>
      <c r="T735" s="7">
        <v>88.206000000000003</v>
      </c>
      <c r="U735" s="8">
        <f>IF(Tabela1[[#This Row],[Personal Consumption Expenditures (PCE)]]="",#N/A,((Tabela1[[#This Row],[Personal Consumption Expenditures (PCE)]]*1)/T734)-1)</f>
        <v>2.5231860338243983E-3</v>
      </c>
      <c r="V735" s="8">
        <f>IF(Tabela1[[#This Row],[Personal Consumption Expenditures (PCE)]]="",#N/A,((Tabela1[[#This Row],[Personal Consumption Expenditures (PCE)]]*1)/T723)-1)</f>
        <v>3.3874068170097082E-2</v>
      </c>
      <c r="W735" s="7">
        <v>87.093000000000004</v>
      </c>
      <c r="X735" s="8">
        <f>IF(Tabela1[[#This Row],[Core PCE]]="",#N/A,((Tabela1[[#This Row],[Core PCE]]*1)/W734)-1)</f>
        <v>1.9903359410953225E-3</v>
      </c>
      <c r="Y735" s="8">
        <f>IF(Tabela1[[#This Row],[Core PCE]]="",#N/A,((Tabela1[[#This Row],[Core PCE]]*1)/W723)-1)</f>
        <v>2.1930442128977656E-2</v>
      </c>
      <c r="Z735" s="8">
        <f t="shared" si="37"/>
        <v>2.3839139201905724E-2</v>
      </c>
      <c r="AA735" s="8">
        <f t="shared" si="40"/>
        <v>2.5565772670754328E-2</v>
      </c>
      <c r="AB735" s="7">
        <v>2.56</v>
      </c>
      <c r="AC735" s="7"/>
      <c r="AD735" s="8"/>
      <c r="AE735" s="71"/>
      <c r="AF735" s="7">
        <v>3.4</v>
      </c>
      <c r="AG735" s="5"/>
    </row>
    <row r="736" spans="1:33" ht="12.75">
      <c r="A736" s="6">
        <v>39479</v>
      </c>
      <c r="B736" s="7">
        <v>212.68700000000001</v>
      </c>
      <c r="C736" s="8">
        <f>IF(Tabela1[[#This Row],[Consumer Price Index (CPI)]]="",#N/A,((Tabela1[[#This Row],[Consumer Price Index (CPI)]]*1)/B735)-1)</f>
        <v>2.4178268779397882E-3</v>
      </c>
      <c r="D736" s="8">
        <f>IF(Tabela1[[#This Row],[Consumer Price Index (CPI)]]="",#N/A,((Tabela1[[#This Row],[Consumer Price Index (CPI)]]*1)/B724)-1)</f>
        <v>4.1429592706119678E-2</v>
      </c>
      <c r="E736" s="25">
        <v>213.93899999999999</v>
      </c>
      <c r="F736" s="8">
        <f>IF(Tabela1[[#This Row],[Core Consumer Price Index]]="",#N/A,((Tabela1[[#This Row],[Core Consumer Price Index]]*1)/E735)-1)</f>
        <v>7.858877022608457E-4</v>
      </c>
      <c r="G736" s="8">
        <f>IF(Tabela1[[#This Row],[Core Consumer Price Index]]="",#N/A,((Tabela1[[#This Row],[Core Consumer Price Index]]*1)/E724)-1)</f>
        <v>2.2970808329547898E-2</v>
      </c>
      <c r="H736" s="8">
        <f t="shared" si="38"/>
        <v>2.40137284177937E-2</v>
      </c>
      <c r="I736" s="8">
        <f t="shared" si="39"/>
        <v>2.6570130019496485E-2</v>
      </c>
      <c r="J736" s="25">
        <v>251.827</v>
      </c>
      <c r="K736" s="8">
        <f>IF(Tabela1[[#This Row],[Services CPI]]="",#N/A,((Tabela1[[#This Row],[Services CPI]]*1)/J735)-1)</f>
        <v>2.2805607074911638E-3</v>
      </c>
      <c r="L736" s="8">
        <f>IF(Tabela1[[#This Row],[Services CPI]]="",#N/A,((Tabela1[[#This Row],[Services CPI]]*1)/J724)-1)</f>
        <v>3.1693098065885161E-2</v>
      </c>
      <c r="M736" s="7">
        <v>258.15800000000002</v>
      </c>
      <c r="N736" s="8">
        <f>IF(Tabela1[[#This Row],[Core-Services CPI]]="",#N/A,((Tabela1[[#This Row],[Core-Services CPI]]*1)/M735)-1)</f>
        <v>1.5907009947702111E-3</v>
      </c>
      <c r="O736" s="8">
        <f>IF(Tabela1[[#This Row],[Core-Services CPI]]="",#N/A,((Tabela1[[#This Row],[Core-Services CPI]]*1)/M724)-1)</f>
        <v>3.1633378889235342E-2</v>
      </c>
      <c r="P736" s="7">
        <v>111.97499999999999</v>
      </c>
      <c r="Q736" s="8">
        <f>IF(Tabela1[[#This Row],[Durable Goods CPI]]="",#N/A,((Tabela1[[#This Row],[Durable Goods CPI]]*1)/P735)-1)</f>
        <v>-2.2632296465263657E-3</v>
      </c>
      <c r="R736" s="8">
        <f>IF(Tabela1[[#This Row],[Durable Goods CPI]]="",#N/A,((Tabela1[[#This Row],[Durable Goods CPI]]*1)/P724)-1)</f>
        <v>-8.8251956236943263E-3</v>
      </c>
      <c r="S736" s="7">
        <v>2.7127336</v>
      </c>
      <c r="T736" s="7">
        <v>88.382000000000005</v>
      </c>
      <c r="U736" s="8">
        <f>IF(Tabela1[[#This Row],[Personal Consumption Expenditures (PCE)]]="",#N/A,((Tabela1[[#This Row],[Personal Consumption Expenditures (PCE)]]*1)/T735)-1)</f>
        <v>1.9953291159331421E-3</v>
      </c>
      <c r="V736" s="8">
        <f>IF(Tabela1[[#This Row],[Personal Consumption Expenditures (PCE)]]="",#N/A,((Tabela1[[#This Row],[Personal Consumption Expenditures (PCE)]]*1)/T724)-1)</f>
        <v>3.2729227281756534E-2</v>
      </c>
      <c r="W736" s="7">
        <v>87.177999999999997</v>
      </c>
      <c r="X736" s="8">
        <f>IF(Tabela1[[#This Row],[Core PCE]]="",#N/A,((Tabela1[[#This Row],[Core PCE]]*1)/W735)-1)</f>
        <v>9.7596821788203947E-4</v>
      </c>
      <c r="Y736" s="8">
        <f>IF(Tabela1[[#This Row],[Core PCE]]="",#N/A,((Tabela1[[#This Row],[Core PCE]]*1)/W724)-1)</f>
        <v>2.072405395279131E-2</v>
      </c>
      <c r="Z736" s="8">
        <f t="shared" si="37"/>
        <v>1.9888641347135305E-2</v>
      </c>
      <c r="AA736" s="8">
        <f t="shared" si="40"/>
        <v>2.454054950285256E-2</v>
      </c>
      <c r="AB736" s="7">
        <v>2.44</v>
      </c>
      <c r="AC736" s="7"/>
      <c r="AD736" s="8"/>
      <c r="AE736" s="71"/>
      <c r="AF736" s="7">
        <v>3.6</v>
      </c>
      <c r="AG736" s="5"/>
    </row>
    <row r="737" spans="1:33" ht="12.75">
      <c r="A737" s="6">
        <v>39508</v>
      </c>
      <c r="B737" s="7">
        <v>213.44800000000001</v>
      </c>
      <c r="C737" s="8">
        <f>IF(Tabela1[[#This Row],[Consumer Price Index (CPI)]]="",#N/A,((Tabela1[[#This Row],[Consumer Price Index (CPI)]]*1)/B736)-1)</f>
        <v>3.578027806118822E-3</v>
      </c>
      <c r="D737" s="8">
        <f>IF(Tabela1[[#This Row],[Consumer Price Index (CPI)]]="",#N/A,((Tabela1[[#This Row],[Consumer Price Index (CPI)]]*1)/B725)-1)</f>
        <v>3.9749035501344343E-2</v>
      </c>
      <c r="E737" s="25">
        <v>214.42</v>
      </c>
      <c r="F737" s="8">
        <f>IF(Tabela1[[#This Row],[Core Consumer Price Index]]="",#N/A,((Tabela1[[#This Row],[Core Consumer Price Index]]*1)/E736)-1)</f>
        <v>2.248304423223324E-3</v>
      </c>
      <c r="G737" s="8">
        <f>IF(Tabela1[[#This Row],[Core Consumer Price Index]]="",#N/A,((Tabela1[[#This Row],[Core Consumer Price Index]]*1)/E725)-1)</f>
        <v>2.3885243866334172E-2</v>
      </c>
      <c r="H737" s="8">
        <f t="shared" si="38"/>
        <v>2.3451787641769251E-2</v>
      </c>
      <c r="I737" s="8">
        <f t="shared" si="39"/>
        <v>2.6945840225839568E-2</v>
      </c>
      <c r="J737" s="25">
        <v>252.91900000000001</v>
      </c>
      <c r="K737" s="8">
        <f>IF(Tabela1[[#This Row],[Services CPI]]="",#N/A,((Tabela1[[#This Row],[Services CPI]]*1)/J736)-1)</f>
        <v>4.3363102447315782E-3</v>
      </c>
      <c r="L737" s="8">
        <f>IF(Tabela1[[#This Row],[Services CPI]]="",#N/A,((Tabela1[[#This Row],[Services CPI]]*1)/J725)-1)</f>
        <v>3.3406471278034644E-2</v>
      </c>
      <c r="M737" s="7">
        <v>259.048</v>
      </c>
      <c r="N737" s="8">
        <f>IF(Tabela1[[#This Row],[Core-Services CPI]]="",#N/A,((Tabela1[[#This Row],[Core-Services CPI]]*1)/M736)-1)</f>
        <v>3.4475011427110847E-3</v>
      </c>
      <c r="O737" s="8">
        <f>IF(Tabela1[[#This Row],[Core-Services CPI]]="",#N/A,((Tabela1[[#This Row],[Core-Services CPI]]*1)/M725)-1)</f>
        <v>3.3125682972936277E-2</v>
      </c>
      <c r="P737" s="7">
        <v>111.88500000000001</v>
      </c>
      <c r="Q737" s="8">
        <f>IF(Tabela1[[#This Row],[Durable Goods CPI]]="",#N/A,((Tabela1[[#This Row],[Durable Goods CPI]]*1)/P736)-1)</f>
        <v>-8.037508372403801E-4</v>
      </c>
      <c r="R737" s="8">
        <f>IF(Tabela1[[#This Row],[Durable Goods CPI]]="",#N/A,((Tabela1[[#This Row],[Durable Goods CPI]]*1)/P725)-1)</f>
        <v>-9.3061556988028871E-3</v>
      </c>
      <c r="S737" s="7">
        <v>2.7470403999999999</v>
      </c>
      <c r="T737" s="7">
        <v>88.635000000000005</v>
      </c>
      <c r="U737" s="8">
        <f>IF(Tabela1[[#This Row],[Personal Consumption Expenditures (PCE)]]="",#N/A,((Tabela1[[#This Row],[Personal Consumption Expenditures (PCE)]]*1)/T736)-1)</f>
        <v>2.8625738272498591E-3</v>
      </c>
      <c r="V737" s="8">
        <f>IF(Tabela1[[#This Row],[Personal Consumption Expenditures (PCE)]]="",#N/A,((Tabela1[[#This Row],[Personal Consumption Expenditures (PCE)]]*1)/T725)-1)</f>
        <v>3.1911425710759778E-2</v>
      </c>
      <c r="W737" s="7">
        <v>87.349000000000004</v>
      </c>
      <c r="X737" s="8">
        <f>IF(Tabela1[[#This Row],[Core PCE]]="",#N/A,((Tabela1[[#This Row],[Core PCE]]*1)/W736)-1)</f>
        <v>1.9615040491867131E-3</v>
      </c>
      <c r="Y737" s="8">
        <f>IF(Tabela1[[#This Row],[Core PCE]]="",#N/A,((Tabela1[[#This Row],[Core PCE]]*1)/W725)-1)</f>
        <v>2.1697429059349238E-2</v>
      </c>
      <c r="Z737" s="8">
        <f t="shared" si="37"/>
        <v>1.97112328326563E-2</v>
      </c>
      <c r="AA737" s="8">
        <f t="shared" si="40"/>
        <v>2.3005802944715992E-2</v>
      </c>
      <c r="AB737" s="7">
        <v>2.48</v>
      </c>
      <c r="AC737" s="7"/>
      <c r="AD737" s="8"/>
      <c r="AE737" s="71"/>
      <c r="AF737" s="7">
        <v>4.3</v>
      </c>
      <c r="AG737" s="5"/>
    </row>
    <row r="738" spans="1:33" ht="12.75">
      <c r="A738" s="6">
        <v>39539</v>
      </c>
      <c r="B738" s="7">
        <v>213.94200000000001</v>
      </c>
      <c r="C738" s="8">
        <f>IF(Tabela1[[#This Row],[Consumer Price Index (CPI)]]="",#N/A,((Tabela1[[#This Row],[Consumer Price Index (CPI)]]*1)/B737)-1)</f>
        <v>2.3143810202015391E-3</v>
      </c>
      <c r="D738" s="8">
        <f>IF(Tabela1[[#This Row],[Consumer Price Index (CPI)]]="",#N/A,((Tabela1[[#This Row],[Consumer Price Index (CPI)]]*1)/B726)-1)</f>
        <v>3.9037609759888126E-2</v>
      </c>
      <c r="E738" s="25">
        <v>214.56</v>
      </c>
      <c r="F738" s="8">
        <f>IF(Tabela1[[#This Row],[Core Consumer Price Index]]="",#N/A,((Tabela1[[#This Row],[Core Consumer Price Index]]*1)/E737)-1)</f>
        <v>6.5292416752171789E-4</v>
      </c>
      <c r="G738" s="8">
        <f>IF(Tabela1[[#This Row],[Core Consumer Price Index]]="",#N/A,((Tabela1[[#This Row],[Core Consumer Price Index]]*1)/E726)-1)</f>
        <v>2.294669292051843E-2</v>
      </c>
      <c r="H738" s="8">
        <f t="shared" si="38"/>
        <v>1.474846517202355E-2</v>
      </c>
      <c r="I738" s="8">
        <f t="shared" si="39"/>
        <v>2.3307324474172386E-2</v>
      </c>
      <c r="J738" s="25">
        <v>253.59</v>
      </c>
      <c r="K738" s="8">
        <f>IF(Tabela1[[#This Row],[Services CPI]]="",#N/A,((Tabela1[[#This Row],[Services CPI]]*1)/J737)-1)</f>
        <v>2.6530232999497638E-3</v>
      </c>
      <c r="L738" s="8">
        <f>IF(Tabela1[[#This Row],[Services CPI]]="",#N/A,((Tabela1[[#This Row],[Services CPI]]*1)/J726)-1)</f>
        <v>3.3732140309398195E-2</v>
      </c>
      <c r="M738" s="7">
        <v>259.298</v>
      </c>
      <c r="N738" s="8">
        <f>IF(Tabela1[[#This Row],[Core-Services CPI]]="",#N/A,((Tabela1[[#This Row],[Core-Services CPI]]*1)/M737)-1)</f>
        <v>9.6507211018814765E-4</v>
      </c>
      <c r="O738" s="8">
        <f>IF(Tabela1[[#This Row],[Core-Services CPI]]="",#N/A,((Tabela1[[#This Row],[Core-Services CPI]]*1)/M726)-1)</f>
        <v>3.1477614018338373E-2</v>
      </c>
      <c r="P738" s="7">
        <v>111.553</v>
      </c>
      <c r="Q738" s="8">
        <f>IF(Tabela1[[#This Row],[Durable Goods CPI]]="",#N/A,((Tabela1[[#This Row],[Durable Goods CPI]]*1)/P737)-1)</f>
        <v>-2.9673325289359953E-3</v>
      </c>
      <c r="R738" s="8">
        <f>IF(Tabela1[[#This Row],[Durable Goods CPI]]="",#N/A,((Tabela1[[#This Row],[Durable Goods CPI]]*1)/P726)-1)</f>
        <v>-1.1098798812109512E-2</v>
      </c>
      <c r="S738" s="7">
        <v>2.6165653</v>
      </c>
      <c r="T738" s="7">
        <v>88.799000000000007</v>
      </c>
      <c r="U738" s="8">
        <f>IF(Tabela1[[#This Row],[Personal Consumption Expenditures (PCE)]]="",#N/A,((Tabela1[[#This Row],[Personal Consumption Expenditures (PCE)]]*1)/T737)-1)</f>
        <v>1.8502848761776658E-3</v>
      </c>
      <c r="V738" s="8">
        <f>IF(Tabela1[[#This Row],[Personal Consumption Expenditures (PCE)]]="",#N/A,((Tabela1[[#This Row],[Personal Consumption Expenditures (PCE)]]*1)/T726)-1)</f>
        <v>3.1395186768258698E-2</v>
      </c>
      <c r="W738" s="7">
        <v>87.4</v>
      </c>
      <c r="X738" s="8">
        <f>IF(Tabela1[[#This Row],[Core PCE]]="",#N/A,((Tabela1[[#This Row],[Core PCE]]*1)/W737)-1)</f>
        <v>5.8386472655680421E-4</v>
      </c>
      <c r="Y738" s="8">
        <f>IF(Tabela1[[#This Row],[Core PCE]]="",#N/A,((Tabela1[[#This Row],[Core PCE]]*1)/W726)-1)</f>
        <v>2.0837226686600596E-2</v>
      </c>
      <c r="Z738" s="8">
        <f t="shared" si="37"/>
        <v>1.4085347974502227E-2</v>
      </c>
      <c r="AA738" s="8">
        <f t="shared" si="40"/>
        <v>1.8962243588203975E-2</v>
      </c>
      <c r="AB738" s="7">
        <v>2.5099999999999998</v>
      </c>
      <c r="AC738" s="7"/>
      <c r="AD738" s="8"/>
      <c r="AE738" s="71"/>
      <c r="AF738" s="7">
        <v>4.8</v>
      </c>
      <c r="AG738" s="5"/>
    </row>
    <row r="739" spans="1:33" ht="12.75">
      <c r="A739" s="6">
        <v>39569</v>
      </c>
      <c r="B739" s="7">
        <v>215.208</v>
      </c>
      <c r="C739" s="8">
        <f>IF(Tabela1[[#This Row],[Consumer Price Index (CPI)]]="",#N/A,((Tabela1[[#This Row],[Consumer Price Index (CPI)]]*1)/B738)-1)</f>
        <v>5.9174916566171465E-3</v>
      </c>
      <c r="D739" s="8">
        <f>IF(Tabela1[[#This Row],[Consumer Price Index (CPI)]]="",#N/A,((Tabela1[[#This Row],[Consumer Price Index (CPI)]]*1)/B727)-1)</f>
        <v>4.088413823123993E-2</v>
      </c>
      <c r="E739" s="25">
        <v>214.93600000000001</v>
      </c>
      <c r="F739" s="8">
        <f>IF(Tabela1[[#This Row],[Core Consumer Price Index]]="",#N/A,((Tabela1[[#This Row],[Core Consumer Price Index]]*1)/E738)-1)</f>
        <v>1.7524235645041131E-3</v>
      </c>
      <c r="G739" s="8">
        <f>IF(Tabela1[[#This Row],[Core Consumer Price Index]]="",#N/A,((Tabela1[[#This Row],[Core Consumer Price Index]]*1)/E727)-1)</f>
        <v>2.3222157689781087E-2</v>
      </c>
      <c r="H739" s="8">
        <f t="shared" si="38"/>
        <v>1.861460862099662E-2</v>
      </c>
      <c r="I739" s="8">
        <f t="shared" si="39"/>
        <v>2.131416851939516E-2</v>
      </c>
      <c r="J739" s="25">
        <v>254.67699999999999</v>
      </c>
      <c r="K739" s="8">
        <f>IF(Tabela1[[#This Row],[Services CPI]]="",#N/A,((Tabela1[[#This Row],[Services CPI]]*1)/J738)-1)</f>
        <v>4.2864466264442846E-3</v>
      </c>
      <c r="L739" s="8">
        <f>IF(Tabela1[[#This Row],[Services CPI]]="",#N/A,((Tabela1[[#This Row],[Services CPI]]*1)/J727)-1)</f>
        <v>3.5710218954354778E-2</v>
      </c>
      <c r="M739" s="7">
        <v>260.029</v>
      </c>
      <c r="N739" s="8">
        <f>IF(Tabela1[[#This Row],[Core-Services CPI]]="",#N/A,((Tabela1[[#This Row],[Core-Services CPI]]*1)/M738)-1)</f>
        <v>2.8191501669894148E-3</v>
      </c>
      <c r="O739" s="8">
        <f>IF(Tabela1[[#This Row],[Core-Services CPI]]="",#N/A,((Tabela1[[#This Row],[Core-Services CPI]]*1)/M727)-1)</f>
        <v>3.1897964609847174E-2</v>
      </c>
      <c r="P739" s="7">
        <v>111.27500000000001</v>
      </c>
      <c r="Q739" s="8">
        <f>IF(Tabela1[[#This Row],[Durable Goods CPI]]="",#N/A,((Tabela1[[#This Row],[Durable Goods CPI]]*1)/P738)-1)</f>
        <v>-2.4920889621972142E-3</v>
      </c>
      <c r="R739" s="8">
        <f>IF(Tabela1[[#This Row],[Durable Goods CPI]]="",#N/A,((Tabela1[[#This Row],[Durable Goods CPI]]*1)/P727)-1)</f>
        <v>-1.1187729930509871E-2</v>
      </c>
      <c r="S739" s="7">
        <v>2.6887664</v>
      </c>
      <c r="T739" s="7">
        <v>89.18</v>
      </c>
      <c r="U739" s="8">
        <f>IF(Tabela1[[#This Row],[Personal Consumption Expenditures (PCE)]]="",#N/A,((Tabela1[[#This Row],[Personal Consumption Expenditures (PCE)]]*1)/T738)-1)</f>
        <v>4.2905888579827245E-3</v>
      </c>
      <c r="V739" s="8">
        <f>IF(Tabela1[[#This Row],[Personal Consumption Expenditures (PCE)]]="",#N/A,((Tabela1[[#This Row],[Personal Consumption Expenditures (PCE)]]*1)/T727)-1)</f>
        <v>3.2821439325504409E-2</v>
      </c>
      <c r="W739" s="7">
        <v>87.558999999999997</v>
      </c>
      <c r="X739" s="8">
        <f>IF(Tabela1[[#This Row],[Core PCE]]="",#N/A,((Tabela1[[#This Row],[Core PCE]]*1)/W738)-1)</f>
        <v>1.8192219679633581E-3</v>
      </c>
      <c r="Y739" s="8">
        <f>IF(Tabela1[[#This Row],[Core PCE]]="",#N/A,((Tabela1[[#This Row],[Core PCE]]*1)/W727)-1)</f>
        <v>2.148931950488242E-2</v>
      </c>
      <c r="Z739" s="8">
        <f t="shared" si="37"/>
        <v>1.7458362974827502E-2</v>
      </c>
      <c r="AA739" s="8">
        <f t="shared" si="40"/>
        <v>1.8673502160981403E-2</v>
      </c>
      <c r="AB739" s="7">
        <v>2.5499999999999998</v>
      </c>
      <c r="AC739" s="7"/>
      <c r="AD739" s="8"/>
      <c r="AE739" s="71"/>
      <c r="AF739" s="7">
        <v>5.2</v>
      </c>
      <c r="AG739" s="5"/>
    </row>
    <row r="740" spans="1:33" ht="12.75">
      <c r="A740" s="6">
        <v>39600</v>
      </c>
      <c r="B740" s="7">
        <v>217.46299999999999</v>
      </c>
      <c r="C740" s="8">
        <f>IF(Tabela1[[#This Row],[Consumer Price Index (CPI)]]="",#N/A,((Tabela1[[#This Row],[Consumer Price Index (CPI)]]*1)/B739)-1)</f>
        <v>1.04782350098509E-2</v>
      </c>
      <c r="D740" s="8">
        <f>IF(Tabela1[[#This Row],[Consumer Price Index (CPI)]]="",#N/A,((Tabela1[[#This Row],[Consumer Price Index (CPI)]]*1)/B728)-1)</f>
        <v>4.9359661059478643E-2</v>
      </c>
      <c r="E740" s="25">
        <v>215.42400000000001</v>
      </c>
      <c r="F740" s="8">
        <f>IF(Tabela1[[#This Row],[Core Consumer Price Index]]="",#N/A,((Tabela1[[#This Row],[Core Consumer Price Index]]*1)/E739)-1)</f>
        <v>2.2704432947482367E-3</v>
      </c>
      <c r="G740" s="8">
        <f>IF(Tabela1[[#This Row],[Core Consumer Price Index]]="",#N/A,((Tabela1[[#This Row],[Core Consumer Price Index]]*1)/E728)-1)</f>
        <v>2.3917259211376996E-2</v>
      </c>
      <c r="H740" s="8">
        <f t="shared" si="38"/>
        <v>1.8703164107096271E-2</v>
      </c>
      <c r="I740" s="8">
        <f t="shared" si="39"/>
        <v>2.1077475874432761E-2</v>
      </c>
      <c r="J740" s="25">
        <v>255.839</v>
      </c>
      <c r="K740" s="8">
        <f>IF(Tabela1[[#This Row],[Services CPI]]="",#N/A,((Tabela1[[#This Row],[Services CPI]]*1)/J739)-1)</f>
        <v>4.5626420917475041E-3</v>
      </c>
      <c r="L740" s="8">
        <f>IF(Tabela1[[#This Row],[Services CPI]]="",#N/A,((Tabela1[[#This Row],[Services CPI]]*1)/J728)-1)</f>
        <v>3.7276247237933102E-2</v>
      </c>
      <c r="M740" s="7">
        <v>260.86</v>
      </c>
      <c r="N740" s="8">
        <f>IF(Tabela1[[#This Row],[Core-Services CPI]]="",#N/A,((Tabela1[[#This Row],[Core-Services CPI]]*1)/M739)-1)</f>
        <v>3.1957973918295135E-3</v>
      </c>
      <c r="O740" s="8">
        <f>IF(Tabela1[[#This Row],[Core-Services CPI]]="",#N/A,((Tabela1[[#This Row],[Core-Services CPI]]*1)/M728)-1)</f>
        <v>3.2507807335927286E-2</v>
      </c>
      <c r="P740" s="7">
        <v>111.098</v>
      </c>
      <c r="Q740" s="8">
        <f>IF(Tabela1[[#This Row],[Durable Goods CPI]]="",#N/A,((Tabela1[[#This Row],[Durable Goods CPI]]*1)/P739)-1)</f>
        <v>-1.5906537856662517E-3</v>
      </c>
      <c r="R740" s="8">
        <f>IF(Tabela1[[#This Row],[Durable Goods CPI]]="",#N/A,((Tabela1[[#This Row],[Durable Goods CPI]]*1)/P728)-1)</f>
        <v>-1.1275753125973398E-2</v>
      </c>
      <c r="S740" s="7">
        <v>2.7251102999999999</v>
      </c>
      <c r="T740" s="7">
        <v>89.826999999999998</v>
      </c>
      <c r="U740" s="8">
        <f>IF(Tabela1[[#This Row],[Personal Consumption Expenditures (PCE)]]="",#N/A,((Tabela1[[#This Row],[Personal Consumption Expenditures (PCE)]]*1)/T739)-1)</f>
        <v>7.2549899080509572E-3</v>
      </c>
      <c r="V740" s="8">
        <f>IF(Tabela1[[#This Row],[Personal Consumption Expenditures (PCE)]]="",#N/A,((Tabela1[[#This Row],[Personal Consumption Expenditures (PCE)]]*1)/T728)-1)</f>
        <v>3.8114389395462744E-2</v>
      </c>
      <c r="W740" s="7">
        <v>87.76</v>
      </c>
      <c r="X740" s="8">
        <f>IF(Tabela1[[#This Row],[Core PCE]]="",#N/A,((Tabela1[[#This Row],[Core PCE]]*1)/W739)-1)</f>
        <v>2.2955949702487821E-3</v>
      </c>
      <c r="Y740" s="8">
        <f>IF(Tabela1[[#This Row],[Core PCE]]="",#N/A,((Tabela1[[#This Row],[Core PCE]]*1)/W728)-1)</f>
        <v>2.2140952025996308E-2</v>
      </c>
      <c r="Z740" s="8">
        <f t="shared" si="37"/>
        <v>1.8794726659075778E-2</v>
      </c>
      <c r="AA740" s="8">
        <f t="shared" si="40"/>
        <v>1.9252979745866039E-2</v>
      </c>
      <c r="AB740" s="7">
        <v>2.6</v>
      </c>
      <c r="AC740" s="7"/>
      <c r="AD740" s="8"/>
      <c r="AE740" s="71"/>
      <c r="AF740" s="7">
        <v>5.0999999999999996</v>
      </c>
      <c r="AG740" s="5"/>
    </row>
    <row r="741" spans="1:33" ht="12.75">
      <c r="A741" s="6">
        <v>39630</v>
      </c>
      <c r="B741" s="7">
        <v>219.01599999999999</v>
      </c>
      <c r="C741" s="8">
        <f>IF(Tabela1[[#This Row],[Consumer Price Index (CPI)]]="",#N/A,((Tabela1[[#This Row],[Consumer Price Index (CPI)]]*1)/B740)-1)</f>
        <v>7.1414447515210089E-3</v>
      </c>
      <c r="D741" s="8">
        <f>IF(Tabela1[[#This Row],[Consumer Price Index (CPI)]]="",#N/A,((Tabela1[[#This Row],[Consumer Price Index (CPI)]]*1)/B729)-1)</f>
        <v>5.4975120783418374E-2</v>
      </c>
      <c r="E741" s="25">
        <v>215.965</v>
      </c>
      <c r="F741" s="8">
        <f>IF(Tabela1[[#This Row],[Core Consumer Price Index]]="",#N/A,((Tabela1[[#This Row],[Core Consumer Price Index]]*1)/E740)-1)</f>
        <v>2.511326500297173E-3</v>
      </c>
      <c r="G741" s="8">
        <f>IF(Tabela1[[#This Row],[Core Consumer Price Index]]="",#N/A,((Tabela1[[#This Row],[Core Consumer Price Index]]*1)/E729)-1)</f>
        <v>2.4633136122748311E-2</v>
      </c>
      <c r="H741" s="8">
        <f t="shared" si="38"/>
        <v>2.6136773438198091E-2</v>
      </c>
      <c r="I741" s="8">
        <f t="shared" si="39"/>
        <v>2.0442619305110821E-2</v>
      </c>
      <c r="J741" s="25">
        <v>257.07400000000001</v>
      </c>
      <c r="K741" s="8">
        <f>IF(Tabela1[[#This Row],[Services CPI]]="",#N/A,((Tabela1[[#This Row],[Services CPI]]*1)/J740)-1)</f>
        <v>4.8272546406138428E-3</v>
      </c>
      <c r="L741" s="8">
        <f>IF(Tabela1[[#This Row],[Services CPI]]="",#N/A,((Tabela1[[#This Row],[Services CPI]]*1)/J729)-1)</f>
        <v>4.051160625746264E-2</v>
      </c>
      <c r="M741" s="7">
        <v>261.565</v>
      </c>
      <c r="N741" s="8">
        <f>IF(Tabela1[[#This Row],[Core-Services CPI]]="",#N/A,((Tabela1[[#This Row],[Core-Services CPI]]*1)/M740)-1)</f>
        <v>2.7025990953000179E-3</v>
      </c>
      <c r="O741" s="8">
        <f>IF(Tabela1[[#This Row],[Core-Services CPI]]="",#N/A,((Tabela1[[#This Row],[Core-Services CPI]]*1)/M729)-1)</f>
        <v>3.2747531300464816E-2</v>
      </c>
      <c r="P741" s="7">
        <v>111.00700000000001</v>
      </c>
      <c r="Q741" s="8">
        <f>IF(Tabela1[[#This Row],[Durable Goods CPI]]="",#N/A,((Tabela1[[#This Row],[Durable Goods CPI]]*1)/P740)-1)</f>
        <v>-8.1909665340507143E-4</v>
      </c>
      <c r="R741" s="8">
        <f>IF(Tabela1[[#This Row],[Durable Goods CPI]]="",#N/A,((Tabela1[[#This Row],[Durable Goods CPI]]*1)/P729)-1)</f>
        <v>-9.6795489419404523E-3</v>
      </c>
      <c r="S741" s="7">
        <v>2.7937419000000001</v>
      </c>
      <c r="T741" s="7">
        <v>90.245000000000005</v>
      </c>
      <c r="U741" s="8">
        <f>IF(Tabela1[[#This Row],[Personal Consumption Expenditures (PCE)]]="",#N/A,((Tabela1[[#This Row],[Personal Consumption Expenditures (PCE)]]*1)/T740)-1)</f>
        <v>4.6533892927516085E-3</v>
      </c>
      <c r="V741" s="8">
        <f>IF(Tabela1[[#This Row],[Personal Consumption Expenditures (PCE)]]="",#N/A,((Tabela1[[#This Row],[Personal Consumption Expenditures (PCE)]]*1)/T729)-1)</f>
        <v>4.1356550235976952E-2</v>
      </c>
      <c r="W741" s="7">
        <v>87.918000000000006</v>
      </c>
      <c r="X741" s="8">
        <f>IF(Tabela1[[#This Row],[Core PCE]]="",#N/A,((Tabela1[[#This Row],[Core PCE]]*1)/W740)-1)</f>
        <v>1.8003646308113463E-3</v>
      </c>
      <c r="Y741" s="8">
        <f>IF(Tabela1[[#This Row],[Core PCE]]="",#N/A,((Tabela1[[#This Row],[Core PCE]]*1)/W729)-1)</f>
        <v>2.2444992324510471E-2</v>
      </c>
      <c r="Z741" s="8">
        <f t="shared" si="37"/>
        <v>2.3660726276093946E-2</v>
      </c>
      <c r="AA741" s="8">
        <f t="shared" si="40"/>
        <v>1.8873037125298087E-2</v>
      </c>
      <c r="AB741" s="7">
        <v>2.69</v>
      </c>
      <c r="AC741" s="7"/>
      <c r="AD741" s="8"/>
      <c r="AE741" s="71"/>
      <c r="AF741" s="7">
        <v>5.0999999999999996</v>
      </c>
      <c r="AG741" s="5"/>
    </row>
    <row r="742" spans="1:33" ht="12.75">
      <c r="A742" s="6">
        <v>39661</v>
      </c>
      <c r="B742" s="7">
        <v>218.69</v>
      </c>
      <c r="C742" s="8">
        <f>IF(Tabela1[[#This Row],[Consumer Price Index (CPI)]]="",#N/A,((Tabela1[[#This Row],[Consumer Price Index (CPI)]]*1)/B741)-1)</f>
        <v>-1.4884757278006422E-3</v>
      </c>
      <c r="D742" s="8">
        <f>IF(Tabela1[[#This Row],[Consumer Price Index (CPI)]]="",#N/A,((Tabela1[[#This Row],[Consumer Price Index (CPI)]]*1)/B730)-1)</f>
        <v>5.3080171620912386E-2</v>
      </c>
      <c r="E742" s="25">
        <v>216.393</v>
      </c>
      <c r="F742" s="8">
        <f>IF(Tabela1[[#This Row],[Core Consumer Price Index]]="",#N/A,((Tabela1[[#This Row],[Core Consumer Price Index]]*1)/E741)-1)</f>
        <v>1.9818026069038375E-3</v>
      </c>
      <c r="G742" s="8">
        <f>IF(Tabela1[[#This Row],[Core Consumer Price Index]]="",#N/A,((Tabela1[[#This Row],[Core Consumer Price Index]]*1)/E730)-1)</f>
        <v>2.4981171756213394E-2</v>
      </c>
      <c r="H742" s="8">
        <f t="shared" si="38"/>
        <v>2.7054289607796989E-2</v>
      </c>
      <c r="I742" s="8">
        <f t="shared" si="39"/>
        <v>2.2834449114396804E-2</v>
      </c>
      <c r="J742" s="25">
        <v>257.56</v>
      </c>
      <c r="K742" s="8">
        <f>IF(Tabela1[[#This Row],[Services CPI]]="",#N/A,((Tabela1[[#This Row],[Services CPI]]*1)/J741)-1)</f>
        <v>1.8905062355585311E-3</v>
      </c>
      <c r="L742" s="8">
        <f>IF(Tabela1[[#This Row],[Services CPI]]="",#N/A,((Tabela1[[#This Row],[Services CPI]]*1)/J730)-1)</f>
        <v>4.0625441910264515E-2</v>
      </c>
      <c r="M742" s="7">
        <v>262.226</v>
      </c>
      <c r="N742" s="8">
        <f>IF(Tabela1[[#This Row],[Core-Services CPI]]="",#N/A,((Tabela1[[#This Row],[Core-Services CPI]]*1)/M741)-1)</f>
        <v>2.5270965152064395E-3</v>
      </c>
      <c r="O742" s="8">
        <f>IF(Tabela1[[#This Row],[Core-Services CPI]]="",#N/A,((Tabela1[[#This Row],[Core-Services CPI]]*1)/M730)-1)</f>
        <v>3.2898209347944185E-2</v>
      </c>
      <c r="P742" s="7">
        <v>110.72</v>
      </c>
      <c r="Q742" s="8">
        <f>IF(Tabela1[[#This Row],[Durable Goods CPI]]="",#N/A,((Tabela1[[#This Row],[Durable Goods CPI]]*1)/P741)-1)</f>
        <v>-2.5854225409208675E-3</v>
      </c>
      <c r="R742" s="8">
        <f>IF(Tabela1[[#This Row],[Durable Goods CPI]]="",#N/A,((Tabela1[[#This Row],[Durable Goods CPI]]*1)/P730)-1)</f>
        <v>-1.246019782905361E-2</v>
      </c>
      <c r="S742" s="7">
        <v>2.9376962</v>
      </c>
      <c r="T742" s="7">
        <v>90.171999999999997</v>
      </c>
      <c r="U742" s="8">
        <f>IF(Tabela1[[#This Row],[Personal Consumption Expenditures (PCE)]]="",#N/A,((Tabela1[[#This Row],[Personal Consumption Expenditures (PCE)]]*1)/T741)-1)</f>
        <v>-8.0890908083564028E-4</v>
      </c>
      <c r="V742" s="8">
        <f>IF(Tabela1[[#This Row],[Personal Consumption Expenditures (PCE)]]="",#N/A,((Tabela1[[#This Row],[Personal Consumption Expenditures (PCE)]]*1)/T730)-1)</f>
        <v>3.9806273062730657E-2</v>
      </c>
      <c r="W742" s="7">
        <v>88.025999999999996</v>
      </c>
      <c r="X742" s="8">
        <f>IF(Tabela1[[#This Row],[Core PCE]]="",#N/A,((Tabela1[[#This Row],[Core PCE]]*1)/W741)-1)</f>
        <v>1.2284173889305361E-3</v>
      </c>
      <c r="Y742" s="8">
        <f>IF(Tabela1[[#This Row],[Core PCE]]="",#N/A,((Tabela1[[#This Row],[Core PCE]]*1)/W730)-1)</f>
        <v>2.2179385944539831E-2</v>
      </c>
      <c r="Z742" s="8">
        <f t="shared" si="37"/>
        <v>2.1297507959962658E-2</v>
      </c>
      <c r="AA742" s="8">
        <f t="shared" si="40"/>
        <v>1.937793546739508E-2</v>
      </c>
      <c r="AB742" s="7">
        <v>2.64</v>
      </c>
      <c r="AC742" s="7"/>
      <c r="AD742" s="8"/>
      <c r="AE742" s="71"/>
      <c r="AF742" s="7">
        <v>4.8</v>
      </c>
      <c r="AG742" s="5"/>
    </row>
    <row r="743" spans="1:33" ht="12.75">
      <c r="A743" s="6">
        <v>39692</v>
      </c>
      <c r="B743" s="7">
        <v>218.87700000000001</v>
      </c>
      <c r="C743" s="8">
        <f>IF(Tabela1[[#This Row],[Consumer Price Index (CPI)]]="",#N/A,((Tabela1[[#This Row],[Consumer Price Index (CPI)]]*1)/B742)-1)</f>
        <v>8.550916822900323E-4</v>
      </c>
      <c r="D743" s="8">
        <f>IF(Tabela1[[#This Row],[Consumer Price Index (CPI)]]="",#N/A,((Tabela1[[#This Row],[Consumer Price Index (CPI)]]*1)/B731)-1)</f>
        <v>4.9533198751360752E-2</v>
      </c>
      <c r="E743" s="25">
        <v>216.71299999999999</v>
      </c>
      <c r="F743" s="8">
        <f>IF(Tabela1[[#This Row],[Core Consumer Price Index]]="",#N/A,((Tabela1[[#This Row],[Core Consumer Price Index]]*1)/E742)-1)</f>
        <v>1.4787909035873792E-3</v>
      </c>
      <c r="G743" s="8">
        <f>IF(Tabela1[[#This Row],[Core Consumer Price Index]]="",#N/A,((Tabela1[[#This Row],[Core Consumer Price Index]]*1)/E731)-1)</f>
        <v>2.4386208722122937E-2</v>
      </c>
      <c r="H743" s="8">
        <f t="shared" si="38"/>
        <v>2.3887680043153559E-2</v>
      </c>
      <c r="I743" s="8">
        <f t="shared" si="39"/>
        <v>2.1295422075124915E-2</v>
      </c>
      <c r="J743" s="25">
        <v>257.58199999999999</v>
      </c>
      <c r="K743" s="8">
        <f>IF(Tabela1[[#This Row],[Services CPI]]="",#N/A,((Tabela1[[#This Row],[Services CPI]]*1)/J742)-1)</f>
        <v>8.5416990215803068E-5</v>
      </c>
      <c r="L743" s="8">
        <f>IF(Tabela1[[#This Row],[Services CPI]]="",#N/A,((Tabela1[[#This Row],[Services CPI]]*1)/J731)-1)</f>
        <v>3.7599497276916694E-2</v>
      </c>
      <c r="M743" s="7">
        <v>262.815</v>
      </c>
      <c r="N743" s="8">
        <f>IF(Tabela1[[#This Row],[Core-Services CPI]]="",#N/A,((Tabela1[[#This Row],[Core-Services CPI]]*1)/M742)-1)</f>
        <v>2.2461540808309532E-3</v>
      </c>
      <c r="O743" s="8">
        <f>IF(Tabela1[[#This Row],[Core-Services CPI]]="",#N/A,((Tabela1[[#This Row],[Core-Services CPI]]*1)/M731)-1)</f>
        <v>3.2201432745781799E-2</v>
      </c>
      <c r="P743" s="7">
        <v>110.342</v>
      </c>
      <c r="Q743" s="8">
        <f>IF(Tabela1[[#This Row],[Durable Goods CPI]]="",#N/A,((Tabela1[[#This Row],[Durable Goods CPI]]*1)/P742)-1)</f>
        <v>-3.4140173410404095E-3</v>
      </c>
      <c r="R743" s="8">
        <f>IF(Tabela1[[#This Row],[Durable Goods CPI]]="",#N/A,((Tabela1[[#This Row],[Durable Goods CPI]]*1)/P731)-1)</f>
        <v>-1.5822897713082873E-2</v>
      </c>
      <c r="S743" s="7">
        <v>3.0142541999999999</v>
      </c>
      <c r="T743" s="7">
        <v>90.247</v>
      </c>
      <c r="U743" s="8">
        <f>IF(Tabela1[[#This Row],[Personal Consumption Expenditures (PCE)]]="",#N/A,((Tabela1[[#This Row],[Personal Consumption Expenditures (PCE)]]*1)/T742)-1)</f>
        <v>8.3174377855654846E-4</v>
      </c>
      <c r="V743" s="8">
        <f>IF(Tabela1[[#This Row],[Personal Consumption Expenditures (PCE)]]="",#N/A,((Tabela1[[#This Row],[Personal Consumption Expenditures (PCE)]]*1)/T731)-1)</f>
        <v>3.6678383532060543E-2</v>
      </c>
      <c r="W743" s="7">
        <v>88.116</v>
      </c>
      <c r="X743" s="8">
        <f>IF(Tabela1[[#This Row],[Core PCE]]="",#N/A,((Tabela1[[#This Row],[Core PCE]]*1)/W742)-1)</f>
        <v>1.0224251925567973E-3</v>
      </c>
      <c r="Y743" s="8">
        <f>IF(Tabela1[[#This Row],[Core PCE]]="",#N/A,((Tabela1[[#This Row],[Core PCE]]*1)/W731)-1)</f>
        <v>2.0439832775532407E-2</v>
      </c>
      <c r="Z743" s="8">
        <f t="shared" ref="Z743:Z806" si="41">SUM(X741:X743)*4</f>
        <v>1.6204828849194719E-2</v>
      </c>
      <c r="AA743" s="8">
        <f t="shared" si="40"/>
        <v>1.7499777754135248E-2</v>
      </c>
      <c r="AB743" s="7">
        <v>2.57</v>
      </c>
      <c r="AC743" s="7"/>
      <c r="AD743" s="8"/>
      <c r="AE743" s="71"/>
      <c r="AF743" s="7">
        <v>4.3</v>
      </c>
      <c r="AG743" s="5"/>
    </row>
    <row r="744" spans="1:33" ht="12.75">
      <c r="A744" s="6">
        <v>39722</v>
      </c>
      <c r="B744" s="7">
        <v>216.995</v>
      </c>
      <c r="C744" s="8">
        <f>IF(Tabela1[[#This Row],[Consumer Price Index (CPI)]]="",#N/A,((Tabela1[[#This Row],[Consumer Price Index (CPI)]]*1)/B743)-1)</f>
        <v>-8.5984365648286154E-3</v>
      </c>
      <c r="D744" s="8">
        <f>IF(Tabela1[[#This Row],[Consumer Price Index (CPI)]]="",#N/A,((Tabela1[[#This Row],[Consumer Price Index (CPI)]]*1)/B732)-1)</f>
        <v>3.7310578899565128E-2</v>
      </c>
      <c r="E744" s="25">
        <v>216.78800000000001</v>
      </c>
      <c r="F744" s="8">
        <f>IF(Tabela1[[#This Row],[Core Consumer Price Index]]="",#N/A,((Tabela1[[#This Row],[Core Consumer Price Index]]*1)/E743)-1)</f>
        <v>3.4607983831147493E-4</v>
      </c>
      <c r="G744" s="8">
        <f>IF(Tabela1[[#This Row],[Core Consumer Price Index]]="",#N/A,((Tabela1[[#This Row],[Core Consumer Price Index]]*1)/E732)-1)</f>
        <v>2.2213629955157854E-2</v>
      </c>
      <c r="H744" s="8">
        <f t="shared" si="38"/>
        <v>1.5226693395210766E-2</v>
      </c>
      <c r="I744" s="8">
        <f t="shared" si="39"/>
        <v>2.0681733416704429E-2</v>
      </c>
      <c r="J744" s="25">
        <v>257.71199999999999</v>
      </c>
      <c r="K744" s="8">
        <f>IF(Tabela1[[#This Row],[Services CPI]]="",#N/A,((Tabela1[[#This Row],[Services CPI]]*1)/J743)-1)</f>
        <v>5.0469365095384688E-4</v>
      </c>
      <c r="L744" s="8">
        <f>IF(Tabela1[[#This Row],[Services CPI]]="",#N/A,((Tabela1[[#This Row],[Services CPI]]*1)/J732)-1)</f>
        <v>3.476354525524572E-2</v>
      </c>
      <c r="M744" s="7">
        <v>263.14100000000002</v>
      </c>
      <c r="N744" s="8">
        <f>IF(Tabela1[[#This Row],[Core-Services CPI]]="",#N/A,((Tabela1[[#This Row],[Core-Services CPI]]*1)/M743)-1)</f>
        <v>1.2404162623900206E-3</v>
      </c>
      <c r="O744" s="8">
        <f>IF(Tabela1[[#This Row],[Core-Services CPI]]="",#N/A,((Tabela1[[#This Row],[Core-Services CPI]]*1)/M732)-1)</f>
        <v>3.0394041796702354E-2</v>
      </c>
      <c r="P744" s="7">
        <v>109.877</v>
      </c>
      <c r="Q744" s="8">
        <f>IF(Tabela1[[#This Row],[Durable Goods CPI]]="",#N/A,((Tabela1[[#This Row],[Durable Goods CPI]]*1)/P743)-1)</f>
        <v>-4.2141704881187847E-3</v>
      </c>
      <c r="R744" s="8">
        <f>IF(Tabela1[[#This Row],[Durable Goods CPI]]="",#N/A,((Tabela1[[#This Row],[Durable Goods CPI]]*1)/P732)-1)</f>
        <v>-1.9708081294720126E-2</v>
      </c>
      <c r="S744" s="7">
        <v>3.0845058999999999</v>
      </c>
      <c r="T744" s="7">
        <v>89.650999999999996</v>
      </c>
      <c r="U744" s="8">
        <f>IF(Tabela1[[#This Row],[Personal Consumption Expenditures (PCE)]]="",#N/A,((Tabela1[[#This Row],[Personal Consumption Expenditures (PCE)]]*1)/T743)-1)</f>
        <v>-6.6040976431349652E-3</v>
      </c>
      <c r="V744" s="8">
        <f>IF(Tabela1[[#This Row],[Personal Consumption Expenditures (PCE)]]="",#N/A,((Tabela1[[#This Row],[Personal Consumption Expenditures (PCE)]]*1)/T732)-1)</f>
        <v>2.6718431480336147E-2</v>
      </c>
      <c r="W744" s="7">
        <v>87.991</v>
      </c>
      <c r="X744" s="8">
        <f>IF(Tabela1[[#This Row],[Core PCE]]="",#N/A,((Tabela1[[#This Row],[Core PCE]]*1)/W743)-1)</f>
        <v>-1.4185845930364538E-3</v>
      </c>
      <c r="Y744" s="8">
        <f>IF(Tabela1[[#This Row],[Core PCE]]="",#N/A,((Tabela1[[#This Row],[Core PCE]]*1)/W732)-1)</f>
        <v>1.6344021437811884E-2</v>
      </c>
      <c r="Z744" s="8">
        <f t="shared" si="41"/>
        <v>3.3290319538035185E-3</v>
      </c>
      <c r="AA744" s="8">
        <f t="shared" si="40"/>
        <v>1.3494879114948732E-2</v>
      </c>
      <c r="AB744" s="7">
        <v>2.44</v>
      </c>
      <c r="AC744" s="7"/>
      <c r="AD744" s="8"/>
      <c r="AE744" s="71"/>
      <c r="AF744" s="7">
        <v>3.9</v>
      </c>
      <c r="AG744" s="5"/>
    </row>
    <row r="745" spans="1:33" ht="12.75">
      <c r="A745" s="6">
        <v>39753</v>
      </c>
      <c r="B745" s="7">
        <v>213.15299999999999</v>
      </c>
      <c r="C745" s="8">
        <f>IF(Tabela1[[#This Row],[Consumer Price Index (CPI)]]="",#N/A,((Tabela1[[#This Row],[Consumer Price Index (CPI)]]*1)/B744)-1)</f>
        <v>-1.7705477084725474E-2</v>
      </c>
      <c r="D745" s="8">
        <f>IF(Tabela1[[#This Row],[Consumer Price Index (CPI)]]="",#N/A,((Tabela1[[#This Row],[Consumer Price Index (CPI)]]*1)/B733)-1)</f>
        <v>1.0999174706166848E-2</v>
      </c>
      <c r="E745" s="25">
        <v>216.947</v>
      </c>
      <c r="F745" s="8">
        <f>IF(Tabela1[[#This Row],[Core Consumer Price Index]]="",#N/A,((Tabela1[[#This Row],[Core Consumer Price Index]]*1)/E744)-1)</f>
        <v>7.3343543000525813E-4</v>
      </c>
      <c r="G745" s="8">
        <f>IF(Tabela1[[#This Row],[Core Consumer Price Index]]="",#N/A,((Tabela1[[#This Row],[Core Consumer Price Index]]*1)/E733)-1)</f>
        <v>2.0158939151697641E-2</v>
      </c>
      <c r="H745" s="8">
        <f t="shared" si="38"/>
        <v>1.0233224687616449E-2</v>
      </c>
      <c r="I745" s="8">
        <f t="shared" si="39"/>
        <v>1.8643757147706719E-2</v>
      </c>
      <c r="J745" s="25">
        <v>257.82100000000003</v>
      </c>
      <c r="K745" s="8">
        <f>IF(Tabela1[[#This Row],[Services CPI]]="",#N/A,((Tabela1[[#This Row],[Services CPI]]*1)/J744)-1)</f>
        <v>4.2295275346138084E-4</v>
      </c>
      <c r="L745" s="8">
        <f>IF(Tabela1[[#This Row],[Services CPI]]="",#N/A,((Tabela1[[#This Row],[Services CPI]]*1)/J733)-1)</f>
        <v>3.2035321714207976E-2</v>
      </c>
      <c r="M745" s="7">
        <v>263.49200000000002</v>
      </c>
      <c r="N745" s="8">
        <f>IF(Tabela1[[#This Row],[Core-Services CPI]]="",#N/A,((Tabela1[[#This Row],[Core-Services CPI]]*1)/M744)-1)</f>
        <v>1.3338856354578876E-3</v>
      </c>
      <c r="O745" s="8">
        <f>IF(Tabela1[[#This Row],[Core-Services CPI]]="",#N/A,((Tabela1[[#This Row],[Core-Services CPI]]*1)/M733)-1)</f>
        <v>2.8606673849565167E-2</v>
      </c>
      <c r="P745" s="7">
        <v>109.41</v>
      </c>
      <c r="Q745" s="8">
        <f>IF(Tabela1[[#This Row],[Durable Goods CPI]]="",#N/A,((Tabela1[[#This Row],[Durable Goods CPI]]*1)/P744)-1)</f>
        <v>-4.2502070497010269E-3</v>
      </c>
      <c r="R745" s="8">
        <f>IF(Tabela1[[#This Row],[Durable Goods CPI]]="",#N/A,((Tabela1[[#This Row],[Durable Goods CPI]]*1)/P733)-1)</f>
        <v>-2.5265933752650405E-2</v>
      </c>
      <c r="S745" s="7">
        <v>3.0766784999999999</v>
      </c>
      <c r="T745" s="7">
        <v>88.593000000000004</v>
      </c>
      <c r="U745" s="8">
        <f>IF(Tabela1[[#This Row],[Personal Consumption Expenditures (PCE)]]="",#N/A,((Tabela1[[#This Row],[Personal Consumption Expenditures (PCE)]]*1)/T744)-1)</f>
        <v>-1.1801318445973763E-2</v>
      </c>
      <c r="V745" s="8">
        <f>IF(Tabela1[[#This Row],[Personal Consumption Expenditures (PCE)]]="",#N/A,((Tabela1[[#This Row],[Personal Consumption Expenditures (PCE)]]*1)/T733)-1)</f>
        <v>9.2502933436620083E-3</v>
      </c>
      <c r="W745" s="7">
        <v>87.951999999999998</v>
      </c>
      <c r="X745" s="8">
        <f>IF(Tabela1[[#This Row],[Core PCE]]="",#N/A,((Tabela1[[#This Row],[Core PCE]]*1)/W744)-1)</f>
        <v>-4.4322714823108456E-4</v>
      </c>
      <c r="Y745" s="8">
        <f>IF(Tabela1[[#This Row],[Core PCE]]="",#N/A,((Tabela1[[#This Row],[Core PCE]]*1)/W733)-1)</f>
        <v>1.3902658335831042E-2</v>
      </c>
      <c r="Z745" s="8">
        <f t="shared" si="41"/>
        <v>-3.3575461948429641E-3</v>
      </c>
      <c r="AA745" s="8">
        <f t="shared" si="40"/>
        <v>8.969980882559847E-3</v>
      </c>
      <c r="AB745" s="7">
        <v>2.35</v>
      </c>
      <c r="AC745" s="7"/>
      <c r="AD745" s="8"/>
      <c r="AE745" s="71"/>
      <c r="AF745" s="7">
        <v>2.9</v>
      </c>
      <c r="AG745" s="5"/>
    </row>
    <row r="746" spans="1:33" ht="12.75">
      <c r="A746" s="6">
        <v>39783</v>
      </c>
      <c r="B746" s="7">
        <v>211.398</v>
      </c>
      <c r="C746" s="8">
        <f>IF(Tabela1[[#This Row],[Consumer Price Index (CPI)]]="",#N/A,((Tabela1[[#This Row],[Consumer Price Index (CPI)]]*1)/B745)-1)</f>
        <v>-8.2335223994032258E-3</v>
      </c>
      <c r="D746" s="8">
        <f>IF(Tabela1[[#This Row],[Consumer Price Index (CPI)]]="",#N/A,((Tabela1[[#This Row],[Consumer Price Index (CPI)]]*1)/B734)-1)</f>
        <v>-2.2228002553859039E-4</v>
      </c>
      <c r="E746" s="25">
        <v>216.92500000000001</v>
      </c>
      <c r="F746" s="8">
        <f>IF(Tabela1[[#This Row],[Core Consumer Price Index]]="",#N/A,((Tabela1[[#This Row],[Core Consumer Price Index]]*1)/E745)-1)</f>
        <v>-1.0140725615004342E-4</v>
      </c>
      <c r="G746" s="8">
        <f>IF(Tabela1[[#This Row],[Core Consumer Price Index]]="",#N/A,((Tabela1[[#This Row],[Core Consumer Price Index]]*1)/E734)-1)</f>
        <v>1.7624596562335837E-2</v>
      </c>
      <c r="H746" s="8">
        <f t="shared" si="38"/>
        <v>3.9124320486667585E-3</v>
      </c>
      <c r="I746" s="8">
        <f t="shared" si="39"/>
        <v>1.3900056045910159E-2</v>
      </c>
      <c r="J746" s="25">
        <v>257.988</v>
      </c>
      <c r="K746" s="8">
        <f>IF(Tabela1[[#This Row],[Services CPI]]="",#N/A,((Tabela1[[#This Row],[Services CPI]]*1)/J745)-1)</f>
        <v>6.4773622009051124E-4</v>
      </c>
      <c r="L746" s="8">
        <f>IF(Tabela1[[#This Row],[Services CPI]]="",#N/A,((Tabela1[[#This Row],[Services CPI]]*1)/J734)-1)</f>
        <v>2.9703128367644993E-2</v>
      </c>
      <c r="M746" s="7">
        <v>263.685</v>
      </c>
      <c r="N746" s="8">
        <f>IF(Tabela1[[#This Row],[Core-Services CPI]]="",#N/A,((Tabela1[[#This Row],[Core-Services CPI]]*1)/M745)-1)</f>
        <v>7.3247005601673187E-4</v>
      </c>
      <c r="O746" s="8">
        <f>IF(Tabela1[[#This Row],[Core-Services CPI]]="",#N/A,((Tabela1[[#This Row],[Core-Services CPI]]*1)/M734)-1)</f>
        <v>2.6279224544920377E-2</v>
      </c>
      <c r="P746" s="7">
        <v>109.069</v>
      </c>
      <c r="Q746" s="8">
        <f>IF(Tabela1[[#This Row],[Durable Goods CPI]]="",#N/A,((Tabela1[[#This Row],[Durable Goods CPI]]*1)/P745)-1)</f>
        <v>-3.1167169362945613E-3</v>
      </c>
      <c r="R746" s="8">
        <f>IF(Tabela1[[#This Row],[Durable Goods CPI]]="",#N/A,((Tabela1[[#This Row],[Durable Goods CPI]]*1)/P734)-1)</f>
        <v>-2.8286589929083061E-2</v>
      </c>
      <c r="S746" s="7">
        <v>2.9291949000000002</v>
      </c>
      <c r="T746" s="7">
        <v>88.097999999999999</v>
      </c>
      <c r="U746" s="8">
        <f>IF(Tabela1[[#This Row],[Personal Consumption Expenditures (PCE)]]="",#N/A,((Tabela1[[#This Row],[Personal Consumption Expenditures (PCE)]]*1)/T745)-1)</f>
        <v>-5.5873488876096999E-3</v>
      </c>
      <c r="V746" s="8">
        <f>IF(Tabela1[[#This Row],[Personal Consumption Expenditures (PCE)]]="",#N/A,((Tabela1[[#This Row],[Personal Consumption Expenditures (PCE)]]*1)/T734)-1)</f>
        <v>1.2956901254774777E-3</v>
      </c>
      <c r="W746" s="7">
        <v>87.909000000000006</v>
      </c>
      <c r="X746" s="8">
        <f>IF(Tabela1[[#This Row],[Core PCE]]="",#N/A,((Tabela1[[#This Row],[Core PCE]]*1)/W745)-1)</f>
        <v>-4.8890303802062718E-4</v>
      </c>
      <c r="Y746" s="8">
        <f>IF(Tabela1[[#This Row],[Core PCE]]="",#N/A,((Tabela1[[#This Row],[Core PCE]]*1)/W734)-1)</f>
        <v>1.1378278877128389E-2</v>
      </c>
      <c r="Z746" s="8">
        <f t="shared" si="41"/>
        <v>-9.4028591171526621E-3</v>
      </c>
      <c r="AA746" s="8">
        <f t="shared" si="40"/>
        <v>3.4009848660210285E-3</v>
      </c>
      <c r="AB746" s="7">
        <v>2.21</v>
      </c>
      <c r="AC746" s="7"/>
      <c r="AD746" s="8"/>
      <c r="AE746" s="71"/>
      <c r="AF746" s="7">
        <v>1.7</v>
      </c>
      <c r="AG746" s="5"/>
    </row>
    <row r="747" spans="1:33" ht="12.75">
      <c r="A747" s="6">
        <v>39814</v>
      </c>
      <c r="B747" s="7">
        <v>211.93299999999999</v>
      </c>
      <c r="C747" s="8">
        <f>IF(Tabela1[[#This Row],[Consumer Price Index (CPI)]]="",#N/A,((Tabela1[[#This Row],[Consumer Price Index (CPI)]]*1)/B746)-1)</f>
        <v>2.5307713412614508E-3</v>
      </c>
      <c r="D747" s="8">
        <f>IF(Tabela1[[#This Row],[Consumer Price Index (CPI)]]="",#N/A,((Tabela1[[#This Row],[Consumer Price Index (CPI)]]*1)/B735)-1)</f>
        <v>-1.1358601902212717E-3</v>
      </c>
      <c r="E747" s="25">
        <v>217.346</v>
      </c>
      <c r="F747" s="8">
        <f>IF(Tabela1[[#This Row],[Core Consumer Price Index]]="",#N/A,((Tabela1[[#This Row],[Core Consumer Price Index]]*1)/E746)-1)</f>
        <v>1.9407629364986967E-3</v>
      </c>
      <c r="G747" s="8">
        <f>IF(Tabela1[[#This Row],[Core Consumer Price Index]]="",#N/A,((Tabela1[[#This Row],[Core Consumer Price Index]]*1)/E735)-1)</f>
        <v>1.6723503187990874E-2</v>
      </c>
      <c r="H747" s="8">
        <f t="shared" si="38"/>
        <v>1.0291164441415646E-2</v>
      </c>
      <c r="I747" s="8">
        <f t="shared" si="39"/>
        <v>1.2758928918313206E-2</v>
      </c>
      <c r="J747" s="25">
        <v>258.45299999999997</v>
      </c>
      <c r="K747" s="8">
        <f>IF(Tabela1[[#This Row],[Services CPI]]="",#N/A,((Tabela1[[#This Row],[Services CPI]]*1)/J746)-1)</f>
        <v>1.8024094143913594E-3</v>
      </c>
      <c r="L747" s="8">
        <f>IF(Tabela1[[#This Row],[Services CPI]]="",#N/A,((Tabela1[[#This Row],[Services CPI]]*1)/J735)-1)</f>
        <v>2.8652280162703825E-2</v>
      </c>
      <c r="M747" s="7">
        <v>264.28199999999998</v>
      </c>
      <c r="N747" s="8">
        <f>IF(Tabela1[[#This Row],[Core-Services CPI]]="",#N/A,((Tabela1[[#This Row],[Core-Services CPI]]*1)/M746)-1)</f>
        <v>2.2640650776493132E-3</v>
      </c>
      <c r="O747" s="8">
        <f>IF(Tabela1[[#This Row],[Core-Services CPI]]="",#N/A,((Tabela1[[#This Row],[Core-Services CPI]]*1)/M735)-1)</f>
        <v>2.5350342194701669E-2</v>
      </c>
      <c r="P747" s="7">
        <v>109.02500000000001</v>
      </c>
      <c r="Q747" s="8">
        <f>IF(Tabela1[[#This Row],[Durable Goods CPI]]="",#N/A,((Tabela1[[#This Row],[Durable Goods CPI]]*1)/P746)-1)</f>
        <v>-4.0341435238244738E-4</v>
      </c>
      <c r="R747" s="8">
        <f>IF(Tabela1[[#This Row],[Durable Goods CPI]]="",#N/A,((Tabela1[[#This Row],[Durable Goods CPI]]*1)/P735)-1)</f>
        <v>-2.8548770816811952E-2</v>
      </c>
      <c r="S747" s="7">
        <v>2.7864624</v>
      </c>
      <c r="T747" s="7">
        <v>88.108000000000004</v>
      </c>
      <c r="U747" s="8">
        <f>IF(Tabela1[[#This Row],[Personal Consumption Expenditures (PCE)]]="",#N/A,((Tabela1[[#This Row],[Personal Consumption Expenditures (PCE)]]*1)/T746)-1)</f>
        <v>1.1350995482306558E-4</v>
      </c>
      <c r="V747" s="8">
        <f>IF(Tabela1[[#This Row],[Personal Consumption Expenditures (PCE)]]="",#N/A,((Tabela1[[#This Row],[Personal Consumption Expenditures (PCE)]]*1)/T735)-1)</f>
        <v>-1.1110355304627673E-3</v>
      </c>
      <c r="W747" s="7">
        <v>87.882000000000005</v>
      </c>
      <c r="X747" s="8">
        <f>IF(Tabela1[[#This Row],[Core PCE]]="",#N/A,((Tabela1[[#This Row],[Core PCE]]*1)/W746)-1)</f>
        <v>-3.0713578814456355E-4</v>
      </c>
      <c r="Y747" s="8">
        <f>IF(Tabela1[[#This Row],[Core PCE]]="",#N/A,((Tabela1[[#This Row],[Core PCE]]*1)/W735)-1)</f>
        <v>9.0592814577521441E-3</v>
      </c>
      <c r="Z747" s="8">
        <f t="shared" si="41"/>
        <v>-4.9570638975851011E-3</v>
      </c>
      <c r="AA747" s="8">
        <f t="shared" si="40"/>
        <v>-8.1401597189079133E-4</v>
      </c>
      <c r="AB747" s="7">
        <v>2.2200000000000002</v>
      </c>
      <c r="AC747" s="7"/>
      <c r="AD747" s="8"/>
      <c r="AE747" s="71"/>
      <c r="AF747" s="7">
        <v>2.2000000000000002</v>
      </c>
      <c r="AG747" s="5"/>
    </row>
    <row r="748" spans="1:33" ht="12.75">
      <c r="A748" s="6">
        <v>39845</v>
      </c>
      <c r="B748" s="7">
        <v>212.70500000000001</v>
      </c>
      <c r="C748" s="8">
        <f>IF(Tabela1[[#This Row],[Consumer Price Index (CPI)]]="",#N/A,((Tabela1[[#This Row],[Consumer Price Index (CPI)]]*1)/B747)-1)</f>
        <v>3.6426606521873239E-3</v>
      </c>
      <c r="D748" s="8">
        <f>IF(Tabela1[[#This Row],[Consumer Price Index (CPI)]]="",#N/A,((Tabela1[[#This Row],[Consumer Price Index (CPI)]]*1)/B736)-1)</f>
        <v>8.4631406715107715E-5</v>
      </c>
      <c r="E748" s="25">
        <v>217.792</v>
      </c>
      <c r="F748" s="8">
        <f>IF(Tabela1[[#This Row],[Core Consumer Price Index]]="",#N/A,((Tabela1[[#This Row],[Core Consumer Price Index]]*1)/E747)-1)</f>
        <v>2.0520276425606276E-3</v>
      </c>
      <c r="G748" s="8">
        <f>IF(Tabela1[[#This Row],[Core Consumer Price Index]]="",#N/A,((Tabela1[[#This Row],[Core Consumer Price Index]]*1)/E736)-1)</f>
        <v>1.800980653363804E-2</v>
      </c>
      <c r="H748" s="8">
        <f t="shared" si="38"/>
        <v>1.5565533291637124E-2</v>
      </c>
      <c r="I748" s="8">
        <f t="shared" si="39"/>
        <v>1.2899378989626786E-2</v>
      </c>
      <c r="J748" s="25">
        <v>258.65600000000001</v>
      </c>
      <c r="K748" s="8">
        <f>IF(Tabela1[[#This Row],[Services CPI]]="",#N/A,((Tabela1[[#This Row],[Services CPI]]*1)/J747)-1)</f>
        <v>7.8544261432456075E-4</v>
      </c>
      <c r="L748" s="8">
        <f>IF(Tabela1[[#This Row],[Services CPI]]="",#N/A,((Tabela1[[#This Row],[Services CPI]]*1)/J736)-1)</f>
        <v>2.7117822949882298E-2</v>
      </c>
      <c r="M748" s="7">
        <v>264.654</v>
      </c>
      <c r="N748" s="8">
        <f>IF(Tabela1[[#This Row],[Core-Services CPI]]="",#N/A,((Tabela1[[#This Row],[Core-Services CPI]]*1)/M747)-1)</f>
        <v>1.407587349876227E-3</v>
      </c>
      <c r="O748" s="8">
        <f>IF(Tabela1[[#This Row],[Core-Services CPI]]="",#N/A,((Tabela1[[#This Row],[Core-Services CPI]]*1)/M736)-1)</f>
        <v>2.5162884745000946E-2</v>
      </c>
      <c r="P748" s="7">
        <v>109.221</v>
      </c>
      <c r="Q748" s="8">
        <f>IF(Tabela1[[#This Row],[Durable Goods CPI]]="",#N/A,((Tabela1[[#This Row],[Durable Goods CPI]]*1)/P747)-1)</f>
        <v>1.7977528089887507E-3</v>
      </c>
      <c r="R748" s="8">
        <f>IF(Tabela1[[#This Row],[Durable Goods CPI]]="",#N/A,((Tabela1[[#This Row],[Durable Goods CPI]]*1)/P736)-1)</f>
        <v>-2.4594775619557807E-2</v>
      </c>
      <c r="S748" s="7">
        <v>2.6304305000000001</v>
      </c>
      <c r="T748" s="7">
        <v>88.266000000000005</v>
      </c>
      <c r="U748" s="8">
        <f>IF(Tabela1[[#This Row],[Personal Consumption Expenditures (PCE)]]="",#N/A,((Tabela1[[#This Row],[Personal Consumption Expenditures (PCE)]]*1)/T747)-1)</f>
        <v>1.7932537340537014E-3</v>
      </c>
      <c r="V748" s="8">
        <f>IF(Tabela1[[#This Row],[Personal Consumption Expenditures (PCE)]]="",#N/A,((Tabela1[[#This Row],[Personal Consumption Expenditures (PCE)]]*1)/T736)-1)</f>
        <v>-1.3124844425335125E-3</v>
      </c>
      <c r="W748" s="7">
        <v>87.951999999999998</v>
      </c>
      <c r="X748" s="8">
        <f>IF(Tabela1[[#This Row],[Core PCE]]="",#N/A,((Tabela1[[#This Row],[Core PCE]]*1)/W747)-1)</f>
        <v>7.9652260986318169E-4</v>
      </c>
      <c r="Y748" s="8">
        <f>IF(Tabela1[[#This Row],[Core PCE]]="",#N/A,((Tabela1[[#This Row],[Core PCE]]*1)/W736)-1)</f>
        <v>8.8783867489503621E-3</v>
      </c>
      <c r="Z748" s="8">
        <f t="shared" si="41"/>
        <v>1.9351347919638329E-6</v>
      </c>
      <c r="AA748" s="8">
        <f t="shared" si="40"/>
        <v>-1.6778055300255001E-3</v>
      </c>
      <c r="AB748" s="7">
        <v>2.2200000000000002</v>
      </c>
      <c r="AC748" s="7"/>
      <c r="AD748" s="8"/>
      <c r="AE748" s="71"/>
      <c r="AF748" s="7">
        <v>1.9</v>
      </c>
      <c r="AG748" s="5"/>
    </row>
    <row r="749" spans="1:33" ht="12.75">
      <c r="A749" s="6">
        <v>39873</v>
      </c>
      <c r="B749" s="7">
        <v>212.495</v>
      </c>
      <c r="C749" s="8">
        <f>IF(Tabela1[[#This Row],[Consumer Price Index (CPI)]]="",#N/A,((Tabela1[[#This Row],[Consumer Price Index (CPI)]]*1)/B748)-1)</f>
        <v>-9.8728285653848502E-4</v>
      </c>
      <c r="D749" s="8">
        <f>IF(Tabela1[[#This Row],[Consumer Price Index (CPI)]]="",#N/A,((Tabela1[[#This Row],[Consumer Price Index (CPI)]]*1)/B737)-1)</f>
        <v>-4.4647876766238381E-3</v>
      </c>
      <c r="E749" s="25">
        <v>218.25299999999999</v>
      </c>
      <c r="F749" s="8">
        <f>IF(Tabela1[[#This Row],[Core Consumer Price Index]]="",#N/A,((Tabela1[[#This Row],[Core Consumer Price Index]]*1)/E748)-1)</f>
        <v>2.1166985013223449E-3</v>
      </c>
      <c r="G749" s="8">
        <f>IF(Tabela1[[#This Row],[Core Consumer Price Index]]="",#N/A,((Tabela1[[#This Row],[Core Consumer Price Index]]*1)/E737)-1)</f>
        <v>1.7876130957932945E-2</v>
      </c>
      <c r="H749" s="8">
        <f t="shared" si="38"/>
        <v>2.4437956321526677E-2</v>
      </c>
      <c r="I749" s="8">
        <f t="shared" si="39"/>
        <v>1.4175194185096718E-2</v>
      </c>
      <c r="J749" s="25">
        <v>258.74400000000003</v>
      </c>
      <c r="K749" s="8">
        <f>IF(Tabela1[[#This Row],[Services CPI]]="",#N/A,((Tabela1[[#This Row],[Services CPI]]*1)/J748)-1)</f>
        <v>3.4022021526669555E-4</v>
      </c>
      <c r="L749" s="8">
        <f>IF(Tabela1[[#This Row],[Services CPI]]="",#N/A,((Tabela1[[#This Row],[Services CPI]]*1)/J737)-1)</f>
        <v>2.3031089004780236E-2</v>
      </c>
      <c r="M749" s="7">
        <v>265.01400000000001</v>
      </c>
      <c r="N749" s="8">
        <f>IF(Tabela1[[#This Row],[Core-Services CPI]]="",#N/A,((Tabela1[[#This Row],[Core-Services CPI]]*1)/M748)-1)</f>
        <v>1.360266612256078E-3</v>
      </c>
      <c r="O749" s="8">
        <f>IF(Tabela1[[#This Row],[Core-Services CPI]]="",#N/A,((Tabela1[[#This Row],[Core-Services CPI]]*1)/M737)-1)</f>
        <v>2.3030480837528122E-2</v>
      </c>
      <c r="P749" s="7">
        <v>109.264</v>
      </c>
      <c r="Q749" s="8">
        <f>IF(Tabela1[[#This Row],[Durable Goods CPI]]="",#N/A,((Tabela1[[#This Row],[Durable Goods CPI]]*1)/P748)-1)</f>
        <v>3.9369718277604271E-4</v>
      </c>
      <c r="R749" s="8">
        <f>IF(Tabela1[[#This Row],[Durable Goods CPI]]="",#N/A,((Tabela1[[#This Row],[Durable Goods CPI]]*1)/P737)-1)</f>
        <v>-2.3425839031148143E-2</v>
      </c>
      <c r="S749" s="7">
        <v>2.5522480999999999</v>
      </c>
      <c r="T749" s="7">
        <v>88.168999999999997</v>
      </c>
      <c r="U749" s="8">
        <f>IF(Tabela1[[#This Row],[Personal Consumption Expenditures (PCE)]]="",#N/A,((Tabela1[[#This Row],[Personal Consumption Expenditures (PCE)]]*1)/T748)-1)</f>
        <v>-1.0989508984208252E-3</v>
      </c>
      <c r="V749" s="8">
        <f>IF(Tabela1[[#This Row],[Personal Consumption Expenditures (PCE)]]="",#N/A,((Tabela1[[#This Row],[Personal Consumption Expenditures (PCE)]]*1)/T737)-1)</f>
        <v>-5.2575167823095681E-3</v>
      </c>
      <c r="W749" s="7">
        <v>88.015000000000001</v>
      </c>
      <c r="X749" s="8">
        <f>IF(Tabela1[[#This Row],[Core PCE]]="",#N/A,((Tabela1[[#This Row],[Core PCE]]*1)/W748)-1)</f>
        <v>7.1629979989085157E-4</v>
      </c>
      <c r="Y749" s="8">
        <f>IF(Tabela1[[#This Row],[Core PCE]]="",#N/A,((Tabela1[[#This Row],[Core PCE]]*1)/W737)-1)</f>
        <v>7.6245864291519805E-3</v>
      </c>
      <c r="Z749" s="8">
        <f t="shared" si="41"/>
        <v>4.8227464864378788E-3</v>
      </c>
      <c r="AA749" s="8">
        <f t="shared" si="40"/>
        <v>-2.2900563153573916E-3</v>
      </c>
      <c r="AB749" s="7">
        <v>2.14</v>
      </c>
      <c r="AC749" s="7"/>
      <c r="AD749" s="8"/>
      <c r="AE749" s="71"/>
      <c r="AF749" s="7">
        <v>2</v>
      </c>
      <c r="AG749" s="5"/>
    </row>
    <row r="750" spans="1:33" ht="12.75">
      <c r="A750" s="6">
        <v>39904</v>
      </c>
      <c r="B750" s="7">
        <v>212.709</v>
      </c>
      <c r="C750" s="8">
        <f>IF(Tabela1[[#This Row],[Consumer Price Index (CPI)]]="",#N/A,((Tabela1[[#This Row],[Consumer Price Index (CPI)]]*1)/B749)-1)</f>
        <v>1.0070825195886979E-3</v>
      </c>
      <c r="D750" s="8">
        <f>IF(Tabela1[[#This Row],[Consumer Price Index (CPI)]]="",#N/A,((Tabela1[[#This Row],[Consumer Price Index (CPI)]]*1)/B738)-1)</f>
        <v>-5.7632442437670628E-3</v>
      </c>
      <c r="E750" s="25">
        <v>218.70599999999999</v>
      </c>
      <c r="F750" s="8">
        <f>IF(Tabela1[[#This Row],[Core Consumer Price Index]]="",#N/A,((Tabela1[[#This Row],[Core Consumer Price Index]]*1)/E749)-1)</f>
        <v>2.0755728443595522E-3</v>
      </c>
      <c r="G750" s="8">
        <f>IF(Tabela1[[#This Row],[Core Consumer Price Index]]="",#N/A,((Tabela1[[#This Row],[Core Consumer Price Index]]*1)/E738)-1)</f>
        <v>1.9323266219239299E-2</v>
      </c>
      <c r="H750" s="8">
        <f t="shared" si="38"/>
        <v>2.4977195952970099E-2</v>
      </c>
      <c r="I750" s="8">
        <f t="shared" si="39"/>
        <v>1.7634180197192872E-2</v>
      </c>
      <c r="J750" s="25">
        <v>258.69799999999998</v>
      </c>
      <c r="K750" s="8">
        <f>IF(Tabela1[[#This Row],[Services CPI]]="",#N/A,((Tabela1[[#This Row],[Services CPI]]*1)/J749)-1)</f>
        <v>-1.7778190025685703E-4</v>
      </c>
      <c r="L750" s="8">
        <f>IF(Tabela1[[#This Row],[Services CPI]]="",#N/A,((Tabela1[[#This Row],[Services CPI]]*1)/J738)-1)</f>
        <v>2.0142750108442575E-2</v>
      </c>
      <c r="M750" s="7">
        <v>265.27499999999998</v>
      </c>
      <c r="N750" s="8">
        <f>IF(Tabela1[[#This Row],[Core-Services CPI]]="",#N/A,((Tabela1[[#This Row],[Core-Services CPI]]*1)/M749)-1)</f>
        <v>9.848536303740385E-4</v>
      </c>
      <c r="O750" s="8">
        <f>IF(Tabela1[[#This Row],[Core-Services CPI]]="",#N/A,((Tabela1[[#This Row],[Core-Services CPI]]*1)/M738)-1)</f>
        <v>2.3050698424206706E-2</v>
      </c>
      <c r="P750" s="7">
        <v>109.404</v>
      </c>
      <c r="Q750" s="8">
        <f>IF(Tabela1[[#This Row],[Durable Goods CPI]]="",#N/A,((Tabela1[[#This Row],[Durable Goods CPI]]*1)/P749)-1)</f>
        <v>1.2813003367988518E-3</v>
      </c>
      <c r="R750" s="8">
        <f>IF(Tabela1[[#This Row],[Durable Goods CPI]]="",#N/A,((Tabela1[[#This Row],[Durable Goods CPI]]*1)/P738)-1)</f>
        <v>-1.926438553871257E-2</v>
      </c>
      <c r="S750" s="7">
        <v>2.5594948999999998</v>
      </c>
      <c r="T750" s="7">
        <v>88.295000000000002</v>
      </c>
      <c r="U750" s="8">
        <f>IF(Tabela1[[#This Row],[Personal Consumption Expenditures (PCE)]]="",#N/A,((Tabela1[[#This Row],[Personal Consumption Expenditures (PCE)]]*1)/T749)-1)</f>
        <v>1.4290737107147677E-3</v>
      </c>
      <c r="V750" s="8">
        <f>IF(Tabela1[[#This Row],[Personal Consumption Expenditures (PCE)]]="",#N/A,((Tabela1[[#This Row],[Personal Consumption Expenditures (PCE)]]*1)/T738)-1)</f>
        <v>-5.6757395916621212E-3</v>
      </c>
      <c r="W750" s="7">
        <v>88.210999999999999</v>
      </c>
      <c r="X750" s="8">
        <f>IF(Tabela1[[#This Row],[Core PCE]]="",#N/A,((Tabela1[[#This Row],[Core PCE]]*1)/W749)-1)</f>
        <v>2.2268931432141148E-3</v>
      </c>
      <c r="Y750" s="8">
        <f>IF(Tabela1[[#This Row],[Core PCE]]="",#N/A,((Tabela1[[#This Row],[Core PCE]]*1)/W738)-1)</f>
        <v>9.2791762013728629E-3</v>
      </c>
      <c r="Z750" s="8">
        <f t="shared" si="41"/>
        <v>1.4958862211872592E-2</v>
      </c>
      <c r="AA750" s="8">
        <f t="shared" si="40"/>
        <v>5.0008991571437456E-3</v>
      </c>
      <c r="AB750" s="7">
        <v>2.08</v>
      </c>
      <c r="AC750" s="7"/>
      <c r="AD750" s="8"/>
      <c r="AE750" s="71"/>
      <c r="AF750" s="7">
        <v>2.8</v>
      </c>
      <c r="AG750" s="5"/>
    </row>
    <row r="751" spans="1:33" ht="12.75">
      <c r="A751" s="6">
        <v>39934</v>
      </c>
      <c r="B751" s="7">
        <v>213.02199999999999</v>
      </c>
      <c r="C751" s="8">
        <f>IF(Tabela1[[#This Row],[Consumer Price Index (CPI)]]="",#N/A,((Tabela1[[#This Row],[Consumer Price Index (CPI)]]*1)/B750)-1)</f>
        <v>1.4714939189219844E-3</v>
      </c>
      <c r="D751" s="8">
        <f>IF(Tabela1[[#This Row],[Consumer Price Index (CPI)]]="",#N/A,((Tabela1[[#This Row],[Consumer Price Index (CPI)]]*1)/B739)-1)</f>
        <v>-1.0157614958551719E-2</v>
      </c>
      <c r="E751" s="25">
        <v>218.904</v>
      </c>
      <c r="F751" s="8">
        <f>IF(Tabela1[[#This Row],[Core Consumer Price Index]]="",#N/A,((Tabela1[[#This Row],[Core Consumer Price Index]]*1)/E750)-1)</f>
        <v>9.0532495679140901E-4</v>
      </c>
      <c r="G751" s="8">
        <f>IF(Tabela1[[#This Row],[Core Consumer Price Index]]="",#N/A,((Tabela1[[#This Row],[Core Consumer Price Index]]*1)/E739)-1)</f>
        <v>1.8461309413034588E-2</v>
      </c>
      <c r="H751" s="8">
        <f t="shared" si="38"/>
        <v>2.0390385209893225E-2</v>
      </c>
      <c r="I751" s="8">
        <f t="shared" si="39"/>
        <v>1.7977959250765174E-2</v>
      </c>
      <c r="J751" s="25">
        <v>258.584</v>
      </c>
      <c r="K751" s="8">
        <f>IF(Tabela1[[#This Row],[Services CPI]]="",#N/A,((Tabela1[[#This Row],[Services CPI]]*1)/J750)-1)</f>
        <v>-4.4066826956523641E-4</v>
      </c>
      <c r="L751" s="8">
        <f>IF(Tabela1[[#This Row],[Services CPI]]="",#N/A,((Tabela1[[#This Row],[Services CPI]]*1)/J739)-1)</f>
        <v>1.5341000561495566E-2</v>
      </c>
      <c r="M751" s="7">
        <v>265.47699999999998</v>
      </c>
      <c r="N751" s="8">
        <f>IF(Tabela1[[#This Row],[Core-Services CPI]]="",#N/A,((Tabela1[[#This Row],[Core-Services CPI]]*1)/M750)-1)</f>
        <v>7.6147394213554875E-4</v>
      </c>
      <c r="O751" s="8">
        <f>IF(Tabela1[[#This Row],[Core-Services CPI]]="",#N/A,((Tabela1[[#This Row],[Core-Services CPI]]*1)/M739)-1)</f>
        <v>2.0951509254736989E-2</v>
      </c>
      <c r="P751" s="7">
        <v>109.65</v>
      </c>
      <c r="Q751" s="8">
        <f>IF(Tabela1[[#This Row],[Durable Goods CPI]]="",#N/A,((Tabela1[[#This Row],[Durable Goods CPI]]*1)/P750)-1)</f>
        <v>2.2485466710542301E-3</v>
      </c>
      <c r="R751" s="8">
        <f>IF(Tabela1[[#This Row],[Durable Goods CPI]]="",#N/A,((Tabela1[[#This Row],[Durable Goods CPI]]*1)/P739)-1)</f>
        <v>-1.460345989665246E-2</v>
      </c>
      <c r="S751" s="7">
        <v>2.4535819000000001</v>
      </c>
      <c r="T751" s="7">
        <v>88.387</v>
      </c>
      <c r="U751" s="8">
        <f>IF(Tabela1[[#This Row],[Personal Consumption Expenditures (PCE)]]="",#N/A,((Tabela1[[#This Row],[Personal Consumption Expenditures (PCE)]]*1)/T750)-1)</f>
        <v>1.0419616059800241E-3</v>
      </c>
      <c r="V751" s="8">
        <f>IF(Tabela1[[#This Row],[Personal Consumption Expenditures (PCE)]]="",#N/A,((Tabela1[[#This Row],[Personal Consumption Expenditures (PCE)]]*1)/T739)-1)</f>
        <v>-8.8921282798835044E-3</v>
      </c>
      <c r="W751" s="7">
        <v>88.278999999999996</v>
      </c>
      <c r="X751" s="8">
        <f>IF(Tabela1[[#This Row],[Core PCE]]="",#N/A,((Tabela1[[#This Row],[Core PCE]]*1)/W750)-1)</f>
        <v>7.7087891532801045E-4</v>
      </c>
      <c r="Y751" s="8">
        <f>IF(Tabela1[[#This Row],[Core PCE]]="",#N/A,((Tabela1[[#This Row],[Core PCE]]*1)/W739)-1)</f>
        <v>8.2230267590994721E-3</v>
      </c>
      <c r="Z751" s="8">
        <f t="shared" si="41"/>
        <v>1.4856287433731907E-2</v>
      </c>
      <c r="AA751" s="8">
        <f t="shared" si="40"/>
        <v>7.4291112842619356E-3</v>
      </c>
      <c r="AB751" s="7">
        <v>1.99</v>
      </c>
      <c r="AC751" s="7"/>
      <c r="AD751" s="8"/>
      <c r="AE751" s="71"/>
      <c r="AF751" s="7">
        <v>2.8</v>
      </c>
      <c r="AG751" s="5"/>
    </row>
    <row r="752" spans="1:33" ht="12.75">
      <c r="A752" s="6">
        <v>39965</v>
      </c>
      <c r="B752" s="7">
        <v>214.79</v>
      </c>
      <c r="C752" s="8">
        <f>IF(Tabela1[[#This Row],[Consumer Price Index (CPI)]]="",#N/A,((Tabela1[[#This Row],[Consumer Price Index (CPI)]]*1)/B751)-1)</f>
        <v>8.2996122466223454E-3</v>
      </c>
      <c r="D752" s="8">
        <f>IF(Tabela1[[#This Row],[Consumer Price Index (CPI)]]="",#N/A,((Tabela1[[#This Row],[Consumer Price Index (CPI)]]*1)/B740)-1)</f>
        <v>-1.2291746182109153E-2</v>
      </c>
      <c r="E752" s="25">
        <v>219.11199999999999</v>
      </c>
      <c r="F752" s="8">
        <f>IF(Tabela1[[#This Row],[Core Consumer Price Index]]="",#N/A,((Tabela1[[#This Row],[Core Consumer Price Index]]*1)/E751)-1)</f>
        <v>9.5018821035708356E-4</v>
      </c>
      <c r="G752" s="8">
        <f>IF(Tabela1[[#This Row],[Core Consumer Price Index]]="",#N/A,((Tabela1[[#This Row],[Core Consumer Price Index]]*1)/E740)-1)</f>
        <v>1.7119726678550107E-2</v>
      </c>
      <c r="H752" s="8">
        <f t="shared" si="38"/>
        <v>1.5724344046032179E-2</v>
      </c>
      <c r="I752" s="8">
        <f t="shared" si="39"/>
        <v>2.0081150183779428E-2</v>
      </c>
      <c r="J752" s="25">
        <v>258.68599999999998</v>
      </c>
      <c r="K752" s="8">
        <f>IF(Tabela1[[#This Row],[Services CPI]]="",#N/A,((Tabela1[[#This Row],[Services CPI]]*1)/J751)-1)</f>
        <v>3.9445596015208473E-4</v>
      </c>
      <c r="L752" s="8">
        <f>IF(Tabela1[[#This Row],[Services CPI]]="",#N/A,((Tabela1[[#This Row],[Services CPI]]*1)/J740)-1)</f>
        <v>1.1128092276783352E-2</v>
      </c>
      <c r="M752" s="7">
        <v>265.596</v>
      </c>
      <c r="N752" s="8">
        <f>IF(Tabela1[[#This Row],[Core-Services CPI]]="",#N/A,((Tabela1[[#This Row],[Core-Services CPI]]*1)/M751)-1)</f>
        <v>4.4824975421620117E-4</v>
      </c>
      <c r="O752" s="8">
        <f>IF(Tabela1[[#This Row],[Core-Services CPI]]="",#N/A,((Tabela1[[#This Row],[Core-Services CPI]]*1)/M740)-1)</f>
        <v>1.8155332362186583E-2</v>
      </c>
      <c r="P752" s="7">
        <v>109.983</v>
      </c>
      <c r="Q752" s="8">
        <f>IF(Tabela1[[#This Row],[Durable Goods CPI]]="",#N/A,((Tabela1[[#This Row],[Durable Goods CPI]]*1)/P751)-1)</f>
        <v>3.0369357045143541E-3</v>
      </c>
      <c r="R752" s="8">
        <f>IF(Tabela1[[#This Row],[Durable Goods CPI]]="",#N/A,((Tabela1[[#This Row],[Durable Goods CPI]]*1)/P740)-1)</f>
        <v>-1.0036184269743731E-2</v>
      </c>
      <c r="S752" s="7">
        <v>2.3761456999999999</v>
      </c>
      <c r="T752" s="7">
        <v>88.912000000000006</v>
      </c>
      <c r="U752" s="8">
        <f>IF(Tabela1[[#This Row],[Personal Consumption Expenditures (PCE)]]="",#N/A,((Tabela1[[#This Row],[Personal Consumption Expenditures (PCE)]]*1)/T751)-1)</f>
        <v>5.9397875253148769E-3</v>
      </c>
      <c r="V752" s="8">
        <f>IF(Tabela1[[#This Row],[Personal Consumption Expenditures (PCE)]]="",#N/A,((Tabela1[[#This Row],[Personal Consumption Expenditures (PCE)]]*1)/T740)-1)</f>
        <v>-1.018624689681269E-2</v>
      </c>
      <c r="W752" s="7">
        <v>88.391999999999996</v>
      </c>
      <c r="X752" s="8">
        <f>IF(Tabela1[[#This Row],[Core PCE]]="",#N/A,((Tabela1[[#This Row],[Core PCE]]*1)/W751)-1)</f>
        <v>1.2800326238402437E-3</v>
      </c>
      <c r="Y752" s="8">
        <f>IF(Tabela1[[#This Row],[Core PCE]]="",#N/A,((Tabela1[[#This Row],[Core PCE]]*1)/W740)-1)</f>
        <v>7.2014585232451633E-3</v>
      </c>
      <c r="Z752" s="8">
        <f t="shared" si="41"/>
        <v>1.7111218729529476E-2</v>
      </c>
      <c r="AA752" s="8">
        <f t="shared" si="40"/>
        <v>1.0966982607983677E-2</v>
      </c>
      <c r="AB752" s="7">
        <v>1.86</v>
      </c>
      <c r="AC752" s="7"/>
      <c r="AD752" s="8"/>
      <c r="AE752" s="71"/>
      <c r="AF752" s="7">
        <v>3.1</v>
      </c>
      <c r="AG752" s="5"/>
    </row>
    <row r="753" spans="1:33" ht="12.75">
      <c r="A753" s="6">
        <v>39995</v>
      </c>
      <c r="B753" s="7">
        <v>214.726</v>
      </c>
      <c r="C753" s="8">
        <f>IF(Tabela1[[#This Row],[Consumer Price Index (CPI)]]="",#N/A,((Tabela1[[#This Row],[Consumer Price Index (CPI)]]*1)/B752)-1)</f>
        <v>-2.9796545463012247E-4</v>
      </c>
      <c r="D753" s="8">
        <f>IF(Tabela1[[#This Row],[Consumer Price Index (CPI)]]="",#N/A,((Tabela1[[#This Row],[Consumer Price Index (CPI)]]*1)/B741)-1)</f>
        <v>-1.9587610037622771E-2</v>
      </c>
      <c r="E753" s="25">
        <v>219.26300000000001</v>
      </c>
      <c r="F753" s="8">
        <f>IF(Tabela1[[#This Row],[Core Consumer Price Index]]="",#N/A,((Tabela1[[#This Row],[Core Consumer Price Index]]*1)/E752)-1)</f>
        <v>6.8914527730123964E-4</v>
      </c>
      <c r="G753" s="8">
        <f>IF(Tabela1[[#This Row],[Core Consumer Price Index]]="",#N/A,((Tabela1[[#This Row],[Core Consumer Price Index]]*1)/E741)-1)</f>
        <v>1.5270992984974363E-2</v>
      </c>
      <c r="H753" s="8">
        <f t="shared" si="38"/>
        <v>1.0178633777798929E-2</v>
      </c>
      <c r="I753" s="8">
        <f t="shared" si="39"/>
        <v>1.7577914865384514E-2</v>
      </c>
      <c r="J753" s="25">
        <v>258.74700000000001</v>
      </c>
      <c r="K753" s="8">
        <f>IF(Tabela1[[#This Row],[Services CPI]]="",#N/A,((Tabela1[[#This Row],[Services CPI]]*1)/J752)-1)</f>
        <v>2.3580711750947891E-4</v>
      </c>
      <c r="L753" s="8">
        <f>IF(Tabela1[[#This Row],[Services CPI]]="",#N/A,((Tabela1[[#This Row],[Services CPI]]*1)/J741)-1)</f>
        <v>6.5078537697316197E-3</v>
      </c>
      <c r="M753" s="7">
        <v>265.78800000000001</v>
      </c>
      <c r="N753" s="8">
        <f>IF(Tabela1[[#This Row],[Core-Services CPI]]="",#N/A,((Tabela1[[#This Row],[Core-Services CPI]]*1)/M752)-1)</f>
        <v>7.2290245335016046E-4</v>
      </c>
      <c r="O753" s="8">
        <f>IF(Tabela1[[#This Row],[Core-Services CPI]]="",#N/A,((Tabela1[[#This Row],[Core-Services CPI]]*1)/M741)-1)</f>
        <v>1.6145126450404446E-2</v>
      </c>
      <c r="P753" s="7">
        <v>109.92400000000001</v>
      </c>
      <c r="Q753" s="8">
        <f>IF(Tabela1[[#This Row],[Durable Goods CPI]]="",#N/A,((Tabela1[[#This Row],[Durable Goods CPI]]*1)/P752)-1)</f>
        <v>-5.3644654173823358E-4</v>
      </c>
      <c r="R753" s="8">
        <f>IF(Tabela1[[#This Row],[Durable Goods CPI]]="",#N/A,((Tabela1[[#This Row],[Durable Goods CPI]]*1)/P741)-1)</f>
        <v>-9.7561415045898103E-3</v>
      </c>
      <c r="S753" s="7">
        <v>2.2888288000000001</v>
      </c>
      <c r="T753" s="7">
        <v>88.921999999999997</v>
      </c>
      <c r="U753" s="8">
        <f>IF(Tabela1[[#This Row],[Personal Consumption Expenditures (PCE)]]="",#N/A,((Tabela1[[#This Row],[Personal Consumption Expenditures (PCE)]]*1)/T752)-1)</f>
        <v>1.1247075760301151E-4</v>
      </c>
      <c r="V753" s="8">
        <f>IF(Tabela1[[#This Row],[Personal Consumption Expenditures (PCE)]]="",#N/A,((Tabela1[[#This Row],[Personal Consumption Expenditures (PCE)]]*1)/T741)-1)</f>
        <v>-1.4660091971854472E-2</v>
      </c>
      <c r="W753" s="7">
        <v>88.468000000000004</v>
      </c>
      <c r="X753" s="8">
        <f>IF(Tabela1[[#This Row],[Core PCE]]="",#N/A,((Tabela1[[#This Row],[Core PCE]]*1)/W752)-1)</f>
        <v>8.5980631731397139E-4</v>
      </c>
      <c r="Y753" s="8">
        <f>IF(Tabela1[[#This Row],[Core PCE]]="",#N/A,((Tabela1[[#This Row],[Core PCE]]*1)/W741)-1)</f>
        <v>6.2558292954797423E-3</v>
      </c>
      <c r="Z753" s="8">
        <f t="shared" si="41"/>
        <v>1.1642871425928902E-2</v>
      </c>
      <c r="AA753" s="8">
        <f t="shared" si="40"/>
        <v>1.3300866818900747E-2</v>
      </c>
      <c r="AB753" s="7">
        <v>1.62</v>
      </c>
      <c r="AC753" s="7"/>
      <c r="AD753" s="8"/>
      <c r="AE753" s="71"/>
      <c r="AF753" s="7">
        <v>2.9</v>
      </c>
      <c r="AG753" s="5"/>
    </row>
    <row r="754" spans="1:33" ht="12.75">
      <c r="A754" s="6">
        <v>40026</v>
      </c>
      <c r="B754" s="7">
        <v>215.44499999999999</v>
      </c>
      <c r="C754" s="8">
        <f>IF(Tabela1[[#This Row],[Consumer Price Index (CPI)]]="",#N/A,((Tabela1[[#This Row],[Consumer Price Index (CPI)]]*1)/B753)-1)</f>
        <v>3.3484533777929926E-3</v>
      </c>
      <c r="D754" s="8">
        <f>IF(Tabela1[[#This Row],[Consumer Price Index (CPI)]]="",#N/A,((Tabela1[[#This Row],[Consumer Price Index (CPI)]]*1)/B742)-1)</f>
        <v>-1.4838355663267633E-2</v>
      </c>
      <c r="E754" s="25">
        <v>219.49600000000001</v>
      </c>
      <c r="F754" s="8">
        <f>IF(Tabela1[[#This Row],[Core Consumer Price Index]]="",#N/A,((Tabela1[[#This Row],[Core Consumer Price Index]]*1)/E753)-1)</f>
        <v>1.0626507892348425E-3</v>
      </c>
      <c r="G754" s="8">
        <f>IF(Tabela1[[#This Row],[Core Consumer Price Index]]="",#N/A,((Tabela1[[#This Row],[Core Consumer Price Index]]*1)/E742)-1)</f>
        <v>1.4339650543224725E-2</v>
      </c>
      <c r="H754" s="8">
        <f t="shared" si="38"/>
        <v>1.0807937107572663E-2</v>
      </c>
      <c r="I754" s="8">
        <f t="shared" si="39"/>
        <v>1.5599161158732944E-2</v>
      </c>
      <c r="J754" s="25">
        <v>259.28500000000003</v>
      </c>
      <c r="K754" s="8">
        <f>IF(Tabela1[[#This Row],[Services CPI]]="",#N/A,((Tabela1[[#This Row],[Services CPI]]*1)/J753)-1)</f>
        <v>2.0792511603999753E-3</v>
      </c>
      <c r="L754" s="8">
        <f>IF(Tabela1[[#This Row],[Services CPI]]="",#N/A,((Tabela1[[#This Row],[Services CPI]]*1)/J742)-1)</f>
        <v>6.6974685510172716E-3</v>
      </c>
      <c r="M754" s="7">
        <v>266.40100000000001</v>
      </c>
      <c r="N754" s="8">
        <f>IF(Tabela1[[#This Row],[Core-Services CPI]]="",#N/A,((Tabela1[[#This Row],[Core-Services CPI]]*1)/M753)-1)</f>
        <v>2.3063494213433344E-3</v>
      </c>
      <c r="O754" s="8">
        <f>IF(Tabela1[[#This Row],[Core-Services CPI]]="",#N/A,((Tabela1[[#This Row],[Core-Services CPI]]*1)/M742)-1)</f>
        <v>1.5921380793666673E-2</v>
      </c>
      <c r="P754" s="7">
        <v>109.129</v>
      </c>
      <c r="Q754" s="8">
        <f>IF(Tabela1[[#This Row],[Durable Goods CPI]]="",#N/A,((Tabela1[[#This Row],[Durable Goods CPI]]*1)/P753)-1)</f>
        <v>-7.2322695680652194E-3</v>
      </c>
      <c r="R754" s="8">
        <f>IF(Tabela1[[#This Row],[Durable Goods CPI]]="",#N/A,((Tabela1[[#This Row],[Durable Goods CPI]]*1)/P742)-1)</f>
        <v>-1.4369580924855407E-2</v>
      </c>
      <c r="S754" s="7">
        <v>2.0898948000000002</v>
      </c>
      <c r="T754" s="7">
        <v>89.18</v>
      </c>
      <c r="U754" s="8">
        <f>IF(Tabela1[[#This Row],[Personal Consumption Expenditures (PCE)]]="",#N/A,((Tabela1[[#This Row],[Personal Consumption Expenditures (PCE)]]*1)/T753)-1)</f>
        <v>2.9014192213401291E-3</v>
      </c>
      <c r="V754" s="8">
        <f>IF(Tabela1[[#This Row],[Personal Consumption Expenditures (PCE)]]="",#N/A,((Tabela1[[#This Row],[Personal Consumption Expenditures (PCE)]]*1)/T742)-1)</f>
        <v>-1.1001197711041022E-2</v>
      </c>
      <c r="W754" s="7">
        <v>88.599000000000004</v>
      </c>
      <c r="X754" s="8">
        <f>IF(Tabela1[[#This Row],[Core PCE]]="",#N/A,((Tabela1[[#This Row],[Core PCE]]*1)/W753)-1)</f>
        <v>1.4807614052538831E-3</v>
      </c>
      <c r="Y754" s="8">
        <f>IF(Tabela1[[#This Row],[Core PCE]]="",#N/A,((Tabela1[[#This Row],[Core PCE]]*1)/W742)-1)</f>
        <v>6.5094403926113653E-3</v>
      </c>
      <c r="Z754" s="8">
        <f t="shared" si="41"/>
        <v>1.4482401385632393E-2</v>
      </c>
      <c r="AA754" s="8">
        <f t="shared" si="40"/>
        <v>1.466934440968215E-2</v>
      </c>
      <c r="AB754" s="7">
        <v>1.6</v>
      </c>
      <c r="AC754" s="7"/>
      <c r="AD754" s="8"/>
      <c r="AE754" s="71"/>
      <c r="AF754" s="7">
        <v>2.8</v>
      </c>
      <c r="AG754" s="5"/>
    </row>
    <row r="755" spans="1:33" ht="12.75">
      <c r="A755" s="6">
        <v>40057</v>
      </c>
      <c r="B755" s="7">
        <v>215.86099999999999</v>
      </c>
      <c r="C755" s="8">
        <f>IF(Tabela1[[#This Row],[Consumer Price Index (CPI)]]="",#N/A,((Tabela1[[#This Row],[Consumer Price Index (CPI)]]*1)/B754)-1)</f>
        <v>1.9308872334005134E-3</v>
      </c>
      <c r="D755" s="8">
        <f>IF(Tabela1[[#This Row],[Consumer Price Index (CPI)]]="",#N/A,((Tabela1[[#This Row],[Consumer Price Index (CPI)]]*1)/B743)-1)</f>
        <v>-1.3779428628864721E-2</v>
      </c>
      <c r="E755" s="25">
        <v>219.92</v>
      </c>
      <c r="F755" s="8">
        <f>IF(Tabela1[[#This Row],[Core Consumer Price Index]]="",#N/A,((Tabela1[[#This Row],[Core Consumer Price Index]]*1)/E754)-1)</f>
        <v>1.931698071946597E-3</v>
      </c>
      <c r="G755" s="8">
        <f>IF(Tabela1[[#This Row],[Core Consumer Price Index]]="",#N/A,((Tabela1[[#This Row],[Core Consumer Price Index]]*1)/E743)-1)</f>
        <v>1.4798373886199645E-2</v>
      </c>
      <c r="H755" s="8">
        <f t="shared" si="38"/>
        <v>1.4733976553930717E-2</v>
      </c>
      <c r="I755" s="8">
        <f t="shared" si="39"/>
        <v>1.5229160299981448E-2</v>
      </c>
      <c r="J755" s="25">
        <v>259.52300000000002</v>
      </c>
      <c r="K755" s="8">
        <f>IF(Tabela1[[#This Row],[Services CPI]]="",#N/A,((Tabela1[[#This Row],[Services CPI]]*1)/J754)-1)</f>
        <v>9.1790886476261768E-4</v>
      </c>
      <c r="L755" s="8">
        <f>IF(Tabela1[[#This Row],[Services CPI]]="",#N/A,((Tabela1[[#This Row],[Services CPI]]*1)/J743)-1)</f>
        <v>7.5354644346268262E-3</v>
      </c>
      <c r="M755" s="7">
        <v>266.67</v>
      </c>
      <c r="N755" s="8">
        <f>IF(Tabela1[[#This Row],[Core-Services CPI]]="",#N/A,((Tabela1[[#This Row],[Core-Services CPI]]*1)/M754)-1)</f>
        <v>1.0097559693844627E-3</v>
      </c>
      <c r="O755" s="8">
        <f>IF(Tabela1[[#This Row],[Core-Services CPI]]="",#N/A,((Tabela1[[#This Row],[Core-Services CPI]]*1)/M743)-1)</f>
        <v>1.4668112550653589E-2</v>
      </c>
      <c r="P755" s="7">
        <v>109.387</v>
      </c>
      <c r="Q755" s="8">
        <f>IF(Tabela1[[#This Row],[Durable Goods CPI]]="",#N/A,((Tabela1[[#This Row],[Durable Goods CPI]]*1)/P754)-1)</f>
        <v>2.3641745090672295E-3</v>
      </c>
      <c r="R755" s="8">
        <f>IF(Tabela1[[#This Row],[Durable Goods CPI]]="",#N/A,((Tabela1[[#This Row],[Durable Goods CPI]]*1)/P743)-1)</f>
        <v>-8.6549092820503715E-3</v>
      </c>
      <c r="S755" s="7">
        <v>1.9228669</v>
      </c>
      <c r="T755" s="7">
        <v>89.323999999999998</v>
      </c>
      <c r="U755" s="8">
        <f>IF(Tabela1[[#This Row],[Personal Consumption Expenditures (PCE)]]="",#N/A,((Tabela1[[#This Row],[Personal Consumption Expenditures (PCE)]]*1)/T754)-1)</f>
        <v>1.6147118187932463E-3</v>
      </c>
      <c r="V755" s="8">
        <f>IF(Tabela1[[#This Row],[Personal Consumption Expenditures (PCE)]]="",#N/A,((Tabela1[[#This Row],[Personal Consumption Expenditures (PCE)]]*1)/T743)-1)</f>
        <v>-1.0227486786264395E-2</v>
      </c>
      <c r="W755" s="7">
        <v>88.754999999999995</v>
      </c>
      <c r="X755" s="8">
        <f>IF(Tabela1[[#This Row],[Core PCE]]="",#N/A,((Tabela1[[#This Row],[Core PCE]]*1)/W754)-1)</f>
        <v>1.7607422205667689E-3</v>
      </c>
      <c r="Y755" s="8">
        <f>IF(Tabela1[[#This Row],[Core PCE]]="",#N/A,((Tabela1[[#This Row],[Core PCE]]*1)/W743)-1)</f>
        <v>7.2518044396023829E-3</v>
      </c>
      <c r="Z755" s="8">
        <f t="shared" si="41"/>
        <v>1.6405239772538494E-2</v>
      </c>
      <c r="AA755" s="8">
        <f t="shared" si="40"/>
        <v>1.6758229251033985E-2</v>
      </c>
      <c r="AB755" s="7">
        <v>1.48</v>
      </c>
      <c r="AC755" s="7"/>
      <c r="AD755" s="8"/>
      <c r="AE755" s="71"/>
      <c r="AF755" s="7">
        <v>2.2000000000000002</v>
      </c>
      <c r="AG755" s="5"/>
    </row>
    <row r="756" spans="1:33" ht="12.75">
      <c r="A756" s="6">
        <v>40087</v>
      </c>
      <c r="B756" s="7">
        <v>216.50899999999999</v>
      </c>
      <c r="C756" s="8">
        <f>IF(Tabela1[[#This Row],[Consumer Price Index (CPI)]]="",#N/A,((Tabela1[[#This Row],[Consumer Price Index (CPI)]]*1)/B755)-1)</f>
        <v>3.001931798703783E-3</v>
      </c>
      <c r="D756" s="8">
        <f>IF(Tabela1[[#This Row],[Consumer Price Index (CPI)]]="",#N/A,((Tabela1[[#This Row],[Consumer Price Index (CPI)]]*1)/B744)-1)</f>
        <v>-2.2396829420033848E-3</v>
      </c>
      <c r="E756" s="25">
        <v>220.501</v>
      </c>
      <c r="F756" s="8">
        <f>IF(Tabela1[[#This Row],[Core Consumer Price Index]]="",#N/A,((Tabela1[[#This Row],[Core Consumer Price Index]]*1)/E755)-1)</f>
        <v>2.641869770825922E-3</v>
      </c>
      <c r="G756" s="8">
        <f>IF(Tabela1[[#This Row],[Core Consumer Price Index]]="",#N/A,((Tabela1[[#This Row],[Core Consumer Price Index]]*1)/E744)-1)</f>
        <v>1.7127331771131127E-2</v>
      </c>
      <c r="H756" s="8">
        <f t="shared" si="38"/>
        <v>2.2544874528029446E-2</v>
      </c>
      <c r="I756" s="8">
        <f t="shared" si="39"/>
        <v>1.6361754152914187E-2</v>
      </c>
      <c r="J756" s="25">
        <v>260.01100000000002</v>
      </c>
      <c r="K756" s="8">
        <f>IF(Tabela1[[#This Row],[Services CPI]]="",#N/A,((Tabela1[[#This Row],[Services CPI]]*1)/J755)-1)</f>
        <v>1.8803728378602447E-3</v>
      </c>
      <c r="L756" s="8">
        <f>IF(Tabela1[[#This Row],[Services CPI]]="",#N/A,((Tabela1[[#This Row],[Services CPI]]*1)/J744)-1)</f>
        <v>8.9208108275906639E-3</v>
      </c>
      <c r="M756" s="7">
        <v>267.08100000000002</v>
      </c>
      <c r="N756" s="8">
        <f>IF(Tabela1[[#This Row],[Core-Services CPI]]="",#N/A,((Tabela1[[#This Row],[Core-Services CPI]]*1)/M755)-1)</f>
        <v>1.5412307346158727E-3</v>
      </c>
      <c r="O756" s="8">
        <f>IF(Tabela1[[#This Row],[Core-Services CPI]]="",#N/A,((Tabela1[[#This Row],[Core-Services CPI]]*1)/M744)-1)</f>
        <v>1.4972961264113183E-2</v>
      </c>
      <c r="P756" s="7">
        <v>110.684</v>
      </c>
      <c r="Q756" s="8">
        <f>IF(Tabela1[[#This Row],[Durable Goods CPI]]="",#N/A,((Tabela1[[#This Row],[Durable Goods CPI]]*1)/P755)-1)</f>
        <v>1.1856984833664042E-2</v>
      </c>
      <c r="R756" s="8">
        <f>IF(Tabela1[[#This Row],[Durable Goods CPI]]="",#N/A,((Tabela1[[#This Row],[Durable Goods CPI]]*1)/P744)-1)</f>
        <v>7.3445762079415999E-3</v>
      </c>
      <c r="S756" s="7">
        <v>1.7701932</v>
      </c>
      <c r="T756" s="7">
        <v>89.662999999999997</v>
      </c>
      <c r="U756" s="8">
        <f>IF(Tabela1[[#This Row],[Personal Consumption Expenditures (PCE)]]="",#N/A,((Tabela1[[#This Row],[Personal Consumption Expenditures (PCE)]]*1)/T755)-1)</f>
        <v>3.7951726299763067E-3</v>
      </c>
      <c r="V756" s="8">
        <f>IF(Tabela1[[#This Row],[Personal Consumption Expenditures (PCE)]]="",#N/A,((Tabela1[[#This Row],[Personal Consumption Expenditures (PCE)]]*1)/T744)-1)</f>
        <v>1.3385238313023962E-4</v>
      </c>
      <c r="W756" s="7">
        <v>89.081999999999994</v>
      </c>
      <c r="X756" s="8">
        <f>IF(Tabela1[[#This Row],[Core PCE]]="",#N/A,((Tabela1[[#This Row],[Core PCE]]*1)/W755)-1)</f>
        <v>3.6842994760857284E-3</v>
      </c>
      <c r="Y756" s="8">
        <f>IF(Tabela1[[#This Row],[Core PCE]]="",#N/A,((Tabela1[[#This Row],[Core PCE]]*1)/W744)-1)</f>
        <v>1.2398995351797337E-2</v>
      </c>
      <c r="Z756" s="8">
        <f t="shared" si="41"/>
        <v>2.7703212407625522E-2</v>
      </c>
      <c r="AA756" s="8">
        <f t="shared" si="40"/>
        <v>1.9673041916777212E-2</v>
      </c>
      <c r="AB756" s="7">
        <v>1.5</v>
      </c>
      <c r="AC756" s="7"/>
      <c r="AD756" s="8"/>
      <c r="AE756" s="71"/>
      <c r="AF756" s="7">
        <v>2.9</v>
      </c>
      <c r="AG756" s="5"/>
    </row>
    <row r="757" spans="1:33" ht="12.75">
      <c r="A757" s="6">
        <v>40118</v>
      </c>
      <c r="B757" s="7">
        <v>217.23400000000001</v>
      </c>
      <c r="C757" s="8">
        <f>IF(Tabela1[[#This Row],[Consumer Price Index (CPI)]]="",#N/A,((Tabela1[[#This Row],[Consumer Price Index (CPI)]]*1)/B756)-1)</f>
        <v>3.3485905897676638E-3</v>
      </c>
      <c r="D757" s="8">
        <f>IF(Tabela1[[#This Row],[Consumer Price Index (CPI)]]="",#N/A,((Tabela1[[#This Row],[Consumer Price Index (CPI)]]*1)/B745)-1)</f>
        <v>1.9145871744709275E-2</v>
      </c>
      <c r="E757" s="25">
        <v>220.666</v>
      </c>
      <c r="F757" s="8">
        <f>IF(Tabela1[[#This Row],[Core Consumer Price Index]]="",#N/A,((Tabela1[[#This Row],[Core Consumer Price Index]]*1)/E756)-1)</f>
        <v>7.4829592609559903E-4</v>
      </c>
      <c r="G757" s="8">
        <f>IF(Tabela1[[#This Row],[Core Consumer Price Index]]="",#N/A,((Tabela1[[#This Row],[Core Consumer Price Index]]*1)/E745)-1)</f>
        <v>1.7142435710104209E-2</v>
      </c>
      <c r="H757" s="8">
        <f t="shared" si="38"/>
        <v>2.1287455075472472E-2</v>
      </c>
      <c r="I757" s="8">
        <f t="shared" si="39"/>
        <v>1.6047696091522567E-2</v>
      </c>
      <c r="J757" s="25">
        <v>260.21300000000002</v>
      </c>
      <c r="K757" s="8">
        <f>IF(Tabela1[[#This Row],[Services CPI]]="",#N/A,((Tabela1[[#This Row],[Services CPI]]*1)/J756)-1)</f>
        <v>7.7689020849125434E-4</v>
      </c>
      <c r="L757" s="8">
        <f>IF(Tabela1[[#This Row],[Services CPI]]="",#N/A,((Tabela1[[#This Row],[Services CPI]]*1)/J745)-1)</f>
        <v>9.2777547212987699E-3</v>
      </c>
      <c r="M757" s="7">
        <v>267.07600000000002</v>
      </c>
      <c r="N757" s="8">
        <f>IF(Tabela1[[#This Row],[Core-Services CPI]]="",#N/A,((Tabela1[[#This Row],[Core-Services CPI]]*1)/M756)-1)</f>
        <v>-1.8720912382419463E-5</v>
      </c>
      <c r="O757" s="8">
        <f>IF(Tabela1[[#This Row],[Core-Services CPI]]="",#N/A,((Tabela1[[#This Row],[Core-Services CPI]]*1)/M745)-1)</f>
        <v>1.3601930988417221E-2</v>
      </c>
      <c r="P757" s="7">
        <v>111.15900000000001</v>
      </c>
      <c r="Q757" s="8">
        <f>IF(Tabela1[[#This Row],[Durable Goods CPI]]="",#N/A,((Tabela1[[#This Row],[Durable Goods CPI]]*1)/P756)-1)</f>
        <v>4.2914965125944171E-3</v>
      </c>
      <c r="R757" s="8">
        <f>IF(Tabela1[[#This Row],[Durable Goods CPI]]="",#N/A,((Tabela1[[#This Row],[Durable Goods CPI]]*1)/P745)-1)</f>
        <v>1.5985741705511369E-2</v>
      </c>
      <c r="S757" s="7">
        <v>1.6158958000000001</v>
      </c>
      <c r="T757" s="7">
        <v>89.887</v>
      </c>
      <c r="U757" s="8">
        <f>IF(Tabela1[[#This Row],[Personal Consumption Expenditures (PCE)]]="",#N/A,((Tabela1[[#This Row],[Personal Consumption Expenditures (PCE)]]*1)/T756)-1)</f>
        <v>2.4982434225935268E-3</v>
      </c>
      <c r="V757" s="8">
        <f>IF(Tabela1[[#This Row],[Personal Consumption Expenditures (PCE)]]="",#N/A,((Tabela1[[#This Row],[Personal Consumption Expenditures (PCE)]]*1)/T745)-1)</f>
        <v>1.4606120122357291E-2</v>
      </c>
      <c r="W757" s="7">
        <v>89.16</v>
      </c>
      <c r="X757" s="8">
        <f>IF(Tabela1[[#This Row],[Core PCE]]="",#N/A,((Tabela1[[#This Row],[Core PCE]]*1)/W756)-1)</f>
        <v>8.7559776385814914E-4</v>
      </c>
      <c r="Y757" s="8">
        <f>IF(Tabela1[[#This Row],[Core PCE]]="",#N/A,((Tabela1[[#This Row],[Core PCE]]*1)/W745)-1)</f>
        <v>1.3734764416954759E-2</v>
      </c>
      <c r="Z757" s="8">
        <f t="shared" si="41"/>
        <v>2.5282557842042586E-2</v>
      </c>
      <c r="AA757" s="8">
        <f t="shared" si="40"/>
        <v>1.9882479613837489E-2</v>
      </c>
      <c r="AB757" s="7">
        <v>1.38</v>
      </c>
      <c r="AC757" s="7">
        <v>100.2</v>
      </c>
      <c r="AD757" s="8"/>
      <c r="AE757" s="71"/>
      <c r="AF757" s="7">
        <v>2.7</v>
      </c>
      <c r="AG757" s="5"/>
    </row>
    <row r="758" spans="1:33" ht="12.75">
      <c r="A758" s="6">
        <v>40148</v>
      </c>
      <c r="B758" s="7">
        <v>217.34700000000001</v>
      </c>
      <c r="C758" s="8">
        <f>IF(Tabela1[[#This Row],[Consumer Price Index (CPI)]]="",#N/A,((Tabela1[[#This Row],[Consumer Price Index (CPI)]]*1)/B757)-1)</f>
        <v>5.2017639964274665E-4</v>
      </c>
      <c r="D758" s="8">
        <f>IF(Tabela1[[#This Row],[Consumer Price Index (CPI)]]="",#N/A,((Tabela1[[#This Row],[Consumer Price Index (CPI)]]*1)/B746)-1)</f>
        <v>2.8141231232083674E-2</v>
      </c>
      <c r="E758" s="25">
        <v>220.881</v>
      </c>
      <c r="F758" s="8">
        <f>IF(Tabela1[[#This Row],[Core Consumer Price Index]]="",#N/A,((Tabela1[[#This Row],[Core Consumer Price Index]]*1)/E757)-1)</f>
        <v>9.7432318526635697E-4</v>
      </c>
      <c r="G758" s="8">
        <f>IF(Tabela1[[#This Row],[Core Consumer Price Index]]="",#N/A,((Tabela1[[#This Row],[Core Consumer Price Index]]*1)/E746)-1)</f>
        <v>1.8236717759594345E-2</v>
      </c>
      <c r="H758" s="8">
        <f t="shared" si="38"/>
        <v>1.7457955528751512E-2</v>
      </c>
      <c r="I758" s="8">
        <f t="shared" si="39"/>
        <v>1.6095966041341114E-2</v>
      </c>
      <c r="J758" s="25">
        <v>260.28500000000003</v>
      </c>
      <c r="K758" s="8">
        <f>IF(Tabela1[[#This Row],[Services CPI]]="",#N/A,((Tabela1[[#This Row],[Services CPI]]*1)/J757)-1)</f>
        <v>2.7669639871952256E-4</v>
      </c>
      <c r="L758" s="8">
        <f>IF(Tabela1[[#This Row],[Services CPI]]="",#N/A,((Tabela1[[#This Row],[Services CPI]]*1)/J746)-1)</f>
        <v>8.9035148921656759E-3</v>
      </c>
      <c r="M758" s="7">
        <v>267.23599999999999</v>
      </c>
      <c r="N758" s="8">
        <f>IF(Tabela1[[#This Row],[Core-Services CPI]]="",#N/A,((Tabela1[[#This Row],[Core-Services CPI]]*1)/M757)-1)</f>
        <v>5.99080411568087E-4</v>
      </c>
      <c r="O758" s="8">
        <f>IF(Tabela1[[#This Row],[Core-Services CPI]]="",#N/A,((Tabela1[[#This Row],[Core-Services CPI]]*1)/M746)-1)</f>
        <v>1.3466825947626937E-2</v>
      </c>
      <c r="P758" s="7">
        <v>111.477</v>
      </c>
      <c r="Q758" s="8">
        <f>IF(Tabela1[[#This Row],[Durable Goods CPI]]="",#N/A,((Tabela1[[#This Row],[Durable Goods CPI]]*1)/P757)-1)</f>
        <v>2.8607670094189519E-3</v>
      </c>
      <c r="R758" s="8">
        <f>IF(Tabela1[[#This Row],[Durable Goods CPI]]="",#N/A,((Tabela1[[#This Row],[Durable Goods CPI]]*1)/P746)-1)</f>
        <v>2.2077767284929717E-2</v>
      </c>
      <c r="S758" s="7">
        <v>1.5209969000000001</v>
      </c>
      <c r="T758" s="7">
        <v>89.938999999999993</v>
      </c>
      <c r="U758" s="8">
        <f>IF(Tabela1[[#This Row],[Personal Consumption Expenditures (PCE)]]="",#N/A,((Tabela1[[#This Row],[Personal Consumption Expenditures (PCE)]]*1)/T757)-1)</f>
        <v>5.7850412184179412E-4</v>
      </c>
      <c r="V758" s="8">
        <f>IF(Tabela1[[#This Row],[Personal Consumption Expenditures (PCE)]]="",#N/A,((Tabela1[[#This Row],[Personal Consumption Expenditures (PCE)]]*1)/T746)-1)</f>
        <v>2.0897182682921178E-2</v>
      </c>
      <c r="W758" s="7">
        <v>89.236000000000004</v>
      </c>
      <c r="X758" s="8">
        <f>IF(Tabela1[[#This Row],[Core PCE]]="",#N/A,((Tabela1[[#This Row],[Core PCE]]*1)/W757)-1)</f>
        <v>8.5240017945276136E-4</v>
      </c>
      <c r="Y758" s="8">
        <f>IF(Tabela1[[#This Row],[Core PCE]]="",#N/A,((Tabela1[[#This Row],[Core PCE]]*1)/W746)-1)</f>
        <v>1.5095155217327072E-2</v>
      </c>
      <c r="Z758" s="8">
        <f t="shared" si="41"/>
        <v>2.1649189677586556E-2</v>
      </c>
      <c r="AA758" s="8">
        <f t="shared" si="40"/>
        <v>1.9027214725062525E-2</v>
      </c>
      <c r="AB758" s="7">
        <v>1.36</v>
      </c>
      <c r="AC758" s="7">
        <v>100.3</v>
      </c>
      <c r="AD758" s="8">
        <f>IF(Tabela1[[#This Row],[Producer Price Index (PPI)]]="",#N/A,((Tabela1[[#This Row],[Producer Price Index (PPI)]]*1)/AC757)-1)</f>
        <v>9.9800399201588341E-4</v>
      </c>
      <c r="AE758" s="71"/>
      <c r="AF758" s="7">
        <v>2.5</v>
      </c>
      <c r="AG758" s="5"/>
    </row>
    <row r="759" spans="1:33" ht="12.75">
      <c r="A759" s="6">
        <v>40179</v>
      </c>
      <c r="B759" s="7">
        <v>217.488</v>
      </c>
      <c r="C759" s="8">
        <f>IF(Tabela1[[#This Row],[Consumer Price Index (CPI)]]="",#N/A,((Tabela1[[#This Row],[Consumer Price Index (CPI)]]*1)/B758)-1)</f>
        <v>6.4873221162464745E-4</v>
      </c>
      <c r="D759" s="8">
        <f>IF(Tabela1[[#This Row],[Consumer Price Index (CPI)]]="",#N/A,((Tabela1[[#This Row],[Consumer Price Index (CPI)]]*1)/B747)-1)</f>
        <v>2.6211113889767157E-2</v>
      </c>
      <c r="E759" s="25">
        <v>220.63300000000001</v>
      </c>
      <c r="F759" s="8">
        <f>IF(Tabela1[[#This Row],[Core Consumer Price Index]]="",#N/A,((Tabela1[[#This Row],[Core Consumer Price Index]]*1)/E758)-1)</f>
        <v>-1.1227765176723414E-3</v>
      </c>
      <c r="G759" s="8">
        <f>IF(Tabela1[[#This Row],[Core Consumer Price Index]]="",#N/A,((Tabela1[[#This Row],[Core Consumer Price Index]]*1)/E747)-1)</f>
        <v>1.5123351706495702E-2</v>
      </c>
      <c r="H759" s="8">
        <f t="shared" si="38"/>
        <v>2.3993703747584583E-3</v>
      </c>
      <c r="I759" s="8">
        <f t="shared" si="39"/>
        <v>1.2472122451393952E-2</v>
      </c>
      <c r="J759" s="25">
        <v>259.83300000000003</v>
      </c>
      <c r="K759" s="8">
        <f>IF(Tabela1[[#This Row],[Services CPI]]="",#N/A,((Tabela1[[#This Row],[Services CPI]]*1)/J758)-1)</f>
        <v>-1.7365580037266293E-3</v>
      </c>
      <c r="L759" s="8">
        <f>IF(Tabela1[[#This Row],[Services CPI]]="",#N/A,((Tabela1[[#This Row],[Services CPI]]*1)/J747)-1)</f>
        <v>5.3394621072304638E-3</v>
      </c>
      <c r="M759" s="7">
        <v>266.73899999999998</v>
      </c>
      <c r="N759" s="8">
        <f>IF(Tabela1[[#This Row],[Core-Services CPI]]="",#N/A,((Tabela1[[#This Row],[Core-Services CPI]]*1)/M758)-1)</f>
        <v>-1.8597793710428689E-3</v>
      </c>
      <c r="O759" s="8">
        <f>IF(Tabela1[[#This Row],[Core-Services CPI]]="",#N/A,((Tabela1[[#This Row],[Core-Services CPI]]*1)/M747)-1)</f>
        <v>9.2968874157151049E-3</v>
      </c>
      <c r="P759" s="7">
        <v>111.934</v>
      </c>
      <c r="Q759" s="8">
        <f>IF(Tabela1[[#This Row],[Durable Goods CPI]]="",#N/A,((Tabela1[[#This Row],[Durable Goods CPI]]*1)/P758)-1)</f>
        <v>4.0995003453627721E-3</v>
      </c>
      <c r="R759" s="8">
        <f>IF(Tabela1[[#This Row],[Durable Goods CPI]]="",#N/A,((Tabela1[[#This Row],[Durable Goods CPI]]*1)/P747)-1)</f>
        <v>2.6681953680348425E-2</v>
      </c>
      <c r="S759" s="7">
        <v>1.3714917</v>
      </c>
      <c r="T759" s="7">
        <v>90.135999999999996</v>
      </c>
      <c r="U759" s="8">
        <f>IF(Tabela1[[#This Row],[Personal Consumption Expenditures (PCE)]]="",#N/A,((Tabela1[[#This Row],[Personal Consumption Expenditures (PCE)]]*1)/T758)-1)</f>
        <v>2.1903734753554449E-3</v>
      </c>
      <c r="V759" s="8">
        <f>IF(Tabela1[[#This Row],[Personal Consumption Expenditures (PCE)]]="",#N/A,((Tabela1[[#This Row],[Personal Consumption Expenditures (PCE)]]*1)/T747)-1)</f>
        <v>2.301720615608116E-2</v>
      </c>
      <c r="W759" s="7">
        <v>89.367999999999995</v>
      </c>
      <c r="X759" s="8">
        <f>IF(Tabela1[[#This Row],[Core PCE]]="",#N/A,((Tabela1[[#This Row],[Core PCE]]*1)/W758)-1)</f>
        <v>1.4792236317180407E-3</v>
      </c>
      <c r="Y759" s="8">
        <f>IF(Tabela1[[#This Row],[Core PCE]]="",#N/A,((Tabela1[[#This Row],[Core PCE]]*1)/W747)-1)</f>
        <v>1.690903711795344E-2</v>
      </c>
      <c r="Z759" s="8">
        <f t="shared" si="41"/>
        <v>1.2828886300115805E-2</v>
      </c>
      <c r="AA759" s="8">
        <f t="shared" si="40"/>
        <v>2.0266049353870663E-2</v>
      </c>
      <c r="AB759" s="7">
        <v>1.2</v>
      </c>
      <c r="AC759" s="7">
        <v>101.2</v>
      </c>
      <c r="AD759" s="8">
        <f>IF(Tabela1[[#This Row],[Producer Price Index (PPI)]]="",#N/A,((Tabela1[[#This Row],[Producer Price Index (PPI)]]*1)/AC758)-1)</f>
        <v>8.9730807577268479E-3</v>
      </c>
      <c r="AE759" s="71"/>
      <c r="AF759" s="7">
        <v>2.8</v>
      </c>
      <c r="AG759" s="5"/>
    </row>
    <row r="760" spans="1:33" ht="12.75">
      <c r="A760" s="6">
        <v>40210</v>
      </c>
      <c r="B760" s="7">
        <v>217.28100000000001</v>
      </c>
      <c r="C760" s="8">
        <f>IF(Tabela1[[#This Row],[Consumer Price Index (CPI)]]="",#N/A,((Tabela1[[#This Row],[Consumer Price Index (CPI)]]*1)/B759)-1)</f>
        <v>-9.5177664974621656E-4</v>
      </c>
      <c r="D760" s="8">
        <f>IF(Tabela1[[#This Row],[Consumer Price Index (CPI)]]="",#N/A,((Tabela1[[#This Row],[Consumer Price Index (CPI)]]*1)/B748)-1)</f>
        <v>2.151336357866529E-2</v>
      </c>
      <c r="E760" s="25">
        <v>220.73099999999999</v>
      </c>
      <c r="F760" s="8">
        <f>IF(Tabela1[[#This Row],[Core Consumer Price Index]]="",#N/A,((Tabela1[[#This Row],[Core Consumer Price Index]]*1)/E759)-1)</f>
        <v>4.4417652844308542E-4</v>
      </c>
      <c r="G760" s="8">
        <f>IF(Tabela1[[#This Row],[Core Consumer Price Index]]="",#N/A,((Tabela1[[#This Row],[Core Consumer Price Index]]*1)/E748)-1)</f>
        <v>1.3494526888039982E-2</v>
      </c>
      <c r="H760" s="8">
        <f t="shared" si="38"/>
        <v>1.1828927841484038E-3</v>
      </c>
      <c r="I760" s="8">
        <f t="shared" si="39"/>
        <v>1.1235173929810438E-2</v>
      </c>
      <c r="J760" s="25">
        <v>259.97000000000003</v>
      </c>
      <c r="K760" s="8">
        <f>IF(Tabela1[[#This Row],[Services CPI]]="",#N/A,((Tabela1[[#This Row],[Services CPI]]*1)/J759)-1)</f>
        <v>5.2726174119532843E-4</v>
      </c>
      <c r="L760" s="8">
        <f>IF(Tabela1[[#This Row],[Services CPI]]="",#N/A,((Tabela1[[#This Row],[Services CPI]]*1)/J748)-1)</f>
        <v>5.0801063961400938E-3</v>
      </c>
      <c r="M760" s="7">
        <v>266.94299999999998</v>
      </c>
      <c r="N760" s="8">
        <f>IF(Tabela1[[#This Row],[Core-Services CPI]]="",#N/A,((Tabela1[[#This Row],[Core-Services CPI]]*1)/M759)-1)</f>
        <v>7.6479255002093183E-4</v>
      </c>
      <c r="O760" s="8">
        <f>IF(Tabela1[[#This Row],[Core-Services CPI]]="",#N/A,((Tabela1[[#This Row],[Core-Services CPI]]*1)/M748)-1)</f>
        <v>8.6490285429277058E-3</v>
      </c>
      <c r="P760" s="7">
        <v>111.81100000000001</v>
      </c>
      <c r="Q760" s="8">
        <f>IF(Tabela1[[#This Row],[Durable Goods CPI]]="",#N/A,((Tabela1[[#This Row],[Durable Goods CPI]]*1)/P759)-1)</f>
        <v>-1.098861829292197E-3</v>
      </c>
      <c r="R760" s="8">
        <f>IF(Tabela1[[#This Row],[Durable Goods CPI]]="",#N/A,((Tabela1[[#This Row],[Durable Goods CPI]]*1)/P748)-1)</f>
        <v>2.3713388450938844E-2</v>
      </c>
      <c r="S760" s="7">
        <v>1.3248614999999999</v>
      </c>
      <c r="T760" s="7">
        <v>90.134</v>
      </c>
      <c r="U760" s="8">
        <f>IF(Tabela1[[#This Row],[Personal Consumption Expenditures (PCE)]]="",#N/A,((Tabela1[[#This Row],[Personal Consumption Expenditures (PCE)]]*1)/T759)-1)</f>
        <v>-2.2188692642144403E-5</v>
      </c>
      <c r="V760" s="8">
        <f>IF(Tabela1[[#This Row],[Personal Consumption Expenditures (PCE)]]="",#N/A,((Tabela1[[#This Row],[Personal Consumption Expenditures (PCE)]]*1)/T748)-1)</f>
        <v>2.1163301837627158E-2</v>
      </c>
      <c r="W760" s="7">
        <v>89.445999999999998</v>
      </c>
      <c r="X760" s="8">
        <f>IF(Tabela1[[#This Row],[Core PCE]]="",#N/A,((Tabela1[[#This Row],[Core PCE]]*1)/W759)-1)</f>
        <v>8.7279563154596396E-4</v>
      </c>
      <c r="Y760" s="8">
        <f>IF(Tabela1[[#This Row],[Core PCE]]="",#N/A,((Tabela1[[#This Row],[Core PCE]]*1)/W748)-1)</f>
        <v>1.6986538111697369E-2</v>
      </c>
      <c r="Z760" s="8">
        <f t="shared" si="41"/>
        <v>1.2817677770867064E-2</v>
      </c>
      <c r="AA760" s="8">
        <f t="shared" si="40"/>
        <v>1.9050117806454825E-2</v>
      </c>
      <c r="AB760" s="7">
        <v>1.08</v>
      </c>
      <c r="AC760" s="7">
        <v>101</v>
      </c>
      <c r="AD760" s="8">
        <f>IF(Tabela1[[#This Row],[Producer Price Index (PPI)]]="",#N/A,((Tabela1[[#This Row],[Producer Price Index (PPI)]]*1)/AC759)-1)</f>
        <v>-1.9762845849802257E-3</v>
      </c>
      <c r="AE760" s="71"/>
      <c r="AF760" s="7">
        <v>2.7</v>
      </c>
      <c r="AG760" s="5"/>
    </row>
    <row r="761" spans="1:33" ht="12.75">
      <c r="A761" s="6">
        <v>40238</v>
      </c>
      <c r="B761" s="7">
        <v>217.35300000000001</v>
      </c>
      <c r="C761" s="8">
        <f>IF(Tabela1[[#This Row],[Consumer Price Index (CPI)]]="",#N/A,((Tabela1[[#This Row],[Consumer Price Index (CPI)]]*1)/B760)-1)</f>
        <v>3.3136813619227823E-4</v>
      </c>
      <c r="D761" s="8">
        <f>IF(Tabela1[[#This Row],[Consumer Price Index (CPI)]]="",#N/A,((Tabela1[[#This Row],[Consumer Price Index (CPI)]]*1)/B749)-1)</f>
        <v>2.2861714393279886E-2</v>
      </c>
      <c r="E761" s="25">
        <v>220.78299999999999</v>
      </c>
      <c r="F761" s="8">
        <f>IF(Tabela1[[#This Row],[Core Consumer Price Index]]="",#N/A,((Tabela1[[#This Row],[Core Consumer Price Index]]*1)/E760)-1)</f>
        <v>2.3558086539732237E-4</v>
      </c>
      <c r="G761" s="8">
        <f>IF(Tabela1[[#This Row],[Core Consumer Price Index]]="",#N/A,((Tabela1[[#This Row],[Core Consumer Price Index]]*1)/E749)-1)</f>
        <v>1.1592051426555505E-2</v>
      </c>
      <c r="H761" s="8">
        <f t="shared" si="38"/>
        <v>-1.7720764953277346E-3</v>
      </c>
      <c r="I761" s="8">
        <f t="shared" si="39"/>
        <v>7.8429395167118887E-3</v>
      </c>
      <c r="J761" s="25">
        <v>260.34199999999998</v>
      </c>
      <c r="K761" s="8">
        <f>IF(Tabela1[[#This Row],[Services CPI]]="",#N/A,((Tabela1[[#This Row],[Services CPI]]*1)/J760)-1)</f>
        <v>1.4309343385774387E-3</v>
      </c>
      <c r="L761" s="8">
        <f>IF(Tabela1[[#This Row],[Services CPI]]="",#N/A,((Tabela1[[#This Row],[Services CPI]]*1)/J749)-1)</f>
        <v>6.1759886219581173E-3</v>
      </c>
      <c r="M761" s="7">
        <v>267.15300000000002</v>
      </c>
      <c r="N761" s="8">
        <f>IF(Tabela1[[#This Row],[Core-Services CPI]]="",#N/A,((Tabela1[[#This Row],[Core-Services CPI]]*1)/M760)-1)</f>
        <v>7.8668479787835643E-4</v>
      </c>
      <c r="O761" s="8">
        <f>IF(Tabela1[[#This Row],[Core-Services CPI]]="",#N/A,((Tabela1[[#This Row],[Core-Services CPI]]*1)/M749)-1)</f>
        <v>8.0712717064004291E-3</v>
      </c>
      <c r="P761" s="7">
        <v>111.68300000000001</v>
      </c>
      <c r="Q761" s="8">
        <f>IF(Tabela1[[#This Row],[Durable Goods CPI]]="",#N/A,((Tabela1[[#This Row],[Durable Goods CPI]]*1)/P760)-1)</f>
        <v>-1.1447889742511874E-3</v>
      </c>
      <c r="R761" s="8">
        <f>IF(Tabela1[[#This Row],[Durable Goods CPI]]="",#N/A,((Tabela1[[#This Row],[Durable Goods CPI]]*1)/P749)-1)</f>
        <v>2.2139039390833393E-2</v>
      </c>
      <c r="S761" s="7">
        <v>1.1770019</v>
      </c>
      <c r="T761" s="7">
        <v>90.260999999999996</v>
      </c>
      <c r="U761" s="8">
        <f>IF(Tabela1[[#This Row],[Personal Consumption Expenditures (PCE)]]="",#N/A,((Tabela1[[#This Row],[Personal Consumption Expenditures (PCE)]]*1)/T760)-1)</f>
        <v>1.4090132469433136E-3</v>
      </c>
      <c r="V761" s="8">
        <f>IF(Tabela1[[#This Row],[Personal Consumption Expenditures (PCE)]]="",#N/A,((Tabela1[[#This Row],[Personal Consumption Expenditures (PCE)]]*1)/T749)-1)</f>
        <v>2.3727160339801934E-2</v>
      </c>
      <c r="W761" s="7">
        <v>89.578999999999994</v>
      </c>
      <c r="X761" s="8">
        <f>IF(Tabela1[[#This Row],[Core PCE]]="",#N/A,((Tabela1[[#This Row],[Core PCE]]*1)/W760)-1)</f>
        <v>1.486930662075503E-3</v>
      </c>
      <c r="Y761" s="8">
        <f>IF(Tabela1[[#This Row],[Core PCE]]="",#N/A,((Tabela1[[#This Row],[Core PCE]]*1)/W749)-1)</f>
        <v>1.7769698346872698E-2</v>
      </c>
      <c r="Z761" s="8">
        <f t="shared" si="41"/>
        <v>1.5355799701358031E-2</v>
      </c>
      <c r="AA761" s="8">
        <f t="shared" si="40"/>
        <v>1.8502494689472293E-2</v>
      </c>
      <c r="AB761" s="7">
        <v>1</v>
      </c>
      <c r="AC761" s="7">
        <v>101.1</v>
      </c>
      <c r="AD761" s="8">
        <f>IF(Tabela1[[#This Row],[Producer Price Index (PPI)]]="",#N/A,((Tabela1[[#This Row],[Producer Price Index (PPI)]]*1)/AC760)-1)</f>
        <v>9.9009900990099098E-4</v>
      </c>
      <c r="AE761" s="71"/>
      <c r="AF761" s="7">
        <v>2.7</v>
      </c>
      <c r="AG761" s="5"/>
    </row>
    <row r="762" spans="1:33" ht="12.75">
      <c r="A762" s="6">
        <v>40269</v>
      </c>
      <c r="B762" s="7">
        <v>217.40299999999999</v>
      </c>
      <c r="C762" s="8">
        <f>IF(Tabela1[[#This Row],[Consumer Price Index (CPI)]]="",#N/A,((Tabela1[[#This Row],[Consumer Price Index (CPI)]]*1)/B761)-1)</f>
        <v>2.3004053314190642E-4</v>
      </c>
      <c r="D762" s="8">
        <f>IF(Tabela1[[#This Row],[Consumer Price Index (CPI)]]="",#N/A,((Tabela1[[#This Row],[Consumer Price Index (CPI)]]*1)/B750)-1)</f>
        <v>2.2067707525304403E-2</v>
      </c>
      <c r="E762" s="25">
        <v>220.822</v>
      </c>
      <c r="F762" s="8">
        <f>IF(Tabela1[[#This Row],[Core Consumer Price Index]]="",#N/A,((Tabela1[[#This Row],[Core Consumer Price Index]]*1)/E761)-1)</f>
        <v>1.7664403509343174E-4</v>
      </c>
      <c r="G762" s="8">
        <f>IF(Tabela1[[#This Row],[Core Consumer Price Index]]="",#N/A,((Tabela1[[#This Row],[Core Consumer Price Index]]*1)/E750)-1)</f>
        <v>9.6750889321739475E-3</v>
      </c>
      <c r="H762" s="8">
        <f t="shared" si="38"/>
        <v>3.4256057157353581E-3</v>
      </c>
      <c r="I762" s="8">
        <f t="shared" si="39"/>
        <v>2.9124880452469082E-3</v>
      </c>
      <c r="J762" s="25">
        <v>260.67200000000003</v>
      </c>
      <c r="K762" s="8">
        <f>IF(Tabela1[[#This Row],[Services CPI]]="",#N/A,((Tabela1[[#This Row],[Services CPI]]*1)/J761)-1)</f>
        <v>1.2675634357883769E-3</v>
      </c>
      <c r="L762" s="8">
        <f>IF(Tabela1[[#This Row],[Services CPI]]="",#N/A,((Tabela1[[#This Row],[Services CPI]]*1)/J750)-1)</f>
        <v>7.6305189835252918E-3</v>
      </c>
      <c r="M762" s="7">
        <v>267.51400000000001</v>
      </c>
      <c r="N762" s="8">
        <f>IF(Tabela1[[#This Row],[Core-Services CPI]]="",#N/A,((Tabela1[[#This Row],[Core-Services CPI]]*1)/M761)-1)</f>
        <v>1.3512855928998757E-3</v>
      </c>
      <c r="O762" s="8">
        <f>IF(Tabela1[[#This Row],[Core-Services CPI]]="",#N/A,((Tabela1[[#This Row],[Core-Services CPI]]*1)/M750)-1)</f>
        <v>8.440297804165553E-3</v>
      </c>
      <c r="P762" s="7">
        <v>111.39700000000001</v>
      </c>
      <c r="Q762" s="8">
        <f>IF(Tabela1[[#This Row],[Durable Goods CPI]]="",#N/A,((Tabela1[[#This Row],[Durable Goods CPI]]*1)/P761)-1)</f>
        <v>-2.5608194622279701E-3</v>
      </c>
      <c r="R762" s="8">
        <f>IF(Tabela1[[#This Row],[Durable Goods CPI]]="",#N/A,((Tabela1[[#This Row],[Durable Goods CPI]]*1)/P750)-1)</f>
        <v>1.8216884208986928E-2</v>
      </c>
      <c r="S762" s="7">
        <v>1.0548474000000001</v>
      </c>
      <c r="T762" s="7">
        <v>90.31</v>
      </c>
      <c r="U762" s="8">
        <f>IF(Tabela1[[#This Row],[Personal Consumption Expenditures (PCE)]]="",#N/A,((Tabela1[[#This Row],[Personal Consumption Expenditures (PCE)]]*1)/T761)-1)</f>
        <v>5.4287012109344168E-4</v>
      </c>
      <c r="V762" s="8">
        <f>IF(Tabela1[[#This Row],[Personal Consumption Expenditures (PCE)]]="",#N/A,((Tabela1[[#This Row],[Personal Consumption Expenditures (PCE)]]*1)/T750)-1)</f>
        <v>2.2821224304887089E-2</v>
      </c>
      <c r="W762" s="7">
        <v>89.625</v>
      </c>
      <c r="X762" s="8">
        <f>IF(Tabela1[[#This Row],[Core PCE]]="",#N/A,((Tabela1[[#This Row],[Core PCE]]*1)/W761)-1)</f>
        <v>5.1351321180193032E-4</v>
      </c>
      <c r="Y762" s="8">
        <f>IF(Tabela1[[#This Row],[Core PCE]]="",#N/A,((Tabela1[[#This Row],[Core PCE]]*1)/W750)-1)</f>
        <v>1.6029746856967897E-2</v>
      </c>
      <c r="Z762" s="8">
        <f t="shared" si="41"/>
        <v>1.1492958021693589E-2</v>
      </c>
      <c r="AA762" s="8">
        <f t="shared" si="40"/>
        <v>1.2160922160904697E-2</v>
      </c>
      <c r="AB762" s="7">
        <v>0.93</v>
      </c>
      <c r="AC762" s="7">
        <v>101.4</v>
      </c>
      <c r="AD762" s="8">
        <f>IF(Tabela1[[#This Row],[Producer Price Index (PPI)]]="",#N/A,((Tabela1[[#This Row],[Producer Price Index (PPI)]]*1)/AC761)-1)</f>
        <v>2.9673590504453173E-3</v>
      </c>
      <c r="AE762" s="71"/>
      <c r="AF762" s="7">
        <v>2.9</v>
      </c>
      <c r="AG762" s="5"/>
    </row>
    <row r="763" spans="1:33" ht="12.75">
      <c r="A763" s="6">
        <v>40299</v>
      </c>
      <c r="B763" s="7">
        <v>217.29</v>
      </c>
      <c r="C763" s="8">
        <f>IF(Tabela1[[#This Row],[Consumer Price Index (CPI)]]="",#N/A,((Tabela1[[#This Row],[Consumer Price Index (CPI)]]*1)/B762)-1)</f>
        <v>-5.1977203626440982E-4</v>
      </c>
      <c r="D763" s="8">
        <f>IF(Tabela1[[#This Row],[Consumer Price Index (CPI)]]="",#N/A,((Tabela1[[#This Row],[Consumer Price Index (CPI)]]*1)/B751)-1)</f>
        <v>2.0035489292185682E-2</v>
      </c>
      <c r="E763" s="25">
        <v>220.96199999999999</v>
      </c>
      <c r="F763" s="8">
        <f>IF(Tabela1[[#This Row],[Core Consumer Price Index]]="",#N/A,((Tabela1[[#This Row],[Core Consumer Price Index]]*1)/E762)-1)</f>
        <v>6.3399480124259888E-4</v>
      </c>
      <c r="G763" s="8">
        <f>IF(Tabela1[[#This Row],[Core Consumer Price Index]]="",#N/A,((Tabela1[[#This Row],[Core Consumer Price Index]]*1)/E751)-1)</f>
        <v>9.4013814274749308E-3</v>
      </c>
      <c r="H763" s="8">
        <f t="shared" si="38"/>
        <v>4.184878806933412E-3</v>
      </c>
      <c r="I763" s="8">
        <f t="shared" si="39"/>
        <v>2.6838857955409079E-3</v>
      </c>
      <c r="J763" s="25">
        <v>260.93200000000002</v>
      </c>
      <c r="K763" s="8">
        <f>IF(Tabela1[[#This Row],[Services CPI]]="",#N/A,((Tabela1[[#This Row],[Services CPI]]*1)/J762)-1)</f>
        <v>9.9742204763075826E-4</v>
      </c>
      <c r="L763" s="8">
        <f>IF(Tabela1[[#This Row],[Services CPI]]="",#N/A,((Tabela1[[#This Row],[Services CPI]]*1)/J751)-1)</f>
        <v>9.0802215140921572E-3</v>
      </c>
      <c r="M763" s="7">
        <v>267.85300000000001</v>
      </c>
      <c r="N763" s="8">
        <f>IF(Tabela1[[#This Row],[Core-Services CPI]]="",#N/A,((Tabela1[[#This Row],[Core-Services CPI]]*1)/M762)-1)</f>
        <v>1.2672233976540603E-3</v>
      </c>
      <c r="O763" s="8">
        <f>IF(Tabela1[[#This Row],[Core-Services CPI]]="",#N/A,((Tabela1[[#This Row],[Core-Services CPI]]*1)/M751)-1)</f>
        <v>8.949927865691043E-3</v>
      </c>
      <c r="P763" s="7">
        <v>111.206</v>
      </c>
      <c r="Q763" s="8">
        <f>IF(Tabela1[[#This Row],[Durable Goods CPI]]="",#N/A,((Tabela1[[#This Row],[Durable Goods CPI]]*1)/P762)-1)</f>
        <v>-1.7145883641390691E-3</v>
      </c>
      <c r="R763" s="8">
        <f>IF(Tabela1[[#This Row],[Durable Goods CPI]]="",#N/A,((Tabela1[[#This Row],[Durable Goods CPI]]*1)/P751)-1)</f>
        <v>1.4190606475148249E-2</v>
      </c>
      <c r="S763" s="7">
        <v>0.93183853000000005</v>
      </c>
      <c r="T763" s="7">
        <v>90.338999999999999</v>
      </c>
      <c r="U763" s="8">
        <f>IF(Tabela1[[#This Row],[Personal Consumption Expenditures (PCE)]]="",#N/A,((Tabela1[[#This Row],[Personal Consumption Expenditures (PCE)]]*1)/T762)-1)</f>
        <v>3.2111615546437378E-4</v>
      </c>
      <c r="V763" s="8">
        <f>IF(Tabela1[[#This Row],[Personal Consumption Expenditures (PCE)]]="",#N/A,((Tabela1[[#This Row],[Personal Consumption Expenditures (PCE)]]*1)/T751)-1)</f>
        <v>2.2084695713170399E-2</v>
      </c>
      <c r="W763" s="7">
        <v>89.724000000000004</v>
      </c>
      <c r="X763" s="8">
        <f>IF(Tabela1[[#This Row],[Core PCE]]="",#N/A,((Tabela1[[#This Row],[Core PCE]]*1)/W762)-1)</f>
        <v>1.1046025104601842E-3</v>
      </c>
      <c r="Y763" s="8">
        <f>IF(Tabela1[[#This Row],[Core PCE]]="",#N/A,((Tabela1[[#This Row],[Core PCE]]*1)/W751)-1)</f>
        <v>1.6368558773887321E-2</v>
      </c>
      <c r="Z763" s="8">
        <f t="shared" si="41"/>
        <v>1.242018553735047E-2</v>
      </c>
      <c r="AA763" s="8">
        <f t="shared" si="40"/>
        <v>1.2618931654108767E-2</v>
      </c>
      <c r="AB763" s="7">
        <v>0.88</v>
      </c>
      <c r="AC763" s="7">
        <v>101.6</v>
      </c>
      <c r="AD763" s="8">
        <f>IF(Tabela1[[#This Row],[Producer Price Index (PPI)]]="",#N/A,((Tabela1[[#This Row],[Producer Price Index (PPI)]]*1)/AC762)-1)</f>
        <v>1.9723865877709912E-3</v>
      </c>
      <c r="AE763" s="71"/>
      <c r="AF763" s="7">
        <v>3.2</v>
      </c>
      <c r="AG763" s="5"/>
    </row>
    <row r="764" spans="1:33" ht="12.75">
      <c r="A764" s="6">
        <v>40330</v>
      </c>
      <c r="B764" s="7">
        <v>217.19900000000001</v>
      </c>
      <c r="C764" s="8">
        <f>IF(Tabela1[[#This Row],[Consumer Price Index (CPI)]]="",#N/A,((Tabela1[[#This Row],[Consumer Price Index (CPI)]]*1)/B763)-1)</f>
        <v>-4.1879515854381655E-4</v>
      </c>
      <c r="D764" s="8">
        <f>IF(Tabela1[[#This Row],[Consumer Price Index (CPI)]]="",#N/A,((Tabela1[[#This Row],[Consumer Price Index (CPI)]]*1)/B752)-1)</f>
        <v>1.1215605940686268E-2</v>
      </c>
      <c r="E764" s="25">
        <v>221.19399999999999</v>
      </c>
      <c r="F764" s="8">
        <f>IF(Tabela1[[#This Row],[Core Consumer Price Index]]="",#N/A,((Tabela1[[#This Row],[Core Consumer Price Index]]*1)/E763)-1)</f>
        <v>1.0499542907829174E-3</v>
      </c>
      <c r="G764" s="8">
        <f>IF(Tabela1[[#This Row],[Core Consumer Price Index]]="",#N/A,((Tabela1[[#This Row],[Core Consumer Price Index]]*1)/E752)-1)</f>
        <v>9.5019898499397737E-3</v>
      </c>
      <c r="H764" s="8">
        <f t="shared" si="38"/>
        <v>7.4423725084757919E-3</v>
      </c>
      <c r="I764" s="8">
        <f t="shared" si="39"/>
        <v>2.8351480065740287E-3</v>
      </c>
      <c r="J764" s="25">
        <v>261.18799999999999</v>
      </c>
      <c r="K764" s="8">
        <f>IF(Tabela1[[#This Row],[Services CPI]]="",#N/A,((Tabela1[[#This Row],[Services CPI]]*1)/J763)-1)</f>
        <v>9.8109852375327655E-4</v>
      </c>
      <c r="L764" s="8">
        <f>IF(Tabela1[[#This Row],[Services CPI]]="",#N/A,((Tabela1[[#This Row],[Services CPI]]*1)/J752)-1)</f>
        <v>9.6719575083306086E-3</v>
      </c>
      <c r="M764" s="7">
        <v>268.21300000000002</v>
      </c>
      <c r="N764" s="8">
        <f>IF(Tabela1[[#This Row],[Core-Services CPI]]="",#N/A,((Tabela1[[#This Row],[Core-Services CPI]]*1)/M763)-1)</f>
        <v>1.3440207875214938E-3</v>
      </c>
      <c r="O764" s="8">
        <f>IF(Tabela1[[#This Row],[Core-Services CPI]]="",#N/A,((Tabela1[[#This Row],[Core-Services CPI]]*1)/M752)-1)</f>
        <v>9.8533110438410176E-3</v>
      </c>
      <c r="P764" s="7">
        <v>110.989</v>
      </c>
      <c r="Q764" s="8">
        <f>IF(Tabela1[[#This Row],[Durable Goods CPI]]="",#N/A,((Tabela1[[#This Row],[Durable Goods CPI]]*1)/P763)-1)</f>
        <v>-1.9513335611387461E-3</v>
      </c>
      <c r="R764" s="8">
        <f>IF(Tabela1[[#This Row],[Durable Goods CPI]]="",#N/A,((Tabela1[[#This Row],[Durable Goods CPI]]*1)/P752)-1)</f>
        <v>9.1468681523507733E-3</v>
      </c>
      <c r="S764" s="7">
        <v>0.87602977999999998</v>
      </c>
      <c r="T764" s="7">
        <v>90.301000000000002</v>
      </c>
      <c r="U764" s="8">
        <f>IF(Tabela1[[#This Row],[Personal Consumption Expenditures (PCE)]]="",#N/A,((Tabela1[[#This Row],[Personal Consumption Expenditures (PCE)]]*1)/T763)-1)</f>
        <v>-4.2063781976775516E-4</v>
      </c>
      <c r="V764" s="8">
        <f>IF(Tabela1[[#This Row],[Personal Consumption Expenditures (PCE)]]="",#N/A,((Tabela1[[#This Row],[Personal Consumption Expenditures (PCE)]]*1)/T752)-1)</f>
        <v>1.5622188231059875E-2</v>
      </c>
      <c r="W764" s="7">
        <v>89.766999999999996</v>
      </c>
      <c r="X764" s="8">
        <f>IF(Tabela1[[#This Row],[Core PCE]]="",#N/A,((Tabela1[[#This Row],[Core PCE]]*1)/W763)-1)</f>
        <v>4.7924747001903967E-4</v>
      </c>
      <c r="Y764" s="8">
        <f>IF(Tabela1[[#This Row],[Core PCE]]="",#N/A,((Tabela1[[#This Row],[Core PCE]]*1)/W752)-1)</f>
        <v>1.555570639876902E-2</v>
      </c>
      <c r="Z764" s="8">
        <f t="shared" si="41"/>
        <v>8.3894527691246168E-3</v>
      </c>
      <c r="AA764" s="8">
        <f t="shared" si="40"/>
        <v>1.1872626235241324E-2</v>
      </c>
      <c r="AB764" s="7">
        <v>0.81</v>
      </c>
      <c r="AC764" s="7">
        <v>101.4</v>
      </c>
      <c r="AD764" s="8">
        <f>IF(Tabela1[[#This Row],[Producer Price Index (PPI)]]="",#N/A,((Tabela1[[#This Row],[Producer Price Index (PPI)]]*1)/AC763)-1)</f>
        <v>-1.9685039370077595E-3</v>
      </c>
      <c r="AE764" s="71"/>
      <c r="AF764" s="7">
        <v>2.8</v>
      </c>
      <c r="AG764" s="5"/>
    </row>
    <row r="765" spans="1:33" ht="12.75">
      <c r="A765" s="6">
        <v>40360</v>
      </c>
      <c r="B765" s="7">
        <v>217.60499999999999</v>
      </c>
      <c r="C765" s="8">
        <f>IF(Tabela1[[#This Row],[Consumer Price Index (CPI)]]="",#N/A,((Tabela1[[#This Row],[Consumer Price Index (CPI)]]*1)/B764)-1)</f>
        <v>1.8692535416828804E-3</v>
      </c>
      <c r="D765" s="8">
        <f>IF(Tabela1[[#This Row],[Consumer Price Index (CPI)]]="",#N/A,((Tabela1[[#This Row],[Consumer Price Index (CPI)]]*1)/B753)-1)</f>
        <v>1.3407784804821077E-2</v>
      </c>
      <c r="E765" s="25">
        <v>221.363</v>
      </c>
      <c r="F765" s="8">
        <f>IF(Tabela1[[#This Row],[Core Consumer Price Index]]="",#N/A,((Tabela1[[#This Row],[Core Consumer Price Index]]*1)/E764)-1)</f>
        <v>7.640351908280163E-4</v>
      </c>
      <c r="G765" s="8">
        <f>IF(Tabela1[[#This Row],[Core Consumer Price Index]]="",#N/A,((Tabela1[[#This Row],[Core Consumer Price Index]]*1)/E753)-1)</f>
        <v>9.5775393021166888E-3</v>
      </c>
      <c r="H765" s="8">
        <f t="shared" si="38"/>
        <v>9.7919371314141301E-3</v>
      </c>
      <c r="I765" s="8">
        <f t="shared" si="39"/>
        <v>6.6087714235747441E-3</v>
      </c>
      <c r="J765" s="25">
        <v>261.52499999999998</v>
      </c>
      <c r="K765" s="8">
        <f>IF(Tabela1[[#This Row],[Services CPI]]="",#N/A,((Tabela1[[#This Row],[Services CPI]]*1)/J764)-1)</f>
        <v>1.2902583579643689E-3</v>
      </c>
      <c r="L765" s="8">
        <f>IF(Tabela1[[#This Row],[Services CPI]]="",#N/A,((Tabela1[[#This Row],[Services CPI]]*1)/J753)-1)</f>
        <v>1.0736356363551858E-2</v>
      </c>
      <c r="M765" s="7">
        <v>268.49900000000002</v>
      </c>
      <c r="N765" s="8">
        <f>IF(Tabela1[[#This Row],[Core-Services CPI]]="",#N/A,((Tabela1[[#This Row],[Core-Services CPI]]*1)/M764)-1)</f>
        <v>1.0663166960587223E-3</v>
      </c>
      <c r="O765" s="8">
        <f>IF(Tabela1[[#This Row],[Core-Services CPI]]="",#N/A,((Tabela1[[#This Row],[Core-Services CPI]]*1)/M753)-1)</f>
        <v>1.0199858533869177E-2</v>
      </c>
      <c r="P765" s="7">
        <v>111.08499999999999</v>
      </c>
      <c r="Q765" s="8">
        <f>IF(Tabela1[[#This Row],[Durable Goods CPI]]="",#N/A,((Tabela1[[#This Row],[Durable Goods CPI]]*1)/P764)-1)</f>
        <v>8.6495058068813968E-4</v>
      </c>
      <c r="R765" s="8">
        <f>IF(Tabela1[[#This Row],[Durable Goods CPI]]="",#N/A,((Tabela1[[#This Row],[Durable Goods CPI]]*1)/P753)-1)</f>
        <v>1.0561842727702553E-2</v>
      </c>
      <c r="S765" s="7">
        <v>0.79986780000000002</v>
      </c>
      <c r="T765" s="7">
        <v>90.378</v>
      </c>
      <c r="U765" s="8">
        <f>IF(Tabela1[[#This Row],[Personal Consumption Expenditures (PCE)]]="",#N/A,((Tabela1[[#This Row],[Personal Consumption Expenditures (PCE)]]*1)/T764)-1)</f>
        <v>8.527037352852318E-4</v>
      </c>
      <c r="V765" s="8">
        <f>IF(Tabela1[[#This Row],[Personal Consumption Expenditures (PCE)]]="",#N/A,((Tabela1[[#This Row],[Personal Consumption Expenditures (PCE)]]*1)/T753)-1)</f>
        <v>1.6373900721981194E-2</v>
      </c>
      <c r="W765" s="7">
        <v>89.769000000000005</v>
      </c>
      <c r="X765" s="8">
        <f>IF(Tabela1[[#This Row],[Core PCE]]="",#N/A,((Tabela1[[#This Row],[Core PCE]]*1)/W764)-1)</f>
        <v>2.2279902414101826E-5</v>
      </c>
      <c r="Y765" s="8">
        <f>IF(Tabela1[[#This Row],[Core PCE]]="",#N/A,((Tabela1[[#This Row],[Core PCE]]*1)/W753)-1)</f>
        <v>1.4705882352941124E-2</v>
      </c>
      <c r="Z765" s="8">
        <f t="shared" si="41"/>
        <v>6.4245195315733028E-3</v>
      </c>
      <c r="AA765" s="8">
        <f t="shared" si="40"/>
        <v>8.9587387766334459E-3</v>
      </c>
      <c r="AB765" s="7">
        <v>0.85</v>
      </c>
      <c r="AC765" s="7">
        <v>101.6</v>
      </c>
      <c r="AD765" s="8">
        <f>IF(Tabela1[[#This Row],[Producer Price Index (PPI)]]="",#N/A,((Tabela1[[#This Row],[Producer Price Index (PPI)]]*1)/AC764)-1)</f>
        <v>1.9723865877709912E-3</v>
      </c>
      <c r="AE765" s="71"/>
      <c r="AF765" s="7">
        <v>2.7</v>
      </c>
      <c r="AG765" s="5"/>
    </row>
    <row r="766" spans="1:33" ht="12.75">
      <c r="A766" s="6">
        <v>40391</v>
      </c>
      <c r="B766" s="7">
        <v>217.923</v>
      </c>
      <c r="C766" s="8">
        <f>IF(Tabela1[[#This Row],[Consumer Price Index (CPI)]]="",#N/A,((Tabela1[[#This Row],[Consumer Price Index (CPI)]]*1)/B765)-1)</f>
        <v>1.4613634796996067E-3</v>
      </c>
      <c r="D766" s="8">
        <f>IF(Tabela1[[#This Row],[Consumer Price Index (CPI)]]="",#N/A,((Tabela1[[#This Row],[Consumer Price Index (CPI)]]*1)/B754)-1)</f>
        <v>1.1501775395112546E-2</v>
      </c>
      <c r="E766" s="25">
        <v>221.50899999999999</v>
      </c>
      <c r="F766" s="8">
        <f>IF(Tabela1[[#This Row],[Core Consumer Price Index]]="",#N/A,((Tabela1[[#This Row],[Core Consumer Price Index]]*1)/E765)-1)</f>
        <v>6.5955015065743972E-4</v>
      </c>
      <c r="G766" s="8">
        <f>IF(Tabela1[[#This Row],[Core Consumer Price Index]]="",#N/A,((Tabela1[[#This Row],[Core Consumer Price Index]]*1)/E754)-1)</f>
        <v>9.1710099500672548E-3</v>
      </c>
      <c r="H766" s="8">
        <f t="shared" ref="H766:H829" si="42">SUM(F764:F766)*4</f>
        <v>9.8941585290734935E-3</v>
      </c>
      <c r="I766" s="8">
        <f t="shared" si="39"/>
        <v>7.0395186680034527E-3</v>
      </c>
      <c r="J766" s="25">
        <v>261.72199999999998</v>
      </c>
      <c r="K766" s="8">
        <f>IF(Tabela1[[#This Row],[Services CPI]]="",#N/A,((Tabela1[[#This Row],[Services CPI]]*1)/J765)-1)</f>
        <v>7.5327406557690324E-4</v>
      </c>
      <c r="L766" s="8">
        <f>IF(Tabela1[[#This Row],[Services CPI]]="",#N/A,((Tabela1[[#This Row],[Services CPI]]*1)/J754)-1)</f>
        <v>9.39892396397779E-3</v>
      </c>
      <c r="M766" s="7">
        <v>268.68900000000002</v>
      </c>
      <c r="N766" s="8">
        <f>IF(Tabela1[[#This Row],[Core-Services CPI]]="",#N/A,((Tabela1[[#This Row],[Core-Services CPI]]*1)/M765)-1)</f>
        <v>7.07637644832948E-4</v>
      </c>
      <c r="O766" s="8">
        <f>IF(Tabela1[[#This Row],[Core-Services CPI]]="",#N/A,((Tabela1[[#This Row],[Core-Services CPI]]*1)/M754)-1)</f>
        <v>8.5885563492629213E-3</v>
      </c>
      <c r="P766" s="7">
        <v>111.239</v>
      </c>
      <c r="Q766" s="8">
        <f>IF(Tabela1[[#This Row],[Durable Goods CPI]]="",#N/A,((Tabela1[[#This Row],[Durable Goods CPI]]*1)/P765)-1)</f>
        <v>1.3863257865598388E-3</v>
      </c>
      <c r="R766" s="8">
        <f>IF(Tabela1[[#This Row],[Durable Goods CPI]]="",#N/A,((Tabela1[[#This Row],[Durable Goods CPI]]*1)/P754)-1)</f>
        <v>1.9334915558650856E-2</v>
      </c>
      <c r="S766" s="7">
        <v>0.78483473000000004</v>
      </c>
      <c r="T766" s="7">
        <v>90.501999999999995</v>
      </c>
      <c r="U766" s="8">
        <f>IF(Tabela1[[#This Row],[Personal Consumption Expenditures (PCE)]]="",#N/A,((Tabela1[[#This Row],[Personal Consumption Expenditures (PCE)]]*1)/T765)-1)</f>
        <v>1.3720153134610946E-3</v>
      </c>
      <c r="V766" s="8">
        <f>IF(Tabela1[[#This Row],[Personal Consumption Expenditures (PCE)]]="",#N/A,((Tabela1[[#This Row],[Personal Consumption Expenditures (PCE)]]*1)/T754)-1)</f>
        <v>1.4823951558645243E-2</v>
      </c>
      <c r="W766" s="7">
        <v>89.855000000000004</v>
      </c>
      <c r="X766" s="8">
        <f>IF(Tabela1[[#This Row],[Core PCE]]="",#N/A,((Tabela1[[#This Row],[Core PCE]]*1)/W765)-1)</f>
        <v>9.5801445933441087E-4</v>
      </c>
      <c r="Y766" s="8">
        <f>IF(Tabela1[[#This Row],[Core PCE]]="",#N/A,((Tabela1[[#This Row],[Core PCE]]*1)/W754)-1)</f>
        <v>1.4176232237384179E-2</v>
      </c>
      <c r="Z766" s="8">
        <f t="shared" si="41"/>
        <v>5.8381673270702095E-3</v>
      </c>
      <c r="AA766" s="8">
        <f t="shared" si="40"/>
        <v>9.1291764322103397E-3</v>
      </c>
      <c r="AB766" s="7">
        <v>0.85</v>
      </c>
      <c r="AC766" s="7">
        <v>101.8</v>
      </c>
      <c r="AD766" s="8">
        <f>IF(Tabela1[[#This Row],[Producer Price Index (PPI)]]="",#N/A,((Tabela1[[#This Row],[Producer Price Index (PPI)]]*1)/AC765)-1)</f>
        <v>1.9685039370078705E-3</v>
      </c>
      <c r="AE766" s="71"/>
      <c r="AF766" s="7">
        <v>2.7</v>
      </c>
      <c r="AG766" s="5"/>
    </row>
    <row r="767" spans="1:33" ht="12.75">
      <c r="A767" s="6">
        <v>40422</v>
      </c>
      <c r="B767" s="7">
        <v>218.27500000000001</v>
      </c>
      <c r="C767" s="8">
        <f>IF(Tabela1[[#This Row],[Consumer Price Index (CPI)]]="",#N/A,((Tabela1[[#This Row],[Consumer Price Index (CPI)]]*1)/B766)-1)</f>
        <v>1.6152494229613179E-3</v>
      </c>
      <c r="D767" s="8">
        <f>IF(Tabela1[[#This Row],[Consumer Price Index (CPI)]]="",#N/A,((Tabela1[[#This Row],[Consumer Price Index (CPI)]]*1)/B755)-1)</f>
        <v>1.1183122472331775E-2</v>
      </c>
      <c r="E767" s="25">
        <v>221.71100000000001</v>
      </c>
      <c r="F767" s="8">
        <f>IF(Tabela1[[#This Row],[Core Consumer Price Index]]="",#N/A,((Tabela1[[#This Row],[Core Consumer Price Index]]*1)/E766)-1)</f>
        <v>9.119268291581939E-4</v>
      </c>
      <c r="G767" s="8">
        <f>IF(Tabela1[[#This Row],[Core Consumer Price Index]]="",#N/A,((Tabela1[[#This Row],[Core Consumer Price Index]]*1)/E755)-1)</f>
        <v>8.1438704983631816E-3</v>
      </c>
      <c r="H767" s="8">
        <f t="shared" si="42"/>
        <v>9.3420486825745996E-3</v>
      </c>
      <c r="I767" s="8">
        <f t="shared" si="39"/>
        <v>8.3922105955251958E-3</v>
      </c>
      <c r="J767" s="25">
        <v>261.88400000000001</v>
      </c>
      <c r="K767" s="8">
        <f>IF(Tabela1[[#This Row],[Services CPI]]="",#N/A,((Tabela1[[#This Row],[Services CPI]]*1)/J766)-1)</f>
        <v>6.1897738822125348E-4</v>
      </c>
      <c r="L767" s="8">
        <f>IF(Tabela1[[#This Row],[Services CPI]]="",#N/A,((Tabela1[[#This Row],[Services CPI]]*1)/J755)-1)</f>
        <v>9.0974595700572536E-3</v>
      </c>
      <c r="M767" s="7">
        <v>268.95699999999999</v>
      </c>
      <c r="N767" s="8">
        <f>IF(Tabela1[[#This Row],[Core-Services CPI]]="",#N/A,((Tabela1[[#This Row],[Core-Services CPI]]*1)/M766)-1)</f>
        <v>9.9743569703258927E-4</v>
      </c>
      <c r="O767" s="8">
        <f>IF(Tabela1[[#This Row],[Core-Services CPI]]="",#N/A,((Tabela1[[#This Row],[Core-Services CPI]]*1)/M755)-1)</f>
        <v>8.5761427982149474E-3</v>
      </c>
      <c r="P767" s="7">
        <v>111.283</v>
      </c>
      <c r="Q767" s="8">
        <f>IF(Tabela1[[#This Row],[Durable Goods CPI]]="",#N/A,((Tabela1[[#This Row],[Durable Goods CPI]]*1)/P766)-1)</f>
        <v>3.9554472801794915E-4</v>
      </c>
      <c r="R767" s="8">
        <f>IF(Tabela1[[#This Row],[Durable Goods CPI]]="",#N/A,((Tabela1[[#This Row],[Durable Goods CPI]]*1)/P755)-1)</f>
        <v>1.7332955470028333E-2</v>
      </c>
      <c r="S767" s="7">
        <v>0.74959321999999995</v>
      </c>
      <c r="T767" s="7">
        <v>90.591999999999999</v>
      </c>
      <c r="U767" s="8">
        <f>IF(Tabela1[[#This Row],[Personal Consumption Expenditures (PCE)]]="",#N/A,((Tabela1[[#This Row],[Personal Consumption Expenditures (PCE)]]*1)/T766)-1)</f>
        <v>9.9445316125623684E-4</v>
      </c>
      <c r="V767" s="8">
        <f>IF(Tabela1[[#This Row],[Personal Consumption Expenditures (PCE)]]="",#N/A,((Tabela1[[#This Row],[Personal Consumption Expenditures (PCE)]]*1)/T755)-1)</f>
        <v>1.4195512964040979E-2</v>
      </c>
      <c r="W767" s="7">
        <v>89.906000000000006</v>
      </c>
      <c r="X767" s="8">
        <f>IF(Tabela1[[#This Row],[Core PCE]]="",#N/A,((Tabela1[[#This Row],[Core PCE]]*1)/W766)-1)</f>
        <v>5.6758110288801511E-4</v>
      </c>
      <c r="Y767" s="8">
        <f>IF(Tabela1[[#This Row],[Core PCE]]="",#N/A,((Tabela1[[#This Row],[Core PCE]]*1)/W755)-1)</f>
        <v>1.2968283476987308E-2</v>
      </c>
      <c r="Z767" s="8">
        <f t="shared" si="41"/>
        <v>6.1915018585461112E-3</v>
      </c>
      <c r="AA767" s="8">
        <f t="shared" si="40"/>
        <v>7.290477313835364E-3</v>
      </c>
      <c r="AB767" s="7">
        <v>0.88</v>
      </c>
      <c r="AC767" s="7">
        <v>102.1</v>
      </c>
      <c r="AD767" s="8">
        <f>IF(Tabela1[[#This Row],[Producer Price Index (PPI)]]="",#N/A,((Tabela1[[#This Row],[Producer Price Index (PPI)]]*1)/AC766)-1)</f>
        <v>2.9469548133596035E-3</v>
      </c>
      <c r="AE767" s="71"/>
      <c r="AF767" s="7">
        <v>2.2000000000000002</v>
      </c>
      <c r="AG767" s="5"/>
    </row>
    <row r="768" spans="1:33" ht="12.75">
      <c r="A768" s="6">
        <v>40452</v>
      </c>
      <c r="B768" s="7">
        <v>219.035</v>
      </c>
      <c r="C768" s="8">
        <f>IF(Tabela1[[#This Row],[Consumer Price Index (CPI)]]="",#N/A,((Tabela1[[#This Row],[Consumer Price Index (CPI)]]*1)/B767)-1)</f>
        <v>3.4818462948116302E-3</v>
      </c>
      <c r="D768" s="8">
        <f>IF(Tabela1[[#This Row],[Consumer Price Index (CPI)]]="",#N/A,((Tabela1[[#This Row],[Consumer Price Index (CPI)]]*1)/B756)-1)</f>
        <v>1.1666951489314625E-2</v>
      </c>
      <c r="E768" s="25">
        <v>221.83</v>
      </c>
      <c r="F768" s="8">
        <f>IF(Tabela1[[#This Row],[Core Consumer Price Index]]="",#N/A,((Tabela1[[#This Row],[Core Consumer Price Index]]*1)/E767)-1)</f>
        <v>5.3673475831139683E-4</v>
      </c>
      <c r="G768" s="8">
        <f>IF(Tabela1[[#This Row],[Core Consumer Price Index]]="",#N/A,((Tabela1[[#This Row],[Core Consumer Price Index]]*1)/E756)-1)</f>
        <v>6.0271835501879423E-3</v>
      </c>
      <c r="H768" s="8">
        <f t="shared" si="42"/>
        <v>8.4328469525081218E-3</v>
      </c>
      <c r="I768" s="8">
        <f t="shared" si="39"/>
        <v>9.112392041961126E-3</v>
      </c>
      <c r="J768" s="25">
        <v>262.07499999999999</v>
      </c>
      <c r="K768" s="8">
        <f>IF(Tabela1[[#This Row],[Services CPI]]="",#N/A,((Tabela1[[#This Row],[Services CPI]]*1)/J767)-1)</f>
        <v>7.2933054329382685E-4</v>
      </c>
      <c r="L768" s="8">
        <f>IF(Tabela1[[#This Row],[Services CPI]]="",#N/A,((Tabela1[[#This Row],[Services CPI]]*1)/J756)-1)</f>
        <v>7.9381256946819967E-3</v>
      </c>
      <c r="M768" s="7">
        <v>269.18200000000002</v>
      </c>
      <c r="N768" s="8">
        <f>IF(Tabela1[[#This Row],[Core-Services CPI]]="",#N/A,((Tabela1[[#This Row],[Core-Services CPI]]*1)/M767)-1)</f>
        <v>8.3656495276196452E-4</v>
      </c>
      <c r="O768" s="8">
        <f>IF(Tabela1[[#This Row],[Core-Services CPI]]="",#N/A,((Tabela1[[#This Row],[Core-Services CPI]]*1)/M756)-1)</f>
        <v>7.8665273830784699E-3</v>
      </c>
      <c r="P768" s="7">
        <v>111.20099999999999</v>
      </c>
      <c r="Q768" s="8">
        <f>IF(Tabela1[[#This Row],[Durable Goods CPI]]="",#N/A,((Tabela1[[#This Row],[Durable Goods CPI]]*1)/P767)-1)</f>
        <v>-7.3686007746021076E-4</v>
      </c>
      <c r="R768" s="8">
        <f>IF(Tabela1[[#This Row],[Durable Goods CPI]]="",#N/A,((Tabela1[[#This Row],[Durable Goods CPI]]*1)/P756)-1)</f>
        <v>4.6709551516026515E-3</v>
      </c>
      <c r="S768" s="7">
        <v>0.69562860999999998</v>
      </c>
      <c r="T768" s="7">
        <v>90.881</v>
      </c>
      <c r="U768" s="8">
        <f>IF(Tabela1[[#This Row],[Personal Consumption Expenditures (PCE)]]="",#N/A,((Tabela1[[#This Row],[Personal Consumption Expenditures (PCE)]]*1)/T767)-1)</f>
        <v>3.1901271635463857E-3</v>
      </c>
      <c r="V768" s="8">
        <f>IF(Tabela1[[#This Row],[Personal Consumption Expenditures (PCE)]]="",#N/A,((Tabela1[[#This Row],[Personal Consumption Expenditures (PCE)]]*1)/T756)-1)</f>
        <v>1.3584198610352205E-2</v>
      </c>
      <c r="W768" s="7">
        <v>90.043000000000006</v>
      </c>
      <c r="X768" s="8">
        <f>IF(Tabela1[[#This Row],[Core PCE]]="",#N/A,((Tabela1[[#This Row],[Core PCE]]*1)/W767)-1)</f>
        <v>1.5238137610393832E-3</v>
      </c>
      <c r="Y768" s="8">
        <f>IF(Tabela1[[#This Row],[Core PCE]]="",#N/A,((Tabela1[[#This Row],[Core PCE]]*1)/W756)-1)</f>
        <v>1.0787813475225283E-2</v>
      </c>
      <c r="Z768" s="8">
        <f t="shared" si="41"/>
        <v>1.2197637293047237E-2</v>
      </c>
      <c r="AA768" s="8">
        <f t="shared" si="40"/>
        <v>9.3110784123102697E-3</v>
      </c>
      <c r="AB768" s="7">
        <v>0.8</v>
      </c>
      <c r="AC768" s="7">
        <v>102.5</v>
      </c>
      <c r="AD768" s="8">
        <f>IF(Tabela1[[#This Row],[Producer Price Index (PPI)]]="",#N/A,((Tabela1[[#This Row],[Producer Price Index (PPI)]]*1)/AC767)-1)</f>
        <v>3.9177277179236469E-3</v>
      </c>
      <c r="AE768" s="71"/>
      <c r="AF768" s="7">
        <v>2.7</v>
      </c>
      <c r="AG768" s="5"/>
    </row>
    <row r="769" spans="1:33" ht="12.75">
      <c r="A769" s="6">
        <v>40483</v>
      </c>
      <c r="B769" s="7">
        <v>219.59</v>
      </c>
      <c r="C769" s="8">
        <f>IF(Tabela1[[#This Row],[Consumer Price Index (CPI)]]="",#N/A,((Tabela1[[#This Row],[Consumer Price Index (CPI)]]*1)/B768)-1)</f>
        <v>2.5338416234848005E-3</v>
      </c>
      <c r="D769" s="8">
        <f>IF(Tabela1[[#This Row],[Consumer Price Index (CPI)]]="",#N/A,((Tabela1[[#This Row],[Consumer Price Index (CPI)]]*1)/B757)-1)</f>
        <v>1.084544776600338E-2</v>
      </c>
      <c r="E769" s="25">
        <v>222.149</v>
      </c>
      <c r="F769" s="8">
        <f>IF(Tabela1[[#This Row],[Core Consumer Price Index]]="",#N/A,((Tabela1[[#This Row],[Core Consumer Price Index]]*1)/E768)-1)</f>
        <v>1.4380381373122475E-3</v>
      </c>
      <c r="G769" s="8">
        <f>IF(Tabela1[[#This Row],[Core Consumer Price Index]]="",#N/A,((Tabela1[[#This Row],[Core Consumer Price Index]]*1)/E757)-1)</f>
        <v>6.7205641104655101E-3</v>
      </c>
      <c r="H769" s="8">
        <f t="shared" si="42"/>
        <v>1.1546798899127353E-2</v>
      </c>
      <c r="I769" s="8">
        <f t="shared" ref="I769:I832" si="43">SUM(F764:F769)*2</f>
        <v>1.0720478714100423E-2</v>
      </c>
      <c r="J769" s="25">
        <v>262.41000000000003</v>
      </c>
      <c r="K769" s="8">
        <f>IF(Tabela1[[#This Row],[Services CPI]]="",#N/A,((Tabela1[[#This Row],[Services CPI]]*1)/J768)-1)</f>
        <v>1.2782600400649269E-3</v>
      </c>
      <c r="L769" s="8">
        <f>IF(Tabela1[[#This Row],[Services CPI]]="",#N/A,((Tabela1[[#This Row],[Services CPI]]*1)/J757)-1)</f>
        <v>8.4430831664827899E-3</v>
      </c>
      <c r="M769" s="7">
        <v>269.66899999999998</v>
      </c>
      <c r="N769" s="8">
        <f>IF(Tabela1[[#This Row],[Core-Services CPI]]="",#N/A,((Tabela1[[#This Row],[Core-Services CPI]]*1)/M768)-1)</f>
        <v>1.8091848637722396E-3</v>
      </c>
      <c r="O769" s="8">
        <f>IF(Tabela1[[#This Row],[Core-Services CPI]]="",#N/A,((Tabela1[[#This Row],[Core-Services CPI]]*1)/M757)-1)</f>
        <v>9.7088469199777538E-3</v>
      </c>
      <c r="P769" s="7">
        <v>111.005</v>
      </c>
      <c r="Q769" s="8">
        <f>IF(Tabela1[[#This Row],[Durable Goods CPI]]="",#N/A,((Tabela1[[#This Row],[Durable Goods CPI]]*1)/P768)-1)</f>
        <v>-1.7625740775711884E-3</v>
      </c>
      <c r="R769" s="8">
        <f>IF(Tabela1[[#This Row],[Durable Goods CPI]]="",#N/A,((Tabela1[[#This Row],[Durable Goods CPI]]*1)/P757)-1)</f>
        <v>-1.3854028913539151E-3</v>
      </c>
      <c r="S769" s="7">
        <v>0.66761360000000003</v>
      </c>
      <c r="T769" s="7">
        <v>91.061999999999998</v>
      </c>
      <c r="U769" s="8">
        <f>IF(Tabela1[[#This Row],[Personal Consumption Expenditures (PCE)]]="",#N/A,((Tabela1[[#This Row],[Personal Consumption Expenditures (PCE)]]*1)/T768)-1)</f>
        <v>1.9916154091614846E-3</v>
      </c>
      <c r="V769" s="8">
        <f>IF(Tabela1[[#This Row],[Personal Consumption Expenditures (PCE)]]="",#N/A,((Tabela1[[#This Row],[Personal Consumption Expenditures (PCE)]]*1)/T757)-1)</f>
        <v>1.3071968137772894E-2</v>
      </c>
      <c r="W769" s="7">
        <v>90.16</v>
      </c>
      <c r="X769" s="8">
        <f>IF(Tabela1[[#This Row],[Core PCE]]="",#N/A,((Tabela1[[#This Row],[Core PCE]]*1)/W768)-1)</f>
        <v>1.2993791855000492E-3</v>
      </c>
      <c r="Y769" s="8">
        <f>IF(Tabela1[[#This Row],[Core PCE]]="",#N/A,((Tabela1[[#This Row],[Core PCE]]*1)/W757)-1)</f>
        <v>1.1215791834903621E-2</v>
      </c>
      <c r="Z769" s="8">
        <f t="shared" si="41"/>
        <v>1.356309619770979E-2</v>
      </c>
      <c r="AA769" s="8">
        <f t="shared" si="40"/>
        <v>9.7006317623899996E-3</v>
      </c>
      <c r="AB769" s="7">
        <v>0.85</v>
      </c>
      <c r="AC769" s="7">
        <v>102.8</v>
      </c>
      <c r="AD769" s="8">
        <f>IF(Tabela1[[#This Row],[Producer Price Index (PPI)]]="",#N/A,((Tabela1[[#This Row],[Producer Price Index (PPI)]]*1)/AC768)-1)</f>
        <v>2.9268292682926855E-3</v>
      </c>
      <c r="AE769" s="8">
        <f>IF(Tabela1[[#This Row],[Producer Price Index (PPI)]]="",#N/A,((Tabela1[[#This Row],[Producer Price Index (PPI)]]*1)/AC757)-1)</f>
        <v>2.5948103792415189E-2</v>
      </c>
      <c r="AF769" s="7">
        <v>3</v>
      </c>
      <c r="AG769" s="5"/>
    </row>
    <row r="770" spans="1:33" ht="12.75">
      <c r="A770" s="6">
        <v>40513</v>
      </c>
      <c r="B770" s="7">
        <v>220.47200000000001</v>
      </c>
      <c r="C770" s="8">
        <f>IF(Tabela1[[#This Row],[Consumer Price Index (CPI)]]="",#N/A,((Tabela1[[#This Row],[Consumer Price Index (CPI)]]*1)/B769)-1)</f>
        <v>4.0165763468282822E-3</v>
      </c>
      <c r="D770" s="8">
        <f>IF(Tabela1[[#This Row],[Consumer Price Index (CPI)]]="",#N/A,((Tabela1[[#This Row],[Consumer Price Index (CPI)]]*1)/B758)-1)</f>
        <v>1.4377930222179369E-2</v>
      </c>
      <c r="E770" s="25">
        <v>222.34299999999999</v>
      </c>
      <c r="F770" s="8">
        <f>IF(Tabela1[[#This Row],[Core Consumer Price Index]]="",#N/A,((Tabela1[[#This Row],[Core Consumer Price Index]]*1)/E769)-1)</f>
        <v>8.7328774831307854E-4</v>
      </c>
      <c r="G770" s="8">
        <f>IF(Tabela1[[#This Row],[Core Consumer Price Index]]="",#N/A,((Tabela1[[#This Row],[Core Consumer Price Index]]*1)/E758)-1)</f>
        <v>6.6189486646655027E-3</v>
      </c>
      <c r="H770" s="8">
        <f t="shared" si="42"/>
        <v>1.1392242575746891E-2</v>
      </c>
      <c r="I770" s="8">
        <f t="shared" si="43"/>
        <v>1.0367145629160746E-2</v>
      </c>
      <c r="J770" s="25">
        <v>262.733</v>
      </c>
      <c r="K770" s="8">
        <f>IF(Tabela1[[#This Row],[Services CPI]]="",#N/A,((Tabela1[[#This Row],[Services CPI]]*1)/J769)-1)</f>
        <v>1.2308982127204882E-3</v>
      </c>
      <c r="L770" s="8">
        <f>IF(Tabela1[[#This Row],[Services CPI]]="",#N/A,((Tabela1[[#This Row],[Services CPI]]*1)/J758)-1)</f>
        <v>9.4050752060241827E-3</v>
      </c>
      <c r="M770" s="7">
        <v>269.94600000000003</v>
      </c>
      <c r="N770" s="8">
        <f>IF(Tabela1[[#This Row],[Core-Services CPI]]="",#N/A,((Tabela1[[#This Row],[Core-Services CPI]]*1)/M769)-1)</f>
        <v>1.0271851788676845E-3</v>
      </c>
      <c r="O770" s="8">
        <f>IF(Tabela1[[#This Row],[Core-Services CPI]]="",#N/A,((Tabela1[[#This Row],[Core-Services CPI]]*1)/M758)-1)</f>
        <v>1.0140849286772946E-2</v>
      </c>
      <c r="P770" s="7">
        <v>111.03400000000001</v>
      </c>
      <c r="Q770" s="8">
        <f>IF(Tabela1[[#This Row],[Durable Goods CPI]]="",#N/A,((Tabela1[[#This Row],[Durable Goods CPI]]*1)/P769)-1)</f>
        <v>2.6124949326611357E-4</v>
      </c>
      <c r="R770" s="8">
        <f>IF(Tabela1[[#This Row],[Durable Goods CPI]]="",#N/A,((Tabela1[[#This Row],[Durable Goods CPI]]*1)/P758)-1)</f>
        <v>-3.9739139015222413E-3</v>
      </c>
      <c r="S770" s="7">
        <v>0.67526624000000002</v>
      </c>
      <c r="T770" s="7">
        <v>91.268000000000001</v>
      </c>
      <c r="U770" s="8">
        <f>IF(Tabela1[[#This Row],[Personal Consumption Expenditures (PCE)]]="",#N/A,((Tabela1[[#This Row],[Personal Consumption Expenditures (PCE)]]*1)/T769)-1)</f>
        <v>2.2621949880301528E-3</v>
      </c>
      <c r="V770" s="8">
        <f>IF(Tabela1[[#This Row],[Personal Consumption Expenditures (PCE)]]="",#N/A,((Tabela1[[#This Row],[Personal Consumption Expenditures (PCE)]]*1)/T758)-1)</f>
        <v>1.477668197333748E-2</v>
      </c>
      <c r="W770" s="7">
        <v>90.179000000000002</v>
      </c>
      <c r="X770" s="8">
        <f>IF(Tabela1[[#This Row],[Core PCE]]="",#N/A,((Tabela1[[#This Row],[Core PCE]]*1)/W769)-1)</f>
        <v>2.107364685004498E-4</v>
      </c>
      <c r="Y770" s="8">
        <f>IF(Tabela1[[#This Row],[Core PCE]]="",#N/A,((Tabela1[[#This Row],[Core PCE]]*1)/W758)-1)</f>
        <v>1.0567483975077341E-2</v>
      </c>
      <c r="Z770" s="8">
        <f t="shared" si="41"/>
        <v>1.2135717660159528E-2</v>
      </c>
      <c r="AA770" s="8">
        <f t="shared" si="40"/>
        <v>9.1636097593528199E-3</v>
      </c>
      <c r="AB770" s="7">
        <v>0.89</v>
      </c>
      <c r="AC770" s="7">
        <v>103.1</v>
      </c>
      <c r="AD770" s="8">
        <f>IF(Tabela1[[#This Row],[Producer Price Index (PPI)]]="",#N/A,((Tabela1[[#This Row],[Producer Price Index (PPI)]]*1)/AC769)-1)</f>
        <v>2.9182879377431803E-3</v>
      </c>
      <c r="AE770" s="8">
        <f>IF(Tabela1[[#This Row],[Producer Price Index (PPI)]]="",#N/A,((Tabela1[[#This Row],[Producer Price Index (PPI)]]*1)/AC758)-1)</f>
        <v>2.7916251246261181E-2</v>
      </c>
      <c r="AF770" s="7">
        <v>3</v>
      </c>
      <c r="AG770" s="5"/>
    </row>
    <row r="771" spans="1:33" ht="12.75">
      <c r="A771" s="6">
        <v>40544</v>
      </c>
      <c r="B771" s="7">
        <v>221.18700000000001</v>
      </c>
      <c r="C771" s="8">
        <f>IF(Tabela1[[#This Row],[Consumer Price Index (CPI)]]="",#N/A,((Tabela1[[#This Row],[Consumer Price Index (CPI)]]*1)/B770)-1)</f>
        <v>3.2430422003701942E-3</v>
      </c>
      <c r="D771" s="8">
        <f>IF(Tabela1[[#This Row],[Consumer Price Index (CPI)]]="",#N/A,((Tabela1[[#This Row],[Consumer Price Index (CPI)]]*1)/B759)-1)</f>
        <v>1.7007834915029774E-2</v>
      </c>
      <c r="E771" s="25">
        <v>222.803</v>
      </c>
      <c r="F771" s="8">
        <f>IF(Tabela1[[#This Row],[Core Consumer Price Index]]="",#N/A,((Tabela1[[#This Row],[Core Consumer Price Index]]*1)/E770)-1)</f>
        <v>2.0688755661297797E-3</v>
      </c>
      <c r="G771" s="8">
        <f>IF(Tabela1[[#This Row],[Core Consumer Price Index]]="",#N/A,((Tabela1[[#This Row],[Core Consumer Price Index]]*1)/E759)-1)</f>
        <v>9.8353374155271123E-3</v>
      </c>
      <c r="H771" s="8">
        <f t="shared" si="42"/>
        <v>1.7520805807020423E-2</v>
      </c>
      <c r="I771" s="8">
        <f t="shared" si="43"/>
        <v>1.2976826379764272E-2</v>
      </c>
      <c r="J771" s="25">
        <v>263.15899999999999</v>
      </c>
      <c r="K771" s="8">
        <f>IF(Tabela1[[#This Row],[Services CPI]]="",#N/A,((Tabela1[[#This Row],[Services CPI]]*1)/J770)-1)</f>
        <v>1.621417941408243E-3</v>
      </c>
      <c r="L771" s="8">
        <f>IF(Tabela1[[#This Row],[Services CPI]]="",#N/A,((Tabela1[[#This Row],[Services CPI]]*1)/J759)-1)</f>
        <v>1.2800529570916597E-2</v>
      </c>
      <c r="M771" s="7">
        <v>270.48700000000002</v>
      </c>
      <c r="N771" s="8">
        <f>IF(Tabela1[[#This Row],[Core-Services CPI]]="",#N/A,((Tabela1[[#This Row],[Core-Services CPI]]*1)/M770)-1)</f>
        <v>2.0041045246086409E-3</v>
      </c>
      <c r="O771" s="8">
        <f>IF(Tabela1[[#This Row],[Core-Services CPI]]="",#N/A,((Tabela1[[#This Row],[Core-Services CPI]]*1)/M759)-1)</f>
        <v>1.405118861508825E-2</v>
      </c>
      <c r="P771" s="7">
        <v>111.10599999999999</v>
      </c>
      <c r="Q771" s="8">
        <f>IF(Tabela1[[#This Row],[Durable Goods CPI]]="",#N/A,((Tabela1[[#This Row],[Durable Goods CPI]]*1)/P770)-1)</f>
        <v>6.4845002431668242E-4</v>
      </c>
      <c r="R771" s="8">
        <f>IF(Tabela1[[#This Row],[Durable Goods CPI]]="",#N/A,((Tabela1[[#This Row],[Durable Goods CPI]]*1)/P759)-1)</f>
        <v>-7.3972162166991984E-3</v>
      </c>
      <c r="S771" s="7">
        <v>0.82600200999999995</v>
      </c>
      <c r="T771" s="7">
        <v>91.542000000000002</v>
      </c>
      <c r="U771" s="8">
        <f>IF(Tabela1[[#This Row],[Personal Consumption Expenditures (PCE)]]="",#N/A,((Tabela1[[#This Row],[Personal Consumption Expenditures (PCE)]]*1)/T770)-1)</f>
        <v>3.0021475215848969E-3</v>
      </c>
      <c r="V771" s="8">
        <f>IF(Tabela1[[#This Row],[Personal Consumption Expenditures (PCE)]]="",#N/A,((Tabela1[[#This Row],[Personal Consumption Expenditures (PCE)]]*1)/T759)-1)</f>
        <v>1.5598650927487467E-2</v>
      </c>
      <c r="W771" s="7">
        <v>90.372</v>
      </c>
      <c r="X771" s="8">
        <f>IF(Tabela1[[#This Row],[Core PCE]]="",#N/A,((Tabela1[[#This Row],[Core PCE]]*1)/W770)-1)</f>
        <v>2.1401878486122516E-3</v>
      </c>
      <c r="Y771" s="8">
        <f>IF(Tabela1[[#This Row],[Core PCE]]="",#N/A,((Tabela1[[#This Row],[Core PCE]]*1)/W759)-1)</f>
        <v>1.1234446334258408E-2</v>
      </c>
      <c r="Z771" s="8">
        <f t="shared" si="41"/>
        <v>1.4601214010451002E-2</v>
      </c>
      <c r="AA771" s="8">
        <f t="shared" si="40"/>
        <v>1.3399425651749119E-2</v>
      </c>
      <c r="AB771" s="7">
        <v>1</v>
      </c>
      <c r="AC771" s="7">
        <v>103.7</v>
      </c>
      <c r="AD771" s="8">
        <f>IF(Tabela1[[#This Row],[Producer Price Index (PPI)]]="",#N/A,((Tabela1[[#This Row],[Producer Price Index (PPI)]]*1)/AC770)-1)</f>
        <v>5.8195926285160571E-3</v>
      </c>
      <c r="AE771" s="8">
        <f>IF(Tabela1[[#This Row],[Producer Price Index (PPI)]]="",#N/A,((Tabela1[[#This Row],[Producer Price Index (PPI)]]*1)/AC759)-1)</f>
        <v>2.4703557312252933E-2</v>
      </c>
      <c r="AF771" s="7">
        <v>3.4</v>
      </c>
      <c r="AG771" s="5"/>
    </row>
    <row r="772" spans="1:33" ht="12.75">
      <c r="A772" s="6">
        <v>40575</v>
      </c>
      <c r="B772" s="7">
        <v>221.898</v>
      </c>
      <c r="C772" s="8">
        <f>IF(Tabela1[[#This Row],[Consumer Price Index (CPI)]]="",#N/A,((Tabela1[[#This Row],[Consumer Price Index (CPI)]]*1)/B771)-1)</f>
        <v>3.2144746300641902E-3</v>
      </c>
      <c r="D772" s="8">
        <f>IF(Tabela1[[#This Row],[Consumer Price Index (CPI)]]="",#N/A,((Tabela1[[#This Row],[Consumer Price Index (CPI)]]*1)/B760)-1)</f>
        <v>2.1248981733331451E-2</v>
      </c>
      <c r="E772" s="25">
        <v>223.21299999999999</v>
      </c>
      <c r="F772" s="8">
        <f>IF(Tabela1[[#This Row],[Core Consumer Price Index]]="",#N/A,((Tabela1[[#This Row],[Core Consumer Price Index]]*1)/E771)-1)</f>
        <v>1.8401906617055985E-3</v>
      </c>
      <c r="G772" s="8">
        <f>IF(Tabela1[[#This Row],[Core Consumer Price Index]]="",#N/A,((Tabela1[[#This Row],[Core Consumer Price Index]]*1)/E760)-1)</f>
        <v>1.1244455921461061E-2</v>
      </c>
      <c r="H772" s="8">
        <f t="shared" si="42"/>
        <v>1.9129415904593827E-2</v>
      </c>
      <c r="I772" s="8">
        <f t="shared" si="43"/>
        <v>1.533810740186059E-2</v>
      </c>
      <c r="J772" s="25">
        <v>263.70100000000002</v>
      </c>
      <c r="K772" s="8">
        <f>IF(Tabela1[[#This Row],[Services CPI]]="",#N/A,((Tabela1[[#This Row],[Services CPI]]*1)/J771)-1)</f>
        <v>2.0595913497163387E-3</v>
      </c>
      <c r="L772" s="8">
        <f>IF(Tabela1[[#This Row],[Services CPI]]="",#N/A,((Tabela1[[#This Row],[Services CPI]]*1)/J760)-1)</f>
        <v>1.4351655960303189E-2</v>
      </c>
      <c r="M772" s="7">
        <v>270.98899999999998</v>
      </c>
      <c r="N772" s="8">
        <f>IF(Tabela1[[#This Row],[Core-Services CPI]]="",#N/A,((Tabela1[[#This Row],[Core-Services CPI]]*1)/M771)-1)</f>
        <v>1.8559117443719408E-3</v>
      </c>
      <c r="O772" s="8">
        <f>IF(Tabela1[[#This Row],[Core-Services CPI]]="",#N/A,((Tabela1[[#This Row],[Core-Services CPI]]*1)/M760)-1)</f>
        <v>1.515679377245327E-2</v>
      </c>
      <c r="P772" s="7">
        <v>111.401</v>
      </c>
      <c r="Q772" s="8">
        <f>IF(Tabela1[[#This Row],[Durable Goods CPI]]="",#N/A,((Tabela1[[#This Row],[Durable Goods CPI]]*1)/P771)-1)</f>
        <v>2.6551221356183596E-3</v>
      </c>
      <c r="R772" s="8">
        <f>IF(Tabela1[[#This Row],[Durable Goods CPI]]="",#N/A,((Tabela1[[#This Row],[Durable Goods CPI]]*1)/P760)-1)</f>
        <v>-3.6669021831484683E-3</v>
      </c>
      <c r="S772" s="7">
        <v>0.83710132000000004</v>
      </c>
      <c r="T772" s="7">
        <v>91.796999999999997</v>
      </c>
      <c r="U772" s="8">
        <f>IF(Tabela1[[#This Row],[Personal Consumption Expenditures (PCE)]]="",#N/A,((Tabela1[[#This Row],[Personal Consumption Expenditures (PCE)]]*1)/T771)-1)</f>
        <v>2.7856066068034924E-3</v>
      </c>
      <c r="V772" s="8">
        <f>IF(Tabela1[[#This Row],[Personal Consumption Expenditures (PCE)]]="",#N/A,((Tabela1[[#This Row],[Personal Consumption Expenditures (PCE)]]*1)/T760)-1)</f>
        <v>1.8450307320212023E-2</v>
      </c>
      <c r="W772" s="7">
        <v>90.53</v>
      </c>
      <c r="X772" s="8">
        <f>IF(Tabela1[[#This Row],[Core PCE]]="",#N/A,((Tabela1[[#This Row],[Core PCE]]*1)/W771)-1)</f>
        <v>1.7483291284912106E-3</v>
      </c>
      <c r="Y772" s="8">
        <f>IF(Tabela1[[#This Row],[Core PCE]]="",#N/A,((Tabela1[[#This Row],[Core PCE]]*1)/W760)-1)</f>
        <v>1.2119043892404369E-2</v>
      </c>
      <c r="Z772" s="8">
        <f t="shared" si="41"/>
        <v>1.6397013782415648E-2</v>
      </c>
      <c r="AA772" s="8">
        <f t="shared" si="40"/>
        <v>1.4980054990062719E-2</v>
      </c>
      <c r="AB772" s="7">
        <v>1.1599999999999999</v>
      </c>
      <c r="AC772" s="7">
        <v>104.3</v>
      </c>
      <c r="AD772" s="8">
        <f>IF(Tabela1[[#This Row],[Producer Price Index (PPI)]]="",#N/A,((Tabela1[[#This Row],[Producer Price Index (PPI)]]*1)/AC771)-1)</f>
        <v>5.7859209257473676E-3</v>
      </c>
      <c r="AE772" s="8">
        <f>IF(Tabela1[[#This Row],[Producer Price Index (PPI)]]="",#N/A,((Tabela1[[#This Row],[Producer Price Index (PPI)]]*1)/AC760)-1)</f>
        <v>3.2673267326732702E-2</v>
      </c>
      <c r="AF772" s="7">
        <v>3.4</v>
      </c>
      <c r="AG772" s="5"/>
    </row>
    <row r="773" spans="1:33" ht="12.75">
      <c r="A773" s="6">
        <v>40603</v>
      </c>
      <c r="B773" s="7">
        <v>223.04599999999999</v>
      </c>
      <c r="C773" s="8">
        <f>IF(Tabela1[[#This Row],[Consumer Price Index (CPI)]]="",#N/A,((Tabela1[[#This Row],[Consumer Price Index (CPI)]]*1)/B772)-1)</f>
        <v>5.1735482068338001E-3</v>
      </c>
      <c r="D773" s="8">
        <f>IF(Tabela1[[#This Row],[Consumer Price Index (CPI)]]="",#N/A,((Tabela1[[#This Row],[Consumer Price Index (CPI)]]*1)/B761)-1)</f>
        <v>2.6192415103541089E-2</v>
      </c>
      <c r="E773" s="25">
        <v>223.45400000000001</v>
      </c>
      <c r="F773" s="8">
        <f>IF(Tabela1[[#This Row],[Core Consumer Price Index]]="",#N/A,((Tabela1[[#This Row],[Core Consumer Price Index]]*1)/E772)-1)</f>
        <v>1.0796862189927925E-3</v>
      </c>
      <c r="G773" s="8">
        <f>IF(Tabela1[[#This Row],[Core Consumer Price Index]]="",#N/A,((Tabela1[[#This Row],[Core Consumer Price Index]]*1)/E761)-1)</f>
        <v>1.2097851736773357E-2</v>
      </c>
      <c r="H773" s="8">
        <f t="shared" si="42"/>
        <v>1.9955009787312683E-2</v>
      </c>
      <c r="I773" s="8">
        <f t="shared" si="43"/>
        <v>1.5673626181529787E-2</v>
      </c>
      <c r="J773" s="25">
        <v>264.11399999999998</v>
      </c>
      <c r="K773" s="8">
        <f>IF(Tabela1[[#This Row],[Services CPI]]="",#N/A,((Tabela1[[#This Row],[Services CPI]]*1)/J772)-1)</f>
        <v>1.5661677430118814E-3</v>
      </c>
      <c r="L773" s="8">
        <f>IF(Tabela1[[#This Row],[Services CPI]]="",#N/A,((Tabela1[[#This Row],[Services CPI]]*1)/J761)-1)</f>
        <v>1.4488634181192506E-2</v>
      </c>
      <c r="M773" s="7">
        <v>271.35500000000002</v>
      </c>
      <c r="N773" s="8">
        <f>IF(Tabela1[[#This Row],[Core-Services CPI]]="",#N/A,((Tabela1[[#This Row],[Core-Services CPI]]*1)/M772)-1)</f>
        <v>1.3506083272754044E-3</v>
      </c>
      <c r="O773" s="8">
        <f>IF(Tabela1[[#This Row],[Core-Services CPI]]="",#N/A,((Tabela1[[#This Row],[Core-Services CPI]]*1)/M761)-1)</f>
        <v>1.572881457441988E-2</v>
      </c>
      <c r="P773" s="7">
        <v>111.753</v>
      </c>
      <c r="Q773" s="8">
        <f>IF(Tabela1[[#This Row],[Durable Goods CPI]]="",#N/A,((Tabela1[[#This Row],[Durable Goods CPI]]*1)/P772)-1)</f>
        <v>3.159756196084551E-3</v>
      </c>
      <c r="R773" s="8">
        <f>IF(Tabela1[[#This Row],[Durable Goods CPI]]="",#N/A,((Tabela1[[#This Row],[Durable Goods CPI]]*1)/P761)-1)</f>
        <v>6.2677399425159486E-4</v>
      </c>
      <c r="S773" s="7">
        <v>0.96003713000000002</v>
      </c>
      <c r="T773" s="7">
        <v>92.165999999999997</v>
      </c>
      <c r="U773" s="8">
        <f>IF(Tabela1[[#This Row],[Personal Consumption Expenditures (PCE)]]="",#N/A,((Tabela1[[#This Row],[Personal Consumption Expenditures (PCE)]]*1)/T772)-1)</f>
        <v>4.0197392071636973E-3</v>
      </c>
      <c r="V773" s="8">
        <f>IF(Tabela1[[#This Row],[Personal Consumption Expenditures (PCE)]]="",#N/A,((Tabela1[[#This Row],[Personal Consumption Expenditures (PCE)]]*1)/T761)-1)</f>
        <v>2.1105460830258993E-2</v>
      </c>
      <c r="W773" s="7">
        <v>90.667000000000002</v>
      </c>
      <c r="X773" s="8">
        <f>IF(Tabela1[[#This Row],[Core PCE]]="",#N/A,((Tabela1[[#This Row],[Core PCE]]*1)/W772)-1)</f>
        <v>1.5133105048050766E-3</v>
      </c>
      <c r="Y773" s="8">
        <f>IF(Tabela1[[#This Row],[Core PCE]]="",#N/A,((Tabela1[[#This Row],[Core PCE]]*1)/W761)-1)</f>
        <v>1.2145703792183493E-2</v>
      </c>
      <c r="Z773" s="8">
        <f t="shared" si="41"/>
        <v>2.1607309927634155E-2</v>
      </c>
      <c r="AA773" s="8">
        <f t="shared" si="40"/>
        <v>1.6871513793896842E-2</v>
      </c>
      <c r="AB773" s="7">
        <v>1.29</v>
      </c>
      <c r="AC773" s="7">
        <v>105</v>
      </c>
      <c r="AD773" s="8">
        <f>IF(Tabela1[[#This Row],[Producer Price Index (PPI)]]="",#N/A,((Tabela1[[#This Row],[Producer Price Index (PPI)]]*1)/AC772)-1)</f>
        <v>6.7114093959732557E-3</v>
      </c>
      <c r="AE773" s="8">
        <f>IF(Tabela1[[#This Row],[Producer Price Index (PPI)]]="",#N/A,((Tabela1[[#This Row],[Producer Price Index (PPI)]]*1)/AC761)-1)</f>
        <v>3.8575667655786461E-2</v>
      </c>
      <c r="AF773" s="7">
        <v>4.5999999999999996</v>
      </c>
      <c r="AG773" s="5"/>
    </row>
    <row r="774" spans="1:33" ht="12.75">
      <c r="A774" s="6">
        <v>40634</v>
      </c>
      <c r="B774" s="7">
        <v>224.09299999999999</v>
      </c>
      <c r="C774" s="8">
        <f>IF(Tabela1[[#This Row],[Consumer Price Index (CPI)]]="",#N/A,((Tabela1[[#This Row],[Consumer Price Index (CPI)]]*1)/B773)-1)</f>
        <v>4.6940989750992035E-3</v>
      </c>
      <c r="D774" s="8">
        <f>IF(Tabela1[[#This Row],[Consumer Price Index (CPI)]]="",#N/A,((Tabela1[[#This Row],[Consumer Price Index (CPI)]]*1)/B762)-1)</f>
        <v>3.0772344447868694E-2</v>
      </c>
      <c r="E774" s="25">
        <v>223.727</v>
      </c>
      <c r="F774" s="8">
        <f>IF(Tabela1[[#This Row],[Core Consumer Price Index]]="",#N/A,((Tabela1[[#This Row],[Core Consumer Price Index]]*1)/E773)-1)</f>
        <v>1.2217279619071153E-3</v>
      </c>
      <c r="G774" s="8">
        <f>IF(Tabela1[[#This Row],[Core Consumer Price Index]]="",#N/A,((Tabela1[[#This Row],[Core Consumer Price Index]]*1)/E762)-1)</f>
        <v>1.3155392125784537E-2</v>
      </c>
      <c r="H774" s="8">
        <f t="shared" si="42"/>
        <v>1.6566419370422025E-2</v>
      </c>
      <c r="I774" s="8">
        <f t="shared" si="43"/>
        <v>1.7043612588721224E-2</v>
      </c>
      <c r="J774" s="25">
        <v>264.46499999999997</v>
      </c>
      <c r="K774" s="8">
        <f>IF(Tabela1[[#This Row],[Services CPI]]="",#N/A,((Tabela1[[#This Row],[Services CPI]]*1)/J773)-1)</f>
        <v>1.3289715804538638E-3</v>
      </c>
      <c r="L774" s="8">
        <f>IF(Tabela1[[#This Row],[Services CPI]]="",#N/A,((Tabela1[[#This Row],[Services CPI]]*1)/J762)-1)</f>
        <v>1.4550853179474466E-2</v>
      </c>
      <c r="M774" s="7">
        <v>271.642</v>
      </c>
      <c r="N774" s="8">
        <f>IF(Tabela1[[#This Row],[Core-Services CPI]]="",#N/A,((Tabela1[[#This Row],[Core-Services CPI]]*1)/M773)-1)</f>
        <v>1.0576551012511093E-3</v>
      </c>
      <c r="O774" s="8">
        <f>IF(Tabela1[[#This Row],[Core-Services CPI]]="",#N/A,((Tabela1[[#This Row],[Core-Services CPI]]*1)/M762)-1)</f>
        <v>1.5430968098865794E-2</v>
      </c>
      <c r="P774" s="7">
        <v>112.122</v>
      </c>
      <c r="Q774" s="8">
        <f>IF(Tabela1[[#This Row],[Durable Goods CPI]]="",#N/A,((Tabela1[[#This Row],[Durable Goods CPI]]*1)/P773)-1)</f>
        <v>3.3019247805428087E-3</v>
      </c>
      <c r="R774" s="8">
        <f>IF(Tabela1[[#This Row],[Durable Goods CPI]]="",#N/A,((Tabela1[[#This Row],[Durable Goods CPI]]*1)/P762)-1)</f>
        <v>6.5082542617844741E-3</v>
      </c>
      <c r="S774" s="7">
        <v>1.1238816</v>
      </c>
      <c r="T774" s="7">
        <v>92.557000000000002</v>
      </c>
      <c r="U774" s="8">
        <f>IF(Tabela1[[#This Row],[Personal Consumption Expenditures (PCE)]]="",#N/A,((Tabela1[[#This Row],[Personal Consumption Expenditures (PCE)]]*1)/T773)-1)</f>
        <v>4.2423453334201611E-3</v>
      </c>
      <c r="V774" s="8">
        <f>IF(Tabela1[[#This Row],[Personal Consumption Expenditures (PCE)]]="",#N/A,((Tabela1[[#This Row],[Personal Consumption Expenditures (PCE)]]*1)/T762)-1)</f>
        <v>2.4880965563060631E-2</v>
      </c>
      <c r="W774" s="7">
        <v>90.875</v>
      </c>
      <c r="X774" s="8">
        <f>IF(Tabela1[[#This Row],[Core PCE]]="",#N/A,((Tabela1[[#This Row],[Core PCE]]*1)/W773)-1)</f>
        <v>2.2941092128336837E-3</v>
      </c>
      <c r="Y774" s="8">
        <f>IF(Tabela1[[#This Row],[Core PCE]]="",#N/A,((Tabela1[[#This Row],[Core PCE]]*1)/W762)-1)</f>
        <v>1.3947001394700065E-2</v>
      </c>
      <c r="Z774" s="8">
        <f t="shared" si="41"/>
        <v>2.2222995384519884E-2</v>
      </c>
      <c r="AA774" s="8">
        <f t="shared" si="40"/>
        <v>1.8412104697485443E-2</v>
      </c>
      <c r="AB774" s="7">
        <v>1.42</v>
      </c>
      <c r="AC774" s="7">
        <v>105.5</v>
      </c>
      <c r="AD774" s="8">
        <f>IF(Tabela1[[#This Row],[Producer Price Index (PPI)]]="",#N/A,((Tabela1[[#This Row],[Producer Price Index (PPI)]]*1)/AC773)-1)</f>
        <v>4.761904761904745E-3</v>
      </c>
      <c r="AE774" s="8">
        <f>IF(Tabela1[[#This Row],[Producer Price Index (PPI)]]="",#N/A,((Tabela1[[#This Row],[Producer Price Index (PPI)]]*1)/AC762)-1)</f>
        <v>4.0433925049309538E-2</v>
      </c>
      <c r="AF774" s="7">
        <v>4.5999999999999996</v>
      </c>
      <c r="AG774" s="5"/>
    </row>
    <row r="775" spans="1:33" ht="12.75">
      <c r="A775" s="6">
        <v>40664</v>
      </c>
      <c r="B775" s="7">
        <v>224.80600000000001</v>
      </c>
      <c r="C775" s="8">
        <f>IF(Tabela1[[#This Row],[Consumer Price Index (CPI)]]="",#N/A,((Tabela1[[#This Row],[Consumer Price Index (CPI)]]*1)/B774)-1)</f>
        <v>3.1817147345076791E-3</v>
      </c>
      <c r="D775" s="8">
        <f>IF(Tabela1[[#This Row],[Consumer Price Index (CPI)]]="",#N/A,((Tabela1[[#This Row],[Consumer Price Index (CPI)]]*1)/B763)-1)</f>
        <v>3.4589718808964998E-2</v>
      </c>
      <c r="E775" s="25">
        <v>224.17500000000001</v>
      </c>
      <c r="F775" s="8">
        <f>IF(Tabela1[[#This Row],[Core Consumer Price Index]]="",#N/A,((Tabela1[[#This Row],[Core Consumer Price Index]]*1)/E774)-1)</f>
        <v>2.0024404743281821E-3</v>
      </c>
      <c r="G775" s="8">
        <f>IF(Tabela1[[#This Row],[Core Consumer Price Index]]="",#N/A,((Tabela1[[#This Row],[Core Consumer Price Index]]*1)/E763)-1)</f>
        <v>1.4540961794335727E-2</v>
      </c>
      <c r="H775" s="8">
        <f t="shared" si="42"/>
        <v>1.7215418620912359E-2</v>
      </c>
      <c r="I775" s="8">
        <f t="shared" si="43"/>
        <v>1.8172417262753093E-2</v>
      </c>
      <c r="J775" s="25">
        <v>264.86</v>
      </c>
      <c r="K775" s="8">
        <f>IF(Tabela1[[#This Row],[Services CPI]]="",#N/A,((Tabela1[[#This Row],[Services CPI]]*1)/J774)-1)</f>
        <v>1.4935813812793075E-3</v>
      </c>
      <c r="L775" s="8">
        <f>IF(Tabela1[[#This Row],[Services CPI]]="",#N/A,((Tabela1[[#This Row],[Services CPI]]*1)/J763)-1)</f>
        <v>1.5053730473839844E-2</v>
      </c>
      <c r="M775" s="7">
        <v>271.98399999999998</v>
      </c>
      <c r="N775" s="8">
        <f>IF(Tabela1[[#This Row],[Core-Services CPI]]="",#N/A,((Tabela1[[#This Row],[Core-Services CPI]]*1)/M774)-1)</f>
        <v>1.2590100205416288E-3</v>
      </c>
      <c r="O775" s="8">
        <f>IF(Tabela1[[#This Row],[Core-Services CPI]]="",#N/A,((Tabela1[[#This Row],[Core-Services CPI]]*1)/M763)-1)</f>
        <v>1.5422638536809252E-2</v>
      </c>
      <c r="P775" s="7">
        <v>112.55200000000001</v>
      </c>
      <c r="Q775" s="8">
        <f>IF(Tabela1[[#This Row],[Durable Goods CPI]]="",#N/A,((Tabela1[[#This Row],[Durable Goods CPI]]*1)/P774)-1)</f>
        <v>3.8351081857264102E-3</v>
      </c>
      <c r="R775" s="8">
        <f>IF(Tabela1[[#This Row],[Durable Goods CPI]]="",#N/A,((Tabela1[[#This Row],[Durable Goods CPI]]*1)/P763)-1)</f>
        <v>1.2103663471395354E-2</v>
      </c>
      <c r="S775" s="7">
        <v>1.1861014000000001</v>
      </c>
      <c r="T775" s="7">
        <v>92.837999999999994</v>
      </c>
      <c r="U775" s="8">
        <f>IF(Tabela1[[#This Row],[Personal Consumption Expenditures (PCE)]]="",#N/A,((Tabela1[[#This Row],[Personal Consumption Expenditures (PCE)]]*1)/T774)-1)</f>
        <v>3.0359670257245064E-3</v>
      </c>
      <c r="V775" s="8">
        <f>IF(Tabela1[[#This Row],[Personal Consumption Expenditures (PCE)]]="",#N/A,((Tabela1[[#This Row],[Personal Consumption Expenditures (PCE)]]*1)/T763)-1)</f>
        <v>2.7662471357885243E-2</v>
      </c>
      <c r="W775" s="7">
        <v>91.090999999999994</v>
      </c>
      <c r="X775" s="8">
        <f>IF(Tabela1[[#This Row],[Core PCE]]="",#N/A,((Tabela1[[#This Row],[Core PCE]]*1)/W774)-1)</f>
        <v>2.3768913342503417E-3</v>
      </c>
      <c r="Y775" s="8">
        <f>IF(Tabela1[[#This Row],[Core PCE]]="",#N/A,((Tabela1[[#This Row],[Core PCE]]*1)/W763)-1)</f>
        <v>1.5235611430609364E-2</v>
      </c>
      <c r="Z775" s="8">
        <f t="shared" si="41"/>
        <v>2.4737244207556408E-2</v>
      </c>
      <c r="AA775" s="8">
        <f t="shared" si="40"/>
        <v>2.0567128994986028E-2</v>
      </c>
      <c r="AB775" s="7">
        <v>1.56</v>
      </c>
      <c r="AC775" s="7">
        <v>105.8</v>
      </c>
      <c r="AD775" s="8">
        <f>IF(Tabela1[[#This Row],[Producer Price Index (PPI)]]="",#N/A,((Tabela1[[#This Row],[Producer Price Index (PPI)]]*1)/AC774)-1)</f>
        <v>2.8436018957345155E-3</v>
      </c>
      <c r="AE775" s="8">
        <f>IF(Tabela1[[#This Row],[Producer Price Index (PPI)]]="",#N/A,((Tabela1[[#This Row],[Producer Price Index (PPI)]]*1)/AC763)-1)</f>
        <v>4.1338582677165281E-2</v>
      </c>
      <c r="AF775" s="7">
        <v>4.0999999999999996</v>
      </c>
      <c r="AG775" s="5"/>
    </row>
    <row r="776" spans="1:33" ht="12.75">
      <c r="A776" s="6">
        <v>40695</v>
      </c>
      <c r="B776" s="7">
        <v>224.80600000000001</v>
      </c>
      <c r="C776" s="8">
        <f>IF(Tabela1[[#This Row],[Consumer Price Index (CPI)]]="",#N/A,((Tabela1[[#This Row],[Consumer Price Index (CPI)]]*1)/B775)-1)</f>
        <v>0</v>
      </c>
      <c r="D776" s="8">
        <f>IF(Tabela1[[#This Row],[Consumer Price Index (CPI)]]="",#N/A,((Tabela1[[#This Row],[Consumer Price Index (CPI)]]*1)/B764)-1)</f>
        <v>3.5023181506360412E-2</v>
      </c>
      <c r="E776" s="25">
        <v>224.697</v>
      </c>
      <c r="F776" s="8">
        <f>IF(Tabela1[[#This Row],[Core Consumer Price Index]]="",#N/A,((Tabela1[[#This Row],[Core Consumer Price Index]]*1)/E775)-1)</f>
        <v>2.3285379725659361E-3</v>
      </c>
      <c r="G776" s="8">
        <f>IF(Tabela1[[#This Row],[Core Consumer Price Index]]="",#N/A,((Tabela1[[#This Row],[Core Consumer Price Index]]*1)/E764)-1)</f>
        <v>1.5836776766096738E-2</v>
      </c>
      <c r="H776" s="8">
        <f t="shared" si="42"/>
        <v>2.2210825635204934E-2</v>
      </c>
      <c r="I776" s="8">
        <f t="shared" si="43"/>
        <v>2.1082917711258808E-2</v>
      </c>
      <c r="J776" s="25">
        <v>265.28399999999999</v>
      </c>
      <c r="K776" s="8">
        <f>IF(Tabela1[[#This Row],[Services CPI]]="",#N/A,((Tabela1[[#This Row],[Services CPI]]*1)/J775)-1)</f>
        <v>1.6008457298195555E-3</v>
      </c>
      <c r="L776" s="8">
        <f>IF(Tabela1[[#This Row],[Services CPI]]="",#N/A,((Tabela1[[#This Row],[Services CPI]]*1)/J764)-1)</f>
        <v>1.568219060600029E-2</v>
      </c>
      <c r="M776" s="7">
        <v>272.51400000000001</v>
      </c>
      <c r="N776" s="8">
        <f>IF(Tabela1[[#This Row],[Core-Services CPI]]="",#N/A,((Tabela1[[#This Row],[Core-Services CPI]]*1)/M775)-1)</f>
        <v>1.9486440378846392E-3</v>
      </c>
      <c r="O776" s="8">
        <f>IF(Tabela1[[#This Row],[Core-Services CPI]]="",#N/A,((Tabela1[[#This Row],[Core-Services CPI]]*1)/M764)-1)</f>
        <v>1.6035762621498639E-2</v>
      </c>
      <c r="P776" s="7">
        <v>112.922</v>
      </c>
      <c r="Q776" s="8">
        <f>IF(Tabela1[[#This Row],[Durable Goods CPI]]="",#N/A,((Tabela1[[#This Row],[Durable Goods CPI]]*1)/P775)-1)</f>
        <v>3.2873693937023329E-3</v>
      </c>
      <c r="R776" s="8">
        <f>IF(Tabela1[[#This Row],[Durable Goods CPI]]="",#N/A,((Tabela1[[#This Row],[Durable Goods CPI]]*1)/P764)-1)</f>
        <v>1.7416140338231578E-2</v>
      </c>
      <c r="S776" s="7">
        <v>1.2155499999999999</v>
      </c>
      <c r="T776" s="7">
        <v>92.819000000000003</v>
      </c>
      <c r="U776" s="8">
        <f>IF(Tabela1[[#This Row],[Personal Consumption Expenditures (PCE)]]="",#N/A,((Tabela1[[#This Row],[Personal Consumption Expenditures (PCE)]]*1)/T775)-1)</f>
        <v>-2.0465757556165087E-4</v>
      </c>
      <c r="V776" s="8">
        <f>IF(Tabela1[[#This Row],[Personal Consumption Expenditures (PCE)]]="",#N/A,((Tabela1[[#This Row],[Personal Consumption Expenditures (PCE)]]*1)/T764)-1)</f>
        <v>2.7884519551278464E-2</v>
      </c>
      <c r="W776" s="7">
        <v>91.191000000000003</v>
      </c>
      <c r="X776" s="8">
        <f>IF(Tabela1[[#This Row],[Core PCE]]="",#N/A,((Tabela1[[#This Row],[Core PCE]]*1)/W775)-1)</f>
        <v>1.0978032956054928E-3</v>
      </c>
      <c r="Y776" s="8">
        <f>IF(Tabela1[[#This Row],[Core PCE]]="",#N/A,((Tabela1[[#This Row],[Core PCE]]*1)/W764)-1)</f>
        <v>1.5863290518787654E-2</v>
      </c>
      <c r="Z776" s="8">
        <f t="shared" si="41"/>
        <v>2.3075215370758073E-2</v>
      </c>
      <c r="AA776" s="8">
        <f t="shared" si="40"/>
        <v>2.2341262649196114E-2</v>
      </c>
      <c r="AB776" s="7">
        <v>1.62</v>
      </c>
      <c r="AC776" s="7">
        <v>105.9</v>
      </c>
      <c r="AD776" s="8">
        <f>IF(Tabela1[[#This Row],[Producer Price Index (PPI)]]="",#N/A,((Tabela1[[#This Row],[Producer Price Index (PPI)]]*1)/AC775)-1)</f>
        <v>9.4517958412110303E-4</v>
      </c>
      <c r="AE776" s="8">
        <f>IF(Tabela1[[#This Row],[Producer Price Index (PPI)]]="",#N/A,((Tabela1[[#This Row],[Producer Price Index (PPI)]]*1)/AC764)-1)</f>
        <v>4.4378698224851965E-2</v>
      </c>
      <c r="AF776" s="7">
        <v>3.8</v>
      </c>
      <c r="AG776" s="5"/>
    </row>
    <row r="777" spans="1:33" ht="12.75">
      <c r="A777" s="6">
        <v>40725</v>
      </c>
      <c r="B777" s="7">
        <v>225.39500000000001</v>
      </c>
      <c r="C777" s="8">
        <f>IF(Tabela1[[#This Row],[Consumer Price Index (CPI)]]="",#N/A,((Tabela1[[#This Row],[Consumer Price Index (CPI)]]*1)/B776)-1)</f>
        <v>2.6200368317570444E-3</v>
      </c>
      <c r="D777" s="8">
        <f>IF(Tabela1[[#This Row],[Consumer Price Index (CPI)]]="",#N/A,((Tabela1[[#This Row],[Consumer Price Index (CPI)]]*1)/B765)-1)</f>
        <v>3.5798809769996165E-2</v>
      </c>
      <c r="E777" s="25">
        <v>225.21799999999999</v>
      </c>
      <c r="F777" s="8">
        <f>IF(Tabela1[[#This Row],[Core Consumer Price Index]]="",#N/A,((Tabela1[[#This Row],[Core Consumer Price Index]]*1)/E776)-1)</f>
        <v>2.3186780419852671E-3</v>
      </c>
      <c r="G777" s="8">
        <f>IF(Tabela1[[#This Row],[Core Consumer Price Index]]="",#N/A,((Tabela1[[#This Row],[Core Consumer Price Index]]*1)/E765)-1)</f>
        <v>1.741483445742964E-2</v>
      </c>
      <c r="H777" s="8">
        <f t="shared" si="42"/>
        <v>2.6598625955517541E-2</v>
      </c>
      <c r="I777" s="8">
        <f t="shared" si="43"/>
        <v>2.1582522662969783E-2</v>
      </c>
      <c r="J777" s="25">
        <v>265.96199999999999</v>
      </c>
      <c r="K777" s="8">
        <f>IF(Tabela1[[#This Row],[Services CPI]]="",#N/A,((Tabela1[[#This Row],[Services CPI]]*1)/J776)-1)</f>
        <v>2.5557515719003554E-3</v>
      </c>
      <c r="L777" s="8">
        <f>IF(Tabela1[[#This Row],[Services CPI]]="",#N/A,((Tabela1[[#This Row],[Services CPI]]*1)/J765)-1)</f>
        <v>1.6965873243475871E-2</v>
      </c>
      <c r="M777" s="7">
        <v>273.17500000000001</v>
      </c>
      <c r="N777" s="8">
        <f>IF(Tabela1[[#This Row],[Core-Services CPI]]="",#N/A,((Tabela1[[#This Row],[Core-Services CPI]]*1)/M776)-1)</f>
        <v>2.4255634572902807E-3</v>
      </c>
      <c r="O777" s="8">
        <f>IF(Tabela1[[#This Row],[Core-Services CPI]]="",#N/A,((Tabela1[[#This Row],[Core-Services CPI]]*1)/M765)-1)</f>
        <v>1.7415334880204414E-2</v>
      </c>
      <c r="P777" s="7">
        <v>113.20399999999999</v>
      </c>
      <c r="Q777" s="8">
        <f>IF(Tabela1[[#This Row],[Durable Goods CPI]]="",#N/A,((Tabela1[[#This Row],[Durable Goods CPI]]*1)/P776)-1)</f>
        <v>2.4972990205627266E-3</v>
      </c>
      <c r="R777" s="8">
        <f>IF(Tabela1[[#This Row],[Durable Goods CPI]]="",#N/A,((Tabela1[[#This Row],[Durable Goods CPI]]*1)/P765)-1)</f>
        <v>1.9075482738443617E-2</v>
      </c>
      <c r="S777" s="7">
        <v>1.2613949</v>
      </c>
      <c r="T777" s="7">
        <v>92.977000000000004</v>
      </c>
      <c r="U777" s="8">
        <f>IF(Tabela1[[#This Row],[Personal Consumption Expenditures (PCE)]]="",#N/A,((Tabela1[[#This Row],[Personal Consumption Expenditures (PCE)]]*1)/T776)-1)</f>
        <v>1.7022376884043844E-3</v>
      </c>
      <c r="V777" s="8">
        <f>IF(Tabela1[[#This Row],[Personal Consumption Expenditures (PCE)]]="",#N/A,((Tabela1[[#This Row],[Personal Consumption Expenditures (PCE)]]*1)/T765)-1)</f>
        <v>2.8756998384562582E-2</v>
      </c>
      <c r="W777" s="7">
        <v>91.325999999999993</v>
      </c>
      <c r="X777" s="8">
        <f>IF(Tabela1[[#This Row],[Core PCE]]="",#N/A,((Tabela1[[#This Row],[Core PCE]]*1)/W776)-1)</f>
        <v>1.4804092509128619E-3</v>
      </c>
      <c r="Y777" s="8">
        <f>IF(Tabela1[[#This Row],[Core PCE]]="",#N/A,((Tabela1[[#This Row],[Core PCE]]*1)/W765)-1)</f>
        <v>1.7344517595160758E-2</v>
      </c>
      <c r="Z777" s="8">
        <f t="shared" si="41"/>
        <v>1.9820415523074786E-2</v>
      </c>
      <c r="AA777" s="8">
        <f t="shared" si="40"/>
        <v>2.1021705453797335E-2</v>
      </c>
      <c r="AB777" s="7">
        <v>1.7</v>
      </c>
      <c r="AC777" s="7">
        <v>106.1</v>
      </c>
      <c r="AD777" s="8">
        <f>IF(Tabela1[[#This Row],[Producer Price Index (PPI)]]="",#N/A,((Tabela1[[#This Row],[Producer Price Index (PPI)]]*1)/AC776)-1)</f>
        <v>1.8885741265344258E-3</v>
      </c>
      <c r="AE777" s="8">
        <f>IF(Tabela1[[#This Row],[Producer Price Index (PPI)]]="",#N/A,((Tabela1[[#This Row],[Producer Price Index (PPI)]]*1)/AC765)-1)</f>
        <v>4.4291338582677087E-2</v>
      </c>
      <c r="AF777" s="7">
        <v>3.4</v>
      </c>
      <c r="AG777" s="5"/>
    </row>
    <row r="778" spans="1:33" ht="12.75">
      <c r="A778" s="6">
        <v>40756</v>
      </c>
      <c r="B778" s="7">
        <v>226.10599999999999</v>
      </c>
      <c r="C778" s="8">
        <f>IF(Tabela1[[#This Row],[Consumer Price Index (CPI)]]="",#N/A,((Tabela1[[#This Row],[Consumer Price Index (CPI)]]*1)/B777)-1)</f>
        <v>3.1544621664187922E-3</v>
      </c>
      <c r="D778" s="8">
        <f>IF(Tabela1[[#This Row],[Consumer Price Index (CPI)]]="",#N/A,((Tabela1[[#This Row],[Consumer Price Index (CPI)]]*1)/B766)-1)</f>
        <v>3.7549960307080799E-2</v>
      </c>
      <c r="E778" s="25">
        <v>225.86199999999999</v>
      </c>
      <c r="F778" s="8">
        <f>IF(Tabela1[[#This Row],[Core Consumer Price Index]]="",#N/A,((Tabela1[[#This Row],[Core Consumer Price Index]]*1)/E777)-1)</f>
        <v>2.8594517312114931E-3</v>
      </c>
      <c r="G778" s="8">
        <f>IF(Tabela1[[#This Row],[Core Consumer Price Index]]="",#N/A,((Tabela1[[#This Row],[Core Consumer Price Index]]*1)/E766)-1)</f>
        <v>1.9651571719433658E-2</v>
      </c>
      <c r="H778" s="8">
        <f t="shared" si="42"/>
        <v>3.0026670983050785E-2</v>
      </c>
      <c r="I778" s="8">
        <f t="shared" si="43"/>
        <v>2.3621044801981572E-2</v>
      </c>
      <c r="J778" s="25">
        <v>266.69</v>
      </c>
      <c r="K778" s="8">
        <f>IF(Tabela1[[#This Row],[Services CPI]]="",#N/A,((Tabela1[[#This Row],[Services CPI]]*1)/J777)-1)</f>
        <v>2.7372331385686621E-3</v>
      </c>
      <c r="L778" s="8">
        <f>IF(Tabela1[[#This Row],[Services CPI]]="",#N/A,((Tabela1[[#This Row],[Services CPI]]*1)/J766)-1)</f>
        <v>1.8981973238780148E-2</v>
      </c>
      <c r="M778" s="7">
        <v>273.952</v>
      </c>
      <c r="N778" s="8">
        <f>IF(Tabela1[[#This Row],[Core-Services CPI]]="",#N/A,((Tabela1[[#This Row],[Core-Services CPI]]*1)/M777)-1)</f>
        <v>2.8443305573349065E-3</v>
      </c>
      <c r="O778" s="8">
        <f>IF(Tabela1[[#This Row],[Core-Services CPI]]="",#N/A,((Tabela1[[#This Row],[Core-Services CPI]]*1)/M766)-1)</f>
        <v>1.9587701766726529E-2</v>
      </c>
      <c r="P778" s="7">
        <v>113.306</v>
      </c>
      <c r="Q778" s="8">
        <f>IF(Tabela1[[#This Row],[Durable Goods CPI]]="",#N/A,((Tabela1[[#This Row],[Durable Goods CPI]]*1)/P777)-1)</f>
        <v>9.0102823221793749E-4</v>
      </c>
      <c r="R778" s="8">
        <f>IF(Tabela1[[#This Row],[Durable Goods CPI]]="",#N/A,((Tabela1[[#This Row],[Durable Goods CPI]]*1)/P766)-1)</f>
        <v>1.8581612563938865E-2</v>
      </c>
      <c r="S778" s="7">
        <v>1.2990531999999999</v>
      </c>
      <c r="T778" s="7">
        <v>93.195999999999998</v>
      </c>
      <c r="U778" s="8">
        <f>IF(Tabela1[[#This Row],[Personal Consumption Expenditures (PCE)]]="",#N/A,((Tabela1[[#This Row],[Personal Consumption Expenditures (PCE)]]*1)/T777)-1)</f>
        <v>2.3554212332081992E-3</v>
      </c>
      <c r="V778" s="8">
        <f>IF(Tabela1[[#This Row],[Personal Consumption Expenditures (PCE)]]="",#N/A,((Tabela1[[#This Row],[Personal Consumption Expenditures (PCE)]]*1)/T766)-1)</f>
        <v>2.9767297960266115E-2</v>
      </c>
      <c r="W778" s="7">
        <v>91.507999999999996</v>
      </c>
      <c r="X778" s="8">
        <f>IF(Tabela1[[#This Row],[Core PCE]]="",#N/A,((Tabela1[[#This Row],[Core PCE]]*1)/W777)-1)</f>
        <v>1.9928607406434207E-3</v>
      </c>
      <c r="Y778" s="8">
        <f>IF(Tabela1[[#This Row],[Core PCE]]="",#N/A,((Tabela1[[#This Row],[Core PCE]]*1)/W766)-1)</f>
        <v>1.8396305158310478E-2</v>
      </c>
      <c r="Z778" s="8">
        <f t="shared" si="41"/>
        <v>1.8284293148647102E-2</v>
      </c>
      <c r="AA778" s="8">
        <f t="shared" si="40"/>
        <v>2.1510768678101755E-2</v>
      </c>
      <c r="AB778" s="7">
        <v>1.79</v>
      </c>
      <c r="AC778" s="7">
        <v>106.3</v>
      </c>
      <c r="AD778" s="8">
        <f>IF(Tabela1[[#This Row],[Producer Price Index (PPI)]]="",#N/A,((Tabela1[[#This Row],[Producer Price Index (PPI)]]*1)/AC777)-1)</f>
        <v>1.8850141376061114E-3</v>
      </c>
      <c r="AE778" s="8">
        <f>IF(Tabela1[[#This Row],[Producer Price Index (PPI)]]="",#N/A,((Tabela1[[#This Row],[Producer Price Index (PPI)]]*1)/AC766)-1)</f>
        <v>4.4204322200392943E-2</v>
      </c>
      <c r="AF778" s="7">
        <v>3.5</v>
      </c>
      <c r="AG778" s="5"/>
    </row>
    <row r="779" spans="1:33" ht="12.75">
      <c r="A779" s="6">
        <v>40787</v>
      </c>
      <c r="B779" s="7">
        <v>226.59700000000001</v>
      </c>
      <c r="C779" s="8">
        <f>IF(Tabela1[[#This Row],[Consumer Price Index (CPI)]]="",#N/A,((Tabela1[[#This Row],[Consumer Price Index (CPI)]]*1)/B778)-1)</f>
        <v>2.1715478580843772E-3</v>
      </c>
      <c r="D779" s="8">
        <f>IF(Tabela1[[#This Row],[Consumer Price Index (CPI)]]="",#N/A,((Tabela1[[#This Row],[Consumer Price Index (CPI)]]*1)/B767)-1)</f>
        <v>3.8126216928186851E-2</v>
      </c>
      <c r="E779" s="25">
        <v>226.11799999999999</v>
      </c>
      <c r="F779" s="8">
        <f>IF(Tabela1[[#This Row],[Core Consumer Price Index]]="",#N/A,((Tabela1[[#This Row],[Core Consumer Price Index]]*1)/E778)-1)</f>
        <v>1.1334354605909702E-3</v>
      </c>
      <c r="G779" s="8">
        <f>IF(Tabela1[[#This Row],[Core Consumer Price Index]]="",#N/A,((Tabela1[[#This Row],[Core Consumer Price Index]]*1)/E767)-1)</f>
        <v>1.9877227562006272E-2</v>
      </c>
      <c r="H779" s="8">
        <f t="shared" si="42"/>
        <v>2.5246260935150922E-2</v>
      </c>
      <c r="I779" s="8">
        <f t="shared" si="43"/>
        <v>2.3728543285177928E-2</v>
      </c>
      <c r="J779" s="25">
        <v>267.12299999999999</v>
      </c>
      <c r="K779" s="8">
        <f>IF(Tabela1[[#This Row],[Services CPI]]="",#N/A,((Tabela1[[#This Row],[Services CPI]]*1)/J778)-1)</f>
        <v>1.6236079343057153E-3</v>
      </c>
      <c r="L779" s="8">
        <f>IF(Tabela1[[#This Row],[Services CPI]]="",#N/A,((Tabela1[[#This Row],[Services CPI]]*1)/J767)-1)</f>
        <v>2.0005040399566187E-2</v>
      </c>
      <c r="M779" s="7">
        <v>274.35599999999999</v>
      </c>
      <c r="N779" s="8">
        <f>IF(Tabela1[[#This Row],[Core-Services CPI]]="",#N/A,((Tabela1[[#This Row],[Core-Services CPI]]*1)/M778)-1)</f>
        <v>1.474710898259568E-3</v>
      </c>
      <c r="O779" s="8">
        <f>IF(Tabela1[[#This Row],[Core-Services CPI]]="",#N/A,((Tabela1[[#This Row],[Core-Services CPI]]*1)/M767)-1)</f>
        <v>2.0073840799830434E-2</v>
      </c>
      <c r="P779" s="7">
        <v>113.22</v>
      </c>
      <c r="Q779" s="8">
        <f>IF(Tabela1[[#This Row],[Durable Goods CPI]]="",#N/A,((Tabela1[[#This Row],[Durable Goods CPI]]*1)/P778)-1)</f>
        <v>-7.5900658394079112E-4</v>
      </c>
      <c r="R779" s="8">
        <f>IF(Tabela1[[#This Row],[Durable Goods CPI]]="",#N/A,((Tabela1[[#This Row],[Durable Goods CPI]]*1)/P767)-1)</f>
        <v>1.7406072805369988E-2</v>
      </c>
      <c r="S779" s="7">
        <v>1.4236275</v>
      </c>
      <c r="T779" s="7">
        <v>93.326999999999998</v>
      </c>
      <c r="U779" s="8">
        <f>IF(Tabela1[[#This Row],[Personal Consumption Expenditures (PCE)]]="",#N/A,((Tabela1[[#This Row],[Personal Consumption Expenditures (PCE)]]*1)/T778)-1)</f>
        <v>1.4056397270270082E-3</v>
      </c>
      <c r="V779" s="8">
        <f>IF(Tabela1[[#This Row],[Personal Consumption Expenditures (PCE)]]="",#N/A,((Tabela1[[#This Row],[Personal Consumption Expenditures (PCE)]]*1)/T767)-1)</f>
        <v>3.0190303779583205E-2</v>
      </c>
      <c r="W779" s="7">
        <v>91.57</v>
      </c>
      <c r="X779" s="8">
        <f>IF(Tabela1[[#This Row],[Core PCE]]="",#N/A,((Tabela1[[#This Row],[Core PCE]]*1)/W778)-1)</f>
        <v>6.7753639026091328E-4</v>
      </c>
      <c r="Y779" s="8">
        <f>IF(Tabela1[[#This Row],[Core PCE]]="",#N/A,((Tabela1[[#This Row],[Core PCE]]*1)/W767)-1)</f>
        <v>1.8508219696126815E-2</v>
      </c>
      <c r="Z779" s="8">
        <f t="shared" si="41"/>
        <v>1.6603225527268783E-2</v>
      </c>
      <c r="AA779" s="8">
        <f t="shared" si="40"/>
        <v>1.9839220449013428E-2</v>
      </c>
      <c r="AB779" s="7">
        <v>1.84</v>
      </c>
      <c r="AC779" s="7">
        <v>106.7</v>
      </c>
      <c r="AD779" s="8">
        <f>IF(Tabela1[[#This Row],[Producer Price Index (PPI)]]="",#N/A,((Tabela1[[#This Row],[Producer Price Index (PPI)]]*1)/AC778)-1)</f>
        <v>3.7629350893697566E-3</v>
      </c>
      <c r="AE779" s="8">
        <f>IF(Tabela1[[#This Row],[Producer Price Index (PPI)]]="",#N/A,((Tabela1[[#This Row],[Producer Price Index (PPI)]]*1)/AC767)-1)</f>
        <v>4.5053868756121496E-2</v>
      </c>
      <c r="AF779" s="7">
        <v>3.3</v>
      </c>
      <c r="AG779" s="5"/>
    </row>
    <row r="780" spans="1:33" ht="12.75">
      <c r="A780" s="6">
        <v>40817</v>
      </c>
      <c r="B780" s="7">
        <v>226.75</v>
      </c>
      <c r="C780" s="8">
        <f>IF(Tabela1[[#This Row],[Consumer Price Index (CPI)]]="",#N/A,((Tabela1[[#This Row],[Consumer Price Index (CPI)]]*1)/B779)-1)</f>
        <v>6.7520752701932807E-4</v>
      </c>
      <c r="D780" s="8">
        <f>IF(Tabela1[[#This Row],[Consumer Price Index (CPI)]]="",#N/A,((Tabela1[[#This Row],[Consumer Price Index (CPI)]]*1)/B768)-1)</f>
        <v>3.5222681306640524E-2</v>
      </c>
      <c r="E780" s="25">
        <v>226.506</v>
      </c>
      <c r="F780" s="8">
        <f>IF(Tabela1[[#This Row],[Core Consumer Price Index]]="",#N/A,((Tabela1[[#This Row],[Core Consumer Price Index]]*1)/E779)-1)</f>
        <v>1.7159182373804871E-3</v>
      </c>
      <c r="G780" s="8">
        <f>IF(Tabela1[[#This Row],[Core Consumer Price Index]]="",#N/A,((Tabela1[[#This Row],[Core Consumer Price Index]]*1)/E768)-1)</f>
        <v>2.1079204796465634E-2</v>
      </c>
      <c r="H780" s="8">
        <f t="shared" si="42"/>
        <v>2.2835221716731802E-2</v>
      </c>
      <c r="I780" s="8">
        <f t="shared" si="43"/>
        <v>2.4716923836124671E-2</v>
      </c>
      <c r="J780" s="25">
        <v>267.52</v>
      </c>
      <c r="K780" s="8">
        <f>IF(Tabela1[[#This Row],[Services CPI]]="",#N/A,((Tabela1[[#This Row],[Services CPI]]*1)/J779)-1)</f>
        <v>1.4862067287353398E-3</v>
      </c>
      <c r="L780" s="8">
        <f>IF(Tabela1[[#This Row],[Services CPI]]="",#N/A,((Tabela1[[#This Row],[Services CPI]]*1)/J768)-1)</f>
        <v>2.0776495278069129E-2</v>
      </c>
      <c r="M780" s="7">
        <v>274.86500000000001</v>
      </c>
      <c r="N780" s="8">
        <f>IF(Tabela1[[#This Row],[Core-Services CPI]]="",#N/A,((Tabela1[[#This Row],[Core-Services CPI]]*1)/M779)-1)</f>
        <v>1.8552537578913064E-3</v>
      </c>
      <c r="O780" s="8">
        <f>IF(Tabela1[[#This Row],[Core-Services CPI]]="",#N/A,((Tabela1[[#This Row],[Core-Services CPI]]*1)/M768)-1)</f>
        <v>2.1112110022215358E-2</v>
      </c>
      <c r="P780" s="7">
        <v>113.09099999999999</v>
      </c>
      <c r="Q780" s="8">
        <f>IF(Tabela1[[#This Row],[Durable Goods CPI]]="",#N/A,((Tabela1[[#This Row],[Durable Goods CPI]]*1)/P779)-1)</f>
        <v>-1.1393746687864414E-3</v>
      </c>
      <c r="R780" s="8">
        <f>IF(Tabela1[[#This Row],[Durable Goods CPI]]="",#N/A,((Tabela1[[#This Row],[Durable Goods CPI]]*1)/P768)-1)</f>
        <v>1.6996250033722626E-2</v>
      </c>
      <c r="S780" s="7">
        <v>1.6569750999999999</v>
      </c>
      <c r="T780" s="7">
        <v>93.328999999999994</v>
      </c>
      <c r="U780" s="8">
        <f>IF(Tabela1[[#This Row],[Personal Consumption Expenditures (PCE)]]="",#N/A,((Tabela1[[#This Row],[Personal Consumption Expenditures (PCE)]]*1)/T779)-1)</f>
        <v>2.1430025608726311E-5</v>
      </c>
      <c r="V780" s="8">
        <f>IF(Tabela1[[#This Row],[Personal Consumption Expenditures (PCE)]]="",#N/A,((Tabela1[[#This Row],[Personal Consumption Expenditures (PCE)]]*1)/T768)-1)</f>
        <v>2.6936323323907052E-2</v>
      </c>
      <c r="W780" s="7">
        <v>91.614000000000004</v>
      </c>
      <c r="X780" s="8">
        <f>IF(Tabela1[[#This Row],[Core PCE]]="",#N/A,((Tabela1[[#This Row],[Core PCE]]*1)/W779)-1)</f>
        <v>4.8050671617350105E-4</v>
      </c>
      <c r="Y780" s="8">
        <f>IF(Tabela1[[#This Row],[Core PCE]]="",#N/A,((Tabela1[[#This Row],[Core PCE]]*1)/W768)-1)</f>
        <v>1.744721966171725E-2</v>
      </c>
      <c r="Z780" s="8">
        <f t="shared" si="41"/>
        <v>1.260361538831134E-2</v>
      </c>
      <c r="AA780" s="8">
        <f t="shared" si="40"/>
        <v>1.6212015455693063E-2</v>
      </c>
      <c r="AB780" s="7">
        <v>1.93</v>
      </c>
      <c r="AC780" s="7">
        <v>106.3</v>
      </c>
      <c r="AD780" s="8">
        <f>IF(Tabela1[[#This Row],[Producer Price Index (PPI)]]="",#N/A,((Tabela1[[#This Row],[Producer Price Index (PPI)]]*1)/AC779)-1)</f>
        <v>-3.7488284910965897E-3</v>
      </c>
      <c r="AE780" s="8">
        <f>IF(Tabela1[[#This Row],[Producer Price Index (PPI)]]="",#N/A,((Tabela1[[#This Row],[Producer Price Index (PPI)]]*1)/AC768)-1)</f>
        <v>3.707317073170735E-2</v>
      </c>
      <c r="AF780" s="7">
        <v>3.2</v>
      </c>
      <c r="AG780" s="5"/>
    </row>
    <row r="781" spans="1:33" ht="12.75">
      <c r="A781" s="6">
        <v>40848</v>
      </c>
      <c r="B781" s="7">
        <v>227.16900000000001</v>
      </c>
      <c r="C781" s="8">
        <f>IF(Tabela1[[#This Row],[Consumer Price Index (CPI)]]="",#N/A,((Tabela1[[#This Row],[Consumer Price Index (CPI)]]*1)/B780)-1)</f>
        <v>1.8478500551268873E-3</v>
      </c>
      <c r="D781" s="8">
        <f>IF(Tabela1[[#This Row],[Consumer Price Index (CPI)]]="",#N/A,((Tabela1[[#This Row],[Consumer Price Index (CPI)]]*1)/B769)-1)</f>
        <v>3.4514322145817289E-2</v>
      </c>
      <c r="E781" s="25">
        <v>226.899</v>
      </c>
      <c r="F781" s="8">
        <f>IF(Tabela1[[#This Row],[Core Consumer Price Index]]="",#N/A,((Tabela1[[#This Row],[Core Consumer Price Index]]*1)/E780)-1)</f>
        <v>1.7350533760696063E-3</v>
      </c>
      <c r="G781" s="8">
        <f>IF(Tabela1[[#This Row],[Core Consumer Price Index]]="",#N/A,((Tabela1[[#This Row],[Core Consumer Price Index]]*1)/E769)-1)</f>
        <v>2.138204538395394E-2</v>
      </c>
      <c r="H781" s="8">
        <f t="shared" si="42"/>
        <v>1.8337628296164254E-2</v>
      </c>
      <c r="I781" s="8">
        <f t="shared" si="43"/>
        <v>2.418214963960752E-2</v>
      </c>
      <c r="J781" s="25">
        <v>267.82900000000001</v>
      </c>
      <c r="K781" s="8">
        <f>IF(Tabela1[[#This Row],[Services CPI]]="",#N/A,((Tabela1[[#This Row],[Services CPI]]*1)/J780)-1)</f>
        <v>1.1550538277513844E-3</v>
      </c>
      <c r="L781" s="8">
        <f>IF(Tabela1[[#This Row],[Services CPI]]="",#N/A,((Tabela1[[#This Row],[Services CPI]]*1)/J769)-1)</f>
        <v>2.0650889828893737E-2</v>
      </c>
      <c r="M781" s="7">
        <v>275.29599999999999</v>
      </c>
      <c r="N781" s="8">
        <f>IF(Tabela1[[#This Row],[Core-Services CPI]]="",#N/A,((Tabela1[[#This Row],[Core-Services CPI]]*1)/M780)-1)</f>
        <v>1.5680424935877735E-3</v>
      </c>
      <c r="O781" s="8">
        <f>IF(Tabela1[[#This Row],[Core-Services CPI]]="",#N/A,((Tabela1[[#This Row],[Core-Services CPI]]*1)/M769)-1)</f>
        <v>2.0866321305007318E-2</v>
      </c>
      <c r="P781" s="7">
        <v>113.027</v>
      </c>
      <c r="Q781" s="8">
        <f>IF(Tabela1[[#This Row],[Durable Goods CPI]]="",#N/A,((Tabela1[[#This Row],[Durable Goods CPI]]*1)/P780)-1)</f>
        <v>-5.6591594379740151E-4</v>
      </c>
      <c r="R781" s="8">
        <f>IF(Tabela1[[#This Row],[Durable Goods CPI]]="",#N/A,((Tabela1[[#This Row],[Durable Goods CPI]]*1)/P769)-1)</f>
        <v>1.821539570289632E-2</v>
      </c>
      <c r="S781" s="7">
        <v>1.7268144999999999</v>
      </c>
      <c r="T781" s="7">
        <v>93.52</v>
      </c>
      <c r="U781" s="8">
        <f>IF(Tabela1[[#This Row],[Personal Consumption Expenditures (PCE)]]="",#N/A,((Tabela1[[#This Row],[Personal Consumption Expenditures (PCE)]]*1)/T780)-1)</f>
        <v>2.0465235885951394E-3</v>
      </c>
      <c r="V781" s="8">
        <f>IF(Tabela1[[#This Row],[Personal Consumption Expenditures (PCE)]]="",#N/A,((Tabela1[[#This Row],[Personal Consumption Expenditures (PCE)]]*1)/T769)-1)</f>
        <v>2.6992598449408156E-2</v>
      </c>
      <c r="W781" s="7">
        <v>91.808000000000007</v>
      </c>
      <c r="X781" s="8">
        <f>IF(Tabela1[[#This Row],[Core PCE]]="",#N/A,((Tabela1[[#This Row],[Core PCE]]*1)/W780)-1)</f>
        <v>2.1175802824895396E-3</v>
      </c>
      <c r="Y781" s="8">
        <f>IF(Tabela1[[#This Row],[Core PCE]]="",#N/A,((Tabela1[[#This Row],[Core PCE]]*1)/W769)-1)</f>
        <v>1.8278615794143915E-2</v>
      </c>
      <c r="Z781" s="8">
        <f t="shared" si="41"/>
        <v>1.3102493555695816E-2</v>
      </c>
      <c r="AA781" s="8">
        <f t="shared" si="40"/>
        <v>1.5693393352171459E-2</v>
      </c>
      <c r="AB781" s="7">
        <v>1.99</v>
      </c>
      <c r="AC781" s="7">
        <v>106.6</v>
      </c>
      <c r="AD781" s="8">
        <f>IF(Tabela1[[#This Row],[Producer Price Index (PPI)]]="",#N/A,((Tabela1[[#This Row],[Producer Price Index (PPI)]]*1)/AC780)-1)</f>
        <v>2.8222013170271509E-3</v>
      </c>
      <c r="AE781" s="8">
        <f>IF(Tabela1[[#This Row],[Producer Price Index (PPI)]]="",#N/A,((Tabela1[[#This Row],[Producer Price Index (PPI)]]*1)/AC769)-1)</f>
        <v>3.696498054474695E-2</v>
      </c>
      <c r="AF781" s="7">
        <v>3.2</v>
      </c>
      <c r="AG781" s="5"/>
    </row>
    <row r="782" spans="1:33" ht="12.75">
      <c r="A782" s="6">
        <v>40878</v>
      </c>
      <c r="B782" s="7">
        <v>227.22300000000001</v>
      </c>
      <c r="C782" s="8">
        <f>IF(Tabela1[[#This Row],[Consumer Price Index (CPI)]]="",#N/A,((Tabela1[[#This Row],[Consumer Price Index (CPI)]]*1)/B781)-1)</f>
        <v>2.3770849015480877E-4</v>
      </c>
      <c r="D782" s="8">
        <f>IF(Tabela1[[#This Row],[Consumer Price Index (CPI)]]="",#N/A,((Tabela1[[#This Row],[Consumer Price Index (CPI)]]*1)/B770)-1)</f>
        <v>3.0620668384193861E-2</v>
      </c>
      <c r="E782" s="25">
        <v>227.405</v>
      </c>
      <c r="F782" s="8">
        <f>IF(Tabela1[[#This Row],[Core Consumer Price Index]]="",#N/A,((Tabela1[[#This Row],[Core Consumer Price Index]]*1)/E781)-1)</f>
        <v>2.230067122376056E-3</v>
      </c>
      <c r="G782" s="8">
        <f>IF(Tabela1[[#This Row],[Core Consumer Price Index]]="",#N/A,((Tabela1[[#This Row],[Core Consumer Price Index]]*1)/E770)-1)</f>
        <v>2.2766626338585061E-2</v>
      </c>
      <c r="H782" s="8">
        <f t="shared" si="42"/>
        <v>2.2724154943304598E-2</v>
      </c>
      <c r="I782" s="8">
        <f t="shared" si="43"/>
        <v>2.398520793922776E-2</v>
      </c>
      <c r="J782" s="25">
        <v>268.46300000000002</v>
      </c>
      <c r="K782" s="8">
        <f>IF(Tabela1[[#This Row],[Services CPI]]="",#N/A,((Tabela1[[#This Row],[Services CPI]]*1)/J781)-1)</f>
        <v>2.3671820452602077E-3</v>
      </c>
      <c r="L782" s="8">
        <f>IF(Tabela1[[#This Row],[Services CPI]]="",#N/A,((Tabela1[[#This Row],[Services CPI]]*1)/J770)-1)</f>
        <v>2.1809213155560947E-2</v>
      </c>
      <c r="M782" s="7">
        <v>276.089</v>
      </c>
      <c r="N782" s="8">
        <f>IF(Tabela1[[#This Row],[Core-Services CPI]]="",#N/A,((Tabela1[[#This Row],[Core-Services CPI]]*1)/M781)-1)</f>
        <v>2.8805358595838104E-3</v>
      </c>
      <c r="O782" s="8">
        <f>IF(Tabela1[[#This Row],[Core-Services CPI]]="",#N/A,((Tabela1[[#This Row],[Core-Services CPI]]*1)/M770)-1)</f>
        <v>2.2756403132478287E-2</v>
      </c>
      <c r="P782" s="7">
        <v>112.98399999999999</v>
      </c>
      <c r="Q782" s="8">
        <f>IF(Tabela1[[#This Row],[Durable Goods CPI]]="",#N/A,((Tabela1[[#This Row],[Durable Goods CPI]]*1)/P781)-1)</f>
        <v>-3.8044007184134809E-4</v>
      </c>
      <c r="R782" s="8">
        <f>IF(Tabela1[[#This Row],[Durable Goods CPI]]="",#N/A,((Tabela1[[#This Row],[Durable Goods CPI]]*1)/P770)-1)</f>
        <v>1.7562188158581904E-2</v>
      </c>
      <c r="S782" s="7">
        <v>1.8413647</v>
      </c>
      <c r="T782" s="7">
        <v>93.573999999999998</v>
      </c>
      <c r="U782" s="8">
        <f>IF(Tabela1[[#This Row],[Personal Consumption Expenditures (PCE)]]="",#N/A,((Tabela1[[#This Row],[Personal Consumption Expenditures (PCE)]]*1)/T781)-1)</f>
        <v>5.7741659538068646E-4</v>
      </c>
      <c r="V782" s="8">
        <f>IF(Tabela1[[#This Row],[Personal Consumption Expenditures (PCE)]]="",#N/A,((Tabela1[[#This Row],[Personal Consumption Expenditures (PCE)]]*1)/T770)-1)</f>
        <v>2.5266248849541872E-2</v>
      </c>
      <c r="W782" s="7">
        <v>91.96</v>
      </c>
      <c r="X782" s="8">
        <f>IF(Tabela1[[#This Row],[Core PCE]]="",#N/A,((Tabela1[[#This Row],[Core PCE]]*1)/W781)-1)</f>
        <v>1.6556291390728006E-3</v>
      </c>
      <c r="Y782" s="8">
        <f>IF(Tabela1[[#This Row],[Core PCE]]="",#N/A,((Tabela1[[#This Row],[Core PCE]]*1)/W770)-1)</f>
        <v>1.9749609110768507E-2</v>
      </c>
      <c r="Z782" s="8">
        <f t="shared" si="41"/>
        <v>1.7014864550943365E-2</v>
      </c>
      <c r="AA782" s="8">
        <f t="shared" si="40"/>
        <v>1.6809045039106074E-2</v>
      </c>
      <c r="AB782" s="7">
        <v>2.06</v>
      </c>
      <c r="AC782" s="7">
        <v>106.5</v>
      </c>
      <c r="AD782" s="8">
        <f>IF(Tabela1[[#This Row],[Producer Price Index (PPI)]]="",#N/A,((Tabela1[[#This Row],[Producer Price Index (PPI)]]*1)/AC781)-1)</f>
        <v>-9.3808630393987791E-4</v>
      </c>
      <c r="AE782" s="8">
        <f>IF(Tabela1[[#This Row],[Producer Price Index (PPI)]]="",#N/A,((Tabela1[[#This Row],[Producer Price Index (PPI)]]*1)/AC770)-1)</f>
        <v>3.2977691561590694E-2</v>
      </c>
      <c r="AF782" s="7">
        <v>3.1</v>
      </c>
      <c r="AG782" s="5"/>
    </row>
    <row r="783" spans="1:33" ht="12.75">
      <c r="A783" s="6">
        <v>40909</v>
      </c>
      <c r="B783" s="7">
        <v>227.84200000000001</v>
      </c>
      <c r="C783" s="8">
        <f>IF(Tabela1[[#This Row],[Consumer Price Index (CPI)]]="",#N/A,((Tabela1[[#This Row],[Consumer Price Index (CPI)]]*1)/B782)-1)</f>
        <v>2.7241960540966836E-3</v>
      </c>
      <c r="D783" s="8">
        <f>IF(Tabela1[[#This Row],[Consumer Price Index (CPI)]]="",#N/A,((Tabela1[[#This Row],[Consumer Price Index (CPI)]]*1)/B771)-1)</f>
        <v>3.0087663379855023E-2</v>
      </c>
      <c r="E783" s="25">
        <v>227.87700000000001</v>
      </c>
      <c r="F783" s="8">
        <f>IF(Tabela1[[#This Row],[Core Consumer Price Index]]="",#N/A,((Tabela1[[#This Row],[Core Consumer Price Index]]*1)/E782)-1)</f>
        <v>2.0755920054529309E-3</v>
      </c>
      <c r="G783" s="8">
        <f>IF(Tabela1[[#This Row],[Core Consumer Price Index]]="",#N/A,((Tabela1[[#This Row],[Core Consumer Price Index]]*1)/E771)-1)</f>
        <v>2.2773481506083826E-2</v>
      </c>
      <c r="H783" s="8">
        <f t="shared" si="42"/>
        <v>2.4162850015594373E-2</v>
      </c>
      <c r="I783" s="8">
        <f t="shared" si="43"/>
        <v>2.3499035866163087E-2</v>
      </c>
      <c r="J783" s="25">
        <v>268.94</v>
      </c>
      <c r="K783" s="8">
        <f>IF(Tabela1[[#This Row],[Services CPI]]="",#N/A,((Tabela1[[#This Row],[Services CPI]]*1)/J782)-1)</f>
        <v>1.7767811579247894E-3</v>
      </c>
      <c r="L783" s="8">
        <f>IF(Tabela1[[#This Row],[Services CPI]]="",#N/A,((Tabela1[[#This Row],[Services CPI]]*1)/J771)-1)</f>
        <v>2.1967707735627506E-2</v>
      </c>
      <c r="M783" s="7">
        <v>276.73399999999998</v>
      </c>
      <c r="N783" s="8">
        <f>IF(Tabela1[[#This Row],[Core-Services CPI]]="",#N/A,((Tabela1[[#This Row],[Core-Services CPI]]*1)/M782)-1)</f>
        <v>2.336203180858254E-3</v>
      </c>
      <c r="O783" s="8">
        <f>IF(Tabela1[[#This Row],[Core-Services CPI]]="",#N/A,((Tabela1[[#This Row],[Core-Services CPI]]*1)/M771)-1)</f>
        <v>2.3095379814926265E-2</v>
      </c>
      <c r="P783" s="7">
        <v>112.944</v>
      </c>
      <c r="Q783" s="8">
        <f>IF(Tabela1[[#This Row],[Durable Goods CPI]]="",#N/A,((Tabela1[[#This Row],[Durable Goods CPI]]*1)/P782)-1)</f>
        <v>-3.5403242937048773E-4</v>
      </c>
      <c r="R783" s="8">
        <f>IF(Tabela1[[#This Row],[Durable Goods CPI]]="",#N/A,((Tabela1[[#This Row],[Durable Goods CPI]]*1)/P771)-1)</f>
        <v>1.6542760967004577E-2</v>
      </c>
      <c r="S783" s="7">
        <v>1.8407168</v>
      </c>
      <c r="T783" s="7">
        <v>93.894000000000005</v>
      </c>
      <c r="U783" s="8">
        <f>IF(Tabela1[[#This Row],[Personal Consumption Expenditures (PCE)]]="",#N/A,((Tabela1[[#This Row],[Personal Consumption Expenditures (PCE)]]*1)/T782)-1)</f>
        <v>3.419753350289767E-3</v>
      </c>
      <c r="V783" s="8">
        <f>IF(Tabela1[[#This Row],[Personal Consumption Expenditures (PCE)]]="",#N/A,((Tabela1[[#This Row],[Personal Consumption Expenditures (PCE)]]*1)/T771)-1)</f>
        <v>2.569312446745764E-2</v>
      </c>
      <c r="W783" s="7">
        <v>92.234999999999999</v>
      </c>
      <c r="X783" s="8">
        <f>IF(Tabela1[[#This Row],[Core PCE]]="",#N/A,((Tabela1[[#This Row],[Core PCE]]*1)/W782)-1)</f>
        <v>2.9904306220096544E-3</v>
      </c>
      <c r="Y783" s="8">
        <f>IF(Tabela1[[#This Row],[Core PCE]]="",#N/A,((Tabela1[[#This Row],[Core PCE]]*1)/W771)-1)</f>
        <v>2.0614792192271914E-2</v>
      </c>
      <c r="Z783" s="8">
        <f t="shared" si="41"/>
        <v>2.7054560174287978E-2</v>
      </c>
      <c r="AA783" s="8">
        <f t="shared" si="40"/>
        <v>1.9829087781299659E-2</v>
      </c>
      <c r="AB783" s="7">
        <v>2.09</v>
      </c>
      <c r="AC783" s="7">
        <v>106.9</v>
      </c>
      <c r="AD783" s="8">
        <f>IF(Tabela1[[#This Row],[Producer Price Index (PPI)]]="",#N/A,((Tabela1[[#This Row],[Producer Price Index (PPI)]]*1)/AC782)-1)</f>
        <v>3.755868544601082E-3</v>
      </c>
      <c r="AE783" s="8">
        <f>IF(Tabela1[[#This Row],[Producer Price Index (PPI)]]="",#N/A,((Tabela1[[#This Row],[Producer Price Index (PPI)]]*1)/AC771)-1)</f>
        <v>3.0858244937319146E-2</v>
      </c>
      <c r="AF783" s="7">
        <v>3.3</v>
      </c>
      <c r="AG783" s="5"/>
    </row>
    <row r="784" spans="1:33" ht="12.75">
      <c r="A784" s="6">
        <v>40940</v>
      </c>
      <c r="B784" s="7">
        <v>228.32900000000001</v>
      </c>
      <c r="C784" s="8">
        <f>IF(Tabela1[[#This Row],[Consumer Price Index (CPI)]]="",#N/A,((Tabela1[[#This Row],[Consumer Price Index (CPI)]]*1)/B783)-1)</f>
        <v>2.1374461249461518E-3</v>
      </c>
      <c r="D784" s="8">
        <f>IF(Tabela1[[#This Row],[Consumer Price Index (CPI)]]="",#N/A,((Tabela1[[#This Row],[Consumer Price Index (CPI)]]*1)/B772)-1)</f>
        <v>2.8981784423473878E-2</v>
      </c>
      <c r="E784" s="25">
        <v>228.03399999999999</v>
      </c>
      <c r="F784" s="8">
        <f>IF(Tabela1[[#This Row],[Core Consumer Price Index]]="",#N/A,((Tabela1[[#This Row],[Core Consumer Price Index]]*1)/E783)-1)</f>
        <v>6.8896817142571898E-4</v>
      </c>
      <c r="G784" s="8">
        <f>IF(Tabela1[[#This Row],[Core Consumer Price Index]]="",#N/A,((Tabela1[[#This Row],[Core Consumer Price Index]]*1)/E772)-1)</f>
        <v>2.1598204405657295E-2</v>
      </c>
      <c r="H784" s="8">
        <f t="shared" si="42"/>
        <v>1.9978509197018823E-2</v>
      </c>
      <c r="I784" s="8">
        <f t="shared" si="43"/>
        <v>1.9158068746591539E-2</v>
      </c>
      <c r="J784" s="25">
        <v>269.03399999999999</v>
      </c>
      <c r="K784" s="8">
        <f>IF(Tabela1[[#This Row],[Services CPI]]="",#N/A,((Tabela1[[#This Row],[Services CPI]]*1)/J783)-1)</f>
        <v>3.4952033910906621E-4</v>
      </c>
      <c r="L784" s="8">
        <f>IF(Tabela1[[#This Row],[Services CPI]]="",#N/A,((Tabela1[[#This Row],[Services CPI]]*1)/J772)-1)</f>
        <v>2.0223662405527421E-2</v>
      </c>
      <c r="M784" s="7">
        <v>277.01</v>
      </c>
      <c r="N784" s="8">
        <f>IF(Tabela1[[#This Row],[Core-Services CPI]]="",#N/A,((Tabela1[[#This Row],[Core-Services CPI]]*1)/M783)-1)</f>
        <v>9.9734763346748245E-4</v>
      </c>
      <c r="O784" s="8">
        <f>IF(Tabela1[[#This Row],[Core-Services CPI]]="",#N/A,((Tabela1[[#This Row],[Core-Services CPI]]*1)/M772)-1)</f>
        <v>2.2218614039684281E-2</v>
      </c>
      <c r="P784" s="7">
        <v>112.996</v>
      </c>
      <c r="Q784" s="8">
        <f>IF(Tabela1[[#This Row],[Durable Goods CPI]]="",#N/A,((Tabela1[[#This Row],[Durable Goods CPI]]*1)/P783)-1)</f>
        <v>4.604051565377798E-4</v>
      </c>
      <c r="R784" s="8">
        <f>IF(Tabela1[[#This Row],[Durable Goods CPI]]="",#N/A,((Tabela1[[#This Row],[Durable Goods CPI]]*1)/P772)-1)</f>
        <v>1.4317645263507428E-2</v>
      </c>
      <c r="S784" s="7">
        <v>2.0478499000000001</v>
      </c>
      <c r="T784" s="7">
        <v>94.103999999999999</v>
      </c>
      <c r="U784" s="8">
        <f>IF(Tabela1[[#This Row],[Personal Consumption Expenditures (PCE)]]="",#N/A,((Tabela1[[#This Row],[Personal Consumption Expenditures (PCE)]]*1)/T783)-1)</f>
        <v>2.2365646367179526E-3</v>
      </c>
      <c r="V784" s="8">
        <f>IF(Tabela1[[#This Row],[Personal Consumption Expenditures (PCE)]]="",#N/A,((Tabela1[[#This Row],[Personal Consumption Expenditures (PCE)]]*1)/T772)-1)</f>
        <v>2.5131540246413397E-2</v>
      </c>
      <c r="W784" s="7">
        <v>92.364000000000004</v>
      </c>
      <c r="X784" s="8">
        <f>IF(Tabela1[[#This Row],[Core PCE]]="",#N/A,((Tabela1[[#This Row],[Core PCE]]*1)/W783)-1)</f>
        <v>1.3986013986013734E-3</v>
      </c>
      <c r="Y784" s="8">
        <f>IF(Tabela1[[#This Row],[Core PCE]]="",#N/A,((Tabela1[[#This Row],[Core PCE]]*1)/W772)-1)</f>
        <v>2.0258477852645562E-2</v>
      </c>
      <c r="Z784" s="8">
        <f t="shared" si="41"/>
        <v>2.4178644638735314E-2</v>
      </c>
      <c r="AA784" s="8">
        <f t="shared" si="40"/>
        <v>1.8640569097215565E-2</v>
      </c>
      <c r="AB784" s="7">
        <v>2.02</v>
      </c>
      <c r="AC784" s="7">
        <v>107.2</v>
      </c>
      <c r="AD784" s="8">
        <f>IF(Tabela1[[#This Row],[Producer Price Index (PPI)]]="",#N/A,((Tabela1[[#This Row],[Producer Price Index (PPI)]]*1)/AC783)-1)</f>
        <v>2.8063610851263299E-3</v>
      </c>
      <c r="AE784" s="8">
        <f>IF(Tabela1[[#This Row],[Producer Price Index (PPI)]]="",#N/A,((Tabela1[[#This Row],[Producer Price Index (PPI)]]*1)/AC772)-1)</f>
        <v>2.7804410354745901E-2</v>
      </c>
      <c r="AF784" s="7">
        <v>3.3</v>
      </c>
      <c r="AG784" s="5"/>
    </row>
    <row r="785" spans="1:33" ht="12.75">
      <c r="A785" s="6">
        <v>40969</v>
      </c>
      <c r="B785" s="7">
        <v>228.80699999999999</v>
      </c>
      <c r="C785" s="8">
        <f>IF(Tabela1[[#This Row],[Consumer Price Index (CPI)]]="",#N/A,((Tabela1[[#This Row],[Consumer Price Index (CPI)]]*1)/B784)-1)</f>
        <v>2.0934703870292282E-3</v>
      </c>
      <c r="D785" s="8">
        <f>IF(Tabela1[[#This Row],[Consumer Price Index (CPI)]]="",#N/A,((Tabela1[[#This Row],[Consumer Price Index (CPI)]]*1)/B773)-1)</f>
        <v>2.5828752813320977E-2</v>
      </c>
      <c r="E785" s="25">
        <v>228.47800000000001</v>
      </c>
      <c r="F785" s="8">
        <f>IF(Tabela1[[#This Row],[Core Consumer Price Index]]="",#N/A,((Tabela1[[#This Row],[Core Consumer Price Index]]*1)/E784)-1)</f>
        <v>1.9470780673058741E-3</v>
      </c>
      <c r="G785" s="8">
        <f>IF(Tabela1[[#This Row],[Core Consumer Price Index]]="",#N/A,((Tabela1[[#This Row],[Core Consumer Price Index]]*1)/E773)-1)</f>
        <v>2.2483374654291177E-2</v>
      </c>
      <c r="H785" s="8">
        <f t="shared" si="42"/>
        <v>1.8846552976738096E-2</v>
      </c>
      <c r="I785" s="8">
        <f t="shared" si="43"/>
        <v>2.0785353960021347E-2</v>
      </c>
      <c r="J785" s="25">
        <v>269.56200000000001</v>
      </c>
      <c r="K785" s="8">
        <f>IF(Tabela1[[#This Row],[Services CPI]]="",#N/A,((Tabela1[[#This Row],[Services CPI]]*1)/J784)-1)</f>
        <v>1.9625772207230163E-3</v>
      </c>
      <c r="L785" s="8">
        <f>IF(Tabela1[[#This Row],[Services CPI]]="",#N/A,((Tabela1[[#This Row],[Services CPI]]*1)/J773)-1)</f>
        <v>2.062745632567764E-2</v>
      </c>
      <c r="M785" s="7">
        <v>277.66699999999997</v>
      </c>
      <c r="N785" s="8">
        <f>IF(Tabela1[[#This Row],[Core-Services CPI]]="",#N/A,((Tabela1[[#This Row],[Core-Services CPI]]*1)/M784)-1)</f>
        <v>2.3717555322912975E-3</v>
      </c>
      <c r="O785" s="8">
        <f>IF(Tabela1[[#This Row],[Core-Services CPI]]="",#N/A,((Tabela1[[#This Row],[Core-Services CPI]]*1)/M773)-1)</f>
        <v>2.32610418087007E-2</v>
      </c>
      <c r="P785" s="7">
        <v>112.952</v>
      </c>
      <c r="Q785" s="8">
        <f>IF(Tabela1[[#This Row],[Durable Goods CPI]]="",#N/A,((Tabela1[[#This Row],[Durable Goods CPI]]*1)/P784)-1)</f>
        <v>-3.8939431484297238E-4</v>
      </c>
      <c r="R785" s="8">
        <f>IF(Tabela1[[#This Row],[Durable Goods CPI]]="",#N/A,((Tabela1[[#This Row],[Durable Goods CPI]]*1)/P773)-1)</f>
        <v>1.0729018460354567E-2</v>
      </c>
      <c r="S785" s="7">
        <v>2.1159284999999999</v>
      </c>
      <c r="T785" s="7">
        <v>94.284000000000006</v>
      </c>
      <c r="U785" s="8">
        <f>IF(Tabela1[[#This Row],[Personal Consumption Expenditures (PCE)]]="",#N/A,((Tabela1[[#This Row],[Personal Consumption Expenditures (PCE)]]*1)/T784)-1)</f>
        <v>1.9127773527161107E-3</v>
      </c>
      <c r="V785" s="8">
        <f>IF(Tabela1[[#This Row],[Personal Consumption Expenditures (PCE)]]="",#N/A,((Tabela1[[#This Row],[Personal Consumption Expenditures (PCE)]]*1)/T773)-1)</f>
        <v>2.2980274721697835E-2</v>
      </c>
      <c r="W785" s="7">
        <v>92.521000000000001</v>
      </c>
      <c r="X785" s="8">
        <f>IF(Tabela1[[#This Row],[Core PCE]]="",#N/A,((Tabela1[[#This Row],[Core PCE]]*1)/W784)-1)</f>
        <v>1.6997964574942959E-3</v>
      </c>
      <c r="Y785" s="8">
        <f>IF(Tabela1[[#This Row],[Core PCE]]="",#N/A,((Tabela1[[#This Row],[Core PCE]]*1)/W773)-1)</f>
        <v>2.0448454233624069E-2</v>
      </c>
      <c r="Z785" s="8">
        <f t="shared" si="41"/>
        <v>2.4355313912421295E-2</v>
      </c>
      <c r="AA785" s="8">
        <f t="shared" si="40"/>
        <v>2.068508923168233E-2</v>
      </c>
      <c r="AB785" s="7">
        <v>2.02</v>
      </c>
      <c r="AC785" s="7">
        <v>107.4</v>
      </c>
      <c r="AD785" s="8">
        <f>IF(Tabela1[[#This Row],[Producer Price Index (PPI)]]="",#N/A,((Tabela1[[#This Row],[Producer Price Index (PPI)]]*1)/AC784)-1)</f>
        <v>1.8656716417910779E-3</v>
      </c>
      <c r="AE785" s="8">
        <f>IF(Tabela1[[#This Row],[Producer Price Index (PPI)]]="",#N/A,((Tabela1[[#This Row],[Producer Price Index (PPI)]]*1)/AC773)-1)</f>
        <v>2.2857142857142909E-2</v>
      </c>
      <c r="AF785" s="7">
        <v>3.9</v>
      </c>
      <c r="AG785" s="5"/>
    </row>
    <row r="786" spans="1:33" ht="12.75">
      <c r="A786" s="6">
        <v>41000</v>
      </c>
      <c r="B786" s="7">
        <v>229.18700000000001</v>
      </c>
      <c r="C786" s="8">
        <f>IF(Tabela1[[#This Row],[Consumer Price Index (CPI)]]="",#N/A,((Tabela1[[#This Row],[Consumer Price Index (CPI)]]*1)/B785)-1)</f>
        <v>1.6607883500068255E-3</v>
      </c>
      <c r="D786" s="8">
        <f>IF(Tabela1[[#This Row],[Consumer Price Index (CPI)]]="",#N/A,((Tabela1[[#This Row],[Consumer Price Index (CPI)]]*1)/B774)-1)</f>
        <v>2.2731633741348567E-2</v>
      </c>
      <c r="E786" s="25">
        <v>228.905</v>
      </c>
      <c r="F786" s="8">
        <f>IF(Tabela1[[#This Row],[Core Consumer Price Index]]="",#N/A,((Tabela1[[#This Row],[Core Consumer Price Index]]*1)/E785)-1)</f>
        <v>1.8688889083413596E-3</v>
      </c>
      <c r="G786" s="8">
        <f>IF(Tabela1[[#This Row],[Core Consumer Price Index]]="",#N/A,((Tabela1[[#This Row],[Core Consumer Price Index]]*1)/E774)-1)</f>
        <v>2.3144278518015149E-2</v>
      </c>
      <c r="H786" s="8">
        <f t="shared" si="42"/>
        <v>1.801974058829181E-2</v>
      </c>
      <c r="I786" s="8">
        <f t="shared" si="43"/>
        <v>2.1091295301943092E-2</v>
      </c>
      <c r="J786" s="25">
        <v>270.10500000000002</v>
      </c>
      <c r="K786" s="8">
        <f>IF(Tabela1[[#This Row],[Services CPI]]="",#N/A,((Tabela1[[#This Row],[Services CPI]]*1)/J785)-1)</f>
        <v>2.0143788812962971E-3</v>
      </c>
      <c r="L786" s="8">
        <f>IF(Tabela1[[#This Row],[Services CPI]]="",#N/A,((Tabela1[[#This Row],[Services CPI]]*1)/J774)-1)</f>
        <v>2.1326073393454825E-2</v>
      </c>
      <c r="M786" s="7">
        <v>278.31099999999998</v>
      </c>
      <c r="N786" s="8">
        <f>IF(Tabela1[[#This Row],[Core-Services CPI]]="",#N/A,((Tabela1[[#This Row],[Core-Services CPI]]*1)/M785)-1)</f>
        <v>2.31932494678877E-3</v>
      </c>
      <c r="O786" s="8">
        <f>IF(Tabela1[[#This Row],[Core-Services CPI]]="",#N/A,((Tabela1[[#This Row],[Core-Services CPI]]*1)/M774)-1)</f>
        <v>2.4550695400563871E-2</v>
      </c>
      <c r="P786" s="7">
        <v>113.04</v>
      </c>
      <c r="Q786" s="8">
        <f>IF(Tabela1[[#This Row],[Durable Goods CPI]]="",#N/A,((Tabela1[[#This Row],[Durable Goods CPI]]*1)/P785)-1)</f>
        <v>7.7909200368297959E-4</v>
      </c>
      <c r="R786" s="8">
        <f>IF(Tabela1[[#This Row],[Durable Goods CPI]]="",#N/A,((Tabela1[[#This Row],[Durable Goods CPI]]*1)/P774)-1)</f>
        <v>8.1875100337134299E-3</v>
      </c>
      <c r="S786" s="7">
        <v>2.0181912</v>
      </c>
      <c r="T786" s="7">
        <v>94.408000000000001</v>
      </c>
      <c r="U786" s="8">
        <f>IF(Tabela1[[#This Row],[Personal Consumption Expenditures (PCE)]]="",#N/A,((Tabela1[[#This Row],[Personal Consumption Expenditures (PCE)]]*1)/T785)-1)</f>
        <v>1.3151754274318694E-3</v>
      </c>
      <c r="V786" s="8">
        <f>IF(Tabela1[[#This Row],[Personal Consumption Expenditures (PCE)]]="",#N/A,((Tabela1[[#This Row],[Personal Consumption Expenditures (PCE)]]*1)/T774)-1)</f>
        <v>1.9998487418563693E-2</v>
      </c>
      <c r="W786" s="7">
        <v>92.661000000000001</v>
      </c>
      <c r="X786" s="8">
        <f>IF(Tabela1[[#This Row],[Core PCE]]="",#N/A,((Tabela1[[#This Row],[Core PCE]]*1)/W785)-1)</f>
        <v>1.5131699830308598E-3</v>
      </c>
      <c r="Y786" s="8">
        <f>IF(Tabela1[[#This Row],[Core PCE]]="",#N/A,((Tabela1[[#This Row],[Core PCE]]*1)/W774)-1)</f>
        <v>1.9653370013755112E-2</v>
      </c>
      <c r="Z786" s="8">
        <f t="shared" si="41"/>
        <v>1.8446271356506116E-2</v>
      </c>
      <c r="AA786" s="8">
        <f t="shared" si="40"/>
        <v>2.2750415765397047E-2</v>
      </c>
      <c r="AB786" s="7">
        <v>1.99</v>
      </c>
      <c r="AC786" s="7">
        <v>107.7</v>
      </c>
      <c r="AD786" s="8">
        <f>IF(Tabela1[[#This Row],[Producer Price Index (PPI)]]="",#N/A,((Tabela1[[#This Row],[Producer Price Index (PPI)]]*1)/AC785)-1)</f>
        <v>2.7932960893854997E-3</v>
      </c>
      <c r="AE786" s="8">
        <f>IF(Tabela1[[#This Row],[Producer Price Index (PPI)]]="",#N/A,((Tabela1[[#This Row],[Producer Price Index (PPI)]]*1)/AC774)-1)</f>
        <v>2.0853080568720372E-2</v>
      </c>
      <c r="AF786" s="7">
        <v>3.2</v>
      </c>
      <c r="AG786" s="5"/>
    </row>
    <row r="787" spans="1:33" ht="12.75">
      <c r="A787" s="6">
        <v>41030</v>
      </c>
      <c r="B787" s="7">
        <v>228.71299999999999</v>
      </c>
      <c r="C787" s="8">
        <f>IF(Tabela1[[#This Row],[Consumer Price Index (CPI)]]="",#N/A,((Tabela1[[#This Row],[Consumer Price Index (CPI)]]*1)/B786)-1)</f>
        <v>-2.0681801323810811E-3</v>
      </c>
      <c r="D787" s="8">
        <f>IF(Tabela1[[#This Row],[Consumer Price Index (CPI)]]="",#N/A,((Tabela1[[#This Row],[Consumer Price Index (CPI)]]*1)/B775)-1)</f>
        <v>1.7379429374660749E-2</v>
      </c>
      <c r="E787" s="25">
        <v>229.22399999999999</v>
      </c>
      <c r="F787" s="8">
        <f>IF(Tabela1[[#This Row],[Core Consumer Price Index]]="",#N/A,((Tabela1[[#This Row],[Core Consumer Price Index]]*1)/E786)-1)</f>
        <v>1.3935912278018048E-3</v>
      </c>
      <c r="G787" s="8">
        <f>IF(Tabela1[[#This Row],[Core Consumer Price Index]]="",#N/A,((Tabela1[[#This Row],[Core Consumer Price Index]]*1)/E775)-1)</f>
        <v>2.2522582803613078E-2</v>
      </c>
      <c r="H787" s="8">
        <f t="shared" si="42"/>
        <v>2.0838232813796154E-2</v>
      </c>
      <c r="I787" s="8">
        <f t="shared" si="43"/>
        <v>2.0408371005407488E-2</v>
      </c>
      <c r="J787" s="25">
        <v>270.363</v>
      </c>
      <c r="K787" s="8">
        <f>IF(Tabela1[[#This Row],[Services CPI]]="",#N/A,((Tabela1[[#This Row],[Services CPI]]*1)/J786)-1)</f>
        <v>9.5518409507411306E-4</v>
      </c>
      <c r="L787" s="8">
        <f>IF(Tabela1[[#This Row],[Services CPI]]="",#N/A,((Tabela1[[#This Row],[Services CPI]]*1)/J775)-1)</f>
        <v>2.0777014271690541E-2</v>
      </c>
      <c r="M787" s="7">
        <v>278.721</v>
      </c>
      <c r="N787" s="8">
        <f>IF(Tabela1[[#This Row],[Core-Services CPI]]="",#N/A,((Tabela1[[#This Row],[Core-Services CPI]]*1)/M786)-1)</f>
        <v>1.4731720988392372E-3</v>
      </c>
      <c r="O787" s="8">
        <f>IF(Tabela1[[#This Row],[Core-Services CPI]]="",#N/A,((Tabela1[[#This Row],[Core-Services CPI]]*1)/M775)-1)</f>
        <v>2.4769839402317917E-2</v>
      </c>
      <c r="P787" s="7">
        <v>113.09099999999999</v>
      </c>
      <c r="Q787" s="8">
        <f>IF(Tabela1[[#This Row],[Durable Goods CPI]]="",#N/A,((Tabela1[[#This Row],[Durable Goods CPI]]*1)/P786)-1)</f>
        <v>4.5116772823772244E-4</v>
      </c>
      <c r="R787" s="8">
        <f>IF(Tabela1[[#This Row],[Durable Goods CPI]]="",#N/A,((Tabela1[[#This Row],[Durable Goods CPI]]*1)/P775)-1)</f>
        <v>4.7888975762313546E-3</v>
      </c>
      <c r="S787" s="7">
        <v>2.1247577</v>
      </c>
      <c r="T787" s="7">
        <v>94.302000000000007</v>
      </c>
      <c r="U787" s="8">
        <f>IF(Tabela1[[#This Row],[Personal Consumption Expenditures (PCE)]]="",#N/A,((Tabela1[[#This Row],[Personal Consumption Expenditures (PCE)]]*1)/T786)-1)</f>
        <v>-1.1227862045588566E-3</v>
      </c>
      <c r="V787" s="8">
        <f>IF(Tabela1[[#This Row],[Personal Consumption Expenditures (PCE)]]="",#N/A,((Tabela1[[#This Row],[Personal Consumption Expenditures (PCE)]]*1)/T775)-1)</f>
        <v>1.5769404769598871E-2</v>
      </c>
      <c r="W787" s="7">
        <v>92.754999999999995</v>
      </c>
      <c r="X787" s="8">
        <f>IF(Tabela1[[#This Row],[Core PCE]]="",#N/A,((Tabela1[[#This Row],[Core PCE]]*1)/W786)-1)</f>
        <v>1.0144505239528812E-3</v>
      </c>
      <c r="Y787" s="8">
        <f>IF(Tabela1[[#This Row],[Core PCE]]="",#N/A,((Tabela1[[#This Row],[Core PCE]]*1)/W775)-1)</f>
        <v>1.826744683887549E-2</v>
      </c>
      <c r="Z787" s="8">
        <f t="shared" si="41"/>
        <v>1.6909667857912147E-2</v>
      </c>
      <c r="AA787" s="8">
        <f t="shared" si="40"/>
        <v>2.0544156248323731E-2</v>
      </c>
      <c r="AB787" s="7">
        <v>1.92</v>
      </c>
      <c r="AC787" s="7">
        <v>107.6</v>
      </c>
      <c r="AD787" s="8">
        <f>IF(Tabela1[[#This Row],[Producer Price Index (PPI)]]="",#N/A,((Tabela1[[#This Row],[Producer Price Index (PPI)]]*1)/AC786)-1)</f>
        <v>-9.2850510677822129E-4</v>
      </c>
      <c r="AE787" s="8">
        <f>IF(Tabela1[[#This Row],[Producer Price Index (PPI)]]="",#N/A,((Tabela1[[#This Row],[Producer Price Index (PPI)]]*1)/AC775)-1)</f>
        <v>1.7013232514177634E-2</v>
      </c>
      <c r="AF787" s="7">
        <v>3</v>
      </c>
      <c r="AG787" s="5"/>
    </row>
    <row r="788" spans="1:33" ht="12.75">
      <c r="A788" s="6">
        <v>41061</v>
      </c>
      <c r="B788" s="7">
        <v>228.524</v>
      </c>
      <c r="C788" s="8">
        <f>IF(Tabela1[[#This Row],[Consumer Price Index (CPI)]]="",#N/A,((Tabela1[[#This Row],[Consumer Price Index (CPI)]]*1)/B787)-1)</f>
        <v>-8.2636317131068449E-4</v>
      </c>
      <c r="D788" s="8">
        <f>IF(Tabela1[[#This Row],[Consumer Price Index (CPI)]]="",#N/A,((Tabela1[[#This Row],[Consumer Price Index (CPI)]]*1)/B776)-1)</f>
        <v>1.6538704482976341E-2</v>
      </c>
      <c r="E788" s="25">
        <v>229.62299999999999</v>
      </c>
      <c r="F788" s="8">
        <f>IF(Tabela1[[#This Row],[Core Consumer Price Index]]="",#N/A,((Tabela1[[#This Row],[Core Consumer Price Index]]*1)/E787)-1)</f>
        <v>1.7406554287509035E-3</v>
      </c>
      <c r="G788" s="8">
        <f>IF(Tabela1[[#This Row],[Core Consumer Price Index]]="",#N/A,((Tabela1[[#This Row],[Core Consumer Price Index]]*1)/E776)-1)</f>
        <v>2.192285611289857E-2</v>
      </c>
      <c r="H788" s="8">
        <f t="shared" si="42"/>
        <v>2.0012542259576271E-2</v>
      </c>
      <c r="I788" s="8">
        <f t="shared" si="43"/>
        <v>1.9429547618157184E-2</v>
      </c>
      <c r="J788" s="25">
        <v>270.95600000000002</v>
      </c>
      <c r="K788" s="8">
        <f>IF(Tabela1[[#This Row],[Services CPI]]="",#N/A,((Tabela1[[#This Row],[Services CPI]]*1)/J787)-1)</f>
        <v>2.193347462485784E-3</v>
      </c>
      <c r="L788" s="8">
        <f>IF(Tabela1[[#This Row],[Services CPI]]="",#N/A,((Tabela1[[#This Row],[Services CPI]]*1)/J776)-1)</f>
        <v>2.1380859757844428E-2</v>
      </c>
      <c r="M788" s="7">
        <v>279.33499999999998</v>
      </c>
      <c r="N788" s="8">
        <f>IF(Tabela1[[#This Row],[Core-Services CPI]]="",#N/A,((Tabela1[[#This Row],[Core-Services CPI]]*1)/M787)-1)</f>
        <v>2.202919765643685E-3</v>
      </c>
      <c r="O788" s="8">
        <f>IF(Tabela1[[#This Row],[Core-Services CPI]]="",#N/A,((Tabela1[[#This Row],[Core-Services CPI]]*1)/M776)-1)</f>
        <v>2.5029906720388517E-2</v>
      </c>
      <c r="P788" s="7">
        <v>113.041</v>
      </c>
      <c r="Q788" s="8">
        <f>IF(Tabela1[[#This Row],[Durable Goods CPI]]="",#N/A,((Tabela1[[#This Row],[Durable Goods CPI]]*1)/P787)-1)</f>
        <v>-4.4212183109171299E-4</v>
      </c>
      <c r="R788" s="8">
        <f>IF(Tabela1[[#This Row],[Durable Goods CPI]]="",#N/A,((Tabela1[[#This Row],[Durable Goods CPI]]*1)/P776)-1)</f>
        <v>1.0538247639964027E-3</v>
      </c>
      <c r="S788" s="7">
        <v>2.1937928000000002</v>
      </c>
      <c r="T788" s="7">
        <v>94.254000000000005</v>
      </c>
      <c r="U788" s="8">
        <f>IF(Tabela1[[#This Row],[Personal Consumption Expenditures (PCE)]]="",#N/A,((Tabela1[[#This Row],[Personal Consumption Expenditures (PCE)]]*1)/T787)-1)</f>
        <v>-5.090029903925819E-4</v>
      </c>
      <c r="V788" s="8">
        <f>IF(Tabela1[[#This Row],[Personal Consumption Expenditures (PCE)]]="",#N/A,((Tabela1[[#This Row],[Personal Consumption Expenditures (PCE)]]*1)/T776)-1)</f>
        <v>1.5460196726963193E-2</v>
      </c>
      <c r="W788" s="7">
        <v>92.85</v>
      </c>
      <c r="X788" s="8">
        <f>IF(Tabela1[[#This Row],[Core PCE]]="",#N/A,((Tabela1[[#This Row],[Core PCE]]*1)/W787)-1)</f>
        <v>1.0242035469785193E-3</v>
      </c>
      <c r="Y788" s="8">
        <f>IF(Tabela1[[#This Row],[Core PCE]]="",#N/A,((Tabela1[[#This Row],[Core PCE]]*1)/W776)-1)</f>
        <v>1.8192584794552102E-2</v>
      </c>
      <c r="Z788" s="8">
        <f t="shared" si="41"/>
        <v>1.4207296215849041E-2</v>
      </c>
      <c r="AA788" s="8">
        <f t="shared" si="40"/>
        <v>1.9281305064135168E-2</v>
      </c>
      <c r="AB788" s="7">
        <v>1.9</v>
      </c>
      <c r="AC788" s="7">
        <v>107.3</v>
      </c>
      <c r="AD788" s="8">
        <f>IF(Tabela1[[#This Row],[Producer Price Index (PPI)]]="",#N/A,((Tabela1[[#This Row],[Producer Price Index (PPI)]]*1)/AC787)-1)</f>
        <v>-2.7881040892192566E-3</v>
      </c>
      <c r="AE788" s="8">
        <f>IF(Tabela1[[#This Row],[Producer Price Index (PPI)]]="",#N/A,((Tabela1[[#This Row],[Producer Price Index (PPI)]]*1)/AC776)-1)</f>
        <v>1.3220018885741203E-2</v>
      </c>
      <c r="AF788" s="7">
        <v>3.1</v>
      </c>
      <c r="AG788" s="5"/>
    </row>
    <row r="789" spans="1:33" ht="12.75">
      <c r="A789" s="6">
        <v>41091</v>
      </c>
      <c r="B789" s="7">
        <v>228.59</v>
      </c>
      <c r="C789" s="8">
        <f>IF(Tabela1[[#This Row],[Consumer Price Index (CPI)]]="",#N/A,((Tabela1[[#This Row],[Consumer Price Index (CPI)]]*1)/B788)-1)</f>
        <v>2.8880992806001871E-4</v>
      </c>
      <c r="D789" s="8">
        <f>IF(Tabela1[[#This Row],[Consumer Price Index (CPI)]]="",#N/A,((Tabela1[[#This Row],[Consumer Price Index (CPI)]]*1)/B777)-1)</f>
        <v>1.4175114798464783E-2</v>
      </c>
      <c r="E789" s="25">
        <v>229.97</v>
      </c>
      <c r="F789" s="8">
        <f>IF(Tabela1[[#This Row],[Core Consumer Price Index]]="",#N/A,((Tabela1[[#This Row],[Core Consumer Price Index]]*1)/E788)-1)</f>
        <v>1.5111726612753174E-3</v>
      </c>
      <c r="G789" s="8">
        <f>IF(Tabela1[[#This Row],[Core Consumer Price Index]]="",#N/A,((Tabela1[[#This Row],[Core Consumer Price Index]]*1)/E777)-1)</f>
        <v>2.109955687378462E-2</v>
      </c>
      <c r="H789" s="8">
        <f t="shared" si="42"/>
        <v>1.8581677271312103E-2</v>
      </c>
      <c r="I789" s="8">
        <f t="shared" si="43"/>
        <v>1.8300708929801957E-2</v>
      </c>
      <c r="J789" s="25">
        <v>271.392</v>
      </c>
      <c r="K789" s="8">
        <f>IF(Tabela1[[#This Row],[Services CPI]]="",#N/A,((Tabela1[[#This Row],[Services CPI]]*1)/J788)-1)</f>
        <v>1.6091173474659382E-3</v>
      </c>
      <c r="L789" s="8">
        <f>IF(Tabela1[[#This Row],[Services CPI]]="",#N/A,((Tabela1[[#This Row],[Services CPI]]*1)/J777)-1)</f>
        <v>2.0416450470367886E-2</v>
      </c>
      <c r="M789" s="7">
        <v>279.90100000000001</v>
      </c>
      <c r="N789" s="8">
        <f>IF(Tabela1[[#This Row],[Core-Services CPI]]="",#N/A,((Tabela1[[#This Row],[Core-Services CPI]]*1)/M788)-1)</f>
        <v>2.0262408935509679E-3</v>
      </c>
      <c r="O789" s="8">
        <f>IF(Tabela1[[#This Row],[Core-Services CPI]]="",#N/A,((Tabela1[[#This Row],[Core-Services CPI]]*1)/M777)-1)</f>
        <v>2.4621579573533392E-2</v>
      </c>
      <c r="P789" s="7">
        <v>113.131</v>
      </c>
      <c r="Q789" s="8">
        <f>IF(Tabela1[[#This Row],[Durable Goods CPI]]="",#N/A,((Tabela1[[#This Row],[Durable Goods CPI]]*1)/P788)-1)</f>
        <v>7.961713006785498E-4</v>
      </c>
      <c r="R789" s="8">
        <f>IF(Tabela1[[#This Row],[Durable Goods CPI]]="",#N/A,((Tabela1[[#This Row],[Durable Goods CPI]]*1)/P777)-1)</f>
        <v>-6.4485353874410567E-4</v>
      </c>
      <c r="S789" s="7">
        <v>2.1896843000000001</v>
      </c>
      <c r="T789" s="7">
        <v>94.287999999999997</v>
      </c>
      <c r="U789" s="8">
        <f>IF(Tabela1[[#This Row],[Personal Consumption Expenditures (PCE)]]="",#N/A,((Tabela1[[#This Row],[Personal Consumption Expenditures (PCE)]]*1)/T788)-1)</f>
        <v>3.607273961847568E-4</v>
      </c>
      <c r="V789" s="8">
        <f>IF(Tabela1[[#This Row],[Personal Consumption Expenditures (PCE)]]="",#N/A,((Tabela1[[#This Row],[Personal Consumption Expenditures (PCE)]]*1)/T777)-1)</f>
        <v>1.4100261354958565E-2</v>
      </c>
      <c r="W789" s="7">
        <v>92.945999999999998</v>
      </c>
      <c r="X789" s="8">
        <f>IF(Tabela1[[#This Row],[Core PCE]]="",#N/A,((Tabela1[[#This Row],[Core PCE]]*1)/W788)-1)</f>
        <v>1.0339256865912194E-3</v>
      </c>
      <c r="Y789" s="8">
        <f>IF(Tabela1[[#This Row],[Core PCE]]="",#N/A,((Tabela1[[#This Row],[Core PCE]]*1)/W777)-1)</f>
        <v>1.7738650548584145E-2</v>
      </c>
      <c r="Z789" s="8">
        <f t="shared" si="41"/>
        <v>1.229031903009048E-2</v>
      </c>
      <c r="AA789" s="8">
        <f t="shared" si="40"/>
        <v>1.5368295193298298E-2</v>
      </c>
      <c r="AB789" s="7">
        <v>1.84</v>
      </c>
      <c r="AC789" s="7">
        <v>107.2</v>
      </c>
      <c r="AD789" s="8">
        <f>IF(Tabela1[[#This Row],[Producer Price Index (PPI)]]="",#N/A,((Tabela1[[#This Row],[Producer Price Index (PPI)]]*1)/AC788)-1)</f>
        <v>-9.3196644920778837E-4</v>
      </c>
      <c r="AE789" s="8">
        <f>IF(Tabela1[[#This Row],[Producer Price Index (PPI)]]="",#N/A,((Tabela1[[#This Row],[Producer Price Index (PPI)]]*1)/AC777)-1)</f>
        <v>1.0367577756833279E-2</v>
      </c>
      <c r="AF789" s="7">
        <v>3</v>
      </c>
      <c r="AG789" s="5"/>
    </row>
    <row r="790" spans="1:33" ht="12.75">
      <c r="A790" s="6">
        <v>41122</v>
      </c>
      <c r="B790" s="7">
        <v>229.91800000000001</v>
      </c>
      <c r="C790" s="8">
        <f>IF(Tabela1[[#This Row],[Consumer Price Index (CPI)]]="",#N/A,((Tabela1[[#This Row],[Consumer Price Index (CPI)]]*1)/B789)-1)</f>
        <v>5.8095279758518803E-3</v>
      </c>
      <c r="D790" s="8">
        <f>IF(Tabela1[[#This Row],[Consumer Price Index (CPI)]]="",#N/A,((Tabela1[[#This Row],[Consumer Price Index (CPI)]]*1)/B778)-1)</f>
        <v>1.6859349154821235E-2</v>
      </c>
      <c r="E790" s="25">
        <v>230.233</v>
      </c>
      <c r="F790" s="8">
        <f>IF(Tabela1[[#This Row],[Core Consumer Price Index]]="",#N/A,((Tabela1[[#This Row],[Core Consumer Price Index]]*1)/E789)-1)</f>
        <v>1.1436274296647841E-3</v>
      </c>
      <c r="G790" s="8">
        <f>IF(Tabela1[[#This Row],[Core Consumer Price Index]]="",#N/A,((Tabela1[[#This Row],[Core Consumer Price Index]]*1)/E778)-1)</f>
        <v>1.9352524993137443E-2</v>
      </c>
      <c r="H790" s="8">
        <f t="shared" si="42"/>
        <v>1.758182207876402E-2</v>
      </c>
      <c r="I790" s="8">
        <f t="shared" si="43"/>
        <v>1.9210027446280087E-2</v>
      </c>
      <c r="J790" s="25">
        <v>272.07100000000003</v>
      </c>
      <c r="K790" s="8">
        <f>IF(Tabela1[[#This Row],[Services CPI]]="",#N/A,((Tabela1[[#This Row],[Services CPI]]*1)/J789)-1)</f>
        <v>2.5019160476360547E-3</v>
      </c>
      <c r="L790" s="8">
        <f>IF(Tabela1[[#This Row],[Services CPI]]="",#N/A,((Tabela1[[#This Row],[Services CPI]]*1)/J778)-1)</f>
        <v>2.0176984513855079E-2</v>
      </c>
      <c r="M790" s="7">
        <v>280.52100000000002</v>
      </c>
      <c r="N790" s="8">
        <f>IF(Tabela1[[#This Row],[Core-Services CPI]]="",#N/A,((Tabela1[[#This Row],[Core-Services CPI]]*1)/M789)-1)</f>
        <v>2.2150688993609613E-3</v>
      </c>
      <c r="O790" s="8">
        <f>IF(Tabela1[[#This Row],[Core-Services CPI]]="",#N/A,((Tabela1[[#This Row],[Core-Services CPI]]*1)/M778)-1)</f>
        <v>2.3978653194720367E-2</v>
      </c>
      <c r="P790" s="7">
        <v>112.806</v>
      </c>
      <c r="Q790" s="8">
        <f>IF(Tabela1[[#This Row],[Durable Goods CPI]]="",#N/A,((Tabela1[[#This Row],[Durable Goods CPI]]*1)/P789)-1)</f>
        <v>-2.8727758085759225E-3</v>
      </c>
      <c r="R790" s="8">
        <f>IF(Tabela1[[#This Row],[Durable Goods CPI]]="",#N/A,((Tabela1[[#This Row],[Durable Goods CPI]]*1)/P778)-1)</f>
        <v>-4.4128289764001627E-3</v>
      </c>
      <c r="S790" s="7">
        <v>2.2407468000000001</v>
      </c>
      <c r="T790" s="7">
        <v>94.605000000000004</v>
      </c>
      <c r="U790" s="8">
        <f>IF(Tabela1[[#This Row],[Personal Consumption Expenditures (PCE)]]="",#N/A,((Tabela1[[#This Row],[Personal Consumption Expenditures (PCE)]]*1)/T789)-1)</f>
        <v>3.3620397081284281E-3</v>
      </c>
      <c r="V790" s="8">
        <f>IF(Tabela1[[#This Row],[Personal Consumption Expenditures (PCE)]]="",#N/A,((Tabela1[[#This Row],[Personal Consumption Expenditures (PCE)]]*1)/T778)-1)</f>
        <v>1.5118674621228401E-2</v>
      </c>
      <c r="W790" s="7">
        <v>93.004999999999995</v>
      </c>
      <c r="X790" s="8">
        <f>IF(Tabela1[[#This Row],[Core PCE]]="",#N/A,((Tabela1[[#This Row],[Core PCE]]*1)/W789)-1)</f>
        <v>6.3477718244997483E-4</v>
      </c>
      <c r="Y790" s="8">
        <f>IF(Tabela1[[#This Row],[Core PCE]]="",#N/A,((Tabela1[[#This Row],[Core PCE]]*1)/W778)-1)</f>
        <v>1.6359225422913903E-2</v>
      </c>
      <c r="Z790" s="8">
        <f t="shared" si="41"/>
        <v>1.0771625664078854E-2</v>
      </c>
      <c r="AA790" s="8">
        <f t="shared" si="40"/>
        <v>1.3840646760995501E-2</v>
      </c>
      <c r="AB790" s="7">
        <v>1.79</v>
      </c>
      <c r="AC790" s="7">
        <v>107.5</v>
      </c>
      <c r="AD790" s="8">
        <f>IF(Tabela1[[#This Row],[Producer Price Index (PPI)]]="",#N/A,((Tabela1[[#This Row],[Producer Price Index (PPI)]]*1)/AC789)-1)</f>
        <v>2.7985074626866169E-3</v>
      </c>
      <c r="AE790" s="8">
        <f>IF(Tabela1[[#This Row],[Producer Price Index (PPI)]]="",#N/A,((Tabela1[[#This Row],[Producer Price Index (PPI)]]*1)/AC778)-1)</f>
        <v>1.1288805268109048E-2</v>
      </c>
      <c r="AF790" s="7">
        <v>3.6</v>
      </c>
      <c r="AG790" s="5"/>
    </row>
    <row r="791" spans="1:33" ht="12.75">
      <c r="A791" s="6">
        <v>41153</v>
      </c>
      <c r="B791" s="7">
        <v>231.01499999999999</v>
      </c>
      <c r="C791" s="8">
        <f>IF(Tabela1[[#This Row],[Consumer Price Index (CPI)]]="",#N/A,((Tabela1[[#This Row],[Consumer Price Index (CPI)]]*1)/B790)-1)</f>
        <v>4.7712662775423187E-3</v>
      </c>
      <c r="D791" s="8">
        <f>IF(Tabela1[[#This Row],[Consumer Price Index (CPI)]]="",#N/A,((Tabela1[[#This Row],[Consumer Price Index (CPI)]]*1)/B779)-1)</f>
        <v>1.9497168982819613E-2</v>
      </c>
      <c r="E791" s="25">
        <v>230.65899999999999</v>
      </c>
      <c r="F791" s="8">
        <f>IF(Tabela1[[#This Row],[Core Consumer Price Index]]="",#N/A,((Tabela1[[#This Row],[Core Consumer Price Index]]*1)/E790)-1)</f>
        <v>1.8502994792231053E-3</v>
      </c>
      <c r="G791" s="8">
        <f>IF(Tabela1[[#This Row],[Core Consumer Price Index]]="",#N/A,((Tabela1[[#This Row],[Core Consumer Price Index]]*1)/E779)-1)</f>
        <v>2.0082434834909124E-2</v>
      </c>
      <c r="H791" s="8">
        <f t="shared" si="42"/>
        <v>1.8020398280652827E-2</v>
      </c>
      <c r="I791" s="8">
        <f t="shared" si="43"/>
        <v>1.9016470270114549E-2</v>
      </c>
      <c r="J791" s="25">
        <v>272.69099999999997</v>
      </c>
      <c r="K791" s="8">
        <f>IF(Tabela1[[#This Row],[Services CPI]]="",#N/A,((Tabela1[[#This Row],[Services CPI]]*1)/J790)-1)</f>
        <v>2.2788169264638114E-3</v>
      </c>
      <c r="L791" s="8">
        <f>IF(Tabela1[[#This Row],[Services CPI]]="",#N/A,((Tabela1[[#This Row],[Services CPI]]*1)/J779)-1)</f>
        <v>2.0844330140047829E-2</v>
      </c>
      <c r="M791" s="7">
        <v>281.18099999999998</v>
      </c>
      <c r="N791" s="8">
        <f>IF(Tabela1[[#This Row],[Core-Services CPI]]="",#N/A,((Tabela1[[#This Row],[Core-Services CPI]]*1)/M790)-1)</f>
        <v>2.3527650336336858E-3</v>
      </c>
      <c r="O791" s="8">
        <f>IF(Tabela1[[#This Row],[Core-Services CPI]]="",#N/A,((Tabela1[[#This Row],[Core-Services CPI]]*1)/M779)-1)</f>
        <v>2.4876437912784821E-2</v>
      </c>
      <c r="P791" s="7">
        <v>112.42100000000001</v>
      </c>
      <c r="Q791" s="8">
        <f>IF(Tabela1[[#This Row],[Durable Goods CPI]]="",#N/A,((Tabela1[[#This Row],[Durable Goods CPI]]*1)/P790)-1)</f>
        <v>-3.4129390280658312E-3</v>
      </c>
      <c r="R791" s="8">
        <f>IF(Tabela1[[#This Row],[Durable Goods CPI]]="",#N/A,((Tabela1[[#This Row],[Durable Goods CPI]]*1)/P779)-1)</f>
        <v>-7.057057057056948E-3</v>
      </c>
      <c r="S791" s="7">
        <v>2.2616531000000002</v>
      </c>
      <c r="T791" s="7">
        <v>94.893000000000001</v>
      </c>
      <c r="U791" s="8">
        <f>IF(Tabela1[[#This Row],[Personal Consumption Expenditures (PCE)]]="",#N/A,((Tabela1[[#This Row],[Personal Consumption Expenditures (PCE)]]*1)/T790)-1)</f>
        <v>3.044236562549596E-3</v>
      </c>
      <c r="V791" s="8">
        <f>IF(Tabela1[[#This Row],[Personal Consumption Expenditures (PCE)]]="",#N/A,((Tabela1[[#This Row],[Personal Consumption Expenditures (PCE)]]*1)/T779)-1)</f>
        <v>1.6779710051753494E-2</v>
      </c>
      <c r="W791" s="7">
        <v>93.119</v>
      </c>
      <c r="X791" s="8">
        <f>IF(Tabela1[[#This Row],[Core PCE]]="",#N/A,((Tabela1[[#This Row],[Core PCE]]*1)/W790)-1)</f>
        <v>1.2257405515831987E-3</v>
      </c>
      <c r="Y791" s="8">
        <f>IF(Tabela1[[#This Row],[Core PCE]]="",#N/A,((Tabela1[[#This Row],[Core PCE]]*1)/W779)-1)</f>
        <v>1.6916020530741482E-2</v>
      </c>
      <c r="Z791" s="8">
        <f t="shared" si="41"/>
        <v>1.1577773682497572E-2</v>
      </c>
      <c r="AA791" s="8">
        <f t="shared" si="40"/>
        <v>1.2892534949173307E-2</v>
      </c>
      <c r="AB791" s="7">
        <v>1.79</v>
      </c>
      <c r="AC791" s="7">
        <v>108.2</v>
      </c>
      <c r="AD791" s="8">
        <f>IF(Tabela1[[#This Row],[Producer Price Index (PPI)]]="",#N/A,((Tabela1[[#This Row],[Producer Price Index (PPI)]]*1)/AC790)-1)</f>
        <v>6.5116279069767913E-3</v>
      </c>
      <c r="AE791" s="8">
        <f>IF(Tabela1[[#This Row],[Producer Price Index (PPI)]]="",#N/A,((Tabela1[[#This Row],[Producer Price Index (PPI)]]*1)/AC779)-1)</f>
        <v>1.4058106841611906E-2</v>
      </c>
      <c r="AF791" s="7">
        <v>3.3</v>
      </c>
      <c r="AG791" s="5"/>
    </row>
    <row r="792" spans="1:33" ht="12.75">
      <c r="A792" s="6">
        <v>41183</v>
      </c>
      <c r="B792" s="7">
        <v>231.63800000000001</v>
      </c>
      <c r="C792" s="8">
        <f>IF(Tabela1[[#This Row],[Consumer Price Index (CPI)]]="",#N/A,((Tabela1[[#This Row],[Consumer Price Index (CPI)]]*1)/B791)-1)</f>
        <v>2.6967945804385884E-3</v>
      </c>
      <c r="D792" s="8">
        <f>IF(Tabela1[[#This Row],[Consumer Price Index (CPI)]]="",#N/A,((Tabela1[[#This Row],[Consumer Price Index (CPI)]]*1)/B780)-1)</f>
        <v>2.1556780595369363E-2</v>
      </c>
      <c r="E792" s="25">
        <v>231.024</v>
      </c>
      <c r="F792" s="8">
        <f>IF(Tabela1[[#This Row],[Core Consumer Price Index]]="",#N/A,((Tabela1[[#This Row],[Core Consumer Price Index]]*1)/E791)-1)</f>
        <v>1.582422537165229E-3</v>
      </c>
      <c r="G792" s="8">
        <f>IF(Tabela1[[#This Row],[Core Consumer Price Index]]="",#N/A,((Tabela1[[#This Row],[Core Consumer Price Index]]*1)/E780)-1)</f>
        <v>1.9946491483669337E-2</v>
      </c>
      <c r="H792" s="8">
        <f t="shared" si="42"/>
        <v>1.8305397784212474E-2</v>
      </c>
      <c r="I792" s="8">
        <f t="shared" si="43"/>
        <v>1.8443537527762288E-2</v>
      </c>
      <c r="J792" s="25">
        <v>273.24200000000002</v>
      </c>
      <c r="K792" s="8">
        <f>IF(Tabela1[[#This Row],[Services CPI]]="",#N/A,((Tabela1[[#This Row],[Services CPI]]*1)/J791)-1)</f>
        <v>2.0206020734092611E-3</v>
      </c>
      <c r="L792" s="8">
        <f>IF(Tabela1[[#This Row],[Services CPI]]="",#N/A,((Tabela1[[#This Row],[Services CPI]]*1)/J780)-1)</f>
        <v>2.138905502392352E-2</v>
      </c>
      <c r="M792" s="7">
        <v>281.71499999999997</v>
      </c>
      <c r="N792" s="8">
        <f>IF(Tabela1[[#This Row],[Core-Services CPI]]="",#N/A,((Tabela1[[#This Row],[Core-Services CPI]]*1)/M791)-1)</f>
        <v>1.8991325871946518E-3</v>
      </c>
      <c r="O792" s="8">
        <f>IF(Tabela1[[#This Row],[Core-Services CPI]]="",#N/A,((Tabela1[[#This Row],[Core-Services CPI]]*1)/M780)-1)</f>
        <v>2.4921325014097606E-2</v>
      </c>
      <c r="P792" s="7">
        <v>112.327</v>
      </c>
      <c r="Q792" s="8">
        <f>IF(Tabela1[[#This Row],[Durable Goods CPI]]="",#N/A,((Tabela1[[#This Row],[Durable Goods CPI]]*1)/P791)-1)</f>
        <v>-8.3614271355003655E-4</v>
      </c>
      <c r="R792" s="8">
        <f>IF(Tabela1[[#This Row],[Durable Goods CPI]]="",#N/A,((Tabela1[[#This Row],[Durable Goods CPI]]*1)/P780)-1)</f>
        <v>-6.7556215790822716E-3</v>
      </c>
      <c r="S792" s="7">
        <v>2.1718632000000002</v>
      </c>
      <c r="T792" s="7">
        <v>95.174000000000007</v>
      </c>
      <c r="U792" s="8">
        <f>IF(Tabela1[[#This Row],[Personal Consumption Expenditures (PCE)]]="",#N/A,((Tabela1[[#This Row],[Personal Consumption Expenditures (PCE)]]*1)/T791)-1)</f>
        <v>2.9612300169665762E-3</v>
      </c>
      <c r="V792" s="8">
        <f>IF(Tabela1[[#This Row],[Personal Consumption Expenditures (PCE)]]="",#N/A,((Tabela1[[#This Row],[Personal Consumption Expenditures (PCE)]]*1)/T780)-1)</f>
        <v>1.9768774978838444E-2</v>
      </c>
      <c r="W792" s="7">
        <v>93.344999999999999</v>
      </c>
      <c r="X792" s="8">
        <f>IF(Tabela1[[#This Row],[Core PCE]]="",#N/A,((Tabela1[[#This Row],[Core PCE]]*1)/W791)-1)</f>
        <v>2.4270020081831323E-3</v>
      </c>
      <c r="Y792" s="8">
        <f>IF(Tabela1[[#This Row],[Core PCE]]="",#N/A,((Tabela1[[#This Row],[Core PCE]]*1)/W780)-1)</f>
        <v>1.8894492108193051E-2</v>
      </c>
      <c r="Z792" s="8">
        <f t="shared" si="41"/>
        <v>1.7150078968865223E-2</v>
      </c>
      <c r="AA792" s="8">
        <f t="shared" si="40"/>
        <v>1.4720198999477851E-2</v>
      </c>
      <c r="AB792" s="7">
        <v>1.78</v>
      </c>
      <c r="AC792" s="7">
        <v>108.3</v>
      </c>
      <c r="AD792" s="8">
        <f>IF(Tabela1[[#This Row],[Producer Price Index (PPI)]]="",#N/A,((Tabela1[[#This Row],[Producer Price Index (PPI)]]*1)/AC791)-1)</f>
        <v>9.242144177448175E-4</v>
      </c>
      <c r="AE792" s="8">
        <f>IF(Tabela1[[#This Row],[Producer Price Index (PPI)]]="",#N/A,((Tabela1[[#This Row],[Producer Price Index (PPI)]]*1)/AC780)-1)</f>
        <v>1.8814675446848561E-2</v>
      </c>
      <c r="AF792" s="7">
        <v>3.1</v>
      </c>
      <c r="AG792" s="5"/>
    </row>
    <row r="793" spans="1:33" ht="12.75">
      <c r="A793" s="6">
        <v>41214</v>
      </c>
      <c r="B793" s="7">
        <v>231.249</v>
      </c>
      <c r="C793" s="8">
        <f>IF(Tabela1[[#This Row],[Consumer Price Index (CPI)]]="",#N/A,((Tabela1[[#This Row],[Consumer Price Index (CPI)]]*1)/B792)-1)</f>
        <v>-1.6793444944266378E-3</v>
      </c>
      <c r="D793" s="8">
        <f>IF(Tabela1[[#This Row],[Consumer Price Index (CPI)]]="",#N/A,((Tabela1[[#This Row],[Consumer Price Index (CPI)]]*1)/B781)-1)</f>
        <v>1.7960197033926262E-2</v>
      </c>
      <c r="E793" s="25">
        <v>231.33</v>
      </c>
      <c r="F793" s="8">
        <f>IF(Tabela1[[#This Row],[Core Consumer Price Index]]="",#N/A,((Tabela1[[#This Row],[Core Consumer Price Index]]*1)/E792)-1)</f>
        <v>1.3245377103678901E-3</v>
      </c>
      <c r="G793" s="8">
        <f>IF(Tabela1[[#This Row],[Core Consumer Price Index]]="",#N/A,((Tabela1[[#This Row],[Core Consumer Price Index]]*1)/E781)-1)</f>
        <v>1.9528512686261434E-2</v>
      </c>
      <c r="H793" s="8">
        <f t="shared" si="42"/>
        <v>1.9029038907024898E-2</v>
      </c>
      <c r="I793" s="8">
        <f t="shared" si="43"/>
        <v>1.8305430492894459E-2</v>
      </c>
      <c r="J793" s="25">
        <v>273.78300000000002</v>
      </c>
      <c r="K793" s="8">
        <f>IF(Tabela1[[#This Row],[Services CPI]]="",#N/A,((Tabela1[[#This Row],[Services CPI]]*1)/J792)-1)</f>
        <v>1.979929879008413E-3</v>
      </c>
      <c r="L793" s="8">
        <f>IF(Tabela1[[#This Row],[Services CPI]]="",#N/A,((Tabela1[[#This Row],[Services CPI]]*1)/J781)-1)</f>
        <v>2.2230602361954954E-2</v>
      </c>
      <c r="M793" s="7">
        <v>282.14299999999997</v>
      </c>
      <c r="N793" s="8">
        <f>IF(Tabela1[[#This Row],[Core-Services CPI]]="",#N/A,((Tabela1[[#This Row],[Core-Services CPI]]*1)/M792)-1)</f>
        <v>1.5192659247820206E-3</v>
      </c>
      <c r="O793" s="8">
        <f>IF(Tabela1[[#This Row],[Core-Services CPI]]="",#N/A,((Tabela1[[#This Row],[Core-Services CPI]]*1)/M781)-1)</f>
        <v>2.4871411135650279E-2</v>
      </c>
      <c r="P793" s="7">
        <v>112.399</v>
      </c>
      <c r="Q793" s="8">
        <f>IF(Tabela1[[#This Row],[Durable Goods CPI]]="",#N/A,((Tabela1[[#This Row],[Durable Goods CPI]]*1)/P792)-1)</f>
        <v>6.4098569355541812E-4</v>
      </c>
      <c r="R793" s="8">
        <f>IF(Tabela1[[#This Row],[Durable Goods CPI]]="",#N/A,((Tabela1[[#This Row],[Durable Goods CPI]]*1)/P781)-1)</f>
        <v>-5.556194537588377E-3</v>
      </c>
      <c r="S793" s="7">
        <v>2.2199385</v>
      </c>
      <c r="T793" s="7">
        <v>95.108999999999995</v>
      </c>
      <c r="U793" s="8">
        <f>IF(Tabela1[[#This Row],[Personal Consumption Expenditures (PCE)]]="",#N/A,((Tabela1[[#This Row],[Personal Consumption Expenditures (PCE)]]*1)/T792)-1)</f>
        <v>-6.8295963183240271E-4</v>
      </c>
      <c r="V793" s="8">
        <f>IF(Tabela1[[#This Row],[Personal Consumption Expenditures (PCE)]]="",#N/A,((Tabela1[[#This Row],[Personal Consumption Expenditures (PCE)]]*1)/T781)-1)</f>
        <v>1.6991017964071764E-2</v>
      </c>
      <c r="W793" s="7">
        <v>93.444999999999993</v>
      </c>
      <c r="X793" s="8">
        <f>IF(Tabela1[[#This Row],[Core PCE]]="",#N/A,((Tabela1[[#This Row],[Core PCE]]*1)/W792)-1)</f>
        <v>1.0712946595961004E-3</v>
      </c>
      <c r="Y793" s="8">
        <f>IF(Tabela1[[#This Row],[Core PCE]]="",#N/A,((Tabela1[[#This Row],[Core PCE]]*1)/W781)-1)</f>
        <v>1.7830690135935745E-2</v>
      </c>
      <c r="Z793" s="8">
        <f t="shared" si="41"/>
        <v>1.8896148877449725E-2</v>
      </c>
      <c r="AA793" s="8">
        <f t="shared" ref="AA793:AA856" si="44">SUM(X788:X793)*2</f>
        <v>1.483388727076429E-2</v>
      </c>
      <c r="AB793" s="7">
        <v>1.7</v>
      </c>
      <c r="AC793" s="7">
        <v>108.4</v>
      </c>
      <c r="AD793" s="8">
        <f>IF(Tabela1[[#This Row],[Producer Price Index (PPI)]]="",#N/A,((Tabela1[[#This Row],[Producer Price Index (PPI)]]*1)/AC792)-1)</f>
        <v>9.2336103416434945E-4</v>
      </c>
      <c r="AE793" s="8">
        <f>IF(Tabela1[[#This Row],[Producer Price Index (PPI)]]="",#N/A,((Tabela1[[#This Row],[Producer Price Index (PPI)]]*1)/AC781)-1)</f>
        <v>1.6885553470919357E-2</v>
      </c>
      <c r="AF793" s="7">
        <v>3.1</v>
      </c>
      <c r="AG793" s="5"/>
    </row>
    <row r="794" spans="1:33" ht="12.75">
      <c r="A794" s="6">
        <v>41244</v>
      </c>
      <c r="B794" s="7">
        <v>231.221</v>
      </c>
      <c r="C794" s="8">
        <f>IF(Tabela1[[#This Row],[Consumer Price Index (CPI)]]="",#N/A,((Tabela1[[#This Row],[Consumer Price Index (CPI)]]*1)/B793)-1)</f>
        <v>-1.2108160467716456E-4</v>
      </c>
      <c r="D794" s="8">
        <f>IF(Tabela1[[#This Row],[Consumer Price Index (CPI)]]="",#N/A,((Tabela1[[#This Row],[Consumer Price Index (CPI)]]*1)/B782)-1)</f>
        <v>1.7595049796895523E-2</v>
      </c>
      <c r="E794" s="25">
        <v>231.72499999999999</v>
      </c>
      <c r="F794" s="8">
        <f>IF(Tabela1[[#This Row],[Core Consumer Price Index]]="",#N/A,((Tabela1[[#This Row],[Core Consumer Price Index]]*1)/E793)-1)</f>
        <v>1.707517399386127E-3</v>
      </c>
      <c r="G794" s="8">
        <f>IF(Tabela1[[#This Row],[Core Consumer Price Index]]="",#N/A,((Tabela1[[#This Row],[Core Consumer Price Index]]*1)/E782)-1)</f>
        <v>1.8996943778720743E-2</v>
      </c>
      <c r="H794" s="8">
        <f t="shared" si="42"/>
        <v>1.8457910587676984E-2</v>
      </c>
      <c r="I794" s="8">
        <f t="shared" si="43"/>
        <v>1.8239154434164906E-2</v>
      </c>
      <c r="J794" s="25">
        <v>274.43700000000001</v>
      </c>
      <c r="K794" s="8">
        <f>IF(Tabela1[[#This Row],[Services CPI]]="",#N/A,((Tabela1[[#This Row],[Services CPI]]*1)/J793)-1)</f>
        <v>2.388753136608246E-3</v>
      </c>
      <c r="L794" s="8">
        <f>IF(Tabela1[[#This Row],[Services CPI]]="",#N/A,((Tabela1[[#This Row],[Services CPI]]*1)/J782)-1)</f>
        <v>2.2252600917072263E-2</v>
      </c>
      <c r="M794" s="7">
        <v>282.84699999999998</v>
      </c>
      <c r="N794" s="8">
        <f>IF(Tabela1[[#This Row],[Core-Services CPI]]="",#N/A,((Tabela1[[#This Row],[Core-Services CPI]]*1)/M793)-1)</f>
        <v>2.4951886100310627E-3</v>
      </c>
      <c r="O794" s="8">
        <f>IF(Tabela1[[#This Row],[Core-Services CPI]]="",#N/A,((Tabela1[[#This Row],[Core-Services CPI]]*1)/M782)-1)</f>
        <v>2.4477614102698775E-2</v>
      </c>
      <c r="P794" s="7">
        <v>112.389</v>
      </c>
      <c r="Q794" s="8">
        <f>IF(Tabela1[[#This Row],[Durable Goods CPI]]="",#N/A,((Tabela1[[#This Row],[Durable Goods CPI]]*1)/P793)-1)</f>
        <v>-8.8968763067298617E-5</v>
      </c>
      <c r="R794" s="8">
        <f>IF(Tabela1[[#This Row],[Durable Goods CPI]]="",#N/A,((Tabela1[[#This Row],[Durable Goods CPI]]*1)/P782)-1)</f>
        <v>-5.2662323868866157E-3</v>
      </c>
      <c r="S794" s="7">
        <v>2.2070704999999999</v>
      </c>
      <c r="T794" s="7">
        <v>95.093999999999994</v>
      </c>
      <c r="U794" s="8">
        <f>IF(Tabela1[[#This Row],[Personal Consumption Expenditures (PCE)]]="",#N/A,((Tabela1[[#This Row],[Personal Consumption Expenditures (PCE)]]*1)/T793)-1)</f>
        <v>-1.5771378103024425E-4</v>
      </c>
      <c r="V794" s="8">
        <f>IF(Tabela1[[#This Row],[Personal Consumption Expenditures (PCE)]]="",#N/A,((Tabela1[[#This Row],[Personal Consumption Expenditures (PCE)]]*1)/T782)-1)</f>
        <v>1.6243828413875505E-2</v>
      </c>
      <c r="W794" s="7">
        <v>93.513999999999996</v>
      </c>
      <c r="X794" s="8">
        <f>IF(Tabela1[[#This Row],[Core PCE]]="",#N/A,((Tabela1[[#This Row],[Core PCE]]*1)/W793)-1)</f>
        <v>7.3840226871424441E-4</v>
      </c>
      <c r="Y794" s="8">
        <f>IF(Tabela1[[#This Row],[Core PCE]]="",#N/A,((Tabela1[[#This Row],[Core PCE]]*1)/W782)-1)</f>
        <v>1.6898651587646807E-2</v>
      </c>
      <c r="Z794" s="8">
        <f t="shared" si="41"/>
        <v>1.6946795745973908E-2</v>
      </c>
      <c r="AA794" s="8">
        <f t="shared" si="44"/>
        <v>1.426228471423574E-2</v>
      </c>
      <c r="AB794" s="7">
        <v>1.62</v>
      </c>
      <c r="AC794" s="7">
        <v>108.4</v>
      </c>
      <c r="AD794" s="8">
        <f>IF(Tabela1[[#This Row],[Producer Price Index (PPI)]]="",#N/A,((Tabela1[[#This Row],[Producer Price Index (PPI)]]*1)/AC793)-1)</f>
        <v>0</v>
      </c>
      <c r="AE794" s="8">
        <f>IF(Tabela1[[#This Row],[Producer Price Index (PPI)]]="",#N/A,((Tabela1[[#This Row],[Producer Price Index (PPI)]]*1)/AC782)-1)</f>
        <v>1.7840375586854584E-2</v>
      </c>
      <c r="AF794" s="7">
        <v>3.2</v>
      </c>
      <c r="AG794" s="5"/>
    </row>
    <row r="795" spans="1:33" ht="12.75">
      <c r="A795" s="6">
        <v>41275</v>
      </c>
      <c r="B795" s="7">
        <v>231.679</v>
      </c>
      <c r="C795" s="8">
        <f>IF(Tabela1[[#This Row],[Consumer Price Index (CPI)]]="",#N/A,((Tabela1[[#This Row],[Consumer Price Index (CPI)]]*1)/B794)-1)</f>
        <v>1.9807889421807889E-3</v>
      </c>
      <c r="D795" s="8">
        <f>IF(Tabela1[[#This Row],[Consumer Price Index (CPI)]]="",#N/A,((Tabela1[[#This Row],[Consumer Price Index (CPI)]]*1)/B783)-1)</f>
        <v>1.6840617620982989E-2</v>
      </c>
      <c r="E795" s="25">
        <v>232.22900000000001</v>
      </c>
      <c r="F795" s="8">
        <f>IF(Tabela1[[#This Row],[Core Consumer Price Index]]="",#N/A,((Tabela1[[#This Row],[Core Consumer Price Index]]*1)/E794)-1)</f>
        <v>2.1749919085123359E-3</v>
      </c>
      <c r="G795" s="8">
        <f>IF(Tabela1[[#This Row],[Core Consumer Price Index]]="",#N/A,((Tabela1[[#This Row],[Core Consumer Price Index]]*1)/E783)-1)</f>
        <v>1.9098022178631435E-2</v>
      </c>
      <c r="H795" s="8">
        <f t="shared" si="42"/>
        <v>2.0828188073065412E-2</v>
      </c>
      <c r="I795" s="8">
        <f t="shared" si="43"/>
        <v>1.9566792928638943E-2</v>
      </c>
      <c r="J795" s="25">
        <v>275.12099999999998</v>
      </c>
      <c r="K795" s="8">
        <f>IF(Tabela1[[#This Row],[Services CPI]]="",#N/A,((Tabela1[[#This Row],[Services CPI]]*1)/J794)-1)</f>
        <v>2.4923752992489501E-3</v>
      </c>
      <c r="L795" s="8">
        <f>IF(Tabela1[[#This Row],[Services CPI]]="",#N/A,((Tabela1[[#This Row],[Services CPI]]*1)/J783)-1)</f>
        <v>2.2982821447162793E-2</v>
      </c>
      <c r="M795" s="7">
        <v>283.56400000000002</v>
      </c>
      <c r="N795" s="8">
        <f>IF(Tabela1[[#This Row],[Core-Services CPI]]="",#N/A,((Tabela1[[#This Row],[Core-Services CPI]]*1)/M794)-1)</f>
        <v>2.534939384190249E-3</v>
      </c>
      <c r="O795" s="8">
        <f>IF(Tabela1[[#This Row],[Core-Services CPI]]="",#N/A,((Tabela1[[#This Row],[Core-Services CPI]]*1)/M783)-1)</f>
        <v>2.4680740349939168E-2</v>
      </c>
      <c r="P795" s="7">
        <v>112.497</v>
      </c>
      <c r="Q795" s="8">
        <f>IF(Tabela1[[#This Row],[Durable Goods CPI]]="",#N/A,((Tabela1[[#This Row],[Durable Goods CPI]]*1)/P794)-1)</f>
        <v>9.6094813549374436E-4</v>
      </c>
      <c r="R795" s="8">
        <f>IF(Tabela1[[#This Row],[Durable Goods CPI]]="",#N/A,((Tabela1[[#This Row],[Durable Goods CPI]]*1)/P783)-1)</f>
        <v>-3.9577135571611244E-3</v>
      </c>
      <c r="S795" s="7">
        <v>2.1959868999999999</v>
      </c>
      <c r="T795" s="7">
        <v>95.275000000000006</v>
      </c>
      <c r="U795" s="8">
        <f>IF(Tabela1[[#This Row],[Personal Consumption Expenditures (PCE)]]="",#N/A,((Tabela1[[#This Row],[Personal Consumption Expenditures (PCE)]]*1)/T794)-1)</f>
        <v>1.9033798136582902E-3</v>
      </c>
      <c r="V795" s="8">
        <f>IF(Tabela1[[#This Row],[Personal Consumption Expenditures (PCE)]]="",#N/A,((Tabela1[[#This Row],[Personal Consumption Expenditures (PCE)]]*1)/T783)-1)</f>
        <v>1.4708075063369241E-2</v>
      </c>
      <c r="W795" s="7">
        <v>93.703000000000003</v>
      </c>
      <c r="X795" s="8">
        <f>IF(Tabela1[[#This Row],[Core PCE]]="",#N/A,((Tabela1[[#This Row],[Core PCE]]*1)/W794)-1)</f>
        <v>2.0210877515667303E-3</v>
      </c>
      <c r="Y795" s="8">
        <f>IF(Tabela1[[#This Row],[Core PCE]]="",#N/A,((Tabela1[[#This Row],[Core PCE]]*1)/W783)-1)</f>
        <v>1.5915867078657886E-2</v>
      </c>
      <c r="Z795" s="8">
        <f t="shared" si="41"/>
        <v>1.53231387195083E-2</v>
      </c>
      <c r="AA795" s="8">
        <f t="shared" si="44"/>
        <v>1.6236608844186762E-2</v>
      </c>
      <c r="AB795" s="7">
        <v>1.57</v>
      </c>
      <c r="AC795" s="7">
        <v>108.7</v>
      </c>
      <c r="AD795" s="8">
        <f>IF(Tabela1[[#This Row],[Producer Price Index (PPI)]]="",#N/A,((Tabela1[[#This Row],[Producer Price Index (PPI)]]*1)/AC794)-1)</f>
        <v>2.7675276752767708E-3</v>
      </c>
      <c r="AE795" s="8">
        <f>IF(Tabela1[[#This Row],[Producer Price Index (PPI)]]="",#N/A,((Tabela1[[#This Row],[Producer Price Index (PPI)]]*1)/AC783)-1)</f>
        <v>1.6838166510757757E-2</v>
      </c>
      <c r="AF795" s="7">
        <v>3.3</v>
      </c>
      <c r="AG795" s="5"/>
    </row>
    <row r="796" spans="1:33" ht="12.75">
      <c r="A796" s="6">
        <v>41306</v>
      </c>
      <c r="B796" s="7">
        <v>232.93700000000001</v>
      </c>
      <c r="C796" s="8">
        <f>IF(Tabela1[[#This Row],[Consumer Price Index (CPI)]]="",#N/A,((Tabela1[[#This Row],[Consumer Price Index (CPI)]]*1)/B795)-1)</f>
        <v>5.4299267521009664E-3</v>
      </c>
      <c r="D796" s="8">
        <f>IF(Tabela1[[#This Row],[Consumer Price Index (CPI)]]="",#N/A,((Tabela1[[#This Row],[Consumer Price Index (CPI)]]*1)/B784)-1)</f>
        <v>2.0181404902574807E-2</v>
      </c>
      <c r="E796" s="25">
        <v>232.56899999999999</v>
      </c>
      <c r="F796" s="8">
        <f>IF(Tabela1[[#This Row],[Core Consumer Price Index]]="",#N/A,((Tabela1[[#This Row],[Core Consumer Price Index]]*1)/E795)-1)</f>
        <v>1.4640721012448843E-3</v>
      </c>
      <c r="G796" s="8">
        <f>IF(Tabela1[[#This Row],[Core Consumer Price Index]]="",#N/A,((Tabela1[[#This Row],[Core Consumer Price Index]]*1)/E784)-1)</f>
        <v>1.9887385214485631E-2</v>
      </c>
      <c r="H796" s="8">
        <f t="shared" si="42"/>
        <v>2.1386325636573389E-2</v>
      </c>
      <c r="I796" s="8">
        <f t="shared" si="43"/>
        <v>2.0207682271799143E-2</v>
      </c>
      <c r="J796" s="25">
        <v>275.75599999999997</v>
      </c>
      <c r="K796" s="8">
        <f>IF(Tabela1[[#This Row],[Services CPI]]="",#N/A,((Tabela1[[#This Row],[Services CPI]]*1)/J795)-1)</f>
        <v>2.3080753559343581E-3</v>
      </c>
      <c r="L796" s="8">
        <f>IF(Tabela1[[#This Row],[Services CPI]]="",#N/A,((Tabela1[[#This Row],[Services CPI]]*1)/J784)-1)</f>
        <v>2.4985689541098921E-2</v>
      </c>
      <c r="M796" s="7">
        <v>284.19499999999999</v>
      </c>
      <c r="N796" s="8">
        <f>IF(Tabela1[[#This Row],[Core-Services CPI]]="",#N/A,((Tabela1[[#This Row],[Core-Services CPI]]*1)/M795)-1)</f>
        <v>2.2252472105062093E-3</v>
      </c>
      <c r="O796" s="8">
        <f>IF(Tabela1[[#This Row],[Core-Services CPI]]="",#N/A,((Tabela1[[#This Row],[Core-Services CPI]]*1)/M784)-1)</f>
        <v>2.5937691780080208E-2</v>
      </c>
      <c r="P796" s="7">
        <v>112.379</v>
      </c>
      <c r="Q796" s="8">
        <f>IF(Tabela1[[#This Row],[Durable Goods CPI]]="",#N/A,((Tabela1[[#This Row],[Durable Goods CPI]]*1)/P795)-1)</f>
        <v>-1.048916860005078E-3</v>
      </c>
      <c r="R796" s="8">
        <f>IF(Tabela1[[#This Row],[Durable Goods CPI]]="",#N/A,((Tabela1[[#This Row],[Durable Goods CPI]]*1)/P784)-1)</f>
        <v>-5.4603702785938069E-3</v>
      </c>
      <c r="S796" s="7">
        <v>2.1097305</v>
      </c>
      <c r="T796" s="7">
        <v>95.614000000000004</v>
      </c>
      <c r="U796" s="8">
        <f>IF(Tabela1[[#This Row],[Personal Consumption Expenditures (PCE)]]="",#N/A,((Tabela1[[#This Row],[Personal Consumption Expenditures (PCE)]]*1)/T795)-1)</f>
        <v>3.5581212280242358E-3</v>
      </c>
      <c r="V796" s="8">
        <f>IF(Tabela1[[#This Row],[Personal Consumption Expenditures (PCE)]]="",#N/A,((Tabela1[[#This Row],[Personal Consumption Expenditures (PCE)]]*1)/T784)-1)</f>
        <v>1.6046076681118793E-2</v>
      </c>
      <c r="W796" s="7">
        <v>93.805000000000007</v>
      </c>
      <c r="X796" s="8">
        <f>IF(Tabela1[[#This Row],[Core PCE]]="",#N/A,((Tabela1[[#This Row],[Core PCE]]*1)/W795)-1)</f>
        <v>1.0885457242564289E-3</v>
      </c>
      <c r="Y796" s="8">
        <f>IF(Tabela1[[#This Row],[Core PCE]]="",#N/A,((Tabela1[[#This Row],[Core PCE]]*1)/W784)-1)</f>
        <v>1.5601316530249987E-2</v>
      </c>
      <c r="Z796" s="8">
        <f t="shared" si="41"/>
        <v>1.5392142978149614E-2</v>
      </c>
      <c r="AA796" s="8">
        <f t="shared" si="44"/>
        <v>1.714414592779967E-2</v>
      </c>
      <c r="AB796" s="7">
        <v>1.61</v>
      </c>
      <c r="AC796" s="7">
        <v>108.9</v>
      </c>
      <c r="AD796" s="8">
        <f>IF(Tabela1[[#This Row],[Producer Price Index (PPI)]]="",#N/A,((Tabela1[[#This Row],[Producer Price Index (PPI)]]*1)/AC795)-1)</f>
        <v>1.8399264029438367E-3</v>
      </c>
      <c r="AE796" s="8">
        <f>IF(Tabela1[[#This Row],[Producer Price Index (PPI)]]="",#N/A,((Tabela1[[#This Row],[Producer Price Index (PPI)]]*1)/AC784)-1)</f>
        <v>1.585820895522394E-2</v>
      </c>
      <c r="AF796" s="7">
        <v>3.3</v>
      </c>
      <c r="AG796" s="5"/>
    </row>
    <row r="797" spans="1:33" ht="12.75">
      <c r="A797" s="6">
        <v>41334</v>
      </c>
      <c r="B797" s="7">
        <v>232.28200000000001</v>
      </c>
      <c r="C797" s="8">
        <f>IF(Tabela1[[#This Row],[Consumer Price Index (CPI)]]="",#N/A,((Tabela1[[#This Row],[Consumer Price Index (CPI)]]*1)/B796)-1)</f>
        <v>-2.8119191025899326E-3</v>
      </c>
      <c r="D797" s="8">
        <f>IF(Tabela1[[#This Row],[Consumer Price Index (CPI)]]="",#N/A,((Tabela1[[#This Row],[Consumer Price Index (CPI)]]*1)/B785)-1)</f>
        <v>1.5187472411246183E-2</v>
      </c>
      <c r="E797" s="25">
        <v>232.79400000000001</v>
      </c>
      <c r="F797" s="8">
        <f>IF(Tabela1[[#This Row],[Core Consumer Price Index]]="",#N/A,((Tabela1[[#This Row],[Core Consumer Price Index]]*1)/E796)-1)</f>
        <v>9.6745481985993642E-4</v>
      </c>
      <c r="G797" s="8">
        <f>IF(Tabela1[[#This Row],[Core Consumer Price Index]]="",#N/A,((Tabela1[[#This Row],[Core Consumer Price Index]]*1)/E785)-1)</f>
        <v>1.8890221377988237E-2</v>
      </c>
      <c r="H797" s="8">
        <f t="shared" si="42"/>
        <v>1.8426075318468627E-2</v>
      </c>
      <c r="I797" s="8">
        <f t="shared" si="43"/>
        <v>1.8441992953072806E-2</v>
      </c>
      <c r="J797" s="25">
        <v>276.20699999999999</v>
      </c>
      <c r="K797" s="8">
        <f>IF(Tabela1[[#This Row],[Services CPI]]="",#N/A,((Tabela1[[#This Row],[Services CPI]]*1)/J796)-1)</f>
        <v>1.6355038512307907E-3</v>
      </c>
      <c r="L797" s="8">
        <f>IF(Tabela1[[#This Row],[Services CPI]]="",#N/A,((Tabela1[[#This Row],[Services CPI]]*1)/J785)-1)</f>
        <v>2.465110067442744E-2</v>
      </c>
      <c r="M797" s="7">
        <v>284.738</v>
      </c>
      <c r="N797" s="8">
        <f>IF(Tabela1[[#This Row],[Core-Services CPI]]="",#N/A,((Tabela1[[#This Row],[Core-Services CPI]]*1)/M796)-1)</f>
        <v>1.9106599342000319E-3</v>
      </c>
      <c r="O797" s="8">
        <f>IF(Tabela1[[#This Row],[Core-Services CPI]]="",#N/A,((Tabela1[[#This Row],[Core-Services CPI]]*1)/M785)-1)</f>
        <v>2.5465755743390606E-2</v>
      </c>
      <c r="P797" s="7">
        <v>112.209</v>
      </c>
      <c r="Q797" s="8">
        <f>IF(Tabela1[[#This Row],[Durable Goods CPI]]="",#N/A,((Tabela1[[#This Row],[Durable Goods CPI]]*1)/P796)-1)</f>
        <v>-1.5127381450270594E-3</v>
      </c>
      <c r="R797" s="8">
        <f>IF(Tabela1[[#This Row],[Durable Goods CPI]]="",#N/A,((Tabela1[[#This Row],[Durable Goods CPI]]*1)/P785)-1)</f>
        <v>-6.5780154401869906E-3</v>
      </c>
      <c r="S797" s="7">
        <v>2.0682971000000001</v>
      </c>
      <c r="T797" s="7">
        <v>95.488</v>
      </c>
      <c r="U797" s="8">
        <f>IF(Tabela1[[#This Row],[Personal Consumption Expenditures (PCE)]]="",#N/A,((Tabela1[[#This Row],[Personal Consumption Expenditures (PCE)]]*1)/T796)-1)</f>
        <v>-1.3177986487334925E-3</v>
      </c>
      <c r="V797" s="8">
        <f>IF(Tabela1[[#This Row],[Personal Consumption Expenditures (PCE)]]="",#N/A,((Tabela1[[#This Row],[Personal Consumption Expenditures (PCE)]]*1)/T785)-1)</f>
        <v>1.2769929150227011E-2</v>
      </c>
      <c r="W797" s="7">
        <v>93.891000000000005</v>
      </c>
      <c r="X797" s="8">
        <f>IF(Tabela1[[#This Row],[Core PCE]]="",#N/A,((Tabela1[[#This Row],[Core PCE]]*1)/W796)-1)</f>
        <v>9.16795479985133E-4</v>
      </c>
      <c r="Y797" s="8">
        <f>IF(Tabela1[[#This Row],[Core PCE]]="",#N/A,((Tabela1[[#This Row],[Core PCE]]*1)/W785)-1)</f>
        <v>1.4807449119659477E-2</v>
      </c>
      <c r="Z797" s="8">
        <f t="shared" si="41"/>
        <v>1.6105715823233169E-2</v>
      </c>
      <c r="AA797" s="8">
        <f t="shared" si="44"/>
        <v>1.6526255784603539E-2</v>
      </c>
      <c r="AB797" s="7">
        <v>1.56</v>
      </c>
      <c r="AC797" s="7">
        <v>108.9</v>
      </c>
      <c r="AD797" s="8">
        <f>IF(Tabela1[[#This Row],[Producer Price Index (PPI)]]="",#N/A,((Tabela1[[#This Row],[Producer Price Index (PPI)]]*1)/AC796)-1)</f>
        <v>0</v>
      </c>
      <c r="AE797" s="8">
        <f>IF(Tabela1[[#This Row],[Producer Price Index (PPI)]]="",#N/A,((Tabela1[[#This Row],[Producer Price Index (PPI)]]*1)/AC785)-1)</f>
        <v>1.3966480446927276E-2</v>
      </c>
      <c r="AF797" s="7">
        <v>3.2</v>
      </c>
      <c r="AG797" s="5"/>
    </row>
    <row r="798" spans="1:33" ht="12.75">
      <c r="A798" s="6">
        <v>41365</v>
      </c>
      <c r="B798" s="7">
        <v>231.797</v>
      </c>
      <c r="C798" s="8">
        <f>IF(Tabela1[[#This Row],[Consumer Price Index (CPI)]]="",#N/A,((Tabela1[[#This Row],[Consumer Price Index (CPI)]]*1)/B797)-1)</f>
        <v>-2.0879792665812191E-3</v>
      </c>
      <c r="D798" s="8">
        <f>IF(Tabela1[[#This Row],[Consumer Price Index (CPI)]]="",#N/A,((Tabela1[[#This Row],[Consumer Price Index (CPI)]]*1)/B786)-1)</f>
        <v>1.1388080475768669E-2</v>
      </c>
      <c r="E798" s="25">
        <v>232.83199999999999</v>
      </c>
      <c r="F798" s="8">
        <f>IF(Tabela1[[#This Row],[Core Consumer Price Index]]="",#N/A,((Tabela1[[#This Row],[Core Consumer Price Index]]*1)/E797)-1)</f>
        <v>1.6323444762322836E-4</v>
      </c>
      <c r="G798" s="8">
        <f>IF(Tabela1[[#This Row],[Core Consumer Price Index]]="",#N/A,((Tabela1[[#This Row],[Core Consumer Price Index]]*1)/E786)-1)</f>
        <v>1.715558856294086E-2</v>
      </c>
      <c r="H798" s="8">
        <f t="shared" si="42"/>
        <v>1.0379045474912196E-2</v>
      </c>
      <c r="I798" s="8">
        <f t="shared" si="43"/>
        <v>1.5603616773988804E-2</v>
      </c>
      <c r="J798" s="25">
        <v>276.47300000000001</v>
      </c>
      <c r="K798" s="8">
        <f>IF(Tabela1[[#This Row],[Services CPI]]="",#N/A,((Tabela1[[#This Row],[Services CPI]]*1)/J797)-1)</f>
        <v>9.6304583156836543E-4</v>
      </c>
      <c r="L798" s="8">
        <f>IF(Tabela1[[#This Row],[Services CPI]]="",#N/A,((Tabela1[[#This Row],[Services CPI]]*1)/J786)-1)</f>
        <v>2.357601673423293E-2</v>
      </c>
      <c r="M798" s="7">
        <v>284.827</v>
      </c>
      <c r="N798" s="8">
        <f>IF(Tabela1[[#This Row],[Core-Services CPI]]="",#N/A,((Tabela1[[#This Row],[Core-Services CPI]]*1)/M797)-1)</f>
        <v>3.1256804500978674E-4</v>
      </c>
      <c r="O798" s="8">
        <f>IF(Tabela1[[#This Row],[Core-Services CPI]]="",#N/A,((Tabela1[[#This Row],[Core-Services CPI]]*1)/M786)-1)</f>
        <v>2.341265706350093E-2</v>
      </c>
      <c r="P798" s="7">
        <v>112.014</v>
      </c>
      <c r="Q798" s="8">
        <f>IF(Tabela1[[#This Row],[Durable Goods CPI]]="",#N/A,((Tabela1[[#This Row],[Durable Goods CPI]]*1)/P797)-1)</f>
        <v>-1.7378285164292295E-3</v>
      </c>
      <c r="R798" s="8">
        <f>IF(Tabela1[[#This Row],[Durable Goods CPI]]="",#N/A,((Tabela1[[#This Row],[Durable Goods CPI]]*1)/P786)-1)</f>
        <v>-9.076433121019245E-3</v>
      </c>
      <c r="S798" s="7">
        <v>2.1460170000000001</v>
      </c>
      <c r="T798" s="7">
        <v>95.391000000000005</v>
      </c>
      <c r="U798" s="8">
        <f>IF(Tabela1[[#This Row],[Personal Consumption Expenditures (PCE)]]="",#N/A,((Tabela1[[#This Row],[Personal Consumption Expenditures (PCE)]]*1)/T797)-1)</f>
        <v>-1.0158344504020977E-3</v>
      </c>
      <c r="V798" s="8">
        <f>IF(Tabela1[[#This Row],[Personal Consumption Expenditures (PCE)]]="",#N/A,((Tabela1[[#This Row],[Personal Consumption Expenditures (PCE)]]*1)/T786)-1)</f>
        <v>1.0412253198881505E-2</v>
      </c>
      <c r="W798" s="7">
        <v>93.936999999999998</v>
      </c>
      <c r="X798" s="8">
        <f>IF(Tabela1[[#This Row],[Core PCE]]="",#N/A,((Tabela1[[#This Row],[Core PCE]]*1)/W797)-1)</f>
        <v>4.8992981222895082E-4</v>
      </c>
      <c r="Y798" s="8">
        <f>IF(Tabela1[[#This Row],[Core PCE]]="",#N/A,((Tabela1[[#This Row],[Core PCE]]*1)/W786)-1)</f>
        <v>1.3770626261318197E-2</v>
      </c>
      <c r="Z798" s="8">
        <f t="shared" si="41"/>
        <v>9.981084065882051E-3</v>
      </c>
      <c r="AA798" s="8">
        <f t="shared" si="44"/>
        <v>1.2652111392695176E-2</v>
      </c>
      <c r="AB798" s="7">
        <v>1.42</v>
      </c>
      <c r="AC798" s="7">
        <v>108.7</v>
      </c>
      <c r="AD798" s="8">
        <f>IF(Tabela1[[#This Row],[Producer Price Index (PPI)]]="",#N/A,((Tabela1[[#This Row],[Producer Price Index (PPI)]]*1)/AC797)-1)</f>
        <v>-1.8365472910927272E-3</v>
      </c>
      <c r="AE798" s="8">
        <f>IF(Tabela1[[#This Row],[Producer Price Index (PPI)]]="",#N/A,((Tabela1[[#This Row],[Producer Price Index (PPI)]]*1)/AC786)-1)</f>
        <v>9.2850510677808806E-3</v>
      </c>
      <c r="AF798" s="7">
        <v>3.1</v>
      </c>
      <c r="AG798" s="5"/>
    </row>
    <row r="799" spans="1:33" ht="12.75">
      <c r="A799" s="6">
        <v>41395</v>
      </c>
      <c r="B799" s="7">
        <v>231.893</v>
      </c>
      <c r="C799" s="8">
        <f>IF(Tabela1[[#This Row],[Consumer Price Index (CPI)]]="",#N/A,((Tabela1[[#This Row],[Consumer Price Index (CPI)]]*1)/B798)-1)</f>
        <v>4.1415548950163306E-4</v>
      </c>
      <c r="D799" s="8">
        <f>IF(Tabela1[[#This Row],[Consumer Price Index (CPI)]]="",#N/A,((Tabela1[[#This Row],[Consumer Price Index (CPI)]]*1)/B787)-1)</f>
        <v>1.3903888279197085E-2</v>
      </c>
      <c r="E799" s="25">
        <v>232.99600000000001</v>
      </c>
      <c r="F799" s="8">
        <f>IF(Tabela1[[#This Row],[Core Consumer Price Index]]="",#N/A,((Tabela1[[#This Row],[Core Consumer Price Index]]*1)/E798)-1)</f>
        <v>7.0437053326011245E-4</v>
      </c>
      <c r="G799" s="8">
        <f>IF(Tabela1[[#This Row],[Core Consumer Price Index]]="",#N/A,((Tabela1[[#This Row],[Core Consumer Price Index]]*1)/E787)-1)</f>
        <v>1.6455519491850756E-2</v>
      </c>
      <c r="H799" s="8">
        <f t="shared" si="42"/>
        <v>7.3402392029731089E-3</v>
      </c>
      <c r="I799" s="8">
        <f t="shared" si="43"/>
        <v>1.4363282419773249E-2</v>
      </c>
      <c r="J799" s="25">
        <v>276.95499999999998</v>
      </c>
      <c r="K799" s="8">
        <f>IF(Tabela1[[#This Row],[Services CPI]]="",#N/A,((Tabela1[[#This Row],[Services CPI]]*1)/J798)-1)</f>
        <v>1.7433890470315294E-3</v>
      </c>
      <c r="L799" s="8">
        <f>IF(Tabela1[[#This Row],[Services CPI]]="",#N/A,((Tabela1[[#This Row],[Services CPI]]*1)/J787)-1)</f>
        <v>2.438203452395471E-2</v>
      </c>
      <c r="M799" s="7">
        <v>285.137</v>
      </c>
      <c r="N799" s="8">
        <f>IF(Tabela1[[#This Row],[Core-Services CPI]]="",#N/A,((Tabela1[[#This Row],[Core-Services CPI]]*1)/M798)-1)</f>
        <v>1.0883799639780367E-3</v>
      </c>
      <c r="O799" s="8">
        <f>IF(Tabela1[[#This Row],[Core-Services CPI]]="",#N/A,((Tabela1[[#This Row],[Core-Services CPI]]*1)/M787)-1)</f>
        <v>2.3019435205815064E-2</v>
      </c>
      <c r="P799" s="7">
        <v>111.879</v>
      </c>
      <c r="Q799" s="8">
        <f>IF(Tabela1[[#This Row],[Durable Goods CPI]]="",#N/A,((Tabela1[[#This Row],[Durable Goods CPI]]*1)/P798)-1)</f>
        <v>-1.2052064920455852E-3</v>
      </c>
      <c r="R799" s="8">
        <f>IF(Tabela1[[#This Row],[Durable Goods CPI]]="",#N/A,((Tabela1[[#This Row],[Durable Goods CPI]]*1)/P787)-1)</f>
        <v>-1.0717033185664526E-2</v>
      </c>
      <c r="S799" s="7">
        <v>2.0999024999999998</v>
      </c>
      <c r="T799" s="7">
        <v>95.460999999999999</v>
      </c>
      <c r="U799" s="8">
        <f>IF(Tabela1[[#This Row],[Personal Consumption Expenditures (PCE)]]="",#N/A,((Tabela1[[#This Row],[Personal Consumption Expenditures (PCE)]]*1)/T798)-1)</f>
        <v>7.3382184902137659E-4</v>
      </c>
      <c r="V799" s="8">
        <f>IF(Tabela1[[#This Row],[Personal Consumption Expenditures (PCE)]]="",#N/A,((Tabela1[[#This Row],[Personal Consumption Expenditures (PCE)]]*1)/T787)-1)</f>
        <v>1.2290301372187118E-2</v>
      </c>
      <c r="W799" s="7">
        <v>94.046999999999997</v>
      </c>
      <c r="X799" s="8">
        <f>IF(Tabela1[[#This Row],[Core PCE]]="",#N/A,((Tabela1[[#This Row],[Core PCE]]*1)/W798)-1)</f>
        <v>1.1709975834868214E-3</v>
      </c>
      <c r="Y799" s="8">
        <f>IF(Tabela1[[#This Row],[Core PCE]]="",#N/A,((Tabela1[[#This Row],[Core PCE]]*1)/W787)-1)</f>
        <v>1.3929168238908884E-2</v>
      </c>
      <c r="Z799" s="8">
        <f t="shared" si="41"/>
        <v>1.0310891502803621E-2</v>
      </c>
      <c r="AA799" s="8">
        <f t="shared" si="44"/>
        <v>1.2851517240476618E-2</v>
      </c>
      <c r="AB799" s="7">
        <v>1.4</v>
      </c>
      <c r="AC799" s="7">
        <v>108.6</v>
      </c>
      <c r="AD799" s="8">
        <f>IF(Tabela1[[#This Row],[Producer Price Index (PPI)]]="",#N/A,((Tabela1[[#This Row],[Producer Price Index (PPI)]]*1)/AC798)-1)</f>
        <v>-9.1996320147202937E-4</v>
      </c>
      <c r="AE799" s="8">
        <f>IF(Tabela1[[#This Row],[Producer Price Index (PPI)]]="",#N/A,((Tabela1[[#This Row],[Producer Price Index (PPI)]]*1)/AC787)-1)</f>
        <v>9.2936802973977439E-3</v>
      </c>
      <c r="AF799" s="7">
        <v>3.1</v>
      </c>
      <c r="AG799" s="5"/>
    </row>
    <row r="800" spans="1:33" ht="12.75">
      <c r="A800" s="6">
        <v>41426</v>
      </c>
      <c r="B800" s="7">
        <v>232.44499999999999</v>
      </c>
      <c r="C800" s="8">
        <f>IF(Tabela1[[#This Row],[Consumer Price Index (CPI)]]="",#N/A,((Tabela1[[#This Row],[Consumer Price Index (CPI)]]*1)/B799)-1)</f>
        <v>2.3804082055085551E-3</v>
      </c>
      <c r="D800" s="8">
        <f>IF(Tabela1[[#This Row],[Consumer Price Index (CPI)]]="",#N/A,((Tabela1[[#This Row],[Consumer Price Index (CPI)]]*1)/B788)-1)</f>
        <v>1.7157935271568725E-2</v>
      </c>
      <c r="E800" s="25">
        <v>233.35</v>
      </c>
      <c r="F800" s="8">
        <f>IF(Tabela1[[#This Row],[Core Consumer Price Index]]="",#N/A,((Tabela1[[#This Row],[Core Consumer Price Index]]*1)/E799)-1)</f>
        <v>1.5193393878005779E-3</v>
      </c>
      <c r="G800" s="8">
        <f>IF(Tabela1[[#This Row],[Core Consumer Price Index]]="",#N/A,((Tabela1[[#This Row],[Core Consumer Price Index]]*1)/E788)-1)</f>
        <v>1.6230952474272975E-2</v>
      </c>
      <c r="H800" s="8">
        <f t="shared" si="42"/>
        <v>9.5477774747356747E-3</v>
      </c>
      <c r="I800" s="8">
        <f t="shared" si="43"/>
        <v>1.3986926396602151E-2</v>
      </c>
      <c r="J800" s="25">
        <v>277.44099999999997</v>
      </c>
      <c r="K800" s="8">
        <f>IF(Tabela1[[#This Row],[Services CPI]]="",#N/A,((Tabela1[[#This Row],[Services CPI]]*1)/J799)-1)</f>
        <v>1.7547977108194335E-3</v>
      </c>
      <c r="L800" s="8">
        <f>IF(Tabela1[[#This Row],[Services CPI]]="",#N/A,((Tabela1[[#This Row],[Services CPI]]*1)/J788)-1)</f>
        <v>2.3933775225497778E-2</v>
      </c>
      <c r="M800" s="7">
        <v>285.69900000000001</v>
      </c>
      <c r="N800" s="8">
        <f>IF(Tabela1[[#This Row],[Core-Services CPI]]="",#N/A,((Tabela1[[#This Row],[Core-Services CPI]]*1)/M799)-1)</f>
        <v>1.9709823698783602E-3</v>
      </c>
      <c r="O800" s="8">
        <f>IF(Tabela1[[#This Row],[Core-Services CPI]]="",#N/A,((Tabela1[[#This Row],[Core-Services CPI]]*1)/M788)-1)</f>
        <v>2.278268029427033E-2</v>
      </c>
      <c r="P800" s="7">
        <v>111.782</v>
      </c>
      <c r="Q800" s="8">
        <f>IF(Tabela1[[#This Row],[Durable Goods CPI]]="",#N/A,((Tabela1[[#This Row],[Durable Goods CPI]]*1)/P799)-1)</f>
        <v>-8.6700810697282193E-4</v>
      </c>
      <c r="R800" s="8">
        <f>IF(Tabela1[[#This Row],[Durable Goods CPI]]="",#N/A,((Tabela1[[#This Row],[Durable Goods CPI]]*1)/P788)-1)</f>
        <v>-1.1137551861713946E-2</v>
      </c>
      <c r="S800" s="7">
        <v>1.9354319</v>
      </c>
      <c r="T800" s="7">
        <v>95.673000000000002</v>
      </c>
      <c r="U800" s="8">
        <f>IF(Tabela1[[#This Row],[Personal Consumption Expenditures (PCE)]]="",#N/A,((Tabela1[[#This Row],[Personal Consumption Expenditures (PCE)]]*1)/T799)-1)</f>
        <v>2.2208022124219351E-3</v>
      </c>
      <c r="V800" s="8">
        <f>IF(Tabela1[[#This Row],[Personal Consumption Expenditures (PCE)]]="",#N/A,((Tabela1[[#This Row],[Personal Consumption Expenditures (PCE)]]*1)/T788)-1)</f>
        <v>1.5055063976064709E-2</v>
      </c>
      <c r="W800" s="7">
        <v>94.209000000000003</v>
      </c>
      <c r="X800" s="8">
        <f>IF(Tabela1[[#This Row],[Core PCE]]="",#N/A,((Tabela1[[#This Row],[Core PCE]]*1)/W799)-1)</f>
        <v>1.7225429838272355E-3</v>
      </c>
      <c r="Y800" s="8">
        <f>IF(Tabela1[[#This Row],[Core PCE]]="",#N/A,((Tabela1[[#This Row],[Core PCE]]*1)/W788)-1)</f>
        <v>1.4636510500807942E-2</v>
      </c>
      <c r="Z800" s="8">
        <f t="shared" si="41"/>
        <v>1.3533881518172031E-2</v>
      </c>
      <c r="AA800" s="8">
        <f t="shared" si="44"/>
        <v>1.48197986707026E-2</v>
      </c>
      <c r="AB800" s="7">
        <v>1.5</v>
      </c>
      <c r="AC800" s="7">
        <v>109</v>
      </c>
      <c r="AD800" s="8">
        <f>IF(Tabela1[[#This Row],[Producer Price Index (PPI)]]="",#N/A,((Tabela1[[#This Row],[Producer Price Index (PPI)]]*1)/AC799)-1)</f>
        <v>3.6832412523020164E-3</v>
      </c>
      <c r="AE800" s="8">
        <f>IF(Tabela1[[#This Row],[Producer Price Index (PPI)]]="",#N/A,((Tabela1[[#This Row],[Producer Price Index (PPI)]]*1)/AC788)-1)</f>
        <v>1.5843429636533068E-2</v>
      </c>
      <c r="AF800" s="7">
        <v>3</v>
      </c>
      <c r="AG800" s="5"/>
    </row>
    <row r="801" spans="1:33" ht="12.75">
      <c r="A801" s="6">
        <v>41456</v>
      </c>
      <c r="B801" s="7">
        <v>232.9</v>
      </c>
      <c r="C801" s="8">
        <f>IF(Tabela1[[#This Row],[Consumer Price Index (CPI)]]="",#N/A,((Tabela1[[#This Row],[Consumer Price Index (CPI)]]*1)/B800)-1)</f>
        <v>1.9574523005443378E-3</v>
      </c>
      <c r="D801" s="8">
        <f>IF(Tabela1[[#This Row],[Consumer Price Index (CPI)]]="",#N/A,((Tabela1[[#This Row],[Consumer Price Index (CPI)]]*1)/B789)-1)</f>
        <v>1.8854718054158059E-2</v>
      </c>
      <c r="E801" s="25">
        <v>233.88</v>
      </c>
      <c r="F801" s="8">
        <f>IF(Tabela1[[#This Row],[Core Consumer Price Index]]="",#N/A,((Tabela1[[#This Row],[Core Consumer Price Index]]*1)/E800)-1)</f>
        <v>2.2712663381188047E-3</v>
      </c>
      <c r="G801" s="8">
        <f>IF(Tabela1[[#This Row],[Core Consumer Price Index]]="",#N/A,((Tabela1[[#This Row],[Core Consumer Price Index]]*1)/E789)-1)</f>
        <v>1.7002217680567089E-2</v>
      </c>
      <c r="H801" s="8">
        <f t="shared" si="42"/>
        <v>1.797990503671798E-2</v>
      </c>
      <c r="I801" s="8">
        <f t="shared" si="43"/>
        <v>1.4179475255815088E-2</v>
      </c>
      <c r="J801" s="25">
        <v>278.142</v>
      </c>
      <c r="K801" s="8">
        <f>IF(Tabela1[[#This Row],[Services CPI]]="",#N/A,((Tabela1[[#This Row],[Services CPI]]*1)/J800)-1)</f>
        <v>2.5266633266172178E-3</v>
      </c>
      <c r="L801" s="8">
        <f>IF(Tabela1[[#This Row],[Services CPI]]="",#N/A,((Tabela1[[#This Row],[Services CPI]]*1)/J789)-1)</f>
        <v>2.4871772196674913E-2</v>
      </c>
      <c r="M801" s="7">
        <v>286.50099999999998</v>
      </c>
      <c r="N801" s="8">
        <f>IF(Tabela1[[#This Row],[Core-Services CPI]]="",#N/A,((Tabela1[[#This Row],[Core-Services CPI]]*1)/M800)-1)</f>
        <v>2.8071501825346346E-3</v>
      </c>
      <c r="O801" s="8">
        <f>IF(Tabela1[[#This Row],[Core-Services CPI]]="",#N/A,((Tabela1[[#This Row],[Core-Services CPI]]*1)/M789)-1)</f>
        <v>2.3579765702873345E-2</v>
      </c>
      <c r="P801" s="7">
        <v>111.688</v>
      </c>
      <c r="Q801" s="8">
        <f>IF(Tabela1[[#This Row],[Durable Goods CPI]]="",#N/A,((Tabela1[[#This Row],[Durable Goods CPI]]*1)/P800)-1)</f>
        <v>-8.4092250988521133E-4</v>
      </c>
      <c r="R801" s="8">
        <f>IF(Tabela1[[#This Row],[Durable Goods CPI]]="",#N/A,((Tabela1[[#This Row],[Durable Goods CPI]]*1)/P789)-1)</f>
        <v>-1.2755124590076994E-2</v>
      </c>
      <c r="S801" s="7">
        <v>1.907797</v>
      </c>
      <c r="T801" s="7">
        <v>95.792000000000002</v>
      </c>
      <c r="U801" s="8">
        <f>IF(Tabela1[[#This Row],[Personal Consumption Expenditures (PCE)]]="",#N/A,((Tabela1[[#This Row],[Personal Consumption Expenditures (PCE)]]*1)/T800)-1)</f>
        <v>1.2438200955338097E-3</v>
      </c>
      <c r="V801" s="8">
        <f>IF(Tabela1[[#This Row],[Personal Consumption Expenditures (PCE)]]="",#N/A,((Tabela1[[#This Row],[Personal Consumption Expenditures (PCE)]]*1)/T789)-1)</f>
        <v>1.5951128457492025E-2</v>
      </c>
      <c r="W801" s="7">
        <v>94.328999999999994</v>
      </c>
      <c r="X801" s="8">
        <f>IF(Tabela1[[#This Row],[Core PCE]]="",#N/A,((Tabela1[[#This Row],[Core PCE]]*1)/W800)-1)</f>
        <v>1.2737636531541252E-3</v>
      </c>
      <c r="Y801" s="8">
        <f>IF(Tabela1[[#This Row],[Core PCE]]="",#N/A,((Tabela1[[#This Row],[Core PCE]]*1)/W789)-1)</f>
        <v>1.4879607514040272E-2</v>
      </c>
      <c r="Z801" s="8">
        <f t="shared" si="41"/>
        <v>1.6669216881872728E-2</v>
      </c>
      <c r="AA801" s="8">
        <f t="shared" si="44"/>
        <v>1.332515047387739E-2</v>
      </c>
      <c r="AB801" s="7">
        <v>1.55</v>
      </c>
      <c r="AC801" s="7">
        <v>109.2</v>
      </c>
      <c r="AD801" s="8">
        <f>IF(Tabela1[[#This Row],[Producer Price Index (PPI)]]="",#N/A,((Tabela1[[#This Row],[Producer Price Index (PPI)]]*1)/AC800)-1)</f>
        <v>1.8348623853210455E-3</v>
      </c>
      <c r="AE801" s="8">
        <f>IF(Tabela1[[#This Row],[Producer Price Index (PPI)]]="",#N/A,((Tabela1[[#This Row],[Producer Price Index (PPI)]]*1)/AC789)-1)</f>
        <v>1.8656716417910557E-2</v>
      </c>
      <c r="AF801" s="7">
        <v>3.1</v>
      </c>
      <c r="AG801" s="5"/>
    </row>
    <row r="802" spans="1:33" ht="12.75">
      <c r="A802" s="6">
        <v>41487</v>
      </c>
      <c r="B802" s="7">
        <v>233.45599999999999</v>
      </c>
      <c r="C802" s="8">
        <f>IF(Tabela1[[#This Row],[Consumer Price Index (CPI)]]="",#N/A,((Tabela1[[#This Row],[Consumer Price Index (CPI)]]*1)/B801)-1)</f>
        <v>2.3872906826962748E-3</v>
      </c>
      <c r="D802" s="8">
        <f>IF(Tabela1[[#This Row],[Consumer Price Index (CPI)]]="",#N/A,((Tabela1[[#This Row],[Consumer Price Index (CPI)]]*1)/B790)-1)</f>
        <v>1.538809488600279E-2</v>
      </c>
      <c r="E802" s="25">
        <v>234.33600000000001</v>
      </c>
      <c r="F802" s="8">
        <f>IF(Tabela1[[#This Row],[Core Consumer Price Index]]="",#N/A,((Tabela1[[#This Row],[Core Consumer Price Index]]*1)/E801)-1)</f>
        <v>1.9497178040022156E-3</v>
      </c>
      <c r="G802" s="8">
        <f>IF(Tabela1[[#This Row],[Core Consumer Price Index]]="",#N/A,((Tabela1[[#This Row],[Core Consumer Price Index]]*1)/E790)-1)</f>
        <v>1.7821076909044331E-2</v>
      </c>
      <c r="H802" s="8">
        <f t="shared" si="42"/>
        <v>2.2961294119686393E-2</v>
      </c>
      <c r="I802" s="8">
        <f t="shared" si="43"/>
        <v>1.5150766661329751E-2</v>
      </c>
      <c r="J802" s="25">
        <v>278.74299999999999</v>
      </c>
      <c r="K802" s="8">
        <f>IF(Tabela1[[#This Row],[Services CPI]]="",#N/A,((Tabela1[[#This Row],[Services CPI]]*1)/J801)-1)</f>
        <v>2.1607668025684923E-3</v>
      </c>
      <c r="L802" s="8">
        <f>IF(Tabela1[[#This Row],[Services CPI]]="",#N/A,((Tabela1[[#This Row],[Services CPI]]*1)/J790)-1)</f>
        <v>2.4523010537690348E-2</v>
      </c>
      <c r="M802" s="7">
        <v>287.27100000000002</v>
      </c>
      <c r="N802" s="8">
        <f>IF(Tabela1[[#This Row],[Core-Services CPI]]="",#N/A,((Tabela1[[#This Row],[Core-Services CPI]]*1)/M801)-1)</f>
        <v>2.6875996942421487E-3</v>
      </c>
      <c r="O802" s="8">
        <f>IF(Tabela1[[#This Row],[Core-Services CPI]]="",#N/A,((Tabela1[[#This Row],[Core-Services CPI]]*1)/M790)-1)</f>
        <v>2.406236966216424E-2</v>
      </c>
      <c r="P802" s="7">
        <v>111.621</v>
      </c>
      <c r="Q802" s="8">
        <f>IF(Tabela1[[#This Row],[Durable Goods CPI]]="",#N/A,((Tabela1[[#This Row],[Durable Goods CPI]]*1)/P801)-1)</f>
        <v>-5.9988539502908722E-4</v>
      </c>
      <c r="R802" s="8">
        <f>IF(Tabela1[[#This Row],[Durable Goods CPI]]="",#N/A,((Tabela1[[#This Row],[Durable Goods CPI]]*1)/P790)-1)</f>
        <v>-1.0504760385085965E-2</v>
      </c>
      <c r="S802" s="7">
        <v>1.8766189</v>
      </c>
      <c r="T802" s="7">
        <v>95.933999999999997</v>
      </c>
      <c r="U802" s="8">
        <f>IF(Tabela1[[#This Row],[Personal Consumption Expenditures (PCE)]]="",#N/A,((Tabela1[[#This Row],[Personal Consumption Expenditures (PCE)]]*1)/T801)-1)</f>
        <v>1.4823784867212808E-3</v>
      </c>
      <c r="V802" s="8">
        <f>IF(Tabela1[[#This Row],[Personal Consumption Expenditures (PCE)]]="",#N/A,((Tabela1[[#This Row],[Personal Consumption Expenditures (PCE)]]*1)/T790)-1)</f>
        <v>1.4047883304264985E-2</v>
      </c>
      <c r="W802" s="7">
        <v>94.430999999999997</v>
      </c>
      <c r="X802" s="8">
        <f>IF(Tabela1[[#This Row],[Core PCE]]="",#N/A,((Tabela1[[#This Row],[Core PCE]]*1)/W801)-1)</f>
        <v>1.081321756829956E-3</v>
      </c>
      <c r="Y802" s="8">
        <f>IF(Tabela1[[#This Row],[Core PCE]]="",#N/A,((Tabela1[[#This Row],[Core PCE]]*1)/W790)-1)</f>
        <v>1.5332509004892136E-2</v>
      </c>
      <c r="Z802" s="8">
        <f t="shared" si="41"/>
        <v>1.6310513575245267E-2</v>
      </c>
      <c r="AA802" s="8">
        <f t="shared" si="44"/>
        <v>1.3310702539024444E-2</v>
      </c>
      <c r="AB802" s="7">
        <v>1.54</v>
      </c>
      <c r="AC802" s="7">
        <v>109.3</v>
      </c>
      <c r="AD802" s="8">
        <f>IF(Tabela1[[#This Row],[Producer Price Index (PPI)]]="",#N/A,((Tabela1[[#This Row],[Producer Price Index (PPI)]]*1)/AC801)-1)</f>
        <v>9.157509157509125E-4</v>
      </c>
      <c r="AE802" s="8">
        <f>IF(Tabela1[[#This Row],[Producer Price Index (PPI)]]="",#N/A,((Tabela1[[#This Row],[Producer Price Index (PPI)]]*1)/AC790)-1)</f>
        <v>1.6744186046511622E-2</v>
      </c>
      <c r="AF802" s="7">
        <v>3</v>
      </c>
      <c r="AG802" s="5"/>
    </row>
    <row r="803" spans="1:33" ht="12.75">
      <c r="A803" s="6">
        <v>41518</v>
      </c>
      <c r="B803" s="7">
        <v>233.54400000000001</v>
      </c>
      <c r="C803" s="8">
        <f>IF(Tabela1[[#This Row],[Consumer Price Index (CPI)]]="",#N/A,((Tabela1[[#This Row],[Consumer Price Index (CPI)]]*1)/B802)-1)</f>
        <v>3.7694469193350066E-4</v>
      </c>
      <c r="D803" s="8">
        <f>IF(Tabela1[[#This Row],[Consumer Price Index (CPI)]]="",#N/A,((Tabela1[[#This Row],[Consumer Price Index (CPI)]]*1)/B791)-1)</f>
        <v>1.0947341081747997E-2</v>
      </c>
      <c r="E803" s="25">
        <v>234.7</v>
      </c>
      <c r="F803" s="8">
        <f>IF(Tabela1[[#This Row],[Core Consumer Price Index]]="",#N/A,((Tabela1[[#This Row],[Core Consumer Price Index]]*1)/E802)-1)</f>
        <v>1.5533251399697523E-3</v>
      </c>
      <c r="G803" s="8">
        <f>IF(Tabela1[[#This Row],[Core Consumer Price Index]]="",#N/A,((Tabela1[[#This Row],[Core Consumer Price Index]]*1)/E791)-1)</f>
        <v>1.7519368418314363E-2</v>
      </c>
      <c r="H803" s="8">
        <f t="shared" si="42"/>
        <v>2.3097237128363091E-2</v>
      </c>
      <c r="I803" s="8">
        <f t="shared" si="43"/>
        <v>1.6322507301549383E-2</v>
      </c>
      <c r="J803" s="25">
        <v>279.39600000000002</v>
      </c>
      <c r="K803" s="8">
        <f>IF(Tabela1[[#This Row],[Services CPI]]="",#N/A,((Tabela1[[#This Row],[Services CPI]]*1)/J802)-1)</f>
        <v>2.3426597259841309E-3</v>
      </c>
      <c r="L803" s="8">
        <f>IF(Tabela1[[#This Row],[Services CPI]]="",#N/A,((Tabela1[[#This Row],[Services CPI]]*1)/J791)-1)</f>
        <v>2.4588270239942034E-2</v>
      </c>
      <c r="M803" s="7">
        <v>287.87299999999999</v>
      </c>
      <c r="N803" s="8">
        <f>IF(Tabela1[[#This Row],[Core-Services CPI]]="",#N/A,((Tabela1[[#This Row],[Core-Services CPI]]*1)/M802)-1)</f>
        <v>2.0955822202728402E-3</v>
      </c>
      <c r="O803" s="8">
        <f>IF(Tabela1[[#This Row],[Core-Services CPI]]="",#N/A,((Tabela1[[#This Row],[Core-Services CPI]]*1)/M791)-1)</f>
        <v>2.3799616617054431E-2</v>
      </c>
      <c r="P803" s="7">
        <v>111.712</v>
      </c>
      <c r="Q803" s="8">
        <f>IF(Tabela1[[#This Row],[Durable Goods CPI]]="",#N/A,((Tabela1[[#This Row],[Durable Goods CPI]]*1)/P802)-1)</f>
        <v>8.1525877747035125E-4</v>
      </c>
      <c r="R803" s="8">
        <f>IF(Tabela1[[#This Row],[Durable Goods CPI]]="",#N/A,((Tabela1[[#This Row],[Durable Goods CPI]]*1)/P791)-1)</f>
        <v>-6.3066508926268305E-3</v>
      </c>
      <c r="S803" s="7">
        <v>1.8678790000000001</v>
      </c>
      <c r="T803" s="7">
        <v>95.975999999999999</v>
      </c>
      <c r="U803" s="8">
        <f>IF(Tabela1[[#This Row],[Personal Consumption Expenditures (PCE)]]="",#N/A,((Tabela1[[#This Row],[Personal Consumption Expenditures (PCE)]]*1)/T802)-1)</f>
        <v>4.3780098817935986E-4</v>
      </c>
      <c r="V803" s="8">
        <f>IF(Tabela1[[#This Row],[Personal Consumption Expenditures (PCE)]]="",#N/A,((Tabela1[[#This Row],[Personal Consumption Expenditures (PCE)]]*1)/T791)-1)</f>
        <v>1.1412854478201728E-2</v>
      </c>
      <c r="W803" s="7">
        <v>94.543000000000006</v>
      </c>
      <c r="X803" s="8">
        <f>IF(Tabela1[[#This Row],[Core PCE]]="",#N/A,((Tabela1[[#This Row],[Core PCE]]*1)/W802)-1)</f>
        <v>1.186051190816606E-3</v>
      </c>
      <c r="Y803" s="8">
        <f>IF(Tabela1[[#This Row],[Core PCE]]="",#N/A,((Tabela1[[#This Row],[Core PCE]]*1)/W791)-1)</f>
        <v>1.5292260440941341E-2</v>
      </c>
      <c r="Z803" s="8">
        <f t="shared" si="41"/>
        <v>1.4164546403202749E-2</v>
      </c>
      <c r="AA803" s="8">
        <f t="shared" si="44"/>
        <v>1.384921396068739E-2</v>
      </c>
      <c r="AB803" s="7">
        <v>1.52</v>
      </c>
      <c r="AC803" s="7">
        <v>109.3</v>
      </c>
      <c r="AD803" s="8">
        <f>IF(Tabela1[[#This Row],[Producer Price Index (PPI)]]="",#N/A,((Tabela1[[#This Row],[Producer Price Index (PPI)]]*1)/AC802)-1)</f>
        <v>0</v>
      </c>
      <c r="AE803" s="8">
        <f>IF(Tabela1[[#This Row],[Producer Price Index (PPI)]]="",#N/A,((Tabela1[[#This Row],[Producer Price Index (PPI)]]*1)/AC791)-1)</f>
        <v>1.0166358595194103E-2</v>
      </c>
      <c r="AF803" s="7">
        <v>3.3</v>
      </c>
      <c r="AG803" s="5"/>
    </row>
    <row r="804" spans="1:33" ht="12.75">
      <c r="A804" s="6">
        <v>41548</v>
      </c>
      <c r="B804" s="7">
        <v>233.66900000000001</v>
      </c>
      <c r="C804" s="8">
        <f>IF(Tabela1[[#This Row],[Consumer Price Index (CPI)]]="",#N/A,((Tabela1[[#This Row],[Consumer Price Index (CPI)]]*1)/B803)-1)</f>
        <v>5.3523104853914205E-4</v>
      </c>
      <c r="D804" s="8">
        <f>IF(Tabela1[[#This Row],[Consumer Price Index (CPI)]]="",#N/A,((Tabela1[[#This Row],[Consumer Price Index (CPI)]]*1)/B792)-1)</f>
        <v>8.7679914349114707E-3</v>
      </c>
      <c r="E804" s="25">
        <v>234.92099999999999</v>
      </c>
      <c r="F804" s="8">
        <f>IF(Tabela1[[#This Row],[Core Consumer Price Index]]="",#N/A,((Tabela1[[#This Row],[Core Consumer Price Index]]*1)/E803)-1)</f>
        <v>9.4162760971450155E-4</v>
      </c>
      <c r="G804" s="8">
        <f>IF(Tabela1[[#This Row],[Core Consumer Price Index]]="",#N/A,((Tabela1[[#This Row],[Core Consumer Price Index]]*1)/E792)-1)</f>
        <v>1.6868377311448191E-2</v>
      </c>
      <c r="H804" s="8">
        <f t="shared" si="42"/>
        <v>1.7778682214745878E-2</v>
      </c>
      <c r="I804" s="8">
        <f t="shared" si="43"/>
        <v>1.7879293625731929E-2</v>
      </c>
      <c r="J804" s="25">
        <v>279.75599999999997</v>
      </c>
      <c r="K804" s="8">
        <f>IF(Tabela1[[#This Row],[Services CPI]]="",#N/A,((Tabela1[[#This Row],[Services CPI]]*1)/J803)-1)</f>
        <v>1.2884937508050864E-3</v>
      </c>
      <c r="L804" s="8">
        <f>IF(Tabela1[[#This Row],[Services CPI]]="",#N/A,((Tabela1[[#This Row],[Services CPI]]*1)/J792)-1)</f>
        <v>2.3839673256673466E-2</v>
      </c>
      <c r="M804" s="7">
        <v>288.26100000000002</v>
      </c>
      <c r="N804" s="8">
        <f>IF(Tabela1[[#This Row],[Core-Services CPI]]="",#N/A,((Tabela1[[#This Row],[Core-Services CPI]]*1)/M803)-1)</f>
        <v>1.3478165718912027E-3</v>
      </c>
      <c r="O804" s="8">
        <f>IF(Tabela1[[#This Row],[Core-Services CPI]]="",#N/A,((Tabela1[[#This Row],[Core-Services CPI]]*1)/M792)-1)</f>
        <v>2.3236249400990561E-2</v>
      </c>
      <c r="P804" s="7">
        <v>111.72199999999999</v>
      </c>
      <c r="Q804" s="8">
        <f>IF(Tabela1[[#This Row],[Durable Goods CPI]]="",#N/A,((Tabela1[[#This Row],[Durable Goods CPI]]*1)/P803)-1)</f>
        <v>8.9515898023417861E-5</v>
      </c>
      <c r="R804" s="8">
        <f>IF(Tabela1[[#This Row],[Durable Goods CPI]]="",#N/A,((Tabela1[[#This Row],[Durable Goods CPI]]*1)/P792)-1)</f>
        <v>-5.3860603416809871E-3</v>
      </c>
      <c r="S804" s="7">
        <v>1.9142201999999999</v>
      </c>
      <c r="T804" s="7">
        <v>96.102999999999994</v>
      </c>
      <c r="U804" s="8">
        <f>IF(Tabela1[[#This Row],[Personal Consumption Expenditures (PCE)]]="",#N/A,((Tabela1[[#This Row],[Personal Consumption Expenditures (PCE)]]*1)/T803)-1)</f>
        <v>1.3232474785362935E-3</v>
      </c>
      <c r="V804" s="8">
        <f>IF(Tabela1[[#This Row],[Personal Consumption Expenditures (PCE)]]="",#N/A,((Tabela1[[#This Row],[Personal Consumption Expenditures (PCE)]]*1)/T792)-1)</f>
        <v>9.761069199571093E-3</v>
      </c>
      <c r="W804" s="7">
        <v>94.703000000000003</v>
      </c>
      <c r="X804" s="8">
        <f>IF(Tabela1[[#This Row],[Core PCE]]="",#N/A,((Tabela1[[#This Row],[Core PCE]]*1)/W803)-1)</f>
        <v>1.6923516283595674E-3</v>
      </c>
      <c r="Y804" s="8">
        <f>IF(Tabela1[[#This Row],[Core PCE]]="",#N/A,((Tabela1[[#This Row],[Core PCE]]*1)/W792)-1)</f>
        <v>1.4548181477315403E-2</v>
      </c>
      <c r="Z804" s="8">
        <f t="shared" si="41"/>
        <v>1.5838898304024518E-2</v>
      </c>
      <c r="AA804" s="8">
        <f t="shared" si="44"/>
        <v>1.6254057592948623E-2</v>
      </c>
      <c r="AB804" s="7">
        <v>1.52</v>
      </c>
      <c r="AC804" s="7">
        <v>109.5</v>
      </c>
      <c r="AD804" s="8">
        <f>IF(Tabela1[[#This Row],[Producer Price Index (PPI)]]="",#N/A,((Tabela1[[#This Row],[Producer Price Index (PPI)]]*1)/AC803)-1)</f>
        <v>1.8298261665141702E-3</v>
      </c>
      <c r="AE804" s="8">
        <f>IF(Tabela1[[#This Row],[Producer Price Index (PPI)]]="",#N/A,((Tabela1[[#This Row],[Producer Price Index (PPI)]]*1)/AC792)-1)</f>
        <v>1.1080332409972415E-2</v>
      </c>
      <c r="AF804" s="7">
        <v>3</v>
      </c>
      <c r="AG804" s="5"/>
    </row>
    <row r="805" spans="1:33" ht="12.75">
      <c r="A805" s="6">
        <v>41579</v>
      </c>
      <c r="B805" s="7">
        <v>234.1</v>
      </c>
      <c r="C805" s="8">
        <f>IF(Tabela1[[#This Row],[Consumer Price Index (CPI)]]="",#N/A,((Tabela1[[#This Row],[Consumer Price Index (CPI)]]*1)/B804)-1)</f>
        <v>1.8444894273523804E-3</v>
      </c>
      <c r="D805" s="8">
        <f>IF(Tabela1[[#This Row],[Consumer Price Index (CPI)]]="",#N/A,((Tabela1[[#This Row],[Consumer Price Index (CPI)]]*1)/B793)-1)</f>
        <v>1.2328701961954458E-2</v>
      </c>
      <c r="E805" s="25">
        <v>235.35900000000001</v>
      </c>
      <c r="F805" s="8">
        <f>IF(Tabela1[[#This Row],[Core Consumer Price Index]]="",#N/A,((Tabela1[[#This Row],[Core Consumer Price Index]]*1)/E804)-1)</f>
        <v>1.8644565619931885E-3</v>
      </c>
      <c r="G805" s="8">
        <f>IF(Tabela1[[#This Row],[Core Consumer Price Index]]="",#N/A,((Tabela1[[#This Row],[Core Consumer Price Index]]*1)/E793)-1)</f>
        <v>1.7416677473738762E-2</v>
      </c>
      <c r="H805" s="8">
        <f t="shared" si="42"/>
        <v>1.743763724670977E-2</v>
      </c>
      <c r="I805" s="8">
        <f t="shared" si="43"/>
        <v>2.0199465683198081E-2</v>
      </c>
      <c r="J805" s="25">
        <v>280.33199999999999</v>
      </c>
      <c r="K805" s="8">
        <f>IF(Tabela1[[#This Row],[Services CPI]]="",#N/A,((Tabela1[[#This Row],[Services CPI]]*1)/J804)-1)</f>
        <v>2.0589370737358337E-3</v>
      </c>
      <c r="L805" s="8">
        <f>IF(Tabela1[[#This Row],[Services CPI]]="",#N/A,((Tabela1[[#This Row],[Services CPI]]*1)/J793)-1)</f>
        <v>2.3920404115668203E-2</v>
      </c>
      <c r="M805" s="7">
        <v>288.89400000000001</v>
      </c>
      <c r="N805" s="8">
        <f>IF(Tabela1[[#This Row],[Core-Services CPI]]="",#N/A,((Tabela1[[#This Row],[Core-Services CPI]]*1)/M804)-1)</f>
        <v>2.1959266081779116E-3</v>
      </c>
      <c r="O805" s="8">
        <f>IF(Tabela1[[#This Row],[Core-Services CPI]]="",#N/A,((Tabela1[[#This Row],[Core-Services CPI]]*1)/M793)-1)</f>
        <v>2.3927582821477111E-2</v>
      </c>
      <c r="P805" s="7">
        <v>111.67700000000001</v>
      </c>
      <c r="Q805" s="8">
        <f>IF(Tabela1[[#This Row],[Durable Goods CPI]]="",#N/A,((Tabela1[[#This Row],[Durable Goods CPI]]*1)/P804)-1)</f>
        <v>-4.0278548540118031E-4</v>
      </c>
      <c r="R805" s="8">
        <f>IF(Tabela1[[#This Row],[Durable Goods CPI]]="",#N/A,((Tabela1[[#This Row],[Durable Goods CPI]]*1)/P793)-1)</f>
        <v>-6.423544693458072E-3</v>
      </c>
      <c r="S805" s="7">
        <v>1.8904211</v>
      </c>
      <c r="T805" s="7">
        <v>96.245999999999995</v>
      </c>
      <c r="U805" s="8">
        <f>IF(Tabela1[[#This Row],[Personal Consumption Expenditures (PCE)]]="",#N/A,((Tabela1[[#This Row],[Personal Consumption Expenditures (PCE)]]*1)/T804)-1)</f>
        <v>1.4879868474448887E-3</v>
      </c>
      <c r="V805" s="8">
        <f>IF(Tabela1[[#This Row],[Personal Consumption Expenditures (PCE)]]="",#N/A,((Tabela1[[#This Row],[Personal Consumption Expenditures (PCE)]]*1)/T793)-1)</f>
        <v>1.1954704602088029E-2</v>
      </c>
      <c r="W805" s="7">
        <v>94.86</v>
      </c>
      <c r="X805" s="8">
        <f>IF(Tabela1[[#This Row],[Core PCE]]="",#N/A,((Tabela1[[#This Row],[Core PCE]]*1)/W804)-1)</f>
        <v>1.657814430376936E-3</v>
      </c>
      <c r="Y805" s="8">
        <f>IF(Tabela1[[#This Row],[Core PCE]]="",#N/A,((Tabela1[[#This Row],[Core PCE]]*1)/W793)-1)</f>
        <v>1.5142597249719225E-2</v>
      </c>
      <c r="Z805" s="8">
        <f t="shared" si="41"/>
        <v>1.8144868998212438E-2</v>
      </c>
      <c r="AA805" s="8">
        <f t="shared" si="44"/>
        <v>1.7227691286728852E-2</v>
      </c>
      <c r="AB805" s="7">
        <v>1.59</v>
      </c>
      <c r="AC805" s="7">
        <v>109.7</v>
      </c>
      <c r="AD805" s="8">
        <f>IF(Tabela1[[#This Row],[Producer Price Index (PPI)]]="",#N/A,((Tabela1[[#This Row],[Producer Price Index (PPI)]]*1)/AC804)-1)</f>
        <v>1.8264840182649067E-3</v>
      </c>
      <c r="AE805" s="8">
        <f>IF(Tabela1[[#This Row],[Producer Price Index (PPI)]]="",#N/A,((Tabela1[[#This Row],[Producer Price Index (PPI)]]*1)/AC793)-1)</f>
        <v>1.1992619926199266E-2</v>
      </c>
      <c r="AF805" s="7">
        <v>2.9</v>
      </c>
      <c r="AG805" s="5"/>
    </row>
    <row r="806" spans="1:33" ht="12.75">
      <c r="A806" s="6">
        <v>41609</v>
      </c>
      <c r="B806" s="7">
        <v>234.71899999999999</v>
      </c>
      <c r="C806" s="8">
        <f>IF(Tabela1[[#This Row],[Consumer Price Index (CPI)]]="",#N/A,((Tabela1[[#This Row],[Consumer Price Index (CPI)]]*1)/B805)-1)</f>
        <v>2.6441691584793148E-3</v>
      </c>
      <c r="D806" s="8">
        <f>IF(Tabela1[[#This Row],[Consumer Price Index (CPI)]]="",#N/A,((Tabela1[[#This Row],[Consumer Price Index (CPI)]]*1)/B794)-1)</f>
        <v>1.5128383667573297E-2</v>
      </c>
      <c r="E806" s="25">
        <v>235.75899999999999</v>
      </c>
      <c r="F806" s="8">
        <f>IF(Tabela1[[#This Row],[Core Consumer Price Index]]="",#N/A,((Tabela1[[#This Row],[Core Consumer Price Index]]*1)/E805)-1)</f>
        <v>1.6995313542289558E-3</v>
      </c>
      <c r="G806" s="8">
        <f>IF(Tabela1[[#This Row],[Core Consumer Price Index]]="",#N/A,((Tabela1[[#This Row],[Core Consumer Price Index]]*1)/E794)-1)</f>
        <v>1.7408566188369834E-2</v>
      </c>
      <c r="H806" s="8">
        <f t="shared" si="42"/>
        <v>1.8022462103746584E-2</v>
      </c>
      <c r="I806" s="8">
        <f t="shared" si="43"/>
        <v>2.0559849616054837E-2</v>
      </c>
      <c r="J806" s="25">
        <v>280.89100000000002</v>
      </c>
      <c r="K806" s="8">
        <f>IF(Tabela1[[#This Row],[Services CPI]]="",#N/A,((Tabela1[[#This Row],[Services CPI]]*1)/J805)-1)</f>
        <v>1.9940641810425319E-3</v>
      </c>
      <c r="L806" s="8">
        <f>IF(Tabela1[[#This Row],[Services CPI]]="",#N/A,((Tabela1[[#This Row],[Services CPI]]*1)/J794)-1)</f>
        <v>2.3517237107241407E-2</v>
      </c>
      <c r="M806" s="7">
        <v>289.49</v>
      </c>
      <c r="N806" s="8">
        <f>IF(Tabela1[[#This Row],[Core-Services CPI]]="",#N/A,((Tabela1[[#This Row],[Core-Services CPI]]*1)/M805)-1)</f>
        <v>2.0630404231309907E-3</v>
      </c>
      <c r="O806" s="8">
        <f>IF(Tabela1[[#This Row],[Core-Services CPI]]="",#N/A,((Tabela1[[#This Row],[Core-Services CPI]]*1)/M794)-1)</f>
        <v>2.3486195717119296E-2</v>
      </c>
      <c r="P806" s="7">
        <v>111.625</v>
      </c>
      <c r="Q806" s="8">
        <f>IF(Tabela1[[#This Row],[Durable Goods CPI]]="",#N/A,((Tabela1[[#This Row],[Durable Goods CPI]]*1)/P805)-1)</f>
        <v>-4.6562855377563217E-4</v>
      </c>
      <c r="R806" s="8">
        <f>IF(Tabela1[[#This Row],[Durable Goods CPI]]="",#N/A,((Tabela1[[#This Row],[Durable Goods CPI]]*1)/P794)-1)</f>
        <v>-6.7978182918256858E-3</v>
      </c>
      <c r="S806" s="7">
        <v>1.8687355999999999</v>
      </c>
      <c r="T806" s="7">
        <v>96.414000000000001</v>
      </c>
      <c r="U806" s="8">
        <f>IF(Tabela1[[#This Row],[Personal Consumption Expenditures (PCE)]]="",#N/A,((Tabela1[[#This Row],[Personal Consumption Expenditures (PCE)]]*1)/T805)-1)</f>
        <v>1.7455270868400596E-3</v>
      </c>
      <c r="V806" s="8">
        <f>IF(Tabela1[[#This Row],[Personal Consumption Expenditures (PCE)]]="",#N/A,((Tabela1[[#This Row],[Personal Consumption Expenditures (PCE)]]*1)/T794)-1)</f>
        <v>1.3881001955959427E-2</v>
      </c>
      <c r="W806" s="7">
        <v>94.960999999999999</v>
      </c>
      <c r="X806" s="8">
        <f>IF(Tabela1[[#This Row],[Core PCE]]="",#N/A,((Tabela1[[#This Row],[Core PCE]]*1)/W805)-1)</f>
        <v>1.0647269660553071E-3</v>
      </c>
      <c r="Y806" s="8">
        <f>IF(Tabela1[[#This Row],[Core PCE]]="",#N/A,((Tabela1[[#This Row],[Core PCE]]*1)/W794)-1)</f>
        <v>1.5473618923369736E-2</v>
      </c>
      <c r="Z806" s="8">
        <f t="shared" si="41"/>
        <v>1.7659572099167242E-2</v>
      </c>
      <c r="AA806" s="8">
        <f t="shared" si="44"/>
        <v>1.5912059251184996E-2</v>
      </c>
      <c r="AB806" s="7">
        <v>1.65</v>
      </c>
      <c r="AC806" s="7">
        <v>109.8</v>
      </c>
      <c r="AD806" s="8">
        <f>IF(Tabela1[[#This Row],[Producer Price Index (PPI)]]="",#N/A,((Tabela1[[#This Row],[Producer Price Index (PPI)]]*1)/AC805)-1)</f>
        <v>9.1157702825883646E-4</v>
      </c>
      <c r="AE806" s="8">
        <f>IF(Tabela1[[#This Row],[Producer Price Index (PPI)]]="",#N/A,((Tabela1[[#This Row],[Producer Price Index (PPI)]]*1)/AC794)-1)</f>
        <v>1.2915129151291449E-2</v>
      </c>
      <c r="AF806" s="7">
        <v>3</v>
      </c>
      <c r="AG806" s="5"/>
    </row>
    <row r="807" spans="1:33" ht="12.75">
      <c r="A807" s="6">
        <v>41640</v>
      </c>
      <c r="B807" s="7">
        <v>235.28800000000001</v>
      </c>
      <c r="C807" s="8">
        <f>IF(Tabela1[[#This Row],[Consumer Price Index (CPI)]]="",#N/A,((Tabela1[[#This Row],[Consumer Price Index (CPI)]]*1)/B806)-1)</f>
        <v>2.4241752904536895E-3</v>
      </c>
      <c r="D807" s="8">
        <f>IF(Tabela1[[#This Row],[Consumer Price Index (CPI)]]="",#N/A,((Tabela1[[#This Row],[Consumer Price Index (CPI)]]*1)/B795)-1)</f>
        <v>1.557758795574915E-2</v>
      </c>
      <c r="E807" s="25">
        <v>235.96100000000001</v>
      </c>
      <c r="F807" s="8">
        <f>IF(Tabela1[[#This Row],[Core Consumer Price Index]]="",#N/A,((Tabela1[[#This Row],[Core Consumer Price Index]]*1)/E806)-1)</f>
        <v>8.5680716324731954E-4</v>
      </c>
      <c r="G807" s="8">
        <f>IF(Tabela1[[#This Row],[Core Consumer Price Index]]="",#N/A,((Tabela1[[#This Row],[Core Consumer Price Index]]*1)/E795)-1)</f>
        <v>1.6070344358370292E-2</v>
      </c>
      <c r="H807" s="8">
        <f t="shared" si="42"/>
        <v>1.7683180317877856E-2</v>
      </c>
      <c r="I807" s="8">
        <f t="shared" si="43"/>
        <v>1.7730931266311867E-2</v>
      </c>
      <c r="J807" s="25">
        <v>281.72899999999998</v>
      </c>
      <c r="K807" s="8">
        <f>IF(Tabela1[[#This Row],[Services CPI]]="",#N/A,((Tabela1[[#This Row],[Services CPI]]*1)/J806)-1)</f>
        <v>2.9833636535168129E-3</v>
      </c>
      <c r="L807" s="8">
        <f>IF(Tabela1[[#This Row],[Services CPI]]="",#N/A,((Tabela1[[#This Row],[Services CPI]]*1)/J795)-1)</f>
        <v>2.401852275907701E-2</v>
      </c>
      <c r="M807" s="7">
        <v>290.06299999999999</v>
      </c>
      <c r="N807" s="8">
        <f>IF(Tabela1[[#This Row],[Core-Services CPI]]="",#N/A,((Tabela1[[#This Row],[Core-Services CPI]]*1)/M806)-1)</f>
        <v>1.9793429824863651E-3</v>
      </c>
      <c r="O807" s="8">
        <f>IF(Tabela1[[#This Row],[Core-Services CPI]]="",#N/A,((Tabela1[[#This Row],[Core-Services CPI]]*1)/M795)-1)</f>
        <v>2.2918988305990817E-2</v>
      </c>
      <c r="P807" s="7">
        <v>111.301</v>
      </c>
      <c r="Q807" s="8">
        <f>IF(Tabela1[[#This Row],[Durable Goods CPI]]="",#N/A,((Tabela1[[#This Row],[Durable Goods CPI]]*1)/P806)-1)</f>
        <v>-2.9025755879059645E-3</v>
      </c>
      <c r="R807" s="8">
        <f>IF(Tabela1[[#This Row],[Durable Goods CPI]]="",#N/A,((Tabela1[[#This Row],[Durable Goods CPI]]*1)/P795)-1)</f>
        <v>-1.0631394614967538E-2</v>
      </c>
      <c r="S807" s="7">
        <v>1.8930866</v>
      </c>
      <c r="T807" s="7">
        <v>96.614000000000004</v>
      </c>
      <c r="U807" s="8">
        <f>IF(Tabela1[[#This Row],[Personal Consumption Expenditures (PCE)]]="",#N/A,((Tabela1[[#This Row],[Personal Consumption Expenditures (PCE)]]*1)/T806)-1)</f>
        <v>2.0743875370796694E-3</v>
      </c>
      <c r="V807" s="8">
        <f>IF(Tabela1[[#This Row],[Personal Consumption Expenditures (PCE)]]="",#N/A,((Tabela1[[#This Row],[Personal Consumption Expenditures (PCE)]]*1)/T795)-1)</f>
        <v>1.4054054054054133E-2</v>
      </c>
      <c r="W807" s="7">
        <v>95.063999999999993</v>
      </c>
      <c r="X807" s="8">
        <f>IF(Tabela1[[#This Row],[Core PCE]]="",#N/A,((Tabela1[[#This Row],[Core PCE]]*1)/W806)-1)</f>
        <v>1.084655806067758E-3</v>
      </c>
      <c r="Y807" s="8">
        <f>IF(Tabela1[[#This Row],[Core PCE]]="",#N/A,((Tabela1[[#This Row],[Core PCE]]*1)/W795)-1)</f>
        <v>1.4524615006989983E-2</v>
      </c>
      <c r="Z807" s="8">
        <f t="shared" ref="Z807:Z870" si="45">SUM(X805:X807)*4</f>
        <v>1.5228788810000005E-2</v>
      </c>
      <c r="AA807" s="8">
        <f t="shared" si="44"/>
        <v>1.5533843557012261E-2</v>
      </c>
      <c r="AB807" s="7">
        <v>1.63</v>
      </c>
      <c r="AC807" s="7">
        <v>110.1</v>
      </c>
      <c r="AD807" s="8">
        <f>IF(Tabela1[[#This Row],[Producer Price Index (PPI)]]="",#N/A,((Tabela1[[#This Row],[Producer Price Index (PPI)]]*1)/AC806)-1)</f>
        <v>2.732240437158362E-3</v>
      </c>
      <c r="AE807" s="8">
        <f>IF(Tabela1[[#This Row],[Producer Price Index (PPI)]]="",#N/A,((Tabela1[[#This Row],[Producer Price Index (PPI)]]*1)/AC795)-1)</f>
        <v>1.2879484820607079E-2</v>
      </c>
      <c r="AF807" s="7">
        <v>3.1</v>
      </c>
      <c r="AG807" s="5"/>
    </row>
    <row r="808" spans="1:33" ht="12.75">
      <c r="A808" s="6">
        <v>41671</v>
      </c>
      <c r="B808" s="7">
        <v>235.547</v>
      </c>
      <c r="C808" s="8">
        <f>IF(Tabela1[[#This Row],[Consumer Price Index (CPI)]]="",#N/A,((Tabela1[[#This Row],[Consumer Price Index (CPI)]]*1)/B807)-1)</f>
        <v>1.1007786202441583E-3</v>
      </c>
      <c r="D808" s="8">
        <f>IF(Tabela1[[#This Row],[Consumer Price Index (CPI)]]="",#N/A,((Tabela1[[#This Row],[Consumer Price Index (CPI)]]*1)/B796)-1)</f>
        <v>1.1204746347724948E-2</v>
      </c>
      <c r="E808" s="25">
        <v>236.185</v>
      </c>
      <c r="F808" s="8">
        <f>IF(Tabela1[[#This Row],[Core Consumer Price Index]]="",#N/A,((Tabela1[[#This Row],[Core Consumer Price Index]]*1)/E807)-1)</f>
        <v>9.4930941977700023E-4</v>
      </c>
      <c r="G808" s="8">
        <f>IF(Tabela1[[#This Row],[Core Consumer Price Index]]="",#N/A,((Tabela1[[#This Row],[Core Consumer Price Index]]*1)/E796)-1)</f>
        <v>1.5548073904948723E-2</v>
      </c>
      <c r="H808" s="8">
        <f t="shared" si="42"/>
        <v>1.4022591749013102E-2</v>
      </c>
      <c r="I808" s="8">
        <f t="shared" si="43"/>
        <v>1.5730114497861436E-2</v>
      </c>
      <c r="J808" s="25">
        <v>282.32799999999997</v>
      </c>
      <c r="K808" s="8">
        <f>IF(Tabela1[[#This Row],[Services CPI]]="",#N/A,((Tabela1[[#This Row],[Services CPI]]*1)/J807)-1)</f>
        <v>2.1261566966837009E-3</v>
      </c>
      <c r="L808" s="8">
        <f>IF(Tabela1[[#This Row],[Services CPI]]="",#N/A,((Tabela1[[#This Row],[Services CPI]]*1)/J796)-1)</f>
        <v>2.3832663659177022E-2</v>
      </c>
      <c r="M808" s="7">
        <v>290.58999999999997</v>
      </c>
      <c r="N808" s="8">
        <f>IF(Tabela1[[#This Row],[Core-Services CPI]]="",#N/A,((Tabela1[[#This Row],[Core-Services CPI]]*1)/M807)-1)</f>
        <v>1.8168466850303489E-3</v>
      </c>
      <c r="O808" s="8">
        <f>IF(Tabela1[[#This Row],[Core-Services CPI]]="",#N/A,((Tabela1[[#This Row],[Core-Services CPI]]*1)/M796)-1)</f>
        <v>2.2502155210330832E-2</v>
      </c>
      <c r="P808" s="7">
        <v>111.053</v>
      </c>
      <c r="Q808" s="8">
        <f>IF(Tabela1[[#This Row],[Durable Goods CPI]]="",#N/A,((Tabela1[[#This Row],[Durable Goods CPI]]*1)/P807)-1)</f>
        <v>-2.2281920198381489E-3</v>
      </c>
      <c r="R808" s="8">
        <f>IF(Tabela1[[#This Row],[Durable Goods CPI]]="",#N/A,((Tabela1[[#This Row],[Durable Goods CPI]]*1)/P796)-1)</f>
        <v>-1.1799357531211419E-2</v>
      </c>
      <c r="S808" s="7">
        <v>1.8711903999999999</v>
      </c>
      <c r="T808" s="7">
        <v>96.66</v>
      </c>
      <c r="U808" s="8">
        <f>IF(Tabela1[[#This Row],[Personal Consumption Expenditures (PCE)]]="",#N/A,((Tabela1[[#This Row],[Personal Consumption Expenditures (PCE)]]*1)/T807)-1)</f>
        <v>4.761214730784058E-4</v>
      </c>
      <c r="V808" s="8">
        <f>IF(Tabela1[[#This Row],[Personal Consumption Expenditures (PCE)]]="",#N/A,((Tabela1[[#This Row],[Personal Consumption Expenditures (PCE)]]*1)/T796)-1)</f>
        <v>1.0939820528374389E-2</v>
      </c>
      <c r="W808" s="7">
        <v>95.108999999999995</v>
      </c>
      <c r="X808" s="8">
        <f>IF(Tabela1[[#This Row],[Core PCE]]="",#N/A,((Tabela1[[#This Row],[Core PCE]]*1)/W807)-1)</f>
        <v>4.7336531178987507E-4</v>
      </c>
      <c r="Y808" s="8">
        <f>IF(Tabela1[[#This Row],[Core PCE]]="",#N/A,((Tabela1[[#This Row],[Core PCE]]*1)/W796)-1)</f>
        <v>1.3901177975587542E-2</v>
      </c>
      <c r="Z808" s="8">
        <f t="shared" si="45"/>
        <v>1.0490992335651761E-2</v>
      </c>
      <c r="AA808" s="8">
        <f t="shared" si="44"/>
        <v>1.4317930666932099E-2</v>
      </c>
      <c r="AB808" s="7">
        <v>1.57</v>
      </c>
      <c r="AC808" s="7">
        <v>110.3</v>
      </c>
      <c r="AD808" s="8">
        <f>IF(Tabela1[[#This Row],[Producer Price Index (PPI)]]="",#N/A,((Tabela1[[#This Row],[Producer Price Index (PPI)]]*1)/AC807)-1)</f>
        <v>1.8165304268846771E-3</v>
      </c>
      <c r="AE808" s="8">
        <f>IF(Tabela1[[#This Row],[Producer Price Index (PPI)]]="",#N/A,((Tabela1[[#This Row],[Producer Price Index (PPI)]]*1)/AC796)-1)</f>
        <v>1.2855831037649201E-2</v>
      </c>
      <c r="AF808" s="7">
        <v>3.2</v>
      </c>
      <c r="AG808" s="5"/>
    </row>
    <row r="809" spans="1:33" ht="12.75">
      <c r="A809" s="6">
        <v>41699</v>
      </c>
      <c r="B809" s="7">
        <v>236.02799999999999</v>
      </c>
      <c r="C809" s="8">
        <f>IF(Tabela1[[#This Row],[Consumer Price Index (CPI)]]="",#N/A,((Tabela1[[#This Row],[Consumer Price Index (CPI)]]*1)/B808)-1)</f>
        <v>2.0420553010651599E-3</v>
      </c>
      <c r="D809" s="8">
        <f>IF(Tabela1[[#This Row],[Consumer Price Index (CPI)]]="",#N/A,((Tabela1[[#This Row],[Consumer Price Index (CPI)]]*1)/B797)-1)</f>
        <v>1.6126949139408042E-2</v>
      </c>
      <c r="E809" s="25">
        <v>236.625</v>
      </c>
      <c r="F809" s="8">
        <f>IF(Tabela1[[#This Row],[Core Consumer Price Index]]="",#N/A,((Tabela1[[#This Row],[Core Consumer Price Index]]*1)/E808)-1)</f>
        <v>1.8629464191206591E-3</v>
      </c>
      <c r="G809" s="8">
        <f>IF(Tabela1[[#This Row],[Core Consumer Price Index]]="",#N/A,((Tabela1[[#This Row],[Core Consumer Price Index]]*1)/E797)-1)</f>
        <v>1.6456609706435588E-2</v>
      </c>
      <c r="H809" s="8">
        <f t="shared" si="42"/>
        <v>1.4676252008579915E-2</v>
      </c>
      <c r="I809" s="8">
        <f t="shared" si="43"/>
        <v>1.634935705616325E-2</v>
      </c>
      <c r="J809" s="25">
        <v>283.54300000000001</v>
      </c>
      <c r="K809" s="8">
        <f>IF(Tabela1[[#This Row],[Services CPI]]="",#N/A,((Tabela1[[#This Row],[Services CPI]]*1)/J808)-1)</f>
        <v>4.3035051429543003E-3</v>
      </c>
      <c r="L809" s="8">
        <f>IF(Tabela1[[#This Row],[Services CPI]]="",#N/A,((Tabela1[[#This Row],[Services CPI]]*1)/J797)-1)</f>
        <v>2.6559790302201014E-2</v>
      </c>
      <c r="M809" s="7">
        <v>291.36599999999999</v>
      </c>
      <c r="N809" s="8">
        <f>IF(Tabela1[[#This Row],[Core-Services CPI]]="",#N/A,((Tabela1[[#This Row],[Core-Services CPI]]*1)/M808)-1)</f>
        <v>2.6704291269485925E-3</v>
      </c>
      <c r="O809" s="8">
        <f>IF(Tabela1[[#This Row],[Core-Services CPI]]="",#N/A,((Tabela1[[#This Row],[Core-Services CPI]]*1)/M797)-1)</f>
        <v>2.3277539351965526E-2</v>
      </c>
      <c r="P809" s="7">
        <v>110.77500000000001</v>
      </c>
      <c r="Q809" s="8">
        <f>IF(Tabela1[[#This Row],[Durable Goods CPI]]="",#N/A,((Tabela1[[#This Row],[Durable Goods CPI]]*1)/P808)-1)</f>
        <v>-2.5033092307276128E-3</v>
      </c>
      <c r="R809" s="8">
        <f>IF(Tabela1[[#This Row],[Durable Goods CPI]]="",#N/A,((Tabela1[[#This Row],[Durable Goods CPI]]*1)/P797)-1)</f>
        <v>-1.2779723551586741E-2</v>
      </c>
      <c r="S809" s="7">
        <v>1.8218144999999999</v>
      </c>
      <c r="T809" s="7">
        <v>96.814999999999998</v>
      </c>
      <c r="U809" s="8">
        <f>IF(Tabela1[[#This Row],[Personal Consumption Expenditures (PCE)]]="",#N/A,((Tabela1[[#This Row],[Personal Consumption Expenditures (PCE)]]*1)/T808)-1)</f>
        <v>1.6035588661287292E-3</v>
      </c>
      <c r="V809" s="8">
        <f>IF(Tabela1[[#This Row],[Personal Consumption Expenditures (PCE)]]="",#N/A,((Tabela1[[#This Row],[Personal Consumption Expenditures (PCE)]]*1)/T797)-1)</f>
        <v>1.3897034182305701E-2</v>
      </c>
      <c r="W809" s="7">
        <v>95.25</v>
      </c>
      <c r="X809" s="8">
        <f>IF(Tabela1[[#This Row],[Core PCE]]="",#N/A,((Tabela1[[#This Row],[Core PCE]]*1)/W808)-1)</f>
        <v>1.4825095416837186E-3</v>
      </c>
      <c r="Y809" s="8">
        <f>IF(Tabela1[[#This Row],[Core PCE]]="",#N/A,((Tabela1[[#This Row],[Core PCE]]*1)/W797)-1)</f>
        <v>1.4474230756941431E-2</v>
      </c>
      <c r="Z809" s="8">
        <f t="shared" si="45"/>
        <v>1.2162122638165407E-2</v>
      </c>
      <c r="AA809" s="8">
        <f t="shared" si="44"/>
        <v>1.4910847368666325E-2</v>
      </c>
      <c r="AB809" s="7">
        <v>1.59</v>
      </c>
      <c r="AC809" s="7">
        <v>110.7</v>
      </c>
      <c r="AD809" s="8">
        <f>IF(Tabela1[[#This Row],[Producer Price Index (PPI)]]="",#N/A,((Tabela1[[#This Row],[Producer Price Index (PPI)]]*1)/AC808)-1)</f>
        <v>3.6264732547597323E-3</v>
      </c>
      <c r="AE809" s="8">
        <f>IF(Tabela1[[#This Row],[Producer Price Index (PPI)]]="",#N/A,((Tabela1[[#This Row],[Producer Price Index (PPI)]]*1)/AC797)-1)</f>
        <v>1.6528925619834656E-2</v>
      </c>
      <c r="AF809" s="7">
        <v>3.2</v>
      </c>
      <c r="AG809" s="5"/>
    </row>
    <row r="810" spans="1:33" ht="12.75">
      <c r="A810" s="6">
        <v>41730</v>
      </c>
      <c r="B810" s="7">
        <v>236.46799999999999</v>
      </c>
      <c r="C810" s="8">
        <f>IF(Tabela1[[#This Row],[Consumer Price Index (CPI)]]="",#N/A,((Tabela1[[#This Row],[Consumer Price Index (CPI)]]*1)/B809)-1)</f>
        <v>1.8641856050976013E-3</v>
      </c>
      <c r="D810" s="8">
        <f>IF(Tabela1[[#This Row],[Consumer Price Index (CPI)]]="",#N/A,((Tabela1[[#This Row],[Consumer Price Index (CPI)]]*1)/B798)-1)</f>
        <v>2.0151253036061689E-2</v>
      </c>
      <c r="E810" s="25">
        <v>237.072</v>
      </c>
      <c r="F810" s="8">
        <f>IF(Tabela1[[#This Row],[Core Consumer Price Index]]="",#N/A,((Tabela1[[#This Row],[Core Consumer Price Index]]*1)/E809)-1)</f>
        <v>1.8890649762282052E-3</v>
      </c>
      <c r="G810" s="8">
        <f>IF(Tabela1[[#This Row],[Core Consumer Price Index]]="",#N/A,((Tabela1[[#This Row],[Core Consumer Price Index]]*1)/E798)-1)</f>
        <v>1.8210555250137483E-2</v>
      </c>
      <c r="H810" s="8">
        <f t="shared" si="42"/>
        <v>1.8805283260503458E-2</v>
      </c>
      <c r="I810" s="8">
        <f t="shared" si="43"/>
        <v>1.8244231789190657E-2</v>
      </c>
      <c r="J810" s="25">
        <v>283.77800000000002</v>
      </c>
      <c r="K810" s="8">
        <f>IF(Tabela1[[#This Row],[Services CPI]]="",#N/A,((Tabela1[[#This Row],[Services CPI]]*1)/J809)-1)</f>
        <v>8.2879845384997708E-4</v>
      </c>
      <c r="L810" s="8">
        <f>IF(Tabela1[[#This Row],[Services CPI]]="",#N/A,((Tabela1[[#This Row],[Services CPI]]*1)/J798)-1)</f>
        <v>2.6422109934785665E-2</v>
      </c>
      <c r="M810" s="7">
        <v>292.06200000000001</v>
      </c>
      <c r="N810" s="8">
        <f>IF(Tabela1[[#This Row],[Core-Services CPI]]="",#N/A,((Tabela1[[#This Row],[Core-Services CPI]]*1)/M809)-1)</f>
        <v>2.3887481724018667E-3</v>
      </c>
      <c r="O810" s="8">
        <f>IF(Tabela1[[#This Row],[Core-Services CPI]]="",#N/A,((Tabela1[[#This Row],[Core-Services CPI]]*1)/M798)-1)</f>
        <v>2.5401383998005844E-2</v>
      </c>
      <c r="P810" s="7">
        <v>110.607</v>
      </c>
      <c r="Q810" s="8">
        <f>IF(Tabela1[[#This Row],[Durable Goods CPI]]="",#N/A,((Tabela1[[#This Row],[Durable Goods CPI]]*1)/P809)-1)</f>
        <v>-1.516587677725223E-3</v>
      </c>
      <c r="R810" s="8">
        <f>IF(Tabela1[[#This Row],[Durable Goods CPI]]="",#N/A,((Tabela1[[#This Row],[Durable Goods CPI]]*1)/P798)-1)</f>
        <v>-1.2560929883764449E-2</v>
      </c>
      <c r="S810" s="7">
        <v>1.7891862999999999</v>
      </c>
      <c r="T810" s="7">
        <v>96.986999999999995</v>
      </c>
      <c r="U810" s="8">
        <f>IF(Tabela1[[#This Row],[Personal Consumption Expenditures (PCE)]]="",#N/A,((Tabela1[[#This Row],[Personal Consumption Expenditures (PCE)]]*1)/T809)-1)</f>
        <v>1.7765842069927817E-3</v>
      </c>
      <c r="V810" s="8">
        <f>IF(Tabela1[[#This Row],[Personal Consumption Expenditures (PCE)]]="",#N/A,((Tabela1[[#This Row],[Personal Consumption Expenditures (PCE)]]*1)/T798)-1)</f>
        <v>1.6731138157687786E-2</v>
      </c>
      <c r="W810" s="7">
        <v>95.412999999999997</v>
      </c>
      <c r="X810" s="8">
        <f>IF(Tabela1[[#This Row],[Core PCE]]="",#N/A,((Tabela1[[#This Row],[Core PCE]]*1)/W809)-1)</f>
        <v>1.7112860892387616E-3</v>
      </c>
      <c r="Y810" s="8">
        <f>IF(Tabela1[[#This Row],[Core PCE]]="",#N/A,((Tabela1[[#This Row],[Core PCE]]*1)/W798)-1)</f>
        <v>1.5712658483877373E-2</v>
      </c>
      <c r="Z810" s="8">
        <f t="shared" si="45"/>
        <v>1.4668643770849421E-2</v>
      </c>
      <c r="AA810" s="8">
        <f t="shared" si="44"/>
        <v>1.4948716290424713E-2</v>
      </c>
      <c r="AB810" s="7">
        <v>1.72</v>
      </c>
      <c r="AC810" s="7">
        <v>110.8</v>
      </c>
      <c r="AD810" s="8">
        <f>IF(Tabela1[[#This Row],[Producer Price Index (PPI)]]="",#N/A,((Tabela1[[#This Row],[Producer Price Index (PPI)]]*1)/AC809)-1)</f>
        <v>9.0334236675704283E-4</v>
      </c>
      <c r="AE810" s="8">
        <f>IF(Tabela1[[#This Row],[Producer Price Index (PPI)]]="",#N/A,((Tabela1[[#This Row],[Producer Price Index (PPI)]]*1)/AC798)-1)</f>
        <v>1.9319227230910618E-2</v>
      </c>
      <c r="AF810" s="7">
        <v>3.2</v>
      </c>
      <c r="AG810" s="5"/>
    </row>
    <row r="811" spans="1:33" ht="12.75">
      <c r="A811" s="6">
        <v>41760</v>
      </c>
      <c r="B811" s="7">
        <v>236.91800000000001</v>
      </c>
      <c r="C811" s="8">
        <f>IF(Tabela1[[#This Row],[Consumer Price Index (CPI)]]="",#N/A,((Tabela1[[#This Row],[Consumer Price Index (CPI)]]*1)/B810)-1)</f>
        <v>1.9030059035471947E-3</v>
      </c>
      <c r="D811" s="8">
        <f>IF(Tabela1[[#This Row],[Consumer Price Index (CPI)]]="",#N/A,((Tabela1[[#This Row],[Consumer Price Index (CPI)]]*1)/B799)-1)</f>
        <v>2.1669476870798121E-2</v>
      </c>
      <c r="E811" s="25">
        <v>237.529</v>
      </c>
      <c r="F811" s="8">
        <f>IF(Tabela1[[#This Row],[Core Consumer Price Index]]="",#N/A,((Tabela1[[#This Row],[Core Consumer Price Index]]*1)/E810)-1)</f>
        <v>1.9276844165485585E-3</v>
      </c>
      <c r="G811" s="8">
        <f>IF(Tabela1[[#This Row],[Core Consumer Price Index]]="",#N/A,((Tabela1[[#This Row],[Core Consumer Price Index]]*1)/E799)-1)</f>
        <v>1.9455269618362525E-2</v>
      </c>
      <c r="H811" s="8">
        <f t="shared" si="42"/>
        <v>2.2718783247589691E-2</v>
      </c>
      <c r="I811" s="8">
        <f t="shared" si="43"/>
        <v>1.8370687498301397E-2</v>
      </c>
      <c r="J811" s="25">
        <v>284.678</v>
      </c>
      <c r="K811" s="8">
        <f>IF(Tabela1[[#This Row],[Services CPI]]="",#N/A,((Tabela1[[#This Row],[Services CPI]]*1)/J810)-1)</f>
        <v>3.1714932094806247E-3</v>
      </c>
      <c r="L811" s="8">
        <f>IF(Tabela1[[#This Row],[Services CPI]]="",#N/A,((Tabela1[[#This Row],[Services CPI]]*1)/J799)-1)</f>
        <v>2.7885396544565122E-2</v>
      </c>
      <c r="M811" s="7">
        <v>292.80599999999998</v>
      </c>
      <c r="N811" s="8">
        <f>IF(Tabela1[[#This Row],[Core-Services CPI]]="",#N/A,((Tabela1[[#This Row],[Core-Services CPI]]*1)/M810)-1)</f>
        <v>2.5474043182611705E-3</v>
      </c>
      <c r="O811" s="8">
        <f>IF(Tabela1[[#This Row],[Core-Services CPI]]="",#N/A,((Tabela1[[#This Row],[Core-Services CPI]]*1)/M799)-1)</f>
        <v>2.6895843050884327E-2</v>
      </c>
      <c r="P811" s="7">
        <v>110.398</v>
      </c>
      <c r="Q811" s="8">
        <f>IF(Tabela1[[#This Row],[Durable Goods CPI]]="",#N/A,((Tabela1[[#This Row],[Durable Goods CPI]]*1)/P810)-1)</f>
        <v>-1.8895729926677873E-3</v>
      </c>
      <c r="R811" s="8">
        <f>IF(Tabela1[[#This Row],[Durable Goods CPI]]="",#N/A,((Tabela1[[#This Row],[Durable Goods CPI]]*1)/P799)-1)</f>
        <v>-1.3237515530171051E-2</v>
      </c>
      <c r="S811" s="7">
        <v>1.8208567</v>
      </c>
      <c r="T811" s="7">
        <v>97.147000000000006</v>
      </c>
      <c r="U811" s="8">
        <f>IF(Tabela1[[#This Row],[Personal Consumption Expenditures (PCE)]]="",#N/A,((Tabela1[[#This Row],[Personal Consumption Expenditures (PCE)]]*1)/T810)-1)</f>
        <v>1.6497056306516988E-3</v>
      </c>
      <c r="V811" s="8">
        <f>IF(Tabela1[[#This Row],[Personal Consumption Expenditures (PCE)]]="",#N/A,((Tabela1[[#This Row],[Personal Consumption Expenditures (PCE)]]*1)/T799)-1)</f>
        <v>1.7661662878033946E-2</v>
      </c>
      <c r="W811" s="7">
        <v>95.573999999999998</v>
      </c>
      <c r="X811" s="8">
        <f>IF(Tabela1[[#This Row],[Core PCE]]="",#N/A,((Tabela1[[#This Row],[Core PCE]]*1)/W810)-1)</f>
        <v>1.6874010879019963E-3</v>
      </c>
      <c r="Y811" s="8">
        <f>IF(Tabela1[[#This Row],[Core PCE]]="",#N/A,((Tabela1[[#This Row],[Core PCE]]*1)/W799)-1)</f>
        <v>1.6236562569778901E-2</v>
      </c>
      <c r="Z811" s="8">
        <f t="shared" si="45"/>
        <v>1.9524786875297906E-2</v>
      </c>
      <c r="AA811" s="8">
        <f t="shared" si="44"/>
        <v>1.5007889605474833E-2</v>
      </c>
      <c r="AB811" s="7">
        <v>1.77</v>
      </c>
      <c r="AC811" s="7">
        <v>111</v>
      </c>
      <c r="AD811" s="8">
        <f>IF(Tabela1[[#This Row],[Producer Price Index (PPI)]]="",#N/A,((Tabela1[[#This Row],[Producer Price Index (PPI)]]*1)/AC810)-1)</f>
        <v>1.8050541516245744E-3</v>
      </c>
      <c r="AE811" s="8">
        <f>IF(Tabela1[[#This Row],[Producer Price Index (PPI)]]="",#N/A,((Tabela1[[#This Row],[Producer Price Index (PPI)]]*1)/AC799)-1)</f>
        <v>2.2099447513812098E-2</v>
      </c>
      <c r="AF811" s="7">
        <v>3.3</v>
      </c>
      <c r="AG811" s="5"/>
    </row>
    <row r="812" spans="1:33" ht="12.75">
      <c r="A812" s="6">
        <v>41791</v>
      </c>
      <c r="B812" s="7">
        <v>237.23099999999999</v>
      </c>
      <c r="C812" s="8">
        <f>IF(Tabela1[[#This Row],[Consumer Price Index (CPI)]]="",#N/A,((Tabela1[[#This Row],[Consumer Price Index (CPI)]]*1)/B811)-1)</f>
        <v>1.321132206079767E-3</v>
      </c>
      <c r="D812" s="8">
        <f>IF(Tabela1[[#This Row],[Consumer Price Index (CPI)]]="",#N/A,((Tabela1[[#This Row],[Consumer Price Index (CPI)]]*1)/B800)-1)</f>
        <v>2.0589816945944195E-2</v>
      </c>
      <c r="E812" s="25">
        <v>237.83699999999999</v>
      </c>
      <c r="F812" s="8">
        <f>IF(Tabela1[[#This Row],[Core Consumer Price Index]]="",#N/A,((Tabela1[[#This Row],[Core Consumer Price Index]]*1)/E811)-1)</f>
        <v>1.2966837733496828E-3</v>
      </c>
      <c r="G812" s="8">
        <f>IF(Tabela1[[#This Row],[Core Consumer Price Index]]="",#N/A,((Tabela1[[#This Row],[Core Consumer Price Index]]*1)/E800)-1)</f>
        <v>1.9228626526676562E-2</v>
      </c>
      <c r="H812" s="8">
        <f t="shared" si="42"/>
        <v>2.0453732664505786E-2</v>
      </c>
      <c r="I812" s="8">
        <f t="shared" si="43"/>
        <v>1.7564992336542851E-2</v>
      </c>
      <c r="J812" s="25">
        <v>285.10899999999998</v>
      </c>
      <c r="K812" s="8">
        <f>IF(Tabela1[[#This Row],[Services CPI]]="",#N/A,((Tabela1[[#This Row],[Services CPI]]*1)/J811)-1)</f>
        <v>1.5139912462500682E-3</v>
      </c>
      <c r="L812" s="8">
        <f>IF(Tabela1[[#This Row],[Services CPI]]="",#N/A,((Tabela1[[#This Row],[Services CPI]]*1)/J800)-1)</f>
        <v>2.7638308685450363E-2</v>
      </c>
      <c r="M812" s="7">
        <v>293.27100000000002</v>
      </c>
      <c r="N812" s="8">
        <f>IF(Tabela1[[#This Row],[Core-Services CPI]]="",#N/A,((Tabela1[[#This Row],[Core-Services CPI]]*1)/M811)-1)</f>
        <v>1.5880822114302529E-3</v>
      </c>
      <c r="O812" s="8">
        <f>IF(Tabela1[[#This Row],[Core-Services CPI]]="",#N/A,((Tabela1[[#This Row],[Core-Services CPI]]*1)/M800)-1)</f>
        <v>2.6503417932859374E-2</v>
      </c>
      <c r="P812" s="7">
        <v>110.199</v>
      </c>
      <c r="Q812" s="8">
        <f>IF(Tabela1[[#This Row],[Durable Goods CPI]]="",#N/A,((Tabela1[[#This Row],[Durable Goods CPI]]*1)/P811)-1)</f>
        <v>-1.802568887117495E-3</v>
      </c>
      <c r="R812" s="8">
        <f>IF(Tabela1[[#This Row],[Durable Goods CPI]]="",#N/A,((Tabela1[[#This Row],[Durable Goods CPI]]*1)/P800)-1)</f>
        <v>-1.4161492905834572E-2</v>
      </c>
      <c r="S812" s="7">
        <v>2.0251611999999999</v>
      </c>
      <c r="T812" s="7">
        <v>97.253</v>
      </c>
      <c r="U812" s="8">
        <f>IF(Tabela1[[#This Row],[Personal Consumption Expenditures (PCE)]]="",#N/A,((Tabela1[[#This Row],[Personal Consumption Expenditures (PCE)]]*1)/T811)-1)</f>
        <v>1.0911299371054728E-3</v>
      </c>
      <c r="V812" s="8">
        <f>IF(Tabela1[[#This Row],[Personal Consumption Expenditures (PCE)]]="",#N/A,((Tabela1[[#This Row],[Personal Consumption Expenditures (PCE)]]*1)/T800)-1)</f>
        <v>1.6514586142380772E-2</v>
      </c>
      <c r="W812" s="7">
        <v>95.682000000000002</v>
      </c>
      <c r="X812" s="8">
        <f>IF(Tabela1[[#This Row],[Core PCE]]="",#N/A,((Tabela1[[#This Row],[Core PCE]]*1)/W811)-1)</f>
        <v>1.1300144390733458E-3</v>
      </c>
      <c r="Y812" s="8">
        <f>IF(Tabela1[[#This Row],[Core PCE]]="",#N/A,((Tabela1[[#This Row],[Core PCE]]*1)/W800)-1)</f>
        <v>1.5635448842467259E-2</v>
      </c>
      <c r="Z812" s="8">
        <f t="shared" si="45"/>
        <v>1.8114806464856414E-2</v>
      </c>
      <c r="AA812" s="8">
        <f t="shared" si="44"/>
        <v>1.5138464551510911E-2</v>
      </c>
      <c r="AB812" s="7">
        <v>1.72</v>
      </c>
      <c r="AC812" s="7">
        <v>110.9</v>
      </c>
      <c r="AD812" s="8">
        <f>IF(Tabela1[[#This Row],[Producer Price Index (PPI)]]="",#N/A,((Tabela1[[#This Row],[Producer Price Index (PPI)]]*1)/AC811)-1)</f>
        <v>-9.009009009008917E-4</v>
      </c>
      <c r="AE812" s="8">
        <f>IF(Tabela1[[#This Row],[Producer Price Index (PPI)]]="",#N/A,((Tabela1[[#This Row],[Producer Price Index (PPI)]]*1)/AC800)-1)</f>
        <v>1.7431192660550598E-2</v>
      </c>
      <c r="AF812" s="7">
        <v>3.1</v>
      </c>
      <c r="AG812" s="5"/>
    </row>
    <row r="813" spans="1:33" ht="12.75">
      <c r="A813" s="6">
        <v>41821</v>
      </c>
      <c r="B813" s="7">
        <v>237.49799999999999</v>
      </c>
      <c r="C813" s="8">
        <f>IF(Tabela1[[#This Row],[Consumer Price Index (CPI)]]="",#N/A,((Tabela1[[#This Row],[Consumer Price Index (CPI)]]*1)/B812)-1)</f>
        <v>1.1254852864928111E-3</v>
      </c>
      <c r="D813" s="8">
        <f>IF(Tabela1[[#This Row],[Consumer Price Index (CPI)]]="",#N/A,((Tabela1[[#This Row],[Consumer Price Index (CPI)]]*1)/B801)-1)</f>
        <v>1.9742378703305974E-2</v>
      </c>
      <c r="E813" s="25">
        <v>238.19499999999999</v>
      </c>
      <c r="F813" s="8">
        <f>IF(Tabela1[[#This Row],[Core Consumer Price Index]]="",#N/A,((Tabela1[[#This Row],[Core Consumer Price Index]]*1)/E812)-1)</f>
        <v>1.5052325752511475E-3</v>
      </c>
      <c r="G813" s="8">
        <f>IF(Tabela1[[#This Row],[Core Consumer Price Index]]="",#N/A,((Tabela1[[#This Row],[Core Consumer Price Index]]*1)/E801)-1)</f>
        <v>1.8449632290063356E-2</v>
      </c>
      <c r="H813" s="8">
        <f t="shared" si="42"/>
        <v>1.8918403060597555E-2</v>
      </c>
      <c r="I813" s="8">
        <f t="shared" si="43"/>
        <v>1.8861843160550507E-2</v>
      </c>
      <c r="J813" s="25">
        <v>285.733</v>
      </c>
      <c r="K813" s="8">
        <f>IF(Tabela1[[#This Row],[Services CPI]]="",#N/A,((Tabela1[[#This Row],[Services CPI]]*1)/J812)-1)</f>
        <v>2.188636626693663E-3</v>
      </c>
      <c r="L813" s="8">
        <f>IF(Tabela1[[#This Row],[Services CPI]]="",#N/A,((Tabela1[[#This Row],[Services CPI]]*1)/J801)-1)</f>
        <v>2.7291814972208561E-2</v>
      </c>
      <c r="M813" s="7">
        <v>293.92</v>
      </c>
      <c r="N813" s="8">
        <f>IF(Tabela1[[#This Row],[Core-Services CPI]]="",#N/A,((Tabela1[[#This Row],[Core-Services CPI]]*1)/M812)-1)</f>
        <v>2.2129702561795028E-3</v>
      </c>
      <c r="O813" s="8">
        <f>IF(Tabela1[[#This Row],[Core-Services CPI]]="",#N/A,((Tabela1[[#This Row],[Core-Services CPI]]*1)/M801)-1)</f>
        <v>2.5895197573481576E-2</v>
      </c>
      <c r="P813" s="7">
        <v>110.218</v>
      </c>
      <c r="Q813" s="8">
        <f>IF(Tabela1[[#This Row],[Durable Goods CPI]]="",#N/A,((Tabela1[[#This Row],[Durable Goods CPI]]*1)/P812)-1)</f>
        <v>1.724153576712073E-4</v>
      </c>
      <c r="R813" s="8">
        <f>IF(Tabela1[[#This Row],[Durable Goods CPI]]="",#N/A,((Tabela1[[#This Row],[Durable Goods CPI]]*1)/P801)-1)</f>
        <v>-1.3161664637203585E-2</v>
      </c>
      <c r="S813" s="7">
        <v>2.1282345</v>
      </c>
      <c r="T813" s="7">
        <v>97.391000000000005</v>
      </c>
      <c r="U813" s="8">
        <f>IF(Tabela1[[#This Row],[Personal Consumption Expenditures (PCE)]]="",#N/A,((Tabela1[[#This Row],[Personal Consumption Expenditures (PCE)]]*1)/T812)-1)</f>
        <v>1.4189793631045333E-3</v>
      </c>
      <c r="V813" s="8">
        <f>IF(Tabela1[[#This Row],[Personal Consumption Expenditures (PCE)]]="",#N/A,((Tabela1[[#This Row],[Personal Consumption Expenditures (PCE)]]*1)/T801)-1)</f>
        <v>1.6692416903290486E-2</v>
      </c>
      <c r="W813" s="7">
        <v>95.847999999999999</v>
      </c>
      <c r="X813" s="8">
        <f>IF(Tabela1[[#This Row],[Core PCE]]="",#N/A,((Tabela1[[#This Row],[Core PCE]]*1)/W812)-1)</f>
        <v>1.7349135678601524E-3</v>
      </c>
      <c r="Y813" s="8">
        <f>IF(Tabela1[[#This Row],[Core PCE]]="",#N/A,((Tabela1[[#This Row],[Core PCE]]*1)/W801)-1)</f>
        <v>1.6103213221808854E-2</v>
      </c>
      <c r="Z813" s="8">
        <f t="shared" si="45"/>
        <v>1.8209316379341978E-2</v>
      </c>
      <c r="AA813" s="8">
        <f t="shared" si="44"/>
        <v>1.6438980075095699E-2</v>
      </c>
      <c r="AB813" s="7">
        <v>1.73</v>
      </c>
      <c r="AC813" s="7">
        <v>111.3</v>
      </c>
      <c r="AD813" s="8">
        <f>IF(Tabela1[[#This Row],[Producer Price Index (PPI)]]="",#N/A,((Tabela1[[#This Row],[Producer Price Index (PPI)]]*1)/AC812)-1)</f>
        <v>3.6068530207393756E-3</v>
      </c>
      <c r="AE813" s="8">
        <f>IF(Tabela1[[#This Row],[Producer Price Index (PPI)]]="",#N/A,((Tabela1[[#This Row],[Producer Price Index (PPI)]]*1)/AC801)-1)</f>
        <v>1.9230769230769162E-2</v>
      </c>
      <c r="AF813" s="7">
        <v>3.3</v>
      </c>
      <c r="AG813" s="5"/>
    </row>
    <row r="814" spans="1:33" ht="12.75">
      <c r="A814" s="6">
        <v>41852</v>
      </c>
      <c r="B814" s="7">
        <v>237.46</v>
      </c>
      <c r="C814" s="8">
        <f>IF(Tabela1[[#This Row],[Consumer Price Index (CPI)]]="",#N/A,((Tabela1[[#This Row],[Consumer Price Index (CPI)]]*1)/B813)-1)</f>
        <v>-1.6000134737970129E-4</v>
      </c>
      <c r="D814" s="8">
        <f>IF(Tabela1[[#This Row],[Consumer Price Index (CPI)]]="",#N/A,((Tabela1[[#This Row],[Consumer Price Index (CPI)]]*1)/B802)-1)</f>
        <v>1.7150983482969062E-2</v>
      </c>
      <c r="E814" s="25">
        <v>238.405</v>
      </c>
      <c r="F814" s="8">
        <f>IF(Tabela1[[#This Row],[Core Consumer Price Index]]="",#N/A,((Tabela1[[#This Row],[Core Consumer Price Index]]*1)/E813)-1)</f>
        <v>8.8163059678003641E-4</v>
      </c>
      <c r="G814" s="8">
        <f>IF(Tabela1[[#This Row],[Core Consumer Price Index]]="",#N/A,((Tabela1[[#This Row],[Core Consumer Price Index]]*1)/E802)-1)</f>
        <v>1.7363956028949801E-2</v>
      </c>
      <c r="H814" s="8">
        <f t="shared" si="42"/>
        <v>1.4734187781523467E-2</v>
      </c>
      <c r="I814" s="8">
        <f t="shared" si="43"/>
        <v>1.8726485514556579E-2</v>
      </c>
      <c r="J814" s="25">
        <v>285.98399999999998</v>
      </c>
      <c r="K814" s="8">
        <f>IF(Tabela1[[#This Row],[Services CPI]]="",#N/A,((Tabela1[[#This Row],[Services CPI]]*1)/J813)-1)</f>
        <v>8.7844246201873588E-4</v>
      </c>
      <c r="L814" s="8">
        <f>IF(Tabela1[[#This Row],[Services CPI]]="",#N/A,((Tabela1[[#This Row],[Services CPI]]*1)/J802)-1)</f>
        <v>2.5977333959955828E-2</v>
      </c>
      <c r="M814" s="7">
        <v>294.35000000000002</v>
      </c>
      <c r="N814" s="8">
        <f>IF(Tabela1[[#This Row],[Core-Services CPI]]="",#N/A,((Tabela1[[#This Row],[Core-Services CPI]]*1)/M813)-1)</f>
        <v>1.4629831246597558E-3</v>
      </c>
      <c r="O814" s="8">
        <f>IF(Tabela1[[#This Row],[Core-Services CPI]]="",#N/A,((Tabela1[[#This Row],[Core-Services CPI]]*1)/M802)-1)</f>
        <v>2.4642236772942638E-2</v>
      </c>
      <c r="P814" s="7">
        <v>110.202</v>
      </c>
      <c r="Q814" s="8">
        <f>IF(Tabela1[[#This Row],[Durable Goods CPI]]="",#N/A,((Tabela1[[#This Row],[Durable Goods CPI]]*1)/P813)-1)</f>
        <v>-1.4516685114962513E-4</v>
      </c>
      <c r="R814" s="8">
        <f>IF(Tabela1[[#This Row],[Durable Goods CPI]]="",#N/A,((Tabela1[[#This Row],[Durable Goods CPI]]*1)/P802)-1)</f>
        <v>-1.2712661595936203E-2</v>
      </c>
      <c r="S814" s="7">
        <v>2.1433409000000001</v>
      </c>
      <c r="T814" s="7">
        <v>97.379000000000005</v>
      </c>
      <c r="U814" s="8">
        <f>IF(Tabela1[[#This Row],[Personal Consumption Expenditures (PCE)]]="",#N/A,((Tabela1[[#This Row],[Personal Consumption Expenditures (PCE)]]*1)/T813)-1)</f>
        <v>-1.2321467076015225E-4</v>
      </c>
      <c r="V814" s="8">
        <f>IF(Tabela1[[#This Row],[Personal Consumption Expenditures (PCE)]]="",#N/A,((Tabela1[[#This Row],[Personal Consumption Expenditures (PCE)]]*1)/T802)-1)</f>
        <v>1.5062438759980923E-2</v>
      </c>
      <c r="W814" s="7">
        <v>95.885000000000005</v>
      </c>
      <c r="X814" s="8">
        <f>IF(Tabela1[[#This Row],[Core PCE]]="",#N/A,((Tabela1[[#This Row],[Core PCE]]*1)/W813)-1)</f>
        <v>3.8602787747277212E-4</v>
      </c>
      <c r="Y814" s="8">
        <f>IF(Tabela1[[#This Row],[Core PCE]]="",#N/A,((Tabela1[[#This Row],[Core PCE]]*1)/W802)-1)</f>
        <v>1.5397485995065185E-2</v>
      </c>
      <c r="Z814" s="8">
        <f t="shared" si="45"/>
        <v>1.3003823537625081E-2</v>
      </c>
      <c r="AA814" s="8">
        <f t="shared" si="44"/>
        <v>1.6264305206461493E-2</v>
      </c>
      <c r="AB814" s="7">
        <v>1.69</v>
      </c>
      <c r="AC814" s="7">
        <v>111.3</v>
      </c>
      <c r="AD814" s="8">
        <f>IF(Tabela1[[#This Row],[Producer Price Index (PPI)]]="",#N/A,((Tabela1[[#This Row],[Producer Price Index (PPI)]]*1)/AC813)-1)</f>
        <v>0</v>
      </c>
      <c r="AE814" s="8">
        <f>IF(Tabela1[[#This Row],[Producer Price Index (PPI)]]="",#N/A,((Tabela1[[#This Row],[Producer Price Index (PPI)]]*1)/AC802)-1)</f>
        <v>1.8298261665141702E-2</v>
      </c>
      <c r="AF814" s="7">
        <v>3.2</v>
      </c>
      <c r="AG814" s="5"/>
    </row>
    <row r="815" spans="1:33" ht="12.75">
      <c r="A815" s="6">
        <v>41883</v>
      </c>
      <c r="B815" s="7">
        <v>237.477</v>
      </c>
      <c r="C815" s="8">
        <f>IF(Tabela1[[#This Row],[Consumer Price Index (CPI)]]="",#N/A,((Tabela1[[#This Row],[Consumer Price Index (CPI)]]*1)/B814)-1)</f>
        <v>7.1591004800808378E-5</v>
      </c>
      <c r="D815" s="8">
        <f>IF(Tabela1[[#This Row],[Consumer Price Index (CPI)]]="",#N/A,((Tabela1[[#This Row],[Consumer Price Index (CPI)]]*1)/B803)-1)</f>
        <v>1.6840509711232077E-2</v>
      </c>
      <c r="E815" s="25">
        <v>238.786</v>
      </c>
      <c r="F815" s="8">
        <f>IF(Tabela1[[#This Row],[Core Consumer Price Index]]="",#N/A,((Tabela1[[#This Row],[Core Consumer Price Index]]*1)/E814)-1)</f>
        <v>1.598120844780837E-3</v>
      </c>
      <c r="G815" s="8">
        <f>IF(Tabela1[[#This Row],[Core Consumer Price Index]]="",#N/A,((Tabela1[[#This Row],[Core Consumer Price Index]]*1)/E803)-1)</f>
        <v>1.7409458883681284E-2</v>
      </c>
      <c r="H815" s="8">
        <f t="shared" si="42"/>
        <v>1.5939936067248084E-2</v>
      </c>
      <c r="I815" s="8">
        <f t="shared" si="43"/>
        <v>1.8196834365876935E-2</v>
      </c>
      <c r="J815" s="25">
        <v>286.38799999999998</v>
      </c>
      <c r="K815" s="8">
        <f>IF(Tabela1[[#This Row],[Services CPI]]="",#N/A,((Tabela1[[#This Row],[Services CPI]]*1)/J814)-1)</f>
        <v>1.4126664428779634E-3</v>
      </c>
      <c r="L815" s="8">
        <f>IF(Tabela1[[#This Row],[Services CPI]]="",#N/A,((Tabela1[[#This Row],[Services CPI]]*1)/J803)-1)</f>
        <v>2.5025411960085231E-2</v>
      </c>
      <c r="M815" s="7">
        <v>294.85300000000001</v>
      </c>
      <c r="N815" s="8">
        <f>IF(Tabela1[[#This Row],[Core-Services CPI]]="",#N/A,((Tabela1[[#This Row],[Core-Services CPI]]*1)/M814)-1)</f>
        <v>1.7088500084931901E-3</v>
      </c>
      <c r="O815" s="8">
        <f>IF(Tabela1[[#This Row],[Core-Services CPI]]="",#N/A,((Tabela1[[#This Row],[Core-Services CPI]]*1)/M803)-1)</f>
        <v>2.4246803277834461E-2</v>
      </c>
      <c r="P815" s="7">
        <v>110.13500000000001</v>
      </c>
      <c r="Q815" s="8">
        <f>IF(Tabela1[[#This Row],[Durable Goods CPI]]="",#N/A,((Tabela1[[#This Row],[Durable Goods CPI]]*1)/P814)-1)</f>
        <v>-6.0797444692473057E-4</v>
      </c>
      <c r="R815" s="8">
        <f>IF(Tabela1[[#This Row],[Durable Goods CPI]]="",#N/A,((Tabela1[[#This Row],[Durable Goods CPI]]*1)/P803)-1)</f>
        <v>-1.4116657118304232E-2</v>
      </c>
      <c r="S815" s="7">
        <v>2.1008094000000002</v>
      </c>
      <c r="T815" s="7">
        <v>97.412999999999997</v>
      </c>
      <c r="U815" s="8">
        <f>IF(Tabela1[[#This Row],[Personal Consumption Expenditures (PCE)]]="",#N/A,((Tabela1[[#This Row],[Personal Consumption Expenditures (PCE)]]*1)/T814)-1)</f>
        <v>3.4915125437717798E-4</v>
      </c>
      <c r="V815" s="8">
        <f>IF(Tabela1[[#This Row],[Personal Consumption Expenditures (PCE)]]="",#N/A,((Tabela1[[#This Row],[Personal Consumption Expenditures (PCE)]]*1)/T803)-1)</f>
        <v>1.4972493123280861E-2</v>
      </c>
      <c r="W815" s="7">
        <v>96.013000000000005</v>
      </c>
      <c r="X815" s="8">
        <f>IF(Tabela1[[#This Row],[Core PCE]]="",#N/A,((Tabela1[[#This Row],[Core PCE]]*1)/W814)-1)</f>
        <v>1.3349324711895427E-3</v>
      </c>
      <c r="Y815" s="8">
        <f>IF(Tabela1[[#This Row],[Core PCE]]="",#N/A,((Tabela1[[#This Row],[Core PCE]]*1)/W803)-1)</f>
        <v>1.5548480585553692E-2</v>
      </c>
      <c r="Z815" s="8">
        <f t="shared" si="45"/>
        <v>1.3823495666089869E-2</v>
      </c>
      <c r="AA815" s="8">
        <f t="shared" si="44"/>
        <v>1.5969151065473142E-2</v>
      </c>
      <c r="AB815" s="7">
        <v>1.7</v>
      </c>
      <c r="AC815" s="7">
        <v>111.1</v>
      </c>
      <c r="AD815" s="8">
        <f>IF(Tabela1[[#This Row],[Producer Price Index (PPI)]]="",#N/A,((Tabela1[[#This Row],[Producer Price Index (PPI)]]*1)/AC814)-1)</f>
        <v>-1.7969451931716396E-3</v>
      </c>
      <c r="AE815" s="8">
        <f>IF(Tabela1[[#This Row],[Producer Price Index (PPI)]]="",#N/A,((Tabela1[[#This Row],[Producer Price Index (PPI)]]*1)/AC803)-1)</f>
        <v>1.6468435498627532E-2</v>
      </c>
      <c r="AF815" s="7">
        <v>3</v>
      </c>
      <c r="AG815" s="5"/>
    </row>
    <row r="816" spans="1:33" ht="12.75">
      <c r="A816" s="6">
        <v>41913</v>
      </c>
      <c r="B816" s="7">
        <v>237.43</v>
      </c>
      <c r="C816" s="8">
        <f>IF(Tabela1[[#This Row],[Consumer Price Index (CPI)]]="",#N/A,((Tabela1[[#This Row],[Consumer Price Index (CPI)]]*1)/B815)-1)</f>
        <v>-1.9791390324119806E-4</v>
      </c>
      <c r="D816" s="8">
        <f>IF(Tabela1[[#This Row],[Consumer Price Index (CPI)]]="",#N/A,((Tabela1[[#This Row],[Consumer Price Index (CPI)]]*1)/B804)-1)</f>
        <v>1.6095417021513292E-2</v>
      </c>
      <c r="E816" s="25">
        <v>239.191</v>
      </c>
      <c r="F816" s="8">
        <f>IF(Tabela1[[#This Row],[Core Consumer Price Index]]="",#N/A,((Tabela1[[#This Row],[Core Consumer Price Index]]*1)/E815)-1)</f>
        <v>1.6960793346343372E-3</v>
      </c>
      <c r="G816" s="8">
        <f>IF(Tabela1[[#This Row],[Core Consumer Price Index]]="",#N/A,((Tabela1[[#This Row],[Core Consumer Price Index]]*1)/E804)-1)</f>
        <v>1.817632310436279E-2</v>
      </c>
      <c r="H816" s="8">
        <f t="shared" si="42"/>
        <v>1.6703323104780843E-2</v>
      </c>
      <c r="I816" s="8">
        <f t="shared" si="43"/>
        <v>1.7810863082689199E-2</v>
      </c>
      <c r="J816" s="25">
        <v>286.89299999999997</v>
      </c>
      <c r="K816" s="8">
        <f>IF(Tabela1[[#This Row],[Services CPI]]="",#N/A,((Tabela1[[#This Row],[Services CPI]]*1)/J815)-1)</f>
        <v>1.7633420394709276E-3</v>
      </c>
      <c r="L816" s="8">
        <f>IF(Tabela1[[#This Row],[Services CPI]]="",#N/A,((Tabela1[[#This Row],[Services CPI]]*1)/J804)-1)</f>
        <v>2.5511517179256149E-2</v>
      </c>
      <c r="M816" s="7">
        <v>295.47899999999998</v>
      </c>
      <c r="N816" s="8">
        <f>IF(Tabela1[[#This Row],[Core-Services CPI]]="",#N/A,((Tabela1[[#This Row],[Core-Services CPI]]*1)/M815)-1)</f>
        <v>2.1230918457670889E-3</v>
      </c>
      <c r="O816" s="8">
        <f>IF(Tabela1[[#This Row],[Core-Services CPI]]="",#N/A,((Tabela1[[#This Row],[Core-Services CPI]]*1)/M804)-1)</f>
        <v>2.5039807674295034E-2</v>
      </c>
      <c r="P816" s="7">
        <v>110.252</v>
      </c>
      <c r="Q816" s="8">
        <f>IF(Tabela1[[#This Row],[Durable Goods CPI]]="",#N/A,((Tabela1[[#This Row],[Durable Goods CPI]]*1)/P815)-1)</f>
        <v>1.0623325918190929E-3</v>
      </c>
      <c r="R816" s="8">
        <f>IF(Tabela1[[#This Row],[Durable Goods CPI]]="",#N/A,((Tabela1[[#This Row],[Durable Goods CPI]]*1)/P804)-1)</f>
        <v>-1.3157659189774629E-2</v>
      </c>
      <c r="S816" s="7">
        <v>1.9625041999999999</v>
      </c>
      <c r="T816" s="7">
        <v>97.384</v>
      </c>
      <c r="U816" s="8">
        <f>IF(Tabela1[[#This Row],[Personal Consumption Expenditures (PCE)]]="",#N/A,((Tabela1[[#This Row],[Personal Consumption Expenditures (PCE)]]*1)/T815)-1)</f>
        <v>-2.9770153880892547E-4</v>
      </c>
      <c r="V816" s="8">
        <f>IF(Tabela1[[#This Row],[Personal Consumption Expenditures (PCE)]]="",#N/A,((Tabela1[[#This Row],[Personal Consumption Expenditures (PCE)]]*1)/T804)-1)</f>
        <v>1.3329448612426242E-2</v>
      </c>
      <c r="W816" s="7">
        <v>96.096000000000004</v>
      </c>
      <c r="X816" s="8">
        <f>IF(Tabela1[[#This Row],[Core PCE]]="",#N/A,((Tabela1[[#This Row],[Core PCE]]*1)/W815)-1)</f>
        <v>8.6446627019265421E-4</v>
      </c>
      <c r="Y816" s="8">
        <f>IF(Tabela1[[#This Row],[Core PCE]]="",#N/A,((Tabela1[[#This Row],[Core PCE]]*1)/W804)-1)</f>
        <v>1.4709143321753215E-2</v>
      </c>
      <c r="Z816" s="8">
        <f t="shared" si="45"/>
        <v>1.0341706475419876E-2</v>
      </c>
      <c r="AA816" s="8">
        <f t="shared" si="44"/>
        <v>1.4275511427380927E-2</v>
      </c>
      <c r="AB816" s="7">
        <v>1.68</v>
      </c>
      <c r="AC816" s="7">
        <v>111.3</v>
      </c>
      <c r="AD816" s="8">
        <f>IF(Tabela1[[#This Row],[Producer Price Index (PPI)]]="",#N/A,((Tabela1[[#This Row],[Producer Price Index (PPI)]]*1)/AC815)-1)</f>
        <v>1.8001800180018623E-3</v>
      </c>
      <c r="AE816" s="8">
        <f>IF(Tabela1[[#This Row],[Producer Price Index (PPI)]]="",#N/A,((Tabela1[[#This Row],[Producer Price Index (PPI)]]*1)/AC804)-1)</f>
        <v>1.6438356164383494E-2</v>
      </c>
      <c r="AF816" s="7">
        <v>2.9</v>
      </c>
      <c r="AG816" s="5"/>
    </row>
    <row r="817" spans="1:33" ht="12.75">
      <c r="A817" s="6">
        <v>41944</v>
      </c>
      <c r="B817" s="7">
        <v>236.983</v>
      </c>
      <c r="C817" s="8">
        <f>IF(Tabela1[[#This Row],[Consumer Price Index (CPI)]]="",#N/A,((Tabela1[[#This Row],[Consumer Price Index (CPI)]]*1)/B816)-1)</f>
        <v>-1.8826601524659647E-3</v>
      </c>
      <c r="D817" s="8">
        <f>IF(Tabela1[[#This Row],[Consumer Price Index (CPI)]]="",#N/A,((Tabela1[[#This Row],[Consumer Price Index (CPI)]]*1)/B805)-1)</f>
        <v>1.231524989320798E-2</v>
      </c>
      <c r="E817" s="25">
        <v>239.458</v>
      </c>
      <c r="F817" s="8">
        <f>IF(Tabela1[[#This Row],[Core Consumer Price Index]]="",#N/A,((Tabela1[[#This Row],[Core Consumer Price Index]]*1)/E816)-1)</f>
        <v>1.1162627356380295E-3</v>
      </c>
      <c r="G817" s="8">
        <f>IF(Tabela1[[#This Row],[Core Consumer Price Index]]="",#N/A,((Tabela1[[#This Row],[Core Consumer Price Index]]*1)/E805)-1)</f>
        <v>1.7415947552462452E-2</v>
      </c>
      <c r="H817" s="8">
        <f t="shared" si="42"/>
        <v>1.7641851660212815E-2</v>
      </c>
      <c r="I817" s="8">
        <f t="shared" si="43"/>
        <v>1.6188019720868141E-2</v>
      </c>
      <c r="J817" s="25">
        <v>287.404</v>
      </c>
      <c r="K817" s="8">
        <f>IF(Tabela1[[#This Row],[Services CPI]]="",#N/A,((Tabela1[[#This Row],[Services CPI]]*1)/J816)-1)</f>
        <v>1.7811518580097552E-3</v>
      </c>
      <c r="L817" s="8">
        <f>IF(Tabela1[[#This Row],[Services CPI]]="",#N/A,((Tabela1[[#This Row],[Services CPI]]*1)/J805)-1)</f>
        <v>2.5227230569467629E-2</v>
      </c>
      <c r="M817" s="7">
        <v>296.12700000000001</v>
      </c>
      <c r="N817" s="8">
        <f>IF(Tabela1[[#This Row],[Core-Services CPI]]="",#N/A,((Tabela1[[#This Row],[Core-Services CPI]]*1)/M816)-1)</f>
        <v>2.1930492522312939E-3</v>
      </c>
      <c r="O817" s="8">
        <f>IF(Tabela1[[#This Row],[Core-Services CPI]]="",#N/A,((Tabela1[[#This Row],[Core-Services CPI]]*1)/M805)-1)</f>
        <v>2.5036864732393305E-2</v>
      </c>
      <c r="P817" s="7">
        <v>109.79600000000001</v>
      </c>
      <c r="Q817" s="8">
        <f>IF(Tabela1[[#This Row],[Durable Goods CPI]]="",#N/A,((Tabela1[[#This Row],[Durable Goods CPI]]*1)/P816)-1)</f>
        <v>-4.1359793926639687E-3</v>
      </c>
      <c r="R817" s="8">
        <f>IF(Tabela1[[#This Row],[Durable Goods CPI]]="",#N/A,((Tabela1[[#This Row],[Durable Goods CPI]]*1)/P805)-1)</f>
        <v>-1.6843217493306639E-2</v>
      </c>
      <c r="S817" s="7">
        <v>1.9540470000000001</v>
      </c>
      <c r="T817" s="7">
        <v>97.290999999999997</v>
      </c>
      <c r="U817" s="8">
        <f>IF(Tabela1[[#This Row],[Personal Consumption Expenditures (PCE)]]="",#N/A,((Tabela1[[#This Row],[Personal Consumption Expenditures (PCE)]]*1)/T816)-1)</f>
        <v>-9.5498233796109666E-4</v>
      </c>
      <c r="V817" s="8">
        <f>IF(Tabela1[[#This Row],[Personal Consumption Expenditures (PCE)]]="",#N/A,((Tabela1[[#This Row],[Personal Consumption Expenditures (PCE)]]*1)/T805)-1)</f>
        <v>1.0857594081832067E-2</v>
      </c>
      <c r="W817" s="7">
        <v>96.180999999999997</v>
      </c>
      <c r="X817" s="8">
        <f>IF(Tabela1[[#This Row],[Core PCE]]="",#N/A,((Tabela1[[#This Row],[Core PCE]]*1)/W816)-1)</f>
        <v>8.8453213453210111E-4</v>
      </c>
      <c r="Y817" s="8">
        <f>IF(Tabela1[[#This Row],[Core PCE]]="",#N/A,((Tabela1[[#This Row],[Core PCE]]*1)/W805)-1)</f>
        <v>1.392578536791067E-2</v>
      </c>
      <c r="Z817" s="8">
        <f t="shared" si="45"/>
        <v>1.2335723503657192E-2</v>
      </c>
      <c r="AA817" s="8">
        <f t="shared" si="44"/>
        <v>1.2669773520641137E-2</v>
      </c>
      <c r="AB817" s="7">
        <v>1.64</v>
      </c>
      <c r="AC817" s="7">
        <v>111.1</v>
      </c>
      <c r="AD817" s="8">
        <f>IF(Tabela1[[#This Row],[Producer Price Index (PPI)]]="",#N/A,((Tabela1[[#This Row],[Producer Price Index (PPI)]]*1)/AC816)-1)</f>
        <v>-1.7969451931716396E-3</v>
      </c>
      <c r="AE817" s="8">
        <f>IF(Tabela1[[#This Row],[Producer Price Index (PPI)]]="",#N/A,((Tabela1[[#This Row],[Producer Price Index (PPI)]]*1)/AC805)-1)</f>
        <v>1.2762078395624377E-2</v>
      </c>
      <c r="AF817" s="7">
        <v>2.8</v>
      </c>
      <c r="AG817" s="5"/>
    </row>
    <row r="818" spans="1:33" ht="12.75">
      <c r="A818" s="6">
        <v>41974</v>
      </c>
      <c r="B818" s="7">
        <v>236.25200000000001</v>
      </c>
      <c r="C818" s="8">
        <f>IF(Tabela1[[#This Row],[Consumer Price Index (CPI)]]="",#N/A,((Tabela1[[#This Row],[Consumer Price Index (CPI)]]*1)/B817)-1)</f>
        <v>-3.0846094445592387E-3</v>
      </c>
      <c r="D818" s="8">
        <f>IF(Tabela1[[#This Row],[Consumer Price Index (CPI)]]="",#N/A,((Tabela1[[#This Row],[Consumer Price Index (CPI)]]*1)/B806)-1)</f>
        <v>6.5312139196231911E-3</v>
      </c>
      <c r="E818" s="25">
        <v>239.584</v>
      </c>
      <c r="F818" s="8">
        <f>IF(Tabela1[[#This Row],[Core Consumer Price Index]]="",#N/A,((Tabela1[[#This Row],[Core Consumer Price Index]]*1)/E817)-1)</f>
        <v>5.261883085969643E-4</v>
      </c>
      <c r="G818" s="8">
        <f>IF(Tabela1[[#This Row],[Core Consumer Price Index]]="",#N/A,((Tabela1[[#This Row],[Core Consumer Price Index]]*1)/E806)-1)</f>
        <v>1.6224195046636636E-2</v>
      </c>
      <c r="H818" s="8">
        <f t="shared" si="42"/>
        <v>1.3354121515477324E-2</v>
      </c>
      <c r="I818" s="8">
        <f t="shared" si="43"/>
        <v>1.4647028791362704E-2</v>
      </c>
      <c r="J818" s="25">
        <v>287.95800000000003</v>
      </c>
      <c r="K818" s="8">
        <f>IF(Tabela1[[#This Row],[Services CPI]]="",#N/A,((Tabela1[[#This Row],[Services CPI]]*1)/J817)-1)</f>
        <v>1.9276001725794245E-3</v>
      </c>
      <c r="L818" s="8">
        <f>IF(Tabela1[[#This Row],[Services CPI]]="",#N/A,((Tabela1[[#This Row],[Services CPI]]*1)/J806)-1)</f>
        <v>2.5159225464681967E-2</v>
      </c>
      <c r="M818" s="7">
        <v>296.55500000000001</v>
      </c>
      <c r="N818" s="8">
        <f>IF(Tabela1[[#This Row],[Core-Services CPI]]="",#N/A,((Tabela1[[#This Row],[Core-Services CPI]]*1)/M817)-1)</f>
        <v>1.4453258230420207E-3</v>
      </c>
      <c r="O818" s="8">
        <f>IF(Tabela1[[#This Row],[Core-Services CPI]]="",#N/A,((Tabela1[[#This Row],[Core-Services CPI]]*1)/M806)-1)</f>
        <v>2.440498808248992E-2</v>
      </c>
      <c r="P818" s="7">
        <v>109.446</v>
      </c>
      <c r="Q818" s="8">
        <f>IF(Tabela1[[#This Row],[Durable Goods CPI]]="",#N/A,((Tabela1[[#This Row],[Durable Goods CPI]]*1)/P817)-1)</f>
        <v>-3.1877299719480501E-3</v>
      </c>
      <c r="R818" s="8">
        <f>IF(Tabela1[[#This Row],[Durable Goods CPI]]="",#N/A,((Tabela1[[#This Row],[Durable Goods CPI]]*1)/P806)-1)</f>
        <v>-1.9520716685330397E-2</v>
      </c>
      <c r="S818" s="7">
        <v>2.0060186999999998</v>
      </c>
      <c r="T818" s="7">
        <v>97.12</v>
      </c>
      <c r="U818" s="8">
        <f>IF(Tabela1[[#This Row],[Personal Consumption Expenditures (PCE)]]="",#N/A,((Tabela1[[#This Row],[Personal Consumption Expenditures (PCE)]]*1)/T817)-1)</f>
        <v>-1.7576137566680528E-3</v>
      </c>
      <c r="V818" s="8">
        <f>IF(Tabela1[[#This Row],[Personal Consumption Expenditures (PCE)]]="",#N/A,((Tabela1[[#This Row],[Personal Consumption Expenditures (PCE)]]*1)/T806)-1)</f>
        <v>7.3225880058913617E-3</v>
      </c>
      <c r="W818" s="7">
        <v>96.248999999999995</v>
      </c>
      <c r="X818" s="8">
        <f>IF(Tabela1[[#This Row],[Core PCE]]="",#N/A,((Tabela1[[#This Row],[Core PCE]]*1)/W817)-1)</f>
        <v>7.0700034310311466E-4</v>
      </c>
      <c r="Y818" s="8">
        <f>IF(Tabela1[[#This Row],[Core PCE]]="",#N/A,((Tabela1[[#This Row],[Core PCE]]*1)/W806)-1)</f>
        <v>1.3563462895293865E-2</v>
      </c>
      <c r="Z818" s="8">
        <f t="shared" si="45"/>
        <v>9.8239949913114799E-3</v>
      </c>
      <c r="AA818" s="8">
        <f t="shared" si="44"/>
        <v>1.1823745328700674E-2</v>
      </c>
      <c r="AB818" s="7">
        <v>1.6</v>
      </c>
      <c r="AC818" s="7">
        <v>110.8</v>
      </c>
      <c r="AD818" s="8">
        <f>IF(Tabela1[[#This Row],[Producer Price Index (PPI)]]="",#N/A,((Tabela1[[#This Row],[Producer Price Index (PPI)]]*1)/AC817)-1)</f>
        <v>-2.7002700270026825E-3</v>
      </c>
      <c r="AE818" s="8">
        <f>IF(Tabela1[[#This Row],[Producer Price Index (PPI)]]="",#N/A,((Tabela1[[#This Row],[Producer Price Index (PPI)]]*1)/AC806)-1)</f>
        <v>9.1074681238616506E-3</v>
      </c>
      <c r="AF818" s="7">
        <v>2.8</v>
      </c>
      <c r="AG818" s="5"/>
    </row>
    <row r="819" spans="1:33" ht="12.75">
      <c r="A819" s="6">
        <v>42005</v>
      </c>
      <c r="B819" s="7">
        <v>234.74700000000001</v>
      </c>
      <c r="C819" s="8">
        <f>IF(Tabela1[[#This Row],[Consumer Price Index (CPI)]]="",#N/A,((Tabela1[[#This Row],[Consumer Price Index (CPI)]]*1)/B818)-1)</f>
        <v>-6.3703164417655556E-3</v>
      </c>
      <c r="D819" s="8">
        <f>IF(Tabela1[[#This Row],[Consumer Price Index (CPI)]]="",#N/A,((Tabela1[[#This Row],[Consumer Price Index (CPI)]]*1)/B807)-1)</f>
        <v>-2.2993097820542818E-3</v>
      </c>
      <c r="E819" s="25">
        <v>239.81100000000001</v>
      </c>
      <c r="F819" s="8">
        <f>IF(Tabela1[[#This Row],[Core Consumer Price Index]]="",#N/A,((Tabela1[[#This Row],[Core Consumer Price Index]]*1)/E818)-1)</f>
        <v>9.4747562441566124E-4</v>
      </c>
      <c r="G819" s="8">
        <f>IF(Tabela1[[#This Row],[Core Consumer Price Index]]="",#N/A,((Tabela1[[#This Row],[Core Consumer Price Index]]*1)/E807)-1)</f>
        <v>1.6316255652417011E-2</v>
      </c>
      <c r="H819" s="8">
        <f t="shared" si="42"/>
        <v>1.035970667460262E-2</v>
      </c>
      <c r="I819" s="8">
        <f t="shared" si="43"/>
        <v>1.3531514889691731E-2</v>
      </c>
      <c r="J819" s="25">
        <v>288.584</v>
      </c>
      <c r="K819" s="8">
        <f>IF(Tabela1[[#This Row],[Services CPI]]="",#N/A,((Tabela1[[#This Row],[Services CPI]]*1)/J818)-1)</f>
        <v>2.1739281422985535E-3</v>
      </c>
      <c r="L819" s="8">
        <f>IF(Tabela1[[#This Row],[Services CPI]]="",#N/A,((Tabela1[[#This Row],[Services CPI]]*1)/J807)-1)</f>
        <v>2.4331893415303396E-2</v>
      </c>
      <c r="M819" s="7">
        <v>297.27</v>
      </c>
      <c r="N819" s="8">
        <f>IF(Tabela1[[#This Row],[Core-Services CPI]]="",#N/A,((Tabela1[[#This Row],[Core-Services CPI]]*1)/M818)-1)</f>
        <v>2.4110198782687497E-3</v>
      </c>
      <c r="O819" s="8">
        <f>IF(Tabela1[[#This Row],[Core-Services CPI]]="",#N/A,((Tabela1[[#This Row],[Core-Services CPI]]*1)/M807)-1)</f>
        <v>2.4846326487694137E-2</v>
      </c>
      <c r="P819" s="7">
        <v>108.977</v>
      </c>
      <c r="Q819" s="8">
        <f>IF(Tabela1[[#This Row],[Durable Goods CPI]]="",#N/A,((Tabela1[[#This Row],[Durable Goods CPI]]*1)/P818)-1)</f>
        <v>-4.2852182811614625E-3</v>
      </c>
      <c r="R819" s="8">
        <f>IF(Tabela1[[#This Row],[Durable Goods CPI]]="",#N/A,((Tabela1[[#This Row],[Durable Goods CPI]]*1)/P807)-1)</f>
        <v>-2.0880315540740879E-2</v>
      </c>
      <c r="S819" s="7">
        <v>2.0043657000000001</v>
      </c>
      <c r="T819" s="7">
        <v>96.653999999999996</v>
      </c>
      <c r="U819" s="8">
        <f>IF(Tabela1[[#This Row],[Personal Consumption Expenditures (PCE)]]="",#N/A,((Tabela1[[#This Row],[Personal Consumption Expenditures (PCE)]]*1)/T818)-1)</f>
        <v>-4.7981878088962926E-3</v>
      </c>
      <c r="V819" s="8">
        <f>IF(Tabela1[[#This Row],[Personal Consumption Expenditures (PCE)]]="",#N/A,((Tabela1[[#This Row],[Personal Consumption Expenditures (PCE)]]*1)/T807)-1)</f>
        <v>4.1401867224211131E-4</v>
      </c>
      <c r="W819" s="7">
        <v>96.213999999999999</v>
      </c>
      <c r="X819" s="8">
        <f>IF(Tabela1[[#This Row],[Core PCE]]="",#N/A,((Tabela1[[#This Row],[Core PCE]]*1)/W818)-1)</f>
        <v>-3.6364014171574865E-4</v>
      </c>
      <c r="Y819" s="8">
        <f>IF(Tabela1[[#This Row],[Core PCE]]="",#N/A,((Tabela1[[#This Row],[Core PCE]]*1)/W807)-1)</f>
        <v>1.2097113523521053E-2</v>
      </c>
      <c r="Z819" s="8">
        <f t="shared" si="45"/>
        <v>4.9115693436778685E-3</v>
      </c>
      <c r="AA819" s="8">
        <f t="shared" si="44"/>
        <v>7.6266379095488723E-3</v>
      </c>
      <c r="AB819" s="7">
        <v>1.49</v>
      </c>
      <c r="AC819" s="7">
        <v>110.1</v>
      </c>
      <c r="AD819" s="8">
        <f>IF(Tabela1[[#This Row],[Producer Price Index (PPI)]]="",#N/A,((Tabela1[[#This Row],[Producer Price Index (PPI)]]*1)/AC818)-1)</f>
        <v>-6.3176895306858993E-3</v>
      </c>
      <c r="AE819" s="8">
        <f>IF(Tabela1[[#This Row],[Producer Price Index (PPI)]]="",#N/A,((Tabela1[[#This Row],[Producer Price Index (PPI)]]*1)/AC807)-1)</f>
        <v>0</v>
      </c>
      <c r="AF819" s="7">
        <v>2.5</v>
      </c>
      <c r="AG819" s="5"/>
    </row>
    <row r="820" spans="1:33" ht="12.75">
      <c r="A820" s="6">
        <v>42036</v>
      </c>
      <c r="B820" s="7">
        <v>235.34200000000001</v>
      </c>
      <c r="C820" s="8">
        <f>IF(Tabela1[[#This Row],[Consumer Price Index (CPI)]]="",#N/A,((Tabela1[[#This Row],[Consumer Price Index (CPI)]]*1)/B819)-1)</f>
        <v>2.5346436802173855E-3</v>
      </c>
      <c r="D820" s="8">
        <f>IF(Tabela1[[#This Row],[Consumer Price Index (CPI)]]="",#N/A,((Tabela1[[#This Row],[Consumer Price Index (CPI)]]*1)/B808)-1)</f>
        <v>-8.7031462935205361E-4</v>
      </c>
      <c r="E820" s="25">
        <v>240.172</v>
      </c>
      <c r="F820" s="8">
        <f>IF(Tabela1[[#This Row],[Core Consumer Price Index]]="",#N/A,((Tabela1[[#This Row],[Core Consumer Price Index]]*1)/E819)-1)</f>
        <v>1.5053521314700724E-3</v>
      </c>
      <c r="G820" s="8">
        <f>IF(Tabela1[[#This Row],[Core Consumer Price Index]]="",#N/A,((Tabela1[[#This Row],[Core Consumer Price Index]]*1)/E808)-1)</f>
        <v>1.6880834938713285E-2</v>
      </c>
      <c r="H820" s="8">
        <f t="shared" si="42"/>
        <v>1.1916064257930792E-2</v>
      </c>
      <c r="I820" s="8">
        <f t="shared" si="43"/>
        <v>1.4778957959071803E-2</v>
      </c>
      <c r="J820" s="25">
        <v>288.94900000000001</v>
      </c>
      <c r="K820" s="8">
        <f>IF(Tabela1[[#This Row],[Services CPI]]="",#N/A,((Tabela1[[#This Row],[Services CPI]]*1)/J819)-1)</f>
        <v>1.2647963851080135E-3</v>
      </c>
      <c r="L820" s="8">
        <f>IF(Tabela1[[#This Row],[Services CPI]]="",#N/A,((Tabela1[[#This Row],[Services CPI]]*1)/J808)-1)</f>
        <v>2.3451446544444865E-2</v>
      </c>
      <c r="M820" s="7">
        <v>297.702</v>
      </c>
      <c r="N820" s="8">
        <f>IF(Tabela1[[#This Row],[Core-Services CPI]]="",#N/A,((Tabela1[[#This Row],[Core-Services CPI]]*1)/M819)-1)</f>
        <v>1.4532243415077417E-3</v>
      </c>
      <c r="O820" s="8">
        <f>IF(Tabela1[[#This Row],[Core-Services CPI]]="",#N/A,((Tabela1[[#This Row],[Core-Services CPI]]*1)/M808)-1)</f>
        <v>2.4474345297498257E-2</v>
      </c>
      <c r="P820" s="7">
        <v>109.185</v>
      </c>
      <c r="Q820" s="8">
        <f>IF(Tabela1[[#This Row],[Durable Goods CPI]]="",#N/A,((Tabela1[[#This Row],[Durable Goods CPI]]*1)/P819)-1)</f>
        <v>1.9086596254256349E-3</v>
      </c>
      <c r="R820" s="8">
        <f>IF(Tabela1[[#This Row],[Durable Goods CPI]]="",#N/A,((Tabela1[[#This Row],[Durable Goods CPI]]*1)/P808)-1)</f>
        <v>-1.682079727697583E-2</v>
      </c>
      <c r="S820" s="7">
        <v>1.9711259000000001</v>
      </c>
      <c r="T820" s="7">
        <v>96.825000000000003</v>
      </c>
      <c r="U820" s="8">
        <f>IF(Tabela1[[#This Row],[Personal Consumption Expenditures (PCE)]]="",#N/A,((Tabela1[[#This Row],[Personal Consumption Expenditures (PCE)]]*1)/T819)-1)</f>
        <v>1.769197343100215E-3</v>
      </c>
      <c r="V820" s="8">
        <f>IF(Tabela1[[#This Row],[Personal Consumption Expenditures (PCE)]]="",#N/A,((Tabela1[[#This Row],[Personal Consumption Expenditures (PCE)]]*1)/T808)-1)</f>
        <v>1.7070142768467189E-3</v>
      </c>
      <c r="W820" s="7">
        <v>96.323999999999998</v>
      </c>
      <c r="X820" s="8">
        <f>IF(Tabela1[[#This Row],[Core PCE]]="",#N/A,((Tabela1[[#This Row],[Core PCE]]*1)/W819)-1)</f>
        <v>1.1432847610535202E-3</v>
      </c>
      <c r="Y820" s="8">
        <f>IF(Tabela1[[#This Row],[Core PCE]]="",#N/A,((Tabela1[[#This Row],[Core PCE]]*1)/W808)-1)</f>
        <v>1.2774816263445121E-2</v>
      </c>
      <c r="Z820" s="8">
        <f t="shared" si="45"/>
        <v>5.9465798497635447E-3</v>
      </c>
      <c r="AA820" s="8">
        <f t="shared" si="44"/>
        <v>9.1411516767103684E-3</v>
      </c>
      <c r="AB820" s="7">
        <v>1.55</v>
      </c>
      <c r="AC820" s="7">
        <v>109.6</v>
      </c>
      <c r="AD820" s="8">
        <f>IF(Tabela1[[#This Row],[Producer Price Index (PPI)]]="",#N/A,((Tabela1[[#This Row],[Producer Price Index (PPI)]]*1)/AC819)-1)</f>
        <v>-4.5413260672115818E-3</v>
      </c>
      <c r="AE820" s="8">
        <f>IF(Tabela1[[#This Row],[Producer Price Index (PPI)]]="",#N/A,((Tabela1[[#This Row],[Producer Price Index (PPI)]]*1)/AC808)-1)</f>
        <v>-6.346328195829587E-3</v>
      </c>
      <c r="AF820" s="7">
        <v>2.8</v>
      </c>
      <c r="AG820" s="5"/>
    </row>
    <row r="821" spans="1:33" ht="12.75">
      <c r="A821" s="6">
        <v>42064</v>
      </c>
      <c r="B821" s="7">
        <v>235.976</v>
      </c>
      <c r="C821" s="8">
        <f>IF(Tabela1[[#This Row],[Consumer Price Index (CPI)]]="",#N/A,((Tabela1[[#This Row],[Consumer Price Index (CPI)]]*1)/B820)-1)</f>
        <v>2.6939517808124425E-3</v>
      </c>
      <c r="D821" s="8">
        <f>IF(Tabela1[[#This Row],[Consumer Price Index (CPI)]]="",#N/A,((Tabela1[[#This Row],[Consumer Price Index (CPI)]]*1)/B809)-1)</f>
        <v>-2.2031284423873476E-4</v>
      </c>
      <c r="E821" s="25">
        <v>240.755</v>
      </c>
      <c r="F821" s="8">
        <f>IF(Tabela1[[#This Row],[Core Consumer Price Index]]="",#N/A,((Tabela1[[#This Row],[Core Consumer Price Index]]*1)/E820)-1)</f>
        <v>2.4274270106423579E-3</v>
      </c>
      <c r="G821" s="8">
        <f>IF(Tabela1[[#This Row],[Core Consumer Price Index]]="",#N/A,((Tabela1[[#This Row],[Core Consumer Price Index]]*1)/E809)-1)</f>
        <v>1.7453777073428434E-2</v>
      </c>
      <c r="H821" s="8">
        <f t="shared" si="42"/>
        <v>1.9521019066112366E-2</v>
      </c>
      <c r="I821" s="8">
        <f t="shared" si="43"/>
        <v>1.6437570290794845E-2</v>
      </c>
      <c r="J821" s="25">
        <v>289.47000000000003</v>
      </c>
      <c r="K821" s="8">
        <f>IF(Tabela1[[#This Row],[Services CPI]]="",#N/A,((Tabela1[[#This Row],[Services CPI]]*1)/J820)-1)</f>
        <v>1.8030863578002432E-3</v>
      </c>
      <c r="L821" s="8">
        <f>IF(Tabela1[[#This Row],[Services CPI]]="",#N/A,((Tabela1[[#This Row],[Services CPI]]*1)/J809)-1)</f>
        <v>2.0903355046677286E-2</v>
      </c>
      <c r="M821" s="7">
        <v>298.46600000000001</v>
      </c>
      <c r="N821" s="8">
        <f>IF(Tabela1[[#This Row],[Core-Services CPI]]="",#N/A,((Tabela1[[#This Row],[Core-Services CPI]]*1)/M820)-1)</f>
        <v>2.5663247139757761E-3</v>
      </c>
      <c r="O821" s="8">
        <f>IF(Tabela1[[#This Row],[Core-Services CPI]]="",#N/A,((Tabela1[[#This Row],[Core-Services CPI]]*1)/M809)-1)</f>
        <v>2.4367977046052092E-2</v>
      </c>
      <c r="P821" s="7">
        <v>109.316</v>
      </c>
      <c r="Q821" s="8">
        <f>IF(Tabela1[[#This Row],[Durable Goods CPI]]="",#N/A,((Tabela1[[#This Row],[Durable Goods CPI]]*1)/P820)-1)</f>
        <v>1.1997985071210415E-3</v>
      </c>
      <c r="R821" s="8">
        <f>IF(Tabela1[[#This Row],[Durable Goods CPI]]="",#N/A,((Tabela1[[#This Row],[Durable Goods CPI]]*1)/P809)-1)</f>
        <v>-1.3170841796434241E-2</v>
      </c>
      <c r="S821" s="7">
        <v>1.9856529999999999</v>
      </c>
      <c r="T821" s="7">
        <v>97.007999999999996</v>
      </c>
      <c r="U821" s="8">
        <f>IF(Tabela1[[#This Row],[Personal Consumption Expenditures (PCE)]]="",#N/A,((Tabela1[[#This Row],[Personal Consumption Expenditures (PCE)]]*1)/T820)-1)</f>
        <v>1.8900077459333975E-3</v>
      </c>
      <c r="V821" s="8">
        <f>IF(Tabela1[[#This Row],[Personal Consumption Expenditures (PCE)]]="",#N/A,((Tabela1[[#This Row],[Personal Consumption Expenditures (PCE)]]*1)/T809)-1)</f>
        <v>1.9934927438929329E-3</v>
      </c>
      <c r="W821" s="7">
        <v>96.47</v>
      </c>
      <c r="X821" s="8">
        <f>IF(Tabela1[[#This Row],[Core PCE]]="",#N/A,((Tabela1[[#This Row],[Core PCE]]*1)/W820)-1)</f>
        <v>1.5157177858062809E-3</v>
      </c>
      <c r="Y821" s="8">
        <f>IF(Tabela1[[#This Row],[Core PCE]]="",#N/A,((Tabela1[[#This Row],[Core PCE]]*1)/W809)-1)</f>
        <v>1.2808398950131306E-2</v>
      </c>
      <c r="Z821" s="8">
        <f t="shared" si="45"/>
        <v>9.1814496205762097E-3</v>
      </c>
      <c r="AA821" s="8">
        <f t="shared" si="44"/>
        <v>9.5027223059438448E-3</v>
      </c>
      <c r="AB821" s="7">
        <v>1.55</v>
      </c>
      <c r="AC821" s="7">
        <v>109.8</v>
      </c>
      <c r="AD821" s="8">
        <f>IF(Tabela1[[#This Row],[Producer Price Index (PPI)]]="",#N/A,((Tabela1[[#This Row],[Producer Price Index (PPI)]]*1)/AC820)-1)</f>
        <v>1.8248175182482562E-3</v>
      </c>
      <c r="AE821" s="8">
        <f>IF(Tabela1[[#This Row],[Producer Price Index (PPI)]]="",#N/A,((Tabela1[[#This Row],[Producer Price Index (PPI)]]*1)/AC809)-1)</f>
        <v>-8.1300813008130524E-3</v>
      </c>
      <c r="AF821" s="7">
        <v>3</v>
      </c>
      <c r="AG821" s="5"/>
    </row>
    <row r="822" spans="1:33" ht="12.75">
      <c r="A822" s="6">
        <v>42095</v>
      </c>
      <c r="B822" s="7">
        <v>236.22200000000001</v>
      </c>
      <c r="C822" s="8">
        <f>IF(Tabela1[[#This Row],[Consumer Price Index (CPI)]]="",#N/A,((Tabela1[[#This Row],[Consumer Price Index (CPI)]]*1)/B821)-1)</f>
        <v>1.0424788961589382E-3</v>
      </c>
      <c r="D822" s="8">
        <f>IF(Tabela1[[#This Row],[Consumer Price Index (CPI)]]="",#N/A,((Tabela1[[#This Row],[Consumer Price Index (CPI)]]*1)/B810)-1)</f>
        <v>-1.0403098939391064E-3</v>
      </c>
      <c r="E822" s="25">
        <v>241.346</v>
      </c>
      <c r="F822" s="8">
        <f>IF(Tabela1[[#This Row],[Core Consumer Price Index]]="",#N/A,((Tabela1[[#This Row],[Core Consumer Price Index]]*1)/E821)-1)</f>
        <v>2.4547776785528441E-3</v>
      </c>
      <c r="G822" s="8">
        <f>IF(Tabela1[[#This Row],[Core Consumer Price Index]]="",#N/A,((Tabela1[[#This Row],[Core Consumer Price Index]]*1)/E810)-1)</f>
        <v>1.802827832894649E-2</v>
      </c>
      <c r="H822" s="8">
        <f t="shared" si="42"/>
        <v>2.5550227282661098E-2</v>
      </c>
      <c r="I822" s="8">
        <f t="shared" si="43"/>
        <v>1.7954966978631859E-2</v>
      </c>
      <c r="J822" s="25">
        <v>290.18299999999999</v>
      </c>
      <c r="K822" s="8">
        <f>IF(Tabela1[[#This Row],[Services CPI]]="",#N/A,((Tabela1[[#This Row],[Services CPI]]*1)/J821)-1)</f>
        <v>2.4631222579194478E-3</v>
      </c>
      <c r="L822" s="8">
        <f>IF(Tabela1[[#This Row],[Services CPI]]="",#N/A,((Tabela1[[#This Row],[Services CPI]]*1)/J810)-1)</f>
        <v>2.2570460007470539E-2</v>
      </c>
      <c r="M822" s="7">
        <v>299.34699999999998</v>
      </c>
      <c r="N822" s="8">
        <f>IF(Tabela1[[#This Row],[Core-Services CPI]]="",#N/A,((Tabela1[[#This Row],[Core-Services CPI]]*1)/M821)-1)</f>
        <v>2.9517599994637322E-3</v>
      </c>
      <c r="O822" s="8">
        <f>IF(Tabela1[[#This Row],[Core-Services CPI]]="",#N/A,((Tabela1[[#This Row],[Core-Services CPI]]*1)/M810)-1)</f>
        <v>2.4943333949640767E-2</v>
      </c>
      <c r="P822" s="7">
        <v>109.477</v>
      </c>
      <c r="Q822" s="8">
        <f>IF(Tabela1[[#This Row],[Durable Goods CPI]]="",#N/A,((Tabela1[[#This Row],[Durable Goods CPI]]*1)/P821)-1)</f>
        <v>1.4727944674155502E-3</v>
      </c>
      <c r="R822" s="8">
        <f>IF(Tabela1[[#This Row],[Durable Goods CPI]]="",#N/A,((Tabela1[[#This Row],[Durable Goods CPI]]*1)/P810)-1)</f>
        <v>-1.021635158715084E-2</v>
      </c>
      <c r="S822" s="7">
        <v>1.9819969</v>
      </c>
      <c r="T822" s="7">
        <v>97.093999999999994</v>
      </c>
      <c r="U822" s="8">
        <f>IF(Tabela1[[#This Row],[Personal Consumption Expenditures (PCE)]]="",#N/A,((Tabela1[[#This Row],[Personal Consumption Expenditures (PCE)]]*1)/T821)-1)</f>
        <v>8.8652482269502286E-4</v>
      </c>
      <c r="V822" s="8">
        <f>IF(Tabela1[[#This Row],[Personal Consumption Expenditures (PCE)]]="",#N/A,((Tabela1[[#This Row],[Personal Consumption Expenditures (PCE)]]*1)/T810)-1)</f>
        <v>1.1032406404982709E-3</v>
      </c>
      <c r="W822" s="7">
        <v>96.647999999999996</v>
      </c>
      <c r="X822" s="8">
        <f>IF(Tabela1[[#This Row],[Core PCE]]="",#N/A,((Tabela1[[#This Row],[Core PCE]]*1)/W821)-1)</f>
        <v>1.8451332020317235E-3</v>
      </c>
      <c r="Y822" s="8">
        <f>IF(Tabela1[[#This Row],[Core PCE]]="",#N/A,((Tabela1[[#This Row],[Core PCE]]*1)/W810)-1)</f>
        <v>1.2943728841981805E-2</v>
      </c>
      <c r="Z822" s="8">
        <f t="shared" si="45"/>
        <v>1.8016542995566098E-2</v>
      </c>
      <c r="AA822" s="8">
        <f t="shared" si="44"/>
        <v>1.1464056169621983E-2</v>
      </c>
      <c r="AB822" s="7">
        <v>1.57</v>
      </c>
      <c r="AC822" s="7">
        <v>109.6</v>
      </c>
      <c r="AD822" s="8">
        <f>IF(Tabela1[[#This Row],[Producer Price Index (PPI)]]="",#N/A,((Tabela1[[#This Row],[Producer Price Index (PPI)]]*1)/AC821)-1)</f>
        <v>-1.8214936247723523E-3</v>
      </c>
      <c r="AE822" s="8">
        <f>IF(Tabela1[[#This Row],[Producer Price Index (PPI)]]="",#N/A,((Tabela1[[#This Row],[Producer Price Index (PPI)]]*1)/AC810)-1)</f>
        <v>-1.0830324909747335E-2</v>
      </c>
      <c r="AF822" s="7">
        <v>2.6</v>
      </c>
      <c r="AG822" s="5"/>
    </row>
    <row r="823" spans="1:33" ht="12.75">
      <c r="A823" s="6">
        <v>42125</v>
      </c>
      <c r="B823" s="7">
        <v>237.001</v>
      </c>
      <c r="C823" s="8">
        <f>IF(Tabela1[[#This Row],[Consumer Price Index (CPI)]]="",#N/A,((Tabela1[[#This Row],[Consumer Price Index (CPI)]]*1)/B822)-1)</f>
        <v>3.2977453412468272E-3</v>
      </c>
      <c r="D823" s="8">
        <f>IF(Tabela1[[#This Row],[Consumer Price Index (CPI)]]="",#N/A,((Tabela1[[#This Row],[Consumer Price Index (CPI)]]*1)/B811)-1)</f>
        <v>3.5033218244295838E-4</v>
      </c>
      <c r="E823" s="25">
        <v>241.68799999999999</v>
      </c>
      <c r="F823" s="8">
        <f>IF(Tabela1[[#This Row],[Core Consumer Price Index]]="",#N/A,((Tabela1[[#This Row],[Core Consumer Price Index]]*1)/E822)-1)</f>
        <v>1.4170526961292396E-3</v>
      </c>
      <c r="G823" s="8">
        <f>IF(Tabela1[[#This Row],[Core Consumer Price Index]]="",#N/A,((Tabela1[[#This Row],[Core Consumer Price Index]]*1)/E811)-1)</f>
        <v>1.7509440952473199E-2</v>
      </c>
      <c r="H823" s="8">
        <f t="shared" si="42"/>
        <v>2.5197029541297766E-2</v>
      </c>
      <c r="I823" s="8">
        <f t="shared" si="43"/>
        <v>1.8556546899614279E-2</v>
      </c>
      <c r="J823" s="25">
        <v>290.54300000000001</v>
      </c>
      <c r="K823" s="8">
        <f>IF(Tabela1[[#This Row],[Services CPI]]="",#N/A,((Tabela1[[#This Row],[Services CPI]]*1)/J822)-1)</f>
        <v>1.2405964512050005E-3</v>
      </c>
      <c r="L823" s="8">
        <f>IF(Tabela1[[#This Row],[Services CPI]]="",#N/A,((Tabela1[[#This Row],[Services CPI]]*1)/J811)-1)</f>
        <v>2.0602224267417979E-2</v>
      </c>
      <c r="M823" s="7">
        <v>299.91000000000003</v>
      </c>
      <c r="N823" s="8">
        <f>IF(Tabela1[[#This Row],[Core-Services CPI]]="",#N/A,((Tabela1[[#This Row],[Core-Services CPI]]*1)/M822)-1)</f>
        <v>1.8807604552577573E-3</v>
      </c>
      <c r="O823" s="8">
        <f>IF(Tabela1[[#This Row],[Core-Services CPI]]="",#N/A,((Tabela1[[#This Row],[Core-Services CPI]]*1)/M811)-1)</f>
        <v>2.4261797913977423E-2</v>
      </c>
      <c r="P823" s="7">
        <v>109.465</v>
      </c>
      <c r="Q823" s="8">
        <f>IF(Tabela1[[#This Row],[Durable Goods CPI]]="",#N/A,((Tabela1[[#This Row],[Durable Goods CPI]]*1)/P822)-1)</f>
        <v>-1.0961206463455664E-4</v>
      </c>
      <c r="R823" s="8">
        <f>IF(Tabela1[[#This Row],[Durable Goods CPI]]="",#N/A,((Tabela1[[#This Row],[Durable Goods CPI]]*1)/P811)-1)</f>
        <v>-8.4512400586966852E-3</v>
      </c>
      <c r="S823" s="7">
        <v>1.9991371</v>
      </c>
      <c r="T823" s="7">
        <v>97.326999999999998</v>
      </c>
      <c r="U823" s="8">
        <f>IF(Tabela1[[#This Row],[Personal Consumption Expenditures (PCE)]]="",#N/A,((Tabela1[[#This Row],[Personal Consumption Expenditures (PCE)]]*1)/T822)-1)</f>
        <v>2.3997363379817394E-3</v>
      </c>
      <c r="V823" s="8">
        <f>IF(Tabela1[[#This Row],[Personal Consumption Expenditures (PCE)]]="",#N/A,((Tabela1[[#This Row],[Personal Consumption Expenditures (PCE)]]*1)/T811)-1)</f>
        <v>1.8528621573490334E-3</v>
      </c>
      <c r="W823" s="7">
        <v>96.766000000000005</v>
      </c>
      <c r="X823" s="8">
        <f>IF(Tabela1[[#This Row],[Core PCE]]="",#N/A,((Tabela1[[#This Row],[Core PCE]]*1)/W822)-1)</f>
        <v>1.2209254200812314E-3</v>
      </c>
      <c r="Y823" s="8">
        <f>IF(Tabela1[[#This Row],[Core PCE]]="",#N/A,((Tabela1[[#This Row],[Core PCE]]*1)/W811)-1)</f>
        <v>1.2472011216439594E-2</v>
      </c>
      <c r="Z823" s="8">
        <f t="shared" si="45"/>
        <v>1.8327105631676943E-2</v>
      </c>
      <c r="AA823" s="8">
        <f t="shared" si="44"/>
        <v>1.2136842740720244E-2</v>
      </c>
      <c r="AB823" s="7">
        <v>1.55</v>
      </c>
      <c r="AC823" s="7">
        <v>110</v>
      </c>
      <c r="AD823" s="8">
        <f>IF(Tabela1[[#This Row],[Producer Price Index (PPI)]]="",#N/A,((Tabela1[[#This Row],[Producer Price Index (PPI)]]*1)/AC822)-1)</f>
        <v>3.6496350364965124E-3</v>
      </c>
      <c r="AE823" s="8">
        <f>IF(Tabela1[[#This Row],[Producer Price Index (PPI)]]="",#N/A,((Tabela1[[#This Row],[Producer Price Index (PPI)]]*1)/AC811)-1)</f>
        <v>-9.009009009009028E-3</v>
      </c>
      <c r="AF823" s="7">
        <v>2.8</v>
      </c>
      <c r="AG823" s="5"/>
    </row>
    <row r="824" spans="1:33" ht="12.75">
      <c r="A824" s="6">
        <v>42156</v>
      </c>
      <c r="B824" s="7">
        <v>237.65700000000001</v>
      </c>
      <c r="C824" s="8">
        <f>IF(Tabela1[[#This Row],[Consumer Price Index (CPI)]]="",#N/A,((Tabela1[[#This Row],[Consumer Price Index (CPI)]]*1)/B823)-1)</f>
        <v>2.7679208104607333E-3</v>
      </c>
      <c r="D824" s="8">
        <f>IF(Tabela1[[#This Row],[Consumer Price Index (CPI)]]="",#N/A,((Tabela1[[#This Row],[Consumer Price Index (CPI)]]*1)/B812)-1)</f>
        <v>1.7957180975505249E-3</v>
      </c>
      <c r="E824" s="25">
        <v>242.06399999999999</v>
      </c>
      <c r="F824" s="8">
        <f>IF(Tabela1[[#This Row],[Core Consumer Price Index]]="",#N/A,((Tabela1[[#This Row],[Core Consumer Price Index]]*1)/E823)-1)</f>
        <v>1.5557247360233895E-3</v>
      </c>
      <c r="G824" s="8">
        <f>IF(Tabela1[[#This Row],[Core Consumer Price Index]]="",#N/A,((Tabela1[[#This Row],[Core Consumer Price Index]]*1)/E812)-1)</f>
        <v>1.7772676244655061E-2</v>
      </c>
      <c r="H824" s="8">
        <f t="shared" si="42"/>
        <v>2.1710220442821893E-2</v>
      </c>
      <c r="I824" s="8">
        <f t="shared" si="43"/>
        <v>2.0615619754467129E-2</v>
      </c>
      <c r="J824" s="25">
        <v>291.315</v>
      </c>
      <c r="K824" s="8">
        <f>IF(Tabela1[[#This Row],[Services CPI]]="",#N/A,((Tabela1[[#This Row],[Services CPI]]*1)/J823)-1)</f>
        <v>2.6570937864618394E-3</v>
      </c>
      <c r="L824" s="8">
        <f>IF(Tabela1[[#This Row],[Services CPI]]="",#N/A,((Tabela1[[#This Row],[Services CPI]]*1)/J812)-1)</f>
        <v>2.1767113630225765E-2</v>
      </c>
      <c r="M824" s="7">
        <v>300.66199999999998</v>
      </c>
      <c r="N824" s="8">
        <f>IF(Tabela1[[#This Row],[Core-Services CPI]]="",#N/A,((Tabela1[[#This Row],[Core-Services CPI]]*1)/M823)-1)</f>
        <v>2.50741889233419E-3</v>
      </c>
      <c r="O824" s="8">
        <f>IF(Tabela1[[#This Row],[Core-Services CPI]]="",#N/A,((Tabela1[[#This Row],[Core-Services CPI]]*1)/M812)-1)</f>
        <v>2.5201946322684243E-2</v>
      </c>
      <c r="P824" s="7">
        <v>109.425</v>
      </c>
      <c r="Q824" s="8">
        <f>IF(Tabela1[[#This Row],[Durable Goods CPI]]="",#N/A,((Tabela1[[#This Row],[Durable Goods CPI]]*1)/P823)-1)</f>
        <v>-3.6541360252140276E-4</v>
      </c>
      <c r="R824" s="8">
        <f>IF(Tabela1[[#This Row],[Durable Goods CPI]]="",#N/A,((Tabela1[[#This Row],[Durable Goods CPI]]*1)/P812)-1)</f>
        <v>-7.0236572019709564E-3</v>
      </c>
      <c r="S824" s="7">
        <v>2.0631235999999999</v>
      </c>
      <c r="T824" s="7">
        <v>97.516000000000005</v>
      </c>
      <c r="U824" s="8">
        <f>IF(Tabela1[[#This Row],[Personal Consumption Expenditures (PCE)]]="",#N/A,((Tabela1[[#This Row],[Personal Consumption Expenditures (PCE)]]*1)/T823)-1)</f>
        <v>1.9419071788917552E-3</v>
      </c>
      <c r="V824" s="8">
        <f>IF(Tabela1[[#This Row],[Personal Consumption Expenditures (PCE)]]="",#N/A,((Tabela1[[#This Row],[Personal Consumption Expenditures (PCE)]]*1)/T812)-1)</f>
        <v>2.7042867572208973E-3</v>
      </c>
      <c r="W824" s="7">
        <v>96.882000000000005</v>
      </c>
      <c r="X824" s="8">
        <f>IF(Tabela1[[#This Row],[Core PCE]]="",#N/A,((Tabela1[[#This Row],[Core PCE]]*1)/W823)-1)</f>
        <v>1.1987681623710778E-3</v>
      </c>
      <c r="Y824" s="8">
        <f>IF(Tabela1[[#This Row],[Core PCE]]="",#N/A,((Tabela1[[#This Row],[Core PCE]]*1)/W812)-1)</f>
        <v>1.2541543864049709E-2</v>
      </c>
      <c r="Z824" s="8">
        <f t="shared" si="45"/>
        <v>1.7059307137936131E-2</v>
      </c>
      <c r="AA824" s="8">
        <f t="shared" si="44"/>
        <v>1.312037837925617E-2</v>
      </c>
      <c r="AB824" s="7">
        <v>1.57</v>
      </c>
      <c r="AC824" s="7">
        <v>110.3</v>
      </c>
      <c r="AD824" s="8">
        <f>IF(Tabela1[[#This Row],[Producer Price Index (PPI)]]="",#N/A,((Tabela1[[#This Row],[Producer Price Index (PPI)]]*1)/AC823)-1)</f>
        <v>2.7272727272726893E-3</v>
      </c>
      <c r="AE824" s="8">
        <f>IF(Tabela1[[#This Row],[Producer Price Index (PPI)]]="",#N/A,((Tabela1[[#This Row],[Producer Price Index (PPI)]]*1)/AC812)-1)</f>
        <v>-5.4102795311091745E-3</v>
      </c>
      <c r="AF824" s="7">
        <v>2.7</v>
      </c>
      <c r="AG824" s="5"/>
    </row>
    <row r="825" spans="1:33" ht="12.75">
      <c r="A825" s="6">
        <v>42186</v>
      </c>
      <c r="B825" s="7">
        <v>238.03399999999999</v>
      </c>
      <c r="C825" s="8">
        <f>IF(Tabela1[[#This Row],[Consumer Price Index (CPI)]]="",#N/A,((Tabela1[[#This Row],[Consumer Price Index (CPI)]]*1)/B824)-1)</f>
        <v>1.5863197801873063E-3</v>
      </c>
      <c r="D825" s="8">
        <f>IF(Tabela1[[#This Row],[Consumer Price Index (CPI)]]="",#N/A,((Tabela1[[#This Row],[Consumer Price Index (CPI)]]*1)/B813)-1)</f>
        <v>2.2568611104094582E-3</v>
      </c>
      <c r="E825" s="25">
        <v>242.565</v>
      </c>
      <c r="F825" s="8">
        <f>IF(Tabela1[[#This Row],[Core Consumer Price Index]]="",#N/A,((Tabela1[[#This Row],[Core Consumer Price Index]]*1)/E824)-1)</f>
        <v>2.0697005750545117E-3</v>
      </c>
      <c r="G825" s="8">
        <f>IF(Tabela1[[#This Row],[Core Consumer Price Index]]="",#N/A,((Tabela1[[#This Row],[Core Consumer Price Index]]*1)/E813)-1)</f>
        <v>1.8346312894897077E-2</v>
      </c>
      <c r="H825" s="8">
        <f t="shared" si="42"/>
        <v>2.0169912028828563E-2</v>
      </c>
      <c r="I825" s="8">
        <f t="shared" si="43"/>
        <v>2.286006965574483E-2</v>
      </c>
      <c r="J825" s="25">
        <v>292.02199999999999</v>
      </c>
      <c r="K825" s="8">
        <f>IF(Tabela1[[#This Row],[Services CPI]]="",#N/A,((Tabela1[[#This Row],[Services CPI]]*1)/J824)-1)</f>
        <v>2.4269261795650809E-3</v>
      </c>
      <c r="L825" s="8">
        <f>IF(Tabela1[[#This Row],[Services CPI]]="",#N/A,((Tabela1[[#This Row],[Services CPI]]*1)/J813)-1)</f>
        <v>2.201005834117864E-2</v>
      </c>
      <c r="M825" s="7">
        <v>301.553</v>
      </c>
      <c r="N825" s="8">
        <f>IF(Tabela1[[#This Row],[Core-Services CPI]]="",#N/A,((Tabela1[[#This Row],[Core-Services CPI]]*1)/M824)-1)</f>
        <v>2.963460630209358E-3</v>
      </c>
      <c r="O825" s="8">
        <f>IF(Tabela1[[#This Row],[Core-Services CPI]]="",#N/A,((Tabela1[[#This Row],[Core-Services CPI]]*1)/M813)-1)</f>
        <v>2.5969651605879163E-2</v>
      </c>
      <c r="P825" s="7">
        <v>109.242</v>
      </c>
      <c r="Q825" s="8">
        <f>IF(Tabela1[[#This Row],[Durable Goods CPI]]="",#N/A,((Tabela1[[#This Row],[Durable Goods CPI]]*1)/P824)-1)</f>
        <v>-1.6723783413296056E-3</v>
      </c>
      <c r="R825" s="8">
        <f>IF(Tabela1[[#This Row],[Durable Goods CPI]]="",#N/A,((Tabela1[[#This Row],[Durable Goods CPI]]*1)/P813)-1)</f>
        <v>-8.855177920121915E-3</v>
      </c>
      <c r="S825" s="7">
        <v>2.0668869000000001</v>
      </c>
      <c r="T825" s="7">
        <v>97.605000000000004</v>
      </c>
      <c r="U825" s="8">
        <f>IF(Tabela1[[#This Row],[Personal Consumption Expenditures (PCE)]]="",#N/A,((Tabela1[[#This Row],[Personal Consumption Expenditures (PCE)]]*1)/T824)-1)</f>
        <v>9.1267074121170744E-4</v>
      </c>
      <c r="V825" s="8">
        <f>IF(Tabela1[[#This Row],[Personal Consumption Expenditures (PCE)]]="",#N/A,((Tabela1[[#This Row],[Personal Consumption Expenditures (PCE)]]*1)/T813)-1)</f>
        <v>2.197328295222345E-3</v>
      </c>
      <c r="W825" s="7">
        <v>96.977999999999994</v>
      </c>
      <c r="X825" s="8">
        <f>IF(Tabela1[[#This Row],[Core PCE]]="",#N/A,((Tabela1[[#This Row],[Core PCE]]*1)/W824)-1)</f>
        <v>9.9089614169800555E-4</v>
      </c>
      <c r="Y825" s="8">
        <f>IF(Tabela1[[#This Row],[Core PCE]]="",#N/A,((Tabela1[[#This Row],[Core PCE]]*1)/W813)-1)</f>
        <v>1.1789500041732737E-2</v>
      </c>
      <c r="Z825" s="8">
        <f t="shared" si="45"/>
        <v>1.3642358896601259E-2</v>
      </c>
      <c r="AA825" s="8">
        <f t="shared" si="44"/>
        <v>1.5829450946083679E-2</v>
      </c>
      <c r="AB825" s="7">
        <v>1.55</v>
      </c>
      <c r="AC825" s="7">
        <v>110.5</v>
      </c>
      <c r="AD825" s="8">
        <f>IF(Tabela1[[#This Row],[Producer Price Index (PPI)]]="",#N/A,((Tabela1[[#This Row],[Producer Price Index (PPI)]]*1)/AC824)-1)</f>
        <v>1.8132366273799772E-3</v>
      </c>
      <c r="AE825" s="8">
        <f>IF(Tabela1[[#This Row],[Producer Price Index (PPI)]]="",#N/A,((Tabela1[[#This Row],[Producer Price Index (PPI)]]*1)/AC813)-1)</f>
        <v>-7.1877807726864473E-3</v>
      </c>
      <c r="AF825" s="7">
        <v>2.8</v>
      </c>
      <c r="AG825" s="5"/>
    </row>
    <row r="826" spans="1:33" ht="12.75">
      <c r="A826" s="6">
        <v>42217</v>
      </c>
      <c r="B826" s="7">
        <v>238.03299999999999</v>
      </c>
      <c r="C826" s="8">
        <f>IF(Tabela1[[#This Row],[Consumer Price Index (CPI)]]="",#N/A,((Tabela1[[#This Row],[Consumer Price Index (CPI)]]*1)/B825)-1)</f>
        <v>-4.2010805179071298E-6</v>
      </c>
      <c r="D826" s="8">
        <f>IF(Tabela1[[#This Row],[Consumer Price Index (CPI)]]="",#N/A,((Tabela1[[#This Row],[Consumer Price Index (CPI)]]*1)/B814)-1)</f>
        <v>2.413037985344868E-3</v>
      </c>
      <c r="E826" s="25">
        <v>242.81700000000001</v>
      </c>
      <c r="F826" s="8">
        <f>IF(Tabela1[[#This Row],[Core Consumer Price Index]]="",#N/A,((Tabela1[[#This Row],[Core Consumer Price Index]]*1)/E825)-1)</f>
        <v>1.0388967905510249E-3</v>
      </c>
      <c r="G826" s="8">
        <f>IF(Tabela1[[#This Row],[Core Consumer Price Index]]="",#N/A,((Tabela1[[#This Row],[Core Consumer Price Index]]*1)/E814)-1)</f>
        <v>1.8506323273421277E-2</v>
      </c>
      <c r="H826" s="8">
        <f t="shared" si="42"/>
        <v>1.8657288406515704E-2</v>
      </c>
      <c r="I826" s="8">
        <f t="shared" si="43"/>
        <v>2.1927158973906735E-2</v>
      </c>
      <c r="J826" s="25">
        <v>292.47199999999998</v>
      </c>
      <c r="K826" s="8">
        <f>IF(Tabela1[[#This Row],[Services CPI]]="",#N/A,((Tabela1[[#This Row],[Services CPI]]*1)/J825)-1)</f>
        <v>1.5409797891938748E-3</v>
      </c>
      <c r="L826" s="8">
        <f>IF(Tabela1[[#This Row],[Services CPI]]="",#N/A,((Tabela1[[#This Row],[Services CPI]]*1)/J814)-1)</f>
        <v>2.2686583864831578E-2</v>
      </c>
      <c r="M826" s="7">
        <v>302.05399999999997</v>
      </c>
      <c r="N826" s="8">
        <f>IF(Tabela1[[#This Row],[Core-Services CPI]]="",#N/A,((Tabela1[[#This Row],[Core-Services CPI]]*1)/M825)-1)</f>
        <v>1.6613994886469641E-3</v>
      </c>
      <c r="O826" s="8">
        <f>IF(Tabela1[[#This Row],[Core-Services CPI]]="",#N/A,((Tabela1[[#This Row],[Core-Services CPI]]*1)/M814)-1)</f>
        <v>2.6172923390521241E-2</v>
      </c>
      <c r="P826" s="7">
        <v>109.057</v>
      </c>
      <c r="Q826" s="8">
        <f>IF(Tabela1[[#This Row],[Durable Goods CPI]]="",#N/A,((Tabela1[[#This Row],[Durable Goods CPI]]*1)/P825)-1)</f>
        <v>-1.6934878526574382E-3</v>
      </c>
      <c r="R826" s="8">
        <f>IF(Tabela1[[#This Row],[Durable Goods CPI]]="",#N/A,((Tabela1[[#This Row],[Durable Goods CPI]]*1)/P814)-1)</f>
        <v>-1.0390011070579463E-2</v>
      </c>
      <c r="S826" s="7">
        <v>2.1147326</v>
      </c>
      <c r="T826" s="7">
        <v>97.611999999999995</v>
      </c>
      <c r="U826" s="8">
        <f>IF(Tabela1[[#This Row],[Personal Consumption Expenditures (PCE)]]="",#N/A,((Tabela1[[#This Row],[Personal Consumption Expenditures (PCE)]]*1)/T825)-1)</f>
        <v>7.1717637416091051E-5</v>
      </c>
      <c r="V826" s="8">
        <f>IF(Tabela1[[#This Row],[Personal Consumption Expenditures (PCE)]]="",#N/A,((Tabela1[[#This Row],[Personal Consumption Expenditures (PCE)]]*1)/T814)-1)</f>
        <v>2.3927130079379744E-3</v>
      </c>
      <c r="W826" s="7">
        <v>97.055999999999997</v>
      </c>
      <c r="X826" s="8">
        <f>IF(Tabela1[[#This Row],[Core PCE]]="",#N/A,((Tabela1[[#This Row],[Core PCE]]*1)/W825)-1)</f>
        <v>8.0430613128745776E-4</v>
      </c>
      <c r="Y826" s="8">
        <f>IF(Tabela1[[#This Row],[Core PCE]]="",#N/A,((Tabela1[[#This Row],[Core PCE]]*1)/W814)-1)</f>
        <v>1.2212546279397163E-2</v>
      </c>
      <c r="Z826" s="8">
        <f t="shared" si="45"/>
        <v>1.1975881741426164E-2</v>
      </c>
      <c r="AA826" s="8">
        <f t="shared" si="44"/>
        <v>1.5151493686551554E-2</v>
      </c>
      <c r="AB826" s="7">
        <v>1.57</v>
      </c>
      <c r="AC826" s="7">
        <v>110.3</v>
      </c>
      <c r="AD826" s="8">
        <f>IF(Tabela1[[#This Row],[Producer Price Index (PPI)]]="",#N/A,((Tabela1[[#This Row],[Producer Price Index (PPI)]]*1)/AC825)-1)</f>
        <v>-1.8099547511312153E-3</v>
      </c>
      <c r="AE826" s="8">
        <f>IF(Tabela1[[#This Row],[Producer Price Index (PPI)]]="",#N/A,((Tabela1[[#This Row],[Producer Price Index (PPI)]]*1)/AC814)-1)</f>
        <v>-8.9847259658580869E-3</v>
      </c>
      <c r="AF826" s="7">
        <v>2.8</v>
      </c>
      <c r="AG826" s="5"/>
    </row>
    <row r="827" spans="1:33" ht="12.75">
      <c r="A827" s="6">
        <v>42248</v>
      </c>
      <c r="B827" s="7">
        <v>237.49799999999999</v>
      </c>
      <c r="C827" s="8">
        <f>IF(Tabela1[[#This Row],[Consumer Price Index (CPI)]]="",#N/A,((Tabela1[[#This Row],[Consumer Price Index (CPI)]]*1)/B826)-1)</f>
        <v>-2.2475875193775918E-3</v>
      </c>
      <c r="D827" s="8">
        <f>IF(Tabela1[[#This Row],[Consumer Price Index (CPI)]]="",#N/A,((Tabela1[[#This Row],[Consumer Price Index (CPI)]]*1)/B815)-1)</f>
        <v>8.8429616341700878E-5</v>
      </c>
      <c r="E827" s="25">
        <v>243.316</v>
      </c>
      <c r="F827" s="8">
        <f>IF(Tabela1[[#This Row],[Core Consumer Price Index]]="",#N/A,((Tabela1[[#This Row],[Core Consumer Price Index]]*1)/E826)-1)</f>
        <v>2.0550455692969205E-3</v>
      </c>
      <c r="G827" s="8">
        <f>IF(Tabela1[[#This Row],[Core Consumer Price Index]]="",#N/A,((Tabela1[[#This Row],[Core Consumer Price Index]]*1)/E815)-1)</f>
        <v>1.8970961446650891E-2</v>
      </c>
      <c r="H827" s="8">
        <f t="shared" si="42"/>
        <v>2.0654571739609828E-2</v>
      </c>
      <c r="I827" s="8">
        <f t="shared" si="43"/>
        <v>2.118239609121586E-2</v>
      </c>
      <c r="J827" s="25">
        <v>293.125</v>
      </c>
      <c r="K827" s="8">
        <f>IF(Tabela1[[#This Row],[Services CPI]]="",#N/A,((Tabela1[[#This Row],[Services CPI]]*1)/J826)-1)</f>
        <v>2.2326923602944415E-3</v>
      </c>
      <c r="L827" s="8">
        <f>IF(Tabela1[[#This Row],[Services CPI]]="",#N/A,((Tabela1[[#This Row],[Services CPI]]*1)/J815)-1)</f>
        <v>2.3524030336466772E-2</v>
      </c>
      <c r="M827" s="7">
        <v>302.81400000000002</v>
      </c>
      <c r="N827" s="8">
        <f>IF(Tabela1[[#This Row],[Core-Services CPI]]="",#N/A,((Tabela1[[#This Row],[Core-Services CPI]]*1)/M826)-1)</f>
        <v>2.5161063915726256E-3</v>
      </c>
      <c r="O827" s="8">
        <f>IF(Tabela1[[#This Row],[Core-Services CPI]]="",#N/A,((Tabela1[[#This Row],[Core-Services CPI]]*1)/M815)-1)</f>
        <v>2.6999894862863805E-2</v>
      </c>
      <c r="P827" s="7">
        <v>109.148</v>
      </c>
      <c r="Q827" s="8">
        <f>IF(Tabela1[[#This Row],[Durable Goods CPI]]="",#N/A,((Tabela1[[#This Row],[Durable Goods CPI]]*1)/P826)-1)</f>
        <v>8.3442603409222826E-4</v>
      </c>
      <c r="R827" s="8">
        <f>IF(Tabela1[[#This Row],[Durable Goods CPI]]="",#N/A,((Tabela1[[#This Row],[Durable Goods CPI]]*1)/P815)-1)</f>
        <v>-8.9617287873973162E-3</v>
      </c>
      <c r="S827" s="7">
        <v>2.1414477000000001</v>
      </c>
      <c r="T827" s="7">
        <v>97.477000000000004</v>
      </c>
      <c r="U827" s="8">
        <f>IF(Tabela1[[#This Row],[Personal Consumption Expenditures (PCE)]]="",#N/A,((Tabela1[[#This Row],[Personal Consumption Expenditures (PCE)]]*1)/T826)-1)</f>
        <v>-1.3830266770478161E-3</v>
      </c>
      <c r="V827" s="8">
        <f>IF(Tabela1[[#This Row],[Personal Consumption Expenditures (PCE)]]="",#N/A,((Tabela1[[#This Row],[Personal Consumption Expenditures (PCE)]]*1)/T815)-1)</f>
        <v>6.5699649944050975E-4</v>
      </c>
      <c r="W827" s="7">
        <v>97.195999999999998</v>
      </c>
      <c r="X827" s="8">
        <f>IF(Tabela1[[#This Row],[Core PCE]]="",#N/A,((Tabela1[[#This Row],[Core PCE]]*1)/W826)-1)</f>
        <v>1.4424662050775972E-3</v>
      </c>
      <c r="Y827" s="8">
        <f>IF(Tabela1[[#This Row],[Core PCE]]="",#N/A,((Tabela1[[#This Row],[Core PCE]]*1)/W815)-1)</f>
        <v>1.2321248164310905E-2</v>
      </c>
      <c r="Z827" s="8">
        <f t="shared" si="45"/>
        <v>1.2950673912252242E-2</v>
      </c>
      <c r="AA827" s="8">
        <f t="shared" si="44"/>
        <v>1.5004990525094186E-2</v>
      </c>
      <c r="AB827" s="7">
        <v>1.56</v>
      </c>
      <c r="AC827" s="7">
        <v>109.9</v>
      </c>
      <c r="AD827" s="8">
        <f>IF(Tabela1[[#This Row],[Producer Price Index (PPI)]]="",#N/A,((Tabela1[[#This Row],[Producer Price Index (PPI)]]*1)/AC826)-1)</f>
        <v>-3.6264732547596212E-3</v>
      </c>
      <c r="AE827" s="8">
        <f>IF(Tabela1[[#This Row],[Producer Price Index (PPI)]]="",#N/A,((Tabela1[[#This Row],[Producer Price Index (PPI)]]*1)/AC815)-1)</f>
        <v>-1.080108010801073E-2</v>
      </c>
      <c r="AF827" s="7">
        <v>2.8</v>
      </c>
      <c r="AG827" s="5"/>
    </row>
    <row r="828" spans="1:33" ht="12.75">
      <c r="A828" s="6">
        <v>42278</v>
      </c>
      <c r="B828" s="7">
        <v>237.733</v>
      </c>
      <c r="C828" s="8">
        <f>IF(Tabela1[[#This Row],[Consumer Price Index (CPI)]]="",#N/A,((Tabela1[[#This Row],[Consumer Price Index (CPI)]]*1)/B827)-1)</f>
        <v>9.8948201669069036E-4</v>
      </c>
      <c r="D828" s="8">
        <f>IF(Tabela1[[#This Row],[Consumer Price Index (CPI)]]="",#N/A,((Tabela1[[#This Row],[Consumer Price Index (CPI)]]*1)/B816)-1)</f>
        <v>1.2761656067050708E-3</v>
      </c>
      <c r="E828" s="25">
        <v>243.768</v>
      </c>
      <c r="F828" s="8">
        <f>IF(Tabela1[[#This Row],[Core Consumer Price Index]]="",#N/A,((Tabela1[[#This Row],[Core Consumer Price Index]]*1)/E827)-1)</f>
        <v>1.8576665735092757E-3</v>
      </c>
      <c r="G828" s="8">
        <f>IF(Tabela1[[#This Row],[Core Consumer Price Index]]="",#N/A,((Tabela1[[#This Row],[Core Consumer Price Index]]*1)/E816)-1)</f>
        <v>1.9135335359607986E-2</v>
      </c>
      <c r="H828" s="8">
        <f t="shared" si="42"/>
        <v>1.9806435733428884E-2</v>
      </c>
      <c r="I828" s="8">
        <f t="shared" si="43"/>
        <v>1.9988173881128724E-2</v>
      </c>
      <c r="J828" s="25">
        <v>293.89699999999999</v>
      </c>
      <c r="K828" s="8">
        <f>IF(Tabela1[[#This Row],[Services CPI]]="",#N/A,((Tabela1[[#This Row],[Services CPI]]*1)/J827)-1)</f>
        <v>2.6336886993603148E-3</v>
      </c>
      <c r="L828" s="8">
        <f>IF(Tabela1[[#This Row],[Services CPI]]="",#N/A,((Tabela1[[#This Row],[Services CPI]]*1)/J816)-1)</f>
        <v>2.4413283000979558E-2</v>
      </c>
      <c r="M828" s="7">
        <v>303.738</v>
      </c>
      <c r="N828" s="8">
        <f>IF(Tabela1[[#This Row],[Core-Services CPI]]="",#N/A,((Tabela1[[#This Row],[Core-Services CPI]]*1)/M827)-1)</f>
        <v>3.0513780736689533E-3</v>
      </c>
      <c r="O828" s="8">
        <f>IF(Tabela1[[#This Row],[Core-Services CPI]]="",#N/A,((Tabela1[[#This Row],[Core-Services CPI]]*1)/M816)-1)</f>
        <v>2.7951224960149457E-2</v>
      </c>
      <c r="P828" s="7">
        <v>108.995</v>
      </c>
      <c r="Q828" s="8">
        <f>IF(Tabela1[[#This Row],[Durable Goods CPI]]="",#N/A,((Tabela1[[#This Row],[Durable Goods CPI]]*1)/P827)-1)</f>
        <v>-1.4017664089125415E-3</v>
      </c>
      <c r="R828" s="8">
        <f>IF(Tabela1[[#This Row],[Durable Goods CPI]]="",#N/A,((Tabela1[[#This Row],[Durable Goods CPI]]*1)/P816)-1)</f>
        <v>-1.1401153720567381E-2</v>
      </c>
      <c r="S828" s="7">
        <v>2.1802397999999998</v>
      </c>
      <c r="T828" s="7">
        <v>97.477000000000004</v>
      </c>
      <c r="U828" s="8">
        <f>IF(Tabela1[[#This Row],[Personal Consumption Expenditures (PCE)]]="",#N/A,((Tabela1[[#This Row],[Personal Consumption Expenditures (PCE)]]*1)/T827)-1)</f>
        <v>0</v>
      </c>
      <c r="V828" s="8">
        <f>IF(Tabela1[[#This Row],[Personal Consumption Expenditures (PCE)]]="",#N/A,((Tabela1[[#This Row],[Personal Consumption Expenditures (PCE)]]*1)/T816)-1)</f>
        <v>9.5498233796109666E-4</v>
      </c>
      <c r="W828" s="7">
        <v>97.227999999999994</v>
      </c>
      <c r="X828" s="8">
        <f>IF(Tabela1[[#This Row],[Core PCE]]="",#N/A,((Tabela1[[#This Row],[Core PCE]]*1)/W827)-1)</f>
        <v>3.2923165562359635E-4</v>
      </c>
      <c r="Y828" s="8">
        <f>IF(Tabela1[[#This Row],[Core PCE]]="",#N/A,((Tabela1[[#This Row],[Core PCE]]*1)/W816)-1)</f>
        <v>1.1779886779886617E-2</v>
      </c>
      <c r="Z828" s="8">
        <f t="shared" si="45"/>
        <v>1.0304015967954605E-2</v>
      </c>
      <c r="AA828" s="8">
        <f t="shared" si="44"/>
        <v>1.1973187432277932E-2</v>
      </c>
      <c r="AB828" s="7">
        <v>1.52</v>
      </c>
      <c r="AC828" s="7">
        <v>109.6</v>
      </c>
      <c r="AD828" s="8">
        <f>IF(Tabela1[[#This Row],[Producer Price Index (PPI)]]="",#N/A,((Tabela1[[#This Row],[Producer Price Index (PPI)]]*1)/AC827)-1)</f>
        <v>-2.7297543221110887E-3</v>
      </c>
      <c r="AE828" s="8">
        <f>IF(Tabela1[[#This Row],[Producer Price Index (PPI)]]="",#N/A,((Tabela1[[#This Row],[Producer Price Index (PPI)]]*1)/AC816)-1)</f>
        <v>-1.5274034141958714E-2</v>
      </c>
      <c r="AF828" s="7">
        <v>2.7</v>
      </c>
      <c r="AG828" s="5"/>
    </row>
    <row r="829" spans="1:33" ht="12.75">
      <c r="A829" s="6">
        <v>42309</v>
      </c>
      <c r="B829" s="7">
        <v>238.017</v>
      </c>
      <c r="C829" s="8">
        <f>IF(Tabela1[[#This Row],[Consumer Price Index (CPI)]]="",#N/A,((Tabela1[[#This Row],[Consumer Price Index (CPI)]]*1)/B828)-1)</f>
        <v>1.1946174910508756E-3</v>
      </c>
      <c r="D829" s="8">
        <f>IF(Tabela1[[#This Row],[Consumer Price Index (CPI)]]="",#N/A,((Tabela1[[#This Row],[Consumer Price Index (CPI)]]*1)/B817)-1)</f>
        <v>4.3631821691851869E-3</v>
      </c>
      <c r="E829" s="25">
        <v>244.24100000000001</v>
      </c>
      <c r="F829" s="8">
        <f>IF(Tabela1[[#This Row],[Core Consumer Price Index]]="",#N/A,((Tabela1[[#This Row],[Core Consumer Price Index]]*1)/E828)-1)</f>
        <v>1.9403695316859704E-3</v>
      </c>
      <c r="G829" s="8">
        <f>IF(Tabela1[[#This Row],[Core Consumer Price Index]]="",#N/A,((Tabela1[[#This Row],[Core Consumer Price Index]]*1)/E817)-1)</f>
        <v>1.9974275238246353E-2</v>
      </c>
      <c r="H829" s="8">
        <f t="shared" si="42"/>
        <v>2.3412326697968666E-2</v>
      </c>
      <c r="I829" s="8">
        <f t="shared" si="43"/>
        <v>2.1034807552242185E-2</v>
      </c>
      <c r="J829" s="25">
        <v>294.62</v>
      </c>
      <c r="K829" s="8">
        <f>IF(Tabela1[[#This Row],[Services CPI]]="",#N/A,((Tabela1[[#This Row],[Services CPI]]*1)/J828)-1)</f>
        <v>2.4600455261538645E-3</v>
      </c>
      <c r="L829" s="8">
        <f>IF(Tabela1[[#This Row],[Services CPI]]="",#N/A,((Tabela1[[#This Row],[Services CPI]]*1)/J817)-1)</f>
        <v>2.5107514161250455E-2</v>
      </c>
      <c r="M829" s="7">
        <v>304.59899999999999</v>
      </c>
      <c r="N829" s="8">
        <f>IF(Tabela1[[#This Row],[Core-Services CPI]]="",#N/A,((Tabela1[[#This Row],[Core-Services CPI]]*1)/M828)-1)</f>
        <v>2.8346798885880986E-3</v>
      </c>
      <c r="O829" s="8">
        <f>IF(Tabela1[[#This Row],[Core-Services CPI]]="",#N/A,((Tabela1[[#This Row],[Core-Services CPI]]*1)/M817)-1)</f>
        <v>2.8609346665450897E-2</v>
      </c>
      <c r="P829" s="7">
        <v>108.765</v>
      </c>
      <c r="Q829" s="8">
        <f>IF(Tabela1[[#This Row],[Durable Goods CPI]]="",#N/A,((Tabela1[[#This Row],[Durable Goods CPI]]*1)/P828)-1)</f>
        <v>-2.1101885407588394E-3</v>
      </c>
      <c r="R829" s="8">
        <f>IF(Tabela1[[#This Row],[Durable Goods CPI]]="",#N/A,((Tabela1[[#This Row],[Durable Goods CPI]]*1)/P817)-1)</f>
        <v>-9.3901417173668511E-3</v>
      </c>
      <c r="S829" s="7">
        <v>2.2794310000000002</v>
      </c>
      <c r="T829" s="7">
        <v>97.537999999999997</v>
      </c>
      <c r="U829" s="8">
        <f>IF(Tabela1[[#This Row],[Personal Consumption Expenditures (PCE)]]="",#N/A,((Tabela1[[#This Row],[Personal Consumption Expenditures (PCE)]]*1)/T828)-1)</f>
        <v>6.2578864757822927E-4</v>
      </c>
      <c r="V829" s="8">
        <f>IF(Tabela1[[#This Row],[Personal Consumption Expenditures (PCE)]]="",#N/A,((Tabela1[[#This Row],[Personal Consumption Expenditures (PCE)]]*1)/T817)-1)</f>
        <v>2.5387754262984341E-3</v>
      </c>
      <c r="W829" s="7">
        <v>97.331999999999994</v>
      </c>
      <c r="X829" s="8">
        <f>IF(Tabela1[[#This Row],[Core PCE]]="",#N/A,((Tabela1[[#This Row],[Core PCE]]*1)/W828)-1)</f>
        <v>1.0696507179002168E-3</v>
      </c>
      <c r="Y829" s="8">
        <f>IF(Tabela1[[#This Row],[Core PCE]]="",#N/A,((Tabela1[[#This Row],[Core PCE]]*1)/W817)-1)</f>
        <v>1.1967020513407034E-2</v>
      </c>
      <c r="Z829" s="8">
        <f t="shared" si="45"/>
        <v>1.1365394314405641E-2</v>
      </c>
      <c r="AA829" s="8">
        <f t="shared" si="44"/>
        <v>1.1670638027915903E-2</v>
      </c>
      <c r="AB829" s="7">
        <v>1.49</v>
      </c>
      <c r="AC829" s="7">
        <v>109.7</v>
      </c>
      <c r="AD829" s="8">
        <f>IF(Tabela1[[#This Row],[Producer Price Index (PPI)]]="",#N/A,((Tabela1[[#This Row],[Producer Price Index (PPI)]]*1)/AC828)-1)</f>
        <v>9.1240875912412811E-4</v>
      </c>
      <c r="AE829" s="8">
        <f>IF(Tabela1[[#This Row],[Producer Price Index (PPI)]]="",#N/A,((Tabela1[[#This Row],[Producer Price Index (PPI)]]*1)/AC817)-1)</f>
        <v>-1.2601260126012481E-2</v>
      </c>
      <c r="AF829" s="7">
        <v>2.7</v>
      </c>
      <c r="AG829" s="5"/>
    </row>
    <row r="830" spans="1:33" ht="12.75">
      <c r="A830" s="6">
        <v>42339</v>
      </c>
      <c r="B830" s="7">
        <v>237.761</v>
      </c>
      <c r="C830" s="8">
        <f>IF(Tabela1[[#This Row],[Consumer Price Index (CPI)]]="",#N/A,((Tabela1[[#This Row],[Consumer Price Index (CPI)]]*1)/B829)-1)</f>
        <v>-1.0755534268560574E-3</v>
      </c>
      <c r="D830" s="8">
        <f>IF(Tabela1[[#This Row],[Consumer Price Index (CPI)]]="",#N/A,((Tabela1[[#This Row],[Consumer Price Index (CPI)]]*1)/B818)-1)</f>
        <v>6.3872475153647912E-3</v>
      </c>
      <c r="E830" s="25">
        <v>244.547</v>
      </c>
      <c r="F830" s="8">
        <f>IF(Tabela1[[#This Row],[Core Consumer Price Index]]="",#N/A,((Tabela1[[#This Row],[Core Consumer Price Index]]*1)/E829)-1)</f>
        <v>1.252860903779407E-3</v>
      </c>
      <c r="G830" s="8">
        <f>IF(Tabela1[[#This Row],[Core Consumer Price Index]]="",#N/A,((Tabela1[[#This Row],[Core Consumer Price Index]]*1)/E818)-1)</f>
        <v>2.0715072792840905E-2</v>
      </c>
      <c r="H830" s="8">
        <f t="shared" ref="H830:H893" si="46">SUM(F828:F830)*4</f>
        <v>2.0203588035898612E-2</v>
      </c>
      <c r="I830" s="8">
        <f t="shared" si="43"/>
        <v>2.042907988775422E-2</v>
      </c>
      <c r="J830" s="25">
        <v>295.03199999999998</v>
      </c>
      <c r="K830" s="8">
        <f>IF(Tabela1[[#This Row],[Services CPI]]="",#N/A,((Tabela1[[#This Row],[Services CPI]]*1)/J829)-1)</f>
        <v>1.3984115131355779E-3</v>
      </c>
      <c r="L830" s="8">
        <f>IF(Tabela1[[#This Row],[Services CPI]]="",#N/A,((Tabela1[[#This Row],[Services CPI]]*1)/J818)-1)</f>
        <v>2.4566082553705515E-2</v>
      </c>
      <c r="M830" s="7">
        <v>305.21899999999999</v>
      </c>
      <c r="N830" s="8">
        <f>IF(Tabela1[[#This Row],[Core-Services CPI]]="",#N/A,((Tabela1[[#This Row],[Core-Services CPI]]*1)/M829)-1)</f>
        <v>2.0354630185916989E-3</v>
      </c>
      <c r="O830" s="8">
        <f>IF(Tabela1[[#This Row],[Core-Services CPI]]="",#N/A,((Tabela1[[#This Row],[Core-Services CPI]]*1)/M818)-1)</f>
        <v>2.9215491224224843E-2</v>
      </c>
      <c r="P830" s="7">
        <v>108.539</v>
      </c>
      <c r="Q830" s="8">
        <f>IF(Tabela1[[#This Row],[Durable Goods CPI]]="",#N/A,((Tabela1[[#This Row],[Durable Goods CPI]]*1)/P829)-1)</f>
        <v>-2.0778743161862234E-3</v>
      </c>
      <c r="R830" s="8">
        <f>IF(Tabela1[[#This Row],[Durable Goods CPI]]="",#N/A,((Tabela1[[#This Row],[Durable Goods CPI]]*1)/P818)-1)</f>
        <v>-8.2871918571715275E-3</v>
      </c>
      <c r="S830" s="7">
        <v>2.3462109</v>
      </c>
      <c r="T830" s="7">
        <v>97.456000000000003</v>
      </c>
      <c r="U830" s="8">
        <f>IF(Tabela1[[#This Row],[Personal Consumption Expenditures (PCE)]]="",#N/A,((Tabela1[[#This Row],[Personal Consumption Expenditures (PCE)]]*1)/T829)-1)</f>
        <v>-8.4069798437524934E-4</v>
      </c>
      <c r="V830" s="8">
        <f>IF(Tabela1[[#This Row],[Personal Consumption Expenditures (PCE)]]="",#N/A,((Tabela1[[#This Row],[Personal Consumption Expenditures (PCE)]]*1)/T818)-1)</f>
        <v>3.4596375617792496E-3</v>
      </c>
      <c r="W830" s="7">
        <v>97.396000000000001</v>
      </c>
      <c r="X830" s="8">
        <f>IF(Tabela1[[#This Row],[Core PCE]]="",#N/A,((Tabela1[[#This Row],[Core PCE]]*1)/W829)-1)</f>
        <v>6.5754325401723435E-4</v>
      </c>
      <c r="Y830" s="8">
        <f>IF(Tabela1[[#This Row],[Core PCE]]="",#N/A,((Tabela1[[#This Row],[Core PCE]]*1)/W818)-1)</f>
        <v>1.1917006929942131E-2</v>
      </c>
      <c r="Z830" s="8">
        <f t="shared" si="45"/>
        <v>8.2257025101641901E-3</v>
      </c>
      <c r="AA830" s="8">
        <f t="shared" si="44"/>
        <v>1.0588188211208216E-2</v>
      </c>
      <c r="AB830" s="7">
        <v>1.48</v>
      </c>
      <c r="AC830" s="7">
        <v>109.6</v>
      </c>
      <c r="AD830" s="8">
        <f>IF(Tabela1[[#This Row],[Producer Price Index (PPI)]]="",#N/A,((Tabela1[[#This Row],[Producer Price Index (PPI)]]*1)/AC829)-1)</f>
        <v>-9.1157702825894749E-4</v>
      </c>
      <c r="AE830" s="8">
        <f>IF(Tabela1[[#This Row],[Producer Price Index (PPI)]]="",#N/A,((Tabela1[[#This Row],[Producer Price Index (PPI)]]*1)/AC818)-1)</f>
        <v>-1.0830324909747335E-2</v>
      </c>
      <c r="AF830" s="7">
        <v>2.6</v>
      </c>
      <c r="AG830" s="5"/>
    </row>
    <row r="831" spans="1:33" ht="12.75">
      <c r="A831" s="6">
        <v>42370</v>
      </c>
      <c r="B831" s="7">
        <v>237.65199999999999</v>
      </c>
      <c r="C831" s="8">
        <f>IF(Tabela1[[#This Row],[Consumer Price Index (CPI)]]="",#N/A,((Tabela1[[#This Row],[Consumer Price Index (CPI)]]*1)/B830)-1)</f>
        <v>-4.5844356307389589E-4</v>
      </c>
      <c r="D831" s="8">
        <f>IF(Tabela1[[#This Row],[Consumer Price Index (CPI)]]="",#N/A,((Tabela1[[#This Row],[Consumer Price Index (CPI)]]*1)/B819)-1)</f>
        <v>1.2375025026943876E-2</v>
      </c>
      <c r="E831" s="25">
        <v>244.95500000000001</v>
      </c>
      <c r="F831" s="8">
        <f>IF(Tabela1[[#This Row],[Core Consumer Price Index]]="",#N/A,((Tabela1[[#This Row],[Core Consumer Price Index]]*1)/E830)-1)</f>
        <v>1.6683909432542166E-3</v>
      </c>
      <c r="G831" s="8">
        <f>IF(Tabela1[[#This Row],[Core Consumer Price Index]]="",#N/A,((Tabela1[[#This Row],[Core Consumer Price Index]]*1)/E819)-1)</f>
        <v>2.1450225385824639E-2</v>
      </c>
      <c r="H831" s="8">
        <f t="shared" si="46"/>
        <v>1.9446485514878376E-2</v>
      </c>
      <c r="I831" s="8">
        <f t="shared" si="43"/>
        <v>1.962646062415363E-2</v>
      </c>
      <c r="J831" s="25">
        <v>295.76</v>
      </c>
      <c r="K831" s="8">
        <f>IF(Tabela1[[#This Row],[Services CPI]]="",#N/A,((Tabela1[[#This Row],[Services CPI]]*1)/J830)-1)</f>
        <v>2.4675289460127647E-3</v>
      </c>
      <c r="L831" s="8">
        <f>IF(Tabela1[[#This Row],[Services CPI]]="",#N/A,((Tabela1[[#This Row],[Services CPI]]*1)/J819)-1)</f>
        <v>2.4866243450780257E-2</v>
      </c>
      <c r="M831" s="7">
        <v>306.08199999999999</v>
      </c>
      <c r="N831" s="8">
        <f>IF(Tabela1[[#This Row],[Core-Services CPI]]="",#N/A,((Tabela1[[#This Row],[Core-Services CPI]]*1)/M830)-1)</f>
        <v>2.8274779748311829E-3</v>
      </c>
      <c r="O831" s="8">
        <f>IF(Tabela1[[#This Row],[Core-Services CPI]]="",#N/A,((Tabela1[[#This Row],[Core-Services CPI]]*1)/M819)-1)</f>
        <v>2.9643085410569592E-2</v>
      </c>
      <c r="P831" s="7">
        <v>108.232</v>
      </c>
      <c r="Q831" s="8">
        <f>IF(Tabela1[[#This Row],[Durable Goods CPI]]="",#N/A,((Tabela1[[#This Row],[Durable Goods CPI]]*1)/P830)-1)</f>
        <v>-2.828476400188018E-3</v>
      </c>
      <c r="R831" s="8">
        <f>IF(Tabela1[[#This Row],[Durable Goods CPI]]="",#N/A,((Tabela1[[#This Row],[Durable Goods CPI]]*1)/P819)-1)</f>
        <v>-6.8363049083751681E-3</v>
      </c>
      <c r="S831" s="7">
        <v>2.4052606000000001</v>
      </c>
      <c r="T831" s="7">
        <v>97.495999999999995</v>
      </c>
      <c r="U831" s="8">
        <f>IF(Tabela1[[#This Row],[Personal Consumption Expenditures (PCE)]]="",#N/A,((Tabela1[[#This Row],[Personal Consumption Expenditures (PCE)]]*1)/T830)-1)</f>
        <v>4.104416351993212E-4</v>
      </c>
      <c r="V831" s="8">
        <f>IF(Tabela1[[#This Row],[Personal Consumption Expenditures (PCE)]]="",#N/A,((Tabela1[[#This Row],[Personal Consumption Expenditures (PCE)]]*1)/T819)-1)</f>
        <v>8.7114863326918091E-3</v>
      </c>
      <c r="W831" s="7">
        <v>97.566999999999993</v>
      </c>
      <c r="X831" s="8">
        <f>IF(Tabela1[[#This Row],[Core PCE]]="",#N/A,((Tabela1[[#This Row],[Core PCE]]*1)/W830)-1)</f>
        <v>1.7557189206949264E-3</v>
      </c>
      <c r="Y831" s="8">
        <f>IF(Tabela1[[#This Row],[Core PCE]]="",#N/A,((Tabela1[[#This Row],[Core PCE]]*1)/W819)-1)</f>
        <v>1.4062402560957699E-2</v>
      </c>
      <c r="Z831" s="8">
        <f t="shared" si="45"/>
        <v>1.393165157044951E-2</v>
      </c>
      <c r="AA831" s="8">
        <f t="shared" si="44"/>
        <v>1.2117833769202058E-2</v>
      </c>
      <c r="AB831" s="7">
        <v>1.6</v>
      </c>
      <c r="AC831" s="7">
        <v>110</v>
      </c>
      <c r="AD831" s="8">
        <f>IF(Tabela1[[#This Row],[Producer Price Index (PPI)]]="",#N/A,((Tabela1[[#This Row],[Producer Price Index (PPI)]]*1)/AC830)-1)</f>
        <v>3.6496350364965124E-3</v>
      </c>
      <c r="AE831" s="8">
        <f>IF(Tabela1[[#This Row],[Producer Price Index (PPI)]]="",#N/A,((Tabela1[[#This Row],[Producer Price Index (PPI)]]*1)/AC819)-1)</f>
        <v>-9.0826521344222755E-4</v>
      </c>
      <c r="AF831" s="7">
        <v>2.5</v>
      </c>
      <c r="AG831" s="5"/>
    </row>
    <row r="832" spans="1:33" ht="12.75">
      <c r="A832" s="6">
        <v>42401</v>
      </c>
      <c r="B832" s="7">
        <v>237.33600000000001</v>
      </c>
      <c r="C832" s="8">
        <f>IF(Tabela1[[#This Row],[Consumer Price Index (CPI)]]="",#N/A,((Tabela1[[#This Row],[Consumer Price Index (CPI)]]*1)/B831)-1)</f>
        <v>-1.3296753235823022E-3</v>
      </c>
      <c r="D832" s="8">
        <f>IF(Tabela1[[#This Row],[Consumer Price Index (CPI)]]="",#N/A,((Tabela1[[#This Row],[Consumer Price Index (CPI)]]*1)/B820)-1)</f>
        <v>8.4727757901266187E-3</v>
      </c>
      <c r="E832" s="25">
        <v>245.51</v>
      </c>
      <c r="F832" s="8">
        <f>IF(Tabela1[[#This Row],[Core Consumer Price Index]]="",#N/A,((Tabela1[[#This Row],[Core Consumer Price Index]]*1)/E831)-1)</f>
        <v>2.2657222755197992E-3</v>
      </c>
      <c r="G832" s="8">
        <f>IF(Tabela1[[#This Row],[Core Consumer Price Index]]="",#N/A,((Tabela1[[#This Row],[Core Consumer Price Index]]*1)/E820)-1)</f>
        <v>2.2225738220941649E-2</v>
      </c>
      <c r="H832" s="8">
        <f t="shared" si="46"/>
        <v>2.0747896490213691E-2</v>
      </c>
      <c r="I832" s="8">
        <f t="shared" si="43"/>
        <v>2.2080111594091179E-2</v>
      </c>
      <c r="J832" s="25">
        <v>296.387</v>
      </c>
      <c r="K832" s="8">
        <f>IF(Tabela1[[#This Row],[Services CPI]]="",#N/A,((Tabela1[[#This Row],[Services CPI]]*1)/J831)-1)</f>
        <v>2.1199621314580419E-3</v>
      </c>
      <c r="L832" s="8">
        <f>IF(Tabela1[[#This Row],[Services CPI]]="",#N/A,((Tabela1[[#This Row],[Services CPI]]*1)/J820)-1)</f>
        <v>2.5741566850897568E-2</v>
      </c>
      <c r="M832" s="7">
        <v>306.81900000000002</v>
      </c>
      <c r="N832" s="8">
        <f>IF(Tabela1[[#This Row],[Core-Services CPI]]="",#N/A,((Tabela1[[#This Row],[Core-Services CPI]]*1)/M831)-1)</f>
        <v>2.4078514907770465E-3</v>
      </c>
      <c r="O832" s="8">
        <f>IF(Tabela1[[#This Row],[Core-Services CPI]]="",#N/A,((Tabela1[[#This Row],[Core-Services CPI]]*1)/M820)-1)</f>
        <v>3.062458431585946E-2</v>
      </c>
      <c r="P832" s="7">
        <v>108.26</v>
      </c>
      <c r="Q832" s="8">
        <f>IF(Tabela1[[#This Row],[Durable Goods CPI]]="",#N/A,((Tabela1[[#This Row],[Durable Goods CPI]]*1)/P831)-1)</f>
        <v>2.5870352575951827E-4</v>
      </c>
      <c r="R832" s="8">
        <f>IF(Tabela1[[#This Row],[Durable Goods CPI]]="",#N/A,((Tabela1[[#This Row],[Durable Goods CPI]]*1)/P820)-1)</f>
        <v>-8.4718596876860452E-3</v>
      </c>
      <c r="S832" s="7">
        <v>2.4436874</v>
      </c>
      <c r="T832" s="7">
        <v>97.444999999999993</v>
      </c>
      <c r="U832" s="8">
        <f>IF(Tabela1[[#This Row],[Personal Consumption Expenditures (PCE)]]="",#N/A,((Tabela1[[#This Row],[Personal Consumption Expenditures (PCE)]]*1)/T831)-1)</f>
        <v>-5.2309838352349036E-4</v>
      </c>
      <c r="V832" s="8">
        <f>IF(Tabela1[[#This Row],[Personal Consumption Expenditures (PCE)]]="",#N/A,((Tabela1[[#This Row],[Personal Consumption Expenditures (PCE)]]*1)/T820)-1)</f>
        <v>6.4033049315774804E-3</v>
      </c>
      <c r="W832" s="7">
        <v>97.736000000000004</v>
      </c>
      <c r="X832" s="8">
        <f>IF(Tabela1[[#This Row],[Core PCE]]="",#N/A,((Tabela1[[#This Row],[Core PCE]]*1)/W831)-1)</f>
        <v>1.7321430401673332E-3</v>
      </c>
      <c r="Y832" s="8">
        <f>IF(Tabela1[[#This Row],[Core PCE]]="",#N/A,((Tabela1[[#This Row],[Core PCE]]*1)/W820)-1)</f>
        <v>1.4658859681907055E-2</v>
      </c>
      <c r="Z832" s="8">
        <f t="shared" si="45"/>
        <v>1.6581620859517976E-2</v>
      </c>
      <c r="AA832" s="8">
        <f t="shared" si="44"/>
        <v>1.3973507586961809E-2</v>
      </c>
      <c r="AB832" s="7">
        <v>1.59</v>
      </c>
      <c r="AC832" s="7">
        <v>109.7</v>
      </c>
      <c r="AD832" s="8">
        <f>IF(Tabela1[[#This Row],[Producer Price Index (PPI)]]="",#N/A,((Tabela1[[#This Row],[Producer Price Index (PPI)]]*1)/AC831)-1)</f>
        <v>-2.7272727272726893E-3</v>
      </c>
      <c r="AE832" s="8">
        <f>IF(Tabela1[[#This Row],[Producer Price Index (PPI)]]="",#N/A,((Tabela1[[#This Row],[Producer Price Index (PPI)]]*1)/AC820)-1)</f>
        <v>9.1240875912412811E-4</v>
      </c>
      <c r="AF832" s="7">
        <v>2.5</v>
      </c>
      <c r="AG832" s="5"/>
    </row>
    <row r="833" spans="1:33" ht="12.75">
      <c r="A833" s="6">
        <v>42430</v>
      </c>
      <c r="B833" s="7">
        <v>238.08</v>
      </c>
      <c r="C833" s="8">
        <f>IF(Tabela1[[#This Row],[Consumer Price Index (CPI)]]="",#N/A,((Tabela1[[#This Row],[Consumer Price Index (CPI)]]*1)/B832)-1)</f>
        <v>3.1347962382444194E-3</v>
      </c>
      <c r="D833" s="8">
        <f>IF(Tabela1[[#This Row],[Consumer Price Index (CPI)]]="",#N/A,((Tabela1[[#This Row],[Consumer Price Index (CPI)]]*1)/B821)-1)</f>
        <v>8.9161609655219465E-3</v>
      </c>
      <c r="E833" s="25">
        <v>245.91300000000001</v>
      </c>
      <c r="F833" s="8">
        <f>IF(Tabela1[[#This Row],[Core Consumer Price Index]]="",#N/A,((Tabela1[[#This Row],[Core Consumer Price Index]]*1)/E832)-1)</f>
        <v>1.6414809987375101E-3</v>
      </c>
      <c r="G833" s="8">
        <f>IF(Tabela1[[#This Row],[Core Consumer Price Index]]="",#N/A,((Tabela1[[#This Row],[Core Consumer Price Index]]*1)/E821)-1)</f>
        <v>2.142426948557663E-2</v>
      </c>
      <c r="H833" s="8">
        <f t="shared" si="46"/>
        <v>2.2302376870046103E-2</v>
      </c>
      <c r="I833" s="8">
        <f t="shared" ref="I833:I896" si="47">SUM(F828:F833)*2</f>
        <v>2.1252982452972358E-2</v>
      </c>
      <c r="J833" s="25">
        <v>297.07299999999998</v>
      </c>
      <c r="K833" s="8">
        <f>IF(Tabela1[[#This Row],[Services CPI]]="",#N/A,((Tabela1[[#This Row],[Services CPI]]*1)/J832)-1)</f>
        <v>2.3145414609950787E-3</v>
      </c>
      <c r="L833" s="8">
        <f>IF(Tabela1[[#This Row],[Services CPI]]="",#N/A,((Tabela1[[#This Row],[Services CPI]]*1)/J821)-1)</f>
        <v>2.6265243375824587E-2</v>
      </c>
      <c r="M833" s="7">
        <v>307.53800000000001</v>
      </c>
      <c r="N833" s="8">
        <f>IF(Tabela1[[#This Row],[Core-Services CPI]]="",#N/A,((Tabela1[[#This Row],[Core-Services CPI]]*1)/M832)-1)</f>
        <v>2.3434011583376435E-3</v>
      </c>
      <c r="O833" s="8">
        <f>IF(Tabela1[[#This Row],[Core-Services CPI]]="",#N/A,((Tabela1[[#This Row],[Core-Services CPI]]*1)/M821)-1)</f>
        <v>3.0395421924105159E-2</v>
      </c>
      <c r="P833" s="7">
        <v>108.137</v>
      </c>
      <c r="Q833" s="8">
        <f>IF(Tabela1[[#This Row],[Durable Goods CPI]]="",#N/A,((Tabela1[[#This Row],[Durable Goods CPI]]*1)/P832)-1)</f>
        <v>-1.1361537040458503E-3</v>
      </c>
      <c r="R833" s="8">
        <f>IF(Tabela1[[#This Row],[Durable Goods CPI]]="",#N/A,((Tabela1[[#This Row],[Durable Goods CPI]]*1)/P821)-1)</f>
        <v>-1.0785246441509022E-2</v>
      </c>
      <c r="S833" s="7">
        <v>2.4667222</v>
      </c>
      <c r="T833" s="7">
        <v>97.673000000000002</v>
      </c>
      <c r="U833" s="8">
        <f>IF(Tabela1[[#This Row],[Personal Consumption Expenditures (PCE)]]="",#N/A,((Tabela1[[#This Row],[Personal Consumption Expenditures (PCE)]]*1)/T832)-1)</f>
        <v>2.3397814151573382E-3</v>
      </c>
      <c r="V833" s="8">
        <f>IF(Tabela1[[#This Row],[Personal Consumption Expenditures (PCE)]]="",#N/A,((Tabela1[[#This Row],[Personal Consumption Expenditures (PCE)]]*1)/T821)-1)</f>
        <v>6.8551047336302684E-3</v>
      </c>
      <c r="W833" s="7">
        <v>97.876000000000005</v>
      </c>
      <c r="X833" s="8">
        <f>IF(Tabela1[[#This Row],[Core PCE]]="",#N/A,((Tabela1[[#This Row],[Core PCE]]*1)/W832)-1)</f>
        <v>1.4324302201849104E-3</v>
      </c>
      <c r="Y833" s="8">
        <f>IF(Tabela1[[#This Row],[Core PCE]]="",#N/A,((Tabela1[[#This Row],[Core PCE]]*1)/W821)-1)</f>
        <v>1.4574479112677619E-2</v>
      </c>
      <c r="Z833" s="8">
        <f t="shared" si="45"/>
        <v>1.968116872418868E-2</v>
      </c>
      <c r="AA833" s="8">
        <f t="shared" si="44"/>
        <v>1.3953435617176435E-2</v>
      </c>
      <c r="AB833" s="7">
        <v>1.62</v>
      </c>
      <c r="AC833" s="7">
        <v>109.7</v>
      </c>
      <c r="AD833" s="8">
        <f>IF(Tabela1[[#This Row],[Producer Price Index (PPI)]]="",#N/A,((Tabela1[[#This Row],[Producer Price Index (PPI)]]*1)/AC832)-1)</f>
        <v>0</v>
      </c>
      <c r="AE833" s="8">
        <f>IF(Tabela1[[#This Row],[Producer Price Index (PPI)]]="",#N/A,((Tabela1[[#This Row],[Producer Price Index (PPI)]]*1)/AC821)-1)</f>
        <v>-9.1074681238612065E-4</v>
      </c>
      <c r="AF833" s="7">
        <v>2.7</v>
      </c>
      <c r="AG833" s="5"/>
    </row>
    <row r="834" spans="1:33" ht="12.75">
      <c r="A834" s="6">
        <v>42461</v>
      </c>
      <c r="B834" s="7">
        <v>238.99199999999999</v>
      </c>
      <c r="C834" s="8">
        <f>IF(Tabela1[[#This Row],[Consumer Price Index (CPI)]]="",#N/A,((Tabela1[[#This Row],[Consumer Price Index (CPI)]]*1)/B833)-1)</f>
        <v>3.8306451612901693E-3</v>
      </c>
      <c r="D834" s="8">
        <f>IF(Tabela1[[#This Row],[Consumer Price Index (CPI)]]="",#N/A,((Tabela1[[#This Row],[Consumer Price Index (CPI)]]*1)/B822)-1)</f>
        <v>1.1726257503534843E-2</v>
      </c>
      <c r="E834" s="25">
        <v>246.55099999999999</v>
      </c>
      <c r="F834" s="8">
        <f>IF(Tabela1[[#This Row],[Core Consumer Price Index]]="",#N/A,((Tabela1[[#This Row],[Core Consumer Price Index]]*1)/E833)-1)</f>
        <v>2.5944134714308564E-3</v>
      </c>
      <c r="G834" s="8">
        <f>IF(Tabela1[[#This Row],[Core Consumer Price Index]]="",#N/A,((Tabela1[[#This Row],[Core Consumer Price Index]]*1)/E822)-1)</f>
        <v>2.1566547612141829E-2</v>
      </c>
      <c r="H834" s="8">
        <f t="shared" si="46"/>
        <v>2.6006466982752663E-2</v>
      </c>
      <c r="I834" s="8">
        <f t="shared" si="47"/>
        <v>2.2726476248815519E-2</v>
      </c>
      <c r="J834" s="25">
        <v>297.91800000000001</v>
      </c>
      <c r="K834" s="8">
        <f>IF(Tabela1[[#This Row],[Services CPI]]="",#N/A,((Tabela1[[#This Row],[Services CPI]]*1)/J833)-1)</f>
        <v>2.8444187118992215E-3</v>
      </c>
      <c r="L834" s="8">
        <f>IF(Tabela1[[#This Row],[Services CPI]]="",#N/A,((Tabela1[[#This Row],[Services CPI]]*1)/J822)-1)</f>
        <v>2.6655593194639282E-2</v>
      </c>
      <c r="M834" s="7">
        <v>308.45100000000002</v>
      </c>
      <c r="N834" s="8">
        <f>IF(Tabela1[[#This Row],[Core-Services CPI]]="",#N/A,((Tabela1[[#This Row],[Core-Services CPI]]*1)/M833)-1)</f>
        <v>2.9687388225194677E-3</v>
      </c>
      <c r="O834" s="8">
        <f>IF(Tabela1[[#This Row],[Core-Services CPI]]="",#N/A,((Tabela1[[#This Row],[Core-Services CPI]]*1)/M822)-1)</f>
        <v>3.0412865336883366E-2</v>
      </c>
      <c r="P834" s="7">
        <v>107.93899999999999</v>
      </c>
      <c r="Q834" s="8">
        <f>IF(Tabela1[[#This Row],[Durable Goods CPI]]="",#N/A,((Tabela1[[#This Row],[Durable Goods CPI]]*1)/P833)-1)</f>
        <v>-1.8310106624005451E-3</v>
      </c>
      <c r="R834" s="8">
        <f>IF(Tabela1[[#This Row],[Durable Goods CPI]]="",#N/A,((Tabela1[[#This Row],[Durable Goods CPI]]*1)/P822)-1)</f>
        <v>-1.4048612950665507E-2</v>
      </c>
      <c r="S834" s="7">
        <v>2.5442092000000001</v>
      </c>
      <c r="T834" s="7">
        <v>97.992999999999995</v>
      </c>
      <c r="U834" s="8">
        <f>IF(Tabela1[[#This Row],[Personal Consumption Expenditures (PCE)]]="",#N/A,((Tabela1[[#This Row],[Personal Consumption Expenditures (PCE)]]*1)/T833)-1)</f>
        <v>3.2762380596478291E-3</v>
      </c>
      <c r="V834" s="8">
        <f>IF(Tabela1[[#This Row],[Personal Consumption Expenditures (PCE)]]="",#N/A,((Tabela1[[#This Row],[Personal Consumption Expenditures (PCE)]]*1)/T822)-1)</f>
        <v>9.2590685315261378E-3</v>
      </c>
      <c r="W834" s="7">
        <v>98.117000000000004</v>
      </c>
      <c r="X834" s="8">
        <f>IF(Tabela1[[#This Row],[Core PCE]]="",#N/A,((Tabela1[[#This Row],[Core PCE]]*1)/W833)-1)</f>
        <v>2.4622992357676843E-3</v>
      </c>
      <c r="Y834" s="8">
        <f>IF(Tabela1[[#This Row],[Core PCE]]="",#N/A,((Tabela1[[#This Row],[Core PCE]]*1)/W822)-1)</f>
        <v>1.5199486797450534E-2</v>
      </c>
      <c r="Z834" s="8">
        <f t="shared" si="45"/>
        <v>2.2507489984479712E-2</v>
      </c>
      <c r="AA834" s="8">
        <f t="shared" si="44"/>
        <v>1.8219570777464611E-2</v>
      </c>
      <c r="AB834" s="7">
        <v>1.64</v>
      </c>
      <c r="AC834" s="7">
        <v>109.9</v>
      </c>
      <c r="AD834" s="8">
        <f>IF(Tabela1[[#This Row],[Producer Price Index (PPI)]]="",#N/A,((Tabela1[[#This Row],[Producer Price Index (PPI)]]*1)/AC833)-1)</f>
        <v>1.823154056517895E-3</v>
      </c>
      <c r="AE834" s="8">
        <f>IF(Tabela1[[#This Row],[Producer Price Index (PPI)]]="",#N/A,((Tabela1[[#This Row],[Producer Price Index (PPI)]]*1)/AC822)-1)</f>
        <v>2.7372262773723843E-3</v>
      </c>
      <c r="AF834" s="7">
        <v>2.8</v>
      </c>
      <c r="AG834" s="5"/>
    </row>
    <row r="835" spans="1:33" ht="12.75">
      <c r="A835" s="6">
        <v>42491</v>
      </c>
      <c r="B835" s="7">
        <v>239.55699999999999</v>
      </c>
      <c r="C835" s="8">
        <f>IF(Tabela1[[#This Row],[Consumer Price Index (CPI)]]="",#N/A,((Tabela1[[#This Row],[Consumer Price Index (CPI)]]*1)/B834)-1)</f>
        <v>2.3640958693178504E-3</v>
      </c>
      <c r="D835" s="8">
        <f>IF(Tabela1[[#This Row],[Consumer Price Index (CPI)]]="",#N/A,((Tabela1[[#This Row],[Consumer Price Index (CPI)]]*1)/B823)-1)</f>
        <v>1.0784764621246223E-2</v>
      </c>
      <c r="E835" s="25">
        <v>247.137</v>
      </c>
      <c r="F835" s="8">
        <f>IF(Tabela1[[#This Row],[Core Consumer Price Index]]="",#N/A,((Tabela1[[#This Row],[Core Consumer Price Index]]*1)/E834)-1)</f>
        <v>2.376790197565759E-3</v>
      </c>
      <c r="G835" s="8">
        <f>IF(Tabela1[[#This Row],[Core Consumer Price Index]]="",#N/A,((Tabela1[[#This Row],[Core Consumer Price Index]]*1)/E823)-1)</f>
        <v>2.2545595974976074E-2</v>
      </c>
      <c r="H835" s="8">
        <f t="shared" si="46"/>
        <v>2.6450738670936502E-2</v>
      </c>
      <c r="I835" s="8">
        <f t="shared" si="47"/>
        <v>2.3599317580575097E-2</v>
      </c>
      <c r="J835" s="25">
        <v>298.863</v>
      </c>
      <c r="K835" s="8">
        <f>IF(Tabela1[[#This Row],[Services CPI]]="",#N/A,((Tabela1[[#This Row],[Services CPI]]*1)/J834)-1)</f>
        <v>3.1720137756026112E-3</v>
      </c>
      <c r="L835" s="8">
        <f>IF(Tabela1[[#This Row],[Services CPI]]="",#N/A,((Tabela1[[#This Row],[Services CPI]]*1)/J823)-1)</f>
        <v>2.8636036662387232E-2</v>
      </c>
      <c r="M835" s="7">
        <v>309.42099999999999</v>
      </c>
      <c r="N835" s="8">
        <f>IF(Tabela1[[#This Row],[Core-Services CPI]]="",#N/A,((Tabela1[[#This Row],[Core-Services CPI]]*1)/M834)-1)</f>
        <v>3.1447458429376685E-3</v>
      </c>
      <c r="O835" s="8">
        <f>IF(Tabela1[[#This Row],[Core-Services CPI]]="",#N/A,((Tabela1[[#This Row],[Core-Services CPI]]*1)/M823)-1)</f>
        <v>3.1712847187489457E-2</v>
      </c>
      <c r="P835" s="7">
        <v>107.693</v>
      </c>
      <c r="Q835" s="8">
        <f>IF(Tabela1[[#This Row],[Durable Goods CPI]]="",#N/A,((Tabela1[[#This Row],[Durable Goods CPI]]*1)/P834)-1)</f>
        <v>-2.2790650274692181E-3</v>
      </c>
      <c r="R835" s="8">
        <f>IF(Tabela1[[#This Row],[Durable Goods CPI]]="",#N/A,((Tabela1[[#This Row],[Durable Goods CPI]]*1)/P823)-1)</f>
        <v>-1.6187822591696044E-2</v>
      </c>
      <c r="S835" s="7">
        <v>2.5318779999999999</v>
      </c>
      <c r="T835" s="7">
        <v>98.153000000000006</v>
      </c>
      <c r="U835" s="8">
        <f>IF(Tabela1[[#This Row],[Personal Consumption Expenditures (PCE)]]="",#N/A,((Tabela1[[#This Row],[Personal Consumption Expenditures (PCE)]]*1)/T834)-1)</f>
        <v>1.6327696876308195E-3</v>
      </c>
      <c r="V835" s="8">
        <f>IF(Tabela1[[#This Row],[Personal Consumption Expenditures (PCE)]]="",#N/A,((Tabela1[[#This Row],[Personal Consumption Expenditures (PCE)]]*1)/T823)-1)</f>
        <v>8.4868535966382552E-3</v>
      </c>
      <c r="W835" s="7">
        <v>98.284000000000006</v>
      </c>
      <c r="X835" s="8">
        <f>IF(Tabela1[[#This Row],[Core PCE]]="",#N/A,((Tabela1[[#This Row],[Core PCE]]*1)/W834)-1)</f>
        <v>1.7020495938522284E-3</v>
      </c>
      <c r="Y835" s="8">
        <f>IF(Tabela1[[#This Row],[Core PCE]]="",#N/A,((Tabela1[[#This Row],[Core PCE]]*1)/W823)-1)</f>
        <v>1.5687328193787042E-2</v>
      </c>
      <c r="Z835" s="8">
        <f t="shared" si="45"/>
        <v>2.2387116199219292E-2</v>
      </c>
      <c r="AA835" s="8">
        <f t="shared" si="44"/>
        <v>1.9484368529368634E-2</v>
      </c>
      <c r="AB835" s="7">
        <v>1.68</v>
      </c>
      <c r="AC835" s="7">
        <v>110.1</v>
      </c>
      <c r="AD835" s="8">
        <f>IF(Tabela1[[#This Row],[Producer Price Index (PPI)]]="",#N/A,((Tabela1[[#This Row],[Producer Price Index (PPI)]]*1)/AC834)-1)</f>
        <v>1.8198362147405778E-3</v>
      </c>
      <c r="AE835" s="8">
        <f>IF(Tabela1[[#This Row],[Producer Price Index (PPI)]]="",#N/A,((Tabela1[[#This Row],[Producer Price Index (PPI)]]*1)/AC823)-1)</f>
        <v>9.0909090909074841E-4</v>
      </c>
      <c r="AF835" s="7">
        <v>2.4</v>
      </c>
      <c r="AG835" s="5"/>
    </row>
    <row r="836" spans="1:33" ht="12.75">
      <c r="A836" s="6">
        <v>42522</v>
      </c>
      <c r="B836" s="7">
        <v>240.22200000000001</v>
      </c>
      <c r="C836" s="8">
        <f>IF(Tabela1[[#This Row],[Consumer Price Index (CPI)]]="",#N/A,((Tabela1[[#This Row],[Consumer Price Index (CPI)]]*1)/B835)-1)</f>
        <v>2.7759572878272021E-3</v>
      </c>
      <c r="D836" s="8">
        <f>IF(Tabela1[[#This Row],[Consumer Price Index (CPI)]]="",#N/A,((Tabela1[[#This Row],[Consumer Price Index (CPI)]]*1)/B824)-1)</f>
        <v>1.0792865347959424E-2</v>
      </c>
      <c r="E836" s="25">
        <v>247.54</v>
      </c>
      <c r="F836" s="8">
        <f>IF(Tabela1[[#This Row],[Core Consumer Price Index]]="",#N/A,((Tabela1[[#This Row],[Core Consumer Price Index]]*1)/E835)-1)</f>
        <v>1.6306744841929621E-3</v>
      </c>
      <c r="G836" s="8">
        <f>IF(Tabela1[[#This Row],[Core Consumer Price Index]]="",#N/A,((Tabela1[[#This Row],[Core Consumer Price Index]]*1)/E824)-1)</f>
        <v>2.2622116465067066E-2</v>
      </c>
      <c r="H836" s="8">
        <f t="shared" si="46"/>
        <v>2.640751261275831E-2</v>
      </c>
      <c r="I836" s="8">
        <f t="shared" si="47"/>
        <v>2.4354944741402207E-2</v>
      </c>
      <c r="J836" s="25">
        <v>299.72899999999998</v>
      </c>
      <c r="K836" s="8">
        <f>IF(Tabela1[[#This Row],[Services CPI]]="",#N/A,((Tabela1[[#This Row],[Services CPI]]*1)/J835)-1)</f>
        <v>2.8976487554497332E-3</v>
      </c>
      <c r="L836" s="8">
        <f>IF(Tabela1[[#This Row],[Services CPI]]="",#N/A,((Tabela1[[#This Row],[Services CPI]]*1)/J824)-1)</f>
        <v>2.8882824434031784E-2</v>
      </c>
      <c r="M836" s="7">
        <v>310.35399999999998</v>
      </c>
      <c r="N836" s="8">
        <f>IF(Tabela1[[#This Row],[Core-Services CPI]]="",#N/A,((Tabela1[[#This Row],[Core-Services CPI]]*1)/M835)-1)</f>
        <v>3.0153092388687242E-3</v>
      </c>
      <c r="O836" s="8">
        <f>IF(Tabela1[[#This Row],[Core-Services CPI]]="",#N/A,((Tabela1[[#This Row],[Core-Services CPI]]*1)/M824)-1)</f>
        <v>3.2235533589213272E-2</v>
      </c>
      <c r="P836" s="7">
        <v>107.29</v>
      </c>
      <c r="Q836" s="8">
        <f>IF(Tabela1[[#This Row],[Durable Goods CPI]]="",#N/A,((Tabela1[[#This Row],[Durable Goods CPI]]*1)/P835)-1)</f>
        <v>-3.7421188006647732E-3</v>
      </c>
      <c r="R836" s="8">
        <f>IF(Tabela1[[#This Row],[Durable Goods CPI]]="",#N/A,((Tabela1[[#This Row],[Durable Goods CPI]]*1)/P824)-1)</f>
        <v>-1.9511080648846213E-2</v>
      </c>
      <c r="S836" s="7">
        <v>2.5379960000000001</v>
      </c>
      <c r="T836" s="7">
        <v>98.325000000000003</v>
      </c>
      <c r="U836" s="8">
        <f>IF(Tabela1[[#This Row],[Personal Consumption Expenditures (PCE)]]="",#N/A,((Tabela1[[#This Row],[Personal Consumption Expenditures (PCE)]]*1)/T835)-1)</f>
        <v>1.7523662037839394E-3</v>
      </c>
      <c r="V836" s="8">
        <f>IF(Tabela1[[#This Row],[Personal Consumption Expenditures (PCE)]]="",#N/A,((Tabela1[[#This Row],[Personal Consumption Expenditures (PCE)]]*1)/T824)-1)</f>
        <v>8.2960744903399775E-3</v>
      </c>
      <c r="W836" s="7">
        <v>98.385999999999996</v>
      </c>
      <c r="X836" s="8">
        <f>IF(Tabela1[[#This Row],[Core PCE]]="",#N/A,((Tabela1[[#This Row],[Core PCE]]*1)/W835)-1)</f>
        <v>1.0378087989906248E-3</v>
      </c>
      <c r="Y836" s="8">
        <f>IF(Tabela1[[#This Row],[Core PCE]]="",#N/A,((Tabela1[[#This Row],[Core PCE]]*1)/W824)-1)</f>
        <v>1.5524039553270974E-2</v>
      </c>
      <c r="Z836" s="8">
        <f t="shared" si="45"/>
        <v>2.080863051444215E-2</v>
      </c>
      <c r="AA836" s="8">
        <f t="shared" si="44"/>
        <v>2.0244899619315415E-2</v>
      </c>
      <c r="AB836" s="7">
        <v>1.66</v>
      </c>
      <c r="AC836" s="7">
        <v>110.6</v>
      </c>
      <c r="AD836" s="8">
        <f>IF(Tabela1[[#This Row],[Producer Price Index (PPI)]]="",#N/A,((Tabela1[[#This Row],[Producer Price Index (PPI)]]*1)/AC835)-1)</f>
        <v>4.5413260672115818E-3</v>
      </c>
      <c r="AE836" s="8">
        <f>IF(Tabela1[[#This Row],[Producer Price Index (PPI)]]="",#N/A,((Tabela1[[#This Row],[Producer Price Index (PPI)]]*1)/AC824)-1)</f>
        <v>2.7198549410698547E-3</v>
      </c>
      <c r="AF836" s="7">
        <v>2.6</v>
      </c>
      <c r="AG836" s="5"/>
    </row>
    <row r="837" spans="1:33" ht="12.75">
      <c r="A837" s="6">
        <v>42552</v>
      </c>
      <c r="B837" s="7">
        <v>240.101</v>
      </c>
      <c r="C837" s="8">
        <f>IF(Tabela1[[#This Row],[Consumer Price Index (CPI)]]="",#N/A,((Tabela1[[#This Row],[Consumer Price Index (CPI)]]*1)/B836)-1)</f>
        <v>-5.0370074347894089E-4</v>
      </c>
      <c r="D837" s="8">
        <f>IF(Tabela1[[#This Row],[Consumer Price Index (CPI)]]="",#N/A,((Tabela1[[#This Row],[Consumer Price Index (CPI)]]*1)/B825)-1)</f>
        <v>8.6836334305182561E-3</v>
      </c>
      <c r="E837" s="25">
        <v>247.82900000000001</v>
      </c>
      <c r="F837" s="8">
        <f>IF(Tabela1[[#This Row],[Core Consumer Price Index]]="",#N/A,((Tabela1[[#This Row],[Core Consumer Price Index]]*1)/E836)-1)</f>
        <v>1.1674880827341472E-3</v>
      </c>
      <c r="G837" s="8">
        <f>IF(Tabela1[[#This Row],[Core Consumer Price Index]]="",#N/A,((Tabela1[[#This Row],[Core Consumer Price Index]]*1)/E825)-1)</f>
        <v>2.1701399624842965E-2</v>
      </c>
      <c r="H837" s="8">
        <f t="shared" si="46"/>
        <v>2.0699811057971473E-2</v>
      </c>
      <c r="I837" s="8">
        <f t="shared" si="47"/>
        <v>2.3353139020362068E-2</v>
      </c>
      <c r="J837" s="25">
        <v>300.49900000000002</v>
      </c>
      <c r="K837" s="8">
        <f>IF(Tabela1[[#This Row],[Services CPI]]="",#N/A,((Tabela1[[#This Row],[Services CPI]]*1)/J836)-1)</f>
        <v>2.5689873185446022E-3</v>
      </c>
      <c r="L837" s="8">
        <f>IF(Tabela1[[#This Row],[Services CPI]]="",#N/A,((Tabela1[[#This Row],[Services CPI]]*1)/J825)-1)</f>
        <v>2.9028634828882849E-2</v>
      </c>
      <c r="M837" s="7">
        <v>310.99</v>
      </c>
      <c r="N837" s="8">
        <f>IF(Tabela1[[#This Row],[Core-Services CPI]]="",#N/A,((Tabela1[[#This Row],[Core-Services CPI]]*1)/M836)-1)</f>
        <v>2.0492727659382481E-3</v>
      </c>
      <c r="O837" s="8">
        <f>IF(Tabela1[[#This Row],[Core-Services CPI]]="",#N/A,((Tabela1[[#This Row],[Core-Services CPI]]*1)/M825)-1)</f>
        <v>3.129466461948649E-2</v>
      </c>
      <c r="P837" s="7">
        <v>107.099</v>
      </c>
      <c r="Q837" s="8">
        <f>IF(Tabela1[[#This Row],[Durable Goods CPI]]="",#N/A,((Tabela1[[#This Row],[Durable Goods CPI]]*1)/P836)-1)</f>
        <v>-1.780221828688644E-3</v>
      </c>
      <c r="R837" s="8">
        <f>IF(Tabela1[[#This Row],[Durable Goods CPI]]="",#N/A,((Tabela1[[#This Row],[Durable Goods CPI]]*1)/P825)-1)</f>
        <v>-1.9616997125647684E-2</v>
      </c>
      <c r="S837" s="7">
        <v>2.5711572</v>
      </c>
      <c r="T837" s="7">
        <v>98.341999999999999</v>
      </c>
      <c r="U837" s="8">
        <f>IF(Tabela1[[#This Row],[Personal Consumption Expenditures (PCE)]]="",#N/A,((Tabela1[[#This Row],[Personal Consumption Expenditures (PCE)]]*1)/T836)-1)</f>
        <v>1.7289600813619188E-4</v>
      </c>
      <c r="V837" s="8">
        <f>IF(Tabela1[[#This Row],[Personal Consumption Expenditures (PCE)]]="",#N/A,((Tabela1[[#This Row],[Personal Consumption Expenditures (PCE)]]*1)/T825)-1)</f>
        <v>7.5508426822394892E-3</v>
      </c>
      <c r="W837" s="7">
        <v>98.528999999999996</v>
      </c>
      <c r="X837" s="8">
        <f>IF(Tabela1[[#This Row],[Core PCE]]="",#N/A,((Tabela1[[#This Row],[Core PCE]]*1)/W836)-1)</f>
        <v>1.4534588254426772E-3</v>
      </c>
      <c r="Y837" s="8">
        <f>IF(Tabela1[[#This Row],[Core PCE]]="",#N/A,((Tabela1[[#This Row],[Core PCE]]*1)/W825)-1)</f>
        <v>1.5993318072140106E-2</v>
      </c>
      <c r="Z837" s="8">
        <f t="shared" si="45"/>
        <v>1.6773268873142122E-2</v>
      </c>
      <c r="AA837" s="8">
        <f t="shared" si="44"/>
        <v>1.9640379428810917E-2</v>
      </c>
      <c r="AB837" s="7">
        <v>1.67</v>
      </c>
      <c r="AC837" s="7">
        <v>110.5</v>
      </c>
      <c r="AD837" s="8">
        <f>IF(Tabela1[[#This Row],[Producer Price Index (PPI)]]="",#N/A,((Tabela1[[#This Row],[Producer Price Index (PPI)]]*1)/AC836)-1)</f>
        <v>-9.0415913200714293E-4</v>
      </c>
      <c r="AE837" s="8">
        <f>IF(Tabela1[[#This Row],[Producer Price Index (PPI)]]="",#N/A,((Tabela1[[#This Row],[Producer Price Index (PPI)]]*1)/AC825)-1)</f>
        <v>0</v>
      </c>
      <c r="AF837" s="7">
        <v>2.7</v>
      </c>
      <c r="AG837" s="5"/>
    </row>
    <row r="838" spans="1:33" ht="12.75">
      <c r="A838" s="6">
        <v>42583</v>
      </c>
      <c r="B838" s="7">
        <v>240.54499999999999</v>
      </c>
      <c r="C838" s="8">
        <f>IF(Tabela1[[#This Row],[Consumer Price Index (CPI)]]="",#N/A,((Tabela1[[#This Row],[Consumer Price Index (CPI)]]*1)/B837)-1)</f>
        <v>1.8492217858316895E-3</v>
      </c>
      <c r="D838" s="8">
        <f>IF(Tabela1[[#This Row],[Consumer Price Index (CPI)]]="",#N/A,((Tabela1[[#This Row],[Consumer Price Index (CPI)]]*1)/B826)-1)</f>
        <v>1.0553158595656864E-2</v>
      </c>
      <c r="E838" s="25">
        <v>248.423</v>
      </c>
      <c r="F838" s="8">
        <f>IF(Tabela1[[#This Row],[Core Consumer Price Index]]="",#N/A,((Tabela1[[#This Row],[Core Consumer Price Index]]*1)/E837)-1)</f>
        <v>2.3968139321870474E-3</v>
      </c>
      <c r="G838" s="8">
        <f>IF(Tabela1[[#This Row],[Core Consumer Price Index]]="",#N/A,((Tabela1[[#This Row],[Core Consumer Price Index]]*1)/E826)-1)</f>
        <v>2.3087345614186683E-2</v>
      </c>
      <c r="H838" s="8">
        <f t="shared" si="46"/>
        <v>2.0779905996456627E-2</v>
      </c>
      <c r="I838" s="8">
        <f t="shared" si="47"/>
        <v>2.3615322333696565E-2</v>
      </c>
      <c r="J838" s="25">
        <v>301.35399999999998</v>
      </c>
      <c r="K838" s="8">
        <f>IF(Tabela1[[#This Row],[Services CPI]]="",#N/A,((Tabela1[[#This Row],[Services CPI]]*1)/J837)-1)</f>
        <v>2.8452673719379096E-3</v>
      </c>
      <c r="L838" s="8">
        <f>IF(Tabela1[[#This Row],[Services CPI]]="",#N/A,((Tabela1[[#This Row],[Services CPI]]*1)/J826)-1)</f>
        <v>3.0368719056867111E-2</v>
      </c>
      <c r="M838" s="7">
        <v>311.82400000000001</v>
      </c>
      <c r="N838" s="8">
        <f>IF(Tabela1[[#This Row],[Core-Services CPI]]="",#N/A,((Tabela1[[#This Row],[Core-Services CPI]]*1)/M837)-1)</f>
        <v>2.6817582558924524E-3</v>
      </c>
      <c r="O838" s="8">
        <f>IF(Tabela1[[#This Row],[Core-Services CPI]]="",#N/A,((Tabela1[[#This Row],[Core-Services CPI]]*1)/M826)-1)</f>
        <v>3.2345209796923902E-2</v>
      </c>
      <c r="P838" s="7">
        <v>106.91500000000001</v>
      </c>
      <c r="Q838" s="8">
        <f>IF(Tabela1[[#This Row],[Durable Goods CPI]]="",#N/A,((Tabela1[[#This Row],[Durable Goods CPI]]*1)/P837)-1)</f>
        <v>-1.7180365829746469E-3</v>
      </c>
      <c r="R838" s="8">
        <f>IF(Tabela1[[#This Row],[Durable Goods CPI]]="",#N/A,((Tabela1[[#This Row],[Durable Goods CPI]]*1)/P826)-1)</f>
        <v>-1.9641105110171697E-2</v>
      </c>
      <c r="S838" s="7">
        <v>2.5689022000000001</v>
      </c>
      <c r="T838" s="7">
        <v>98.478999999999999</v>
      </c>
      <c r="U838" s="8">
        <f>IF(Tabela1[[#This Row],[Personal Consumption Expenditures (PCE)]]="",#N/A,((Tabela1[[#This Row],[Personal Consumption Expenditures (PCE)]]*1)/T837)-1)</f>
        <v>1.3930975575033866E-3</v>
      </c>
      <c r="V838" s="8">
        <f>IF(Tabela1[[#This Row],[Personal Consumption Expenditures (PCE)]]="",#N/A,((Tabela1[[#This Row],[Personal Consumption Expenditures (PCE)]]*1)/T826)-1)</f>
        <v>8.8821046592633124E-3</v>
      </c>
      <c r="W838" s="7">
        <v>98.703000000000003</v>
      </c>
      <c r="X838" s="8">
        <f>IF(Tabela1[[#This Row],[Core PCE]]="",#N/A,((Tabela1[[#This Row],[Core PCE]]*1)/W837)-1)</f>
        <v>1.7659775294585067E-3</v>
      </c>
      <c r="Y838" s="8">
        <f>IF(Tabela1[[#This Row],[Core PCE]]="",#N/A,((Tabela1[[#This Row],[Core PCE]]*1)/W826)-1)</f>
        <v>1.6969584569733076E-2</v>
      </c>
      <c r="Z838" s="8">
        <f t="shared" si="45"/>
        <v>1.7028980615567235E-2</v>
      </c>
      <c r="AA838" s="8">
        <f t="shared" si="44"/>
        <v>1.9708048407393264E-2</v>
      </c>
      <c r="AB838" s="7">
        <v>1.71</v>
      </c>
      <c r="AC838" s="7">
        <v>110.3</v>
      </c>
      <c r="AD838" s="8">
        <f>IF(Tabela1[[#This Row],[Producer Price Index (PPI)]]="",#N/A,((Tabela1[[#This Row],[Producer Price Index (PPI)]]*1)/AC837)-1)</f>
        <v>-1.8099547511312153E-3</v>
      </c>
      <c r="AE838" s="8">
        <f>IF(Tabela1[[#This Row],[Producer Price Index (PPI)]]="",#N/A,((Tabela1[[#This Row],[Producer Price Index (PPI)]]*1)/AC826)-1)</f>
        <v>0</v>
      </c>
      <c r="AF838" s="7">
        <v>2.5</v>
      </c>
      <c r="AG838" s="5"/>
    </row>
    <row r="839" spans="1:33" ht="12.75">
      <c r="A839" s="6">
        <v>42614</v>
      </c>
      <c r="B839" s="7">
        <v>241.17599999999999</v>
      </c>
      <c r="C839" s="8">
        <f>IF(Tabela1[[#This Row],[Consumer Price Index (CPI)]]="",#N/A,((Tabela1[[#This Row],[Consumer Price Index (CPI)]]*1)/B838)-1)</f>
        <v>2.6232097944252075E-3</v>
      </c>
      <c r="D839" s="8">
        <f>IF(Tabela1[[#This Row],[Consumer Price Index (CPI)]]="",#N/A,((Tabela1[[#This Row],[Consumer Price Index (CPI)]]*1)/B827)-1)</f>
        <v>1.5486446201652182E-2</v>
      </c>
      <c r="E839" s="25">
        <v>248.84200000000001</v>
      </c>
      <c r="F839" s="8">
        <f>IF(Tabela1[[#This Row],[Core Consumer Price Index]]="",#N/A,((Tabela1[[#This Row],[Core Consumer Price Index]]*1)/E838)-1)</f>
        <v>1.6866393208359032E-3</v>
      </c>
      <c r="G839" s="8">
        <f>IF(Tabela1[[#This Row],[Core Consumer Price Index]]="",#N/A,((Tabela1[[#This Row],[Core Consumer Price Index]]*1)/E827)-1)</f>
        <v>2.2711206825691832E-2</v>
      </c>
      <c r="H839" s="8">
        <f t="shared" si="46"/>
        <v>2.1003765343028391E-2</v>
      </c>
      <c r="I839" s="8">
        <f t="shared" si="47"/>
        <v>2.3705638977893351E-2</v>
      </c>
      <c r="J839" s="25">
        <v>301.95400000000001</v>
      </c>
      <c r="K839" s="8">
        <f>IF(Tabela1[[#This Row],[Services CPI]]="",#N/A,((Tabela1[[#This Row],[Services CPI]]*1)/J838)-1)</f>
        <v>1.9910138906402697E-3</v>
      </c>
      <c r="L839" s="8">
        <f>IF(Tabela1[[#This Row],[Services CPI]]="",#N/A,((Tabela1[[#This Row],[Services CPI]]*1)/J827)-1)</f>
        <v>3.0120255863539391E-2</v>
      </c>
      <c r="M839" s="7">
        <v>312.34800000000001</v>
      </c>
      <c r="N839" s="8">
        <f>IF(Tabela1[[#This Row],[Core-Services CPI]]="",#N/A,((Tabela1[[#This Row],[Core-Services CPI]]*1)/M838)-1)</f>
        <v>1.6804351172456933E-3</v>
      </c>
      <c r="O839" s="8">
        <f>IF(Tabela1[[#This Row],[Core-Services CPI]]="",#N/A,((Tabela1[[#This Row],[Core-Services CPI]]*1)/M827)-1)</f>
        <v>3.1484673760129978E-2</v>
      </c>
      <c r="P839" s="7">
        <v>106.752</v>
      </c>
      <c r="Q839" s="8">
        <f>IF(Tabela1[[#This Row],[Durable Goods CPI]]="",#N/A,((Tabela1[[#This Row],[Durable Goods CPI]]*1)/P838)-1)</f>
        <v>-1.5245755974373498E-3</v>
      </c>
      <c r="R839" s="8">
        <f>IF(Tabela1[[#This Row],[Durable Goods CPI]]="",#N/A,((Tabela1[[#This Row],[Durable Goods CPI]]*1)/P827)-1)</f>
        <v>-2.1951845201011455E-2</v>
      </c>
      <c r="S839" s="7">
        <v>2.5758511999999998</v>
      </c>
      <c r="T839" s="7">
        <v>98.665999999999997</v>
      </c>
      <c r="U839" s="8">
        <f>IF(Tabela1[[#This Row],[Personal Consumption Expenditures (PCE)]]="",#N/A,((Tabela1[[#This Row],[Personal Consumption Expenditures (PCE)]]*1)/T838)-1)</f>
        <v>1.8988819951462066E-3</v>
      </c>
      <c r="V839" s="8">
        <f>IF(Tabela1[[#This Row],[Personal Consumption Expenditures (PCE)]]="",#N/A,((Tabela1[[#This Row],[Personal Consumption Expenditures (PCE)]]*1)/T827)-1)</f>
        <v>1.2197749212634612E-2</v>
      </c>
      <c r="W839" s="7">
        <v>98.834000000000003</v>
      </c>
      <c r="X839" s="8">
        <f>IF(Tabela1[[#This Row],[Core PCE]]="",#N/A,((Tabela1[[#This Row],[Core PCE]]*1)/W838)-1)</f>
        <v>1.3272139651276937E-3</v>
      </c>
      <c r="Y839" s="8">
        <f>IF(Tabela1[[#This Row],[Core PCE]]="",#N/A,((Tabela1[[#This Row],[Core PCE]]*1)/W827)-1)</f>
        <v>1.6852545372237682E-2</v>
      </c>
      <c r="Z839" s="8">
        <f t="shared" si="45"/>
        <v>1.8186601280115511E-2</v>
      </c>
      <c r="AA839" s="8">
        <f t="shared" si="44"/>
        <v>1.949761589727883E-2</v>
      </c>
      <c r="AB839" s="7">
        <v>1.74</v>
      </c>
      <c r="AC839" s="7">
        <v>110.6</v>
      </c>
      <c r="AD839" s="8">
        <f>IF(Tabela1[[#This Row],[Producer Price Index (PPI)]]="",#N/A,((Tabela1[[#This Row],[Producer Price Index (PPI)]]*1)/AC838)-1)</f>
        <v>2.7198549410698547E-3</v>
      </c>
      <c r="AE839" s="8">
        <f>IF(Tabela1[[#This Row],[Producer Price Index (PPI)]]="",#N/A,((Tabela1[[#This Row],[Producer Price Index (PPI)]]*1)/AC827)-1)</f>
        <v>6.3694267515923553E-3</v>
      </c>
      <c r="AF839" s="7">
        <v>2.4</v>
      </c>
      <c r="AG839" s="5"/>
    </row>
    <row r="840" spans="1:33" ht="12.75">
      <c r="A840" s="6">
        <v>42644</v>
      </c>
      <c r="B840" s="7">
        <v>241.74100000000001</v>
      </c>
      <c r="C840" s="8">
        <f>IF(Tabela1[[#This Row],[Consumer Price Index (CPI)]]="",#N/A,((Tabela1[[#This Row],[Consumer Price Index (CPI)]]*1)/B839)-1)</f>
        <v>2.3426874979268764E-3</v>
      </c>
      <c r="D840" s="8">
        <f>IF(Tabela1[[#This Row],[Consumer Price Index (CPI)]]="",#N/A,((Tabela1[[#This Row],[Consumer Price Index (CPI)]]*1)/B828)-1)</f>
        <v>1.685924966243646E-2</v>
      </c>
      <c r="E840" s="25">
        <v>249.142</v>
      </c>
      <c r="F840" s="8">
        <f>IF(Tabela1[[#This Row],[Core Consumer Price Index]]="",#N/A,((Tabela1[[#This Row],[Core Consumer Price Index]]*1)/E839)-1)</f>
        <v>1.2055842663214467E-3</v>
      </c>
      <c r="G840" s="8">
        <f>IF(Tabela1[[#This Row],[Core Consumer Price Index]]="",#N/A,((Tabela1[[#This Row],[Core Consumer Price Index]]*1)/E828)-1)</f>
        <v>2.2045551507991146E-2</v>
      </c>
      <c r="H840" s="8">
        <f t="shared" si="46"/>
        <v>2.1156150077377589E-2</v>
      </c>
      <c r="I840" s="8">
        <f t="shared" si="47"/>
        <v>2.0927980567674531E-2</v>
      </c>
      <c r="J840" s="25">
        <v>302.52800000000002</v>
      </c>
      <c r="K840" s="8">
        <f>IF(Tabela1[[#This Row],[Services CPI]]="",#N/A,((Tabela1[[#This Row],[Services CPI]]*1)/J839)-1)</f>
        <v>1.9009518006054549E-3</v>
      </c>
      <c r="L840" s="8">
        <f>IF(Tabela1[[#This Row],[Services CPI]]="",#N/A,((Tabela1[[#This Row],[Services CPI]]*1)/J828)-1)</f>
        <v>2.9367431447071768E-2</v>
      </c>
      <c r="M840" s="7">
        <v>312.98</v>
      </c>
      <c r="N840" s="8">
        <f>IF(Tabela1[[#This Row],[Core-Services CPI]]="",#N/A,((Tabela1[[#This Row],[Core-Services CPI]]*1)/M839)-1)</f>
        <v>2.023384174062226E-3</v>
      </c>
      <c r="O840" s="8">
        <f>IF(Tabela1[[#This Row],[Core-Services CPI]]="",#N/A,((Tabela1[[#This Row],[Core-Services CPI]]*1)/M828)-1)</f>
        <v>3.0427539524195302E-2</v>
      </c>
      <c r="P840" s="7">
        <v>106.578</v>
      </c>
      <c r="Q840" s="8">
        <f>IF(Tabela1[[#This Row],[Durable Goods CPI]]="",#N/A,((Tabela1[[#This Row],[Durable Goods CPI]]*1)/P839)-1)</f>
        <v>-1.6299460431653534E-3</v>
      </c>
      <c r="R840" s="8">
        <f>IF(Tabela1[[#This Row],[Durable Goods CPI]]="",#N/A,((Tabela1[[#This Row],[Durable Goods CPI]]*1)/P828)-1)</f>
        <v>-2.2175329143538702E-2</v>
      </c>
      <c r="S840" s="7">
        <v>2.7228064000000001</v>
      </c>
      <c r="T840" s="7">
        <v>98.867999999999995</v>
      </c>
      <c r="U840" s="8">
        <f>IF(Tabela1[[#This Row],[Personal Consumption Expenditures (PCE)]]="",#N/A,((Tabela1[[#This Row],[Personal Consumption Expenditures (PCE)]]*1)/T839)-1)</f>
        <v>2.0473111304806224E-3</v>
      </c>
      <c r="V840" s="8">
        <f>IF(Tabela1[[#This Row],[Personal Consumption Expenditures (PCE)]]="",#N/A,((Tabela1[[#This Row],[Personal Consumption Expenditures (PCE)]]*1)/T828)-1)</f>
        <v>1.4270032930845167E-2</v>
      </c>
      <c r="W840" s="7">
        <v>98.960999999999999</v>
      </c>
      <c r="X840" s="8">
        <f>IF(Tabela1[[#This Row],[Core PCE]]="",#N/A,((Tabela1[[#This Row],[Core PCE]]*1)/W839)-1)</f>
        <v>1.2849829006211788E-3</v>
      </c>
      <c r="Y840" s="8">
        <f>IF(Tabela1[[#This Row],[Core PCE]]="",#N/A,((Tabela1[[#This Row],[Core PCE]]*1)/W828)-1)</f>
        <v>1.7824083597317797E-2</v>
      </c>
      <c r="Z840" s="8">
        <f t="shared" si="45"/>
        <v>1.7512697580829517E-2</v>
      </c>
      <c r="AA840" s="8">
        <f t="shared" si="44"/>
        <v>1.714298322698582E-2</v>
      </c>
      <c r="AB840" s="7">
        <v>1.82</v>
      </c>
      <c r="AC840" s="7">
        <v>110.9</v>
      </c>
      <c r="AD840" s="8">
        <f>IF(Tabela1[[#This Row],[Producer Price Index (PPI)]]="",#N/A,((Tabela1[[#This Row],[Producer Price Index (PPI)]]*1)/AC839)-1)</f>
        <v>2.7124773960218729E-3</v>
      </c>
      <c r="AE840" s="8">
        <f>IF(Tabela1[[#This Row],[Producer Price Index (PPI)]]="",#N/A,((Tabela1[[#This Row],[Producer Price Index (PPI)]]*1)/AC828)-1)</f>
        <v>1.1861313868613221E-2</v>
      </c>
      <c r="AF840" s="7">
        <v>2.4</v>
      </c>
      <c r="AG840" s="5"/>
    </row>
    <row r="841" spans="1:33" ht="12.75">
      <c r="A841" s="6">
        <v>42675</v>
      </c>
      <c r="B841" s="7">
        <v>242.02600000000001</v>
      </c>
      <c r="C841" s="8">
        <f>IF(Tabela1[[#This Row],[Consumer Price Index (CPI)]]="",#N/A,((Tabela1[[#This Row],[Consumer Price Index (CPI)]]*1)/B840)-1)</f>
        <v>1.1789477167711837E-3</v>
      </c>
      <c r="D841" s="8">
        <f>IF(Tabela1[[#This Row],[Consumer Price Index (CPI)]]="",#N/A,((Tabela1[[#This Row],[Consumer Price Index (CPI)]]*1)/B829)-1)</f>
        <v>1.6843334719788938E-2</v>
      </c>
      <c r="E841" s="25">
        <v>249.48099999999999</v>
      </c>
      <c r="F841" s="8">
        <f>IF(Tabela1[[#This Row],[Core Consumer Price Index]]="",#N/A,((Tabela1[[#This Row],[Core Consumer Price Index]]*1)/E840)-1)</f>
        <v>1.3606698188182165E-3</v>
      </c>
      <c r="G841" s="8">
        <f>IF(Tabela1[[#This Row],[Core Consumer Price Index]]="",#N/A,((Tabela1[[#This Row],[Core Consumer Price Index]]*1)/E829)-1)</f>
        <v>2.1454219398053587E-2</v>
      </c>
      <c r="H841" s="8">
        <f t="shared" si="46"/>
        <v>1.7011573623902265E-2</v>
      </c>
      <c r="I841" s="8">
        <f t="shared" si="47"/>
        <v>1.8895739810179446E-2</v>
      </c>
      <c r="J841" s="25">
        <v>303.279</v>
      </c>
      <c r="K841" s="8">
        <f>IF(Tabela1[[#This Row],[Services CPI]]="",#N/A,((Tabela1[[#This Row],[Services CPI]]*1)/J840)-1)</f>
        <v>2.4824148508566513E-3</v>
      </c>
      <c r="L841" s="8">
        <f>IF(Tabela1[[#This Row],[Services CPI]]="",#N/A,((Tabela1[[#This Row],[Services CPI]]*1)/J829)-1)</f>
        <v>2.9390401194759219E-2</v>
      </c>
      <c r="M841" s="7">
        <v>313.84800000000001</v>
      </c>
      <c r="N841" s="8">
        <f>IF(Tabela1[[#This Row],[Core-Services CPI]]="",#N/A,((Tabela1[[#This Row],[Core-Services CPI]]*1)/M840)-1)</f>
        <v>2.7733401495302346E-3</v>
      </c>
      <c r="O841" s="8">
        <f>IF(Tabela1[[#This Row],[Core-Services CPI]]="",#N/A,((Tabela1[[#This Row],[Core-Services CPI]]*1)/M829)-1)</f>
        <v>3.0364512030571333E-2</v>
      </c>
      <c r="P841" s="7">
        <v>106.337</v>
      </c>
      <c r="Q841" s="8">
        <f>IF(Tabela1[[#This Row],[Durable Goods CPI]]="",#N/A,((Tabela1[[#This Row],[Durable Goods CPI]]*1)/P840)-1)</f>
        <v>-2.2612546679426915E-3</v>
      </c>
      <c r="R841" s="8">
        <f>IF(Tabela1[[#This Row],[Durable Goods CPI]]="",#N/A,((Tabela1[[#This Row],[Durable Goods CPI]]*1)/P829)-1)</f>
        <v>-2.2323357697788815E-2</v>
      </c>
      <c r="S841" s="7">
        <v>2.6321032</v>
      </c>
      <c r="T841" s="7">
        <v>98.900999999999996</v>
      </c>
      <c r="U841" s="8">
        <f>IF(Tabela1[[#This Row],[Personal Consumption Expenditures (PCE)]]="",#N/A,((Tabela1[[#This Row],[Personal Consumption Expenditures (PCE)]]*1)/T840)-1)</f>
        <v>3.3377837116166376E-4</v>
      </c>
      <c r="V841" s="8">
        <f>IF(Tabela1[[#This Row],[Personal Consumption Expenditures (PCE)]]="",#N/A,((Tabela1[[#This Row],[Personal Consumption Expenditures (PCE)]]*1)/T829)-1)</f>
        <v>1.3974040886628902E-2</v>
      </c>
      <c r="W841" s="7">
        <v>99.004999999999995</v>
      </c>
      <c r="X841" s="8">
        <f>IF(Tabela1[[#This Row],[Core PCE]]="",#N/A,((Tabela1[[#This Row],[Core PCE]]*1)/W840)-1)</f>
        <v>4.4461959761932235E-4</v>
      </c>
      <c r="Y841" s="8">
        <f>IF(Tabela1[[#This Row],[Core PCE]]="",#N/A,((Tabela1[[#This Row],[Core PCE]]*1)/W829)-1)</f>
        <v>1.7188591624542893E-2</v>
      </c>
      <c r="Z841" s="8">
        <f t="shared" si="45"/>
        <v>1.222726585347278E-2</v>
      </c>
      <c r="AA841" s="8">
        <f t="shared" si="44"/>
        <v>1.4628123234520007E-2</v>
      </c>
      <c r="AB841" s="7">
        <v>1.85</v>
      </c>
      <c r="AC841" s="7">
        <v>111.1</v>
      </c>
      <c r="AD841" s="8">
        <f>IF(Tabela1[[#This Row],[Producer Price Index (PPI)]]="",#N/A,((Tabela1[[#This Row],[Producer Price Index (PPI)]]*1)/AC840)-1)</f>
        <v>1.8034265103696878E-3</v>
      </c>
      <c r="AE841" s="8">
        <f>IF(Tabela1[[#This Row],[Producer Price Index (PPI)]]="",#N/A,((Tabela1[[#This Row],[Producer Price Index (PPI)]]*1)/AC829)-1)</f>
        <v>1.2762078395624377E-2</v>
      </c>
      <c r="AF841" s="7">
        <v>2.4</v>
      </c>
      <c r="AG841" s="5"/>
    </row>
    <row r="842" spans="1:33" ht="12.75">
      <c r="A842" s="6">
        <v>42705</v>
      </c>
      <c r="B842" s="7">
        <v>242.637</v>
      </c>
      <c r="C842" s="8">
        <f>IF(Tabela1[[#This Row],[Consumer Price Index (CPI)]]="",#N/A,((Tabela1[[#This Row],[Consumer Price Index (CPI)]]*1)/B841)-1)</f>
        <v>2.5245221587761879E-3</v>
      </c>
      <c r="D842" s="8">
        <f>IF(Tabela1[[#This Row],[Consumer Price Index (CPI)]]="",#N/A,((Tabela1[[#This Row],[Consumer Price Index (CPI)]]*1)/B830)-1)</f>
        <v>2.0507989115119862E-2</v>
      </c>
      <c r="E842" s="25">
        <v>249.92</v>
      </c>
      <c r="F842" s="8">
        <f>IF(Tabela1[[#This Row],[Core Consumer Price Index]]="",#N/A,((Tabela1[[#This Row],[Core Consumer Price Index]]*1)/E841)-1)</f>
        <v>1.7596530397103738E-3</v>
      </c>
      <c r="G842" s="8">
        <f>IF(Tabela1[[#This Row],[Core Consumer Price Index]]="",#N/A,((Tabela1[[#This Row],[Core Consumer Price Index]]*1)/E830)-1)</f>
        <v>2.1971236613002709E-2</v>
      </c>
      <c r="H842" s="8">
        <f t="shared" si="46"/>
        <v>1.7303628499400148E-2</v>
      </c>
      <c r="I842" s="8">
        <f t="shared" si="47"/>
        <v>1.9153696921214269E-2</v>
      </c>
      <c r="J842" s="25">
        <v>304.02699999999999</v>
      </c>
      <c r="K842" s="8">
        <f>IF(Tabela1[[#This Row],[Services CPI]]="",#N/A,((Tabela1[[#This Row],[Services CPI]]*1)/J841)-1)</f>
        <v>2.4663758453435936E-3</v>
      </c>
      <c r="L842" s="8">
        <f>IF(Tabela1[[#This Row],[Services CPI]]="",#N/A,((Tabela1[[#This Row],[Services CPI]]*1)/J830)-1)</f>
        <v>3.048821822717529E-2</v>
      </c>
      <c r="M842" s="7">
        <v>314.70100000000002</v>
      </c>
      <c r="N842" s="8">
        <f>IF(Tabela1[[#This Row],[Core-Services CPI]]="",#N/A,((Tabela1[[#This Row],[Core-Services CPI]]*1)/M841)-1)</f>
        <v>2.7178761693558151E-3</v>
      </c>
      <c r="O842" s="8">
        <f>IF(Tabela1[[#This Row],[Core-Services CPI]]="",#N/A,((Tabela1[[#This Row],[Core-Services CPI]]*1)/M830)-1)</f>
        <v>3.1066218027056003E-2</v>
      </c>
      <c r="P842" s="7">
        <v>106.20699999999999</v>
      </c>
      <c r="Q842" s="8">
        <f>IF(Tabela1[[#This Row],[Durable Goods CPI]]="",#N/A,((Tabela1[[#This Row],[Durable Goods CPI]]*1)/P841)-1)</f>
        <v>-1.222528376764509E-3</v>
      </c>
      <c r="R842" s="8">
        <f>IF(Tabela1[[#This Row],[Durable Goods CPI]]="",#N/A,((Tabela1[[#This Row],[Durable Goods CPI]]*1)/P830)-1)</f>
        <v>-2.1485364707616639E-2</v>
      </c>
      <c r="S842" s="7">
        <v>2.5095184000000001</v>
      </c>
      <c r="T842" s="7">
        <v>99.070999999999998</v>
      </c>
      <c r="U842" s="8">
        <f>IF(Tabela1[[#This Row],[Personal Consumption Expenditures (PCE)]]="",#N/A,((Tabela1[[#This Row],[Personal Consumption Expenditures (PCE)]]*1)/T841)-1)</f>
        <v>1.7188906077794108E-3</v>
      </c>
      <c r="V842" s="8">
        <f>IF(Tabela1[[#This Row],[Personal Consumption Expenditures (PCE)]]="",#N/A,((Tabela1[[#This Row],[Personal Consumption Expenditures (PCE)]]*1)/T830)-1)</f>
        <v>1.6571581021178838E-2</v>
      </c>
      <c r="W842" s="7">
        <v>99.12</v>
      </c>
      <c r="X842" s="8">
        <f>IF(Tabela1[[#This Row],[Core PCE]]="",#N/A,((Tabela1[[#This Row],[Core PCE]]*1)/W841)-1)</f>
        <v>1.1615574970962328E-3</v>
      </c>
      <c r="Y842" s="8">
        <f>IF(Tabela1[[#This Row],[Core PCE]]="",#N/A,((Tabela1[[#This Row],[Core PCE]]*1)/W830)-1)</f>
        <v>1.770093227647962E-2</v>
      </c>
      <c r="Z842" s="8">
        <f t="shared" si="45"/>
        <v>1.1564639981346936E-2</v>
      </c>
      <c r="AA842" s="8">
        <f t="shared" si="44"/>
        <v>1.4875620630731223E-2</v>
      </c>
      <c r="AB842" s="7">
        <v>1.91</v>
      </c>
      <c r="AC842" s="7">
        <v>111.4</v>
      </c>
      <c r="AD842" s="8">
        <f>IF(Tabela1[[#This Row],[Producer Price Index (PPI)]]="",#N/A,((Tabela1[[#This Row],[Producer Price Index (PPI)]]*1)/AC841)-1)</f>
        <v>2.7002700270029045E-3</v>
      </c>
      <c r="AE842" s="8">
        <f>IF(Tabela1[[#This Row],[Producer Price Index (PPI)]]="",#N/A,((Tabela1[[#This Row],[Producer Price Index (PPI)]]*1)/AC830)-1)</f>
        <v>1.642335766423364E-2</v>
      </c>
      <c r="AF842" s="7">
        <v>2.2000000000000002</v>
      </c>
      <c r="AG842" s="5"/>
    </row>
    <row r="843" spans="1:33" ht="12.75">
      <c r="A843" s="6">
        <v>42736</v>
      </c>
      <c r="B843" s="7">
        <v>243.61799999999999</v>
      </c>
      <c r="C843" s="8">
        <f>IF(Tabela1[[#This Row],[Consumer Price Index (CPI)]]="",#N/A,((Tabela1[[#This Row],[Consumer Price Index (CPI)]]*1)/B842)-1)</f>
        <v>4.0430766948156283E-3</v>
      </c>
      <c r="D843" s="8">
        <f>IF(Tabela1[[#This Row],[Consumer Price Index (CPI)]]="",#N/A,((Tabela1[[#This Row],[Consumer Price Index (CPI)]]*1)/B831)-1)</f>
        <v>2.5103933482571117E-2</v>
      </c>
      <c r="E843" s="25">
        <v>250.46700000000001</v>
      </c>
      <c r="F843" s="8">
        <f>IF(Tabela1[[#This Row],[Core Consumer Price Index]]="",#N/A,((Tabela1[[#This Row],[Core Consumer Price Index]]*1)/E842)-1)</f>
        <v>2.1887003841229991E-3</v>
      </c>
      <c r="G843" s="8">
        <f>IF(Tabela1[[#This Row],[Core Consumer Price Index]]="",#N/A,((Tabela1[[#This Row],[Core Consumer Price Index]]*1)/E831)-1)</f>
        <v>2.2502092221020176E-2</v>
      </c>
      <c r="H843" s="8">
        <f t="shared" si="46"/>
        <v>2.1236092970606357E-2</v>
      </c>
      <c r="I843" s="8">
        <f t="shared" si="47"/>
        <v>2.1196121523991973E-2</v>
      </c>
      <c r="J843" s="25">
        <v>304.87099999999998</v>
      </c>
      <c r="K843" s="8">
        <f>IF(Tabela1[[#This Row],[Services CPI]]="",#N/A,((Tabela1[[#This Row],[Services CPI]]*1)/J842)-1)</f>
        <v>2.7760692306932899E-3</v>
      </c>
      <c r="L843" s="8">
        <f>IF(Tabela1[[#This Row],[Services CPI]]="",#N/A,((Tabela1[[#This Row],[Services CPI]]*1)/J831)-1)</f>
        <v>3.0805382742764342E-2</v>
      </c>
      <c r="M843" s="7">
        <v>315.55700000000002</v>
      </c>
      <c r="N843" s="8">
        <f>IF(Tabela1[[#This Row],[Core-Services CPI]]="",#N/A,((Tabela1[[#This Row],[Core-Services CPI]]*1)/M842)-1)</f>
        <v>2.7200421987854106E-3</v>
      </c>
      <c r="O843" s="8">
        <f>IF(Tabela1[[#This Row],[Core-Services CPI]]="",#N/A,((Tabela1[[#This Row],[Core-Services CPI]]*1)/M831)-1)</f>
        <v>3.0955756954018865E-2</v>
      </c>
      <c r="P843" s="7">
        <v>106.536</v>
      </c>
      <c r="Q843" s="8">
        <f>IF(Tabela1[[#This Row],[Durable Goods CPI]]="",#N/A,((Tabela1[[#This Row],[Durable Goods CPI]]*1)/P842)-1)</f>
        <v>3.0977242554635076E-3</v>
      </c>
      <c r="R843" s="8">
        <f>IF(Tabela1[[#This Row],[Durable Goods CPI]]="",#N/A,((Tabela1[[#This Row],[Durable Goods CPI]]*1)/P831)-1)</f>
        <v>-1.5670042131717077E-2</v>
      </c>
      <c r="S843" s="7">
        <v>2.5258012999999999</v>
      </c>
      <c r="T843" s="7">
        <v>99.450999999999993</v>
      </c>
      <c r="U843" s="8">
        <f>IF(Tabela1[[#This Row],[Personal Consumption Expenditures (PCE)]]="",#N/A,((Tabela1[[#This Row],[Personal Consumption Expenditures (PCE)]]*1)/T842)-1)</f>
        <v>3.8356330308566555E-3</v>
      </c>
      <c r="V843" s="8">
        <f>IF(Tabela1[[#This Row],[Personal Consumption Expenditures (PCE)]]="",#N/A,((Tabela1[[#This Row],[Personal Consumption Expenditures (PCE)]]*1)/T831)-1)</f>
        <v>2.0052104701731244E-2</v>
      </c>
      <c r="W843" s="7">
        <v>99.385000000000005</v>
      </c>
      <c r="X843" s="8">
        <f>IF(Tabela1[[#This Row],[Core PCE]]="",#N/A,((Tabela1[[#This Row],[Core PCE]]*1)/W842)-1)</f>
        <v>2.6735270379338871E-3</v>
      </c>
      <c r="Y843" s="8">
        <f>IF(Tabela1[[#This Row],[Core PCE]]="",#N/A,((Tabela1[[#This Row],[Core PCE]]*1)/W831)-1)</f>
        <v>1.863334939067518E-2</v>
      </c>
      <c r="Z843" s="8">
        <f t="shared" si="45"/>
        <v>1.7118816530597769E-2</v>
      </c>
      <c r="AA843" s="8">
        <f t="shared" si="44"/>
        <v>1.7315757055713643E-2</v>
      </c>
      <c r="AB843" s="7">
        <v>1.95</v>
      </c>
      <c r="AC843" s="7">
        <v>111.9</v>
      </c>
      <c r="AD843" s="8">
        <f>IF(Tabela1[[#This Row],[Producer Price Index (PPI)]]="",#N/A,((Tabela1[[#This Row],[Producer Price Index (PPI)]]*1)/AC842)-1)</f>
        <v>4.4883303411131781E-3</v>
      </c>
      <c r="AE843" s="8">
        <f>IF(Tabela1[[#This Row],[Producer Price Index (PPI)]]="",#N/A,((Tabela1[[#This Row],[Producer Price Index (PPI)]]*1)/AC831)-1)</f>
        <v>1.7272727272727328E-2</v>
      </c>
      <c r="AF843" s="7">
        <v>2.6</v>
      </c>
      <c r="AG843" s="5"/>
    </row>
    <row r="844" spans="1:33" ht="12.75">
      <c r="A844" s="6">
        <v>42767</v>
      </c>
      <c r="B844" s="7">
        <v>244.006</v>
      </c>
      <c r="C844" s="8">
        <f>IF(Tabela1[[#This Row],[Consumer Price Index (CPI)]]="",#N/A,((Tabela1[[#This Row],[Consumer Price Index (CPI)]]*1)/B843)-1)</f>
        <v>1.5926573570097524E-3</v>
      </c>
      <c r="D844" s="8">
        <f>IF(Tabela1[[#This Row],[Consumer Price Index (CPI)]]="",#N/A,((Tabela1[[#This Row],[Consumer Price Index (CPI)]]*1)/B832)-1)</f>
        <v>2.8103616813294208E-2</v>
      </c>
      <c r="E844" s="25">
        <v>250.99799999999999</v>
      </c>
      <c r="F844" s="8">
        <f>IF(Tabela1[[#This Row],[Core Consumer Price Index]]="",#N/A,((Tabela1[[#This Row],[Core Consumer Price Index]]*1)/E843)-1)</f>
        <v>2.1200397657175074E-3</v>
      </c>
      <c r="G844" s="8">
        <f>IF(Tabela1[[#This Row],[Core Consumer Price Index]]="",#N/A,((Tabela1[[#This Row],[Core Consumer Price Index]]*1)/E832)-1)</f>
        <v>2.2353468290497336E-2</v>
      </c>
      <c r="H844" s="8">
        <f t="shared" si="46"/>
        <v>2.4273572758203521E-2</v>
      </c>
      <c r="I844" s="8">
        <f t="shared" si="47"/>
        <v>2.0642573191052893E-2</v>
      </c>
      <c r="J844" s="25">
        <v>305.74099999999999</v>
      </c>
      <c r="K844" s="8">
        <f>IF(Tabela1[[#This Row],[Services CPI]]="",#N/A,((Tabela1[[#This Row],[Services CPI]]*1)/J843)-1)</f>
        <v>2.8536659767572914E-3</v>
      </c>
      <c r="L844" s="8">
        <f>IF(Tabela1[[#This Row],[Services CPI]]="",#N/A,((Tabela1[[#This Row],[Services CPI]]*1)/J832)-1)</f>
        <v>3.1560088667856423E-2</v>
      </c>
      <c r="M844" s="7">
        <v>316.39800000000002</v>
      </c>
      <c r="N844" s="8">
        <f>IF(Tabela1[[#This Row],[Core-Services CPI]]="",#N/A,((Tabela1[[#This Row],[Core-Services CPI]]*1)/M843)-1)</f>
        <v>2.6651286455379175E-3</v>
      </c>
      <c r="O844" s="8">
        <f>IF(Tabela1[[#This Row],[Core-Services CPI]]="",#N/A,((Tabela1[[#This Row],[Core-Services CPI]]*1)/M832)-1)</f>
        <v>3.1220361190148038E-2</v>
      </c>
      <c r="P844" s="7">
        <v>106.45</v>
      </c>
      <c r="Q844" s="8">
        <f>IF(Tabela1[[#This Row],[Durable Goods CPI]]="",#N/A,((Tabela1[[#This Row],[Durable Goods CPI]]*1)/P843)-1)</f>
        <v>-8.0723886761280284E-4</v>
      </c>
      <c r="R844" s="8">
        <f>IF(Tabela1[[#This Row],[Durable Goods CPI]]="",#N/A,((Tabela1[[#This Row],[Durable Goods CPI]]*1)/P832)-1)</f>
        <v>-1.67190097912433E-2</v>
      </c>
      <c r="S844" s="7">
        <v>2.5949439999999999</v>
      </c>
      <c r="T844" s="7">
        <v>99.585999999999999</v>
      </c>
      <c r="U844" s="8">
        <f>IF(Tabela1[[#This Row],[Personal Consumption Expenditures (PCE)]]="",#N/A,((Tabela1[[#This Row],[Personal Consumption Expenditures (PCE)]]*1)/T843)-1)</f>
        <v>1.3574524137516253E-3</v>
      </c>
      <c r="V844" s="8">
        <f>IF(Tabela1[[#This Row],[Personal Consumption Expenditures (PCE)]]="",#N/A,((Tabela1[[#This Row],[Personal Consumption Expenditures (PCE)]]*1)/T832)-1)</f>
        <v>2.1971368464261953E-2</v>
      </c>
      <c r="W844" s="7">
        <v>99.561000000000007</v>
      </c>
      <c r="X844" s="8">
        <f>IF(Tabela1[[#This Row],[Core PCE]]="",#N/A,((Tabela1[[#This Row],[Core PCE]]*1)/W843)-1)</f>
        <v>1.7708909795239869E-3</v>
      </c>
      <c r="Y844" s="8">
        <f>IF(Tabela1[[#This Row],[Core PCE]]="",#N/A,((Tabela1[[#This Row],[Core PCE]]*1)/W832)-1)</f>
        <v>1.8672751084554351E-2</v>
      </c>
      <c r="Z844" s="8">
        <f t="shared" si="45"/>
        <v>2.2423902058216427E-2</v>
      </c>
      <c r="AA844" s="8">
        <f t="shared" si="44"/>
        <v>1.7325583955844603E-2</v>
      </c>
      <c r="AB844" s="7">
        <v>1.91</v>
      </c>
      <c r="AC844" s="7">
        <v>111.9</v>
      </c>
      <c r="AD844" s="8">
        <f>IF(Tabela1[[#This Row],[Producer Price Index (PPI)]]="",#N/A,((Tabela1[[#This Row],[Producer Price Index (PPI)]]*1)/AC843)-1)</f>
        <v>0</v>
      </c>
      <c r="AE844" s="8">
        <f>IF(Tabela1[[#This Row],[Producer Price Index (PPI)]]="",#N/A,((Tabela1[[#This Row],[Producer Price Index (PPI)]]*1)/AC832)-1)</f>
        <v>2.0054694621695512E-2</v>
      </c>
      <c r="AF844" s="7">
        <v>2.7</v>
      </c>
      <c r="AG844" s="5"/>
    </row>
    <row r="845" spans="1:33" ht="12.75">
      <c r="A845" s="6">
        <v>42795</v>
      </c>
      <c r="B845" s="7">
        <v>243.892</v>
      </c>
      <c r="C845" s="8">
        <f>IF(Tabela1[[#This Row],[Consumer Price Index (CPI)]]="",#N/A,((Tabela1[[#This Row],[Consumer Price Index (CPI)]]*1)/B844)-1)</f>
        <v>-4.6720162618951733E-4</v>
      </c>
      <c r="D845" s="8">
        <f>IF(Tabela1[[#This Row],[Consumer Price Index (CPI)]]="",#N/A,((Tabela1[[#This Row],[Consumer Price Index (CPI)]]*1)/B833)-1)</f>
        <v>2.44119623655914E-2</v>
      </c>
      <c r="E845" s="25">
        <v>250.94399999999999</v>
      </c>
      <c r="F845" s="8">
        <f>IF(Tabela1[[#This Row],[Core Consumer Price Index]]="",#N/A,((Tabela1[[#This Row],[Core Consumer Price Index]]*1)/E844)-1)</f>
        <v>-2.1514115650322907E-4</v>
      </c>
      <c r="G845" s="8">
        <f>IF(Tabela1[[#This Row],[Core Consumer Price Index]]="",#N/A,((Tabela1[[#This Row],[Core Consumer Price Index]]*1)/E833)-1)</f>
        <v>2.0458454819387351E-2</v>
      </c>
      <c r="H845" s="8">
        <f t="shared" si="46"/>
        <v>1.637439597334911E-2</v>
      </c>
      <c r="I845" s="8">
        <f t="shared" si="47"/>
        <v>1.6839012236374629E-2</v>
      </c>
      <c r="J845" s="25">
        <v>305.61900000000003</v>
      </c>
      <c r="K845" s="8">
        <f>IF(Tabela1[[#This Row],[Services CPI]]="",#N/A,((Tabela1[[#This Row],[Services CPI]]*1)/J844)-1)</f>
        <v>-3.990305520030768E-4</v>
      </c>
      <c r="L845" s="8">
        <f>IF(Tabela1[[#This Row],[Services CPI]]="",#N/A,((Tabela1[[#This Row],[Services CPI]]*1)/J833)-1)</f>
        <v>2.8767340014070886E-2</v>
      </c>
      <c r="M845" s="7">
        <v>316.298</v>
      </c>
      <c r="N845" s="8">
        <f>IF(Tabela1[[#This Row],[Core-Services CPI]]="",#N/A,((Tabela1[[#This Row],[Core-Services CPI]]*1)/M844)-1)</f>
        <v>-3.160576236259649E-4</v>
      </c>
      <c r="O845" s="8">
        <f>IF(Tabela1[[#This Row],[Core-Services CPI]]="",#N/A,((Tabela1[[#This Row],[Core-Services CPI]]*1)/M833)-1)</f>
        <v>2.8484284868861787E-2</v>
      </c>
      <c r="P845" s="7">
        <v>106.07299999999999</v>
      </c>
      <c r="Q845" s="8">
        <f>IF(Tabela1[[#This Row],[Durable Goods CPI]]="",#N/A,((Tabela1[[#This Row],[Durable Goods CPI]]*1)/P844)-1)</f>
        <v>-3.5415688116487987E-3</v>
      </c>
      <c r="R845" s="8">
        <f>IF(Tabela1[[#This Row],[Durable Goods CPI]]="",#N/A,((Tabela1[[#This Row],[Durable Goods CPI]]*1)/P833)-1)</f>
        <v>-1.9086899026235282E-2</v>
      </c>
      <c r="S845" s="7">
        <v>2.661562</v>
      </c>
      <c r="T845" s="7">
        <v>99.534999999999997</v>
      </c>
      <c r="U845" s="8">
        <f>IF(Tabela1[[#This Row],[Personal Consumption Expenditures (PCE)]]="",#N/A,((Tabela1[[#This Row],[Personal Consumption Expenditures (PCE)]]*1)/T844)-1)</f>
        <v>-5.1212017753499151E-4</v>
      </c>
      <c r="V845" s="8">
        <f>IF(Tabela1[[#This Row],[Personal Consumption Expenditures (PCE)]]="",#N/A,((Tabela1[[#This Row],[Personal Consumption Expenditures (PCE)]]*1)/T833)-1)</f>
        <v>1.9063610209576698E-2</v>
      </c>
      <c r="W845" s="7">
        <v>99.519000000000005</v>
      </c>
      <c r="X845" s="8">
        <f>IF(Tabela1[[#This Row],[Core PCE]]="",#N/A,((Tabela1[[#This Row],[Core PCE]]*1)/W844)-1)</f>
        <v>-4.2185192997257204E-4</v>
      </c>
      <c r="Y845" s="8">
        <f>IF(Tabela1[[#This Row],[Core PCE]]="",#N/A,((Tabela1[[#This Row],[Core PCE]]*1)/W833)-1)</f>
        <v>1.6786546242183897E-2</v>
      </c>
      <c r="Z845" s="8">
        <f t="shared" si="45"/>
        <v>1.6090264349941208E-2</v>
      </c>
      <c r="AA845" s="8">
        <f t="shared" si="44"/>
        <v>1.3827452165644072E-2</v>
      </c>
      <c r="AB845" s="7">
        <v>1.84</v>
      </c>
      <c r="AC845" s="7">
        <v>112.1</v>
      </c>
      <c r="AD845" s="8">
        <f>IF(Tabela1[[#This Row],[Producer Price Index (PPI)]]="",#N/A,((Tabela1[[#This Row],[Producer Price Index (PPI)]]*1)/AC844)-1)</f>
        <v>1.7873100983019086E-3</v>
      </c>
      <c r="AE845" s="8">
        <f>IF(Tabela1[[#This Row],[Producer Price Index (PPI)]]="",#N/A,((Tabela1[[#This Row],[Producer Price Index (PPI)]]*1)/AC833)-1)</f>
        <v>2.1877848678213185E-2</v>
      </c>
      <c r="AF845" s="7">
        <v>2.5</v>
      </c>
      <c r="AG845" s="5"/>
    </row>
    <row r="846" spans="1:33" ht="12.75">
      <c r="A846" s="6">
        <v>42826</v>
      </c>
      <c r="B846" s="7">
        <v>244.19300000000001</v>
      </c>
      <c r="C846" s="8">
        <f>IF(Tabela1[[#This Row],[Consumer Price Index (CPI)]]="",#N/A,((Tabela1[[#This Row],[Consumer Price Index (CPI)]]*1)/B845)-1)</f>
        <v>1.2341528217407749E-3</v>
      </c>
      <c r="D846" s="8">
        <f>IF(Tabela1[[#This Row],[Consumer Price Index (CPI)]]="",#N/A,((Tabela1[[#This Row],[Consumer Price Index (CPI)]]*1)/B834)-1)</f>
        <v>2.176223471915395E-2</v>
      </c>
      <c r="E846" s="25">
        <v>251.227</v>
      </c>
      <c r="F846" s="8">
        <f>IF(Tabela1[[#This Row],[Core Consumer Price Index]]="",#N/A,((Tabela1[[#This Row],[Core Consumer Price Index]]*1)/E845)-1)</f>
        <v>1.1277416475390378E-3</v>
      </c>
      <c r="G846" s="8">
        <f>IF(Tabela1[[#This Row],[Core Consumer Price Index]]="",#N/A,((Tabela1[[#This Row],[Core Consumer Price Index]]*1)/E834)-1)</f>
        <v>1.8965650108902388E-2</v>
      </c>
      <c r="H846" s="8">
        <f t="shared" si="46"/>
        <v>1.2130561027013265E-2</v>
      </c>
      <c r="I846" s="8">
        <f t="shared" si="47"/>
        <v>1.6683326998809811E-2</v>
      </c>
      <c r="J846" s="25">
        <v>306.26</v>
      </c>
      <c r="K846" s="8">
        <f>IF(Tabela1[[#This Row],[Services CPI]]="",#N/A,((Tabela1[[#This Row],[Services CPI]]*1)/J845)-1)</f>
        <v>2.0973826889034708E-3</v>
      </c>
      <c r="L846" s="8">
        <f>IF(Tabela1[[#This Row],[Services CPI]]="",#N/A,((Tabela1[[#This Row],[Services CPI]]*1)/J834)-1)</f>
        <v>2.8000993561986709E-2</v>
      </c>
      <c r="M846" s="7">
        <v>316.80399999999997</v>
      </c>
      <c r="N846" s="8">
        <f>IF(Tabela1[[#This Row],[Core-Services CPI]]="",#N/A,((Tabela1[[#This Row],[Core-Services CPI]]*1)/M845)-1)</f>
        <v>1.5997571910033592E-3</v>
      </c>
      <c r="O846" s="8">
        <f>IF(Tabela1[[#This Row],[Core-Services CPI]]="",#N/A,((Tabela1[[#This Row],[Core-Services CPI]]*1)/M834)-1)</f>
        <v>2.7080476315524793E-2</v>
      </c>
      <c r="P846" s="7">
        <v>105.91</v>
      </c>
      <c r="Q846" s="8">
        <f>IF(Tabela1[[#This Row],[Durable Goods CPI]]="",#N/A,((Tabela1[[#This Row],[Durable Goods CPI]]*1)/P845)-1)</f>
        <v>-1.5366775711066483E-3</v>
      </c>
      <c r="R846" s="8">
        <f>IF(Tabela1[[#This Row],[Durable Goods CPI]]="",#N/A,((Tabela1[[#This Row],[Durable Goods CPI]]*1)/P834)-1)</f>
        <v>-1.8797654230630179E-2</v>
      </c>
      <c r="S846" s="7">
        <v>2.6744599999999998</v>
      </c>
      <c r="T846" s="7">
        <v>99.724999999999994</v>
      </c>
      <c r="U846" s="8">
        <f>IF(Tabela1[[#This Row],[Personal Consumption Expenditures (PCE)]]="",#N/A,((Tabela1[[#This Row],[Personal Consumption Expenditures (PCE)]]*1)/T845)-1)</f>
        <v>1.9088762746772847E-3</v>
      </c>
      <c r="V846" s="8">
        <f>IF(Tabela1[[#This Row],[Personal Consumption Expenditures (PCE)]]="",#N/A,((Tabela1[[#This Row],[Personal Consumption Expenditures (PCE)]]*1)/T834)-1)</f>
        <v>1.76747318686028E-2</v>
      </c>
      <c r="W846" s="7">
        <v>99.722999999999999</v>
      </c>
      <c r="X846" s="8">
        <f>IF(Tabela1[[#This Row],[Core PCE]]="",#N/A,((Tabela1[[#This Row],[Core PCE]]*1)/W845)-1)</f>
        <v>2.0498598257618905E-3</v>
      </c>
      <c r="Y846" s="8">
        <f>IF(Tabela1[[#This Row],[Core PCE]]="",#N/A,((Tabela1[[#This Row],[Core PCE]]*1)/W834)-1)</f>
        <v>1.6368213459441172E-2</v>
      </c>
      <c r="Z846" s="8">
        <f t="shared" si="45"/>
        <v>1.3595595501253221E-2</v>
      </c>
      <c r="AA846" s="8">
        <f t="shared" si="44"/>
        <v>1.5357206015925495E-2</v>
      </c>
      <c r="AB846" s="7">
        <v>1.78</v>
      </c>
      <c r="AC846" s="7">
        <v>112.6</v>
      </c>
      <c r="AD846" s="8">
        <f>IF(Tabela1[[#This Row],[Producer Price Index (PPI)]]="",#N/A,((Tabela1[[#This Row],[Producer Price Index (PPI)]]*1)/AC845)-1)</f>
        <v>4.4603033006245241E-3</v>
      </c>
      <c r="AE846" s="8">
        <f>IF(Tabela1[[#This Row],[Producer Price Index (PPI)]]="",#N/A,((Tabela1[[#This Row],[Producer Price Index (PPI)]]*1)/AC834)-1)</f>
        <v>2.4567788898999021E-2</v>
      </c>
      <c r="AF846" s="7">
        <v>2.5</v>
      </c>
      <c r="AG846" s="5"/>
    </row>
    <row r="847" spans="1:33" ht="12.75">
      <c r="A847" s="6">
        <v>42856</v>
      </c>
      <c r="B847" s="7">
        <v>244.00399999999999</v>
      </c>
      <c r="C847" s="8">
        <f>IF(Tabela1[[#This Row],[Consumer Price Index (CPI)]]="",#N/A,((Tabela1[[#This Row],[Consumer Price Index (CPI)]]*1)/B846)-1)</f>
        <v>-7.7397796005629349E-4</v>
      </c>
      <c r="D847" s="8">
        <f>IF(Tabela1[[#This Row],[Consumer Price Index (CPI)]]="",#N/A,((Tabela1[[#This Row],[Consumer Price Index (CPI)]]*1)/B835)-1)</f>
        <v>1.8563431667619756E-2</v>
      </c>
      <c r="E847" s="25">
        <v>251.43</v>
      </c>
      <c r="F847" s="8">
        <f>IF(Tabela1[[#This Row],[Core Consumer Price Index]]="",#N/A,((Tabela1[[#This Row],[Core Consumer Price Index]]*1)/E846)-1)</f>
        <v>8.0803416830188546E-4</v>
      </c>
      <c r="G847" s="8">
        <f>IF(Tabela1[[#This Row],[Core Consumer Price Index]]="",#N/A,((Tabela1[[#This Row],[Core Consumer Price Index]]*1)/E835)-1)</f>
        <v>1.7370931912259246E-2</v>
      </c>
      <c r="H847" s="8">
        <f t="shared" si="46"/>
        <v>6.8825386373507769E-3</v>
      </c>
      <c r="I847" s="8">
        <f t="shared" si="47"/>
        <v>1.5578055697777149E-2</v>
      </c>
      <c r="J847" s="25">
        <v>306.90899999999999</v>
      </c>
      <c r="K847" s="8">
        <f>IF(Tabela1[[#This Row],[Services CPI]]="",#N/A,((Tabela1[[#This Row],[Services CPI]]*1)/J846)-1)</f>
        <v>2.1191144778947013E-3</v>
      </c>
      <c r="L847" s="8">
        <f>IF(Tabela1[[#This Row],[Services CPI]]="",#N/A,((Tabela1[[#This Row],[Services CPI]]*1)/J835)-1)</f>
        <v>2.6922034510795889E-2</v>
      </c>
      <c r="M847" s="7">
        <v>317.37900000000002</v>
      </c>
      <c r="N847" s="8">
        <f>IF(Tabela1[[#This Row],[Core-Services CPI]]="",#N/A,((Tabela1[[#This Row],[Core-Services CPI]]*1)/M846)-1)</f>
        <v>1.8150023358292078E-3</v>
      </c>
      <c r="O847" s="8">
        <f>IF(Tabela1[[#This Row],[Core-Services CPI]]="",#N/A,((Tabela1[[#This Row],[Core-Services CPI]]*1)/M835)-1)</f>
        <v>2.571900420462736E-2</v>
      </c>
      <c r="P847" s="7">
        <v>105.69199999999999</v>
      </c>
      <c r="Q847" s="8">
        <f>IF(Tabela1[[#This Row],[Durable Goods CPI]]="",#N/A,((Tabela1[[#This Row],[Durable Goods CPI]]*1)/P846)-1)</f>
        <v>-2.0583514304598483E-3</v>
      </c>
      <c r="R847" s="8">
        <f>IF(Tabela1[[#This Row],[Durable Goods CPI]]="",#N/A,((Tabela1[[#This Row],[Durable Goods CPI]]*1)/P835)-1)</f>
        <v>-1.8580594839033182E-2</v>
      </c>
      <c r="S847" s="7">
        <v>2.453344</v>
      </c>
      <c r="T847" s="7">
        <v>99.682000000000002</v>
      </c>
      <c r="U847" s="8">
        <f>IF(Tabela1[[#This Row],[Personal Consumption Expenditures (PCE)]]="",#N/A,((Tabela1[[#This Row],[Personal Consumption Expenditures (PCE)]]*1)/T846)-1)</f>
        <v>-4.3118576084222315E-4</v>
      </c>
      <c r="V847" s="8">
        <f>IF(Tabela1[[#This Row],[Personal Consumption Expenditures (PCE)]]="",#N/A,((Tabela1[[#This Row],[Personal Consumption Expenditures (PCE)]]*1)/T835)-1)</f>
        <v>1.557772049759043E-2</v>
      </c>
      <c r="W847" s="7">
        <v>99.802999999999997</v>
      </c>
      <c r="X847" s="8">
        <f>IF(Tabela1[[#This Row],[Core PCE]]="",#N/A,((Tabela1[[#This Row],[Core PCE]]*1)/W846)-1)</f>
        <v>8.0222215537029129E-4</v>
      </c>
      <c r="Y847" s="8">
        <f>IF(Tabela1[[#This Row],[Core PCE]]="",#N/A,((Tabela1[[#This Row],[Core PCE]]*1)/W835)-1)</f>
        <v>1.545521142810613E-2</v>
      </c>
      <c r="Z847" s="8">
        <f t="shared" si="45"/>
        <v>9.7209202046384391E-3</v>
      </c>
      <c r="AA847" s="8">
        <f t="shared" si="44"/>
        <v>1.6072411131427433E-2</v>
      </c>
      <c r="AB847" s="7">
        <v>1.68</v>
      </c>
      <c r="AC847" s="7">
        <v>112.5</v>
      </c>
      <c r="AD847" s="8">
        <f>IF(Tabela1[[#This Row],[Producer Price Index (PPI)]]="",#N/A,((Tabela1[[#This Row],[Producer Price Index (PPI)]]*1)/AC846)-1)</f>
        <v>-8.8809946714030197E-4</v>
      </c>
      <c r="AE847" s="8">
        <f>IF(Tabela1[[#This Row],[Producer Price Index (PPI)]]="",#N/A,((Tabela1[[#This Row],[Producer Price Index (PPI)]]*1)/AC835)-1)</f>
        <v>2.1798365122615904E-2</v>
      </c>
      <c r="AF847" s="7">
        <v>2.6</v>
      </c>
      <c r="AG847" s="5"/>
    </row>
    <row r="848" spans="1:33" ht="12.75">
      <c r="A848" s="6">
        <v>42887</v>
      </c>
      <c r="B848" s="7">
        <v>244.16300000000001</v>
      </c>
      <c r="C848" s="8">
        <f>IF(Tabela1[[#This Row],[Consumer Price Index (CPI)]]="",#N/A,((Tabela1[[#This Row],[Consumer Price Index (CPI)]]*1)/B847)-1)</f>
        <v>6.5162866182522095E-4</v>
      </c>
      <c r="D848" s="8">
        <f>IF(Tabela1[[#This Row],[Consumer Price Index (CPI)]]="",#N/A,((Tabela1[[#This Row],[Consumer Price Index (CPI)]]*1)/B836)-1)</f>
        <v>1.6405658099591269E-2</v>
      </c>
      <c r="E848" s="25">
        <v>251.74600000000001</v>
      </c>
      <c r="F848" s="8">
        <f>IF(Tabela1[[#This Row],[Core Consumer Price Index]]="",#N/A,((Tabela1[[#This Row],[Core Consumer Price Index]]*1)/E847)-1)</f>
        <v>1.2568110408464062E-3</v>
      </c>
      <c r="G848" s="8">
        <f>IF(Tabela1[[#This Row],[Core Consumer Price Index]]="",#N/A,((Tabela1[[#This Row],[Core Consumer Price Index]]*1)/E836)-1)</f>
        <v>1.6991193342490218E-2</v>
      </c>
      <c r="H848" s="8">
        <f t="shared" si="46"/>
        <v>1.2770347426749318E-2</v>
      </c>
      <c r="I848" s="8">
        <f t="shared" si="47"/>
        <v>1.4572371700049214E-2</v>
      </c>
      <c r="J848" s="25">
        <v>307.58100000000002</v>
      </c>
      <c r="K848" s="8">
        <f>IF(Tabela1[[#This Row],[Services CPI]]="",#N/A,((Tabela1[[#This Row],[Services CPI]]*1)/J847)-1)</f>
        <v>2.1895741082862408E-3</v>
      </c>
      <c r="L848" s="8">
        <f>IF(Tabela1[[#This Row],[Services CPI]]="",#N/A,((Tabela1[[#This Row],[Services CPI]]*1)/J836)-1)</f>
        <v>2.6196997954819334E-2</v>
      </c>
      <c r="M848" s="7">
        <v>318.04599999999999</v>
      </c>
      <c r="N848" s="8">
        <f>IF(Tabela1[[#This Row],[Core-Services CPI]]="",#N/A,((Tabela1[[#This Row],[Core-Services CPI]]*1)/M847)-1)</f>
        <v>2.1015883218484799E-3</v>
      </c>
      <c r="O848" s="8">
        <f>IF(Tabela1[[#This Row],[Core-Services CPI]]="",#N/A,((Tabela1[[#This Row],[Core-Services CPI]]*1)/M836)-1)</f>
        <v>2.4784600810687119E-2</v>
      </c>
      <c r="P848" s="7">
        <v>105.27500000000001</v>
      </c>
      <c r="Q848" s="8">
        <f>IF(Tabela1[[#This Row],[Durable Goods CPI]]="",#N/A,((Tabela1[[#This Row],[Durable Goods CPI]]*1)/P847)-1)</f>
        <v>-3.9454263331187844E-3</v>
      </c>
      <c r="R848" s="8">
        <f>IF(Tabela1[[#This Row],[Durable Goods CPI]]="",#N/A,((Tabela1[[#This Row],[Durable Goods CPI]]*1)/P836)-1)</f>
        <v>-1.8780874266008052E-2</v>
      </c>
      <c r="S848" s="7">
        <v>2.25217</v>
      </c>
      <c r="T848" s="7">
        <v>99.766000000000005</v>
      </c>
      <c r="U848" s="8">
        <f>IF(Tabela1[[#This Row],[Personal Consumption Expenditures (PCE)]]="",#N/A,((Tabela1[[#This Row],[Personal Consumption Expenditures (PCE)]]*1)/T847)-1)</f>
        <v>8.4267972151441661E-4</v>
      </c>
      <c r="V848" s="8">
        <f>IF(Tabela1[[#This Row],[Personal Consumption Expenditures (PCE)]]="",#N/A,((Tabela1[[#This Row],[Personal Consumption Expenditures (PCE)]]*1)/T836)-1)</f>
        <v>1.4655479277905004E-2</v>
      </c>
      <c r="W848" s="7">
        <v>99.936999999999998</v>
      </c>
      <c r="X848" s="8">
        <f>IF(Tabela1[[#This Row],[Core PCE]]="",#N/A,((Tabela1[[#This Row],[Core PCE]]*1)/W847)-1)</f>
        <v>1.3426450106710508E-3</v>
      </c>
      <c r="Y848" s="8">
        <f>IF(Tabela1[[#This Row],[Core PCE]]="",#N/A,((Tabela1[[#This Row],[Core PCE]]*1)/W836)-1)</f>
        <v>1.5764438029800987E-2</v>
      </c>
      <c r="Z848" s="8">
        <f t="shared" si="45"/>
        <v>1.677890796721293E-2</v>
      </c>
      <c r="AA848" s="8">
        <f t="shared" si="44"/>
        <v>1.6434586158577069E-2</v>
      </c>
      <c r="AB848" s="7">
        <v>1.68</v>
      </c>
      <c r="AC848" s="7">
        <v>112.6</v>
      </c>
      <c r="AD848" s="8">
        <f>IF(Tabela1[[#This Row],[Producer Price Index (PPI)]]="",#N/A,((Tabela1[[#This Row],[Producer Price Index (PPI)]]*1)/AC847)-1)</f>
        <v>8.8888888888893902E-4</v>
      </c>
      <c r="AE848" s="8">
        <f>IF(Tabela1[[#This Row],[Producer Price Index (PPI)]]="",#N/A,((Tabela1[[#This Row],[Producer Price Index (PPI)]]*1)/AC836)-1)</f>
        <v>1.8083182640144635E-2</v>
      </c>
      <c r="AF848" s="7">
        <v>2.6</v>
      </c>
      <c r="AG848" s="5"/>
    </row>
    <row r="849" spans="1:33" ht="12.75">
      <c r="A849" s="6">
        <v>42917</v>
      </c>
      <c r="B849" s="7">
        <v>244.24299999999999</v>
      </c>
      <c r="C849" s="8">
        <f>IF(Tabela1[[#This Row],[Consumer Price Index (CPI)]]="",#N/A,((Tabela1[[#This Row],[Consumer Price Index (CPI)]]*1)/B848)-1)</f>
        <v>3.2764997153544861E-4</v>
      </c>
      <c r="D849" s="8">
        <f>IF(Tabela1[[#This Row],[Consumer Price Index (CPI)]]="",#N/A,((Tabela1[[#This Row],[Consumer Price Index (CPI)]]*1)/B837)-1)</f>
        <v>1.7251073506566073E-2</v>
      </c>
      <c r="E849" s="25">
        <v>251.98500000000001</v>
      </c>
      <c r="F849" s="8">
        <f>IF(Tabela1[[#This Row],[Core Consumer Price Index]]="",#N/A,((Tabela1[[#This Row],[Core Consumer Price Index]]*1)/E848)-1)</f>
        <v>9.4936960269476067E-4</v>
      </c>
      <c r="G849" s="8">
        <f>IF(Tabela1[[#This Row],[Core Consumer Price Index]]="",#N/A,((Tabela1[[#This Row],[Core Consumer Price Index]]*1)/E837)-1)</f>
        <v>1.6769627444729984E-2</v>
      </c>
      <c r="H849" s="8">
        <f t="shared" si="46"/>
        <v>1.2056859247372209E-2</v>
      </c>
      <c r="I849" s="8">
        <f t="shared" si="47"/>
        <v>1.2093710137192737E-2</v>
      </c>
      <c r="J849" s="25">
        <v>308.08300000000003</v>
      </c>
      <c r="K849" s="8">
        <f>IF(Tabela1[[#This Row],[Services CPI]]="",#N/A,((Tabela1[[#This Row],[Services CPI]]*1)/J848)-1)</f>
        <v>1.6320904087054888E-3</v>
      </c>
      <c r="L849" s="8">
        <f>IF(Tabela1[[#This Row],[Services CPI]]="",#N/A,((Tabela1[[#This Row],[Services CPI]]*1)/J837)-1)</f>
        <v>2.5238020758804547E-2</v>
      </c>
      <c r="M849" s="7">
        <v>318.58100000000002</v>
      </c>
      <c r="N849" s="8">
        <f>IF(Tabela1[[#This Row],[Core-Services CPI]]="",#N/A,((Tabela1[[#This Row],[Core-Services CPI]]*1)/M848)-1)</f>
        <v>1.6821466077234781E-3</v>
      </c>
      <c r="O849" s="8">
        <f>IF(Tabela1[[#This Row],[Core-Services CPI]]="",#N/A,((Tabela1[[#This Row],[Core-Services CPI]]*1)/M837)-1)</f>
        <v>2.4409144988584819E-2</v>
      </c>
      <c r="P849" s="7">
        <v>104.749</v>
      </c>
      <c r="Q849" s="8">
        <f>IF(Tabela1[[#This Row],[Durable Goods CPI]]="",#N/A,((Tabela1[[#This Row],[Durable Goods CPI]]*1)/P848)-1)</f>
        <v>-4.9964379007362281E-3</v>
      </c>
      <c r="R849" s="8">
        <f>IF(Tabela1[[#This Row],[Durable Goods CPI]]="",#N/A,((Tabela1[[#This Row],[Durable Goods CPI]]*1)/P837)-1)</f>
        <v>-2.1942315054295669E-2</v>
      </c>
      <c r="S849" s="7">
        <v>2.1559110000000001</v>
      </c>
      <c r="T849" s="7">
        <v>99.802999999999997</v>
      </c>
      <c r="U849" s="8">
        <f>IF(Tabela1[[#This Row],[Personal Consumption Expenditures (PCE)]]="",#N/A,((Tabela1[[#This Row],[Personal Consumption Expenditures (PCE)]]*1)/T848)-1)</f>
        <v>3.7086783072370899E-4</v>
      </c>
      <c r="V849" s="8">
        <f>IF(Tabela1[[#This Row],[Personal Consumption Expenditures (PCE)]]="",#N/A,((Tabela1[[#This Row],[Personal Consumption Expenditures (PCE)]]*1)/T837)-1)</f>
        <v>1.4856317748266346E-2</v>
      </c>
      <c r="W849" s="7">
        <v>100.01</v>
      </c>
      <c r="X849" s="8">
        <f>IF(Tabela1[[#This Row],[Core PCE]]="",#N/A,((Tabela1[[#This Row],[Core PCE]]*1)/W848)-1)</f>
        <v>7.3046018991962391E-4</v>
      </c>
      <c r="Y849" s="8">
        <f>IF(Tabela1[[#This Row],[Core PCE]]="",#N/A,((Tabela1[[#This Row],[Core PCE]]*1)/W837)-1)</f>
        <v>1.5031107592688553E-2</v>
      </c>
      <c r="Z849" s="8">
        <f t="shared" si="45"/>
        <v>1.1501309423843864E-2</v>
      </c>
      <c r="AA849" s="8">
        <f t="shared" si="44"/>
        <v>1.2548452462548543E-2</v>
      </c>
      <c r="AB849" s="7">
        <v>1.64</v>
      </c>
      <c r="AC849" s="7">
        <v>112.7</v>
      </c>
      <c r="AD849" s="8">
        <f>IF(Tabela1[[#This Row],[Producer Price Index (PPI)]]="",#N/A,((Tabela1[[#This Row],[Producer Price Index (PPI)]]*1)/AC848)-1)</f>
        <v>8.8809946714030197E-4</v>
      </c>
      <c r="AE849" s="8">
        <f>IF(Tabela1[[#This Row],[Producer Price Index (PPI)]]="",#N/A,((Tabela1[[#This Row],[Producer Price Index (PPI)]]*1)/AC837)-1)</f>
        <v>1.9909502262443368E-2</v>
      </c>
      <c r="AF849" s="7">
        <v>2.6</v>
      </c>
      <c r="AG849" s="5"/>
    </row>
    <row r="850" spans="1:33" ht="12.75">
      <c r="A850" s="6">
        <v>42948</v>
      </c>
      <c r="B850" s="7">
        <v>245.18299999999999</v>
      </c>
      <c r="C850" s="8">
        <f>IF(Tabela1[[#This Row],[Consumer Price Index (CPI)]]="",#N/A,((Tabela1[[#This Row],[Consumer Price Index (CPI)]]*1)/B849)-1)</f>
        <v>3.8486261632881824E-3</v>
      </c>
      <c r="D850" s="8">
        <f>IF(Tabela1[[#This Row],[Consumer Price Index (CPI)]]="",#N/A,((Tabela1[[#This Row],[Consumer Price Index (CPI)]]*1)/B838)-1)</f>
        <v>1.9281215572969801E-2</v>
      </c>
      <c r="E850" s="25">
        <v>252.535</v>
      </c>
      <c r="F850" s="8">
        <f>IF(Tabela1[[#This Row],[Core Consumer Price Index]]="",#N/A,((Tabela1[[#This Row],[Core Consumer Price Index]]*1)/E849)-1)</f>
        <v>2.1826696033493409E-3</v>
      </c>
      <c r="G850" s="8">
        <f>IF(Tabela1[[#This Row],[Core Consumer Price Index]]="",#N/A,((Tabela1[[#This Row],[Core Consumer Price Index]]*1)/E838)-1)</f>
        <v>1.6552412618799472E-2</v>
      </c>
      <c r="H850" s="8">
        <f t="shared" si="46"/>
        <v>1.7555400987562031E-2</v>
      </c>
      <c r="I850" s="8">
        <f t="shared" si="47"/>
        <v>1.2218969812456404E-2</v>
      </c>
      <c r="J850" s="25">
        <v>308.98200000000003</v>
      </c>
      <c r="K850" s="8">
        <f>IF(Tabela1[[#This Row],[Services CPI]]="",#N/A,((Tabela1[[#This Row],[Services CPI]]*1)/J849)-1)</f>
        <v>2.9180448125991632E-3</v>
      </c>
      <c r="L850" s="8">
        <f>IF(Tabela1[[#This Row],[Services CPI]]="",#N/A,((Tabela1[[#This Row],[Services CPI]]*1)/J838)-1)</f>
        <v>2.5312423263006423E-2</v>
      </c>
      <c r="M850" s="7">
        <v>319.59399999999999</v>
      </c>
      <c r="N850" s="8">
        <f>IF(Tabela1[[#This Row],[Core-Services CPI]]="",#N/A,((Tabela1[[#This Row],[Core-Services CPI]]*1)/M849)-1)</f>
        <v>3.1797250934613164E-3</v>
      </c>
      <c r="O850" s="8">
        <f>IF(Tabela1[[#This Row],[Core-Services CPI]]="",#N/A,((Tabela1[[#This Row],[Core-Services CPI]]*1)/M838)-1)</f>
        <v>2.4917902406485615E-2</v>
      </c>
      <c r="P850" s="7">
        <v>104.56100000000001</v>
      </c>
      <c r="Q850" s="8">
        <f>IF(Tabela1[[#This Row],[Durable Goods CPI]]="",#N/A,((Tabela1[[#This Row],[Durable Goods CPI]]*1)/P849)-1)</f>
        <v>-1.794766537150605E-3</v>
      </c>
      <c r="R850" s="8">
        <f>IF(Tabela1[[#This Row],[Durable Goods CPI]]="",#N/A,((Tabela1[[#This Row],[Durable Goods CPI]]*1)/P838)-1)</f>
        <v>-2.2017490529860129E-2</v>
      </c>
      <c r="S850" s="7">
        <v>2.1385299999999998</v>
      </c>
      <c r="T850" s="7">
        <v>100.027</v>
      </c>
      <c r="U850" s="8">
        <f>IF(Tabela1[[#This Row],[Personal Consumption Expenditures (PCE)]]="",#N/A,((Tabela1[[#This Row],[Personal Consumption Expenditures (PCE)]]*1)/T849)-1)</f>
        <v>2.244421510375405E-3</v>
      </c>
      <c r="V850" s="8">
        <f>IF(Tabela1[[#This Row],[Personal Consumption Expenditures (PCE)]]="",#N/A,((Tabela1[[#This Row],[Personal Consumption Expenditures (PCE)]]*1)/T838)-1)</f>
        <v>1.5719087318108338E-2</v>
      </c>
      <c r="W850" s="7">
        <v>100.11799999999999</v>
      </c>
      <c r="X850" s="8">
        <f>IF(Tabela1[[#This Row],[Core PCE]]="",#N/A,((Tabela1[[#This Row],[Core PCE]]*1)/W849)-1)</f>
        <v>1.079892010798833E-3</v>
      </c>
      <c r="Y850" s="8">
        <f>IF(Tabela1[[#This Row],[Core PCE]]="",#N/A,((Tabela1[[#This Row],[Core PCE]]*1)/W838)-1)</f>
        <v>1.4335937104241969E-2</v>
      </c>
      <c r="Z850" s="8">
        <f t="shared" si="45"/>
        <v>1.2611988845558031E-2</v>
      </c>
      <c r="AA850" s="8">
        <f t="shared" si="44"/>
        <v>1.1166454525098235E-2</v>
      </c>
      <c r="AB850" s="7">
        <v>1.64</v>
      </c>
      <c r="AC850" s="7">
        <v>113.1</v>
      </c>
      <c r="AD850" s="8">
        <f>IF(Tabela1[[#This Row],[Producer Price Index (PPI)]]="",#N/A,((Tabela1[[#This Row],[Producer Price Index (PPI)]]*1)/AC849)-1)</f>
        <v>3.549245785270605E-3</v>
      </c>
      <c r="AE850" s="8">
        <f>IF(Tabela1[[#This Row],[Producer Price Index (PPI)]]="",#N/A,((Tabela1[[#This Row],[Producer Price Index (PPI)]]*1)/AC838)-1)</f>
        <v>2.5385312783318126E-2</v>
      </c>
      <c r="AF850" s="7">
        <v>2.6</v>
      </c>
      <c r="AG850" s="5"/>
    </row>
    <row r="851" spans="1:33" ht="12.75">
      <c r="A851" s="6">
        <v>42979</v>
      </c>
      <c r="B851" s="7">
        <v>246.435</v>
      </c>
      <c r="C851" s="8">
        <f>IF(Tabela1[[#This Row],[Consumer Price Index (CPI)]]="",#N/A,((Tabela1[[#This Row],[Consumer Price Index (CPI)]]*1)/B850)-1)</f>
        <v>5.106389920997767E-3</v>
      </c>
      <c r="D851" s="8">
        <f>IF(Tabela1[[#This Row],[Consumer Price Index (CPI)]]="",#N/A,((Tabela1[[#This Row],[Consumer Price Index (CPI)]]*1)/B839)-1)</f>
        <v>2.1805652303711787E-2</v>
      </c>
      <c r="E851" s="25">
        <v>252.81200000000001</v>
      </c>
      <c r="F851" s="8">
        <f>IF(Tabela1[[#This Row],[Core Consumer Price Index]]="",#N/A,((Tabela1[[#This Row],[Core Consumer Price Index]]*1)/E850)-1)</f>
        <v>1.0968776605224662E-3</v>
      </c>
      <c r="G851" s="8">
        <f>IF(Tabela1[[#This Row],[Core Consumer Price Index]]="",#N/A,((Tabela1[[#This Row],[Core Consumer Price Index]]*1)/E839)-1)</f>
        <v>1.5953898457655935E-2</v>
      </c>
      <c r="H851" s="8">
        <f t="shared" si="46"/>
        <v>1.6915667466266271E-2</v>
      </c>
      <c r="I851" s="8">
        <f t="shared" si="47"/>
        <v>1.4843007446507794E-2</v>
      </c>
      <c r="J851" s="25">
        <v>309.625</v>
      </c>
      <c r="K851" s="8">
        <f>IF(Tabela1[[#This Row],[Services CPI]]="",#N/A,((Tabela1[[#This Row],[Services CPI]]*1)/J850)-1)</f>
        <v>2.0810273737628115E-3</v>
      </c>
      <c r="L851" s="8">
        <f>IF(Tabela1[[#This Row],[Services CPI]]="",#N/A,((Tabela1[[#This Row],[Services CPI]]*1)/J839)-1)</f>
        <v>2.540453181610447E-2</v>
      </c>
      <c r="M851" s="7">
        <v>320.32</v>
      </c>
      <c r="N851" s="8">
        <f>IF(Tabela1[[#This Row],[Core-Services CPI]]="",#N/A,((Tabela1[[#This Row],[Core-Services CPI]]*1)/M850)-1)</f>
        <v>2.2716321332689748E-3</v>
      </c>
      <c r="O851" s="8">
        <f>IF(Tabela1[[#This Row],[Core-Services CPI]]="",#N/A,((Tabela1[[#This Row],[Core-Services CPI]]*1)/M839)-1)</f>
        <v>2.5522814296873975E-2</v>
      </c>
      <c r="P851" s="7">
        <v>104.557</v>
      </c>
      <c r="Q851" s="8">
        <f>IF(Tabela1[[#This Row],[Durable Goods CPI]]="",#N/A,((Tabela1[[#This Row],[Durable Goods CPI]]*1)/P850)-1)</f>
        <v>-3.8255181186164222E-5</v>
      </c>
      <c r="R851" s="8">
        <f>IF(Tabela1[[#This Row],[Durable Goods CPI]]="",#N/A,((Tabela1[[#This Row],[Durable Goods CPI]]*1)/P839)-1)</f>
        <v>-2.0561675659472312E-2</v>
      </c>
      <c r="S851" s="7">
        <v>2.1467689999999999</v>
      </c>
      <c r="T851" s="7">
        <v>100.4</v>
      </c>
      <c r="U851" s="8">
        <f>IF(Tabela1[[#This Row],[Personal Consumption Expenditures (PCE)]]="",#N/A,((Tabela1[[#This Row],[Personal Consumption Expenditures (PCE)]]*1)/T850)-1)</f>
        <v>3.7289931718436087E-3</v>
      </c>
      <c r="V851" s="8">
        <f>IF(Tabela1[[#This Row],[Personal Consumption Expenditures (PCE)]]="",#N/A,((Tabela1[[#This Row],[Personal Consumption Expenditures (PCE)]]*1)/T839)-1)</f>
        <v>1.757444307056133E-2</v>
      </c>
      <c r="W851" s="7">
        <v>100.24</v>
      </c>
      <c r="X851" s="8">
        <f>IF(Tabela1[[#This Row],[Core PCE]]="",#N/A,((Tabela1[[#This Row],[Core PCE]]*1)/W850)-1)</f>
        <v>1.2185620967257726E-3</v>
      </c>
      <c r="Y851" s="8">
        <f>IF(Tabela1[[#This Row],[Core PCE]]="",#N/A,((Tabela1[[#This Row],[Core PCE]]*1)/W839)-1)</f>
        <v>1.4225873687192525E-2</v>
      </c>
      <c r="Z851" s="8">
        <f t="shared" si="45"/>
        <v>1.2115657189776918E-2</v>
      </c>
      <c r="AA851" s="8">
        <f t="shared" si="44"/>
        <v>1.4447282578494924E-2</v>
      </c>
      <c r="AB851" s="7">
        <v>1.63</v>
      </c>
      <c r="AC851" s="7">
        <v>113.5</v>
      </c>
      <c r="AD851" s="8">
        <f>IF(Tabela1[[#This Row],[Producer Price Index (PPI)]]="",#N/A,((Tabela1[[#This Row],[Producer Price Index (PPI)]]*1)/AC850)-1)</f>
        <v>3.5366931918656697E-3</v>
      </c>
      <c r="AE851" s="8">
        <f>IF(Tabela1[[#This Row],[Producer Price Index (PPI)]]="",#N/A,((Tabela1[[#This Row],[Producer Price Index (PPI)]]*1)/AC839)-1)</f>
        <v>2.6220614828209809E-2</v>
      </c>
      <c r="AF851" s="7">
        <v>2.7</v>
      </c>
      <c r="AG851" s="5"/>
    </row>
    <row r="852" spans="1:33" ht="12.75">
      <c r="A852" s="6">
        <v>43009</v>
      </c>
      <c r="B852" s="7">
        <v>246.626</v>
      </c>
      <c r="C852" s="8">
        <f>IF(Tabela1[[#This Row],[Consumer Price Index (CPI)]]="",#N/A,((Tabela1[[#This Row],[Consumer Price Index (CPI)]]*1)/B851)-1)</f>
        <v>7.7505224501384085E-4</v>
      </c>
      <c r="D852" s="8">
        <f>IF(Tabela1[[#This Row],[Consumer Price Index (CPI)]]="",#N/A,((Tabela1[[#This Row],[Consumer Price Index (CPI)]]*1)/B840)-1)</f>
        <v>2.020757753132485E-2</v>
      </c>
      <c r="E852" s="25">
        <v>253.52600000000001</v>
      </c>
      <c r="F852" s="8">
        <f>IF(Tabela1[[#This Row],[Core Consumer Price Index]]="",#N/A,((Tabela1[[#This Row],[Core Consumer Price Index]]*1)/E851)-1)</f>
        <v>2.8242330269132587E-3</v>
      </c>
      <c r="G852" s="8">
        <f>IF(Tabela1[[#This Row],[Core Consumer Price Index]]="",#N/A,((Tabela1[[#This Row],[Core Consumer Price Index]]*1)/E840)-1)</f>
        <v>1.7596390813271245E-2</v>
      </c>
      <c r="H852" s="8">
        <f t="shared" si="46"/>
        <v>2.4415121163140263E-2</v>
      </c>
      <c r="I852" s="8">
        <f t="shared" si="47"/>
        <v>1.8235990205256236E-2</v>
      </c>
      <c r="J852" s="25">
        <v>310.46800000000002</v>
      </c>
      <c r="K852" s="8">
        <f>IF(Tabela1[[#This Row],[Services CPI]]="",#N/A,((Tabela1[[#This Row],[Services CPI]]*1)/J851)-1)</f>
        <v>2.7226483649576139E-3</v>
      </c>
      <c r="L852" s="8">
        <f>IF(Tabela1[[#This Row],[Services CPI]]="",#N/A,((Tabela1[[#This Row],[Services CPI]]*1)/J840)-1)</f>
        <v>2.6245504548339404E-2</v>
      </c>
      <c r="M852" s="7">
        <v>321.30399999999997</v>
      </c>
      <c r="N852" s="8">
        <f>IF(Tabela1[[#This Row],[Core-Services CPI]]="",#N/A,((Tabela1[[#This Row],[Core-Services CPI]]*1)/M851)-1)</f>
        <v>3.0719280719280206E-3</v>
      </c>
      <c r="O852" s="8">
        <f>IF(Tabela1[[#This Row],[Core-Services CPI]]="",#N/A,((Tabela1[[#This Row],[Core-Services CPI]]*1)/M840)-1)</f>
        <v>2.6595948622915033E-2</v>
      </c>
      <c r="P852" s="7">
        <v>104.27800000000001</v>
      </c>
      <c r="Q852" s="8">
        <f>IF(Tabela1[[#This Row],[Durable Goods CPI]]="",#N/A,((Tabela1[[#This Row],[Durable Goods CPI]]*1)/P851)-1)</f>
        <v>-2.6684009678931142E-3</v>
      </c>
      <c r="R852" s="8">
        <f>IF(Tabela1[[#This Row],[Durable Goods CPI]]="",#N/A,((Tabela1[[#This Row],[Durable Goods CPI]]*1)/P840)-1)</f>
        <v>-2.158043873970239E-2</v>
      </c>
      <c r="S852" s="7">
        <v>2.0898319999999999</v>
      </c>
      <c r="T852" s="7">
        <v>100.53100000000001</v>
      </c>
      <c r="U852" s="8">
        <f>IF(Tabela1[[#This Row],[Personal Consumption Expenditures (PCE)]]="",#N/A,((Tabela1[[#This Row],[Personal Consumption Expenditures (PCE)]]*1)/T851)-1)</f>
        <v>1.3047808764941049E-3</v>
      </c>
      <c r="V852" s="8">
        <f>IF(Tabela1[[#This Row],[Personal Consumption Expenditures (PCE)]]="",#N/A,((Tabela1[[#This Row],[Personal Consumption Expenditures (PCE)]]*1)/T840)-1)</f>
        <v>1.6820407007323013E-2</v>
      </c>
      <c r="W852" s="7">
        <v>100.486</v>
      </c>
      <c r="X852" s="8">
        <f>IF(Tabela1[[#This Row],[Core PCE]]="",#N/A,((Tabela1[[#This Row],[Core PCE]]*1)/W851)-1)</f>
        <v>2.4541101356745365E-3</v>
      </c>
      <c r="Y852" s="8">
        <f>IF(Tabela1[[#This Row],[Core PCE]]="",#N/A,((Tabela1[[#This Row],[Core PCE]]*1)/W840)-1)</f>
        <v>1.5410111053849596E-2</v>
      </c>
      <c r="Z852" s="8">
        <f t="shared" si="45"/>
        <v>1.9010256972796569E-2</v>
      </c>
      <c r="AA852" s="8">
        <f t="shared" si="44"/>
        <v>1.5255783198320216E-2</v>
      </c>
      <c r="AB852" s="7">
        <v>1.63</v>
      </c>
      <c r="AC852" s="7">
        <v>113.9</v>
      </c>
      <c r="AD852" s="8">
        <f>IF(Tabela1[[#This Row],[Producer Price Index (PPI)]]="",#N/A,((Tabela1[[#This Row],[Producer Price Index (PPI)]]*1)/AC851)-1)</f>
        <v>3.5242290748900285E-3</v>
      </c>
      <c r="AE852" s="8">
        <f>IF(Tabela1[[#This Row],[Producer Price Index (PPI)]]="",#N/A,((Tabela1[[#This Row],[Producer Price Index (PPI)]]*1)/AC840)-1)</f>
        <v>2.7051397655545539E-2</v>
      </c>
      <c r="AF852" s="7">
        <v>2.4</v>
      </c>
      <c r="AG852" s="5"/>
    </row>
    <row r="853" spans="1:33" ht="12.75">
      <c r="A853" s="6">
        <v>43040</v>
      </c>
      <c r="B853" s="7">
        <v>247.28399999999999</v>
      </c>
      <c r="C853" s="8">
        <f>IF(Tabela1[[#This Row],[Consumer Price Index (CPI)]]="",#N/A,((Tabela1[[#This Row],[Consumer Price Index (CPI)]]*1)/B852)-1)</f>
        <v>2.6680074282516841E-3</v>
      </c>
      <c r="D853" s="8">
        <f>IF(Tabela1[[#This Row],[Consumer Price Index (CPI)]]="",#N/A,((Tabela1[[#This Row],[Consumer Price Index (CPI)]]*1)/B841)-1)</f>
        <v>2.172493864295566E-2</v>
      </c>
      <c r="E853" s="25">
        <v>253.816</v>
      </c>
      <c r="F853" s="8">
        <f>IF(Tabela1[[#This Row],[Core Consumer Price Index]]="",#N/A,((Tabela1[[#This Row],[Core Consumer Price Index]]*1)/E852)-1)</f>
        <v>1.1438669012251435E-3</v>
      </c>
      <c r="G853" s="8">
        <f>IF(Tabela1[[#This Row],[Core Consumer Price Index]]="",#N/A,((Tabela1[[#This Row],[Core Consumer Price Index]]*1)/E841)-1)</f>
        <v>1.7376072726981162E-2</v>
      </c>
      <c r="H853" s="8">
        <f t="shared" si="46"/>
        <v>2.0259910354643473E-2</v>
      </c>
      <c r="I853" s="8">
        <f t="shared" si="47"/>
        <v>1.8907655671102752E-2</v>
      </c>
      <c r="J853" s="25">
        <v>310.99</v>
      </c>
      <c r="K853" s="8">
        <f>IF(Tabela1[[#This Row],[Services CPI]]="",#N/A,((Tabela1[[#This Row],[Services CPI]]*1)/J852)-1)</f>
        <v>1.6813326977336285E-3</v>
      </c>
      <c r="L853" s="8">
        <f>IF(Tabela1[[#This Row],[Services CPI]]="",#N/A,((Tabela1[[#This Row],[Services CPI]]*1)/J841)-1)</f>
        <v>2.5425433346852211E-2</v>
      </c>
      <c r="M853" s="7">
        <v>321.84699999999998</v>
      </c>
      <c r="N853" s="8">
        <f>IF(Tabela1[[#This Row],[Core-Services CPI]]="",#N/A,((Tabela1[[#This Row],[Core-Services CPI]]*1)/M852)-1)</f>
        <v>1.6899882976868508E-3</v>
      </c>
      <c r="O853" s="8">
        <f>IF(Tabela1[[#This Row],[Core-Services CPI]]="",#N/A,((Tabela1[[#This Row],[Core-Services CPI]]*1)/M841)-1)</f>
        <v>2.548685988121635E-2</v>
      </c>
      <c r="P853" s="7">
        <v>104.423</v>
      </c>
      <c r="Q853" s="8">
        <f>IF(Tabela1[[#This Row],[Durable Goods CPI]]="",#N/A,((Tabela1[[#This Row],[Durable Goods CPI]]*1)/P852)-1)</f>
        <v>1.3905138188303745E-3</v>
      </c>
      <c r="R853" s="8">
        <f>IF(Tabela1[[#This Row],[Durable Goods CPI]]="",#N/A,((Tabela1[[#This Row],[Durable Goods CPI]]*1)/P841)-1)</f>
        <v>-1.7999379331747223E-2</v>
      </c>
      <c r="S853" s="7">
        <v>2.106697</v>
      </c>
      <c r="T853" s="7">
        <v>100.675</v>
      </c>
      <c r="U853" s="8">
        <f>IF(Tabela1[[#This Row],[Personal Consumption Expenditures (PCE)]]="",#N/A,((Tabela1[[#This Row],[Personal Consumption Expenditures (PCE)]]*1)/T852)-1)</f>
        <v>1.4323939879239411E-3</v>
      </c>
      <c r="V853" s="8">
        <f>IF(Tabela1[[#This Row],[Personal Consumption Expenditures (PCE)]]="",#N/A,((Tabela1[[#This Row],[Personal Consumption Expenditures (PCE)]]*1)/T841)-1)</f>
        <v>1.7937129048240186E-2</v>
      </c>
      <c r="W853" s="7">
        <v>100.535</v>
      </c>
      <c r="X853" s="8">
        <f>IF(Tabela1[[#This Row],[Core PCE]]="",#N/A,((Tabela1[[#This Row],[Core PCE]]*1)/W852)-1)</f>
        <v>4.8763011762820163E-4</v>
      </c>
      <c r="Y853" s="8">
        <f>IF(Tabela1[[#This Row],[Core PCE]]="",#N/A,((Tabela1[[#This Row],[Core PCE]]*1)/W841)-1)</f>
        <v>1.5453764961365524E-2</v>
      </c>
      <c r="Z853" s="8">
        <f t="shared" si="45"/>
        <v>1.6641209400114043E-2</v>
      </c>
      <c r="AA853" s="8">
        <f t="shared" si="44"/>
        <v>1.4626599122836037E-2</v>
      </c>
      <c r="AB853" s="7">
        <v>1.65</v>
      </c>
      <c r="AC853" s="7">
        <v>114.3</v>
      </c>
      <c r="AD853" s="8">
        <f>IF(Tabela1[[#This Row],[Producer Price Index (PPI)]]="",#N/A,((Tabela1[[#This Row],[Producer Price Index (PPI)]]*1)/AC852)-1)</f>
        <v>3.5118525021948788E-3</v>
      </c>
      <c r="AE853" s="8">
        <f>IF(Tabela1[[#This Row],[Producer Price Index (PPI)]]="",#N/A,((Tabela1[[#This Row],[Producer Price Index (PPI)]]*1)/AC841)-1)</f>
        <v>2.8802880288028909E-2</v>
      </c>
      <c r="AF853" s="7">
        <v>2.5</v>
      </c>
      <c r="AG853" s="5"/>
    </row>
    <row r="854" spans="1:33" ht="12.75">
      <c r="A854" s="6">
        <v>43070</v>
      </c>
      <c r="B854" s="7">
        <v>247.80500000000001</v>
      </c>
      <c r="C854" s="8">
        <f>IF(Tabela1[[#This Row],[Consumer Price Index (CPI)]]="",#N/A,((Tabela1[[#This Row],[Consumer Price Index (CPI)]]*1)/B853)-1)</f>
        <v>2.1068892447551058E-3</v>
      </c>
      <c r="D854" s="8">
        <f>IF(Tabela1[[#This Row],[Consumer Price Index (CPI)]]="",#N/A,((Tabela1[[#This Row],[Consumer Price Index (CPI)]]*1)/B842)-1)</f>
        <v>2.1299307195522532E-2</v>
      </c>
      <c r="E854" s="25">
        <v>254.34399999999999</v>
      </c>
      <c r="F854" s="8">
        <f>IF(Tabela1[[#This Row],[Core Consumer Price Index]]="",#N/A,((Tabela1[[#This Row],[Core Consumer Price Index]]*1)/E853)-1)</f>
        <v>2.0802471081413643E-3</v>
      </c>
      <c r="G854" s="8">
        <f>IF(Tabela1[[#This Row],[Core Consumer Price Index]]="",#N/A,((Tabela1[[#This Row],[Core Consumer Price Index]]*1)/E842)-1)</f>
        <v>1.770166453265043E-2</v>
      </c>
      <c r="H854" s="8">
        <f t="shared" si="46"/>
        <v>2.4193388145119066E-2</v>
      </c>
      <c r="I854" s="8">
        <f t="shared" si="47"/>
        <v>2.0554527805692668E-2</v>
      </c>
      <c r="J854" s="25">
        <v>311.887</v>
      </c>
      <c r="K854" s="8">
        <f>IF(Tabela1[[#This Row],[Services CPI]]="",#N/A,((Tabela1[[#This Row],[Services CPI]]*1)/J853)-1)</f>
        <v>2.8843371169491316E-3</v>
      </c>
      <c r="L854" s="8">
        <f>IF(Tabela1[[#This Row],[Services CPI]]="",#N/A,((Tabela1[[#This Row],[Services CPI]]*1)/J842)-1)</f>
        <v>2.5852967006219973E-2</v>
      </c>
      <c r="M854" s="7">
        <v>322.767</v>
      </c>
      <c r="N854" s="8">
        <f>IF(Tabela1[[#This Row],[Core-Services CPI]]="",#N/A,((Tabela1[[#This Row],[Core-Services CPI]]*1)/M853)-1)</f>
        <v>2.8585010890267437E-3</v>
      </c>
      <c r="O854" s="8">
        <f>IF(Tabela1[[#This Row],[Core-Services CPI]]="",#N/A,((Tabela1[[#This Row],[Core-Services CPI]]*1)/M842)-1)</f>
        <v>2.5630678008649488E-2</v>
      </c>
      <c r="P854" s="7">
        <v>104.798</v>
      </c>
      <c r="Q854" s="8">
        <f>IF(Tabela1[[#This Row],[Durable Goods CPI]]="",#N/A,((Tabela1[[#This Row],[Durable Goods CPI]]*1)/P853)-1)</f>
        <v>3.5911628664182516E-3</v>
      </c>
      <c r="R854" s="8">
        <f>IF(Tabela1[[#This Row],[Durable Goods CPI]]="",#N/A,((Tabela1[[#This Row],[Durable Goods CPI]]*1)/P842)-1)</f>
        <v>-1.3266545519598494E-2</v>
      </c>
      <c r="S854" s="7">
        <v>2.1928190000000001</v>
      </c>
      <c r="T854" s="7">
        <v>100.821</v>
      </c>
      <c r="U854" s="8">
        <f>IF(Tabela1[[#This Row],[Personal Consumption Expenditures (PCE)]]="",#N/A,((Tabela1[[#This Row],[Personal Consumption Expenditures (PCE)]]*1)/T853)-1)</f>
        <v>1.4502110752421249E-3</v>
      </c>
      <c r="V854" s="8">
        <f>IF(Tabela1[[#This Row],[Personal Consumption Expenditures (PCE)]]="",#N/A,((Tabela1[[#This Row],[Personal Consumption Expenditures (PCE)]]*1)/T842)-1)</f>
        <v>1.7664099484208329E-2</v>
      </c>
      <c r="W854" s="7">
        <v>100.68300000000001</v>
      </c>
      <c r="X854" s="8">
        <f>IF(Tabela1[[#This Row],[Core PCE]]="",#N/A,((Tabela1[[#This Row],[Core PCE]]*1)/W853)-1)</f>
        <v>1.4721241358732762E-3</v>
      </c>
      <c r="Y854" s="8">
        <f>IF(Tabela1[[#This Row],[Core PCE]]="",#N/A,((Tabela1[[#This Row],[Core PCE]]*1)/W842)-1)</f>
        <v>1.5768765133171936E-2</v>
      </c>
      <c r="Z854" s="8">
        <f t="shared" si="45"/>
        <v>1.7655457556704057E-2</v>
      </c>
      <c r="AA854" s="8">
        <f t="shared" si="44"/>
        <v>1.4885557373240488E-2</v>
      </c>
      <c r="AB854" s="7">
        <v>1.66</v>
      </c>
      <c r="AC854" s="7">
        <v>114.4</v>
      </c>
      <c r="AD854" s="8">
        <f>IF(Tabela1[[#This Row],[Producer Price Index (PPI)]]="",#N/A,((Tabela1[[#This Row],[Producer Price Index (PPI)]]*1)/AC853)-1)</f>
        <v>8.7489063867018935E-4</v>
      </c>
      <c r="AE854" s="8">
        <f>IF(Tabela1[[#This Row],[Producer Price Index (PPI)]]="",#N/A,((Tabela1[[#This Row],[Producer Price Index (PPI)]]*1)/AC842)-1)</f>
        <v>2.6929982046678624E-2</v>
      </c>
      <c r="AF854" s="7">
        <v>2.7</v>
      </c>
      <c r="AG854" s="5"/>
    </row>
    <row r="855" spans="1:33" ht="12.75">
      <c r="A855" s="6">
        <v>43101</v>
      </c>
      <c r="B855" s="7">
        <v>248.85900000000001</v>
      </c>
      <c r="C855" s="8">
        <f>IF(Tabela1[[#This Row],[Consumer Price Index (CPI)]]="",#N/A,((Tabela1[[#This Row],[Consumer Price Index (CPI)]]*1)/B854)-1)</f>
        <v>4.2533443635115464E-3</v>
      </c>
      <c r="D855" s="8">
        <f>IF(Tabela1[[#This Row],[Consumer Price Index (CPI)]]="",#N/A,((Tabela1[[#This Row],[Consumer Price Index (CPI)]]*1)/B843)-1)</f>
        <v>2.151318868063945E-2</v>
      </c>
      <c r="E855" s="25">
        <v>255.20400000000001</v>
      </c>
      <c r="F855" s="8">
        <f>IF(Tabela1[[#This Row],[Core Consumer Price Index]]="",#N/A,((Tabela1[[#This Row],[Core Consumer Price Index]]*1)/E854)-1)</f>
        <v>3.3812474444061547E-3</v>
      </c>
      <c r="G855" s="8">
        <f>IF(Tabela1[[#This Row],[Core Consumer Price Index]]="",#N/A,((Tabela1[[#This Row],[Core Consumer Price Index]]*1)/E843)-1)</f>
        <v>1.8912671130328462E-2</v>
      </c>
      <c r="H855" s="8">
        <f t="shared" si="46"/>
        <v>2.6421445815090649E-2</v>
      </c>
      <c r="I855" s="8">
        <f t="shared" si="47"/>
        <v>2.5418283489115456E-2</v>
      </c>
      <c r="J855" s="25">
        <v>312.76400000000001</v>
      </c>
      <c r="K855" s="8">
        <f>IF(Tabela1[[#This Row],[Services CPI]]="",#N/A,((Tabela1[[#This Row],[Services CPI]]*1)/J854)-1)</f>
        <v>2.811915854139535E-3</v>
      </c>
      <c r="L855" s="8">
        <f>IF(Tabela1[[#This Row],[Services CPI]]="",#N/A,((Tabela1[[#This Row],[Services CPI]]*1)/J843)-1)</f>
        <v>2.5889638568443729E-2</v>
      </c>
      <c r="M855" s="7">
        <v>323.84199999999998</v>
      </c>
      <c r="N855" s="8">
        <f>IF(Tabela1[[#This Row],[Core-Services CPI]]="",#N/A,((Tabela1[[#This Row],[Core-Services CPI]]*1)/M854)-1)</f>
        <v>3.3305759262873824E-3</v>
      </c>
      <c r="O855" s="8">
        <f>IF(Tabela1[[#This Row],[Core-Services CPI]]="",#N/A,((Tabela1[[#This Row],[Core-Services CPI]]*1)/M843)-1)</f>
        <v>2.6255161508063507E-2</v>
      </c>
      <c r="P855" s="7">
        <v>104.71</v>
      </c>
      <c r="Q855" s="8">
        <f>IF(Tabela1[[#This Row],[Durable Goods CPI]]="",#N/A,((Tabela1[[#This Row],[Durable Goods CPI]]*1)/P854)-1)</f>
        <v>-8.3971068150168193E-4</v>
      </c>
      <c r="R855" s="8">
        <f>IF(Tabela1[[#This Row],[Durable Goods CPI]]="",#N/A,((Tabela1[[#This Row],[Durable Goods CPI]]*1)/P843)-1)</f>
        <v>-1.713974618908165E-2</v>
      </c>
      <c r="S855" s="7">
        <v>2.1150310000000001</v>
      </c>
      <c r="T855" s="7">
        <v>101.199</v>
      </c>
      <c r="U855" s="8">
        <f>IF(Tabela1[[#This Row],[Personal Consumption Expenditures (PCE)]]="",#N/A,((Tabela1[[#This Row],[Personal Consumption Expenditures (PCE)]]*1)/T854)-1)</f>
        <v>3.7492189127266151E-3</v>
      </c>
      <c r="V855" s="8">
        <f>IF(Tabela1[[#This Row],[Personal Consumption Expenditures (PCE)]]="",#N/A,((Tabela1[[#This Row],[Personal Consumption Expenditures (PCE)]]*1)/T843)-1)</f>
        <v>1.7576494957315614E-2</v>
      </c>
      <c r="W855" s="7">
        <v>101.00700000000001</v>
      </c>
      <c r="X855" s="8">
        <f>IF(Tabela1[[#This Row],[Core PCE]]="",#N/A,((Tabela1[[#This Row],[Core PCE]]*1)/W854)-1)</f>
        <v>3.2180209171359664E-3</v>
      </c>
      <c r="Y855" s="8">
        <f>IF(Tabela1[[#This Row],[Core PCE]]="",#N/A,((Tabela1[[#This Row],[Core PCE]]*1)/W843)-1)</f>
        <v>1.6320370277204788E-2</v>
      </c>
      <c r="Z855" s="8">
        <f t="shared" si="45"/>
        <v>2.0711100682549777E-2</v>
      </c>
      <c r="AA855" s="8">
        <f t="shared" si="44"/>
        <v>1.9860678827673173E-2</v>
      </c>
      <c r="AB855" s="7">
        <v>1.72</v>
      </c>
      <c r="AC855" s="7">
        <v>114.8</v>
      </c>
      <c r="AD855" s="8">
        <f>IF(Tabela1[[#This Row],[Producer Price Index (PPI)]]="",#N/A,((Tabela1[[#This Row],[Producer Price Index (PPI)]]*1)/AC854)-1)</f>
        <v>3.4965034965033226E-3</v>
      </c>
      <c r="AE855" s="8">
        <f>IF(Tabela1[[#This Row],[Producer Price Index (PPI)]]="",#N/A,((Tabela1[[#This Row],[Producer Price Index (PPI)]]*1)/AC843)-1)</f>
        <v>2.5915996425379673E-2</v>
      </c>
      <c r="AF855" s="7">
        <v>2.7</v>
      </c>
      <c r="AG855" s="5"/>
    </row>
    <row r="856" spans="1:33" ht="12.75">
      <c r="A856" s="6">
        <v>43132</v>
      </c>
      <c r="B856" s="7">
        <v>249.529</v>
      </c>
      <c r="C856" s="8">
        <f>IF(Tabela1[[#This Row],[Consumer Price Index (CPI)]]="",#N/A,((Tabela1[[#This Row],[Consumer Price Index (CPI)]]*1)/B855)-1)</f>
        <v>2.6922876006090224E-3</v>
      </c>
      <c r="D856" s="8">
        <f>IF(Tabela1[[#This Row],[Consumer Price Index (CPI)]]="",#N/A,((Tabela1[[#This Row],[Consumer Price Index (CPI)]]*1)/B844)-1)</f>
        <v>2.263468931091861E-2</v>
      </c>
      <c r="E856" s="25">
        <v>255.71100000000001</v>
      </c>
      <c r="F856" s="8">
        <f>IF(Tabela1[[#This Row],[Core Consumer Price Index]]="",#N/A,((Tabela1[[#This Row],[Core Consumer Price Index]]*1)/E855)-1)</f>
        <v>1.986645977335888E-3</v>
      </c>
      <c r="G856" s="8">
        <f>IF(Tabela1[[#This Row],[Core Consumer Price Index]]="",#N/A,((Tabela1[[#This Row],[Core Consumer Price Index]]*1)/E844)-1)</f>
        <v>1.8777042048143899E-2</v>
      </c>
      <c r="H856" s="8">
        <f t="shared" si="46"/>
        <v>2.9792562119533628E-2</v>
      </c>
      <c r="I856" s="8">
        <f t="shared" si="47"/>
        <v>2.502623623708855E-2</v>
      </c>
      <c r="J856" s="25">
        <v>313.68400000000003</v>
      </c>
      <c r="K856" s="8">
        <f>IF(Tabela1[[#This Row],[Services CPI]]="",#N/A,((Tabela1[[#This Row],[Services CPI]]*1)/J855)-1)</f>
        <v>2.9415150081211205E-3</v>
      </c>
      <c r="L856" s="8">
        <f>IF(Tabela1[[#This Row],[Services CPI]]="",#N/A,((Tabela1[[#This Row],[Services CPI]]*1)/J844)-1)</f>
        <v>2.5979505529189817E-2</v>
      </c>
      <c r="M856" s="7">
        <v>324.61599999999999</v>
      </c>
      <c r="N856" s="8">
        <f>IF(Tabela1[[#This Row],[Core-Services CPI]]="",#N/A,((Tabela1[[#This Row],[Core-Services CPI]]*1)/M855)-1)</f>
        <v>2.3900544092489984E-3</v>
      </c>
      <c r="O856" s="8">
        <f>IF(Tabela1[[#This Row],[Core-Services CPI]]="",#N/A,((Tabela1[[#This Row],[Core-Services CPI]]*1)/M844)-1)</f>
        <v>2.5973615509579551E-2</v>
      </c>
      <c r="P856" s="7">
        <v>104.694</v>
      </c>
      <c r="Q856" s="8">
        <f>IF(Tabela1[[#This Row],[Durable Goods CPI]]="",#N/A,((Tabela1[[#This Row],[Durable Goods CPI]]*1)/P855)-1)</f>
        <v>-1.528029796580288E-4</v>
      </c>
      <c r="R856" s="8">
        <f>IF(Tabela1[[#This Row],[Durable Goods CPI]]="",#N/A,((Tabela1[[#This Row],[Durable Goods CPI]]*1)/P844)-1)</f>
        <v>-1.6496007515265365E-2</v>
      </c>
      <c r="S856" s="7">
        <v>2.1254719999999998</v>
      </c>
      <c r="T856" s="7">
        <v>101.416</v>
      </c>
      <c r="U856" s="8">
        <f>IF(Tabela1[[#This Row],[Personal Consumption Expenditures (PCE)]]="",#N/A,((Tabela1[[#This Row],[Personal Consumption Expenditures (PCE)]]*1)/T855)-1)</f>
        <v>2.1442899633394852E-3</v>
      </c>
      <c r="V856" s="8">
        <f>IF(Tabela1[[#This Row],[Personal Consumption Expenditures (PCE)]]="",#N/A,((Tabela1[[#This Row],[Personal Consumption Expenditures (PCE)]]*1)/T844)-1)</f>
        <v>1.8376076958608545E-2</v>
      </c>
      <c r="W856" s="7">
        <v>101.19799999999999</v>
      </c>
      <c r="X856" s="8">
        <f>IF(Tabela1[[#This Row],[Core PCE]]="",#N/A,((Tabela1[[#This Row],[Core PCE]]*1)/W855)-1)</f>
        <v>1.8909580524120173E-3</v>
      </c>
      <c r="Y856" s="8">
        <f>IF(Tabela1[[#This Row],[Core PCE]]="",#N/A,((Tabela1[[#This Row],[Core PCE]]*1)/W844)-1)</f>
        <v>1.6442181175359671E-2</v>
      </c>
      <c r="Z856" s="8">
        <f t="shared" si="45"/>
        <v>2.6324412421685039E-2</v>
      </c>
      <c r="AA856" s="8">
        <f t="shared" si="44"/>
        <v>2.1482810910899541E-2</v>
      </c>
      <c r="AB856" s="7">
        <v>1.75</v>
      </c>
      <c r="AC856" s="7">
        <v>115.1</v>
      </c>
      <c r="AD856" s="8">
        <f>IF(Tabela1[[#This Row],[Producer Price Index (PPI)]]="",#N/A,((Tabela1[[#This Row],[Producer Price Index (PPI)]]*1)/AC855)-1)</f>
        <v>2.6132404181185009E-3</v>
      </c>
      <c r="AE856" s="8">
        <f>IF(Tabela1[[#This Row],[Producer Price Index (PPI)]]="",#N/A,((Tabela1[[#This Row],[Producer Price Index (PPI)]]*1)/AC844)-1)</f>
        <v>2.8596961572832758E-2</v>
      </c>
      <c r="AF856" s="7">
        <v>2.7</v>
      </c>
      <c r="AG856" s="5"/>
    </row>
    <row r="857" spans="1:33" ht="12.75">
      <c r="A857" s="6">
        <v>43160</v>
      </c>
      <c r="B857" s="7">
        <v>249.577</v>
      </c>
      <c r="C857" s="8">
        <f>IF(Tabela1[[#This Row],[Consumer Price Index (CPI)]]="",#N/A,((Tabela1[[#This Row],[Consumer Price Index (CPI)]]*1)/B856)-1)</f>
        <v>1.9236241078202099E-4</v>
      </c>
      <c r="D857" s="8">
        <f>IF(Tabela1[[#This Row],[Consumer Price Index (CPI)]]="",#N/A,((Tabela1[[#This Row],[Consumer Price Index (CPI)]]*1)/B845)-1)</f>
        <v>2.3309497646499366E-2</v>
      </c>
      <c r="E857" s="25">
        <v>256.27100000000002</v>
      </c>
      <c r="F857" s="8">
        <f>IF(Tabela1[[#This Row],[Core Consumer Price Index]]="",#N/A,((Tabela1[[#This Row],[Core Consumer Price Index]]*1)/E856)-1)</f>
        <v>2.1899722733866867E-3</v>
      </c>
      <c r="G857" s="8">
        <f>IF(Tabela1[[#This Row],[Core Consumer Price Index]]="",#N/A,((Tabela1[[#This Row],[Core Consumer Price Index]]*1)/E845)-1)</f>
        <v>2.1227843662331214E-2</v>
      </c>
      <c r="H857" s="8">
        <f t="shared" si="46"/>
        <v>3.0231462780514917E-2</v>
      </c>
      <c r="I857" s="8">
        <f t="shared" si="47"/>
        <v>2.7212425462816991E-2</v>
      </c>
      <c r="J857" s="25">
        <v>314.41399999999999</v>
      </c>
      <c r="K857" s="8">
        <f>IF(Tabela1[[#This Row],[Services CPI]]="",#N/A,((Tabela1[[#This Row],[Services CPI]]*1)/J856)-1)</f>
        <v>2.3271827699211656E-3</v>
      </c>
      <c r="L857" s="8">
        <f>IF(Tabela1[[#This Row],[Services CPI]]="",#N/A,((Tabela1[[#This Row],[Services CPI]]*1)/J845)-1)</f>
        <v>2.8777661074736782E-2</v>
      </c>
      <c r="M857" s="7">
        <v>325.46100000000001</v>
      </c>
      <c r="N857" s="8">
        <f>IF(Tabela1[[#This Row],[Core-Services CPI]]="",#N/A,((Tabela1[[#This Row],[Core-Services CPI]]*1)/M856)-1)</f>
        <v>2.6030756339798788E-3</v>
      </c>
      <c r="O857" s="8">
        <f>IF(Tabela1[[#This Row],[Core-Services CPI]]="",#N/A,((Tabela1[[#This Row],[Core-Services CPI]]*1)/M845)-1)</f>
        <v>2.8969516089257574E-2</v>
      </c>
      <c r="P857" s="7">
        <v>104.95699999999999</v>
      </c>
      <c r="Q857" s="8">
        <f>IF(Tabela1[[#This Row],[Durable Goods CPI]]="",#N/A,((Tabela1[[#This Row],[Durable Goods CPI]]*1)/P856)-1)</f>
        <v>2.5120828318718758E-3</v>
      </c>
      <c r="R857" s="8">
        <f>IF(Tabela1[[#This Row],[Durable Goods CPI]]="",#N/A,((Tabela1[[#This Row],[Durable Goods CPI]]*1)/P845)-1)</f>
        <v>-1.0521056253712024E-2</v>
      </c>
      <c r="S857" s="7">
        <v>2.1663049999999999</v>
      </c>
      <c r="T857" s="7">
        <v>101.524</v>
      </c>
      <c r="U857" s="8">
        <f>IF(Tabela1[[#This Row],[Personal Consumption Expenditures (PCE)]]="",#N/A,((Tabela1[[#This Row],[Personal Consumption Expenditures (PCE)]]*1)/T856)-1)</f>
        <v>1.0649207225683632E-3</v>
      </c>
      <c r="V857" s="8">
        <f>IF(Tabela1[[#This Row],[Personal Consumption Expenditures (PCE)]]="",#N/A,((Tabela1[[#This Row],[Personal Consumption Expenditures (PCE)]]*1)/T845)-1)</f>
        <v>1.9982920580700281E-2</v>
      </c>
      <c r="W857" s="7">
        <v>101.419</v>
      </c>
      <c r="X857" s="8">
        <f>IF(Tabela1[[#This Row],[Core PCE]]="",#N/A,((Tabela1[[#This Row],[Core PCE]]*1)/W856)-1)</f>
        <v>2.1838376252496516E-3</v>
      </c>
      <c r="Y857" s="8">
        <f>IF(Tabela1[[#This Row],[Core PCE]]="",#N/A,((Tabela1[[#This Row],[Core PCE]]*1)/W845)-1)</f>
        <v>1.9091831710527529E-2</v>
      </c>
      <c r="Z857" s="8">
        <f t="shared" si="45"/>
        <v>2.9171266379190541E-2</v>
      </c>
      <c r="AA857" s="8">
        <f t="shared" ref="AA857:AA920" si="48">SUM(X852:X857)*2</f>
        <v>2.3413361967947299E-2</v>
      </c>
      <c r="AB857" s="7">
        <v>1.79</v>
      </c>
      <c r="AC857" s="7">
        <v>115.3</v>
      </c>
      <c r="AD857" s="8">
        <f>IF(Tabela1[[#This Row],[Producer Price Index (PPI)]]="",#N/A,((Tabela1[[#This Row],[Producer Price Index (PPI)]]*1)/AC856)-1)</f>
        <v>1.7376194613381024E-3</v>
      </c>
      <c r="AE857" s="8">
        <f>IF(Tabela1[[#This Row],[Producer Price Index (PPI)]]="",#N/A,((Tabela1[[#This Row],[Producer Price Index (PPI)]]*1)/AC845)-1)</f>
        <v>2.8545941123996554E-2</v>
      </c>
      <c r="AF857" s="7">
        <v>2.8</v>
      </c>
      <c r="AG857" s="5"/>
    </row>
    <row r="858" spans="1:33" ht="12.75">
      <c r="A858" s="6">
        <v>43191</v>
      </c>
      <c r="B858" s="7">
        <v>250.227</v>
      </c>
      <c r="C858" s="8">
        <f>IF(Tabela1[[#This Row],[Consumer Price Index (CPI)]]="",#N/A,((Tabela1[[#This Row],[Consumer Price Index (CPI)]]*1)/B857)-1)</f>
        <v>2.6044066560619861E-3</v>
      </c>
      <c r="D858" s="8">
        <f>IF(Tabela1[[#This Row],[Consumer Price Index (CPI)]]="",#N/A,((Tabela1[[#This Row],[Consumer Price Index (CPI)]]*1)/B846)-1)</f>
        <v>2.4709963021052994E-2</v>
      </c>
      <c r="E858" s="25">
        <v>256.63</v>
      </c>
      <c r="F858" s="8">
        <f>IF(Tabela1[[#This Row],[Core Consumer Price Index]]="",#N/A,((Tabela1[[#This Row],[Core Consumer Price Index]]*1)/E857)-1)</f>
        <v>1.400860807504456E-3</v>
      </c>
      <c r="G858" s="8">
        <f>IF(Tabela1[[#This Row],[Core Consumer Price Index]]="",#N/A,((Tabela1[[#This Row],[Core Consumer Price Index]]*1)/E846)-1)</f>
        <v>2.1506446361258869E-2</v>
      </c>
      <c r="H858" s="8">
        <f t="shared" si="46"/>
        <v>2.2309916232908122E-2</v>
      </c>
      <c r="I858" s="8">
        <f t="shared" si="47"/>
        <v>2.4365681023999386E-2</v>
      </c>
      <c r="J858" s="25">
        <v>314.89999999999998</v>
      </c>
      <c r="K858" s="8">
        <f>IF(Tabela1[[#This Row],[Services CPI]]="",#N/A,((Tabela1[[#This Row],[Services CPI]]*1)/J857)-1)</f>
        <v>1.5457326963812523E-3</v>
      </c>
      <c r="L858" s="8">
        <f>IF(Tabela1[[#This Row],[Services CPI]]="",#N/A,((Tabela1[[#This Row],[Services CPI]]*1)/J846)-1)</f>
        <v>2.8211323711878844E-2</v>
      </c>
      <c r="M858" s="7">
        <v>326.07</v>
      </c>
      <c r="N858" s="8">
        <f>IF(Tabela1[[#This Row],[Core-Services CPI]]="",#N/A,((Tabela1[[#This Row],[Core-Services CPI]]*1)/M857)-1)</f>
        <v>1.8711919400480337E-3</v>
      </c>
      <c r="O858" s="8">
        <f>IF(Tabela1[[#This Row],[Core-Services CPI]]="",#N/A,((Tabela1[[#This Row],[Core-Services CPI]]*1)/M846)-1)</f>
        <v>2.9248368076160824E-2</v>
      </c>
      <c r="P858" s="7">
        <v>104.611</v>
      </c>
      <c r="Q858" s="8">
        <f>IF(Tabela1[[#This Row],[Durable Goods CPI]]="",#N/A,((Tabela1[[#This Row],[Durable Goods CPI]]*1)/P857)-1)</f>
        <v>-3.2965881265659691E-3</v>
      </c>
      <c r="R858" s="8">
        <f>IF(Tabela1[[#This Row],[Durable Goods CPI]]="",#N/A,((Tabela1[[#This Row],[Durable Goods CPI]]*1)/P846)-1)</f>
        <v>-1.2265130771409671E-2</v>
      </c>
      <c r="S858" s="7">
        <v>2.1318959999999998</v>
      </c>
      <c r="T858" s="7">
        <v>101.76600000000001</v>
      </c>
      <c r="U858" s="8">
        <f>IF(Tabela1[[#This Row],[Personal Consumption Expenditures (PCE)]]="",#N/A,((Tabela1[[#This Row],[Personal Consumption Expenditures (PCE)]]*1)/T857)-1)</f>
        <v>2.3836728261297235E-3</v>
      </c>
      <c r="V858" s="8">
        <f>IF(Tabela1[[#This Row],[Personal Consumption Expenditures (PCE)]]="",#N/A,((Tabela1[[#This Row],[Personal Consumption Expenditures (PCE)]]*1)/T846)-1)</f>
        <v>2.0466282276259795E-2</v>
      </c>
      <c r="W858" s="7">
        <v>101.602</v>
      </c>
      <c r="X858" s="8">
        <f>IF(Tabela1[[#This Row],[Core PCE]]="",#N/A,((Tabela1[[#This Row],[Core PCE]]*1)/W857)-1)</f>
        <v>1.8043956260662686E-3</v>
      </c>
      <c r="Y858" s="8">
        <f>IF(Tabela1[[#This Row],[Core PCE]]="",#N/A,((Tabela1[[#This Row],[Core PCE]]*1)/W846)-1)</f>
        <v>1.8842192874261698E-2</v>
      </c>
      <c r="Z858" s="8">
        <f t="shared" si="45"/>
        <v>2.351676521491175E-2</v>
      </c>
      <c r="AA858" s="8">
        <f t="shared" si="48"/>
        <v>2.2113932948730763E-2</v>
      </c>
      <c r="AB858" s="7">
        <v>1.76</v>
      </c>
      <c r="AC858" s="7">
        <v>115.5</v>
      </c>
      <c r="AD858" s="8">
        <f>IF(Tabela1[[#This Row],[Producer Price Index (PPI)]]="",#N/A,((Tabela1[[#This Row],[Producer Price Index (PPI)]]*1)/AC857)-1)</f>
        <v>1.7346053772766545E-3</v>
      </c>
      <c r="AE858" s="8">
        <f>IF(Tabela1[[#This Row],[Producer Price Index (PPI)]]="",#N/A,((Tabela1[[#This Row],[Producer Price Index (PPI)]]*1)/AC846)-1)</f>
        <v>2.5754884547069423E-2</v>
      </c>
      <c r="AF858" s="7">
        <v>2.7</v>
      </c>
      <c r="AG858" s="5"/>
    </row>
    <row r="859" spans="1:33" ht="12.75">
      <c r="A859" s="6">
        <v>43221</v>
      </c>
      <c r="B859" s="7">
        <v>250.792</v>
      </c>
      <c r="C859" s="8">
        <f>IF(Tabela1[[#This Row],[Consumer Price Index (CPI)]]="",#N/A,((Tabela1[[#This Row],[Consumer Price Index (CPI)]]*1)/B858)-1)</f>
        <v>2.2579497815982119E-3</v>
      </c>
      <c r="D859" s="8">
        <f>IF(Tabela1[[#This Row],[Consumer Price Index (CPI)]]="",#N/A,((Tabela1[[#This Row],[Consumer Price Index (CPI)]]*1)/B847)-1)</f>
        <v>2.7819216078424969E-2</v>
      </c>
      <c r="E859" s="25">
        <v>257.14499999999998</v>
      </c>
      <c r="F859" s="8">
        <f>IF(Tabela1[[#This Row],[Core Consumer Price Index]]="",#N/A,((Tabela1[[#This Row],[Core Consumer Price Index]]*1)/E858)-1)</f>
        <v>2.0067801893777215E-3</v>
      </c>
      <c r="G859" s="8">
        <f>IF(Tabela1[[#This Row],[Core Consumer Price Index]]="",#N/A,((Tabela1[[#This Row],[Core Consumer Price Index]]*1)/E847)-1)</f>
        <v>2.272998448872432E-2</v>
      </c>
      <c r="H859" s="8">
        <f t="shared" si="46"/>
        <v>2.2390453081075457E-2</v>
      </c>
      <c r="I859" s="8">
        <f t="shared" si="47"/>
        <v>2.6091507600304542E-2</v>
      </c>
      <c r="J859" s="25">
        <v>315.76299999999998</v>
      </c>
      <c r="K859" s="8">
        <f>IF(Tabela1[[#This Row],[Services CPI]]="",#N/A,((Tabela1[[#This Row],[Services CPI]]*1)/J858)-1)</f>
        <v>2.7405525563670707E-3</v>
      </c>
      <c r="L859" s="8">
        <f>IF(Tabela1[[#This Row],[Services CPI]]="",#N/A,((Tabela1[[#This Row],[Services CPI]]*1)/J847)-1)</f>
        <v>2.8848942194591887E-2</v>
      </c>
      <c r="M859" s="7">
        <v>326.99900000000002</v>
      </c>
      <c r="N859" s="8">
        <f>IF(Tabela1[[#This Row],[Core-Services CPI]]="",#N/A,((Tabela1[[#This Row],[Core-Services CPI]]*1)/M858)-1)</f>
        <v>2.8490814855706148E-3</v>
      </c>
      <c r="O859" s="8">
        <f>IF(Tabela1[[#This Row],[Core-Services CPI]]="",#N/A,((Tabela1[[#This Row],[Core-Services CPI]]*1)/M847)-1)</f>
        <v>3.0310764102224885E-2</v>
      </c>
      <c r="P859" s="7">
        <v>104.197</v>
      </c>
      <c r="Q859" s="8">
        <f>IF(Tabela1[[#This Row],[Durable Goods CPI]]="",#N/A,((Tabela1[[#This Row],[Durable Goods CPI]]*1)/P858)-1)</f>
        <v>-3.957518807773619E-3</v>
      </c>
      <c r="R859" s="8">
        <f>IF(Tabela1[[#This Row],[Durable Goods CPI]]="",#N/A,((Tabela1[[#This Row],[Durable Goods CPI]]*1)/P847)-1)</f>
        <v>-1.4144873784203038E-2</v>
      </c>
      <c r="S859" s="7">
        <v>2.3691970000000002</v>
      </c>
      <c r="T859" s="7">
        <v>101.941</v>
      </c>
      <c r="U859" s="8">
        <f>IF(Tabela1[[#This Row],[Personal Consumption Expenditures (PCE)]]="",#N/A,((Tabela1[[#This Row],[Personal Consumption Expenditures (PCE)]]*1)/T858)-1)</f>
        <v>1.7196313110467987E-3</v>
      </c>
      <c r="V859" s="8">
        <f>IF(Tabela1[[#This Row],[Personal Consumption Expenditures (PCE)]]="",#N/A,((Tabela1[[#This Row],[Personal Consumption Expenditures (PCE)]]*1)/T847)-1)</f>
        <v>2.2662065367869744E-2</v>
      </c>
      <c r="W859" s="7">
        <v>101.78</v>
      </c>
      <c r="X859" s="8">
        <f>IF(Tabela1[[#This Row],[Core PCE]]="",#N/A,((Tabela1[[#This Row],[Core PCE]]*1)/W858)-1)</f>
        <v>1.7519340170468745E-3</v>
      </c>
      <c r="Y859" s="8">
        <f>IF(Tabela1[[#This Row],[Core PCE]]="",#N/A,((Tabela1[[#This Row],[Core PCE]]*1)/W847)-1)</f>
        <v>1.9809023776840462E-2</v>
      </c>
      <c r="Z859" s="8">
        <f t="shared" si="45"/>
        <v>2.2960669073451179E-2</v>
      </c>
      <c r="AA859" s="8">
        <f t="shared" si="48"/>
        <v>2.4642540747568109E-2</v>
      </c>
      <c r="AB859" s="7">
        <v>1.86</v>
      </c>
      <c r="AC859" s="7">
        <v>115.9</v>
      </c>
      <c r="AD859" s="8">
        <f>IF(Tabela1[[#This Row],[Producer Price Index (PPI)]]="",#N/A,((Tabela1[[#This Row],[Producer Price Index (PPI)]]*1)/AC858)-1)</f>
        <v>3.4632034632036124E-3</v>
      </c>
      <c r="AE859" s="8">
        <f>IF(Tabela1[[#This Row],[Producer Price Index (PPI)]]="",#N/A,((Tabela1[[#This Row],[Producer Price Index (PPI)]]*1)/AC847)-1)</f>
        <v>3.0222222222222372E-2</v>
      </c>
      <c r="AF859" s="7">
        <v>2.8</v>
      </c>
      <c r="AG859" s="5"/>
    </row>
    <row r="860" spans="1:33" ht="12.75">
      <c r="A860" s="6">
        <v>43252</v>
      </c>
      <c r="B860" s="7">
        <v>251.018</v>
      </c>
      <c r="C860" s="8">
        <f>IF(Tabela1[[#This Row],[Consumer Price Index (CPI)]]="",#N/A,((Tabela1[[#This Row],[Consumer Price Index (CPI)]]*1)/B859)-1)</f>
        <v>9.0114517209483047E-4</v>
      </c>
      <c r="D860" s="8">
        <f>IF(Tabela1[[#This Row],[Consumer Price Index (CPI)]]="",#N/A,((Tabela1[[#This Row],[Consumer Price Index (CPI)]]*1)/B848)-1)</f>
        <v>2.8075506935940187E-2</v>
      </c>
      <c r="E860" s="25">
        <v>257.399</v>
      </c>
      <c r="F860" s="8">
        <f>IF(Tabela1[[#This Row],[Core Consumer Price Index]]="",#N/A,((Tabela1[[#This Row],[Core Consumer Price Index]]*1)/E859)-1)</f>
        <v>9.8776954636492498E-4</v>
      </c>
      <c r="G860" s="8">
        <f>IF(Tabela1[[#This Row],[Core Consumer Price Index]]="",#N/A,((Tabela1[[#This Row],[Core Consumer Price Index]]*1)/E848)-1)</f>
        <v>2.2455173071270318E-2</v>
      </c>
      <c r="H860" s="8">
        <f t="shared" si="46"/>
        <v>1.758164217298841E-2</v>
      </c>
      <c r="I860" s="8">
        <f t="shared" si="47"/>
        <v>2.3906552476751664E-2</v>
      </c>
      <c r="J860" s="25">
        <v>316.31099999999998</v>
      </c>
      <c r="K860" s="8">
        <f>IF(Tabela1[[#This Row],[Services CPI]]="",#N/A,((Tabela1[[#This Row],[Services CPI]]*1)/J859)-1)</f>
        <v>1.7354788243080232E-3</v>
      </c>
      <c r="L860" s="8">
        <f>IF(Tabela1[[#This Row],[Services CPI]]="",#N/A,((Tabela1[[#This Row],[Services CPI]]*1)/J848)-1)</f>
        <v>2.8382767466130776E-2</v>
      </c>
      <c r="M860" s="7">
        <v>327.70400000000001</v>
      </c>
      <c r="N860" s="8">
        <f>IF(Tabela1[[#This Row],[Core-Services CPI]]="",#N/A,((Tabela1[[#This Row],[Core-Services CPI]]*1)/M859)-1)</f>
        <v>2.1559698959323637E-3</v>
      </c>
      <c r="O860" s="8">
        <f>IF(Tabela1[[#This Row],[Core-Services CPI]]="",#N/A,((Tabela1[[#This Row],[Core-Services CPI]]*1)/M848)-1)</f>
        <v>3.036667651849112E-2</v>
      </c>
      <c r="P860" s="7">
        <v>104.002</v>
      </c>
      <c r="Q860" s="8">
        <f>IF(Tabela1[[#This Row],[Durable Goods CPI]]="",#N/A,((Tabela1[[#This Row],[Durable Goods CPI]]*1)/P859)-1)</f>
        <v>-1.8714550322946888E-3</v>
      </c>
      <c r="R860" s="8">
        <f>IF(Tabela1[[#This Row],[Durable Goods CPI]]="",#N/A,((Tabela1[[#This Row],[Durable Goods CPI]]*1)/P848)-1)</f>
        <v>-1.2092139634291232E-2</v>
      </c>
      <c r="S860" s="7">
        <v>2.4934229999999999</v>
      </c>
      <c r="T860" s="7">
        <v>102.029</v>
      </c>
      <c r="U860" s="8">
        <f>IF(Tabela1[[#This Row],[Personal Consumption Expenditures (PCE)]]="",#N/A,((Tabela1[[#This Row],[Personal Consumption Expenditures (PCE)]]*1)/T859)-1)</f>
        <v>8.6324442569707394E-4</v>
      </c>
      <c r="V860" s="8">
        <f>IF(Tabela1[[#This Row],[Personal Consumption Expenditures (PCE)]]="",#N/A,((Tabela1[[#This Row],[Personal Consumption Expenditures (PCE)]]*1)/T848)-1)</f>
        <v>2.2683078403463952E-2</v>
      </c>
      <c r="W860" s="7">
        <v>101.872</v>
      </c>
      <c r="X860" s="8">
        <f>IF(Tabela1[[#This Row],[Core PCE]]="",#N/A,((Tabela1[[#This Row],[Core PCE]]*1)/W859)-1)</f>
        <v>9.0391039496950931E-4</v>
      </c>
      <c r="Y860" s="8">
        <f>IF(Tabela1[[#This Row],[Core PCE]]="",#N/A,((Tabela1[[#This Row],[Core PCE]]*1)/W848)-1)</f>
        <v>1.9362198184856405E-2</v>
      </c>
      <c r="Z860" s="8">
        <f t="shared" si="45"/>
        <v>1.7840960152330609E-2</v>
      </c>
      <c r="AA860" s="8">
        <f t="shared" si="48"/>
        <v>2.3506113265760575E-2</v>
      </c>
      <c r="AB860" s="7">
        <v>1.9</v>
      </c>
      <c r="AC860" s="7">
        <v>116.3</v>
      </c>
      <c r="AD860" s="8">
        <f>IF(Tabela1[[#This Row],[Producer Price Index (PPI)]]="",#N/A,((Tabela1[[#This Row],[Producer Price Index (PPI)]]*1)/AC859)-1)</f>
        <v>3.451251078515849E-3</v>
      </c>
      <c r="AE860" s="8">
        <f>IF(Tabela1[[#This Row],[Producer Price Index (PPI)]]="",#N/A,((Tabela1[[#This Row],[Producer Price Index (PPI)]]*1)/AC848)-1)</f>
        <v>3.2859680284191839E-2</v>
      </c>
      <c r="AF860" s="7">
        <v>3</v>
      </c>
      <c r="AG860" s="5"/>
    </row>
    <row r="861" spans="1:33" ht="12.75">
      <c r="A861" s="6">
        <v>43282</v>
      </c>
      <c r="B861" s="7">
        <v>251.214</v>
      </c>
      <c r="C861" s="8">
        <f>IF(Tabela1[[#This Row],[Consumer Price Index (CPI)]]="",#N/A,((Tabela1[[#This Row],[Consumer Price Index (CPI)]]*1)/B860)-1)</f>
        <v>7.8082049892835848E-4</v>
      </c>
      <c r="D861" s="8">
        <f>IF(Tabela1[[#This Row],[Consumer Price Index (CPI)]]="",#N/A,((Tabela1[[#This Row],[Consumer Price Index (CPI)]]*1)/B849)-1)</f>
        <v>2.8541247855619289E-2</v>
      </c>
      <c r="E861" s="25">
        <v>257.69900000000001</v>
      </c>
      <c r="F861" s="8">
        <f>IF(Tabela1[[#This Row],[Core Consumer Price Index]]="",#N/A,((Tabela1[[#This Row],[Core Consumer Price Index]]*1)/E860)-1)</f>
        <v>1.1655056934953834E-3</v>
      </c>
      <c r="G861" s="8">
        <f>IF(Tabela1[[#This Row],[Core Consumer Price Index]]="",#N/A,((Tabela1[[#This Row],[Core Consumer Price Index]]*1)/E849)-1)</f>
        <v>2.2675952933706389E-2</v>
      </c>
      <c r="H861" s="8">
        <f t="shared" si="46"/>
        <v>1.6640221716952119E-2</v>
      </c>
      <c r="I861" s="8">
        <f t="shared" si="47"/>
        <v>1.9475068974930121E-2</v>
      </c>
      <c r="J861" s="25">
        <v>316.923</v>
      </c>
      <c r="K861" s="8">
        <f>IF(Tabela1[[#This Row],[Services CPI]]="",#N/A,((Tabela1[[#This Row],[Services CPI]]*1)/J860)-1)</f>
        <v>1.9348046700873311E-3</v>
      </c>
      <c r="L861" s="8">
        <f>IF(Tabela1[[#This Row],[Services CPI]]="",#N/A,((Tabela1[[#This Row],[Services CPI]]*1)/J849)-1)</f>
        <v>2.8693566344134558E-2</v>
      </c>
      <c r="M861" s="7">
        <v>328.43200000000002</v>
      </c>
      <c r="N861" s="8">
        <f>IF(Tabela1[[#This Row],[Core-Services CPI]]="",#N/A,((Tabela1[[#This Row],[Core-Services CPI]]*1)/M860)-1)</f>
        <v>2.2215169787369593E-3</v>
      </c>
      <c r="O861" s="8">
        <f>IF(Tabela1[[#This Row],[Core-Services CPI]]="",#N/A,((Tabela1[[#This Row],[Core-Services CPI]]*1)/M849)-1)</f>
        <v>3.0921492493274805E-2</v>
      </c>
      <c r="P861" s="7">
        <v>104.29600000000001</v>
      </c>
      <c r="Q861" s="8">
        <f>IF(Tabela1[[#This Row],[Durable Goods CPI]]="",#N/A,((Tabela1[[#This Row],[Durable Goods CPI]]*1)/P860)-1)</f>
        <v>2.8268687140633464E-3</v>
      </c>
      <c r="R861" s="8">
        <f>IF(Tabela1[[#This Row],[Durable Goods CPI]]="",#N/A,((Tabela1[[#This Row],[Durable Goods CPI]]*1)/P849)-1)</f>
        <v>-4.3246236240918057E-3</v>
      </c>
      <c r="S861" s="7">
        <v>2.544991</v>
      </c>
      <c r="T861" s="7">
        <v>102.137</v>
      </c>
      <c r="U861" s="8">
        <f>IF(Tabela1[[#This Row],[Personal Consumption Expenditures (PCE)]]="",#N/A,((Tabela1[[#This Row],[Personal Consumption Expenditures (PCE)]]*1)/T860)-1)</f>
        <v>1.0585225769144113E-3</v>
      </c>
      <c r="V861" s="8">
        <f>IF(Tabela1[[#This Row],[Personal Consumption Expenditures (PCE)]]="",#N/A,((Tabela1[[#This Row],[Personal Consumption Expenditures (PCE)]]*1)/T849)-1)</f>
        <v>2.3386070559001215E-2</v>
      </c>
      <c r="W861" s="7">
        <v>102.006</v>
      </c>
      <c r="X861" s="8">
        <f>IF(Tabela1[[#This Row],[Core PCE]]="",#N/A,((Tabela1[[#This Row],[Core PCE]]*1)/W860)-1)</f>
        <v>1.3153761583162282E-3</v>
      </c>
      <c r="Y861" s="8">
        <f>IF(Tabela1[[#This Row],[Core PCE]]="",#N/A,((Tabela1[[#This Row],[Core PCE]]*1)/W849)-1)</f>
        <v>1.9958004199579937E-2</v>
      </c>
      <c r="Z861" s="8">
        <f t="shared" si="45"/>
        <v>1.5884882281330448E-2</v>
      </c>
      <c r="AA861" s="8">
        <f t="shared" si="48"/>
        <v>1.9700823748121099E-2</v>
      </c>
      <c r="AB861" s="7">
        <v>1.93</v>
      </c>
      <c r="AC861" s="7">
        <v>116.4</v>
      </c>
      <c r="AD861" s="8">
        <f>IF(Tabela1[[#This Row],[Producer Price Index (PPI)]]="",#N/A,((Tabela1[[#This Row],[Producer Price Index (PPI)]]*1)/AC860)-1)</f>
        <v>8.5984522785897965E-4</v>
      </c>
      <c r="AE861" s="8">
        <f>IF(Tabela1[[#This Row],[Producer Price Index (PPI)]]="",#N/A,((Tabela1[[#This Row],[Producer Price Index (PPI)]]*1)/AC849)-1)</f>
        <v>3.2830523513753374E-2</v>
      </c>
      <c r="AF861" s="7">
        <v>2.9</v>
      </c>
      <c r="AG861" s="5"/>
    </row>
    <row r="862" spans="1:33" ht="12.75">
      <c r="A862" s="6">
        <v>43313</v>
      </c>
      <c r="B862" s="7">
        <v>251.66300000000001</v>
      </c>
      <c r="C862" s="8">
        <f>IF(Tabela1[[#This Row],[Consumer Price Index (CPI)]]="",#N/A,((Tabela1[[#This Row],[Consumer Price Index (CPI)]]*1)/B861)-1)</f>
        <v>1.7873207703393845E-3</v>
      </c>
      <c r="D862" s="8">
        <f>IF(Tabela1[[#This Row],[Consumer Price Index (CPI)]]="",#N/A,((Tabela1[[#This Row],[Consumer Price Index (CPI)]]*1)/B850)-1)</f>
        <v>2.6429238568742575E-2</v>
      </c>
      <c r="E862" s="25">
        <v>257.89100000000002</v>
      </c>
      <c r="F862" s="8">
        <f>IF(Tabela1[[#This Row],[Core Consumer Price Index]]="",#N/A,((Tabela1[[#This Row],[Core Consumer Price Index]]*1)/E861)-1)</f>
        <v>7.4505527766888235E-4</v>
      </c>
      <c r="G862" s="8">
        <f>IF(Tabela1[[#This Row],[Core Consumer Price Index]]="",#N/A,((Tabela1[[#This Row],[Core Consumer Price Index]]*1)/E850)-1)</f>
        <v>2.1208941334864617E-2</v>
      </c>
      <c r="H862" s="8">
        <f t="shared" si="46"/>
        <v>1.1593322070116763E-2</v>
      </c>
      <c r="I862" s="8">
        <f t="shared" si="47"/>
        <v>1.699188757559611E-2</v>
      </c>
      <c r="J862" s="25">
        <v>317.55700000000002</v>
      </c>
      <c r="K862" s="8">
        <f>IF(Tabela1[[#This Row],[Services CPI]]="",#N/A,((Tabela1[[#This Row],[Services CPI]]*1)/J861)-1)</f>
        <v>2.0004859224480587E-3</v>
      </c>
      <c r="L862" s="8">
        <f>IF(Tabela1[[#This Row],[Services CPI]]="",#N/A,((Tabela1[[#This Row],[Services CPI]]*1)/J850)-1)</f>
        <v>2.7752425707646466E-2</v>
      </c>
      <c r="M862" s="7">
        <v>329.05399999999997</v>
      </c>
      <c r="N862" s="8">
        <f>IF(Tabela1[[#This Row],[Core-Services CPI]]="",#N/A,((Tabela1[[#This Row],[Core-Services CPI]]*1)/M861)-1)</f>
        <v>1.8938471281724212E-3</v>
      </c>
      <c r="O862" s="8">
        <f>IF(Tabela1[[#This Row],[Core-Services CPI]]="",#N/A,((Tabela1[[#This Row],[Core-Services CPI]]*1)/M850)-1)</f>
        <v>2.9600055069869846E-2</v>
      </c>
      <c r="P862" s="7">
        <v>104.203</v>
      </c>
      <c r="Q862" s="8">
        <f>IF(Tabela1[[#This Row],[Durable Goods CPI]]="",#N/A,((Tabela1[[#This Row],[Durable Goods CPI]]*1)/P861)-1)</f>
        <v>-8.916928741274921E-4</v>
      </c>
      <c r="R862" s="8">
        <f>IF(Tabela1[[#This Row],[Durable Goods CPI]]="",#N/A,((Tabela1[[#This Row],[Durable Goods CPI]]*1)/P850)-1)</f>
        <v>-3.4238387161561468E-3</v>
      </c>
      <c r="S862" s="7">
        <v>2.5532189999999999</v>
      </c>
      <c r="T862" s="7">
        <v>102.208</v>
      </c>
      <c r="U862" s="8">
        <f>IF(Tabela1[[#This Row],[Personal Consumption Expenditures (PCE)]]="",#N/A,((Tabela1[[#This Row],[Personal Consumption Expenditures (PCE)]]*1)/T861)-1)</f>
        <v>6.951447565524127E-4</v>
      </c>
      <c r="V862" s="8">
        <f>IF(Tabela1[[#This Row],[Personal Consumption Expenditures (PCE)]]="",#N/A,((Tabela1[[#This Row],[Personal Consumption Expenditures (PCE)]]*1)/T850)-1)</f>
        <v>2.1804112889519889E-2</v>
      </c>
      <c r="W862" s="7">
        <v>102.01600000000001</v>
      </c>
      <c r="X862" s="8">
        <f>IF(Tabela1[[#This Row],[Core PCE]]="",#N/A,((Tabela1[[#This Row],[Core PCE]]*1)/W861)-1)</f>
        <v>9.8033449012824292E-5</v>
      </c>
      <c r="Y862" s="8">
        <f>IF(Tabela1[[#This Row],[Core PCE]]="",#N/A,((Tabela1[[#This Row],[Core PCE]]*1)/W850)-1)</f>
        <v>1.8957629996604108E-2</v>
      </c>
      <c r="Z862" s="8">
        <f t="shared" si="45"/>
        <v>9.2692800091942473E-3</v>
      </c>
      <c r="AA862" s="8">
        <f t="shared" si="48"/>
        <v>1.6114974541322713E-2</v>
      </c>
      <c r="AB862" s="7">
        <v>1.93</v>
      </c>
      <c r="AC862" s="7">
        <v>116.5</v>
      </c>
      <c r="AD862" s="8">
        <f>IF(Tabela1[[#This Row],[Producer Price Index (PPI)]]="",#N/A,((Tabela1[[#This Row],[Producer Price Index (PPI)]]*1)/AC861)-1)</f>
        <v>8.5910652920961894E-4</v>
      </c>
      <c r="AE862" s="8">
        <f>IF(Tabela1[[#This Row],[Producer Price Index (PPI)]]="",#N/A,((Tabela1[[#This Row],[Producer Price Index (PPI)]]*1)/AC850)-1)</f>
        <v>3.0061892130857748E-2</v>
      </c>
      <c r="AF862" s="7">
        <v>3</v>
      </c>
      <c r="AG862" s="5"/>
    </row>
    <row r="863" spans="1:33" ht="12.75">
      <c r="A863" s="6">
        <v>43344</v>
      </c>
      <c r="B863" s="7">
        <v>252.18199999999999</v>
      </c>
      <c r="C863" s="8">
        <f>IF(Tabela1[[#This Row],[Consumer Price Index (CPI)]]="",#N/A,((Tabela1[[#This Row],[Consumer Price Index (CPI)]]*1)/B862)-1)</f>
        <v>2.0622817021174189E-3</v>
      </c>
      <c r="D863" s="8">
        <f>IF(Tabela1[[#This Row],[Consumer Price Index (CPI)]]="",#N/A,((Tabela1[[#This Row],[Consumer Price Index (CPI)]]*1)/B851)-1)</f>
        <v>2.3320551058088279E-2</v>
      </c>
      <c r="E863" s="25">
        <v>258.36799999999999</v>
      </c>
      <c r="F863" s="8">
        <f>IF(Tabela1[[#This Row],[Core Consumer Price Index]]="",#N/A,((Tabela1[[#This Row],[Core Consumer Price Index]]*1)/E862)-1)</f>
        <v>1.8496186373311296E-3</v>
      </c>
      <c r="G863" s="8">
        <f>IF(Tabela1[[#This Row],[Core Consumer Price Index]]="",#N/A,((Tabela1[[#This Row],[Core Consumer Price Index]]*1)/E851)-1)</f>
        <v>2.1976804898501623E-2</v>
      </c>
      <c r="H863" s="8">
        <f t="shared" si="46"/>
        <v>1.5040718433981581E-2</v>
      </c>
      <c r="I863" s="8">
        <f t="shared" si="47"/>
        <v>1.6311180303484996E-2</v>
      </c>
      <c r="J863" s="25">
        <v>318.06700000000001</v>
      </c>
      <c r="K863" s="8">
        <f>IF(Tabela1[[#This Row],[Services CPI]]="",#N/A,((Tabela1[[#This Row],[Services CPI]]*1)/J862)-1)</f>
        <v>1.6060108893836134E-3</v>
      </c>
      <c r="L863" s="8">
        <f>IF(Tabela1[[#This Row],[Services CPI]]="",#N/A,((Tabela1[[#This Row],[Services CPI]]*1)/J851)-1)</f>
        <v>2.7265240209931374E-2</v>
      </c>
      <c r="M863" s="7">
        <v>329.79399999999998</v>
      </c>
      <c r="N863" s="8">
        <f>IF(Tabela1[[#This Row],[Core-Services CPI]]="",#N/A,((Tabela1[[#This Row],[Core-Services CPI]]*1)/M862)-1)</f>
        <v>2.2488710059747063E-3</v>
      </c>
      <c r="O863" s="8">
        <f>IF(Tabela1[[#This Row],[Core-Services CPI]]="",#N/A,((Tabela1[[#This Row],[Core-Services CPI]]*1)/M851)-1)</f>
        <v>2.9576673326673353E-2</v>
      </c>
      <c r="P863" s="7">
        <v>103.864</v>
      </c>
      <c r="Q863" s="8">
        <f>IF(Tabela1[[#This Row],[Durable Goods CPI]]="",#N/A,((Tabela1[[#This Row],[Durable Goods CPI]]*1)/P862)-1)</f>
        <v>-3.253265261076943E-3</v>
      </c>
      <c r="R863" s="8">
        <f>IF(Tabela1[[#This Row],[Durable Goods CPI]]="",#N/A,((Tabela1[[#This Row],[Durable Goods CPI]]*1)/P851)-1)</f>
        <v>-6.6279636944441833E-3</v>
      </c>
      <c r="S863" s="7">
        <v>2.5196339999999999</v>
      </c>
      <c r="T863" s="7">
        <v>102.41800000000001</v>
      </c>
      <c r="U863" s="8">
        <f>IF(Tabela1[[#This Row],[Personal Consumption Expenditures (PCE)]]="",#N/A,((Tabela1[[#This Row],[Personal Consumption Expenditures (PCE)]]*1)/T862)-1)</f>
        <v>2.054633688165497E-3</v>
      </c>
      <c r="V863" s="8">
        <f>IF(Tabela1[[#This Row],[Personal Consumption Expenditures (PCE)]]="",#N/A,((Tabela1[[#This Row],[Personal Consumption Expenditures (PCE)]]*1)/T851)-1)</f>
        <v>2.0099601593625449E-2</v>
      </c>
      <c r="W863" s="7">
        <v>102.205</v>
      </c>
      <c r="X863" s="8">
        <f>IF(Tabela1[[#This Row],[Core PCE]]="",#N/A,((Tabela1[[#This Row],[Core PCE]]*1)/W862)-1)</f>
        <v>1.8526505646172531E-3</v>
      </c>
      <c r="Y863" s="8">
        <f>IF(Tabela1[[#This Row],[Core PCE]]="",#N/A,((Tabela1[[#This Row],[Core PCE]]*1)/W851)-1)</f>
        <v>1.9602952913008842E-2</v>
      </c>
      <c r="Z863" s="8">
        <f t="shared" si="45"/>
        <v>1.3064240687785222E-2</v>
      </c>
      <c r="AA863" s="8">
        <f t="shared" si="48"/>
        <v>1.5452600420057916E-2</v>
      </c>
      <c r="AB863" s="7">
        <v>1.94</v>
      </c>
      <c r="AC863" s="7">
        <v>116.7</v>
      </c>
      <c r="AD863" s="8">
        <f>IF(Tabela1[[#This Row],[Producer Price Index (PPI)]]="",#N/A,((Tabela1[[#This Row],[Producer Price Index (PPI)]]*1)/AC862)-1)</f>
        <v>1.7167381974250162E-3</v>
      </c>
      <c r="AE863" s="8">
        <f>IF(Tabela1[[#This Row],[Producer Price Index (PPI)]]="",#N/A,((Tabela1[[#This Row],[Producer Price Index (PPI)]]*1)/AC851)-1)</f>
        <v>2.8193832599118895E-2</v>
      </c>
      <c r="AF863" s="7">
        <v>2.7</v>
      </c>
      <c r="AG863" s="5"/>
    </row>
    <row r="864" spans="1:33" ht="12.75">
      <c r="A864" s="6">
        <v>43374</v>
      </c>
      <c r="B864" s="7">
        <v>252.77199999999999</v>
      </c>
      <c r="C864" s="8">
        <f>IF(Tabela1[[#This Row],[Consumer Price Index (CPI)]]="",#N/A,((Tabela1[[#This Row],[Consumer Price Index (CPI)]]*1)/B863)-1)</f>
        <v>2.3395801444987541E-3</v>
      </c>
      <c r="D864" s="8">
        <f>IF(Tabela1[[#This Row],[Consumer Price Index (CPI)]]="",#N/A,((Tabela1[[#This Row],[Consumer Price Index (CPI)]]*1)/B852)-1)</f>
        <v>2.492032470218053E-2</v>
      </c>
      <c r="E864" s="25">
        <v>258.91699999999997</v>
      </c>
      <c r="F864" s="8">
        <f>IF(Tabela1[[#This Row],[Core Consumer Price Index]]="",#N/A,((Tabela1[[#This Row],[Core Consumer Price Index]]*1)/E863)-1)</f>
        <v>2.1248761456527099E-3</v>
      </c>
      <c r="G864" s="8">
        <f>IF(Tabela1[[#This Row],[Core Consumer Price Index]]="",#N/A,((Tabela1[[#This Row],[Core Consumer Price Index]]*1)/E852)-1)</f>
        <v>2.1264091256912421E-2</v>
      </c>
      <c r="H864" s="8">
        <f t="shared" si="46"/>
        <v>1.8878200242610887E-2</v>
      </c>
      <c r="I864" s="8">
        <f t="shared" si="47"/>
        <v>1.7759210979781503E-2</v>
      </c>
      <c r="J864" s="25">
        <v>318.79399999999998</v>
      </c>
      <c r="K864" s="8">
        <f>IF(Tabela1[[#This Row],[Services CPI]]="",#N/A,((Tabela1[[#This Row],[Services CPI]]*1)/J863)-1)</f>
        <v>2.2856819475141066E-3</v>
      </c>
      <c r="L864" s="8">
        <f>IF(Tabela1[[#This Row],[Services CPI]]="",#N/A,((Tabela1[[#This Row],[Services CPI]]*1)/J852)-1)</f>
        <v>2.6817578623239635E-2</v>
      </c>
      <c r="M864" s="7">
        <v>330.488</v>
      </c>
      <c r="N864" s="8">
        <f>IF(Tabela1[[#This Row],[Core-Services CPI]]="",#N/A,((Tabela1[[#This Row],[Core-Services CPI]]*1)/M863)-1)</f>
        <v>2.10434392378267E-3</v>
      </c>
      <c r="O864" s="8">
        <f>IF(Tabela1[[#This Row],[Core-Services CPI]]="",#N/A,((Tabela1[[#This Row],[Core-Services CPI]]*1)/M852)-1)</f>
        <v>2.8583522147250129E-2</v>
      </c>
      <c r="P864" s="7">
        <v>104.157</v>
      </c>
      <c r="Q864" s="8">
        <f>IF(Tabela1[[#This Row],[Durable Goods CPI]]="",#N/A,((Tabela1[[#This Row],[Durable Goods CPI]]*1)/P863)-1)</f>
        <v>2.8209966879764181E-3</v>
      </c>
      <c r="R864" s="8">
        <f>IF(Tabela1[[#This Row],[Durable Goods CPI]]="",#N/A,((Tabela1[[#This Row],[Durable Goods CPI]]*1)/P852)-1)</f>
        <v>-1.160359807437894E-3</v>
      </c>
      <c r="S864" s="7">
        <v>2.4328780000000001</v>
      </c>
      <c r="T864" s="7">
        <v>102.595</v>
      </c>
      <c r="U864" s="8">
        <f>IF(Tabela1[[#This Row],[Personal Consumption Expenditures (PCE)]]="",#N/A,((Tabela1[[#This Row],[Personal Consumption Expenditures (PCE)]]*1)/T863)-1)</f>
        <v>1.7282118377628386E-3</v>
      </c>
      <c r="V864" s="8">
        <f>IF(Tabela1[[#This Row],[Personal Consumption Expenditures (PCE)]]="",#N/A,((Tabela1[[#This Row],[Personal Consumption Expenditures (PCE)]]*1)/T852)-1)</f>
        <v>2.0530980493578932E-2</v>
      </c>
      <c r="W864" s="7">
        <v>102.366</v>
      </c>
      <c r="X864" s="8">
        <f>IF(Tabela1[[#This Row],[Core PCE]]="",#N/A,((Tabela1[[#This Row],[Core PCE]]*1)/W863)-1)</f>
        <v>1.5752653979745901E-3</v>
      </c>
      <c r="Y864" s="8">
        <f>IF(Tabela1[[#This Row],[Core PCE]]="",#N/A,((Tabela1[[#This Row],[Core PCE]]*1)/W852)-1)</f>
        <v>1.8709073900841755E-2</v>
      </c>
      <c r="Z864" s="8">
        <f t="shared" si="45"/>
        <v>1.410379764641867E-2</v>
      </c>
      <c r="AA864" s="8">
        <f t="shared" si="48"/>
        <v>1.4994339963874559E-2</v>
      </c>
      <c r="AB864" s="7">
        <v>1.96</v>
      </c>
      <c r="AC864" s="7">
        <v>117.5</v>
      </c>
      <c r="AD864" s="8">
        <f>IF(Tabela1[[#This Row],[Producer Price Index (PPI)]]="",#N/A,((Tabela1[[#This Row],[Producer Price Index (PPI)]]*1)/AC863)-1)</f>
        <v>6.8551842330761836E-3</v>
      </c>
      <c r="AE864" s="8">
        <f>IF(Tabela1[[#This Row],[Producer Price Index (PPI)]]="",#N/A,((Tabela1[[#This Row],[Producer Price Index (PPI)]]*1)/AC852)-1)</f>
        <v>3.1606672519754131E-2</v>
      </c>
      <c r="AF864" s="7">
        <v>2.9</v>
      </c>
      <c r="AG864" s="5"/>
    </row>
    <row r="865" spans="1:33" ht="12.75">
      <c r="A865" s="6">
        <v>43405</v>
      </c>
      <c r="B865" s="7">
        <v>252.59399999999999</v>
      </c>
      <c r="C865" s="8">
        <f>IF(Tabela1[[#This Row],[Consumer Price Index (CPI)]]="",#N/A,((Tabela1[[#This Row],[Consumer Price Index (CPI)]]*1)/B864)-1)</f>
        <v>-7.0419191999115949E-4</v>
      </c>
      <c r="D865" s="8">
        <f>IF(Tabela1[[#This Row],[Consumer Price Index (CPI)]]="",#N/A,((Tabela1[[#This Row],[Consumer Price Index (CPI)]]*1)/B853)-1)</f>
        <v>2.1473285776677731E-2</v>
      </c>
      <c r="E865" s="25">
        <v>259.43900000000002</v>
      </c>
      <c r="F865" s="8">
        <f>IF(Tabela1[[#This Row],[Core Consumer Price Index]]="",#N/A,((Tabela1[[#This Row],[Core Consumer Price Index]]*1)/E864)-1)</f>
        <v>2.016090098371448E-3</v>
      </c>
      <c r="G865" s="8">
        <f>IF(Tabela1[[#This Row],[Core Consumer Price Index]]="",#N/A,((Tabela1[[#This Row],[Core Consumer Price Index]]*1)/E853)-1)</f>
        <v>2.2153843729315836E-2</v>
      </c>
      <c r="H865" s="8">
        <f t="shared" si="46"/>
        <v>2.396233952542115E-2</v>
      </c>
      <c r="I865" s="8">
        <f t="shared" si="47"/>
        <v>1.7777830797768956E-2</v>
      </c>
      <c r="J865" s="25">
        <v>319.43799999999999</v>
      </c>
      <c r="K865" s="8">
        <f>IF(Tabela1[[#This Row],[Services CPI]]="",#N/A,((Tabela1[[#This Row],[Services CPI]]*1)/J864)-1)</f>
        <v>2.0201133020070206E-3</v>
      </c>
      <c r="L865" s="8">
        <f>IF(Tabela1[[#This Row],[Services CPI]]="",#N/A,((Tabela1[[#This Row],[Services CPI]]*1)/J853)-1)</f>
        <v>2.7164860606450292E-2</v>
      </c>
      <c r="M865" s="7">
        <v>331.18900000000002</v>
      </c>
      <c r="N865" s="8">
        <f>IF(Tabela1[[#This Row],[Core-Services CPI]]="",#N/A,((Tabela1[[#This Row],[Core-Services CPI]]*1)/M864)-1)</f>
        <v>2.1211057587569027E-3</v>
      </c>
      <c r="O865" s="8">
        <f>IF(Tabela1[[#This Row],[Core-Services CPI]]="",#N/A,((Tabela1[[#This Row],[Core-Services CPI]]*1)/M853)-1)</f>
        <v>2.9026214319226362E-2</v>
      </c>
      <c r="P865" s="7">
        <v>104.55</v>
      </c>
      <c r="Q865" s="8">
        <f>IF(Tabela1[[#This Row],[Durable Goods CPI]]="",#N/A,((Tabela1[[#This Row],[Durable Goods CPI]]*1)/P864)-1)</f>
        <v>3.7731501483337926E-3</v>
      </c>
      <c r="R865" s="8">
        <f>IF(Tabela1[[#This Row],[Durable Goods CPI]]="",#N/A,((Tabela1[[#This Row],[Durable Goods CPI]]*1)/P853)-1)</f>
        <v>1.216207157426874E-3</v>
      </c>
      <c r="S865" s="7">
        <v>2.4619330000000001</v>
      </c>
      <c r="T865" s="7">
        <v>102.63</v>
      </c>
      <c r="U865" s="8">
        <f>IF(Tabela1[[#This Row],[Personal Consumption Expenditures (PCE)]]="",#N/A,((Tabela1[[#This Row],[Personal Consumption Expenditures (PCE)]]*1)/T864)-1)</f>
        <v>3.4114722939704301E-4</v>
      </c>
      <c r="V865" s="8">
        <f>IF(Tabela1[[#This Row],[Personal Consumption Expenditures (PCE)]]="",#N/A,((Tabela1[[#This Row],[Personal Consumption Expenditures (PCE)]]*1)/T853)-1)</f>
        <v>1.9418922274646144E-2</v>
      </c>
      <c r="W865" s="7">
        <v>102.556</v>
      </c>
      <c r="X865" s="8">
        <f>IF(Tabela1[[#This Row],[Core PCE]]="",#N/A,((Tabela1[[#This Row],[Core PCE]]*1)/W864)-1)</f>
        <v>1.8560850282320907E-3</v>
      </c>
      <c r="Y865" s="8">
        <f>IF(Tabela1[[#This Row],[Core PCE]]="",#N/A,((Tabela1[[#This Row],[Core PCE]]*1)/W853)-1)</f>
        <v>2.0102451882429095E-2</v>
      </c>
      <c r="Z865" s="8">
        <f t="shared" si="45"/>
        <v>2.1136003963295735E-2</v>
      </c>
      <c r="AA865" s="8">
        <f t="shared" si="48"/>
        <v>1.5202641986244991E-2</v>
      </c>
      <c r="AB865" s="7">
        <v>2.02</v>
      </c>
      <c r="AC865" s="7">
        <v>117.4</v>
      </c>
      <c r="AD865" s="8">
        <f>IF(Tabela1[[#This Row],[Producer Price Index (PPI)]]="",#N/A,((Tabela1[[#This Row],[Producer Price Index (PPI)]]*1)/AC864)-1)</f>
        <v>-8.5106382978716866E-4</v>
      </c>
      <c r="AE865" s="8">
        <f>IF(Tabela1[[#This Row],[Producer Price Index (PPI)]]="",#N/A,((Tabela1[[#This Row],[Producer Price Index (PPI)]]*1)/AC853)-1)</f>
        <v>2.7121609798775204E-2</v>
      </c>
      <c r="AF865" s="7">
        <v>2.8</v>
      </c>
      <c r="AG865" s="5"/>
    </row>
    <row r="866" spans="1:33" ht="12.75">
      <c r="A866" s="6">
        <v>43435</v>
      </c>
      <c r="B866" s="7">
        <v>252.767</v>
      </c>
      <c r="C866" s="8">
        <f>IF(Tabela1[[#This Row],[Consumer Price Index (CPI)]]="",#N/A,((Tabela1[[#This Row],[Consumer Price Index (CPI)]]*1)/B865)-1)</f>
        <v>6.8489354458134422E-4</v>
      </c>
      <c r="D866" s="8">
        <f>IF(Tabela1[[#This Row],[Consumer Price Index (CPI)]]="",#N/A,((Tabela1[[#This Row],[Consumer Price Index (CPI)]]*1)/B854)-1)</f>
        <v>2.0023809043401064E-2</v>
      </c>
      <c r="E866" s="25">
        <v>260.06299999999999</v>
      </c>
      <c r="F866" s="8">
        <f>IF(Tabela1[[#This Row],[Core Consumer Price Index]]="",#N/A,((Tabela1[[#This Row],[Core Consumer Price Index]]*1)/E865)-1)</f>
        <v>2.4051896592260924E-3</v>
      </c>
      <c r="G866" s="8">
        <f>IF(Tabela1[[#This Row],[Core Consumer Price Index]]="",#N/A,((Tabela1[[#This Row],[Core Consumer Price Index]]*1)/E854)-1)</f>
        <v>2.2485295505299874E-2</v>
      </c>
      <c r="H866" s="8">
        <f t="shared" si="46"/>
        <v>2.6184623613001001E-2</v>
      </c>
      <c r="I866" s="8">
        <f t="shared" si="47"/>
        <v>2.0612671023491291E-2</v>
      </c>
      <c r="J866" s="25">
        <v>320.61200000000002</v>
      </c>
      <c r="K866" s="8">
        <f>IF(Tabela1[[#This Row],[Services CPI]]="",#N/A,((Tabela1[[#This Row],[Services CPI]]*1)/J865)-1)</f>
        <v>3.6752045780403808E-3</v>
      </c>
      <c r="L866" s="8">
        <f>IF(Tabela1[[#This Row],[Services CPI]]="",#N/A,((Tabela1[[#This Row],[Services CPI]]*1)/J854)-1)</f>
        <v>2.7974875515811792E-2</v>
      </c>
      <c r="M866" s="7">
        <v>332.09300000000002</v>
      </c>
      <c r="N866" s="8">
        <f>IF(Tabela1[[#This Row],[Core-Services CPI]]="",#N/A,((Tabela1[[#This Row],[Core-Services CPI]]*1)/M865)-1)</f>
        <v>2.7295592546854319E-3</v>
      </c>
      <c r="O866" s="8">
        <f>IF(Tabela1[[#This Row],[Core-Services CPI]]="",#N/A,((Tabela1[[#This Row],[Core-Services CPI]]*1)/M854)-1)</f>
        <v>2.889390798935465E-2</v>
      </c>
      <c r="P866" s="7">
        <v>104.717</v>
      </c>
      <c r="Q866" s="8">
        <f>IF(Tabela1[[#This Row],[Durable Goods CPI]]="",#N/A,((Tabela1[[#This Row],[Durable Goods CPI]]*1)/P865)-1)</f>
        <v>1.5973218555715984E-3</v>
      </c>
      <c r="R866" s="8">
        <f>IF(Tabela1[[#This Row],[Durable Goods CPI]]="",#N/A,((Tabela1[[#This Row],[Durable Goods CPI]]*1)/P854)-1)</f>
        <v>-7.7291551365488154E-4</v>
      </c>
      <c r="S866" s="7">
        <v>2.4149880000000001</v>
      </c>
      <c r="T866" s="7">
        <v>102.70099999999999</v>
      </c>
      <c r="U866" s="8">
        <f>IF(Tabela1[[#This Row],[Personal Consumption Expenditures (PCE)]]="",#N/A,((Tabela1[[#This Row],[Personal Consumption Expenditures (PCE)]]*1)/T865)-1)</f>
        <v>6.9180551495651166E-4</v>
      </c>
      <c r="V866" s="8">
        <f>IF(Tabela1[[#This Row],[Personal Consumption Expenditures (PCE)]]="",#N/A,((Tabela1[[#This Row],[Personal Consumption Expenditures (PCE)]]*1)/T854)-1)</f>
        <v>1.8646908878110713E-2</v>
      </c>
      <c r="W866" s="7">
        <v>102.735</v>
      </c>
      <c r="X866" s="8">
        <f>IF(Tabela1[[#This Row],[Core PCE]]="",#N/A,((Tabela1[[#This Row],[Core PCE]]*1)/W865)-1)</f>
        <v>1.745387885643046E-3</v>
      </c>
      <c r="Y866" s="8">
        <f>IF(Tabela1[[#This Row],[Core PCE]]="",#N/A,((Tabela1[[#This Row],[Core PCE]]*1)/W854)-1)</f>
        <v>2.0380799141860972E-2</v>
      </c>
      <c r="Z866" s="8">
        <f t="shared" si="45"/>
        <v>2.0706953247398907E-2</v>
      </c>
      <c r="AA866" s="8">
        <f t="shared" si="48"/>
        <v>1.6885596967592065E-2</v>
      </c>
      <c r="AB866" s="7">
        <v>2.02</v>
      </c>
      <c r="AC866" s="7">
        <v>117.4</v>
      </c>
      <c r="AD866" s="8">
        <f>IF(Tabela1[[#This Row],[Producer Price Index (PPI)]]="",#N/A,((Tabela1[[#This Row],[Producer Price Index (PPI)]]*1)/AC865)-1)</f>
        <v>0</v>
      </c>
      <c r="AE866" s="8">
        <f>IF(Tabela1[[#This Row],[Producer Price Index (PPI)]]="",#N/A,((Tabela1[[#This Row],[Producer Price Index (PPI)]]*1)/AC854)-1)</f>
        <v>2.6223776223776252E-2</v>
      </c>
      <c r="AF866" s="7">
        <v>2.7</v>
      </c>
      <c r="AG866" s="5"/>
    </row>
    <row r="867" spans="1:33" ht="12.75">
      <c r="A867" s="6">
        <v>43466</v>
      </c>
      <c r="B867" s="7">
        <v>252.71799999999999</v>
      </c>
      <c r="C867" s="8">
        <f>IF(Tabela1[[#This Row],[Consumer Price Index (CPI)]]="",#N/A,((Tabela1[[#This Row],[Consumer Price Index (CPI)]]*1)/B866)-1)</f>
        <v>-1.9385441928732039E-4</v>
      </c>
      <c r="D867" s="8">
        <f>IF(Tabela1[[#This Row],[Consumer Price Index (CPI)]]="",#N/A,((Tabela1[[#This Row],[Consumer Price Index (CPI)]]*1)/B855)-1)</f>
        <v>1.5506772911568323E-2</v>
      </c>
      <c r="E867" s="25">
        <v>260.68599999999998</v>
      </c>
      <c r="F867" s="8">
        <f>IF(Tabela1[[#This Row],[Core Consumer Price Index]]="",#N/A,((Tabela1[[#This Row],[Core Consumer Price Index]]*1)/E866)-1)</f>
        <v>2.3955733802962786E-3</v>
      </c>
      <c r="G867" s="8">
        <f>IF(Tabela1[[#This Row],[Core Consumer Price Index]]="",#N/A,((Tabela1[[#This Row],[Core Consumer Price Index]]*1)/E855)-1)</f>
        <v>2.1480854532060611E-2</v>
      </c>
      <c r="H867" s="8">
        <f t="shared" si="46"/>
        <v>2.7267412551575276E-2</v>
      </c>
      <c r="I867" s="8">
        <f t="shared" si="47"/>
        <v>2.3072806397093082E-2</v>
      </c>
      <c r="J867" s="25">
        <v>321.16199999999998</v>
      </c>
      <c r="K867" s="8">
        <f>IF(Tabela1[[#This Row],[Services CPI]]="",#N/A,((Tabela1[[#This Row],[Services CPI]]*1)/J866)-1)</f>
        <v>1.7154691652214726E-3</v>
      </c>
      <c r="L867" s="8">
        <f>IF(Tabela1[[#This Row],[Services CPI]]="",#N/A,((Tabela1[[#This Row],[Services CPI]]*1)/J855)-1)</f>
        <v>2.6850916345871001E-2</v>
      </c>
      <c r="M867" s="7">
        <v>332.83800000000002</v>
      </c>
      <c r="N867" s="8">
        <f>IF(Tabela1[[#This Row],[Core-Services CPI]]="",#N/A,((Tabela1[[#This Row],[Core-Services CPI]]*1)/M866)-1)</f>
        <v>2.2433474960328326E-3</v>
      </c>
      <c r="O867" s="8">
        <f>IF(Tabela1[[#This Row],[Core-Services CPI]]="",#N/A,((Tabela1[[#This Row],[Core-Services CPI]]*1)/M855)-1)</f>
        <v>2.7778978637730933E-2</v>
      </c>
      <c r="P867" s="7">
        <v>105.07599999999999</v>
      </c>
      <c r="Q867" s="8">
        <f>IF(Tabela1[[#This Row],[Durable Goods CPI]]="",#N/A,((Tabela1[[#This Row],[Durable Goods CPI]]*1)/P866)-1)</f>
        <v>3.428287670578678E-3</v>
      </c>
      <c r="R867" s="8">
        <f>IF(Tabela1[[#This Row],[Durable Goods CPI]]="",#N/A,((Tabela1[[#This Row],[Durable Goods CPI]]*1)/P855)-1)</f>
        <v>3.495368159679213E-3</v>
      </c>
      <c r="S867" s="7">
        <v>2.4767939999999999</v>
      </c>
      <c r="T867" s="7">
        <v>102.714</v>
      </c>
      <c r="U867" s="8">
        <f>IF(Tabela1[[#This Row],[Personal Consumption Expenditures (PCE)]]="",#N/A,((Tabela1[[#This Row],[Personal Consumption Expenditures (PCE)]]*1)/T866)-1)</f>
        <v>1.2658104594898134E-4</v>
      </c>
      <c r="V867" s="8">
        <f>IF(Tabela1[[#This Row],[Personal Consumption Expenditures (PCE)]]="",#N/A,((Tabela1[[#This Row],[Personal Consumption Expenditures (PCE)]]*1)/T855)-1)</f>
        <v>1.4970503661103418E-2</v>
      </c>
      <c r="W867" s="7">
        <v>102.878</v>
      </c>
      <c r="X867" s="8">
        <f>IF(Tabela1[[#This Row],[Core PCE]]="",#N/A,((Tabela1[[#This Row],[Core PCE]]*1)/W866)-1)</f>
        <v>1.3919306954786048E-3</v>
      </c>
      <c r="Y867" s="8">
        <f>IF(Tabela1[[#This Row],[Core PCE]]="",#N/A,((Tabela1[[#This Row],[Core PCE]]*1)/W855)-1)</f>
        <v>1.8523468670488041E-2</v>
      </c>
      <c r="Z867" s="8">
        <f t="shared" si="45"/>
        <v>1.9973614437414966E-2</v>
      </c>
      <c r="AA867" s="8">
        <f t="shared" si="48"/>
        <v>1.7038706041916818E-2</v>
      </c>
      <c r="AB867" s="7">
        <v>1.92</v>
      </c>
      <c r="AC867" s="7">
        <v>117</v>
      </c>
      <c r="AD867" s="8">
        <f>IF(Tabela1[[#This Row],[Producer Price Index (PPI)]]="",#N/A,((Tabela1[[#This Row],[Producer Price Index (PPI)]]*1)/AC866)-1)</f>
        <v>-3.4071550255536653E-3</v>
      </c>
      <c r="AE867" s="8">
        <f>IF(Tabela1[[#This Row],[Producer Price Index (PPI)]]="",#N/A,((Tabela1[[#This Row],[Producer Price Index (PPI)]]*1)/AC855)-1)</f>
        <v>1.9163763066202044E-2</v>
      </c>
      <c r="AF867" s="7">
        <v>2.7</v>
      </c>
      <c r="AG867" s="5"/>
    </row>
    <row r="868" spans="1:33" ht="12.75">
      <c r="A868" s="6">
        <v>43497</v>
      </c>
      <c r="B868" s="7">
        <v>253.322</v>
      </c>
      <c r="C868" s="8">
        <f>IF(Tabela1[[#This Row],[Consumer Price Index (CPI)]]="",#N/A,((Tabela1[[#This Row],[Consumer Price Index (CPI)]]*1)/B867)-1)</f>
        <v>2.3900157487792839E-3</v>
      </c>
      <c r="D868" s="8">
        <f>IF(Tabela1[[#This Row],[Consumer Price Index (CPI)]]="",#N/A,((Tabela1[[#This Row],[Consumer Price Index (CPI)]]*1)/B856)-1)</f>
        <v>1.5200638001995781E-2</v>
      </c>
      <c r="E868" s="25">
        <v>261.06700000000001</v>
      </c>
      <c r="F868" s="8">
        <f>IF(Tabela1[[#This Row],[Core Consumer Price Index]]="",#N/A,((Tabela1[[#This Row],[Core Consumer Price Index]]*1)/E867)-1)</f>
        <v>1.4615284288379549E-3</v>
      </c>
      <c r="G868" s="8">
        <f>IF(Tabela1[[#This Row],[Core Consumer Price Index]]="",#N/A,((Tabela1[[#This Row],[Core Consumer Price Index]]*1)/E856)-1)</f>
        <v>2.0945520529034756E-2</v>
      </c>
      <c r="H868" s="8">
        <f t="shared" si="46"/>
        <v>2.5049165873441304E-2</v>
      </c>
      <c r="I868" s="8">
        <f t="shared" si="47"/>
        <v>2.4505752699431227E-2</v>
      </c>
      <c r="J868" s="25">
        <v>321.74400000000003</v>
      </c>
      <c r="K868" s="8">
        <f>IF(Tabela1[[#This Row],[Services CPI]]="",#N/A,((Tabela1[[#This Row],[Services CPI]]*1)/J867)-1)</f>
        <v>1.8121695592880904E-3</v>
      </c>
      <c r="L868" s="8">
        <f>IF(Tabela1[[#This Row],[Services CPI]]="",#N/A,((Tabela1[[#This Row],[Services CPI]]*1)/J856)-1)</f>
        <v>2.5694648117213559E-2</v>
      </c>
      <c r="M868" s="7">
        <v>333.57600000000002</v>
      </c>
      <c r="N868" s="8">
        <f>IF(Tabela1[[#This Row],[Core-Services CPI]]="",#N/A,((Tabela1[[#This Row],[Core-Services CPI]]*1)/M867)-1)</f>
        <v>2.2172949002217113E-3</v>
      </c>
      <c r="O868" s="8">
        <f>IF(Tabela1[[#This Row],[Core-Services CPI]]="",#N/A,((Tabela1[[#This Row],[Core-Services CPI]]*1)/M856)-1)</f>
        <v>2.7601843408827875E-2</v>
      </c>
      <c r="P868" s="7">
        <v>105.125</v>
      </c>
      <c r="Q868" s="8">
        <f>IF(Tabela1[[#This Row],[Durable Goods CPI]]="",#N/A,((Tabela1[[#This Row],[Durable Goods CPI]]*1)/P867)-1)</f>
        <v>4.6632913319899494E-4</v>
      </c>
      <c r="R868" s="8">
        <f>IF(Tabela1[[#This Row],[Durable Goods CPI]]="",#N/A,((Tabela1[[#This Row],[Durable Goods CPI]]*1)/P856)-1)</f>
        <v>4.1167593176303363E-3</v>
      </c>
      <c r="S868" s="7">
        <v>2.4643700000000002</v>
      </c>
      <c r="T868" s="7">
        <v>102.86199999999999</v>
      </c>
      <c r="U868" s="8">
        <f>IF(Tabela1[[#This Row],[Personal Consumption Expenditures (PCE)]]="",#N/A,((Tabela1[[#This Row],[Personal Consumption Expenditures (PCE)]]*1)/T867)-1)</f>
        <v>1.4408941332242353E-3</v>
      </c>
      <c r="V868" s="8">
        <f>IF(Tabela1[[#This Row],[Personal Consumption Expenditures (PCE)]]="",#N/A,((Tabela1[[#This Row],[Personal Consumption Expenditures (PCE)]]*1)/T856)-1)</f>
        <v>1.4258105229943974E-2</v>
      </c>
      <c r="W868" s="7">
        <v>102.959</v>
      </c>
      <c r="X868" s="8">
        <f>IF(Tabela1[[#This Row],[Core PCE]]="",#N/A,((Tabela1[[#This Row],[Core PCE]]*1)/W867)-1)</f>
        <v>7.8734034487459859E-4</v>
      </c>
      <c r="Y868" s="8">
        <f>IF(Tabela1[[#This Row],[Core PCE]]="",#N/A,((Tabela1[[#This Row],[Core PCE]]*1)/W856)-1)</f>
        <v>1.7401529674499594E-2</v>
      </c>
      <c r="Z868" s="8">
        <f t="shared" si="45"/>
        <v>1.5698635703984998E-2</v>
      </c>
      <c r="AA868" s="8">
        <f t="shared" si="48"/>
        <v>1.8417319833640367E-2</v>
      </c>
      <c r="AB868" s="7">
        <v>1.96</v>
      </c>
      <c r="AC868" s="7">
        <v>117.2</v>
      </c>
      <c r="AD868" s="8">
        <f>IF(Tabela1[[#This Row],[Producer Price Index (PPI)]]="",#N/A,((Tabela1[[#This Row],[Producer Price Index (PPI)]]*1)/AC867)-1)</f>
        <v>1.7094017094017033E-3</v>
      </c>
      <c r="AE868" s="8">
        <f>IF(Tabela1[[#This Row],[Producer Price Index (PPI)]]="",#N/A,((Tabela1[[#This Row],[Producer Price Index (PPI)]]*1)/AC856)-1)</f>
        <v>1.8245004344048743E-2</v>
      </c>
      <c r="AF868" s="7">
        <v>2.6</v>
      </c>
      <c r="AG868" s="5"/>
    </row>
    <row r="869" spans="1:33" ht="12.75">
      <c r="A869" s="6">
        <v>43525</v>
      </c>
      <c r="B869" s="7">
        <v>254.202</v>
      </c>
      <c r="C869" s="8">
        <f>IF(Tabela1[[#This Row],[Consumer Price Index (CPI)]]="",#N/A,((Tabela1[[#This Row],[Consumer Price Index (CPI)]]*1)/B868)-1)</f>
        <v>3.4738396191409393E-3</v>
      </c>
      <c r="D869" s="8">
        <f>IF(Tabela1[[#This Row],[Consumer Price Index (CPI)]]="",#N/A,((Tabela1[[#This Row],[Consumer Price Index (CPI)]]*1)/B857)-1)</f>
        <v>1.8531355052749277E-2</v>
      </c>
      <c r="E869" s="25">
        <v>261.53699999999998</v>
      </c>
      <c r="F869" s="8">
        <f>IF(Tabela1[[#This Row],[Core Consumer Price Index]]="",#N/A,((Tabela1[[#This Row],[Core Consumer Price Index]]*1)/E868)-1)</f>
        <v>1.8003041364860195E-3</v>
      </c>
      <c r="G869" s="8">
        <f>IF(Tabela1[[#This Row],[Core Consumer Price Index]]="",#N/A,((Tabela1[[#This Row],[Core Consumer Price Index]]*1)/E857)-1)</f>
        <v>2.0548559922894061E-2</v>
      </c>
      <c r="H869" s="8">
        <f t="shared" si="46"/>
        <v>2.2629623782481012E-2</v>
      </c>
      <c r="I869" s="8">
        <f t="shared" si="47"/>
        <v>2.4407123697741007E-2</v>
      </c>
      <c r="J869" s="25">
        <v>322.55</v>
      </c>
      <c r="K869" s="8">
        <f>IF(Tabela1[[#This Row],[Services CPI]]="",#N/A,((Tabela1[[#This Row],[Services CPI]]*1)/J868)-1)</f>
        <v>2.505097220150132E-3</v>
      </c>
      <c r="L869" s="8">
        <f>IF(Tabela1[[#This Row],[Services CPI]]="",#N/A,((Tabela1[[#This Row],[Services CPI]]*1)/J857)-1)</f>
        <v>2.5876710324604035E-2</v>
      </c>
      <c r="M869" s="7">
        <v>334.40699999999998</v>
      </c>
      <c r="N869" s="8">
        <f>IF(Tabela1[[#This Row],[Core-Services CPI]]="",#N/A,((Tabela1[[#This Row],[Core-Services CPI]]*1)/M868)-1)</f>
        <v>2.4911864162888708E-3</v>
      </c>
      <c r="O869" s="8">
        <f>IF(Tabela1[[#This Row],[Core-Services CPI]]="",#N/A,((Tabela1[[#This Row],[Core-Services CPI]]*1)/M857)-1)</f>
        <v>2.748716436070664E-2</v>
      </c>
      <c r="P869" s="7">
        <v>105.38500000000001</v>
      </c>
      <c r="Q869" s="8">
        <f>IF(Tabela1[[#This Row],[Durable Goods CPI]]="",#N/A,((Tabela1[[#This Row],[Durable Goods CPI]]*1)/P868)-1)</f>
        <v>2.4732461355529978E-3</v>
      </c>
      <c r="R869" s="8">
        <f>IF(Tabela1[[#This Row],[Durable Goods CPI]]="",#N/A,((Tabela1[[#This Row],[Durable Goods CPI]]*1)/P857)-1)</f>
        <v>4.0778604571396482E-3</v>
      </c>
      <c r="S869" s="7">
        <v>2.3855330000000001</v>
      </c>
      <c r="T869" s="7">
        <v>103.056</v>
      </c>
      <c r="U869" s="8">
        <f>IF(Tabela1[[#This Row],[Personal Consumption Expenditures (PCE)]]="",#N/A,((Tabela1[[#This Row],[Personal Consumption Expenditures (PCE)]]*1)/T868)-1)</f>
        <v>1.8860220489589352E-3</v>
      </c>
      <c r="V869" s="8">
        <f>IF(Tabela1[[#This Row],[Personal Consumption Expenditures (PCE)]]="",#N/A,((Tabela1[[#This Row],[Personal Consumption Expenditures (PCE)]]*1)/T857)-1)</f>
        <v>1.5090027973680975E-2</v>
      </c>
      <c r="W869" s="7">
        <v>103.04900000000001</v>
      </c>
      <c r="X869" s="8">
        <f>IF(Tabela1[[#This Row],[Core PCE]]="",#N/A,((Tabela1[[#This Row],[Core PCE]]*1)/W868)-1)</f>
        <v>8.7413436416450274E-4</v>
      </c>
      <c r="Y869" s="8">
        <f>IF(Tabela1[[#This Row],[Core PCE]]="",#N/A,((Tabela1[[#This Row],[Core PCE]]*1)/W857)-1)</f>
        <v>1.6071939182993322E-2</v>
      </c>
      <c r="Z869" s="8">
        <f t="shared" si="45"/>
        <v>1.2213621618070825E-2</v>
      </c>
      <c r="AA869" s="8">
        <f t="shared" si="48"/>
        <v>1.6460287432734866E-2</v>
      </c>
      <c r="AB869" s="7">
        <v>2</v>
      </c>
      <c r="AC869" s="7">
        <v>117.6</v>
      </c>
      <c r="AD869" s="8">
        <f>IF(Tabela1[[#This Row],[Producer Price Index (PPI)]]="",#N/A,((Tabela1[[#This Row],[Producer Price Index (PPI)]]*1)/AC868)-1)</f>
        <v>3.4129692832762792E-3</v>
      </c>
      <c r="AE869" s="8">
        <f>IF(Tabela1[[#This Row],[Producer Price Index (PPI)]]="",#N/A,((Tabela1[[#This Row],[Producer Price Index (PPI)]]*1)/AC857)-1)</f>
        <v>1.9947961838681749E-2</v>
      </c>
      <c r="AF869" s="7">
        <v>2.5</v>
      </c>
      <c r="AG869" s="5"/>
    </row>
    <row r="870" spans="1:33" ht="12.75">
      <c r="A870" s="6">
        <v>43556</v>
      </c>
      <c r="B870" s="7">
        <v>255.21100000000001</v>
      </c>
      <c r="C870" s="8">
        <f>IF(Tabela1[[#This Row],[Consumer Price Index (CPI)]]="",#N/A,((Tabela1[[#This Row],[Consumer Price Index (CPI)]]*1)/B869)-1)</f>
        <v>3.9692842699901032E-3</v>
      </c>
      <c r="D870" s="8">
        <f>IF(Tabela1[[#This Row],[Consumer Price Index (CPI)]]="",#N/A,((Tabela1[[#This Row],[Consumer Price Index (CPI)]]*1)/B858)-1)</f>
        <v>1.9917914533603476E-2</v>
      </c>
      <c r="E870" s="25">
        <v>261.976</v>
      </c>
      <c r="F870" s="8">
        <f>IF(Tabela1[[#This Row],[Core Consumer Price Index]]="",#N/A,((Tabela1[[#This Row],[Core Consumer Price Index]]*1)/E869)-1)</f>
        <v>1.6785387918345496E-3</v>
      </c>
      <c r="G870" s="8">
        <f>IF(Tabela1[[#This Row],[Core Consumer Price Index]]="",#N/A,((Tabela1[[#This Row],[Core Consumer Price Index]]*1)/E858)-1)</f>
        <v>2.0831547363909131E-2</v>
      </c>
      <c r="H870" s="8">
        <f t="shared" si="46"/>
        <v>1.9761485428634096E-2</v>
      </c>
      <c r="I870" s="8">
        <f t="shared" si="47"/>
        <v>2.3514448990104686E-2</v>
      </c>
      <c r="J870" s="25">
        <v>323.286</v>
      </c>
      <c r="K870" s="8">
        <f>IF(Tabela1[[#This Row],[Services CPI]]="",#N/A,((Tabela1[[#This Row],[Services CPI]]*1)/J869)-1)</f>
        <v>2.2818167725933147E-3</v>
      </c>
      <c r="L870" s="8">
        <f>IF(Tabela1[[#This Row],[Services CPI]]="",#N/A,((Tabela1[[#This Row],[Services CPI]]*1)/J858)-1)</f>
        <v>2.6630676405207998E-2</v>
      </c>
      <c r="M870" s="7">
        <v>335.28199999999998</v>
      </c>
      <c r="N870" s="8">
        <f>IF(Tabela1[[#This Row],[Core-Services CPI]]="",#N/A,((Tabela1[[#This Row],[Core-Services CPI]]*1)/M869)-1)</f>
        <v>2.6165720215187704E-3</v>
      </c>
      <c r="O870" s="8">
        <f>IF(Tabela1[[#This Row],[Core-Services CPI]]="",#N/A,((Tabela1[[#This Row],[Core-Services CPI]]*1)/M858)-1)</f>
        <v>2.8251602416659027E-2</v>
      </c>
      <c r="P870" s="7">
        <v>104.98399999999999</v>
      </c>
      <c r="Q870" s="8">
        <f>IF(Tabela1[[#This Row],[Durable Goods CPI]]="",#N/A,((Tabela1[[#This Row],[Durable Goods CPI]]*1)/P869)-1)</f>
        <v>-3.8050956018409465E-3</v>
      </c>
      <c r="R870" s="8">
        <f>IF(Tabela1[[#This Row],[Durable Goods CPI]]="",#N/A,((Tabela1[[#This Row],[Durable Goods CPI]]*1)/P858)-1)</f>
        <v>3.5655906166653928E-3</v>
      </c>
      <c r="S870" s="7">
        <v>2.3766479999999999</v>
      </c>
      <c r="T870" s="7">
        <v>103.371</v>
      </c>
      <c r="U870" s="8">
        <f>IF(Tabela1[[#This Row],[Personal Consumption Expenditures (PCE)]]="",#N/A,((Tabela1[[#This Row],[Personal Consumption Expenditures (PCE)]]*1)/T869)-1)</f>
        <v>3.0565905915229674E-3</v>
      </c>
      <c r="V870" s="8">
        <f>IF(Tabela1[[#This Row],[Personal Consumption Expenditures (PCE)]]="",#N/A,((Tabela1[[#This Row],[Personal Consumption Expenditures (PCE)]]*1)/T858)-1)</f>
        <v>1.5771475738458607E-2</v>
      </c>
      <c r="W870" s="7">
        <v>103.274</v>
      </c>
      <c r="X870" s="8">
        <f>IF(Tabela1[[#This Row],[Core PCE]]="",#N/A,((Tabela1[[#This Row],[Core PCE]]*1)/W869)-1)</f>
        <v>2.1834273015748362E-3</v>
      </c>
      <c r="Y870" s="8">
        <f>IF(Tabela1[[#This Row],[Core PCE]]="",#N/A,((Tabela1[[#This Row],[Core PCE]]*1)/W858)-1)</f>
        <v>1.6456368969114843E-2</v>
      </c>
      <c r="Z870" s="8">
        <f t="shared" si="45"/>
        <v>1.537960804245575E-2</v>
      </c>
      <c r="AA870" s="8">
        <f t="shared" si="48"/>
        <v>1.7676611239935358E-2</v>
      </c>
      <c r="AB870" s="7">
        <v>2.12</v>
      </c>
      <c r="AC870" s="7">
        <v>118.2</v>
      </c>
      <c r="AD870" s="8">
        <f>IF(Tabela1[[#This Row],[Producer Price Index (PPI)]]="",#N/A,((Tabela1[[#This Row],[Producer Price Index (PPI)]]*1)/AC869)-1)</f>
        <v>5.1020408163267028E-3</v>
      </c>
      <c r="AE870" s="8">
        <f>IF(Tabela1[[#This Row],[Producer Price Index (PPI)]]="",#N/A,((Tabela1[[#This Row],[Producer Price Index (PPI)]]*1)/AC858)-1)</f>
        <v>2.3376623376623495E-2</v>
      </c>
      <c r="AF870" s="7">
        <v>2.5</v>
      </c>
      <c r="AG870" s="5"/>
    </row>
    <row r="871" spans="1:33" ht="12.75">
      <c r="A871" s="6">
        <v>43586</v>
      </c>
      <c r="B871" s="7">
        <v>255.29</v>
      </c>
      <c r="C871" s="8">
        <f>IF(Tabela1[[#This Row],[Consumer Price Index (CPI)]]="",#N/A,((Tabela1[[#This Row],[Consumer Price Index (CPI)]]*1)/B870)-1)</f>
        <v>3.095477859496043E-4</v>
      </c>
      <c r="D871" s="8">
        <f>IF(Tabela1[[#This Row],[Consumer Price Index (CPI)]]="",#N/A,((Tabela1[[#This Row],[Consumer Price Index (CPI)]]*1)/B859)-1)</f>
        <v>1.793518134549732E-2</v>
      </c>
      <c r="E871" s="25">
        <v>262.30399999999997</v>
      </c>
      <c r="F871" s="8">
        <f>IF(Tabela1[[#This Row],[Core Consumer Price Index]]="",#N/A,((Tabela1[[#This Row],[Core Consumer Price Index]]*1)/E870)-1)</f>
        <v>1.2520230860841863E-3</v>
      </c>
      <c r="G871" s="8">
        <f>IF(Tabela1[[#This Row],[Core Consumer Price Index]]="",#N/A,((Tabela1[[#This Row],[Core Consumer Price Index]]*1)/E859)-1)</f>
        <v>2.0062610589356211E-2</v>
      </c>
      <c r="H871" s="8">
        <f t="shared" si="46"/>
        <v>1.8923464057619022E-2</v>
      </c>
      <c r="I871" s="8">
        <f t="shared" si="47"/>
        <v>2.1986314965530163E-2</v>
      </c>
      <c r="J871" s="25">
        <v>323.79399999999998</v>
      </c>
      <c r="K871" s="8">
        <f>IF(Tabela1[[#This Row],[Services CPI]]="",#N/A,((Tabela1[[#This Row],[Services CPI]]*1)/J870)-1)</f>
        <v>1.5713640553565167E-3</v>
      </c>
      <c r="L871" s="8">
        <f>IF(Tabela1[[#This Row],[Services CPI]]="",#N/A,((Tabela1[[#This Row],[Services CPI]]*1)/J859)-1)</f>
        <v>2.5433632186165012E-2</v>
      </c>
      <c r="M871" s="7">
        <v>335.928</v>
      </c>
      <c r="N871" s="8">
        <f>IF(Tabela1[[#This Row],[Core-Services CPI]]="",#N/A,((Tabela1[[#This Row],[Core-Services CPI]]*1)/M870)-1)</f>
        <v>1.926736299592724E-3</v>
      </c>
      <c r="O871" s="8">
        <f>IF(Tabela1[[#This Row],[Core-Services CPI]]="",#N/A,((Tabela1[[#This Row],[Core-Services CPI]]*1)/M859)-1)</f>
        <v>2.7305893901816036E-2</v>
      </c>
      <c r="P871" s="7">
        <v>104.51300000000001</v>
      </c>
      <c r="Q871" s="8">
        <f>IF(Tabela1[[#This Row],[Durable Goods CPI]]="",#N/A,((Tabela1[[#This Row],[Durable Goods CPI]]*1)/P870)-1)</f>
        <v>-4.4863979273030985E-3</v>
      </c>
      <c r="R871" s="8">
        <f>IF(Tabela1[[#This Row],[Durable Goods CPI]]="",#N/A,((Tabela1[[#This Row],[Durable Goods CPI]]*1)/P859)-1)</f>
        <v>3.0327168728465637E-3</v>
      </c>
      <c r="S871" s="7">
        <v>2.3996840000000002</v>
      </c>
      <c r="T871" s="7">
        <v>103.426</v>
      </c>
      <c r="U871" s="8">
        <f>IF(Tabela1[[#This Row],[Personal Consumption Expenditures (PCE)]]="",#N/A,((Tabela1[[#This Row],[Personal Consumption Expenditures (PCE)]]*1)/T870)-1)</f>
        <v>5.3206411856332458E-4</v>
      </c>
      <c r="V871" s="8">
        <f>IF(Tabela1[[#This Row],[Personal Consumption Expenditures (PCE)]]="",#N/A,((Tabela1[[#This Row],[Personal Consumption Expenditures (PCE)]]*1)/T859)-1)</f>
        <v>1.4567249683640426E-2</v>
      </c>
      <c r="W871" s="7">
        <v>103.381</v>
      </c>
      <c r="X871" s="8">
        <f>IF(Tabela1[[#This Row],[Core PCE]]="",#N/A,((Tabela1[[#This Row],[Core PCE]]*1)/W870)-1)</f>
        <v>1.0360787807193184E-3</v>
      </c>
      <c r="Y871" s="8">
        <f>IF(Tabela1[[#This Row],[Core PCE]]="",#N/A,((Tabela1[[#This Row],[Core PCE]]*1)/W859)-1)</f>
        <v>1.5730005895067789E-2</v>
      </c>
      <c r="Z871" s="8">
        <f t="shared" ref="Z871:Z918" si="49">SUM(X869:X871)*4</f>
        <v>1.6374561785834629E-2</v>
      </c>
      <c r="AA871" s="8">
        <f t="shared" si="48"/>
        <v>1.6036598744909814E-2</v>
      </c>
      <c r="AB871" s="7">
        <v>2.02</v>
      </c>
      <c r="AC871" s="7">
        <v>118.3</v>
      </c>
      <c r="AD871" s="8">
        <f>IF(Tabela1[[#This Row],[Producer Price Index (PPI)]]="",#N/A,((Tabela1[[#This Row],[Producer Price Index (PPI)]]*1)/AC870)-1)</f>
        <v>8.4602368866315558E-4</v>
      </c>
      <c r="AE871" s="8">
        <f>IF(Tabela1[[#This Row],[Producer Price Index (PPI)]]="",#N/A,((Tabela1[[#This Row],[Producer Price Index (PPI)]]*1)/AC859)-1)</f>
        <v>2.070750647109576E-2</v>
      </c>
      <c r="AF871" s="7">
        <v>2.9</v>
      </c>
      <c r="AG871" s="5"/>
    </row>
    <row r="872" spans="1:33" ht="12.75">
      <c r="A872" s="6">
        <v>43617</v>
      </c>
      <c r="B872" s="7">
        <v>255.15899999999999</v>
      </c>
      <c r="C872" s="8">
        <f>IF(Tabela1[[#This Row],[Consumer Price Index (CPI)]]="",#N/A,((Tabela1[[#This Row],[Consumer Price Index (CPI)]]*1)/B871)-1)</f>
        <v>-5.1314191703555334E-4</v>
      </c>
      <c r="D872" s="8">
        <f>IF(Tabela1[[#This Row],[Consumer Price Index (CPI)]]="",#N/A,((Tabela1[[#This Row],[Consumer Price Index (CPI)]]*1)/B860)-1)</f>
        <v>1.6496824928889486E-2</v>
      </c>
      <c r="E872" s="25">
        <v>262.85899999999998</v>
      </c>
      <c r="F872" s="8">
        <f>IF(Tabela1[[#This Row],[Core Consumer Price Index]]="",#N/A,((Tabela1[[#This Row],[Core Consumer Price Index]]*1)/E871)-1)</f>
        <v>2.1158655605708621E-3</v>
      </c>
      <c r="G872" s="8">
        <f>IF(Tabela1[[#This Row],[Core Consumer Price Index]]="",#N/A,((Tabela1[[#This Row],[Core Consumer Price Index]]*1)/E860)-1)</f>
        <v>2.1212203621614689E-2</v>
      </c>
      <c r="H872" s="8">
        <f t="shared" si="46"/>
        <v>2.0185709753958392E-2</v>
      </c>
      <c r="I872" s="8">
        <f t="shared" si="47"/>
        <v>2.1407666768219702E-2</v>
      </c>
      <c r="J872" s="25">
        <v>324.54399999999998</v>
      </c>
      <c r="K872" s="8">
        <f>IF(Tabela1[[#This Row],[Services CPI]]="",#N/A,((Tabela1[[#This Row],[Services CPI]]*1)/J871)-1)</f>
        <v>2.3162875161368834E-3</v>
      </c>
      <c r="L872" s="8">
        <f>IF(Tabela1[[#This Row],[Services CPI]]="",#N/A,((Tabela1[[#This Row],[Services CPI]]*1)/J860)-1)</f>
        <v>2.6028181125537841E-2</v>
      </c>
      <c r="M872" s="7">
        <v>336.80599999999998</v>
      </c>
      <c r="N872" s="8">
        <f>IF(Tabela1[[#This Row],[Core-Services CPI]]="",#N/A,((Tabela1[[#This Row],[Core-Services CPI]]*1)/M871)-1)</f>
        <v>2.6136553070896795E-3</v>
      </c>
      <c r="O872" s="8">
        <f>IF(Tabela1[[#This Row],[Core-Services CPI]]="",#N/A,((Tabela1[[#This Row],[Core-Services CPI]]*1)/M860)-1)</f>
        <v>2.7775065302834134E-2</v>
      </c>
      <c r="P872" s="7">
        <v>104.483</v>
      </c>
      <c r="Q872" s="8">
        <f>IF(Tabela1[[#This Row],[Durable Goods CPI]]="",#N/A,((Tabela1[[#This Row],[Durable Goods CPI]]*1)/P871)-1)</f>
        <v>-2.8704563068715494E-4</v>
      </c>
      <c r="R872" s="8">
        <f>IF(Tabela1[[#This Row],[Durable Goods CPI]]="",#N/A,((Tabela1[[#This Row],[Durable Goods CPI]]*1)/P860)-1)</f>
        <v>4.6249110594027698E-3</v>
      </c>
      <c r="S872" s="7">
        <v>2.4079269999999999</v>
      </c>
      <c r="T872" s="7">
        <v>103.46899999999999</v>
      </c>
      <c r="U872" s="8">
        <f>IF(Tabela1[[#This Row],[Personal Consumption Expenditures (PCE)]]="",#N/A,((Tabela1[[#This Row],[Personal Consumption Expenditures (PCE)]]*1)/T871)-1)</f>
        <v>4.1575619283351628E-4</v>
      </c>
      <c r="V872" s="8">
        <f>IF(Tabela1[[#This Row],[Personal Consumption Expenditures (PCE)]]="",#N/A,((Tabela1[[#This Row],[Personal Consumption Expenditures (PCE)]]*1)/T860)-1)</f>
        <v>1.4113634358858818E-2</v>
      </c>
      <c r="W872" s="7">
        <v>103.586</v>
      </c>
      <c r="X872" s="8">
        <f>IF(Tabela1[[#This Row],[Core PCE]]="",#N/A,((Tabela1[[#This Row],[Core PCE]]*1)/W871)-1)</f>
        <v>1.982956249213963E-3</v>
      </c>
      <c r="Y872" s="8">
        <f>IF(Tabela1[[#This Row],[Core PCE]]="",#N/A,((Tabela1[[#This Row],[Core PCE]]*1)/W860)-1)</f>
        <v>1.6825035338464023E-2</v>
      </c>
      <c r="Z872" s="8">
        <f t="shared" si="49"/>
        <v>2.080984932603247E-2</v>
      </c>
      <c r="AA872" s="8">
        <f t="shared" si="48"/>
        <v>1.6511735472051647E-2</v>
      </c>
      <c r="AB872" s="7">
        <v>2</v>
      </c>
      <c r="AC872" s="7">
        <v>118.2</v>
      </c>
      <c r="AD872" s="8">
        <f>IF(Tabela1[[#This Row],[Producer Price Index (PPI)]]="",#N/A,((Tabela1[[#This Row],[Producer Price Index (PPI)]]*1)/AC871)-1)</f>
        <v>-8.4530853761621838E-4</v>
      </c>
      <c r="AE872" s="8">
        <f>IF(Tabela1[[#This Row],[Producer Price Index (PPI)]]="",#N/A,((Tabela1[[#This Row],[Producer Price Index (PPI)]]*1)/AC860)-1)</f>
        <v>1.6337059329320835E-2</v>
      </c>
      <c r="AF872" s="7">
        <v>2.7</v>
      </c>
      <c r="AG872" s="5"/>
    </row>
    <row r="873" spans="1:33" ht="12.75">
      <c r="A873" s="6">
        <v>43647</v>
      </c>
      <c r="B873" s="7">
        <v>255.685</v>
      </c>
      <c r="C873" s="8">
        <f>IF(Tabela1[[#This Row],[Consumer Price Index (CPI)]]="",#N/A,((Tabela1[[#This Row],[Consumer Price Index (CPI)]]*1)/B872)-1)</f>
        <v>2.0614597172743387E-3</v>
      </c>
      <c r="D873" s="8">
        <f>IF(Tabela1[[#This Row],[Consumer Price Index (CPI)]]="",#N/A,((Tabela1[[#This Row],[Consumer Price Index (CPI)]]*1)/B861)-1)</f>
        <v>1.7797574975916941E-2</v>
      </c>
      <c r="E873" s="25">
        <v>263.31299999999999</v>
      </c>
      <c r="F873" s="8">
        <f>IF(Tabela1[[#This Row],[Core Consumer Price Index]]="",#N/A,((Tabela1[[#This Row],[Core Consumer Price Index]]*1)/E872)-1)</f>
        <v>1.7271617102705417E-3</v>
      </c>
      <c r="G873" s="8">
        <f>IF(Tabela1[[#This Row],[Core Consumer Price Index]]="",#N/A,((Tabela1[[#This Row],[Core Consumer Price Index]]*1)/E861)-1)</f>
        <v>2.1785105879339683E-2</v>
      </c>
      <c r="H873" s="8">
        <f t="shared" si="46"/>
        <v>2.038020142770236E-2</v>
      </c>
      <c r="I873" s="8">
        <f t="shared" si="47"/>
        <v>2.0070843428168228E-2</v>
      </c>
      <c r="J873" s="25">
        <v>325.25599999999997</v>
      </c>
      <c r="K873" s="8">
        <f>IF(Tabela1[[#This Row],[Services CPI]]="",#N/A,((Tabela1[[#This Row],[Services CPI]]*1)/J872)-1)</f>
        <v>2.1938473673830394E-3</v>
      </c>
      <c r="L873" s="8">
        <f>IF(Tabela1[[#This Row],[Services CPI]]="",#N/A,((Tabela1[[#This Row],[Services CPI]]*1)/J861)-1)</f>
        <v>2.6293452983847665E-2</v>
      </c>
      <c r="M873" s="7">
        <v>337.56799999999998</v>
      </c>
      <c r="N873" s="8">
        <f>IF(Tabela1[[#This Row],[Core-Services CPI]]="",#N/A,((Tabela1[[#This Row],[Core-Services CPI]]*1)/M872)-1)</f>
        <v>2.2624300042159984E-3</v>
      </c>
      <c r="O873" s="8">
        <f>IF(Tabela1[[#This Row],[Core-Services CPI]]="",#N/A,((Tabela1[[#This Row],[Core-Services CPI]]*1)/M861)-1)</f>
        <v>2.7817021483899085E-2</v>
      </c>
      <c r="P873" s="7">
        <v>104.751</v>
      </c>
      <c r="Q873" s="8">
        <f>IF(Tabela1[[#This Row],[Durable Goods CPI]]="",#N/A,((Tabela1[[#This Row],[Durable Goods CPI]]*1)/P872)-1)</f>
        <v>2.5650105758832087E-3</v>
      </c>
      <c r="R873" s="8">
        <f>IF(Tabela1[[#This Row],[Durable Goods CPI]]="",#N/A,((Tabela1[[#This Row],[Durable Goods CPI]]*1)/P861)-1)</f>
        <v>4.3625834164302546E-3</v>
      </c>
      <c r="S873" s="7">
        <v>2.39723</v>
      </c>
      <c r="T873" s="7">
        <v>103.608</v>
      </c>
      <c r="U873" s="8">
        <f>IF(Tabela1[[#This Row],[Personal Consumption Expenditures (PCE)]]="",#N/A,((Tabela1[[#This Row],[Personal Consumption Expenditures (PCE)]]*1)/T872)-1)</f>
        <v>1.3433975393597475E-3</v>
      </c>
      <c r="V873" s="8">
        <f>IF(Tabela1[[#This Row],[Personal Consumption Expenditures (PCE)]]="",#N/A,((Tabela1[[#This Row],[Personal Consumption Expenditures (PCE)]]*1)/T861)-1)</f>
        <v>1.4402224463220925E-2</v>
      </c>
      <c r="W873" s="7">
        <v>103.706</v>
      </c>
      <c r="X873" s="8">
        <f>IF(Tabela1[[#This Row],[Core PCE]]="",#N/A,((Tabela1[[#This Row],[Core PCE]]*1)/W872)-1)</f>
        <v>1.1584577066399149E-3</v>
      </c>
      <c r="Y873" s="8">
        <f>IF(Tabela1[[#This Row],[Core PCE]]="",#N/A,((Tabela1[[#This Row],[Core PCE]]*1)/W861)-1)</f>
        <v>1.6665686332176577E-2</v>
      </c>
      <c r="Z873" s="8">
        <f t="shared" si="49"/>
        <v>1.6709970946292785E-2</v>
      </c>
      <c r="AA873" s="8">
        <f t="shared" si="48"/>
        <v>1.6044789494374267E-2</v>
      </c>
      <c r="AB873" s="7">
        <v>2.04</v>
      </c>
      <c r="AC873" s="7">
        <v>118.4</v>
      </c>
      <c r="AD873" s="8">
        <f>IF(Tabela1[[#This Row],[Producer Price Index (PPI)]]="",#N/A,((Tabela1[[#This Row],[Producer Price Index (PPI)]]*1)/AC872)-1)</f>
        <v>1.6920473773265332E-3</v>
      </c>
      <c r="AE873" s="8">
        <f>IF(Tabela1[[#This Row],[Producer Price Index (PPI)]]="",#N/A,((Tabela1[[#This Row],[Producer Price Index (PPI)]]*1)/AC861)-1)</f>
        <v>1.7182130584192379E-2</v>
      </c>
      <c r="AF873" s="7">
        <v>2.6</v>
      </c>
      <c r="AG873" s="5"/>
    </row>
    <row r="874" spans="1:33" ht="12.75">
      <c r="A874" s="6">
        <v>43678</v>
      </c>
      <c r="B874" s="7">
        <v>256.05900000000003</v>
      </c>
      <c r="C874" s="8">
        <f>IF(Tabela1[[#This Row],[Consumer Price Index (CPI)]]="",#N/A,((Tabela1[[#This Row],[Consumer Price Index (CPI)]]*1)/B873)-1)</f>
        <v>1.4627373526019394E-3</v>
      </c>
      <c r="D874" s="8">
        <f>IF(Tabela1[[#This Row],[Consumer Price Index (CPI)]]="",#N/A,((Tabela1[[#This Row],[Consumer Price Index (CPI)]]*1)/B862)-1)</f>
        <v>1.7467804166683365E-2</v>
      </c>
      <c r="E874" s="25">
        <v>263.97500000000002</v>
      </c>
      <c r="F874" s="8">
        <f>IF(Tabela1[[#This Row],[Core Consumer Price Index]]="",#N/A,((Tabela1[[#This Row],[Core Consumer Price Index]]*1)/E873)-1)</f>
        <v>2.5141181787455835E-3</v>
      </c>
      <c r="G874" s="8">
        <f>IF(Tabela1[[#This Row],[Core Consumer Price Index]]="",#N/A,((Tabela1[[#This Row],[Core Consumer Price Index]]*1)/E862)-1)</f>
        <v>2.3591362242187497E-2</v>
      </c>
      <c r="H874" s="8">
        <f t="shared" si="46"/>
        <v>2.5428581798347949E-2</v>
      </c>
      <c r="I874" s="8">
        <f t="shared" si="47"/>
        <v>2.2176022927983485E-2</v>
      </c>
      <c r="J874" s="25">
        <v>326.08999999999997</v>
      </c>
      <c r="K874" s="8">
        <f>IF(Tabela1[[#This Row],[Services CPI]]="",#N/A,((Tabela1[[#This Row],[Services CPI]]*1)/J873)-1)</f>
        <v>2.5641340974493776E-3</v>
      </c>
      <c r="L874" s="8">
        <f>IF(Tabela1[[#This Row],[Services CPI]]="",#N/A,((Tabela1[[#This Row],[Services CPI]]*1)/J862)-1)</f>
        <v>2.6870766508059862E-2</v>
      </c>
      <c r="M874" s="7">
        <v>338.524</v>
      </c>
      <c r="N874" s="8">
        <f>IF(Tabela1[[#This Row],[Core-Services CPI]]="",#N/A,((Tabela1[[#This Row],[Core-Services CPI]]*1)/M873)-1)</f>
        <v>2.8320219926059043E-3</v>
      </c>
      <c r="O874" s="8">
        <f>IF(Tabela1[[#This Row],[Core-Services CPI]]="",#N/A,((Tabela1[[#This Row],[Core-Services CPI]]*1)/M862)-1)</f>
        <v>2.8779470846730382E-2</v>
      </c>
      <c r="P874" s="7">
        <v>104.81</v>
      </c>
      <c r="Q874" s="8">
        <f>IF(Tabela1[[#This Row],[Durable Goods CPI]]="",#N/A,((Tabela1[[#This Row],[Durable Goods CPI]]*1)/P873)-1)</f>
        <v>5.6324044639199933E-4</v>
      </c>
      <c r="R874" s="8">
        <f>IF(Tabela1[[#This Row],[Durable Goods CPI]]="",#N/A,((Tabela1[[#This Row],[Durable Goods CPI]]*1)/P862)-1)</f>
        <v>5.8251681813383804E-3</v>
      </c>
      <c r="S874" s="7">
        <v>2.421751</v>
      </c>
      <c r="T874" s="7">
        <v>103.661</v>
      </c>
      <c r="U874" s="8">
        <f>IF(Tabela1[[#This Row],[Personal Consumption Expenditures (PCE)]]="",#N/A,((Tabela1[[#This Row],[Personal Consumption Expenditures (PCE)]]*1)/T873)-1)</f>
        <v>5.1154351015370025E-4</v>
      </c>
      <c r="V874" s="8">
        <f>IF(Tabela1[[#This Row],[Personal Consumption Expenditures (PCE)]]="",#N/A,((Tabela1[[#This Row],[Personal Consumption Expenditures (PCE)]]*1)/T862)-1)</f>
        <v>1.4216108328115151E-2</v>
      </c>
      <c r="W874" s="7">
        <v>103.81100000000001</v>
      </c>
      <c r="X874" s="8">
        <f>IF(Tabela1[[#This Row],[Core PCE]]="",#N/A,((Tabela1[[#This Row],[Core PCE]]*1)/W873)-1)</f>
        <v>1.0124775808535436E-3</v>
      </c>
      <c r="Y874" s="8">
        <f>IF(Tabela1[[#This Row],[Core PCE]]="",#N/A,((Tabela1[[#This Row],[Core PCE]]*1)/W862)-1)</f>
        <v>1.7595279171894518E-2</v>
      </c>
      <c r="Z874" s="8">
        <f t="shared" si="49"/>
        <v>1.6615566146829686E-2</v>
      </c>
      <c r="AA874" s="8">
        <f t="shared" si="48"/>
        <v>1.6495063966332157E-2</v>
      </c>
      <c r="AB874" s="7">
        <v>2.04</v>
      </c>
      <c r="AC874" s="7">
        <v>118.6</v>
      </c>
      <c r="AD874" s="8">
        <f>IF(Tabela1[[#This Row],[Producer Price Index (PPI)]]="",#N/A,((Tabela1[[#This Row],[Producer Price Index (PPI)]]*1)/AC873)-1)</f>
        <v>1.6891891891890332E-3</v>
      </c>
      <c r="AE874" s="8">
        <f>IF(Tabela1[[#This Row],[Producer Price Index (PPI)]]="",#N/A,((Tabela1[[#This Row],[Producer Price Index (PPI)]]*1)/AC862)-1)</f>
        <v>1.8025751072961338E-2</v>
      </c>
      <c r="AF874" s="7">
        <v>2.7</v>
      </c>
      <c r="AG874" s="5"/>
    </row>
    <row r="875" spans="1:33" ht="12.75">
      <c r="A875" s="6">
        <v>43709</v>
      </c>
      <c r="B875" s="7">
        <v>256.51100000000002</v>
      </c>
      <c r="C875" s="8">
        <f>IF(Tabela1[[#This Row],[Consumer Price Index (CPI)]]="",#N/A,((Tabela1[[#This Row],[Consumer Price Index (CPI)]]*1)/B874)-1)</f>
        <v>1.7652181723744054E-3</v>
      </c>
      <c r="D875" s="8">
        <f>IF(Tabela1[[#This Row],[Consumer Price Index (CPI)]]="",#N/A,((Tabela1[[#This Row],[Consumer Price Index (CPI)]]*1)/B863)-1)</f>
        <v>1.7166173636500748E-2</v>
      </c>
      <c r="E875" s="25">
        <v>264.42500000000001</v>
      </c>
      <c r="F875" s="8">
        <f>IF(Tabela1[[#This Row],[Core Consumer Price Index]]="",#N/A,((Tabela1[[#This Row],[Core Consumer Price Index]]*1)/E874)-1)</f>
        <v>1.7047068851216984E-3</v>
      </c>
      <c r="G875" s="8">
        <f>IF(Tabela1[[#This Row],[Core Consumer Price Index]]="",#N/A,((Tabela1[[#This Row],[Core Consumer Price Index]]*1)/E863)-1)</f>
        <v>2.3443305672529169E-2</v>
      </c>
      <c r="H875" s="8">
        <f t="shared" si="46"/>
        <v>2.3783947096551294E-2</v>
      </c>
      <c r="I875" s="8">
        <f t="shared" si="47"/>
        <v>2.1984828425254843E-2</v>
      </c>
      <c r="J875" s="25">
        <v>326.82799999999997</v>
      </c>
      <c r="K875" s="8">
        <f>IF(Tabela1[[#This Row],[Services CPI]]="",#N/A,((Tabela1[[#This Row],[Services CPI]]*1)/J874)-1)</f>
        <v>2.2631788769971184E-3</v>
      </c>
      <c r="L875" s="8">
        <f>IF(Tabela1[[#This Row],[Services CPI]]="",#N/A,((Tabela1[[#This Row],[Services CPI]]*1)/J863)-1)</f>
        <v>2.7544511062134625E-2</v>
      </c>
      <c r="M875" s="7">
        <v>339.375</v>
      </c>
      <c r="N875" s="8">
        <f>IF(Tabela1[[#This Row],[Core-Services CPI]]="",#N/A,((Tabela1[[#This Row],[Core-Services CPI]]*1)/M874)-1)</f>
        <v>2.5138542614409065E-3</v>
      </c>
      <c r="O875" s="8">
        <f>IF(Tabela1[[#This Row],[Core-Services CPI]]="",#N/A,((Tabela1[[#This Row],[Core-Services CPI]]*1)/M863)-1)</f>
        <v>2.9051468492452992E-2</v>
      </c>
      <c r="P875" s="7">
        <v>104.749</v>
      </c>
      <c r="Q875" s="8">
        <f>IF(Tabela1[[#This Row],[Durable Goods CPI]]="",#N/A,((Tabela1[[#This Row],[Durable Goods CPI]]*1)/P874)-1)</f>
        <v>-5.820055338231489E-4</v>
      </c>
      <c r="R875" s="8">
        <f>IF(Tabela1[[#This Row],[Durable Goods CPI]]="",#N/A,((Tabela1[[#This Row],[Durable Goods CPI]]*1)/P863)-1)</f>
        <v>8.520757914195487E-3</v>
      </c>
      <c r="S875" s="7">
        <v>2.4608479999999999</v>
      </c>
      <c r="T875" s="7">
        <v>103.754</v>
      </c>
      <c r="U875" s="8">
        <f>IF(Tabela1[[#This Row],[Personal Consumption Expenditures (PCE)]]="",#N/A,((Tabela1[[#This Row],[Personal Consumption Expenditures (PCE)]]*1)/T874)-1)</f>
        <v>8.9715514995991619E-4</v>
      </c>
      <c r="V875" s="8">
        <f>IF(Tabela1[[#This Row],[Personal Consumption Expenditures (PCE)]]="",#N/A,((Tabela1[[#This Row],[Personal Consumption Expenditures (PCE)]]*1)/T863)-1)</f>
        <v>1.3044582007069039E-2</v>
      </c>
      <c r="W875" s="7">
        <v>103.889</v>
      </c>
      <c r="X875" s="8">
        <f>IF(Tabela1[[#This Row],[Core PCE]]="",#N/A,((Tabela1[[#This Row],[Core PCE]]*1)/W874)-1)</f>
        <v>7.513654622341992E-4</v>
      </c>
      <c r="Y875" s="8">
        <f>IF(Tabela1[[#This Row],[Core PCE]]="",#N/A,((Tabela1[[#This Row],[Core PCE]]*1)/W863)-1)</f>
        <v>1.647668900738708E-2</v>
      </c>
      <c r="Z875" s="8">
        <f t="shared" si="49"/>
        <v>1.1689202998910631E-2</v>
      </c>
      <c r="AA875" s="8">
        <f t="shared" si="48"/>
        <v>1.624952616247155E-2</v>
      </c>
      <c r="AB875" s="7">
        <v>2.0099999999999998</v>
      </c>
      <c r="AC875" s="7">
        <v>118.3</v>
      </c>
      <c r="AD875" s="8">
        <f>IF(Tabela1[[#This Row],[Producer Price Index (PPI)]]="",#N/A,((Tabela1[[#This Row],[Producer Price Index (PPI)]]*1)/AC874)-1)</f>
        <v>-2.5295109612141209E-3</v>
      </c>
      <c r="AE875" s="8">
        <f>IF(Tabela1[[#This Row],[Producer Price Index (PPI)]]="",#N/A,((Tabela1[[#This Row],[Producer Price Index (PPI)]]*1)/AC863)-1)</f>
        <v>1.3710368466152589E-2</v>
      </c>
      <c r="AF875" s="7">
        <v>2.8</v>
      </c>
      <c r="AG875" s="5"/>
    </row>
    <row r="876" spans="1:33" ht="12.75">
      <c r="A876" s="6">
        <v>43739</v>
      </c>
      <c r="B876" s="7">
        <v>257.24400000000003</v>
      </c>
      <c r="C876" s="8">
        <f>IF(Tabela1[[#This Row],[Consumer Price Index (CPI)]]="",#N/A,((Tabela1[[#This Row],[Consumer Price Index (CPI)]]*1)/B875)-1)</f>
        <v>2.8575772578953718E-3</v>
      </c>
      <c r="D876" s="8">
        <f>IF(Tabela1[[#This Row],[Consumer Price Index (CPI)]]="",#N/A,((Tabela1[[#This Row],[Consumer Price Index (CPI)]]*1)/B864)-1)</f>
        <v>1.769183295618193E-2</v>
      </c>
      <c r="E876" s="25">
        <v>264.94</v>
      </c>
      <c r="F876" s="8">
        <f>IF(Tabela1[[#This Row],[Core Consumer Price Index]]="",#N/A,((Tabela1[[#This Row],[Core Consumer Price Index]]*1)/E875)-1)</f>
        <v>1.9476221991112652E-3</v>
      </c>
      <c r="G876" s="8">
        <f>IF(Tabela1[[#This Row],[Core Consumer Price Index]]="",#N/A,((Tabela1[[#This Row],[Core Consumer Price Index]]*1)/E864)-1)</f>
        <v>2.3262280962625281E-2</v>
      </c>
      <c r="H876" s="8">
        <f t="shared" si="46"/>
        <v>2.4665789051914189E-2</v>
      </c>
      <c r="I876" s="8">
        <f t="shared" si="47"/>
        <v>2.2522995239808274E-2</v>
      </c>
      <c r="J876" s="25">
        <v>327.79399999999998</v>
      </c>
      <c r="K876" s="8">
        <f>IF(Tabela1[[#This Row],[Services CPI]]="",#N/A,((Tabela1[[#This Row],[Services CPI]]*1)/J875)-1)</f>
        <v>2.955683111606211E-3</v>
      </c>
      <c r="L876" s="8">
        <f>IF(Tabela1[[#This Row],[Services CPI]]="",#N/A,((Tabela1[[#This Row],[Services CPI]]*1)/J864)-1)</f>
        <v>2.8231397077736808E-2</v>
      </c>
      <c r="M876" s="7">
        <v>340.30900000000003</v>
      </c>
      <c r="N876" s="8">
        <f>IF(Tabela1[[#This Row],[Core-Services CPI]]="",#N/A,((Tabela1[[#This Row],[Core-Services CPI]]*1)/M875)-1)</f>
        <v>2.7521178637202048E-3</v>
      </c>
      <c r="O876" s="8">
        <f>IF(Tabela1[[#This Row],[Core-Services CPI]]="",#N/A,((Tabela1[[#This Row],[Core-Services CPI]]*1)/M864)-1)</f>
        <v>2.9716661421897328E-2</v>
      </c>
      <c r="P876" s="7">
        <v>104.66500000000001</v>
      </c>
      <c r="Q876" s="8">
        <f>IF(Tabela1[[#This Row],[Durable Goods CPI]]="",#N/A,((Tabela1[[#This Row],[Durable Goods CPI]]*1)/P875)-1)</f>
        <v>-8.0191696340770058E-4</v>
      </c>
      <c r="R876" s="8">
        <f>IF(Tabela1[[#This Row],[Durable Goods CPI]]="",#N/A,((Tabela1[[#This Row],[Durable Goods CPI]]*1)/P864)-1)</f>
        <v>4.8772526090421486E-3</v>
      </c>
      <c r="S876" s="7">
        <v>2.6292460000000002</v>
      </c>
      <c r="T876" s="7">
        <v>103.961</v>
      </c>
      <c r="U876" s="8">
        <f>IF(Tabela1[[#This Row],[Personal Consumption Expenditures (PCE)]]="",#N/A,((Tabela1[[#This Row],[Personal Consumption Expenditures (PCE)]]*1)/T875)-1)</f>
        <v>1.995103803226872E-3</v>
      </c>
      <c r="V876" s="8">
        <f>IF(Tabela1[[#This Row],[Personal Consumption Expenditures (PCE)]]="",#N/A,((Tabela1[[#This Row],[Personal Consumption Expenditures (PCE)]]*1)/T864)-1)</f>
        <v>1.3314489010185726E-2</v>
      </c>
      <c r="W876" s="7">
        <v>104.048</v>
      </c>
      <c r="X876" s="8">
        <f>IF(Tabela1[[#This Row],[Core PCE]]="",#N/A,((Tabela1[[#This Row],[Core PCE]]*1)/W875)-1)</f>
        <v>1.5304796465458459E-3</v>
      </c>
      <c r="Y876" s="8">
        <f>IF(Tabela1[[#This Row],[Core PCE]]="",#N/A,((Tabela1[[#This Row],[Core PCE]]*1)/W864)-1)</f>
        <v>1.6431236934138393E-2</v>
      </c>
      <c r="Z876" s="8">
        <f t="shared" si="49"/>
        <v>1.3177290758534355E-2</v>
      </c>
      <c r="AA876" s="8">
        <f t="shared" si="48"/>
        <v>1.494363085241357E-2</v>
      </c>
      <c r="AB876" s="7">
        <v>2.02</v>
      </c>
      <c r="AC876" s="7">
        <v>118.7</v>
      </c>
      <c r="AD876" s="8">
        <f>IF(Tabela1[[#This Row],[Producer Price Index (PPI)]]="",#N/A,((Tabela1[[#This Row],[Producer Price Index (PPI)]]*1)/AC875)-1)</f>
        <v>3.3812341504648735E-3</v>
      </c>
      <c r="AE876" s="8">
        <f>IF(Tabela1[[#This Row],[Producer Price Index (PPI)]]="",#N/A,((Tabela1[[#This Row],[Producer Price Index (PPI)]]*1)/AC864)-1)</f>
        <v>1.0212765957446912E-2</v>
      </c>
      <c r="AF876" s="7">
        <v>2.5</v>
      </c>
      <c r="AG876" s="5"/>
    </row>
    <row r="877" spans="1:33" ht="12.75">
      <c r="A877" s="6">
        <v>43770</v>
      </c>
      <c r="B877" s="7">
        <v>257.803</v>
      </c>
      <c r="C877" s="8">
        <f>IF(Tabela1[[#This Row],[Consumer Price Index (CPI)]]="",#N/A,((Tabela1[[#This Row],[Consumer Price Index (CPI)]]*1)/B876)-1)</f>
        <v>2.1730341621182259E-3</v>
      </c>
      <c r="D877" s="8">
        <f>IF(Tabela1[[#This Row],[Consumer Price Index (CPI)]]="",#N/A,((Tabela1[[#This Row],[Consumer Price Index (CPI)]]*1)/B865)-1)</f>
        <v>2.0622025859679871E-2</v>
      </c>
      <c r="E877" s="25">
        <v>265.48399999999998</v>
      </c>
      <c r="F877" s="8">
        <f>IF(Tabela1[[#This Row],[Core Consumer Price Index]]="",#N/A,((Tabela1[[#This Row],[Core Consumer Price Index]]*1)/E876)-1)</f>
        <v>2.0532950856797516E-3</v>
      </c>
      <c r="G877" s="8">
        <f>IF(Tabela1[[#This Row],[Core Consumer Price Index]]="",#N/A,((Tabela1[[#This Row],[Core Consumer Price Index]]*1)/E865)-1)</f>
        <v>2.3300274823754075E-2</v>
      </c>
      <c r="H877" s="8">
        <f t="shared" si="46"/>
        <v>2.2822496679650861E-2</v>
      </c>
      <c r="I877" s="8">
        <f t="shared" si="47"/>
        <v>2.4125539238999405E-2</v>
      </c>
      <c r="J877" s="25">
        <v>328.68700000000001</v>
      </c>
      <c r="K877" s="8">
        <f>IF(Tabela1[[#This Row],[Services CPI]]="",#N/A,((Tabela1[[#This Row],[Services CPI]]*1)/J876)-1)</f>
        <v>2.7242719512865499E-3</v>
      </c>
      <c r="L877" s="8">
        <f>IF(Tabela1[[#This Row],[Services CPI]]="",#N/A,((Tabela1[[#This Row],[Services CPI]]*1)/J865)-1)</f>
        <v>2.8953975419330202E-2</v>
      </c>
      <c r="M877" s="7">
        <v>341.24200000000002</v>
      </c>
      <c r="N877" s="8">
        <f>IF(Tabela1[[#This Row],[Core-Services CPI]]="",#N/A,((Tabela1[[#This Row],[Core-Services CPI]]*1)/M876)-1)</f>
        <v>2.7416259928476627E-3</v>
      </c>
      <c r="O877" s="8">
        <f>IF(Tabela1[[#This Row],[Core-Services CPI]]="",#N/A,((Tabela1[[#This Row],[Core-Services CPI]]*1)/M865)-1)</f>
        <v>3.0354269012557777E-2</v>
      </c>
      <c r="P877" s="7">
        <v>104.512</v>
      </c>
      <c r="Q877" s="8">
        <f>IF(Tabela1[[#This Row],[Durable Goods CPI]]="",#N/A,((Tabela1[[#This Row],[Durable Goods CPI]]*1)/P876)-1)</f>
        <v>-1.4618067166675131E-3</v>
      </c>
      <c r="R877" s="8">
        <f>IF(Tabela1[[#This Row],[Durable Goods CPI]]="",#N/A,((Tabela1[[#This Row],[Durable Goods CPI]]*1)/P865)-1)</f>
        <v>-3.634624581539958E-4</v>
      </c>
      <c r="S877" s="7">
        <v>2.6067670000000001</v>
      </c>
      <c r="T877" s="7">
        <v>103.997</v>
      </c>
      <c r="U877" s="8">
        <f>IF(Tabela1[[#This Row],[Personal Consumption Expenditures (PCE)]]="",#N/A,((Tabela1[[#This Row],[Personal Consumption Expenditures (PCE)]]*1)/T876)-1)</f>
        <v>3.4628370254230489E-4</v>
      </c>
      <c r="V877" s="8">
        <f>IF(Tabela1[[#This Row],[Personal Consumption Expenditures (PCE)]]="",#N/A,((Tabela1[[#This Row],[Personal Consumption Expenditures (PCE)]]*1)/T865)-1)</f>
        <v>1.3319692097827129E-2</v>
      </c>
      <c r="W877" s="7">
        <v>104.066</v>
      </c>
      <c r="X877" s="8">
        <f>IF(Tabela1[[#This Row],[Core PCE]]="",#N/A,((Tabela1[[#This Row],[Core PCE]]*1)/W876)-1)</f>
        <v>1.7299707827156396E-4</v>
      </c>
      <c r="Y877" s="8">
        <f>IF(Tabela1[[#This Row],[Core PCE]]="",#N/A,((Tabela1[[#This Row],[Core PCE]]*1)/W865)-1)</f>
        <v>1.4723663169390333E-2</v>
      </c>
      <c r="Z877" s="8">
        <f t="shared" si="49"/>
        <v>9.8193687482064362E-3</v>
      </c>
      <c r="AA877" s="8">
        <f t="shared" si="48"/>
        <v>1.3217467447518061E-2</v>
      </c>
      <c r="AB877" s="7">
        <v>1.93</v>
      </c>
      <c r="AC877" s="7">
        <v>118.6</v>
      </c>
      <c r="AD877" s="8">
        <f>IF(Tabela1[[#This Row],[Producer Price Index (PPI)]]="",#N/A,((Tabela1[[#This Row],[Producer Price Index (PPI)]]*1)/AC876)-1)</f>
        <v>-8.4245998315091164E-4</v>
      </c>
      <c r="AE877" s="8">
        <f>IF(Tabela1[[#This Row],[Producer Price Index (PPI)]]="",#N/A,((Tabela1[[#This Row],[Producer Price Index (PPI)]]*1)/AC865)-1)</f>
        <v>1.0221465076660996E-2</v>
      </c>
      <c r="AF877" s="7">
        <v>2.5</v>
      </c>
      <c r="AG877" s="5"/>
    </row>
    <row r="878" spans="1:33" ht="12.75">
      <c r="A878" s="6">
        <v>43800</v>
      </c>
      <c r="B878" s="7">
        <v>258.61599999999999</v>
      </c>
      <c r="C878" s="8">
        <f>IF(Tabela1[[#This Row],[Consumer Price Index (CPI)]]="",#N/A,((Tabela1[[#This Row],[Consumer Price Index (CPI)]]*1)/B877)-1)</f>
        <v>3.1535707497585275E-3</v>
      </c>
      <c r="D878" s="8">
        <f>IF(Tabela1[[#This Row],[Consumer Price Index (CPI)]]="",#N/A,((Tabela1[[#This Row],[Consumer Price Index (CPI)]]*1)/B866)-1)</f>
        <v>2.3139887722685382E-2</v>
      </c>
      <c r="E878" s="25">
        <v>265.92399999999998</v>
      </c>
      <c r="F878" s="8">
        <f>IF(Tabela1[[#This Row],[Core Consumer Price Index]]="",#N/A,((Tabela1[[#This Row],[Core Consumer Price Index]]*1)/E877)-1)</f>
        <v>1.6573503487968821E-3</v>
      </c>
      <c r="G878" s="8">
        <f>IF(Tabela1[[#This Row],[Core Consumer Price Index]]="",#N/A,((Tabela1[[#This Row],[Core Consumer Price Index]]*1)/E866)-1)</f>
        <v>2.2536846840957692E-2</v>
      </c>
      <c r="H878" s="8">
        <f t="shared" si="46"/>
        <v>2.2633070534351596E-2</v>
      </c>
      <c r="I878" s="8">
        <f t="shared" si="47"/>
        <v>2.3208508815451445E-2</v>
      </c>
      <c r="J878" s="25">
        <v>329.44299999999998</v>
      </c>
      <c r="K878" s="8">
        <f>IF(Tabela1[[#This Row],[Services CPI]]="",#N/A,((Tabela1[[#This Row],[Services CPI]]*1)/J877)-1)</f>
        <v>2.3000605439216226E-3</v>
      </c>
      <c r="L878" s="8">
        <f>IF(Tabela1[[#This Row],[Services CPI]]="",#N/A,((Tabela1[[#This Row],[Services CPI]]*1)/J866)-1)</f>
        <v>2.7544196723765735E-2</v>
      </c>
      <c r="M878" s="7">
        <v>341.99200000000002</v>
      </c>
      <c r="N878" s="8">
        <f>IF(Tabela1[[#This Row],[Core-Services CPI]]="",#N/A,((Tabela1[[#This Row],[Core-Services CPI]]*1)/M877)-1)</f>
        <v>2.1978537225781913E-3</v>
      </c>
      <c r="O878" s="8">
        <f>IF(Tabela1[[#This Row],[Core-Services CPI]]="",#N/A,((Tabela1[[#This Row],[Core-Services CPI]]*1)/M866)-1)</f>
        <v>2.9807915252655137E-2</v>
      </c>
      <c r="P878" s="7">
        <v>104.218</v>
      </c>
      <c r="Q878" s="8">
        <f>IF(Tabela1[[#This Row],[Durable Goods CPI]]="",#N/A,((Tabela1[[#This Row],[Durable Goods CPI]]*1)/P877)-1)</f>
        <v>-2.8130740967544643E-3</v>
      </c>
      <c r="R878" s="8">
        <f>IF(Tabela1[[#This Row],[Durable Goods CPI]]="",#N/A,((Tabela1[[#This Row],[Durable Goods CPI]]*1)/P866)-1)</f>
        <v>-4.7652243666261862E-3</v>
      </c>
      <c r="S878" s="7">
        <v>2.7333409999999998</v>
      </c>
      <c r="T878" s="7">
        <v>104.282</v>
      </c>
      <c r="U878" s="8">
        <f>IF(Tabela1[[#This Row],[Personal Consumption Expenditures (PCE)]]="",#N/A,((Tabela1[[#This Row],[Personal Consumption Expenditures (PCE)]]*1)/T877)-1)</f>
        <v>2.740463667221027E-3</v>
      </c>
      <c r="V878" s="8">
        <f>IF(Tabela1[[#This Row],[Personal Consumption Expenditures (PCE)]]="",#N/A,((Tabela1[[#This Row],[Personal Consumption Expenditures (PCE)]]*1)/T866)-1)</f>
        <v>1.539420258809554E-2</v>
      </c>
      <c r="W878" s="7">
        <v>104.279</v>
      </c>
      <c r="X878" s="8">
        <f>IF(Tabela1[[#This Row],[Core PCE]]="",#N/A,((Tabela1[[#This Row],[Core PCE]]*1)/W877)-1)</f>
        <v>2.0467780062651819E-3</v>
      </c>
      <c r="Y878" s="8">
        <f>IF(Tabela1[[#This Row],[Core PCE]]="",#N/A,((Tabela1[[#This Row],[Core PCE]]*1)/W866)-1)</f>
        <v>1.5028957998734604E-2</v>
      </c>
      <c r="Z878" s="8">
        <f t="shared" si="49"/>
        <v>1.5001018924330367E-2</v>
      </c>
      <c r="AA878" s="8">
        <f t="shared" si="48"/>
        <v>1.3345110961620499E-2</v>
      </c>
      <c r="AB878" s="7">
        <v>1.93</v>
      </c>
      <c r="AC878" s="7">
        <v>119</v>
      </c>
      <c r="AD878" s="8">
        <f>IF(Tabela1[[#This Row],[Producer Price Index (PPI)]]="",#N/A,((Tabela1[[#This Row],[Producer Price Index (PPI)]]*1)/AC877)-1)</f>
        <v>3.3726812816188279E-3</v>
      </c>
      <c r="AE878" s="8">
        <f>IF(Tabela1[[#This Row],[Producer Price Index (PPI)]]="",#N/A,((Tabela1[[#This Row],[Producer Price Index (PPI)]]*1)/AC866)-1)</f>
        <v>1.3628620102214661E-2</v>
      </c>
      <c r="AF878" s="7">
        <v>2.2999999999999998</v>
      </c>
      <c r="AG878" s="5"/>
    </row>
    <row r="879" spans="1:33" ht="12.75">
      <c r="A879" s="6">
        <v>43831</v>
      </c>
      <c r="B879" s="7">
        <v>259.03699999999998</v>
      </c>
      <c r="C879" s="8">
        <f>IF(Tabela1[[#This Row],[Consumer Price Index (CPI)]]="",#N/A,((Tabela1[[#This Row],[Consumer Price Index (CPI)]]*1)/B878)-1)</f>
        <v>1.6278961858509078E-3</v>
      </c>
      <c r="D879" s="8">
        <f>IF(Tabela1[[#This Row],[Consumer Price Index (CPI)]]="",#N/A,((Tabela1[[#This Row],[Consumer Price Index (CPI)]]*1)/B867)-1)</f>
        <v>2.500415482870233E-2</v>
      </c>
      <c r="E879" s="25">
        <v>266.62599999999998</v>
      </c>
      <c r="F879" s="8">
        <f>IF(Tabela1[[#This Row],[Core Consumer Price Index]]="",#N/A,((Tabela1[[#This Row],[Core Consumer Price Index]]*1)/E878)-1)</f>
        <v>2.639851987785935E-3</v>
      </c>
      <c r="G879" s="8">
        <f>IF(Tabela1[[#This Row],[Core Consumer Price Index]]="",#N/A,((Tabela1[[#This Row],[Core Consumer Price Index]]*1)/E867)-1)</f>
        <v>2.2786033772431269E-2</v>
      </c>
      <c r="H879" s="8">
        <f t="shared" si="46"/>
        <v>2.5401989689050275E-2</v>
      </c>
      <c r="I879" s="8">
        <f t="shared" si="47"/>
        <v>2.5033889370482232E-2</v>
      </c>
      <c r="J879" s="25">
        <v>330.54500000000002</v>
      </c>
      <c r="K879" s="8">
        <f>IF(Tabela1[[#This Row],[Services CPI]]="",#N/A,((Tabela1[[#This Row],[Services CPI]]*1)/J878)-1)</f>
        <v>3.3450399613894621E-3</v>
      </c>
      <c r="L879" s="8">
        <f>IF(Tabela1[[#This Row],[Services CPI]]="",#N/A,((Tabela1[[#This Row],[Services CPI]]*1)/J867)-1)</f>
        <v>2.9215785180064957E-2</v>
      </c>
      <c r="M879" s="7">
        <v>343.209</v>
      </c>
      <c r="N879" s="8">
        <f>IF(Tabela1[[#This Row],[Core-Services CPI]]="",#N/A,((Tabela1[[#This Row],[Core-Services CPI]]*1)/M878)-1)</f>
        <v>3.5585627733980552E-3</v>
      </c>
      <c r="O879" s="8">
        <f>IF(Tabela1[[#This Row],[Core-Services CPI]]="",#N/A,((Tabela1[[#This Row],[Core-Services CPI]]*1)/M867)-1)</f>
        <v>3.1159302723847482E-2</v>
      </c>
      <c r="P879" s="7">
        <v>104.16</v>
      </c>
      <c r="Q879" s="8">
        <f>IF(Tabela1[[#This Row],[Durable Goods CPI]]="",#N/A,((Tabela1[[#This Row],[Durable Goods CPI]]*1)/P878)-1)</f>
        <v>-5.5652574411335642E-4</v>
      </c>
      <c r="R879" s="8">
        <f>IF(Tabela1[[#This Row],[Durable Goods CPI]]="",#N/A,((Tabela1[[#This Row],[Durable Goods CPI]]*1)/P867)-1)</f>
        <v>-8.7174997144923161E-3</v>
      </c>
      <c r="S879" s="7">
        <v>2.7682169999999999</v>
      </c>
      <c r="T879" s="7">
        <v>104.458</v>
      </c>
      <c r="U879" s="8">
        <f>IF(Tabela1[[#This Row],[Personal Consumption Expenditures (PCE)]]="",#N/A,((Tabela1[[#This Row],[Personal Consumption Expenditures (PCE)]]*1)/T878)-1)</f>
        <v>1.6877313438561359E-3</v>
      </c>
      <c r="V879" s="8">
        <f>IF(Tabela1[[#This Row],[Personal Consumption Expenditures (PCE)]]="",#N/A,((Tabela1[[#This Row],[Personal Consumption Expenditures (PCE)]]*1)/T867)-1)</f>
        <v>1.6979184921237511E-2</v>
      </c>
      <c r="W879" s="7">
        <v>104.47499999999999</v>
      </c>
      <c r="X879" s="8">
        <f>IF(Tabela1[[#This Row],[Core PCE]]="",#N/A,((Tabela1[[#This Row],[Core PCE]]*1)/W878)-1)</f>
        <v>1.8795730684029177E-3</v>
      </c>
      <c r="Y879" s="8">
        <f>IF(Tabela1[[#This Row],[Core PCE]]="",#N/A,((Tabela1[[#This Row],[Core PCE]]*1)/W867)-1)</f>
        <v>1.552324112055059E-2</v>
      </c>
      <c r="Z879" s="8">
        <f t="shared" si="49"/>
        <v>1.6397392611758654E-2</v>
      </c>
      <c r="AA879" s="8">
        <f t="shared" si="48"/>
        <v>1.4787341685146504E-2</v>
      </c>
      <c r="AB879" s="7">
        <v>1.98</v>
      </c>
      <c r="AC879" s="7">
        <v>119.3</v>
      </c>
      <c r="AD879" s="8">
        <f>IF(Tabela1[[#This Row],[Producer Price Index (PPI)]]="",#N/A,((Tabela1[[#This Row],[Producer Price Index (PPI)]]*1)/AC878)-1)</f>
        <v>2.5210084033613356E-3</v>
      </c>
      <c r="AE879" s="8">
        <f>IF(Tabela1[[#This Row],[Producer Price Index (PPI)]]="",#N/A,((Tabela1[[#This Row],[Producer Price Index (PPI)]]*1)/AC867)-1)</f>
        <v>1.9658119658119588E-2</v>
      </c>
      <c r="AF879" s="7">
        <v>2.5</v>
      </c>
      <c r="AG879" s="5"/>
    </row>
    <row r="880" spans="1:33" ht="12.75">
      <c r="A880" s="6">
        <v>43862</v>
      </c>
      <c r="B880" s="7">
        <v>259.24799999999999</v>
      </c>
      <c r="C880" s="8">
        <f>IF(Tabela1[[#This Row],[Consumer Price Index (CPI)]]="",#N/A,((Tabela1[[#This Row],[Consumer Price Index (CPI)]]*1)/B879)-1)</f>
        <v>8.1455544960773452E-4</v>
      </c>
      <c r="D880" s="8">
        <f>IF(Tabela1[[#This Row],[Consumer Price Index (CPI)]]="",#N/A,((Tabela1[[#This Row],[Consumer Price Index (CPI)]]*1)/B868)-1)</f>
        <v>2.3393151798896117E-2</v>
      </c>
      <c r="E880" s="25">
        <v>267.28300000000002</v>
      </c>
      <c r="F880" s="8">
        <f>IF(Tabela1[[#This Row],[Core Consumer Price Index]]="",#N/A,((Tabela1[[#This Row],[Core Consumer Price Index]]*1)/E879)-1)</f>
        <v>2.4641257791815363E-3</v>
      </c>
      <c r="G880" s="8">
        <f>IF(Tabela1[[#This Row],[Core Consumer Price Index]]="",#N/A,((Tabela1[[#This Row],[Core Consumer Price Index]]*1)/E868)-1)</f>
        <v>2.3809979813611104E-2</v>
      </c>
      <c r="H880" s="8">
        <f t="shared" si="46"/>
        <v>2.7045312463057414E-2</v>
      </c>
      <c r="I880" s="8">
        <f t="shared" si="47"/>
        <v>2.4933904571354137E-2</v>
      </c>
      <c r="J880" s="25">
        <v>331.37900000000002</v>
      </c>
      <c r="K880" s="8">
        <f>IF(Tabela1[[#This Row],[Services CPI]]="",#N/A,((Tabela1[[#This Row],[Services CPI]]*1)/J879)-1)</f>
        <v>2.523105779848489E-3</v>
      </c>
      <c r="L880" s="8">
        <f>IF(Tabela1[[#This Row],[Services CPI]]="",#N/A,((Tabela1[[#This Row],[Services CPI]]*1)/J868)-1)</f>
        <v>2.994616838231634E-2</v>
      </c>
      <c r="M880" s="7">
        <v>344.137</v>
      </c>
      <c r="N880" s="8">
        <f>IF(Tabela1[[#This Row],[Core-Services CPI]]="",#N/A,((Tabela1[[#This Row],[Core-Services CPI]]*1)/M879)-1)</f>
        <v>2.7038917977093568E-3</v>
      </c>
      <c r="O880" s="8">
        <f>IF(Tabela1[[#This Row],[Core-Services CPI]]="",#N/A,((Tabela1[[#This Row],[Core-Services CPI]]*1)/M868)-1)</f>
        <v>3.1659951555267796E-2</v>
      </c>
      <c r="P880" s="7">
        <v>104.532</v>
      </c>
      <c r="Q880" s="8">
        <f>IF(Tabela1[[#This Row],[Durable Goods CPI]]="",#N/A,((Tabela1[[#This Row],[Durable Goods CPI]]*1)/P879)-1)</f>
        <v>3.5714285714285587E-3</v>
      </c>
      <c r="R880" s="8">
        <f>IF(Tabela1[[#This Row],[Durable Goods CPI]]="",#N/A,((Tabela1[[#This Row],[Durable Goods CPI]]*1)/P868)-1)</f>
        <v>-5.6409036860880502E-3</v>
      </c>
      <c r="S880" s="7">
        <v>2.7463609999999998</v>
      </c>
      <c r="T880" s="7">
        <v>104.551</v>
      </c>
      <c r="U880" s="8">
        <f>IF(Tabela1[[#This Row],[Personal Consumption Expenditures (PCE)]]="",#N/A,((Tabela1[[#This Row],[Personal Consumption Expenditures (PCE)]]*1)/T879)-1)</f>
        <v>8.9030998104511205E-4</v>
      </c>
      <c r="V880" s="8">
        <f>IF(Tabela1[[#This Row],[Personal Consumption Expenditures (PCE)]]="",#N/A,((Tabela1[[#This Row],[Personal Consumption Expenditures (PCE)]]*1)/T868)-1)</f>
        <v>1.6420057941708421E-2</v>
      </c>
      <c r="W880" s="7">
        <v>104.664</v>
      </c>
      <c r="X880" s="8">
        <f>IF(Tabela1[[#This Row],[Core PCE]]="",#N/A,((Tabela1[[#This Row],[Core PCE]]*1)/W879)-1)</f>
        <v>1.8090452261307899E-3</v>
      </c>
      <c r="Y880" s="8">
        <f>IF(Tabela1[[#This Row],[Core PCE]]="",#N/A,((Tabela1[[#This Row],[Core PCE]]*1)/W868)-1)</f>
        <v>1.6559989898891736E-2</v>
      </c>
      <c r="Z880" s="8">
        <f t="shared" si="49"/>
        <v>2.2941585203195558E-2</v>
      </c>
      <c r="AA880" s="8">
        <f t="shared" si="48"/>
        <v>1.6380476975700997E-2</v>
      </c>
      <c r="AB880" s="7">
        <v>1.98</v>
      </c>
      <c r="AC880" s="7">
        <v>118.6</v>
      </c>
      <c r="AD880" s="8">
        <f>IF(Tabela1[[#This Row],[Producer Price Index (PPI)]]="",#N/A,((Tabela1[[#This Row],[Producer Price Index (PPI)]]*1)/AC879)-1)</f>
        <v>-5.8675607711651256E-3</v>
      </c>
      <c r="AE880" s="8">
        <f>IF(Tabela1[[#This Row],[Producer Price Index (PPI)]]="",#N/A,((Tabela1[[#This Row],[Producer Price Index (PPI)]]*1)/AC868)-1)</f>
        <v>1.1945392491467421E-2</v>
      </c>
      <c r="AF880" s="7">
        <v>2.4</v>
      </c>
      <c r="AG880" s="5"/>
    </row>
    <row r="881" spans="1:33" ht="12.75">
      <c r="A881" s="6">
        <v>43891</v>
      </c>
      <c r="B881" s="7">
        <v>258.12400000000002</v>
      </c>
      <c r="C881" s="8">
        <f>IF(Tabela1[[#This Row],[Consumer Price Index (CPI)]]="",#N/A,((Tabela1[[#This Row],[Consumer Price Index (CPI)]]*1)/B880)-1)</f>
        <v>-4.3356168610749757E-3</v>
      </c>
      <c r="D881" s="8">
        <f>IF(Tabela1[[#This Row],[Consumer Price Index (CPI)]]="",#N/A,((Tabela1[[#This Row],[Consumer Price Index (CPI)]]*1)/B869)-1)</f>
        <v>1.5428674833400269E-2</v>
      </c>
      <c r="E881" s="25">
        <v>267.08999999999997</v>
      </c>
      <c r="F881" s="8">
        <f>IF(Tabela1[[#This Row],[Core Consumer Price Index]]="",#N/A,((Tabela1[[#This Row],[Core Consumer Price Index]]*1)/E880)-1)</f>
        <v>-7.2208109008065069E-4</v>
      </c>
      <c r="G881" s="8">
        <f>IF(Tabela1[[#This Row],[Core Consumer Price Index]]="",#N/A,((Tabela1[[#This Row],[Core Consumer Price Index]]*1)/E869)-1)</f>
        <v>2.1232177473933023E-2</v>
      </c>
      <c r="H881" s="8">
        <f t="shared" si="46"/>
        <v>1.7527586707547282E-2</v>
      </c>
      <c r="I881" s="8">
        <f t="shared" si="47"/>
        <v>2.0080328620949439E-2</v>
      </c>
      <c r="J881" s="25">
        <v>331.22300000000001</v>
      </c>
      <c r="K881" s="8">
        <f>IF(Tabela1[[#This Row],[Services CPI]]="",#N/A,((Tabela1[[#This Row],[Services CPI]]*1)/J880)-1)</f>
        <v>-4.7076006626856071E-4</v>
      </c>
      <c r="L881" s="8">
        <f>IF(Tabela1[[#This Row],[Services CPI]]="",#N/A,((Tabela1[[#This Row],[Services CPI]]*1)/J869)-1)</f>
        <v>2.6888854441171839E-2</v>
      </c>
      <c r="M881" s="7">
        <v>344.01299999999998</v>
      </c>
      <c r="N881" s="8">
        <f>IF(Tabela1[[#This Row],[Core-Services CPI]]="",#N/A,((Tabela1[[#This Row],[Core-Services CPI]]*1)/M880)-1)</f>
        <v>-3.6032161610066726E-4</v>
      </c>
      <c r="O881" s="8">
        <f>IF(Tabela1[[#This Row],[Core-Services CPI]]="",#N/A,((Tabela1[[#This Row],[Core-Services CPI]]*1)/M869)-1)</f>
        <v>2.8725475244238297E-2</v>
      </c>
      <c r="P881" s="7">
        <v>104.782</v>
      </c>
      <c r="Q881" s="8">
        <f>IF(Tabela1[[#This Row],[Durable Goods CPI]]="",#N/A,((Tabela1[[#This Row],[Durable Goods CPI]]*1)/P880)-1)</f>
        <v>2.3916121379099486E-3</v>
      </c>
      <c r="R881" s="8">
        <f>IF(Tabela1[[#This Row],[Durable Goods CPI]]="",#N/A,((Tabela1[[#This Row],[Durable Goods CPI]]*1)/P869)-1)</f>
        <v>-5.7218769274565151E-3</v>
      </c>
      <c r="S881" s="7">
        <v>2.7970670000000002</v>
      </c>
      <c r="T881" s="7">
        <v>104.238</v>
      </c>
      <c r="U881" s="8">
        <f>IF(Tabela1[[#This Row],[Personal Consumption Expenditures (PCE)]]="",#N/A,((Tabela1[[#This Row],[Personal Consumption Expenditures (PCE)]]*1)/T880)-1)</f>
        <v>-2.9937542443401188E-3</v>
      </c>
      <c r="V881" s="8">
        <f>IF(Tabela1[[#This Row],[Personal Consumption Expenditures (PCE)]]="",#N/A,((Tabela1[[#This Row],[Personal Consumption Expenditures (PCE)]]*1)/T869)-1)</f>
        <v>1.1469492314857943E-2</v>
      </c>
      <c r="W881" s="7">
        <v>104.586</v>
      </c>
      <c r="X881" s="8">
        <f>IF(Tabela1[[#This Row],[Core PCE]]="",#N/A,((Tabela1[[#This Row],[Core PCE]]*1)/W880)-1)</f>
        <v>-7.4524191699154585E-4</v>
      </c>
      <c r="Y881" s="8">
        <f>IF(Tabela1[[#This Row],[Core PCE]]="",#N/A,((Tabela1[[#This Row],[Core PCE]]*1)/W869)-1)</f>
        <v>1.4915234500092023E-2</v>
      </c>
      <c r="Z881" s="8">
        <f t="shared" si="49"/>
        <v>1.1773505510168647E-2</v>
      </c>
      <c r="AA881" s="8">
        <f t="shared" si="48"/>
        <v>1.3387262217249507E-2</v>
      </c>
      <c r="AB881" s="7">
        <v>1.88</v>
      </c>
      <c r="AC881" s="7">
        <v>118</v>
      </c>
      <c r="AD881" s="8">
        <f>IF(Tabela1[[#This Row],[Producer Price Index (PPI)]]="",#N/A,((Tabela1[[#This Row],[Producer Price Index (PPI)]]*1)/AC880)-1)</f>
        <v>-5.0590219224282418E-3</v>
      </c>
      <c r="AE881" s="8">
        <f>IF(Tabela1[[#This Row],[Producer Price Index (PPI)]]="",#N/A,((Tabela1[[#This Row],[Producer Price Index (PPI)]]*1)/AC869)-1)</f>
        <v>3.4013605442178019E-3</v>
      </c>
      <c r="AF881" s="7">
        <v>2.2000000000000002</v>
      </c>
      <c r="AG881" s="5"/>
    </row>
    <row r="882" spans="1:33" ht="12.75">
      <c r="A882" s="6">
        <v>43922</v>
      </c>
      <c r="B882" s="7">
        <v>256.09199999999998</v>
      </c>
      <c r="C882" s="8">
        <f>IF(Tabela1[[#This Row],[Consumer Price Index (CPI)]]="",#N/A,((Tabela1[[#This Row],[Consumer Price Index (CPI)]]*1)/B881)-1)</f>
        <v>-7.8721854612513464E-3</v>
      </c>
      <c r="D882" s="8">
        <f>IF(Tabela1[[#This Row],[Consumer Price Index (CPI)]]="",#N/A,((Tabela1[[#This Row],[Consumer Price Index (CPI)]]*1)/B870)-1)</f>
        <v>3.4520455622992774E-3</v>
      </c>
      <c r="E882" s="25">
        <v>265.77100000000002</v>
      </c>
      <c r="F882" s="8">
        <f>IF(Tabela1[[#This Row],[Core Consumer Price Index]]="",#N/A,((Tabela1[[#This Row],[Core Consumer Price Index]]*1)/E881)-1)</f>
        <v>-4.9384102736903523E-3</v>
      </c>
      <c r="G882" s="8">
        <f>IF(Tabela1[[#This Row],[Core Consumer Price Index]]="",#N/A,((Tabela1[[#This Row],[Core Consumer Price Index]]*1)/E870)-1)</f>
        <v>1.4486059791736672E-2</v>
      </c>
      <c r="H882" s="8">
        <f t="shared" si="46"/>
        <v>-1.2785462338357867E-2</v>
      </c>
      <c r="I882" s="8">
        <f t="shared" si="47"/>
        <v>6.308263675346204E-3</v>
      </c>
      <c r="J882" s="25">
        <v>329.90499999999997</v>
      </c>
      <c r="K882" s="8">
        <f>IF(Tabela1[[#This Row],[Services CPI]]="",#N/A,((Tabela1[[#This Row],[Services CPI]]*1)/J881)-1)</f>
        <v>-3.9791922662376633E-3</v>
      </c>
      <c r="L882" s="8">
        <f>IF(Tabela1[[#This Row],[Services CPI]]="",#N/A,((Tabela1[[#This Row],[Services CPI]]*1)/J870)-1)</f>
        <v>2.0474131264576867E-2</v>
      </c>
      <c r="M882" s="7">
        <v>342.60300000000001</v>
      </c>
      <c r="N882" s="8">
        <f>IF(Tabela1[[#This Row],[Core-Services CPI]]="",#N/A,((Tabela1[[#This Row],[Core-Services CPI]]*1)/M881)-1)</f>
        <v>-4.0986823172378672E-3</v>
      </c>
      <c r="O882" s="8">
        <f>IF(Tabela1[[#This Row],[Core-Services CPI]]="",#N/A,((Tabela1[[#This Row],[Core-Services CPI]]*1)/M870)-1)</f>
        <v>2.1835350540738929E-2</v>
      </c>
      <c r="P882" s="7">
        <v>104.23399999999999</v>
      </c>
      <c r="Q882" s="8">
        <f>IF(Tabela1[[#This Row],[Durable Goods CPI]]="",#N/A,((Tabela1[[#This Row],[Durable Goods CPI]]*1)/P881)-1)</f>
        <v>-5.2299058998682701E-3</v>
      </c>
      <c r="R882" s="8">
        <f>IF(Tabela1[[#This Row],[Durable Goods CPI]]="",#N/A,((Tabela1[[#This Row],[Durable Goods CPI]]*1)/P870)-1)</f>
        <v>-7.1439457441133669E-3</v>
      </c>
      <c r="S882" s="7">
        <v>2.8129360000000001</v>
      </c>
      <c r="T882" s="7">
        <v>103.79600000000001</v>
      </c>
      <c r="U882" s="8">
        <f>IF(Tabela1[[#This Row],[Personal Consumption Expenditures (PCE)]]="",#N/A,((Tabela1[[#This Row],[Personal Consumption Expenditures (PCE)]]*1)/T881)-1)</f>
        <v>-4.2402962451312254E-3</v>
      </c>
      <c r="V882" s="8">
        <f>IF(Tabela1[[#This Row],[Personal Consumption Expenditures (PCE)]]="",#N/A,((Tabela1[[#This Row],[Personal Consumption Expenditures (PCE)]]*1)/T870)-1)</f>
        <v>4.1114045525341147E-3</v>
      </c>
      <c r="W882" s="7">
        <v>104.23699999999999</v>
      </c>
      <c r="X882" s="8">
        <f>IF(Tabela1[[#This Row],[Core PCE]]="",#N/A,((Tabela1[[#This Row],[Core PCE]]*1)/W881)-1)</f>
        <v>-3.3369667068250397E-3</v>
      </c>
      <c r="Y882" s="8">
        <f>IF(Tabela1[[#This Row],[Core PCE]]="",#N/A,((Tabela1[[#This Row],[Core PCE]]*1)/W870)-1)</f>
        <v>9.3247090264731991E-3</v>
      </c>
      <c r="Z882" s="8">
        <f t="shared" si="49"/>
        <v>-9.0926535907431827E-3</v>
      </c>
      <c r="AA882" s="8">
        <f t="shared" si="48"/>
        <v>3.6523695105077358E-3</v>
      </c>
      <c r="AB882" s="7">
        <v>1.74</v>
      </c>
      <c r="AC882" s="7">
        <v>116.6</v>
      </c>
      <c r="AD882" s="8">
        <f>IF(Tabela1[[#This Row],[Producer Price Index (PPI)]]="",#N/A,((Tabela1[[#This Row],[Producer Price Index (PPI)]]*1)/AC881)-1)</f>
        <v>-1.1864406779661052E-2</v>
      </c>
      <c r="AE882" s="8">
        <f>IF(Tabela1[[#This Row],[Producer Price Index (PPI)]]="",#N/A,((Tabela1[[#This Row],[Producer Price Index (PPI)]]*1)/AC870)-1)</f>
        <v>-1.3536379018612599E-2</v>
      </c>
      <c r="AF882" s="7">
        <v>2.1</v>
      </c>
      <c r="AG882" s="5"/>
    </row>
    <row r="883" spans="1:33" ht="12.75">
      <c r="A883" s="6">
        <v>43952</v>
      </c>
      <c r="B883" s="7">
        <v>255.86799999999999</v>
      </c>
      <c r="C883" s="8">
        <f>IF(Tabela1[[#This Row],[Consumer Price Index (CPI)]]="",#N/A,((Tabela1[[#This Row],[Consumer Price Index (CPI)]]*1)/B882)-1)</f>
        <v>-8.7468565984094582E-4</v>
      </c>
      <c r="D883" s="8">
        <f>IF(Tabela1[[#This Row],[Consumer Price Index (CPI)]]="",#N/A,((Tabela1[[#This Row],[Consumer Price Index (CPI)]]*1)/B871)-1)</f>
        <v>2.2640918171490387E-3</v>
      </c>
      <c r="E883" s="25">
        <v>265.57400000000001</v>
      </c>
      <c r="F883" s="8">
        <f>IF(Tabela1[[#This Row],[Core Consumer Price Index]]="",#N/A,((Tabela1[[#This Row],[Core Consumer Price Index]]*1)/E882)-1)</f>
        <v>-7.4123963863625963E-4</v>
      </c>
      <c r="G883" s="8">
        <f>IF(Tabela1[[#This Row],[Core Consumer Price Index]]="",#N/A,((Tabela1[[#This Row],[Core Consumer Price Index]]*1)/E871)-1)</f>
        <v>1.2466451140661361E-2</v>
      </c>
      <c r="H883" s="8">
        <f t="shared" si="46"/>
        <v>-2.5606924009629051E-2</v>
      </c>
      <c r="I883" s="8">
        <f t="shared" si="47"/>
        <v>7.1919422671418154E-4</v>
      </c>
      <c r="J883" s="25">
        <v>329.84699999999998</v>
      </c>
      <c r="K883" s="8">
        <f>IF(Tabela1[[#This Row],[Services CPI]]="",#N/A,((Tabela1[[#This Row],[Services CPI]]*1)/J882)-1)</f>
        <v>-1.7580818720541735E-4</v>
      </c>
      <c r="L883" s="8">
        <f>IF(Tabela1[[#This Row],[Services CPI]]="",#N/A,((Tabela1[[#This Row],[Services CPI]]*1)/J871)-1)</f>
        <v>1.8693984446901402E-2</v>
      </c>
      <c r="M883" s="7">
        <v>342.58600000000001</v>
      </c>
      <c r="N883" s="8">
        <f>IF(Tabela1[[#This Row],[Core-Services CPI]]="",#N/A,((Tabela1[[#This Row],[Core-Services CPI]]*1)/M882)-1)</f>
        <v>-4.9620114243031921E-5</v>
      </c>
      <c r="O883" s="8">
        <f>IF(Tabela1[[#This Row],[Core-Services CPI]]="",#N/A,((Tabela1[[#This Row],[Core-Services CPI]]*1)/M871)-1)</f>
        <v>1.9819723274034917E-2</v>
      </c>
      <c r="P883" s="7">
        <v>104.023</v>
      </c>
      <c r="Q883" s="8">
        <f>IF(Tabela1[[#This Row],[Durable Goods CPI]]="",#N/A,((Tabela1[[#This Row],[Durable Goods CPI]]*1)/P882)-1)</f>
        <v>-2.0242914979756721E-3</v>
      </c>
      <c r="R883" s="8">
        <f>IF(Tabela1[[#This Row],[Durable Goods CPI]]="",#N/A,((Tabela1[[#This Row],[Durable Goods CPI]]*1)/P871)-1)</f>
        <v>-4.6884119678892722E-3</v>
      </c>
      <c r="S883" s="7">
        <v>2.6473789999999999</v>
      </c>
      <c r="T883" s="7">
        <v>103.89</v>
      </c>
      <c r="U883" s="8">
        <f>IF(Tabela1[[#This Row],[Personal Consumption Expenditures (PCE)]]="",#N/A,((Tabela1[[#This Row],[Personal Consumption Expenditures (PCE)]]*1)/T882)-1)</f>
        <v>9.0562256734361135E-4</v>
      </c>
      <c r="V883" s="8">
        <f>IF(Tabela1[[#This Row],[Personal Consumption Expenditures (PCE)]]="",#N/A,((Tabela1[[#This Row],[Personal Consumption Expenditures (PCE)]]*1)/T871)-1)</f>
        <v>4.4862993831338294E-3</v>
      </c>
      <c r="W883" s="7">
        <v>104.364</v>
      </c>
      <c r="X883" s="8">
        <f>IF(Tabela1[[#This Row],[Core PCE]]="",#N/A,((Tabela1[[#This Row],[Core PCE]]*1)/W882)-1)</f>
        <v>1.2183773516123431E-3</v>
      </c>
      <c r="Y883" s="8">
        <f>IF(Tabela1[[#This Row],[Core PCE]]="",#N/A,((Tabela1[[#This Row],[Core PCE]]*1)/W871)-1)</f>
        <v>9.5085170389144213E-3</v>
      </c>
      <c r="Z883" s="8">
        <f t="shared" si="49"/>
        <v>-1.145532508881697E-2</v>
      </c>
      <c r="AA883" s="8">
        <f t="shared" si="48"/>
        <v>5.743130057189294E-3</v>
      </c>
      <c r="AB883" s="7">
        <v>1.82</v>
      </c>
      <c r="AC883" s="7">
        <v>117.2</v>
      </c>
      <c r="AD883" s="8">
        <f>IF(Tabela1[[#This Row],[Producer Price Index (PPI)]]="",#N/A,((Tabela1[[#This Row],[Producer Price Index (PPI)]]*1)/AC882)-1)</f>
        <v>5.145797598627766E-3</v>
      </c>
      <c r="AE883" s="8">
        <f>IF(Tabela1[[#This Row],[Producer Price Index (PPI)]]="",#N/A,((Tabela1[[#This Row],[Producer Price Index (PPI)]]*1)/AC871)-1)</f>
        <v>-9.2983939137785132E-3</v>
      </c>
      <c r="AF883" s="7">
        <v>3.2</v>
      </c>
      <c r="AG883" s="5"/>
    </row>
    <row r="884" spans="1:33" ht="12.75">
      <c r="A884" s="6">
        <v>43983</v>
      </c>
      <c r="B884" s="7">
        <v>256.98599999999999</v>
      </c>
      <c r="C884" s="8">
        <f>IF(Tabela1[[#This Row],[Consumer Price Index (CPI)]]="",#N/A,((Tabela1[[#This Row],[Consumer Price Index (CPI)]]*1)/B883)-1)</f>
        <v>4.3694404927541175E-3</v>
      </c>
      <c r="D884" s="8">
        <f>IF(Tabela1[[#This Row],[Consumer Price Index (CPI)]]="",#N/A,((Tabela1[[#This Row],[Consumer Price Index (CPI)]]*1)/B872)-1)</f>
        <v>7.1602412613311905E-3</v>
      </c>
      <c r="E884" s="25">
        <v>265.952</v>
      </c>
      <c r="F884" s="8">
        <f>IF(Tabela1[[#This Row],[Core Consumer Price Index]]="",#N/A,((Tabela1[[#This Row],[Core Consumer Price Index]]*1)/E883)-1)</f>
        <v>1.4233321032932622E-3</v>
      </c>
      <c r="G884" s="8">
        <f>IF(Tabela1[[#This Row],[Core Consumer Price Index]]="",#N/A,((Tabela1[[#This Row],[Core Consumer Price Index]]*1)/E872)-1)</f>
        <v>1.1766764691336418E-2</v>
      </c>
      <c r="H884" s="8">
        <f t="shared" si="46"/>
        <v>-1.7025271236133399E-2</v>
      </c>
      <c r="I884" s="8">
        <f t="shared" si="47"/>
        <v>2.5115773570694166E-4</v>
      </c>
      <c r="J884" s="25">
        <v>330.52600000000001</v>
      </c>
      <c r="K884" s="8">
        <f>IF(Tabela1[[#This Row],[Services CPI]]="",#N/A,((Tabela1[[#This Row],[Services CPI]]*1)/J883)-1)</f>
        <v>2.0585301670168477E-3</v>
      </c>
      <c r="L884" s="8">
        <f>IF(Tabela1[[#This Row],[Services CPI]]="",#N/A,((Tabela1[[#This Row],[Services CPI]]*1)/J872)-1)</f>
        <v>1.8432015381581568E-2</v>
      </c>
      <c r="M884" s="7">
        <v>343.31700000000001</v>
      </c>
      <c r="N884" s="8">
        <f>IF(Tabela1[[#This Row],[Core-Services CPI]]="",#N/A,((Tabela1[[#This Row],[Core-Services CPI]]*1)/M883)-1)</f>
        <v>2.1337707904001135E-3</v>
      </c>
      <c r="O884" s="8">
        <f>IF(Tabela1[[#This Row],[Core-Services CPI]]="",#N/A,((Tabela1[[#This Row],[Core-Services CPI]]*1)/M872)-1)</f>
        <v>1.9331603356234739E-2</v>
      </c>
      <c r="P884" s="7">
        <v>103.47199999999999</v>
      </c>
      <c r="Q884" s="8">
        <f>IF(Tabela1[[#This Row],[Durable Goods CPI]]="",#N/A,((Tabela1[[#This Row],[Durable Goods CPI]]*1)/P883)-1)</f>
        <v>-5.2969054920546377E-3</v>
      </c>
      <c r="R884" s="8">
        <f>IF(Tabela1[[#This Row],[Durable Goods CPI]]="",#N/A,((Tabela1[[#This Row],[Durable Goods CPI]]*1)/P872)-1)</f>
        <v>-9.6762152694698234E-3</v>
      </c>
      <c r="S884" s="7">
        <v>2.2263519999999999</v>
      </c>
      <c r="T884" s="7">
        <v>104.199</v>
      </c>
      <c r="U884" s="8">
        <f>IF(Tabela1[[#This Row],[Personal Consumption Expenditures (PCE)]]="",#N/A,((Tabela1[[#This Row],[Personal Consumption Expenditures (PCE)]]*1)/T883)-1)</f>
        <v>2.9742997401096538E-3</v>
      </c>
      <c r="V884" s="8">
        <f>IF(Tabela1[[#This Row],[Personal Consumption Expenditures (PCE)]]="",#N/A,((Tabela1[[#This Row],[Personal Consumption Expenditures (PCE)]]*1)/T872)-1)</f>
        <v>7.0552532642627064E-3</v>
      </c>
      <c r="W884" s="7">
        <v>104.527</v>
      </c>
      <c r="X884" s="8">
        <f>IF(Tabela1[[#This Row],[Core PCE]]="",#N/A,((Tabela1[[#This Row],[Core PCE]]*1)/W883)-1)</f>
        <v>1.5618412479398991E-3</v>
      </c>
      <c r="Y884" s="8">
        <f>IF(Tabela1[[#This Row],[Core PCE]]="",#N/A,((Tabela1[[#This Row],[Core PCE]]*1)/W872)-1)</f>
        <v>9.0842391829011326E-3</v>
      </c>
      <c r="Z884" s="8">
        <f t="shared" si="49"/>
        <v>-2.2269924290911902E-3</v>
      </c>
      <c r="AA884" s="8">
        <f t="shared" si="48"/>
        <v>4.7732565405387284E-3</v>
      </c>
      <c r="AB884" s="7">
        <v>1.8</v>
      </c>
      <c r="AC884" s="7">
        <v>117.5</v>
      </c>
      <c r="AD884" s="8">
        <f>IF(Tabela1[[#This Row],[Producer Price Index (PPI)]]="",#N/A,((Tabela1[[#This Row],[Producer Price Index (PPI)]]*1)/AC883)-1)</f>
        <v>2.5597269624573205E-3</v>
      </c>
      <c r="AE884" s="8">
        <f>IF(Tabela1[[#This Row],[Producer Price Index (PPI)]]="",#N/A,((Tabela1[[#This Row],[Producer Price Index (PPI)]]*1)/AC872)-1)</f>
        <v>-5.9221658206429773E-3</v>
      </c>
      <c r="AF884" s="7">
        <v>3</v>
      </c>
      <c r="AG884" s="5"/>
    </row>
    <row r="885" spans="1:33" ht="12.75">
      <c r="A885" s="6">
        <v>44013</v>
      </c>
      <c r="B885" s="7">
        <v>258.27800000000002</v>
      </c>
      <c r="C885" s="8">
        <f>IF(Tabela1[[#This Row],[Consumer Price Index (CPI)]]="",#N/A,((Tabela1[[#This Row],[Consumer Price Index (CPI)]]*1)/B884)-1)</f>
        <v>5.0275112262925248E-3</v>
      </c>
      <c r="D885" s="8">
        <f>IF(Tabela1[[#This Row],[Consumer Price Index (CPI)]]="",#N/A,((Tabela1[[#This Row],[Consumer Price Index (CPI)]]*1)/B873)-1)</f>
        <v>1.014138490721006E-2</v>
      </c>
      <c r="E885" s="25">
        <v>267.35199999999998</v>
      </c>
      <c r="F885" s="8">
        <f>IF(Tabela1[[#This Row],[Core Consumer Price Index]]="",#N/A,((Tabela1[[#This Row],[Core Consumer Price Index]]*1)/E884)-1)</f>
        <v>5.2641078089279425E-3</v>
      </c>
      <c r="G885" s="8">
        <f>IF(Tabela1[[#This Row],[Core Consumer Price Index]]="",#N/A,((Tabela1[[#This Row],[Core Consumer Price Index]]*1)/E873)-1)</f>
        <v>1.5339159099626576E-2</v>
      </c>
      <c r="H885" s="8">
        <f t="shared" si="46"/>
        <v>2.378480109433978E-2</v>
      </c>
      <c r="I885" s="8">
        <f t="shared" si="47"/>
        <v>5.4996693779909567E-3</v>
      </c>
      <c r="J885" s="25">
        <v>332.15</v>
      </c>
      <c r="K885" s="8">
        <f>IF(Tabela1[[#This Row],[Services CPI]]="",#N/A,((Tabela1[[#This Row],[Services CPI]]*1)/J884)-1)</f>
        <v>4.9133804904908374E-3</v>
      </c>
      <c r="L885" s="8">
        <f>IF(Tabela1[[#This Row],[Services CPI]]="",#N/A,((Tabela1[[#This Row],[Services CPI]]*1)/J873)-1)</f>
        <v>2.1195612071722048E-2</v>
      </c>
      <c r="M885" s="7">
        <v>345.11599999999999</v>
      </c>
      <c r="N885" s="8">
        <f>IF(Tabela1[[#This Row],[Core-Services CPI]]="",#N/A,((Tabela1[[#This Row],[Core-Services CPI]]*1)/M884)-1)</f>
        <v>5.2400551094178294E-3</v>
      </c>
      <c r="O885" s="8">
        <f>IF(Tabela1[[#This Row],[Core-Services CPI]]="",#N/A,((Tabela1[[#This Row],[Core-Services CPI]]*1)/M873)-1)</f>
        <v>2.2359939330742318E-2</v>
      </c>
      <c r="P885" s="7">
        <v>104.574</v>
      </c>
      <c r="Q885" s="8">
        <f>IF(Tabela1[[#This Row],[Durable Goods CPI]]="",#N/A,((Tabela1[[#This Row],[Durable Goods CPI]]*1)/P884)-1)</f>
        <v>1.065022421524664E-2</v>
      </c>
      <c r="R885" s="8">
        <f>IF(Tabela1[[#This Row],[Durable Goods CPI]]="",#N/A,((Tabela1[[#This Row],[Durable Goods CPI]]*1)/P873)-1)</f>
        <v>-1.6897213391757759E-3</v>
      </c>
      <c r="S885" s="7">
        <v>2.0842079999999998</v>
      </c>
      <c r="T885" s="7">
        <v>104.541</v>
      </c>
      <c r="U885" s="8">
        <f>IF(Tabela1[[#This Row],[Personal Consumption Expenditures (PCE)]]="",#N/A,((Tabela1[[#This Row],[Personal Consumption Expenditures (PCE)]]*1)/T884)-1)</f>
        <v>3.2821812109520287E-3</v>
      </c>
      <c r="V885" s="8">
        <f>IF(Tabela1[[#This Row],[Personal Consumption Expenditures (PCE)]]="",#N/A,((Tabela1[[#This Row],[Personal Consumption Expenditures (PCE)]]*1)/T873)-1)</f>
        <v>9.0050961315728539E-3</v>
      </c>
      <c r="W885" s="7">
        <v>104.913</v>
      </c>
      <c r="X885" s="8">
        <f>IF(Tabela1[[#This Row],[Core PCE]]="",#N/A,((Tabela1[[#This Row],[Core PCE]]*1)/W884)-1)</f>
        <v>3.692825777071862E-3</v>
      </c>
      <c r="Y885" s="8">
        <f>IF(Tabela1[[#This Row],[Core PCE]]="",#N/A,((Tabela1[[#This Row],[Core PCE]]*1)/W873)-1)</f>
        <v>1.1638670858002298E-2</v>
      </c>
      <c r="Z885" s="8">
        <f t="shared" si="49"/>
        <v>2.5892177506496417E-2</v>
      </c>
      <c r="AA885" s="8">
        <f t="shared" si="48"/>
        <v>8.3997619578766169E-3</v>
      </c>
      <c r="AB885" s="7">
        <v>1.85</v>
      </c>
      <c r="AC885" s="7">
        <v>118.2</v>
      </c>
      <c r="AD885" s="8">
        <f>IF(Tabela1[[#This Row],[Producer Price Index (PPI)]]="",#N/A,((Tabela1[[#This Row],[Producer Price Index (PPI)]]*1)/AC884)-1)</f>
        <v>5.9574468085106247E-3</v>
      </c>
      <c r="AE885" s="8">
        <f>IF(Tabela1[[#This Row],[Producer Price Index (PPI)]]="",#N/A,((Tabela1[[#This Row],[Producer Price Index (PPI)]]*1)/AC873)-1)</f>
        <v>-1.6891891891892552E-3</v>
      </c>
      <c r="AF885" s="7">
        <v>3</v>
      </c>
      <c r="AG885" s="5"/>
    </row>
    <row r="886" spans="1:33" ht="12.75">
      <c r="A886" s="6">
        <v>44044</v>
      </c>
      <c r="B886" s="7">
        <v>259.411</v>
      </c>
      <c r="C886" s="8">
        <f>IF(Tabela1[[#This Row],[Consumer Price Index (CPI)]]="",#N/A,((Tabela1[[#This Row],[Consumer Price Index (CPI)]]*1)/B885)-1)</f>
        <v>4.3867460643183254E-3</v>
      </c>
      <c r="D886" s="8">
        <f>IF(Tabela1[[#This Row],[Consumer Price Index (CPI)]]="",#N/A,((Tabela1[[#This Row],[Consumer Price Index (CPI)]]*1)/B874)-1)</f>
        <v>1.3090732995129972E-2</v>
      </c>
      <c r="E886" s="25">
        <v>268.46899999999999</v>
      </c>
      <c r="F886" s="8">
        <f>IF(Tabela1[[#This Row],[Core Consumer Price Index]]="",#N/A,((Tabela1[[#This Row],[Core Consumer Price Index]]*1)/E885)-1)</f>
        <v>4.178012507854989E-3</v>
      </c>
      <c r="G886" s="8">
        <f>IF(Tabela1[[#This Row],[Core Consumer Price Index]]="",#N/A,((Tabela1[[#This Row],[Core Consumer Price Index]]*1)/E874)-1)</f>
        <v>1.7024339426081836E-2</v>
      </c>
      <c r="H886" s="8">
        <f t="shared" si="46"/>
        <v>4.3461809680304775E-2</v>
      </c>
      <c r="I886" s="8">
        <f t="shared" si="47"/>
        <v>8.9274428353378621E-3</v>
      </c>
      <c r="J886" s="25">
        <v>332.7</v>
      </c>
      <c r="K886" s="8">
        <f>IF(Tabela1[[#This Row],[Services CPI]]="",#N/A,((Tabela1[[#This Row],[Services CPI]]*1)/J885)-1)</f>
        <v>1.655878368207242E-3</v>
      </c>
      <c r="L886" s="8">
        <f>IF(Tabela1[[#This Row],[Services CPI]]="",#N/A,((Tabela1[[#This Row],[Services CPI]]*1)/J874)-1)</f>
        <v>2.0270477475543558E-2</v>
      </c>
      <c r="M886" s="7">
        <v>345.77100000000002</v>
      </c>
      <c r="N886" s="8">
        <f>IF(Tabela1[[#This Row],[Core-Services CPI]]="",#N/A,((Tabela1[[#This Row],[Core-Services CPI]]*1)/M885)-1)</f>
        <v>1.8979125859133195E-3</v>
      </c>
      <c r="O886" s="8">
        <f>IF(Tabela1[[#This Row],[Core-Services CPI]]="",#N/A,((Tabela1[[#This Row],[Core-Services CPI]]*1)/M874)-1)</f>
        <v>2.140764022639452E-2</v>
      </c>
      <c r="P886" s="7">
        <v>106.387</v>
      </c>
      <c r="Q886" s="8">
        <f>IF(Tabela1[[#This Row],[Durable Goods CPI]]="",#N/A,((Tabela1[[#This Row],[Durable Goods CPI]]*1)/P885)-1)</f>
        <v>1.7337005374184811E-2</v>
      </c>
      <c r="R886" s="8">
        <f>IF(Tabela1[[#This Row],[Durable Goods CPI]]="",#N/A,((Tabela1[[#This Row],[Durable Goods CPI]]*1)/P874)-1)</f>
        <v>1.5046274210475996E-2</v>
      </c>
      <c r="S886" s="7">
        <v>2.0581459999999998</v>
      </c>
      <c r="T886" s="7">
        <v>104.869</v>
      </c>
      <c r="U886" s="8">
        <f>IF(Tabela1[[#This Row],[Personal Consumption Expenditures (PCE)]]="",#N/A,((Tabela1[[#This Row],[Personal Consumption Expenditures (PCE)]]*1)/T885)-1)</f>
        <v>3.1375249901952618E-3</v>
      </c>
      <c r="V886" s="8">
        <f>IF(Tabela1[[#This Row],[Personal Consumption Expenditures (PCE)]]="",#N/A,((Tabela1[[#This Row],[Personal Consumption Expenditures (PCE)]]*1)/T874)-1)</f>
        <v>1.1653370119909967E-2</v>
      </c>
      <c r="W886" s="7">
        <v>105.229</v>
      </c>
      <c r="X886" s="8">
        <f>IF(Tabela1[[#This Row],[Core PCE]]="",#N/A,((Tabela1[[#This Row],[Core PCE]]*1)/W885)-1)</f>
        <v>3.0120194828096025E-3</v>
      </c>
      <c r="Y886" s="8">
        <f>IF(Tabela1[[#This Row],[Core PCE]]="",#N/A,((Tabela1[[#This Row],[Core PCE]]*1)/W874)-1)</f>
        <v>1.3659438787797074E-2</v>
      </c>
      <c r="Z886" s="8">
        <f t="shared" si="49"/>
        <v>3.3066746031285454E-2</v>
      </c>
      <c r="AA886" s="8">
        <f t="shared" si="48"/>
        <v>1.0805710471234242E-2</v>
      </c>
      <c r="AB886" s="7">
        <v>1.87</v>
      </c>
      <c r="AC886" s="7">
        <v>118.4</v>
      </c>
      <c r="AD886" s="8">
        <f>IF(Tabela1[[#This Row],[Producer Price Index (PPI)]]="",#N/A,((Tabela1[[#This Row],[Producer Price Index (PPI)]]*1)/AC885)-1)</f>
        <v>1.6920473773265332E-3</v>
      </c>
      <c r="AE886" s="8">
        <f>IF(Tabela1[[#This Row],[Producer Price Index (PPI)]]="",#N/A,((Tabela1[[#This Row],[Producer Price Index (PPI)]]*1)/AC874)-1)</f>
        <v>-1.6863406408093029E-3</v>
      </c>
      <c r="AF886" s="7">
        <v>3.1</v>
      </c>
      <c r="AG886" s="5"/>
    </row>
    <row r="887" spans="1:33" ht="12.75">
      <c r="A887" s="6">
        <v>44075</v>
      </c>
      <c r="B887" s="7">
        <v>260.029</v>
      </c>
      <c r="C887" s="8">
        <f>IF(Tabela1[[#This Row],[Consumer Price Index (CPI)]]="",#N/A,((Tabela1[[#This Row],[Consumer Price Index (CPI)]]*1)/B886)-1)</f>
        <v>2.3823199478818502E-3</v>
      </c>
      <c r="D887" s="8">
        <f>IF(Tabela1[[#This Row],[Consumer Price Index (CPI)]]="",#N/A,((Tabela1[[#This Row],[Consumer Price Index (CPI)]]*1)/B875)-1)</f>
        <v>1.3714811450580955E-2</v>
      </c>
      <c r="E887" s="25">
        <v>268.93799999999999</v>
      </c>
      <c r="F887" s="8">
        <f>IF(Tabela1[[#This Row],[Core Consumer Price Index]]="",#N/A,((Tabela1[[#This Row],[Core Consumer Price Index]]*1)/E886)-1)</f>
        <v>1.7469428500125339E-3</v>
      </c>
      <c r="G887" s="8">
        <f>IF(Tabela1[[#This Row],[Core Consumer Price Index]]="",#N/A,((Tabela1[[#This Row],[Core Consumer Price Index]]*1)/E875)-1)</f>
        <v>1.7067221329299276E-2</v>
      </c>
      <c r="H887" s="8">
        <f t="shared" si="46"/>
        <v>4.4756252667181862E-2</v>
      </c>
      <c r="I887" s="8">
        <f t="shared" si="47"/>
        <v>1.3865490715524231E-2</v>
      </c>
      <c r="J887" s="25">
        <v>332.98399999999998</v>
      </c>
      <c r="K887" s="8">
        <f>IF(Tabela1[[#This Row],[Services CPI]]="",#N/A,((Tabela1[[#This Row],[Services CPI]]*1)/J886)-1)</f>
        <v>8.5362188157489527E-4</v>
      </c>
      <c r="L887" s="8">
        <f>IF(Tabela1[[#This Row],[Services CPI]]="",#N/A,((Tabela1[[#This Row],[Services CPI]]*1)/J875)-1)</f>
        <v>1.8835595481415224E-2</v>
      </c>
      <c r="M887" s="7">
        <v>345.84800000000001</v>
      </c>
      <c r="N887" s="8">
        <f>IF(Tabela1[[#This Row],[Core-Services CPI]]="",#N/A,((Tabela1[[#This Row],[Core-Services CPI]]*1)/M886)-1)</f>
        <v>2.2269074040326409E-4</v>
      </c>
      <c r="O887" s="8">
        <f>IF(Tabela1[[#This Row],[Core-Services CPI]]="",#N/A,((Tabela1[[#This Row],[Core-Services CPI]]*1)/M875)-1)</f>
        <v>1.9073296500920822E-2</v>
      </c>
      <c r="P887" s="7">
        <v>107.85299999999999</v>
      </c>
      <c r="Q887" s="8">
        <f>IF(Tabela1[[#This Row],[Durable Goods CPI]]="",#N/A,((Tabela1[[#This Row],[Durable Goods CPI]]*1)/P886)-1)</f>
        <v>1.3779879120569216E-2</v>
      </c>
      <c r="R887" s="8">
        <f>IF(Tabela1[[#This Row],[Durable Goods CPI]]="",#N/A,((Tabela1[[#This Row],[Durable Goods CPI]]*1)/P875)-1)</f>
        <v>2.9632741124020257E-2</v>
      </c>
      <c r="S887" s="7">
        <v>2.3488570000000002</v>
      </c>
      <c r="T887" s="7">
        <v>105.048</v>
      </c>
      <c r="U887" s="8">
        <f>IF(Tabela1[[#This Row],[Personal Consumption Expenditures (PCE)]]="",#N/A,((Tabela1[[#This Row],[Personal Consumption Expenditures (PCE)]]*1)/T886)-1)</f>
        <v>1.7068914550535386E-3</v>
      </c>
      <c r="V887" s="8">
        <f>IF(Tabela1[[#This Row],[Personal Consumption Expenditures (PCE)]]="",#N/A,((Tabela1[[#This Row],[Personal Consumption Expenditures (PCE)]]*1)/T875)-1)</f>
        <v>1.2471808315823951E-2</v>
      </c>
      <c r="W887" s="7">
        <v>105.39</v>
      </c>
      <c r="X887" s="8">
        <f>IF(Tabela1[[#This Row],[Core PCE]]="",#N/A,((Tabela1[[#This Row],[Core PCE]]*1)/W886)-1)</f>
        <v>1.5299964838590974E-3</v>
      </c>
      <c r="Y887" s="8">
        <f>IF(Tabela1[[#This Row],[Core PCE]]="",#N/A,((Tabela1[[#This Row],[Core PCE]]*1)/W875)-1)</f>
        <v>1.4448112889718923E-2</v>
      </c>
      <c r="Z887" s="8">
        <f t="shared" si="49"/>
        <v>3.2939366974962248E-2</v>
      </c>
      <c r="AA887" s="8">
        <f t="shared" si="48"/>
        <v>1.5356187272935529E-2</v>
      </c>
      <c r="AB887" s="7">
        <v>1.86</v>
      </c>
      <c r="AC887" s="7">
        <v>118.7</v>
      </c>
      <c r="AD887" s="8">
        <f>IF(Tabela1[[#This Row],[Producer Price Index (PPI)]]="",#N/A,((Tabela1[[#This Row],[Producer Price Index (PPI)]]*1)/AC886)-1)</f>
        <v>2.5337837837837718E-3</v>
      </c>
      <c r="AE887" s="8">
        <f>IF(Tabela1[[#This Row],[Producer Price Index (PPI)]]="",#N/A,((Tabela1[[#This Row],[Producer Price Index (PPI)]]*1)/AC875)-1)</f>
        <v>3.3812341504648735E-3</v>
      </c>
      <c r="AF887" s="7">
        <v>2.6</v>
      </c>
      <c r="AG887" s="5"/>
    </row>
    <row r="888" spans="1:33" ht="12.75">
      <c r="A888" s="6">
        <v>44105</v>
      </c>
      <c r="B888" s="7">
        <v>260.286</v>
      </c>
      <c r="C888" s="8">
        <f>IF(Tabela1[[#This Row],[Consumer Price Index (CPI)]]="",#N/A,((Tabela1[[#This Row],[Consumer Price Index (CPI)]]*1)/B887)-1)</f>
        <v>9.8835129927810073E-4</v>
      </c>
      <c r="D888" s="8">
        <f>IF(Tabela1[[#This Row],[Consumer Price Index (CPI)]]="",#N/A,((Tabela1[[#This Row],[Consumer Price Index (CPI)]]*1)/B876)-1)</f>
        <v>1.1825348696179461E-2</v>
      </c>
      <c r="E888" s="25">
        <v>269.23599999999999</v>
      </c>
      <c r="F888" s="8">
        <f>IF(Tabela1[[#This Row],[Core Consumer Price Index]]="",#N/A,((Tabela1[[#This Row],[Core Consumer Price Index]]*1)/E887)-1)</f>
        <v>1.1080620812231601E-3</v>
      </c>
      <c r="G888" s="8">
        <f>IF(Tabela1[[#This Row],[Core Consumer Price Index]]="",#N/A,((Tabela1[[#This Row],[Core Consumer Price Index]]*1)/E876)-1)</f>
        <v>1.6214992073676937E-2</v>
      </c>
      <c r="H888" s="8">
        <f t="shared" si="46"/>
        <v>2.8132069756362732E-2</v>
      </c>
      <c r="I888" s="8">
        <f t="shared" si="47"/>
        <v>2.5958435425351256E-2</v>
      </c>
      <c r="J888" s="25">
        <v>333.36</v>
      </c>
      <c r="K888" s="8">
        <f>IF(Tabela1[[#This Row],[Services CPI]]="",#N/A,((Tabela1[[#This Row],[Services CPI]]*1)/J887)-1)</f>
        <v>1.1291833841866605E-3</v>
      </c>
      <c r="L888" s="8">
        <f>IF(Tabela1[[#This Row],[Services CPI]]="",#N/A,((Tabela1[[#This Row],[Services CPI]]*1)/J876)-1)</f>
        <v>1.6980176574312056E-2</v>
      </c>
      <c r="M888" s="7">
        <v>346.173</v>
      </c>
      <c r="N888" s="8">
        <f>IF(Tabela1[[#This Row],[Core-Services CPI]]="",#N/A,((Tabela1[[#This Row],[Core-Services CPI]]*1)/M887)-1)</f>
        <v>9.3971918299362578E-4</v>
      </c>
      <c r="O888" s="8">
        <f>IF(Tabela1[[#This Row],[Core-Services CPI]]="",#N/A,((Tabela1[[#This Row],[Core-Services CPI]]*1)/M876)-1)</f>
        <v>1.7231398523106956E-2</v>
      </c>
      <c r="P888" s="7">
        <v>108.21299999999999</v>
      </c>
      <c r="Q888" s="8">
        <f>IF(Tabela1[[#This Row],[Durable Goods CPI]]="",#N/A,((Tabela1[[#This Row],[Durable Goods CPI]]*1)/P887)-1)</f>
        <v>3.3378765541987043E-3</v>
      </c>
      <c r="R888" s="8">
        <f>IF(Tabela1[[#This Row],[Durable Goods CPI]]="",#N/A,((Tabela1[[#This Row],[Durable Goods CPI]]*1)/P876)-1)</f>
        <v>3.3898628959059707E-2</v>
      </c>
      <c r="S888" s="7">
        <v>2.2889780000000002</v>
      </c>
      <c r="T888" s="7">
        <v>105.124</v>
      </c>
      <c r="U888" s="8">
        <f>IF(Tabela1[[#This Row],[Personal Consumption Expenditures (PCE)]]="",#N/A,((Tabela1[[#This Row],[Personal Consumption Expenditures (PCE)]]*1)/T887)-1)</f>
        <v>7.2347879064804665E-4</v>
      </c>
      <c r="V888" s="8">
        <f>IF(Tabela1[[#This Row],[Personal Consumption Expenditures (PCE)]]="",#N/A,((Tabela1[[#This Row],[Personal Consumption Expenditures (PCE)]]*1)/T876)-1)</f>
        <v>1.1186887390463696E-2</v>
      </c>
      <c r="W888" s="7">
        <v>105.47</v>
      </c>
      <c r="X888" s="8">
        <f>IF(Tabela1[[#This Row],[Core PCE]]="",#N/A,((Tabela1[[#This Row],[Core PCE]]*1)/W887)-1)</f>
        <v>7.5908530221080461E-4</v>
      </c>
      <c r="Y888" s="8">
        <f>IF(Tabela1[[#This Row],[Core PCE]]="",#N/A,((Tabela1[[#This Row],[Core PCE]]*1)/W876)-1)</f>
        <v>1.3666769183453775E-2</v>
      </c>
      <c r="Z888" s="8">
        <f t="shared" si="49"/>
        <v>2.1204405075518018E-2</v>
      </c>
      <c r="AA888" s="8">
        <f t="shared" si="48"/>
        <v>2.3548291291007217E-2</v>
      </c>
      <c r="AB888" s="7">
        <v>1.79</v>
      </c>
      <c r="AC888" s="7">
        <v>119.4</v>
      </c>
      <c r="AD888" s="8">
        <f>IF(Tabela1[[#This Row],[Producer Price Index (PPI)]]="",#N/A,((Tabela1[[#This Row],[Producer Price Index (PPI)]]*1)/AC887)-1)</f>
        <v>5.8972198820557153E-3</v>
      </c>
      <c r="AE888" s="8">
        <f>IF(Tabela1[[#This Row],[Producer Price Index (PPI)]]="",#N/A,((Tabela1[[#This Row],[Producer Price Index (PPI)]]*1)/AC876)-1)</f>
        <v>5.8972198820557153E-3</v>
      </c>
      <c r="AF888" s="7">
        <v>2.6</v>
      </c>
      <c r="AG888" s="5"/>
    </row>
    <row r="889" spans="1:33" ht="12.75">
      <c r="A889" s="6">
        <v>44136</v>
      </c>
      <c r="B889" s="7">
        <v>260.81299999999999</v>
      </c>
      <c r="C889" s="8">
        <f>IF(Tabela1[[#This Row],[Consumer Price Index (CPI)]]="",#N/A,((Tabela1[[#This Row],[Consumer Price Index (CPI)]]*1)/B888)-1)</f>
        <v>2.0246959114205154E-3</v>
      </c>
      <c r="D889" s="8">
        <f>IF(Tabela1[[#This Row],[Consumer Price Index (CPI)]]="",#N/A,((Tabela1[[#This Row],[Consumer Price Index (CPI)]]*1)/B877)-1)</f>
        <v>1.1675581742648378E-2</v>
      </c>
      <c r="E889" s="25">
        <v>269.90100000000001</v>
      </c>
      <c r="F889" s="8">
        <f>IF(Tabela1[[#This Row],[Core Consumer Price Index]]="",#N/A,((Tabela1[[#This Row],[Core Consumer Price Index]]*1)/E888)-1)</f>
        <v>2.4699520123609986E-3</v>
      </c>
      <c r="G889" s="8">
        <f>IF(Tabela1[[#This Row],[Core Consumer Price Index]]="",#N/A,((Tabela1[[#This Row],[Core Consumer Price Index]]*1)/E877)-1)</f>
        <v>1.6637537478718212E-2</v>
      </c>
      <c r="H889" s="8">
        <f t="shared" si="46"/>
        <v>2.129982777438677E-2</v>
      </c>
      <c r="I889" s="8">
        <f t="shared" si="47"/>
        <v>3.2380818727345773E-2</v>
      </c>
      <c r="J889" s="25">
        <v>334.36</v>
      </c>
      <c r="K889" s="8">
        <f>IF(Tabela1[[#This Row],[Services CPI]]="",#N/A,((Tabela1[[#This Row],[Services CPI]]*1)/J888)-1)</f>
        <v>2.9997600191984386E-3</v>
      </c>
      <c r="L889" s="8">
        <f>IF(Tabela1[[#This Row],[Services CPI]]="",#N/A,((Tabela1[[#This Row],[Services CPI]]*1)/J877)-1)</f>
        <v>1.7259581303793681E-2</v>
      </c>
      <c r="M889" s="7">
        <v>347.06599999999997</v>
      </c>
      <c r="N889" s="8">
        <f>IF(Tabela1[[#This Row],[Core-Services CPI]]="",#N/A,((Tabela1[[#This Row],[Core-Services CPI]]*1)/M888)-1)</f>
        <v>2.5796350379723165E-3</v>
      </c>
      <c r="O889" s="8">
        <f>IF(Tabela1[[#This Row],[Core-Services CPI]]="",#N/A,((Tabela1[[#This Row],[Core-Services CPI]]*1)/M877)-1)</f>
        <v>1.7067066773726491E-2</v>
      </c>
      <c r="P889" s="7">
        <v>108.209</v>
      </c>
      <c r="Q889" s="8">
        <f>IF(Tabela1[[#This Row],[Durable Goods CPI]]="",#N/A,((Tabela1[[#This Row],[Durable Goods CPI]]*1)/P888)-1)</f>
        <v>-3.6964135547434829E-5</v>
      </c>
      <c r="R889" s="8">
        <f>IF(Tabela1[[#This Row],[Durable Goods CPI]]="",#N/A,((Tabela1[[#This Row],[Durable Goods CPI]]*1)/P877)-1)</f>
        <v>3.5373928352725015E-2</v>
      </c>
      <c r="S889" s="7">
        <v>2.077391</v>
      </c>
      <c r="T889" s="7">
        <v>105.197</v>
      </c>
      <c r="U889" s="8">
        <f>IF(Tabela1[[#This Row],[Personal Consumption Expenditures (PCE)]]="",#N/A,((Tabela1[[#This Row],[Personal Consumption Expenditures (PCE)]]*1)/T888)-1)</f>
        <v>6.9441802062342184E-4</v>
      </c>
      <c r="V889" s="8">
        <f>IF(Tabela1[[#This Row],[Personal Consumption Expenditures (PCE)]]="",#N/A,((Tabela1[[#This Row],[Personal Consumption Expenditures (PCE)]]*1)/T877)-1)</f>
        <v>1.1538794388299634E-2</v>
      </c>
      <c r="W889" s="7">
        <v>105.55200000000001</v>
      </c>
      <c r="X889" s="8">
        <f>IF(Tabela1[[#This Row],[Core PCE]]="",#N/A,((Tabela1[[#This Row],[Core PCE]]*1)/W888)-1)</f>
        <v>7.7747226699553806E-4</v>
      </c>
      <c r="Y889" s="8">
        <f>IF(Tabela1[[#This Row],[Core PCE]]="",#N/A,((Tabela1[[#This Row],[Core PCE]]*1)/W877)-1)</f>
        <v>1.4279399611784926E-2</v>
      </c>
      <c r="Z889" s="8">
        <f t="shared" si="49"/>
        <v>1.226621621226176E-2</v>
      </c>
      <c r="AA889" s="8">
        <f t="shared" si="48"/>
        <v>2.2666481121773607E-2</v>
      </c>
      <c r="AB889" s="7">
        <v>1.72</v>
      </c>
      <c r="AC889" s="7">
        <v>119.5</v>
      </c>
      <c r="AD889" s="8">
        <f>IF(Tabela1[[#This Row],[Producer Price Index (PPI)]]="",#N/A,((Tabela1[[#This Row],[Producer Price Index (PPI)]]*1)/AC888)-1)</f>
        <v>8.3752093802336169E-4</v>
      </c>
      <c r="AE889" s="8">
        <f>IF(Tabela1[[#This Row],[Producer Price Index (PPI)]]="",#N/A,((Tabela1[[#This Row],[Producer Price Index (PPI)]]*1)/AC877)-1)</f>
        <v>7.5885328836424737E-3</v>
      </c>
      <c r="AF889" s="7">
        <v>2.8</v>
      </c>
      <c r="AG889" s="5"/>
    </row>
    <row r="890" spans="1:33" ht="12.75">
      <c r="A890" s="6">
        <v>44166</v>
      </c>
      <c r="B890" s="7">
        <v>262.03500000000003</v>
      </c>
      <c r="C890" s="8">
        <f>IF(Tabela1[[#This Row],[Consumer Price Index (CPI)]]="",#N/A,((Tabela1[[#This Row],[Consumer Price Index (CPI)]]*1)/B889)-1)</f>
        <v>4.6853492732341628E-3</v>
      </c>
      <c r="D890" s="8">
        <f>IF(Tabela1[[#This Row],[Consumer Price Index (CPI)]]="",#N/A,((Tabela1[[#This Row],[Consumer Price Index (CPI)]]*1)/B878)-1)</f>
        <v>1.3220373062765134E-2</v>
      </c>
      <c r="E890" s="25">
        <v>270.267</v>
      </c>
      <c r="F890" s="8">
        <f>IF(Tabela1[[#This Row],[Core Consumer Price Index]]="",#N/A,((Tabela1[[#This Row],[Core Consumer Price Index]]*1)/E889)-1)</f>
        <v>1.3560527749063578E-3</v>
      </c>
      <c r="G890" s="8">
        <f>IF(Tabela1[[#This Row],[Core Consumer Price Index]]="",#N/A,((Tabela1[[#This Row],[Core Consumer Price Index]]*1)/E878)-1)</f>
        <v>1.6331733878852672E-2</v>
      </c>
      <c r="H890" s="8">
        <f t="shared" si="46"/>
        <v>1.9736267473962066E-2</v>
      </c>
      <c r="I890" s="8">
        <f t="shared" si="47"/>
        <v>3.2246260070571964E-2</v>
      </c>
      <c r="J890" s="25">
        <v>334.90699999999998</v>
      </c>
      <c r="K890" s="8">
        <f>IF(Tabela1[[#This Row],[Services CPI]]="",#N/A,((Tabela1[[#This Row],[Services CPI]]*1)/J889)-1)</f>
        <v>1.6359612393825884E-3</v>
      </c>
      <c r="L890" s="8">
        <f>IF(Tabela1[[#This Row],[Services CPI]]="",#N/A,((Tabela1[[#This Row],[Services CPI]]*1)/J878)-1)</f>
        <v>1.6585570189683763E-2</v>
      </c>
      <c r="M890" s="7">
        <v>347.48599999999999</v>
      </c>
      <c r="N890" s="8">
        <f>IF(Tabela1[[#This Row],[Core-Services CPI]]="",#N/A,((Tabela1[[#This Row],[Core-Services CPI]]*1)/M889)-1)</f>
        <v>1.2101444681991147E-3</v>
      </c>
      <c r="O890" s="8">
        <f>IF(Tabela1[[#This Row],[Core-Services CPI]]="",#N/A,((Tabela1[[#This Row],[Core-Services CPI]]*1)/M878)-1)</f>
        <v>1.606470326791265E-2</v>
      </c>
      <c r="P890" s="7">
        <v>108.19199999999999</v>
      </c>
      <c r="Q890" s="8">
        <f>IF(Tabela1[[#This Row],[Durable Goods CPI]]="",#N/A,((Tabela1[[#This Row],[Durable Goods CPI]]*1)/P889)-1)</f>
        <v>-1.5710338326768714E-4</v>
      </c>
      <c r="R890" s="8">
        <f>IF(Tabela1[[#This Row],[Durable Goods CPI]]="",#N/A,((Tabela1[[#This Row],[Durable Goods CPI]]*1)/P878)-1)</f>
        <v>3.8131608743211309E-2</v>
      </c>
      <c r="S890" s="7">
        <v>1.8421590000000001</v>
      </c>
      <c r="T890" s="7">
        <v>105.70699999999999</v>
      </c>
      <c r="U890" s="8">
        <f>IF(Tabela1[[#This Row],[Personal Consumption Expenditures (PCE)]]="",#N/A,((Tabela1[[#This Row],[Personal Consumption Expenditures (PCE)]]*1)/T889)-1)</f>
        <v>4.8480469975378249E-3</v>
      </c>
      <c r="V890" s="8">
        <f>IF(Tabela1[[#This Row],[Personal Consumption Expenditures (PCE)]]="",#N/A,((Tabela1[[#This Row],[Personal Consumption Expenditures (PCE)]]*1)/T878)-1)</f>
        <v>1.3664870255652994E-2</v>
      </c>
      <c r="W890" s="7">
        <v>105.899</v>
      </c>
      <c r="X890" s="8">
        <f>IF(Tabela1[[#This Row],[Core PCE]]="",#N/A,((Tabela1[[#This Row],[Core PCE]]*1)/W889)-1)</f>
        <v>3.2874791571926298E-3</v>
      </c>
      <c r="Y890" s="8">
        <f>IF(Tabela1[[#This Row],[Core PCE]]="",#N/A,((Tabela1[[#This Row],[Core PCE]]*1)/W878)-1)</f>
        <v>1.5535246789861956E-2</v>
      </c>
      <c r="Z890" s="8">
        <f t="shared" si="49"/>
        <v>1.929614690559589E-2</v>
      </c>
      <c r="AA890" s="8">
        <f t="shared" si="48"/>
        <v>2.6117756940279069E-2</v>
      </c>
      <c r="AB890" s="7">
        <v>1.71</v>
      </c>
      <c r="AC890" s="7">
        <v>120</v>
      </c>
      <c r="AD890" s="8">
        <f>IF(Tabela1[[#This Row],[Producer Price Index (PPI)]]="",#N/A,((Tabela1[[#This Row],[Producer Price Index (PPI)]]*1)/AC889)-1)</f>
        <v>4.1841004184099972E-3</v>
      </c>
      <c r="AE890" s="8">
        <f>IF(Tabela1[[#This Row],[Producer Price Index (PPI)]]="",#N/A,((Tabela1[[#This Row],[Producer Price Index (PPI)]]*1)/AC878)-1)</f>
        <v>8.4033613445377853E-3</v>
      </c>
      <c r="AF890" s="7">
        <v>2.5</v>
      </c>
      <c r="AG890" s="5"/>
    </row>
    <row r="891" spans="1:33" ht="12.75">
      <c r="A891" s="6">
        <v>44197</v>
      </c>
      <c r="B891" s="7">
        <v>262.64999999999998</v>
      </c>
      <c r="C891" s="8">
        <f>IF(Tabela1[[#This Row],[Consumer Price Index (CPI)]]="",#N/A,((Tabela1[[#This Row],[Consumer Price Index (CPI)]]*1)/B890)-1)</f>
        <v>2.3470147117750084E-3</v>
      </c>
      <c r="D891" s="8">
        <f>IF(Tabela1[[#This Row],[Consumer Price Index (CPI)]]="",#N/A,((Tabela1[[#This Row],[Consumer Price Index (CPI)]]*1)/B879)-1)</f>
        <v>1.3947814404891901E-2</v>
      </c>
      <c r="E891" s="25">
        <v>270.38299999999998</v>
      </c>
      <c r="F891" s="8">
        <f>IF(Tabela1[[#This Row],[Core Consumer Price Index]]="",#N/A,((Tabela1[[#This Row],[Core Consumer Price Index]]*1)/E890)-1)</f>
        <v>4.2920519338274232E-4</v>
      </c>
      <c r="G891" s="8">
        <f>IF(Tabela1[[#This Row],[Core Consumer Price Index]]="",#N/A,((Tabela1[[#This Row],[Core Consumer Price Index]]*1)/E879)-1)</f>
        <v>1.4090898862076484E-2</v>
      </c>
      <c r="H891" s="8">
        <f t="shared" si="46"/>
        <v>1.7020839922600395E-2</v>
      </c>
      <c r="I891" s="8">
        <f t="shared" si="47"/>
        <v>2.2576454839481563E-2</v>
      </c>
      <c r="J891" s="25">
        <v>334.97199999999998</v>
      </c>
      <c r="K891" s="8">
        <f>IF(Tabela1[[#This Row],[Services CPI]]="",#N/A,((Tabela1[[#This Row],[Services CPI]]*1)/J890)-1)</f>
        <v>1.9408373070728402E-4</v>
      </c>
      <c r="L891" s="8">
        <f>IF(Tabela1[[#This Row],[Services CPI]]="",#N/A,((Tabela1[[#This Row],[Services CPI]]*1)/J879)-1)</f>
        <v>1.3393032718691744E-2</v>
      </c>
      <c r="M891" s="7">
        <v>347.68400000000003</v>
      </c>
      <c r="N891" s="8">
        <f>IF(Tabela1[[#This Row],[Core-Services CPI]]="",#N/A,((Tabela1[[#This Row],[Core-Services CPI]]*1)/M890)-1)</f>
        <v>5.6980712892040764E-4</v>
      </c>
      <c r="O891" s="8">
        <f>IF(Tabela1[[#This Row],[Core-Services CPI]]="",#N/A,((Tabela1[[#This Row],[Core-Services CPI]]*1)/M879)-1)</f>
        <v>1.3038702365031352E-2</v>
      </c>
      <c r="P891" s="7">
        <v>107.79300000000001</v>
      </c>
      <c r="Q891" s="8">
        <f>IF(Tabela1[[#This Row],[Durable Goods CPI]]="",#N/A,((Tabela1[[#This Row],[Durable Goods CPI]]*1)/P890)-1)</f>
        <v>-3.6878881987576495E-3</v>
      </c>
      <c r="R891" s="8">
        <f>IF(Tabela1[[#This Row],[Durable Goods CPI]]="",#N/A,((Tabela1[[#This Row],[Durable Goods CPI]]*1)/P879)-1)</f>
        <v>3.4879032258064546E-2</v>
      </c>
      <c r="S891" s="7">
        <v>1.7985869999999999</v>
      </c>
      <c r="T891" s="7">
        <v>106.145</v>
      </c>
      <c r="U891" s="8">
        <f>IF(Tabela1[[#This Row],[Personal Consumption Expenditures (PCE)]]="",#N/A,((Tabela1[[#This Row],[Personal Consumption Expenditures (PCE)]]*1)/T890)-1)</f>
        <v>4.1435288107694035E-3</v>
      </c>
      <c r="V891" s="8">
        <f>IF(Tabela1[[#This Row],[Personal Consumption Expenditures (PCE)]]="",#N/A,((Tabela1[[#This Row],[Personal Consumption Expenditures (PCE)]]*1)/T879)-1)</f>
        <v>1.615003159164452E-2</v>
      </c>
      <c r="W891" s="7">
        <v>106.267</v>
      </c>
      <c r="X891" s="8">
        <f>IF(Tabela1[[#This Row],[Core PCE]]="",#N/A,((Tabela1[[#This Row],[Core PCE]]*1)/W890)-1)</f>
        <v>3.4750092068858152E-3</v>
      </c>
      <c r="Y891" s="8">
        <f>IF(Tabela1[[#This Row],[Core PCE]]="",#N/A,((Tabela1[[#This Row],[Core PCE]]*1)/W879)-1)</f>
        <v>1.7152428810720322E-2</v>
      </c>
      <c r="Z891" s="8">
        <f t="shared" si="49"/>
        <v>3.0159842524295932E-2</v>
      </c>
      <c r="AA891" s="8">
        <f t="shared" si="48"/>
        <v>2.5682123799906975E-2</v>
      </c>
      <c r="AB891" s="7">
        <v>1.7</v>
      </c>
      <c r="AC891" s="7">
        <v>121.3</v>
      </c>
      <c r="AD891" s="8">
        <f>IF(Tabela1[[#This Row],[Producer Price Index (PPI)]]="",#N/A,((Tabela1[[#This Row],[Producer Price Index (PPI)]]*1)/AC890)-1)</f>
        <v>1.083333333333325E-2</v>
      </c>
      <c r="AE891" s="8">
        <f>IF(Tabela1[[#This Row],[Producer Price Index (PPI)]]="",#N/A,((Tabela1[[#This Row],[Producer Price Index (PPI)]]*1)/AC879)-1)</f>
        <v>1.6764459346185978E-2</v>
      </c>
      <c r="AF891" s="7">
        <v>3</v>
      </c>
      <c r="AG891" s="5"/>
    </row>
    <row r="892" spans="1:33" ht="12.75">
      <c r="A892" s="6">
        <v>44228</v>
      </c>
      <c r="B892" s="7">
        <v>263.63799999999998</v>
      </c>
      <c r="C892" s="8">
        <f>IF(Tabela1[[#This Row],[Consumer Price Index (CPI)]]="",#N/A,((Tabela1[[#This Row],[Consumer Price Index (CPI)]]*1)/B891)-1)</f>
        <v>3.7616600038072878E-3</v>
      </c>
      <c r="D892" s="8">
        <f>IF(Tabela1[[#This Row],[Consumer Price Index (CPI)]]="",#N/A,((Tabela1[[#This Row],[Consumer Price Index (CPI)]]*1)/B880)-1)</f>
        <v>1.693359254459037E-2</v>
      </c>
      <c r="E892" s="25">
        <v>270.72699999999998</v>
      </c>
      <c r="F892" s="8">
        <f>IF(Tabela1[[#This Row],[Core Consumer Price Index]]="",#N/A,((Tabela1[[#This Row],[Core Consumer Price Index]]*1)/E891)-1)</f>
        <v>1.2722693364597415E-3</v>
      </c>
      <c r="G892" s="8">
        <f>IF(Tabela1[[#This Row],[Core Consumer Price Index]]="",#N/A,((Tabela1[[#This Row],[Core Consumer Price Index]]*1)/E880)-1)</f>
        <v>1.2885219037499507E-2</v>
      </c>
      <c r="H892" s="8">
        <f t="shared" si="46"/>
        <v>1.2230109218995366E-2</v>
      </c>
      <c r="I892" s="8">
        <f t="shared" si="47"/>
        <v>1.6764968496691068E-2</v>
      </c>
      <c r="J892" s="25">
        <v>335.93700000000001</v>
      </c>
      <c r="K892" s="8">
        <f>IF(Tabela1[[#This Row],[Services CPI]]="",#N/A,((Tabela1[[#This Row],[Services CPI]]*1)/J891)-1)</f>
        <v>2.8808378013684965E-3</v>
      </c>
      <c r="L892" s="8">
        <f>IF(Tabela1[[#This Row],[Services CPI]]="",#N/A,((Tabela1[[#This Row],[Services CPI]]*1)/J880)-1)</f>
        <v>1.3754643474692019E-2</v>
      </c>
      <c r="M892" s="7">
        <v>348.52199999999999</v>
      </c>
      <c r="N892" s="8">
        <f>IF(Tabela1[[#This Row],[Core-Services CPI]]="",#N/A,((Tabela1[[#This Row],[Core-Services CPI]]*1)/M891)-1)</f>
        <v>2.4102345808261205E-3</v>
      </c>
      <c r="O892" s="8">
        <f>IF(Tabela1[[#This Row],[Core-Services CPI]]="",#N/A,((Tabela1[[#This Row],[Core-Services CPI]]*1)/M880)-1)</f>
        <v>1.2742018440330405E-2</v>
      </c>
      <c r="P892" s="7">
        <v>108.038</v>
      </c>
      <c r="Q892" s="8">
        <f>IF(Tabela1[[#This Row],[Durable Goods CPI]]="",#N/A,((Tabela1[[#This Row],[Durable Goods CPI]]*1)/P891)-1)</f>
        <v>2.272874862004004E-3</v>
      </c>
      <c r="R892" s="8">
        <f>IF(Tabela1[[#This Row],[Durable Goods CPI]]="",#N/A,((Tabela1[[#This Row],[Durable Goods CPI]]*1)/P880)-1)</f>
        <v>3.3539968622048777E-2</v>
      </c>
      <c r="S892" s="7">
        <v>1.716599</v>
      </c>
      <c r="T892" s="7">
        <v>106.52200000000001</v>
      </c>
      <c r="U892" s="8">
        <f>IF(Tabela1[[#This Row],[Personal Consumption Expenditures (PCE)]]="",#N/A,((Tabela1[[#This Row],[Personal Consumption Expenditures (PCE)]]*1)/T891)-1)</f>
        <v>3.5517452541335981E-3</v>
      </c>
      <c r="V892" s="8">
        <f>IF(Tabela1[[#This Row],[Personal Consumption Expenditures (PCE)]]="",#N/A,((Tabela1[[#This Row],[Personal Consumption Expenditures (PCE)]]*1)/T880)-1)</f>
        <v>1.885204350030123E-2</v>
      </c>
      <c r="W892" s="7">
        <v>106.499</v>
      </c>
      <c r="X892" s="8">
        <f>IF(Tabela1[[#This Row],[Core PCE]]="",#N/A,((Tabela1[[#This Row],[Core PCE]]*1)/W891)-1)</f>
        <v>2.1831801029481568E-3</v>
      </c>
      <c r="Y892" s="8">
        <f>IF(Tabela1[[#This Row],[Core PCE]]="",#N/A,((Tabela1[[#This Row],[Core PCE]]*1)/W880)-1)</f>
        <v>1.7532293816402866E-2</v>
      </c>
      <c r="Z892" s="8">
        <f t="shared" si="49"/>
        <v>3.5782673868106407E-2</v>
      </c>
      <c r="AA892" s="8">
        <f t="shared" si="48"/>
        <v>2.4024445040184084E-2</v>
      </c>
      <c r="AB892" s="7">
        <v>1.71</v>
      </c>
      <c r="AC892" s="7">
        <v>122</v>
      </c>
      <c r="AD892" s="8">
        <f>IF(Tabela1[[#This Row],[Producer Price Index (PPI)]]="",#N/A,((Tabela1[[#This Row],[Producer Price Index (PPI)]]*1)/AC891)-1)</f>
        <v>5.7708161582852302E-3</v>
      </c>
      <c r="AE892" s="8">
        <f>IF(Tabela1[[#This Row],[Producer Price Index (PPI)]]="",#N/A,((Tabela1[[#This Row],[Producer Price Index (PPI)]]*1)/AC880)-1)</f>
        <v>2.8667790893760481E-2</v>
      </c>
      <c r="AF892" s="7">
        <v>3.3</v>
      </c>
      <c r="AG892" s="5"/>
    </row>
    <row r="893" spans="1:33" ht="12.75">
      <c r="A893" s="6">
        <v>44256</v>
      </c>
      <c r="B893" s="7">
        <v>264.91399999999999</v>
      </c>
      <c r="C893" s="8">
        <f>IF(Tabela1[[#This Row],[Consumer Price Index (CPI)]]="",#N/A,((Tabela1[[#This Row],[Consumer Price Index (CPI)]]*1)/B892)-1)</f>
        <v>4.8399699588070888E-3</v>
      </c>
      <c r="D893" s="8">
        <f>IF(Tabela1[[#This Row],[Consumer Price Index (CPI)]]="",#N/A,((Tabela1[[#This Row],[Consumer Price Index (CPI)]]*1)/B881)-1)</f>
        <v>2.6305186654475898E-2</v>
      </c>
      <c r="E893" s="25">
        <v>271.52600000000001</v>
      </c>
      <c r="F893" s="8">
        <f>IF(Tabela1[[#This Row],[Core Consumer Price Index]]="",#N/A,((Tabela1[[#This Row],[Core Consumer Price Index]]*1)/E892)-1)</f>
        <v>2.9513125768765303E-3</v>
      </c>
      <c r="G893" s="8">
        <f>IF(Tabela1[[#This Row],[Core Consumer Price Index]]="",#N/A,((Tabela1[[#This Row],[Core Consumer Price Index]]*1)/E881)-1)</f>
        <v>1.6608633793852468E-2</v>
      </c>
      <c r="H893" s="8">
        <f t="shared" si="46"/>
        <v>1.8611148426876056E-2</v>
      </c>
      <c r="I893" s="8">
        <f t="shared" si="47"/>
        <v>1.9173707950419061E-2</v>
      </c>
      <c r="J893" s="25">
        <v>337.09899999999999</v>
      </c>
      <c r="K893" s="8">
        <f>IF(Tabela1[[#This Row],[Services CPI]]="",#N/A,((Tabela1[[#This Row],[Services CPI]]*1)/J892)-1)</f>
        <v>3.4589818924382065E-3</v>
      </c>
      <c r="L893" s="8">
        <f>IF(Tabela1[[#This Row],[Services CPI]]="",#N/A,((Tabela1[[#This Row],[Services CPI]]*1)/J881)-1)</f>
        <v>1.7740313927474771E-2</v>
      </c>
      <c r="M893" s="7">
        <v>349.7</v>
      </c>
      <c r="N893" s="8">
        <f>IF(Tabela1[[#This Row],[Core-Services CPI]]="",#N/A,((Tabela1[[#This Row],[Core-Services CPI]]*1)/M892)-1)</f>
        <v>3.3799874900293236E-3</v>
      </c>
      <c r="O893" s="8">
        <f>IF(Tabela1[[#This Row],[Core-Services CPI]]="",#N/A,((Tabela1[[#This Row],[Core-Services CPI]]*1)/M881)-1)</f>
        <v>1.6531352012860046E-2</v>
      </c>
      <c r="P893" s="7">
        <v>108.754</v>
      </c>
      <c r="Q893" s="8">
        <f>IF(Tabela1[[#This Row],[Durable Goods CPI]]="",#N/A,((Tabela1[[#This Row],[Durable Goods CPI]]*1)/P892)-1)</f>
        <v>6.627297802625165E-3</v>
      </c>
      <c r="R893" s="8">
        <f>IF(Tabela1[[#This Row],[Durable Goods CPI]]="",#N/A,((Tabela1[[#This Row],[Durable Goods CPI]]*1)/P881)-1)</f>
        <v>3.790727415014028E-2</v>
      </c>
      <c r="S893" s="7">
        <v>1.517012</v>
      </c>
      <c r="T893" s="7">
        <v>107.066</v>
      </c>
      <c r="U893" s="8">
        <f>IF(Tabela1[[#This Row],[Personal Consumption Expenditures (PCE)]]="",#N/A,((Tabela1[[#This Row],[Personal Consumption Expenditures (PCE)]]*1)/T892)-1)</f>
        <v>5.1069262687519767E-3</v>
      </c>
      <c r="V893" s="8">
        <f>IF(Tabela1[[#This Row],[Personal Consumption Expenditures (PCE)]]="",#N/A,((Tabela1[[#This Row],[Personal Consumption Expenditures (PCE)]]*1)/T881)-1)</f>
        <v>2.713022122450548E-2</v>
      </c>
      <c r="W893" s="7">
        <v>106.94499999999999</v>
      </c>
      <c r="X893" s="8">
        <f>IF(Tabela1[[#This Row],[Core PCE]]="",#N/A,((Tabela1[[#This Row],[Core PCE]]*1)/W892)-1)</f>
        <v>4.1878327496032153E-3</v>
      </c>
      <c r="Y893" s="8">
        <f>IF(Tabela1[[#This Row],[Core PCE]]="",#N/A,((Tabela1[[#This Row],[Core PCE]]*1)/W881)-1)</f>
        <v>2.2555600175931723E-2</v>
      </c>
      <c r="Z893" s="8">
        <f t="shared" si="49"/>
        <v>3.9384088237748749E-2</v>
      </c>
      <c r="AA893" s="8">
        <f t="shared" si="48"/>
        <v>2.9340117571672319E-2</v>
      </c>
      <c r="AB893" s="7">
        <v>1.81</v>
      </c>
      <c r="AC893" s="7">
        <v>122.8</v>
      </c>
      <c r="AD893" s="8">
        <f>IF(Tabela1[[#This Row],[Producer Price Index (PPI)]]="",#N/A,((Tabela1[[#This Row],[Producer Price Index (PPI)]]*1)/AC892)-1)</f>
        <v>6.5573770491802463E-3</v>
      </c>
      <c r="AE893" s="8">
        <f>IF(Tabela1[[#This Row],[Producer Price Index (PPI)]]="",#N/A,((Tabela1[[#This Row],[Producer Price Index (PPI)]]*1)/AC881)-1)</f>
        <v>4.067796610169494E-2</v>
      </c>
      <c r="AF893" s="7">
        <v>3.1</v>
      </c>
      <c r="AG893" s="5"/>
    </row>
    <row r="894" spans="1:33" ht="12.75">
      <c r="A894" s="6">
        <v>44287</v>
      </c>
      <c r="B894" s="7">
        <v>266.67</v>
      </c>
      <c r="C894" s="8">
        <f>IF(Tabela1[[#This Row],[Consumer Price Index (CPI)]]="",#N/A,((Tabela1[[#This Row],[Consumer Price Index (CPI)]]*1)/B893)-1)</f>
        <v>6.628566251689394E-3</v>
      </c>
      <c r="D894" s="8">
        <f>IF(Tabela1[[#This Row],[Consumer Price Index (CPI)]]="",#N/A,((Tabela1[[#This Row],[Consumer Price Index (CPI)]]*1)/B882)-1)</f>
        <v>4.1305468347312857E-2</v>
      </c>
      <c r="E894" s="25">
        <v>273.61500000000001</v>
      </c>
      <c r="F894" s="8">
        <f>IF(Tabela1[[#This Row],[Core Consumer Price Index]]="",#N/A,((Tabela1[[#This Row],[Core Consumer Price Index]]*1)/E893)-1)</f>
        <v>7.6935542084366482E-3</v>
      </c>
      <c r="G894" s="8">
        <f>IF(Tabela1[[#This Row],[Core Consumer Price Index]]="",#N/A,((Tabela1[[#This Row],[Core Consumer Price Index]]*1)/E882)-1)</f>
        <v>2.9514130586105969E-2</v>
      </c>
      <c r="H894" s="8">
        <f t="shared" ref="H894:H926" si="50">SUM(F892:F894)*4</f>
        <v>4.766854448709168E-2</v>
      </c>
      <c r="I894" s="8">
        <f t="shared" si="47"/>
        <v>3.2344692204846037E-2</v>
      </c>
      <c r="J894" s="25">
        <v>338.50599999999997</v>
      </c>
      <c r="K894" s="8">
        <f>IF(Tabela1[[#This Row],[Services CPI]]="",#N/A,((Tabela1[[#This Row],[Services CPI]]*1)/J893)-1)</f>
        <v>4.1738480387065735E-3</v>
      </c>
      <c r="L894" s="8">
        <f>IF(Tabela1[[#This Row],[Services CPI]]="",#N/A,((Tabela1[[#This Row],[Services CPI]]*1)/J882)-1)</f>
        <v>2.60711416923054E-2</v>
      </c>
      <c r="M894" s="7">
        <v>351.03899999999999</v>
      </c>
      <c r="N894" s="8">
        <f>IF(Tabela1[[#This Row],[Core-Services CPI]]="",#N/A,((Tabela1[[#This Row],[Core-Services CPI]]*1)/M893)-1)</f>
        <v>3.8289962825279744E-3</v>
      </c>
      <c r="O894" s="8">
        <f>IF(Tabela1[[#This Row],[Core-Services CPI]]="",#N/A,((Tabela1[[#This Row],[Core-Services CPI]]*1)/M882)-1)</f>
        <v>2.4623251985534278E-2</v>
      </c>
      <c r="P894" s="7">
        <v>111.962</v>
      </c>
      <c r="Q894" s="8">
        <f>IF(Tabela1[[#This Row],[Durable Goods CPI]]="",#N/A,((Tabela1[[#This Row],[Durable Goods CPI]]*1)/P893)-1)</f>
        <v>2.9497765599426184E-2</v>
      </c>
      <c r="R894" s="8">
        <f>IF(Tabela1[[#This Row],[Durable Goods CPI]]="",#N/A,((Tabela1[[#This Row],[Durable Goods CPI]]*1)/P882)-1)</f>
        <v>7.4140875338181589E-2</v>
      </c>
      <c r="S894" s="7">
        <v>1.5270090000000001</v>
      </c>
      <c r="T894" s="7">
        <v>107.66200000000001</v>
      </c>
      <c r="U894" s="8">
        <f>IF(Tabela1[[#This Row],[Personal Consumption Expenditures (PCE)]]="",#N/A,((Tabela1[[#This Row],[Personal Consumption Expenditures (PCE)]]*1)/T893)-1)</f>
        <v>5.5666598173089721E-3</v>
      </c>
      <c r="V894" s="8">
        <f>IF(Tabela1[[#This Row],[Personal Consumption Expenditures (PCE)]]="",#N/A,((Tabela1[[#This Row],[Personal Consumption Expenditures (PCE)]]*1)/T882)-1)</f>
        <v>3.7246136652664852E-2</v>
      </c>
      <c r="W894" s="7">
        <v>107.59399999999999</v>
      </c>
      <c r="X894" s="8">
        <f>IF(Tabela1[[#This Row],[Core PCE]]="",#N/A,((Tabela1[[#This Row],[Core PCE]]*1)/W893)-1)</f>
        <v>6.0685399036888299E-3</v>
      </c>
      <c r="Y894" s="8">
        <f>IF(Tabela1[[#This Row],[Core PCE]]="",#N/A,((Tabela1[[#This Row],[Core PCE]]*1)/W882)-1)</f>
        <v>3.2205454876867101E-2</v>
      </c>
      <c r="Z894" s="8">
        <f t="shared" si="49"/>
        <v>4.9758211024960808E-2</v>
      </c>
      <c r="AA894" s="8">
        <f t="shared" si="48"/>
        <v>3.995902677462837E-2</v>
      </c>
      <c r="AB894" s="7">
        <v>1.94</v>
      </c>
      <c r="AC894" s="7">
        <v>124.1</v>
      </c>
      <c r="AD894" s="8">
        <f>IF(Tabela1[[#This Row],[Producer Price Index (PPI)]]="",#N/A,((Tabela1[[#This Row],[Producer Price Index (PPI)]]*1)/AC893)-1)</f>
        <v>1.0586319218240936E-2</v>
      </c>
      <c r="AE894" s="8">
        <f>IF(Tabela1[[#This Row],[Producer Price Index (PPI)]]="",#N/A,((Tabela1[[#This Row],[Producer Price Index (PPI)]]*1)/AC882)-1)</f>
        <v>6.4322469982847297E-2</v>
      </c>
      <c r="AF894" s="7">
        <v>3.4</v>
      </c>
      <c r="AG894" s="5"/>
    </row>
    <row r="895" spans="1:33" ht="12.75">
      <c r="A895" s="6">
        <v>44317</v>
      </c>
      <c r="B895" s="7">
        <v>268.44400000000002</v>
      </c>
      <c r="C895" s="8">
        <f>IF(Tabela1[[#This Row],[Consumer Price Index (CPI)]]="",#N/A,((Tabela1[[#This Row],[Consumer Price Index (CPI)]]*1)/B894)-1)</f>
        <v>6.6524168447894549E-3</v>
      </c>
      <c r="D895" s="8">
        <f>IF(Tabela1[[#This Row],[Consumer Price Index (CPI)]]="",#N/A,((Tabela1[[#This Row],[Consumer Price Index (CPI)]]*1)/B883)-1)</f>
        <v>4.9150343145684561E-2</v>
      </c>
      <c r="E895" s="25">
        <v>275.654</v>
      </c>
      <c r="F895" s="8">
        <f>IF(Tabela1[[#This Row],[Core Consumer Price Index]]="",#N/A,((Tabela1[[#This Row],[Core Consumer Price Index]]*1)/E894)-1)</f>
        <v>7.4520768232735346E-3</v>
      </c>
      <c r="G895" s="8">
        <f>IF(Tabela1[[#This Row],[Core Consumer Price Index]]="",#N/A,((Tabela1[[#This Row],[Core Consumer Price Index]]*1)/E883)-1)</f>
        <v>3.7955522754486548E-2</v>
      </c>
      <c r="H895" s="8">
        <f t="shared" si="50"/>
        <v>7.2387774434346852E-2</v>
      </c>
      <c r="I895" s="8">
        <f t="shared" si="47"/>
        <v>4.2308941826671109E-2</v>
      </c>
      <c r="J895" s="25">
        <v>339.90899999999999</v>
      </c>
      <c r="K895" s="8">
        <f>IF(Tabela1[[#This Row],[Services CPI]]="",#N/A,((Tabela1[[#This Row],[Services CPI]]*1)/J894)-1)</f>
        <v>4.1446828121216583E-3</v>
      </c>
      <c r="L895" s="8">
        <f>IF(Tabela1[[#This Row],[Services CPI]]="",#N/A,((Tabela1[[#This Row],[Services CPI]]*1)/J883)-1)</f>
        <v>3.0505052342449712E-2</v>
      </c>
      <c r="M895" s="7">
        <v>352.46499999999997</v>
      </c>
      <c r="N895" s="8">
        <f>IF(Tabela1[[#This Row],[Core-Services CPI]]="",#N/A,((Tabela1[[#This Row],[Core-Services CPI]]*1)/M894)-1)</f>
        <v>4.0622267041552362E-3</v>
      </c>
      <c r="O895" s="8">
        <f>IF(Tabela1[[#This Row],[Core-Services CPI]]="",#N/A,((Tabela1[[#This Row],[Core-Services CPI]]*1)/M883)-1)</f>
        <v>2.8836554908840295E-2</v>
      </c>
      <c r="P895" s="7">
        <v>114.792</v>
      </c>
      <c r="Q895" s="8">
        <f>IF(Tabela1[[#This Row],[Durable Goods CPI]]="",#N/A,((Tabela1[[#This Row],[Durable Goods CPI]]*1)/P894)-1)</f>
        <v>2.5276433075507754E-2</v>
      </c>
      <c r="R895" s="8">
        <f>IF(Tabela1[[#This Row],[Durable Goods CPI]]="",#N/A,((Tabela1[[#This Row],[Durable Goods CPI]]*1)/P883)-1)</f>
        <v>0.10352518193091909</v>
      </c>
      <c r="S895" s="7">
        <v>1.7069840000000001</v>
      </c>
      <c r="T895" s="7">
        <v>108.20699999999999</v>
      </c>
      <c r="U895" s="8">
        <f>IF(Tabela1[[#This Row],[Personal Consumption Expenditures (PCE)]]="",#N/A,((Tabela1[[#This Row],[Personal Consumption Expenditures (PCE)]]*1)/T894)-1)</f>
        <v>5.0621389162377461E-3</v>
      </c>
      <c r="V895" s="8">
        <f>IF(Tabela1[[#This Row],[Personal Consumption Expenditures (PCE)]]="",#N/A,((Tabela1[[#This Row],[Personal Consumption Expenditures (PCE)]]*1)/T883)-1)</f>
        <v>4.1553566272018339E-2</v>
      </c>
      <c r="W895" s="7">
        <v>108.167</v>
      </c>
      <c r="X895" s="8">
        <f>IF(Tabela1[[#This Row],[Core PCE]]="",#N/A,((Tabela1[[#This Row],[Core PCE]]*1)/W894)-1)</f>
        <v>5.3255757756009992E-3</v>
      </c>
      <c r="Y895" s="8">
        <f>IF(Tabela1[[#This Row],[Core PCE]]="",#N/A,((Tabela1[[#This Row],[Core PCE]]*1)/W883)-1)</f>
        <v>3.6439768502548819E-2</v>
      </c>
      <c r="Z895" s="8">
        <f t="shared" si="49"/>
        <v>6.2327793715572177E-2</v>
      </c>
      <c r="AA895" s="8">
        <f t="shared" si="48"/>
        <v>4.9055233791839292E-2</v>
      </c>
      <c r="AB895" s="7">
        <v>2.0099999999999998</v>
      </c>
      <c r="AC895" s="7">
        <v>125.2</v>
      </c>
      <c r="AD895" s="8">
        <f>IF(Tabela1[[#This Row],[Producer Price Index (PPI)]]="",#N/A,((Tabela1[[#This Row],[Producer Price Index (PPI)]]*1)/AC894)-1)</f>
        <v>8.8638195004029363E-3</v>
      </c>
      <c r="AE895" s="8">
        <f>IF(Tabela1[[#This Row],[Producer Price Index (PPI)]]="",#N/A,((Tabela1[[#This Row],[Producer Price Index (PPI)]]*1)/AC883)-1)</f>
        <v>6.8259385665528916E-2</v>
      </c>
      <c r="AF895" s="7">
        <v>4.5999999999999996</v>
      </c>
      <c r="AG895" s="5"/>
    </row>
    <row r="896" spans="1:33" ht="12.75">
      <c r="A896" s="6">
        <v>44348</v>
      </c>
      <c r="B896" s="7">
        <v>270.55900000000003</v>
      </c>
      <c r="C896" s="8">
        <f>IF(Tabela1[[#This Row],[Consumer Price Index (CPI)]]="",#N/A,((Tabela1[[#This Row],[Consumer Price Index (CPI)]]*1)/B895)-1)</f>
        <v>7.8787382098315373E-3</v>
      </c>
      <c r="D896" s="8">
        <f>IF(Tabela1[[#This Row],[Consumer Price Index (CPI)]]="",#N/A,((Tabela1[[#This Row],[Consumer Price Index (CPI)]]*1)/B884)-1)</f>
        <v>5.2816106713984512E-2</v>
      </c>
      <c r="E896" s="25">
        <v>277.67599999999999</v>
      </c>
      <c r="F896" s="8">
        <f>IF(Tabela1[[#This Row],[Core Consumer Price Index]]="",#N/A,((Tabela1[[#This Row],[Core Consumer Price Index]]*1)/E895)-1)</f>
        <v>7.3352826369288415E-3</v>
      </c>
      <c r="G896" s="8">
        <f>IF(Tabela1[[#This Row],[Core Consumer Price Index]]="",#N/A,((Tabela1[[#This Row],[Core Consumer Price Index]]*1)/E884)-1)</f>
        <v>4.4083142822765042E-2</v>
      </c>
      <c r="H896" s="8">
        <f t="shared" si="50"/>
        <v>8.9923654674556097E-2</v>
      </c>
      <c r="I896" s="8">
        <f t="shared" si="47"/>
        <v>5.4267401550716077E-2</v>
      </c>
      <c r="J896" s="25">
        <v>341.04899999999998</v>
      </c>
      <c r="K896" s="8">
        <f>IF(Tabela1[[#This Row],[Services CPI]]="",#N/A,((Tabela1[[#This Row],[Services CPI]]*1)/J895)-1)</f>
        <v>3.3538388215668125E-3</v>
      </c>
      <c r="L896" s="8">
        <f>IF(Tabela1[[#This Row],[Services CPI]]="",#N/A,((Tabela1[[#This Row],[Services CPI]]*1)/J884)-1)</f>
        <v>3.1837132328470297E-2</v>
      </c>
      <c r="M896" s="7">
        <v>353.661</v>
      </c>
      <c r="N896" s="8">
        <f>IF(Tabela1[[#This Row],[Core-Services CPI]]="",#N/A,((Tabela1[[#This Row],[Core-Services CPI]]*1)/M895)-1)</f>
        <v>3.3932447193338877E-3</v>
      </c>
      <c r="O896" s="8">
        <f>IF(Tabela1[[#This Row],[Core-Services CPI]]="",#N/A,((Tabela1[[#This Row],[Core-Services CPI]]*1)/M884)-1)</f>
        <v>3.0129588689170594E-2</v>
      </c>
      <c r="P896" s="7">
        <v>118.572</v>
      </c>
      <c r="Q896" s="8">
        <f>IF(Tabela1[[#This Row],[Durable Goods CPI]]="",#N/A,((Tabela1[[#This Row],[Durable Goods CPI]]*1)/P895)-1)</f>
        <v>3.2929123980765196E-2</v>
      </c>
      <c r="R896" s="8">
        <f>IF(Tabela1[[#This Row],[Durable Goods CPI]]="",#N/A,((Tabela1[[#This Row],[Durable Goods CPI]]*1)/P884)-1)</f>
        <v>0.1459331993196229</v>
      </c>
      <c r="S896" s="7">
        <v>2.2623310000000001</v>
      </c>
      <c r="T896" s="7">
        <v>108.755</v>
      </c>
      <c r="U896" s="8">
        <f>IF(Tabela1[[#This Row],[Personal Consumption Expenditures (PCE)]]="",#N/A,((Tabela1[[#This Row],[Personal Consumption Expenditures (PCE)]]*1)/T895)-1)</f>
        <v>5.0643673699484193E-3</v>
      </c>
      <c r="V896" s="8">
        <f>IF(Tabela1[[#This Row],[Personal Consumption Expenditures (PCE)]]="",#N/A,((Tabela1[[#This Row],[Personal Consumption Expenditures (PCE)]]*1)/T884)-1)</f>
        <v>4.3724028061689735E-2</v>
      </c>
      <c r="W896" s="7">
        <v>108.655</v>
      </c>
      <c r="X896" s="8">
        <f>IF(Tabela1[[#This Row],[Core PCE]]="",#N/A,((Tabela1[[#This Row],[Core PCE]]*1)/W895)-1)</f>
        <v>4.5115423373116581E-3</v>
      </c>
      <c r="Y896" s="8">
        <f>IF(Tabela1[[#This Row],[Core PCE]]="",#N/A,((Tabela1[[#This Row],[Core PCE]]*1)/W884)-1)</f>
        <v>3.9492188621121915E-2</v>
      </c>
      <c r="Z896" s="8">
        <f t="shared" si="49"/>
        <v>6.3622632066405949E-2</v>
      </c>
      <c r="AA896" s="8">
        <f t="shared" si="48"/>
        <v>5.1503360152077349E-2</v>
      </c>
      <c r="AB896" s="7">
        <v>2.08</v>
      </c>
      <c r="AC896" s="7">
        <v>126.2</v>
      </c>
      <c r="AD896" s="8">
        <f>IF(Tabela1[[#This Row],[Producer Price Index (PPI)]]="",#N/A,((Tabela1[[#This Row],[Producer Price Index (PPI)]]*1)/AC895)-1)</f>
        <v>7.9872204472843933E-3</v>
      </c>
      <c r="AE896" s="8">
        <f>IF(Tabela1[[#This Row],[Producer Price Index (PPI)]]="",#N/A,((Tabela1[[#This Row],[Producer Price Index (PPI)]]*1)/AC884)-1)</f>
        <v>7.4042553191489446E-2</v>
      </c>
      <c r="AF896" s="7">
        <v>4.2</v>
      </c>
      <c r="AG896" s="5"/>
    </row>
    <row r="897" spans="1:33" ht="12.75">
      <c r="A897" s="6">
        <v>44378</v>
      </c>
      <c r="B897" s="7">
        <v>271.76400000000001</v>
      </c>
      <c r="C897" s="8">
        <f>IF(Tabela1[[#This Row],[Consumer Price Index (CPI)]]="",#N/A,((Tabela1[[#This Row],[Consumer Price Index (CPI)]]*1)/B896)-1)</f>
        <v>4.4537420673493866E-3</v>
      </c>
      <c r="D897" s="8">
        <f>IF(Tabela1[[#This Row],[Consumer Price Index (CPI)]]="",#N/A,((Tabela1[[#This Row],[Consumer Price Index (CPI)]]*1)/B885)-1)</f>
        <v>5.2215055095672147E-2</v>
      </c>
      <c r="E897" s="25">
        <v>278.52199999999999</v>
      </c>
      <c r="F897" s="8">
        <f>IF(Tabela1[[#This Row],[Core Consumer Price Index]]="",#N/A,((Tabela1[[#This Row],[Core Consumer Price Index]]*1)/E896)-1)</f>
        <v>3.0467163168585998E-3</v>
      </c>
      <c r="G897" s="8">
        <f>IF(Tabela1[[#This Row],[Core Consumer Price Index]]="",#N/A,((Tabela1[[#This Row],[Core Consumer Price Index]]*1)/E885)-1)</f>
        <v>4.1780125078548114E-2</v>
      </c>
      <c r="H897" s="8">
        <f t="shared" si="50"/>
        <v>7.1336303108243904E-2</v>
      </c>
      <c r="I897" s="8">
        <f t="shared" ref="I897:I926" si="51">SUM(F892:F897)*2</f>
        <v>5.9502423797667792E-2</v>
      </c>
      <c r="J897" s="25">
        <v>342.14600000000002</v>
      </c>
      <c r="K897" s="8">
        <f>IF(Tabela1[[#This Row],[Services CPI]]="",#N/A,((Tabela1[[#This Row],[Services CPI]]*1)/J896)-1)</f>
        <v>3.2165465959437256E-3</v>
      </c>
      <c r="L897" s="8">
        <f>IF(Tabela1[[#This Row],[Services CPI]]="",#N/A,((Tabela1[[#This Row],[Services CPI]]*1)/J885)-1)</f>
        <v>3.0094836670179204E-2</v>
      </c>
      <c r="M897" s="7">
        <v>354.73899999999998</v>
      </c>
      <c r="N897" s="8">
        <f>IF(Tabela1[[#This Row],[Core-Services CPI]]="",#N/A,((Tabela1[[#This Row],[Core-Services CPI]]*1)/M896)-1)</f>
        <v>3.0481166993250319E-3</v>
      </c>
      <c r="O897" s="8">
        <f>IF(Tabela1[[#This Row],[Core-Services CPI]]="",#N/A,((Tabela1[[#This Row],[Core-Services CPI]]*1)/M885)-1)</f>
        <v>2.7883378342354437E-2</v>
      </c>
      <c r="P897" s="7">
        <v>119.473</v>
      </c>
      <c r="Q897" s="8">
        <f>IF(Tabela1[[#This Row],[Durable Goods CPI]]="",#N/A,((Tabela1[[#This Row],[Durable Goods CPI]]*1)/P896)-1)</f>
        <v>7.5987585601997587E-3</v>
      </c>
      <c r="R897" s="8">
        <f>IF(Tabela1[[#This Row],[Durable Goods CPI]]="",#N/A,((Tabela1[[#This Row],[Durable Goods CPI]]*1)/P885)-1)</f>
        <v>0.14247327251515673</v>
      </c>
      <c r="S897" s="7">
        <v>2.6231640000000001</v>
      </c>
      <c r="T897" s="7">
        <v>109.28</v>
      </c>
      <c r="U897" s="8">
        <f>IF(Tabela1[[#This Row],[Personal Consumption Expenditures (PCE)]]="",#N/A,((Tabela1[[#This Row],[Personal Consumption Expenditures (PCE)]]*1)/T896)-1)</f>
        <v>4.8273642591145638E-3</v>
      </c>
      <c r="V897" s="8">
        <f>IF(Tabela1[[#This Row],[Personal Consumption Expenditures (PCE)]]="",#N/A,((Tabela1[[#This Row],[Personal Consumption Expenditures (PCE)]]*1)/T885)-1)</f>
        <v>4.5331496733339138E-2</v>
      </c>
      <c r="W897" s="7">
        <v>109.12</v>
      </c>
      <c r="X897" s="8">
        <f>IF(Tabela1[[#This Row],[Core PCE]]="",#N/A,((Tabela1[[#This Row],[Core PCE]]*1)/W896)-1)</f>
        <v>4.2796005706133844E-3</v>
      </c>
      <c r="Y897" s="8">
        <f>IF(Tabela1[[#This Row],[Core PCE]]="",#N/A,((Tabela1[[#This Row],[Core PCE]]*1)/W885)-1)</f>
        <v>4.0099892291708406E-2</v>
      </c>
      <c r="Z897" s="8">
        <f t="shared" si="49"/>
        <v>5.6466874734104167E-2</v>
      </c>
      <c r="AA897" s="8">
        <f t="shared" si="48"/>
        <v>5.3112542879532487E-2</v>
      </c>
      <c r="AB897" s="7">
        <v>2.13</v>
      </c>
      <c r="AC897" s="7">
        <v>127.453</v>
      </c>
      <c r="AD897" s="8">
        <f>IF(Tabela1[[#This Row],[Producer Price Index (PPI)]]="",#N/A,((Tabela1[[#This Row],[Producer Price Index (PPI)]]*1)/AC896)-1)</f>
        <v>9.928684627575235E-3</v>
      </c>
      <c r="AE897" s="8">
        <f>IF(Tabela1[[#This Row],[Producer Price Index (PPI)]]="",#N/A,((Tabela1[[#This Row],[Producer Price Index (PPI)]]*1)/AC885)-1)</f>
        <v>7.8282571912013488E-2</v>
      </c>
      <c r="AF897" s="7">
        <v>4.7</v>
      </c>
      <c r="AG897" s="5"/>
    </row>
    <row r="898" spans="1:33" ht="12.75">
      <c r="A898" s="6">
        <v>44409</v>
      </c>
      <c r="B898" s="7">
        <v>272.87</v>
      </c>
      <c r="C898" s="8">
        <f>IF(Tabela1[[#This Row],[Consumer Price Index (CPI)]]="",#N/A,((Tabela1[[#This Row],[Consumer Price Index (CPI)]]*1)/B897)-1)</f>
        <v>4.0697075403659522E-3</v>
      </c>
      <c r="D898" s="8">
        <f>IF(Tabela1[[#This Row],[Consumer Price Index (CPI)]]="",#N/A,((Tabela1[[#This Row],[Consumer Price Index (CPI)]]*1)/B886)-1)</f>
        <v>5.1882919382755466E-2</v>
      </c>
      <c r="E898" s="25">
        <v>279.05700000000002</v>
      </c>
      <c r="F898" s="8">
        <f>IF(Tabela1[[#This Row],[Core Consumer Price Index]]="",#N/A,((Tabela1[[#This Row],[Core Consumer Price Index]]*1)/E897)-1)</f>
        <v>1.9208536489039307E-3</v>
      </c>
      <c r="G898" s="8">
        <f>IF(Tabela1[[#This Row],[Core Consumer Price Index]]="",#N/A,((Tabela1[[#This Row],[Core Consumer Price Index]]*1)/E886)-1)</f>
        <v>3.9438445407104838E-2</v>
      </c>
      <c r="H898" s="8">
        <f t="shared" si="50"/>
        <v>4.9211410410765488E-2</v>
      </c>
      <c r="I898" s="8">
        <f t="shared" si="51"/>
        <v>6.079959242255617E-2</v>
      </c>
      <c r="J898" s="25">
        <v>342.69400000000002</v>
      </c>
      <c r="K898" s="8">
        <f>IF(Tabela1[[#This Row],[Services CPI]]="",#N/A,((Tabela1[[#This Row],[Services CPI]]*1)/J897)-1)</f>
        <v>1.6016554336453215E-3</v>
      </c>
      <c r="L898" s="8">
        <f>IF(Tabela1[[#This Row],[Services CPI]]="",#N/A,((Tabela1[[#This Row],[Services CPI]]*1)/J886)-1)</f>
        <v>3.0039074241058117E-2</v>
      </c>
      <c r="M898" s="7">
        <v>355.15800000000002</v>
      </c>
      <c r="N898" s="8">
        <f>IF(Tabela1[[#This Row],[Core-Services CPI]]="",#N/A,((Tabela1[[#This Row],[Core-Services CPI]]*1)/M897)-1)</f>
        <v>1.1811500849920886E-3</v>
      </c>
      <c r="O898" s="8">
        <f>IF(Tabela1[[#This Row],[Core-Services CPI]]="",#N/A,((Tabela1[[#This Row],[Core-Services CPI]]*1)/M886)-1)</f>
        <v>2.7148025716442481E-2</v>
      </c>
      <c r="P898" s="7">
        <v>119.947</v>
      </c>
      <c r="Q898" s="8">
        <f>IF(Tabela1[[#This Row],[Durable Goods CPI]]="",#N/A,((Tabela1[[#This Row],[Durable Goods CPI]]*1)/P897)-1)</f>
        <v>3.9674236019853204E-3</v>
      </c>
      <c r="R898" s="8">
        <f>IF(Tabela1[[#This Row],[Durable Goods CPI]]="",#N/A,((Tabela1[[#This Row],[Durable Goods CPI]]*1)/P886)-1)</f>
        <v>0.12745918204291873</v>
      </c>
      <c r="S898" s="7">
        <v>2.5885790000000002</v>
      </c>
      <c r="T898" s="7">
        <v>109.74</v>
      </c>
      <c r="U898" s="8">
        <f>IF(Tabela1[[#This Row],[Personal Consumption Expenditures (PCE)]]="",#N/A,((Tabela1[[#This Row],[Personal Consumption Expenditures (PCE)]]*1)/T897)-1)</f>
        <v>4.2093704245973473E-3</v>
      </c>
      <c r="V898" s="8">
        <f>IF(Tabela1[[#This Row],[Personal Consumption Expenditures (PCE)]]="",#N/A,((Tabela1[[#This Row],[Personal Consumption Expenditures (PCE)]]*1)/T886)-1)</f>
        <v>4.6448426131650011E-2</v>
      </c>
      <c r="W898" s="7">
        <v>109.458</v>
      </c>
      <c r="X898" s="8">
        <f>IF(Tabela1[[#This Row],[Core PCE]]="",#N/A,((Tabela1[[#This Row],[Core PCE]]*1)/W897)-1)</f>
        <v>3.0975073313781465E-3</v>
      </c>
      <c r="Y898" s="8">
        <f>IF(Tabela1[[#This Row],[Core PCE]]="",#N/A,((Tabela1[[#This Row],[Core PCE]]*1)/W886)-1)</f>
        <v>4.0188541181613413E-2</v>
      </c>
      <c r="Z898" s="8">
        <f t="shared" si="49"/>
        <v>4.7554600957212756E-2</v>
      </c>
      <c r="AA898" s="8">
        <f t="shared" si="48"/>
        <v>5.4941197336392467E-2</v>
      </c>
      <c r="AB898" s="7">
        <v>2.2200000000000002</v>
      </c>
      <c r="AC898" s="7">
        <v>128.61000000000001</v>
      </c>
      <c r="AD898" s="8">
        <f>IF(Tabela1[[#This Row],[Producer Price Index (PPI)]]="",#N/A,((Tabela1[[#This Row],[Producer Price Index (PPI)]]*1)/AC897)-1)</f>
        <v>9.0778561508948474E-3</v>
      </c>
      <c r="AE898" s="8">
        <f>IF(Tabela1[[#This Row],[Producer Price Index (PPI)]]="",#N/A,((Tabela1[[#This Row],[Producer Price Index (PPI)]]*1)/AC886)-1)</f>
        <v>8.6233108108108247E-2</v>
      </c>
      <c r="AF898" s="7">
        <v>4.5999999999999996</v>
      </c>
      <c r="AG898" s="5"/>
    </row>
    <row r="899" spans="1:33" ht="12.75">
      <c r="A899" s="6">
        <v>44440</v>
      </c>
      <c r="B899" s="7">
        <v>274.02800000000002</v>
      </c>
      <c r="C899" s="8">
        <f>IF(Tabela1[[#This Row],[Consumer Price Index (CPI)]]="",#N/A,((Tabela1[[#This Row],[Consumer Price Index (CPI)]]*1)/B898)-1)</f>
        <v>4.2437790889435778E-3</v>
      </c>
      <c r="D899" s="8">
        <f>IF(Tabela1[[#This Row],[Consumer Price Index (CPI)]]="",#N/A,((Tabela1[[#This Row],[Consumer Price Index (CPI)]]*1)/B887)-1)</f>
        <v>5.3836302873910391E-2</v>
      </c>
      <c r="E899" s="25">
        <v>279.755</v>
      </c>
      <c r="F899" s="8">
        <f>IF(Tabela1[[#This Row],[Core Consumer Price Index]]="",#N/A,((Tabela1[[#This Row],[Core Consumer Price Index]]*1)/E898)-1)</f>
        <v>2.5012811002769197E-3</v>
      </c>
      <c r="G899" s="8">
        <f>IF(Tabela1[[#This Row],[Core Consumer Price Index]]="",#N/A,((Tabela1[[#This Row],[Core Consumer Price Index]]*1)/E887)-1)</f>
        <v>4.0221166216748871E-2</v>
      </c>
      <c r="H899" s="8">
        <f t="shared" si="50"/>
        <v>2.9875404264157801E-2</v>
      </c>
      <c r="I899" s="8">
        <f t="shared" si="51"/>
        <v>5.9899529469356949E-2</v>
      </c>
      <c r="J899" s="25">
        <v>343.62</v>
      </c>
      <c r="K899" s="8">
        <f>IF(Tabela1[[#This Row],[Services CPI]]="",#N/A,((Tabela1[[#This Row],[Services CPI]]*1)/J898)-1)</f>
        <v>2.7021190916678428E-3</v>
      </c>
      <c r="L899" s="8">
        <f>IF(Tabela1[[#This Row],[Services CPI]]="",#N/A,((Tabela1[[#This Row],[Services CPI]]*1)/J887)-1)</f>
        <v>3.1941474665449388E-2</v>
      </c>
      <c r="M899" s="7">
        <v>355.92599999999999</v>
      </c>
      <c r="N899" s="8">
        <f>IF(Tabela1[[#This Row],[Core-Services CPI]]="",#N/A,((Tabela1[[#This Row],[Core-Services CPI]]*1)/M898)-1)</f>
        <v>2.1624178534622729E-3</v>
      </c>
      <c r="O899" s="8">
        <f>IF(Tabela1[[#This Row],[Core-Services CPI]]="",#N/A,((Tabela1[[#This Row],[Core-Services CPI]]*1)/M887)-1)</f>
        <v>2.9139969003724175E-2</v>
      </c>
      <c r="P899" s="7">
        <v>120.535</v>
      </c>
      <c r="Q899" s="8">
        <f>IF(Tabela1[[#This Row],[Durable Goods CPI]]="",#N/A,((Tabela1[[#This Row],[Durable Goods CPI]]*1)/P898)-1)</f>
        <v>4.9021651229292917E-3</v>
      </c>
      <c r="R899" s="8">
        <f>IF(Tabela1[[#This Row],[Durable Goods CPI]]="",#N/A,((Tabela1[[#This Row],[Durable Goods CPI]]*1)/P887)-1)</f>
        <v>0.117585973500969</v>
      </c>
      <c r="S899" s="7">
        <v>2.315464</v>
      </c>
      <c r="T899" s="7">
        <v>110.096</v>
      </c>
      <c r="U899" s="8">
        <f>IF(Tabela1[[#This Row],[Personal Consumption Expenditures (PCE)]]="",#N/A,((Tabela1[[#This Row],[Personal Consumption Expenditures (PCE)]]*1)/T898)-1)</f>
        <v>3.2440313468198312E-3</v>
      </c>
      <c r="V899" s="8">
        <f>IF(Tabela1[[#This Row],[Personal Consumption Expenditures (PCE)]]="",#N/A,((Tabela1[[#This Row],[Personal Consumption Expenditures (PCE)]]*1)/T887)-1)</f>
        <v>4.8054222831467541E-2</v>
      </c>
      <c r="W899" s="7">
        <v>109.684</v>
      </c>
      <c r="X899" s="8">
        <f>IF(Tabela1[[#This Row],[Core PCE]]="",#N/A,((Tabela1[[#This Row],[Core PCE]]*1)/W898)-1)</f>
        <v>2.0647188876099509E-3</v>
      </c>
      <c r="Y899" s="8">
        <f>IF(Tabela1[[#This Row],[Core PCE]]="",#N/A,((Tabela1[[#This Row],[Core PCE]]*1)/W887)-1)</f>
        <v>4.0743903596166531E-2</v>
      </c>
      <c r="Z899" s="8">
        <f t="shared" si="49"/>
        <v>3.7767307158405927E-2</v>
      </c>
      <c r="AA899" s="8">
        <f t="shared" si="48"/>
        <v>5.0694969612405938E-2</v>
      </c>
      <c r="AB899" s="7">
        <v>2.46</v>
      </c>
      <c r="AC899" s="7">
        <v>129.21</v>
      </c>
      <c r="AD899" s="8">
        <f>IF(Tabela1[[#This Row],[Producer Price Index (PPI)]]="",#N/A,((Tabela1[[#This Row],[Producer Price Index (PPI)]]*1)/AC898)-1)</f>
        <v>4.665267086540581E-3</v>
      </c>
      <c r="AE899" s="8">
        <f>IF(Tabela1[[#This Row],[Producer Price Index (PPI)]]="",#N/A,((Tabela1[[#This Row],[Producer Price Index (PPI)]]*1)/AC887)-1)</f>
        <v>8.85425442291492E-2</v>
      </c>
      <c r="AF899" s="7">
        <v>4.5999999999999996</v>
      </c>
      <c r="AG899" s="5"/>
    </row>
    <row r="900" spans="1:33" ht="12.75">
      <c r="A900" s="6">
        <v>44470</v>
      </c>
      <c r="B900" s="7">
        <v>276.52199999999999</v>
      </c>
      <c r="C900" s="8">
        <f>IF(Tabela1[[#This Row],[Consumer Price Index (CPI)]]="",#N/A,((Tabela1[[#This Row],[Consumer Price Index (CPI)]]*1)/B899)-1)</f>
        <v>9.1012597252835281E-3</v>
      </c>
      <c r="D900" s="8">
        <f>IF(Tabela1[[#This Row],[Consumer Price Index (CPI)]]="",#N/A,((Tabela1[[#This Row],[Consumer Price Index (CPI)]]*1)/B888)-1)</f>
        <v>6.2377538553744616E-2</v>
      </c>
      <c r="E900" s="25">
        <v>281.58800000000002</v>
      </c>
      <c r="F900" s="8">
        <f>IF(Tabela1[[#This Row],[Core Consumer Price Index]]="",#N/A,((Tabela1[[#This Row],[Core Consumer Price Index]]*1)/E899)-1)</f>
        <v>6.5521617129273846E-3</v>
      </c>
      <c r="G900" s="8">
        <f>IF(Tabela1[[#This Row],[Core Consumer Price Index]]="",#N/A,((Tabela1[[#This Row],[Core Consumer Price Index]]*1)/E888)-1)</f>
        <v>4.5877965799521636E-2</v>
      </c>
      <c r="H900" s="8">
        <f t="shared" si="50"/>
        <v>4.389718584843294E-2</v>
      </c>
      <c r="I900" s="8">
        <f t="shared" si="51"/>
        <v>5.7616744478338422E-2</v>
      </c>
      <c r="J900" s="25">
        <v>345.52199999999999</v>
      </c>
      <c r="K900" s="8">
        <f>IF(Tabela1[[#This Row],[Services CPI]]="",#N/A,((Tabela1[[#This Row],[Services CPI]]*1)/J899)-1)</f>
        <v>5.5351842151212249E-3</v>
      </c>
      <c r="L900" s="8">
        <f>IF(Tabela1[[#This Row],[Services CPI]]="",#N/A,((Tabela1[[#This Row],[Services CPI]]*1)/J888)-1)</f>
        <v>3.6483081353491542E-2</v>
      </c>
      <c r="M900" s="7">
        <v>357.44499999999999</v>
      </c>
      <c r="N900" s="8">
        <f>IF(Tabela1[[#This Row],[Core-Services CPI]]="",#N/A,((Tabela1[[#This Row],[Core-Services CPI]]*1)/M899)-1)</f>
        <v>4.2677410472964361E-3</v>
      </c>
      <c r="O900" s="8">
        <f>IF(Tabela1[[#This Row],[Core-Services CPI]]="",#N/A,((Tabela1[[#This Row],[Core-Services CPI]]*1)/M888)-1)</f>
        <v>3.256175380517834E-2</v>
      </c>
      <c r="P900" s="7">
        <v>122.51600000000001</v>
      </c>
      <c r="Q900" s="8">
        <f>IF(Tabela1[[#This Row],[Durable Goods CPI]]="",#N/A,((Tabela1[[#This Row],[Durable Goods CPI]]*1)/P899)-1)</f>
        <v>1.6435060355913356E-2</v>
      </c>
      <c r="R900" s="8">
        <f>IF(Tabela1[[#This Row],[Durable Goods CPI]]="",#N/A,((Tabela1[[#This Row],[Durable Goods CPI]]*1)/P888)-1)</f>
        <v>0.13217450768391981</v>
      </c>
      <c r="S900" s="7">
        <v>2.343064</v>
      </c>
      <c r="T900" s="7">
        <v>110.80800000000001</v>
      </c>
      <c r="U900" s="8">
        <f>IF(Tabela1[[#This Row],[Personal Consumption Expenditures (PCE)]]="",#N/A,((Tabela1[[#This Row],[Personal Consumption Expenditures (PCE)]]*1)/T899)-1)</f>
        <v>6.4670832727802274E-3</v>
      </c>
      <c r="V900" s="8">
        <f>IF(Tabela1[[#This Row],[Personal Consumption Expenditures (PCE)]]="",#N/A,((Tabela1[[#This Row],[Personal Consumption Expenditures (PCE)]]*1)/T888)-1)</f>
        <v>5.4069479852364877E-2</v>
      </c>
      <c r="W900" s="7">
        <v>110.217</v>
      </c>
      <c r="X900" s="8">
        <f>IF(Tabela1[[#This Row],[Core PCE]]="",#N/A,((Tabela1[[#This Row],[Core PCE]]*1)/W899)-1)</f>
        <v>4.8594143174938154E-3</v>
      </c>
      <c r="Y900" s="8">
        <f>IF(Tabela1[[#This Row],[Core PCE]]="",#N/A,((Tabela1[[#This Row],[Core PCE]]*1)/W888)-1)</f>
        <v>4.5008059163743175E-2</v>
      </c>
      <c r="Z900" s="8">
        <f t="shared" si="49"/>
        <v>4.0086562145927651E-2</v>
      </c>
      <c r="AA900" s="8">
        <f t="shared" si="48"/>
        <v>4.8276718440015909E-2</v>
      </c>
      <c r="AB900" s="7">
        <v>2.75</v>
      </c>
      <c r="AC900" s="7">
        <v>130.02699999999999</v>
      </c>
      <c r="AD900" s="8">
        <f>IF(Tabela1[[#This Row],[Producer Price Index (PPI)]]="",#N/A,((Tabela1[[#This Row],[Producer Price Index (PPI)]]*1)/AC899)-1)</f>
        <v>6.323040012382819E-3</v>
      </c>
      <c r="AE900" s="8">
        <f>IF(Tabela1[[#This Row],[Producer Price Index (PPI)]]="",#N/A,((Tabela1[[#This Row],[Producer Price Index (PPI)]]*1)/AC888)-1)</f>
        <v>8.9003350083751931E-2</v>
      </c>
      <c r="AF900" s="7">
        <v>4.8</v>
      </c>
      <c r="AG900" s="5"/>
    </row>
    <row r="901" spans="1:33" ht="12.75">
      <c r="A901" s="6">
        <v>44501</v>
      </c>
      <c r="B901" s="7">
        <v>278.71100000000001</v>
      </c>
      <c r="C901" s="8">
        <f>IF(Tabela1[[#This Row],[Consumer Price Index (CPI)]]="",#N/A,((Tabela1[[#This Row],[Consumer Price Index (CPI)]]*1)/B900)-1)</f>
        <v>7.9161875004520876E-3</v>
      </c>
      <c r="D901" s="8">
        <f>IF(Tabela1[[#This Row],[Consumer Price Index (CPI)]]="",#N/A,((Tabela1[[#This Row],[Consumer Price Index (CPI)]]*1)/B889)-1)</f>
        <v>6.8623879944634814E-2</v>
      </c>
      <c r="E901" s="25">
        <v>283.33999999999997</v>
      </c>
      <c r="F901" s="8">
        <f>IF(Tabela1[[#This Row],[Core Consumer Price Index]]="",#N/A,((Tabela1[[#This Row],[Core Consumer Price Index]]*1)/E900)-1)</f>
        <v>6.2218560450018057E-3</v>
      </c>
      <c r="G901" s="8">
        <f>IF(Tabela1[[#This Row],[Core Consumer Price Index]]="",#N/A,((Tabela1[[#This Row],[Core Consumer Price Index]]*1)/E889)-1)</f>
        <v>4.9792331262203504E-2</v>
      </c>
      <c r="H901" s="8">
        <f t="shared" si="50"/>
        <v>6.110119543282444E-2</v>
      </c>
      <c r="I901" s="8">
        <f t="shared" si="51"/>
        <v>5.5156302921794964E-2</v>
      </c>
      <c r="J901" s="25">
        <v>347.05099999999999</v>
      </c>
      <c r="K901" s="8">
        <f>IF(Tabela1[[#This Row],[Services CPI]]="",#N/A,((Tabela1[[#This Row],[Services CPI]]*1)/J900)-1)</f>
        <v>4.4251885552872849E-3</v>
      </c>
      <c r="L901" s="8">
        <f>IF(Tabela1[[#This Row],[Services CPI]]="",#N/A,((Tabela1[[#This Row],[Services CPI]]*1)/J889)-1)</f>
        <v>3.7956095226701736E-2</v>
      </c>
      <c r="M901" s="7">
        <v>358.988</v>
      </c>
      <c r="N901" s="8">
        <f>IF(Tabela1[[#This Row],[Core-Services CPI]]="",#N/A,((Tabela1[[#This Row],[Core-Services CPI]]*1)/M900)-1)</f>
        <v>4.3167480311656625E-3</v>
      </c>
      <c r="O901" s="8">
        <f>IF(Tabela1[[#This Row],[Core-Services CPI]]="",#N/A,((Tabela1[[#This Row],[Core-Services CPI]]*1)/M889)-1)</f>
        <v>3.4350815118738387E-2</v>
      </c>
      <c r="P901" s="7">
        <v>124.32299999999999</v>
      </c>
      <c r="Q901" s="8">
        <f>IF(Tabela1[[#This Row],[Durable Goods CPI]]="",#N/A,((Tabela1[[#This Row],[Durable Goods CPI]]*1)/P900)-1)</f>
        <v>1.4749093995886087E-2</v>
      </c>
      <c r="R901" s="8">
        <f>IF(Tabela1[[#This Row],[Durable Goods CPI]]="",#N/A,((Tabela1[[#This Row],[Durable Goods CPI]]*1)/P889)-1)</f>
        <v>0.14891552458667934</v>
      </c>
      <c r="S901" s="7">
        <v>2.6383830000000001</v>
      </c>
      <c r="T901" s="7">
        <v>111.494</v>
      </c>
      <c r="U901" s="8">
        <f>IF(Tabela1[[#This Row],[Personal Consumption Expenditures (PCE)]]="",#N/A,((Tabela1[[#This Row],[Personal Consumption Expenditures (PCE)]]*1)/T900)-1)</f>
        <v>6.1908887444950267E-3</v>
      </c>
      <c r="V901" s="8">
        <f>IF(Tabela1[[#This Row],[Personal Consumption Expenditures (PCE)]]="",#N/A,((Tabela1[[#This Row],[Personal Consumption Expenditures (PCE)]]*1)/T889)-1)</f>
        <v>5.9859121457836117E-2</v>
      </c>
      <c r="W901" s="7">
        <v>110.77800000000001</v>
      </c>
      <c r="X901" s="8">
        <f>IF(Tabela1[[#This Row],[Core PCE]]="",#N/A,((Tabela1[[#This Row],[Core PCE]]*1)/W900)-1)</f>
        <v>5.0899588992623368E-3</v>
      </c>
      <c r="Y901" s="8">
        <f>IF(Tabela1[[#This Row],[Core PCE]]="",#N/A,((Tabela1[[#This Row],[Core PCE]]*1)/W889)-1)</f>
        <v>4.9511141427921679E-2</v>
      </c>
      <c r="Z901" s="8">
        <f t="shared" si="49"/>
        <v>4.8056368417464412E-2</v>
      </c>
      <c r="AA901" s="8">
        <f t="shared" si="48"/>
        <v>4.7805484687338584E-2</v>
      </c>
      <c r="AB901" s="7">
        <v>3.06</v>
      </c>
      <c r="AC901" s="7">
        <v>131.452</v>
      </c>
      <c r="AD901" s="8">
        <f>IF(Tabela1[[#This Row],[Producer Price Index (PPI)]]="",#N/A,((Tabela1[[#This Row],[Producer Price Index (PPI)]]*1)/AC900)-1)</f>
        <v>1.0959262307059348E-2</v>
      </c>
      <c r="AE901" s="8">
        <f>IF(Tabela1[[#This Row],[Producer Price Index (PPI)]]="",#N/A,((Tabela1[[#This Row],[Producer Price Index (PPI)]]*1)/AC889)-1)</f>
        <v>0.10001673640167352</v>
      </c>
      <c r="AF901" s="7">
        <v>4.9000000000000004</v>
      </c>
      <c r="AG901" s="5"/>
    </row>
    <row r="902" spans="1:33" ht="12.75">
      <c r="A902" s="6">
        <v>44531</v>
      </c>
      <c r="B902" s="7">
        <v>280.887</v>
      </c>
      <c r="C902" s="8">
        <f>IF(Tabela1[[#This Row],[Consumer Price Index (CPI)]]="",#N/A,((Tabela1[[#This Row],[Consumer Price Index (CPI)]]*1)/B901)-1)</f>
        <v>7.8073703585432863E-3</v>
      </c>
      <c r="D902" s="8">
        <f>IF(Tabela1[[#This Row],[Consumer Price Index (CPI)]]="",#N/A,((Tabela1[[#This Row],[Consumer Price Index (CPI)]]*1)/B890)-1)</f>
        <v>7.1944587555097472E-2</v>
      </c>
      <c r="E902" s="25">
        <v>285.19299999999998</v>
      </c>
      <c r="F902" s="8">
        <f>IF(Tabela1[[#This Row],[Core Consumer Price Index]]="",#N/A,((Tabela1[[#This Row],[Core Consumer Price Index]]*1)/E901)-1)</f>
        <v>6.5398461212677894E-3</v>
      </c>
      <c r="G902" s="8">
        <f>IF(Tabela1[[#This Row],[Core Consumer Price Index]]="",#N/A,((Tabela1[[#This Row],[Core Consumer Price Index]]*1)/E890)-1)</f>
        <v>5.5226868245105809E-2</v>
      </c>
      <c r="H902" s="8">
        <f t="shared" si="50"/>
        <v>7.7255455516787919E-2</v>
      </c>
      <c r="I902" s="8">
        <f t="shared" si="51"/>
        <v>5.356542989047286E-2</v>
      </c>
      <c r="J902" s="25">
        <v>348.49900000000002</v>
      </c>
      <c r="K902" s="8">
        <f>IF(Tabela1[[#This Row],[Services CPI]]="",#N/A,((Tabela1[[#This Row],[Services CPI]]*1)/J901)-1)</f>
        <v>4.1722974433153759E-3</v>
      </c>
      <c r="L902" s="8">
        <f>IF(Tabela1[[#This Row],[Services CPI]]="",#N/A,((Tabela1[[#This Row],[Services CPI]]*1)/J890)-1)</f>
        <v>4.0584401042677687E-2</v>
      </c>
      <c r="M902" s="7">
        <v>360.42500000000001</v>
      </c>
      <c r="N902" s="8">
        <f>IF(Tabela1[[#This Row],[Core-Services CPI]]="",#N/A,((Tabela1[[#This Row],[Core-Services CPI]]*1)/M901)-1)</f>
        <v>4.00291931763741E-3</v>
      </c>
      <c r="O902" s="8">
        <f>IF(Tabela1[[#This Row],[Core-Services CPI]]="",#N/A,((Tabela1[[#This Row],[Core-Services CPI]]*1)/M890)-1)</f>
        <v>3.7236032530806984E-2</v>
      </c>
      <c r="P902" s="7">
        <v>126.295</v>
      </c>
      <c r="Q902" s="8">
        <f>IF(Tabela1[[#This Row],[Durable Goods CPI]]="",#N/A,((Tabela1[[#This Row],[Durable Goods CPI]]*1)/P901)-1)</f>
        <v>1.5861908094238375E-2</v>
      </c>
      <c r="R902" s="8">
        <f>IF(Tabela1[[#This Row],[Durable Goods CPI]]="",#N/A,((Tabela1[[#This Row],[Durable Goods CPI]]*1)/P890)-1)</f>
        <v>0.16732290742383915</v>
      </c>
      <c r="S902" s="7">
        <v>3.0356190000000001</v>
      </c>
      <c r="T902" s="7">
        <v>112.24</v>
      </c>
      <c r="U902" s="8">
        <f>IF(Tabela1[[#This Row],[Personal Consumption Expenditures (PCE)]]="",#N/A,((Tabela1[[#This Row],[Personal Consumption Expenditures (PCE)]]*1)/T901)-1)</f>
        <v>6.6909430103860856E-3</v>
      </c>
      <c r="V902" s="8">
        <f>IF(Tabela1[[#This Row],[Personal Consumption Expenditures (PCE)]]="",#N/A,((Tabela1[[#This Row],[Personal Consumption Expenditures (PCE)]]*1)/T890)-1)</f>
        <v>6.1802908038256721E-2</v>
      </c>
      <c r="W902" s="7">
        <v>111.446</v>
      </c>
      <c r="X902" s="8">
        <f>IF(Tabela1[[#This Row],[Core PCE]]="",#N/A,((Tabela1[[#This Row],[Core PCE]]*1)/W901)-1)</f>
        <v>6.0300781743667375E-3</v>
      </c>
      <c r="Y902" s="8">
        <f>IF(Tabela1[[#This Row],[Core PCE]]="",#N/A,((Tabela1[[#This Row],[Core PCE]]*1)/W890)-1)</f>
        <v>5.238009801792276E-2</v>
      </c>
      <c r="Z902" s="8">
        <f t="shared" si="49"/>
        <v>6.3917805564491559E-2</v>
      </c>
      <c r="AA902" s="8">
        <f t="shared" si="48"/>
        <v>5.0842556361448743E-2</v>
      </c>
      <c r="AB902" s="7">
        <v>3.33</v>
      </c>
      <c r="AC902" s="7">
        <v>132.244</v>
      </c>
      <c r="AD902" s="8">
        <f>IF(Tabela1[[#This Row],[Producer Price Index (PPI)]]="",#N/A,((Tabela1[[#This Row],[Producer Price Index (PPI)]]*1)/AC901)-1)</f>
        <v>6.0250129324772583E-3</v>
      </c>
      <c r="AE902" s="8">
        <f>IF(Tabela1[[#This Row],[Producer Price Index (PPI)]]="",#N/A,((Tabela1[[#This Row],[Producer Price Index (PPI)]]*1)/AC890)-1)</f>
        <v>0.10203333333333342</v>
      </c>
      <c r="AF902" s="7">
        <v>4.8</v>
      </c>
      <c r="AG902" s="5"/>
    </row>
    <row r="903" spans="1:33" ht="12.75">
      <c r="A903" s="6">
        <v>44562</v>
      </c>
      <c r="B903" s="7">
        <v>282.59899999999999</v>
      </c>
      <c r="C903" s="8">
        <f>IF(Tabela1[[#This Row],[Consumer Price Index (CPI)]]="",#N/A,((Tabela1[[#This Row],[Consumer Price Index (CPI)]]*1)/B902)-1)</f>
        <v>6.0949776956569224E-3</v>
      </c>
      <c r="D903" s="8">
        <f>IF(Tabela1[[#This Row],[Consumer Price Index (CPI)]]="",#N/A,((Tabela1[[#This Row],[Consumer Price Index (CPI)]]*1)/B891)-1)</f>
        <v>7.595278888254331E-2</v>
      </c>
      <c r="E903" s="25">
        <v>286.79199999999997</v>
      </c>
      <c r="F903" s="8">
        <f>IF(Tabela1[[#This Row],[Core Consumer Price Index]]="",#N/A,((Tabela1[[#This Row],[Core Consumer Price Index]]*1)/E902)-1)</f>
        <v>5.6067294779325039E-3</v>
      </c>
      <c r="G903" s="8">
        <f>IF(Tabela1[[#This Row],[Core Consumer Price Index]]="",#N/A,((Tabela1[[#This Row],[Core Consumer Price Index]]*1)/E891)-1)</f>
        <v>6.0687987040605407E-2</v>
      </c>
      <c r="H903" s="8">
        <f t="shared" si="50"/>
        <v>7.3473726576808396E-2</v>
      </c>
      <c r="I903" s="8">
        <f t="shared" si="51"/>
        <v>5.8685456212620668E-2</v>
      </c>
      <c r="J903" s="25">
        <v>350.28500000000003</v>
      </c>
      <c r="K903" s="8">
        <f>IF(Tabela1[[#This Row],[Services CPI]]="",#N/A,((Tabela1[[#This Row],[Services CPI]]*1)/J902)-1)</f>
        <v>5.1248353653812195E-3</v>
      </c>
      <c r="L903" s="8">
        <f>IF(Tabela1[[#This Row],[Services CPI]]="",#N/A,((Tabela1[[#This Row],[Services CPI]]*1)/J891)-1)</f>
        <v>4.5714268655290713E-2</v>
      </c>
      <c r="M903" s="7">
        <v>361.92700000000002</v>
      </c>
      <c r="N903" s="8">
        <f>IF(Tabela1[[#This Row],[Core-Services CPI]]="",#N/A,((Tabela1[[#This Row],[Core-Services CPI]]*1)/M902)-1)</f>
        <v>4.1673024901158762E-3</v>
      </c>
      <c r="O903" s="8">
        <f>IF(Tabela1[[#This Row],[Core-Services CPI]]="",#N/A,((Tabela1[[#This Row],[Core-Services CPI]]*1)/M891)-1)</f>
        <v>4.0965359349294239E-2</v>
      </c>
      <c r="P903" s="7">
        <v>127.67700000000001</v>
      </c>
      <c r="Q903" s="8">
        <f>IF(Tabela1[[#This Row],[Durable Goods CPI]]="",#N/A,((Tabela1[[#This Row],[Durable Goods CPI]]*1)/P902)-1)</f>
        <v>1.0942634308563237E-2</v>
      </c>
      <c r="R903" s="8">
        <f>IF(Tabela1[[#This Row],[Durable Goods CPI]]="",#N/A,((Tabela1[[#This Row],[Durable Goods CPI]]*1)/P891)-1)</f>
        <v>0.18446466839219622</v>
      </c>
      <c r="S903" s="7">
        <v>3.2143199999999998</v>
      </c>
      <c r="T903" s="7">
        <v>112.82899999999999</v>
      </c>
      <c r="U903" s="8">
        <f>IF(Tabela1[[#This Row],[Personal Consumption Expenditures (PCE)]]="",#N/A,((Tabela1[[#This Row],[Personal Consumption Expenditures (PCE)]]*1)/T902)-1)</f>
        <v>5.2476835352814888E-3</v>
      </c>
      <c r="V903" s="8">
        <f>IF(Tabela1[[#This Row],[Personal Consumption Expenditures (PCE)]]="",#N/A,((Tabela1[[#This Row],[Personal Consumption Expenditures (PCE)]]*1)/T891)-1)</f>
        <v>6.2970464930048431E-2</v>
      </c>
      <c r="W903" s="7">
        <v>111.973</v>
      </c>
      <c r="X903" s="8">
        <f>IF(Tabela1[[#This Row],[Core PCE]]="",#N/A,((Tabela1[[#This Row],[Core PCE]]*1)/W902)-1)</f>
        <v>4.7287475548696278E-3</v>
      </c>
      <c r="Y903" s="8">
        <f>IF(Tabela1[[#This Row],[Core PCE]]="",#N/A,((Tabela1[[#This Row],[Core PCE]]*1)/W891)-1)</f>
        <v>5.3694938221649169E-2</v>
      </c>
      <c r="Z903" s="8">
        <f t="shared" si="49"/>
        <v>6.3395138513994809E-2</v>
      </c>
      <c r="AA903" s="8">
        <f t="shared" si="48"/>
        <v>5.174085032996123E-2</v>
      </c>
      <c r="AB903" s="7">
        <v>3.71</v>
      </c>
      <c r="AC903" s="7">
        <v>133.648</v>
      </c>
      <c r="AD903" s="8">
        <f>IF(Tabela1[[#This Row],[Producer Price Index (PPI)]]="",#N/A,((Tabela1[[#This Row],[Producer Price Index (PPI)]]*1)/AC902)-1)</f>
        <v>1.0616738755633515E-2</v>
      </c>
      <c r="AE903" s="8">
        <f>IF(Tabela1[[#This Row],[Producer Price Index (PPI)]]="",#N/A,((Tabela1[[#This Row],[Producer Price Index (PPI)]]*1)/AC891)-1)</f>
        <v>0.10179719703215162</v>
      </c>
      <c r="AF903" s="7">
        <v>4.9000000000000004</v>
      </c>
      <c r="AG903" s="5"/>
    </row>
    <row r="904" spans="1:33" ht="12.75">
      <c r="A904" s="6">
        <v>44593</v>
      </c>
      <c r="B904" s="7">
        <v>284.61</v>
      </c>
      <c r="C904" s="8">
        <f>IF(Tabela1[[#This Row],[Consumer Price Index (CPI)]]="",#N/A,((Tabela1[[#This Row],[Consumer Price Index (CPI)]]*1)/B903)-1)</f>
        <v>7.1160902904823242E-3</v>
      </c>
      <c r="D904" s="8">
        <f>IF(Tabela1[[#This Row],[Consumer Price Index (CPI)]]="",#N/A,((Tabela1[[#This Row],[Consumer Price Index (CPI)]]*1)/B892)-1)</f>
        <v>7.954847176810631E-2</v>
      </c>
      <c r="E904" s="25">
        <v>288.14699999999999</v>
      </c>
      <c r="F904" s="8">
        <f>IF(Tabela1[[#This Row],[Core Consumer Price Index]]="",#N/A,((Tabela1[[#This Row],[Core Consumer Price Index]]*1)/E903)-1)</f>
        <v>4.7246785126502377E-3</v>
      </c>
      <c r="G904" s="8">
        <f>IF(Tabela1[[#This Row],[Core Consumer Price Index]]="",#N/A,((Tabela1[[#This Row],[Core Consumer Price Index]]*1)/E892)-1)</f>
        <v>6.4345262940157522E-2</v>
      </c>
      <c r="H904" s="8">
        <f t="shared" si="50"/>
        <v>6.7485016447402124E-2</v>
      </c>
      <c r="I904" s="8">
        <f t="shared" si="51"/>
        <v>6.4293105940113282E-2</v>
      </c>
      <c r="J904" s="25">
        <v>352.09100000000001</v>
      </c>
      <c r="K904" s="8">
        <f>IF(Tabela1[[#This Row],[Services CPI]]="",#N/A,((Tabela1[[#This Row],[Services CPI]]*1)/J903)-1)</f>
        <v>5.1558017043265014E-3</v>
      </c>
      <c r="L904" s="8">
        <f>IF(Tabela1[[#This Row],[Services CPI]]="",#N/A,((Tabela1[[#This Row],[Services CPI]]*1)/J892)-1)</f>
        <v>4.8086397151846816E-2</v>
      </c>
      <c r="M904" s="7">
        <v>363.84800000000001</v>
      </c>
      <c r="N904" s="8">
        <f>IF(Tabela1[[#This Row],[Core-Services CPI]]="",#N/A,((Tabela1[[#This Row],[Core-Services CPI]]*1)/M903)-1)</f>
        <v>5.3077001715815531E-3</v>
      </c>
      <c r="O904" s="8">
        <f>IF(Tabela1[[#This Row],[Core-Services CPI]]="",#N/A,((Tabela1[[#This Row],[Core-Services CPI]]*1)/M892)-1)</f>
        <v>4.39742684823341E-2</v>
      </c>
      <c r="P904" s="7">
        <v>128.31</v>
      </c>
      <c r="Q904" s="8">
        <f>IF(Tabela1[[#This Row],[Durable Goods CPI]]="",#N/A,((Tabela1[[#This Row],[Durable Goods CPI]]*1)/P903)-1)</f>
        <v>4.9578232571254599E-3</v>
      </c>
      <c r="R904" s="8">
        <f>IF(Tabela1[[#This Row],[Durable Goods CPI]]="",#N/A,((Tabela1[[#This Row],[Durable Goods CPI]]*1)/P892)-1)</f>
        <v>0.18763768303744977</v>
      </c>
      <c r="S904" s="7">
        <v>3.484143</v>
      </c>
      <c r="T904" s="7">
        <v>113.496</v>
      </c>
      <c r="U904" s="8">
        <f>IF(Tabela1[[#This Row],[Personal Consumption Expenditures (PCE)]]="",#N/A,((Tabela1[[#This Row],[Personal Consumption Expenditures (PCE)]]*1)/T903)-1)</f>
        <v>5.9116007409443228E-3</v>
      </c>
      <c r="V904" s="8">
        <f>IF(Tabela1[[#This Row],[Personal Consumption Expenditures (PCE)]]="",#N/A,((Tabela1[[#This Row],[Personal Consumption Expenditures (PCE)]]*1)/T892)-1)</f>
        <v>6.547004374683163E-2</v>
      </c>
      <c r="W904" s="7">
        <v>112.43600000000001</v>
      </c>
      <c r="X904" s="8">
        <f>IF(Tabela1[[#This Row],[Core PCE]]="",#N/A,((Tabela1[[#This Row],[Core PCE]]*1)/W903)-1)</f>
        <v>4.1349253837978939E-3</v>
      </c>
      <c r="Y904" s="8">
        <f>IF(Tabela1[[#This Row],[Core PCE]]="",#N/A,((Tabela1[[#This Row],[Core PCE]]*1)/W892)-1)</f>
        <v>5.5747002319270766E-2</v>
      </c>
      <c r="Z904" s="8">
        <f t="shared" si="49"/>
        <v>5.9575004452137037E-2</v>
      </c>
      <c r="AA904" s="8">
        <f t="shared" si="48"/>
        <v>5.3815686434800725E-2</v>
      </c>
      <c r="AB904" s="7">
        <v>3.91</v>
      </c>
      <c r="AC904" s="7">
        <v>134.88300000000001</v>
      </c>
      <c r="AD904" s="8">
        <f>IF(Tabela1[[#This Row],[Producer Price Index (PPI)]]="",#N/A,((Tabela1[[#This Row],[Producer Price Index (PPI)]]*1)/AC903)-1)</f>
        <v>9.2406919669580923E-3</v>
      </c>
      <c r="AE904" s="8">
        <f>IF(Tabela1[[#This Row],[Producer Price Index (PPI)]]="",#N/A,((Tabela1[[#This Row],[Producer Price Index (PPI)]]*1)/AC892)-1)</f>
        <v>0.1055983606557378</v>
      </c>
      <c r="AF904" s="7">
        <v>4.9000000000000004</v>
      </c>
      <c r="AG904" s="5"/>
    </row>
    <row r="905" spans="1:33" ht="12.75">
      <c r="A905" s="6">
        <v>44621</v>
      </c>
      <c r="B905" s="7">
        <v>287.47199999999998</v>
      </c>
      <c r="C905" s="8">
        <f>IF(Tabela1[[#This Row],[Consumer Price Index (CPI)]]="",#N/A,((Tabela1[[#This Row],[Consumer Price Index (CPI)]]*1)/B904)-1)</f>
        <v>1.0055865921787532E-2</v>
      </c>
      <c r="D905" s="8">
        <f>IF(Tabela1[[#This Row],[Consumer Price Index (CPI)]]="",#N/A,((Tabela1[[#This Row],[Consumer Price Index (CPI)]]*1)/B893)-1)</f>
        <v>8.5152162588613578E-2</v>
      </c>
      <c r="E905" s="25">
        <v>289.04599999999999</v>
      </c>
      <c r="F905" s="8">
        <f>IF(Tabela1[[#This Row],[Core Consumer Price Index]]="",#N/A,((Tabela1[[#This Row],[Core Consumer Price Index]]*1)/E904)-1)</f>
        <v>3.1199353107962402E-3</v>
      </c>
      <c r="G905" s="8">
        <f>IF(Tabela1[[#This Row],[Core Consumer Price Index]]="",#N/A,((Tabela1[[#This Row],[Core Consumer Price Index]]*1)/E893)-1)</f>
        <v>6.4524207626525554E-2</v>
      </c>
      <c r="H905" s="8">
        <f t="shared" si="50"/>
        <v>5.3805373205515927E-2</v>
      </c>
      <c r="I905" s="8">
        <f t="shared" si="51"/>
        <v>6.5530414361151923E-2</v>
      </c>
      <c r="J905" s="25">
        <v>354.32900000000001</v>
      </c>
      <c r="K905" s="8">
        <f>IF(Tabela1[[#This Row],[Services CPI]]="",#N/A,((Tabela1[[#This Row],[Services CPI]]*1)/J904)-1)</f>
        <v>6.356311294523298E-3</v>
      </c>
      <c r="L905" s="8">
        <f>IF(Tabela1[[#This Row],[Services CPI]]="",#N/A,((Tabela1[[#This Row],[Services CPI]]*1)/J893)-1)</f>
        <v>5.1112581170516647E-2</v>
      </c>
      <c r="M905" s="7">
        <v>365.99099999999999</v>
      </c>
      <c r="N905" s="8">
        <f>IF(Tabela1[[#This Row],[Core-Services CPI]]="",#N/A,((Tabela1[[#This Row],[Core-Services CPI]]*1)/M904)-1)</f>
        <v>5.8898221235239578E-3</v>
      </c>
      <c r="O905" s="8">
        <f>IF(Tabela1[[#This Row],[Core-Services CPI]]="",#N/A,((Tabela1[[#This Row],[Core-Services CPI]]*1)/M893)-1)</f>
        <v>4.6585644838432971E-2</v>
      </c>
      <c r="P905" s="7">
        <v>127.739</v>
      </c>
      <c r="Q905" s="8">
        <f>IF(Tabela1[[#This Row],[Durable Goods CPI]]="",#N/A,((Tabela1[[#This Row],[Durable Goods CPI]]*1)/P904)-1)</f>
        <v>-4.4501597693087369E-3</v>
      </c>
      <c r="R905" s="8">
        <f>IF(Tabela1[[#This Row],[Durable Goods CPI]]="",#N/A,((Tabela1[[#This Row],[Durable Goods CPI]]*1)/P893)-1)</f>
        <v>0.17456829174099342</v>
      </c>
      <c r="S905" s="7">
        <v>3.9886590000000002</v>
      </c>
      <c r="T905" s="7">
        <v>114.446</v>
      </c>
      <c r="U905" s="8">
        <f>IF(Tabela1[[#This Row],[Personal Consumption Expenditures (PCE)]]="",#N/A,((Tabela1[[#This Row],[Personal Consumption Expenditures (PCE)]]*1)/T904)-1)</f>
        <v>8.3703390427856128E-3</v>
      </c>
      <c r="V905" s="8">
        <f>IF(Tabela1[[#This Row],[Personal Consumption Expenditures (PCE)]]="",#N/A,((Tabela1[[#This Row],[Personal Consumption Expenditures (PCE)]]*1)/T893)-1)</f>
        <v>6.8929445388825616E-2</v>
      </c>
      <c r="W905" s="7">
        <v>112.88</v>
      </c>
      <c r="X905" s="8">
        <f>IF(Tabela1[[#This Row],[Core PCE]]="",#N/A,((Tabela1[[#This Row],[Core PCE]]*1)/W904)-1)</f>
        <v>3.9489131594860893E-3</v>
      </c>
      <c r="Y905" s="8">
        <f>IF(Tabela1[[#This Row],[Core PCE]]="",#N/A,((Tabela1[[#This Row],[Core PCE]]*1)/W893)-1)</f>
        <v>5.5495815606152687E-2</v>
      </c>
      <c r="Z905" s="8">
        <f t="shared" si="49"/>
        <v>5.1250344392614444E-2</v>
      </c>
      <c r="AA905" s="8">
        <f t="shared" si="48"/>
        <v>5.7584074978553002E-2</v>
      </c>
      <c r="AB905" s="7">
        <v>3.99</v>
      </c>
      <c r="AC905" s="7">
        <v>137.035</v>
      </c>
      <c r="AD905" s="8">
        <f>IF(Tabela1[[#This Row],[Producer Price Index (PPI)]]="",#N/A,((Tabela1[[#This Row],[Producer Price Index (PPI)]]*1)/AC904)-1)</f>
        <v>1.5954568033035965E-2</v>
      </c>
      <c r="AE905" s="8">
        <f>IF(Tabela1[[#This Row],[Producer Price Index (PPI)]]="",#N/A,((Tabela1[[#This Row],[Producer Price Index (PPI)]]*1)/AC893)-1)</f>
        <v>0.1159201954397393</v>
      </c>
      <c r="AF905" s="7">
        <v>5.4</v>
      </c>
      <c r="AG905" s="5"/>
    </row>
    <row r="906" spans="1:33" ht="12.75">
      <c r="A906" s="6">
        <v>44652</v>
      </c>
      <c r="B906" s="7">
        <v>288.61099999999999</v>
      </c>
      <c r="C906" s="8">
        <f>IF(Tabela1[[#This Row],[Consumer Price Index (CPI)]]="",#N/A,((Tabela1[[#This Row],[Consumer Price Index (CPI)]]*1)/B905)-1)</f>
        <v>3.9621250069572511E-3</v>
      </c>
      <c r="D906" s="8">
        <f>IF(Tabela1[[#This Row],[Consumer Price Index (CPI)]]="",#N/A,((Tabela1[[#This Row],[Consumer Price Index (CPI)]]*1)/B894)-1)</f>
        <v>8.2277721528480896E-2</v>
      </c>
      <c r="E906" s="25">
        <v>290.41000000000003</v>
      </c>
      <c r="F906" s="8">
        <f>IF(Tabela1[[#This Row],[Core Consumer Price Index]]="",#N/A,((Tabela1[[#This Row],[Core Consumer Price Index]]*1)/E905)-1)</f>
        <v>4.7189720667299984E-3</v>
      </c>
      <c r="G906" s="8">
        <f>IF(Tabela1[[#This Row],[Core Consumer Price Index]]="",#N/A,((Tabela1[[#This Row],[Core Consumer Price Index]]*1)/E894)-1)</f>
        <v>6.1381868684099894E-2</v>
      </c>
      <c r="H906" s="8">
        <f t="shared" si="50"/>
        <v>5.0254343560705905E-2</v>
      </c>
      <c r="I906" s="8">
        <f t="shared" si="51"/>
        <v>6.1864035068757151E-2</v>
      </c>
      <c r="J906" s="25">
        <v>356.68200000000002</v>
      </c>
      <c r="K906" s="8">
        <f>IF(Tabela1[[#This Row],[Services CPI]]="",#N/A,((Tabela1[[#This Row],[Services CPI]]*1)/J905)-1)</f>
        <v>6.6407209119208055E-3</v>
      </c>
      <c r="L906" s="8">
        <f>IF(Tabela1[[#This Row],[Services CPI]]="",#N/A,((Tabela1[[#This Row],[Services CPI]]*1)/J894)-1)</f>
        <v>5.3694764642281179E-2</v>
      </c>
      <c r="M906" s="7">
        <v>368.27699999999999</v>
      </c>
      <c r="N906" s="8">
        <f>IF(Tabela1[[#This Row],[Core-Services CPI]]="",#N/A,((Tabela1[[#This Row],[Core-Services CPI]]*1)/M905)-1)</f>
        <v>6.2460552308662987E-3</v>
      </c>
      <c r="O906" s="8">
        <f>IF(Tabela1[[#This Row],[Core-Services CPI]]="",#N/A,((Tabela1[[#This Row],[Core-Services CPI]]*1)/M894)-1)</f>
        <v>4.9105654927230402E-2</v>
      </c>
      <c r="P906" s="7">
        <v>127.69</v>
      </c>
      <c r="Q906" s="8">
        <f>IF(Tabela1[[#This Row],[Durable Goods CPI]]="",#N/A,((Tabela1[[#This Row],[Durable Goods CPI]]*1)/P905)-1)</f>
        <v>-3.8359467351400944E-4</v>
      </c>
      <c r="R906" s="8">
        <f>IF(Tabela1[[#This Row],[Durable Goods CPI]]="",#N/A,((Tabela1[[#This Row],[Durable Goods CPI]]*1)/P894)-1)</f>
        <v>0.14047623300762746</v>
      </c>
      <c r="S906" s="7">
        <v>4.3070700000000004</v>
      </c>
      <c r="T906" s="7">
        <v>114.789</v>
      </c>
      <c r="U906" s="8">
        <f>IF(Tabela1[[#This Row],[Personal Consumption Expenditures (PCE)]]="",#N/A,((Tabela1[[#This Row],[Personal Consumption Expenditures (PCE)]]*1)/T905)-1)</f>
        <v>2.9970466420845554E-3</v>
      </c>
      <c r="V906" s="8">
        <f>IF(Tabela1[[#This Row],[Personal Consumption Expenditures (PCE)]]="",#N/A,((Tabela1[[#This Row],[Personal Consumption Expenditures (PCE)]]*1)/T894)-1)</f>
        <v>6.6197915699132359E-2</v>
      </c>
      <c r="W906" s="7">
        <v>113.248</v>
      </c>
      <c r="X906" s="8">
        <f>IF(Tabela1[[#This Row],[Core PCE]]="",#N/A,((Tabela1[[#This Row],[Core PCE]]*1)/W905)-1)</f>
        <v>3.2600992204110391E-3</v>
      </c>
      <c r="Y906" s="8">
        <f>IF(Tabela1[[#This Row],[Core PCE]]="",#N/A,((Tabela1[[#This Row],[Core PCE]]*1)/W894)-1)</f>
        <v>5.2549398665353131E-2</v>
      </c>
      <c r="Z906" s="8">
        <f t="shared" si="49"/>
        <v>4.5375751054780089E-2</v>
      </c>
      <c r="AA906" s="8">
        <f t="shared" si="48"/>
        <v>5.4385444784387449E-2</v>
      </c>
      <c r="AB906" s="7">
        <v>4.03</v>
      </c>
      <c r="AC906" s="7">
        <v>137.85300000000001</v>
      </c>
      <c r="AD906" s="8">
        <f>IF(Tabela1[[#This Row],[Producer Price Index (PPI)]]="",#N/A,((Tabela1[[#This Row],[Producer Price Index (PPI)]]*1)/AC905)-1)</f>
        <v>5.9692779216988789E-3</v>
      </c>
      <c r="AE906" s="8">
        <f>IF(Tabela1[[#This Row],[Producer Price Index (PPI)]]="",#N/A,((Tabela1[[#This Row],[Producer Price Index (PPI)]]*1)/AC894)-1)</f>
        <v>0.11082191780821926</v>
      </c>
      <c r="AF906" s="7">
        <v>5.4</v>
      </c>
      <c r="AG906" s="5"/>
    </row>
    <row r="907" spans="1:33" ht="12.75">
      <c r="A907" s="6">
        <v>44682</v>
      </c>
      <c r="B907" s="7">
        <v>291.26799999999997</v>
      </c>
      <c r="C907" s="8">
        <f>IF(Tabela1[[#This Row],[Consumer Price Index (CPI)]]="",#N/A,((Tabela1[[#This Row],[Consumer Price Index (CPI)]]*1)/B906)-1)</f>
        <v>9.2061633132485277E-3</v>
      </c>
      <c r="D907" s="8">
        <f>IF(Tabela1[[#This Row],[Consumer Price Index (CPI)]]="",#N/A,((Tabela1[[#This Row],[Consumer Price Index (CPI)]]*1)/B895)-1)</f>
        <v>8.5023319575032286E-2</v>
      </c>
      <c r="E907" s="25">
        <v>292.25099999999998</v>
      </c>
      <c r="F907" s="8">
        <f>IF(Tabela1[[#This Row],[Core Consumer Price Index]]="",#N/A,((Tabela1[[#This Row],[Core Consumer Price Index]]*1)/E906)-1)</f>
        <v>6.3393133845250915E-3</v>
      </c>
      <c r="G907" s="8">
        <f>IF(Tabela1[[#This Row],[Core Consumer Price Index]]="",#N/A,((Tabela1[[#This Row],[Core Consumer Price Index]]*1)/E895)-1)</f>
        <v>6.0209538044069699E-2</v>
      </c>
      <c r="H907" s="8">
        <f t="shared" si="50"/>
        <v>5.671288304820532E-2</v>
      </c>
      <c r="I907" s="8">
        <f t="shared" si="51"/>
        <v>6.2098949747803722E-2</v>
      </c>
      <c r="J907" s="25">
        <v>359.43</v>
      </c>
      <c r="K907" s="8">
        <f>IF(Tabela1[[#This Row],[Services CPI]]="",#N/A,((Tabela1[[#This Row],[Services CPI]]*1)/J906)-1)</f>
        <v>7.7043416825071098E-3</v>
      </c>
      <c r="L907" s="8">
        <f>IF(Tabela1[[#This Row],[Services CPI]]="",#N/A,((Tabela1[[#This Row],[Services CPI]]*1)/J895)-1)</f>
        <v>5.7430076873516089E-2</v>
      </c>
      <c r="M907" s="7">
        <v>370.66300000000001</v>
      </c>
      <c r="N907" s="8">
        <f>IF(Tabela1[[#This Row],[Core-Services CPI]]="",#N/A,((Tabela1[[#This Row],[Core-Services CPI]]*1)/M906)-1)</f>
        <v>6.4788189324884726E-3</v>
      </c>
      <c r="O907" s="8">
        <f>IF(Tabela1[[#This Row],[Core-Services CPI]]="",#N/A,((Tabela1[[#This Row],[Core-Services CPI]]*1)/M895)-1)</f>
        <v>5.1630658363241766E-2</v>
      </c>
      <c r="P907" s="7">
        <v>127.884</v>
      </c>
      <c r="Q907" s="8">
        <f>IF(Tabela1[[#This Row],[Durable Goods CPI]]="",#N/A,((Tabela1[[#This Row],[Durable Goods CPI]]*1)/P906)-1)</f>
        <v>1.5193045657451165E-3</v>
      </c>
      <c r="R907" s="8">
        <f>IF(Tabela1[[#This Row],[Durable Goods CPI]]="",#N/A,((Tabela1[[#This Row],[Durable Goods CPI]]*1)/P895)-1)</f>
        <v>0.11404975956512642</v>
      </c>
      <c r="S907" s="7">
        <v>4.5584230000000003</v>
      </c>
      <c r="T907" s="7">
        <v>115.446</v>
      </c>
      <c r="U907" s="8">
        <f>IF(Tabela1[[#This Row],[Personal Consumption Expenditures (PCE)]]="",#N/A,((Tabela1[[#This Row],[Personal Consumption Expenditures (PCE)]]*1)/T906)-1)</f>
        <v>5.7235449389749782E-3</v>
      </c>
      <c r="V907" s="8">
        <f>IF(Tabela1[[#This Row],[Personal Consumption Expenditures (PCE)]]="",#N/A,((Tabela1[[#This Row],[Personal Consumption Expenditures (PCE)]]*1)/T895)-1)</f>
        <v>6.6899553633313902E-2</v>
      </c>
      <c r="W907" s="7">
        <v>113.65600000000001</v>
      </c>
      <c r="X907" s="8">
        <f>IF(Tabela1[[#This Row],[Core PCE]]="",#N/A,((Tabela1[[#This Row],[Core PCE]]*1)/W906)-1)</f>
        <v>3.6027126306865664E-3</v>
      </c>
      <c r="Y907" s="8">
        <f>IF(Tabela1[[#This Row],[Core PCE]]="",#N/A,((Tabela1[[#This Row],[Core PCE]]*1)/W895)-1)</f>
        <v>5.0745606330951265E-2</v>
      </c>
      <c r="Z907" s="8">
        <f t="shared" si="49"/>
        <v>4.3246900042334779E-2</v>
      </c>
      <c r="AA907" s="8">
        <f t="shared" si="48"/>
        <v>5.1410952247235908E-2</v>
      </c>
      <c r="AB907" s="7">
        <v>4.24</v>
      </c>
      <c r="AC907" s="7">
        <v>138.89500000000001</v>
      </c>
      <c r="AD907" s="8">
        <f>IF(Tabela1[[#This Row],[Producer Price Index (PPI)]]="",#N/A,((Tabela1[[#This Row],[Producer Price Index (PPI)]]*1)/AC906)-1)</f>
        <v>7.5587763777356098E-3</v>
      </c>
      <c r="AE907" s="8">
        <f>IF(Tabela1[[#This Row],[Producer Price Index (PPI)]]="",#N/A,((Tabela1[[#This Row],[Producer Price Index (PPI)]]*1)/AC895)-1)</f>
        <v>0.10938498402555918</v>
      </c>
      <c r="AF907" s="7">
        <v>5.3</v>
      </c>
      <c r="AG907" s="5"/>
    </row>
    <row r="908" spans="1:33" ht="12.75">
      <c r="A908" s="6">
        <v>44713</v>
      </c>
      <c r="B908" s="7">
        <v>294.72800000000001</v>
      </c>
      <c r="C908" s="8">
        <f>IF(Tabela1[[#This Row],[Consumer Price Index (CPI)]]="",#N/A,((Tabela1[[#This Row],[Consumer Price Index (CPI)]]*1)/B907)-1)</f>
        <v>1.1879094167570825E-2</v>
      </c>
      <c r="D908" s="8">
        <f>IF(Tabela1[[#This Row],[Consumer Price Index (CPI)]]="",#N/A,((Tabela1[[#This Row],[Consumer Price Index (CPI)]]*1)/B896)-1)</f>
        <v>8.9329868901052878E-2</v>
      </c>
      <c r="E908" s="25">
        <v>294.017</v>
      </c>
      <c r="F908" s="8">
        <f>IF(Tabela1[[#This Row],[Core Consumer Price Index]]="",#N/A,((Tabela1[[#This Row],[Core Consumer Price Index]]*1)/E907)-1)</f>
        <v>6.0427509230081E-3</v>
      </c>
      <c r="G908" s="8">
        <f>IF(Tabela1[[#This Row],[Core Consumer Price Index]]="",#N/A,((Tabela1[[#This Row],[Core Consumer Price Index]]*1)/E896)-1)</f>
        <v>5.8849162333078908E-2</v>
      </c>
      <c r="H908" s="8">
        <f t="shared" si="50"/>
        <v>6.840414549705276E-2</v>
      </c>
      <c r="I908" s="8">
        <f t="shared" si="51"/>
        <v>6.1104759351284343E-2</v>
      </c>
      <c r="J908" s="25">
        <v>362.25099999999998</v>
      </c>
      <c r="K908" s="8">
        <f>IF(Tabela1[[#This Row],[Services CPI]]="",#N/A,((Tabela1[[#This Row],[Services CPI]]*1)/J907)-1)</f>
        <v>7.8485379628856489E-3</v>
      </c>
      <c r="L908" s="8">
        <f>IF(Tabela1[[#This Row],[Services CPI]]="",#N/A,((Tabela1[[#This Row],[Services CPI]]*1)/J896)-1)</f>
        <v>6.2167019988330185E-2</v>
      </c>
      <c r="M908" s="7">
        <v>373.04300000000001</v>
      </c>
      <c r="N908" s="8">
        <f>IF(Tabela1[[#This Row],[Core-Services CPI]]="",#N/A,((Tabela1[[#This Row],[Core-Services CPI]]*1)/M907)-1)</f>
        <v>6.4209268257149343E-3</v>
      </c>
      <c r="O908" s="8">
        <f>IF(Tabela1[[#This Row],[Core-Services CPI]]="",#N/A,((Tabela1[[#This Row],[Core-Services CPI]]*1)/M896)-1)</f>
        <v>5.4803894124599628E-2</v>
      </c>
      <c r="P908" s="7">
        <v>128.482</v>
      </c>
      <c r="Q908" s="8">
        <f>IF(Tabela1[[#This Row],[Durable Goods CPI]]="",#N/A,((Tabela1[[#This Row],[Durable Goods CPI]]*1)/P907)-1)</f>
        <v>4.6761127271590652E-3</v>
      </c>
      <c r="R908" s="8">
        <f>IF(Tabela1[[#This Row],[Durable Goods CPI]]="",#N/A,((Tabela1[[#This Row],[Durable Goods CPI]]*1)/P896)-1)</f>
        <v>8.3577910467901306E-2</v>
      </c>
      <c r="S908" s="7">
        <v>4.7218030000000004</v>
      </c>
      <c r="T908" s="7">
        <v>116.495</v>
      </c>
      <c r="U908" s="8">
        <f>IF(Tabela1[[#This Row],[Personal Consumption Expenditures (PCE)]]="",#N/A,((Tabela1[[#This Row],[Personal Consumption Expenditures (PCE)]]*1)/T907)-1)</f>
        <v>9.0864993156973828E-3</v>
      </c>
      <c r="V908" s="8">
        <f>IF(Tabela1[[#This Row],[Personal Consumption Expenditures (PCE)]]="",#N/A,((Tabela1[[#This Row],[Personal Consumption Expenditures (PCE)]]*1)/T896)-1)</f>
        <v>7.116914164865995E-2</v>
      </c>
      <c r="W908" s="7">
        <v>114.297</v>
      </c>
      <c r="X908" s="8">
        <f>IF(Tabela1[[#This Row],[Core PCE]]="",#N/A,((Tabela1[[#This Row],[Core PCE]]*1)/W907)-1)</f>
        <v>5.6398254381642143E-3</v>
      </c>
      <c r="Y908" s="8">
        <f>IF(Tabela1[[#This Row],[Core PCE]]="",#N/A,((Tabela1[[#This Row],[Core PCE]]*1)/W896)-1)</f>
        <v>5.1925820256776056E-2</v>
      </c>
      <c r="Z908" s="8">
        <f t="shared" si="49"/>
        <v>5.0010549157047279E-2</v>
      </c>
      <c r="AA908" s="8">
        <f t="shared" si="48"/>
        <v>5.0630446774830862E-2</v>
      </c>
      <c r="AB908" s="7">
        <v>4.63</v>
      </c>
      <c r="AC908" s="7">
        <v>140.15600000000001</v>
      </c>
      <c r="AD908" s="8">
        <f>IF(Tabela1[[#This Row],[Producer Price Index (PPI)]]="",#N/A,((Tabela1[[#This Row],[Producer Price Index (PPI)]]*1)/AC907)-1)</f>
        <v>9.0788005327764321E-3</v>
      </c>
      <c r="AE908" s="8">
        <f>IF(Tabela1[[#This Row],[Producer Price Index (PPI)]]="",#N/A,((Tabela1[[#This Row],[Producer Price Index (PPI)]]*1)/AC896)-1)</f>
        <v>0.11058637083993661</v>
      </c>
      <c r="AF908" s="7">
        <v>5.3</v>
      </c>
      <c r="AG908" s="5"/>
    </row>
    <row r="909" spans="1:33" ht="12.75">
      <c r="A909" s="6">
        <v>44743</v>
      </c>
      <c r="B909" s="7">
        <v>294.62799999999999</v>
      </c>
      <c r="C909" s="8">
        <f>IF(Tabela1[[#This Row],[Consumer Price Index (CPI)]]="",#N/A,((Tabela1[[#This Row],[Consumer Price Index (CPI)]]*1)/B908)-1)</f>
        <v>-3.3929589316261666E-4</v>
      </c>
      <c r="D909" s="8">
        <f>IF(Tabela1[[#This Row],[Consumer Price Index (CPI)]]="",#N/A,((Tabela1[[#This Row],[Consumer Price Index (CPI)]]*1)/B897)-1)</f>
        <v>8.4131820255810119E-2</v>
      </c>
      <c r="E909" s="25">
        <v>294.92500000000001</v>
      </c>
      <c r="F909" s="8">
        <f>IF(Tabela1[[#This Row],[Core Consumer Price Index]]="",#N/A,((Tabela1[[#This Row],[Core Consumer Price Index]]*1)/E908)-1)</f>
        <v>3.0882568014776179E-3</v>
      </c>
      <c r="G909" s="8">
        <f>IF(Tabela1[[#This Row],[Core Consumer Price Index]]="",#N/A,((Tabela1[[#This Row],[Core Consumer Price Index]]*1)/E897)-1)</f>
        <v>5.8893013837327146E-2</v>
      </c>
      <c r="H909" s="8">
        <f t="shared" si="50"/>
        <v>6.1881284436043238E-2</v>
      </c>
      <c r="I909" s="8">
        <f t="shared" si="51"/>
        <v>5.6067813998374572E-2</v>
      </c>
      <c r="J909" s="25">
        <v>363.56900000000002</v>
      </c>
      <c r="K909" s="8">
        <f>IF(Tabela1[[#This Row],[Services CPI]]="",#N/A,((Tabela1[[#This Row],[Services CPI]]*1)/J908)-1)</f>
        <v>3.6383612467598692E-3</v>
      </c>
      <c r="L909" s="8">
        <f>IF(Tabela1[[#This Row],[Services CPI]]="",#N/A,((Tabela1[[#This Row],[Services CPI]]*1)/J897)-1)</f>
        <v>6.2613621085735316E-2</v>
      </c>
      <c r="M909" s="7">
        <v>374.47800000000001</v>
      </c>
      <c r="N909" s="8">
        <f>IF(Tabela1[[#This Row],[Core-Services CPI]]="",#N/A,((Tabela1[[#This Row],[Core-Services CPI]]*1)/M908)-1)</f>
        <v>3.8467415284564321E-3</v>
      </c>
      <c r="O909" s="8">
        <f>IF(Tabela1[[#This Row],[Core-Services CPI]]="",#N/A,((Tabela1[[#This Row],[Core-Services CPI]]*1)/M897)-1)</f>
        <v>5.5643726796320792E-2</v>
      </c>
      <c r="P909" s="7">
        <v>128.90600000000001</v>
      </c>
      <c r="Q909" s="8">
        <f>IF(Tabela1[[#This Row],[Durable Goods CPI]]="",#N/A,((Tabela1[[#This Row],[Durable Goods CPI]]*1)/P908)-1)</f>
        <v>3.3000731619994284E-3</v>
      </c>
      <c r="R909" s="8">
        <f>IF(Tabela1[[#This Row],[Durable Goods CPI]]="",#N/A,((Tabela1[[#This Row],[Durable Goods CPI]]*1)/P897)-1)</f>
        <v>7.8955077716304167E-2</v>
      </c>
      <c r="S909" s="7">
        <v>4.985582</v>
      </c>
      <c r="T909" s="7">
        <v>116.511</v>
      </c>
      <c r="U909" s="8">
        <f>IF(Tabela1[[#This Row],[Personal Consumption Expenditures (PCE)]]="",#N/A,((Tabela1[[#This Row],[Personal Consumption Expenditures (PCE)]]*1)/T908)-1)</f>
        <v>1.3734495042694306E-4</v>
      </c>
      <c r="V909" s="8">
        <f>IF(Tabela1[[#This Row],[Personal Consumption Expenditures (PCE)]]="",#N/A,((Tabela1[[#This Row],[Personal Consumption Expenditures (PCE)]]*1)/T897)-1)</f>
        <v>6.6169472913616412E-2</v>
      </c>
      <c r="W909" s="7">
        <v>114.53400000000001</v>
      </c>
      <c r="X909" s="8">
        <f>IF(Tabela1[[#This Row],[Core PCE]]="",#N/A,((Tabela1[[#This Row],[Core PCE]]*1)/W908)-1)</f>
        <v>2.0735452374078811E-3</v>
      </c>
      <c r="Y909" s="8">
        <f>IF(Tabela1[[#This Row],[Core PCE]]="",#N/A,((Tabela1[[#This Row],[Core PCE]]*1)/W897)-1)</f>
        <v>4.9615102639296138E-2</v>
      </c>
      <c r="Z909" s="8">
        <f t="shared" si="49"/>
        <v>4.5264333225034648E-2</v>
      </c>
      <c r="AA909" s="8">
        <f t="shared" si="48"/>
        <v>4.5320042139907368E-2</v>
      </c>
      <c r="AB909" s="7">
        <v>4.72</v>
      </c>
      <c r="AC909" s="7">
        <v>139.761</v>
      </c>
      <c r="AD909" s="8">
        <f>IF(Tabela1[[#This Row],[Producer Price Index (PPI)]]="",#N/A,((Tabela1[[#This Row],[Producer Price Index (PPI)]]*1)/AC908)-1)</f>
        <v>-2.8182881931562154E-3</v>
      </c>
      <c r="AE909" s="8">
        <f>IF(Tabela1[[#This Row],[Producer Price Index (PPI)]]="",#N/A,((Tabela1[[#This Row],[Producer Price Index (PPI)]]*1)/AC897)-1)</f>
        <v>9.6568931292319471E-2</v>
      </c>
      <c r="AF909" s="7">
        <v>5.2</v>
      </c>
      <c r="AG909" s="5"/>
    </row>
    <row r="910" spans="1:33" ht="12.75">
      <c r="A910" s="6">
        <v>44774</v>
      </c>
      <c r="B910" s="7">
        <v>295.32</v>
      </c>
      <c r="C910" s="8">
        <f>IF(Tabela1[[#This Row],[Consumer Price Index (CPI)]]="",#N/A,((Tabela1[[#This Row],[Consumer Price Index (CPI)]]*1)/B909)-1)</f>
        <v>2.348724493259402E-3</v>
      </c>
      <c r="D910" s="8">
        <f>IF(Tabela1[[#This Row],[Consumer Price Index (CPI)]]="",#N/A,((Tabela1[[#This Row],[Consumer Price Index (CPI)]]*1)/B898)-1)</f>
        <v>8.2273610144024678E-2</v>
      </c>
      <c r="E910" s="25">
        <v>296.63900000000001</v>
      </c>
      <c r="F910" s="8">
        <f>IF(Tabela1[[#This Row],[Core Consumer Price Index]]="",#N/A,((Tabela1[[#This Row],[Core Consumer Price Index]]*1)/E909)-1)</f>
        <v>5.8116470289055755E-3</v>
      </c>
      <c r="G910" s="8">
        <f>IF(Tabela1[[#This Row],[Core Consumer Price Index]]="",#N/A,((Tabela1[[#This Row],[Core Consumer Price Index]]*1)/E898)-1)</f>
        <v>6.3005049147665249E-2</v>
      </c>
      <c r="H910" s="8">
        <f t="shared" si="50"/>
        <v>5.9770619013565174E-2</v>
      </c>
      <c r="I910" s="8">
        <f t="shared" si="51"/>
        <v>5.8241751030885247E-2</v>
      </c>
      <c r="J910" s="25">
        <v>366.03</v>
      </c>
      <c r="K910" s="8">
        <f>IF(Tabela1[[#This Row],[Services CPI]]="",#N/A,((Tabela1[[#This Row],[Services CPI]]*1)/J909)-1)</f>
        <v>6.7690039579830774E-3</v>
      </c>
      <c r="L910" s="8">
        <f>IF(Tabela1[[#This Row],[Services CPI]]="",#N/A,((Tabela1[[#This Row],[Services CPI]]*1)/J898)-1)</f>
        <v>6.8095735554167813E-2</v>
      </c>
      <c r="M910" s="7">
        <v>376.75099999999998</v>
      </c>
      <c r="N910" s="8">
        <f>IF(Tabela1[[#This Row],[Core-Services CPI]]="",#N/A,((Tabela1[[#This Row],[Core-Services CPI]]*1)/M909)-1)</f>
        <v>6.0697824705322478E-3</v>
      </c>
      <c r="O910" s="8">
        <f>IF(Tabela1[[#This Row],[Core-Services CPI]]="",#N/A,((Tabela1[[#This Row],[Core-Services CPI]]*1)/M898)-1)</f>
        <v>6.0798292590903191E-2</v>
      </c>
      <c r="P910" s="7">
        <v>129.29400000000001</v>
      </c>
      <c r="Q910" s="8">
        <f>IF(Tabela1[[#This Row],[Durable Goods CPI]]="",#N/A,((Tabela1[[#This Row],[Durable Goods CPI]]*1)/P909)-1)</f>
        <v>3.0099452314089614E-3</v>
      </c>
      <c r="R910" s="8">
        <f>IF(Tabela1[[#This Row],[Durable Goods CPI]]="",#N/A,((Tabela1[[#This Row],[Durable Goods CPI]]*1)/P898)-1)</f>
        <v>7.7926084020442321E-2</v>
      </c>
      <c r="S910" s="7">
        <v>5.4223369999999997</v>
      </c>
      <c r="T910" s="7">
        <v>116.89</v>
      </c>
      <c r="U910" s="8">
        <f>IF(Tabela1[[#This Row],[Personal Consumption Expenditures (PCE)]]="",#N/A,((Tabela1[[#This Row],[Personal Consumption Expenditures (PCE)]]*1)/T909)-1)</f>
        <v>3.252911742239073E-3</v>
      </c>
      <c r="V910" s="8">
        <f>IF(Tabela1[[#This Row],[Personal Consumption Expenditures (PCE)]]="",#N/A,((Tabela1[[#This Row],[Personal Consumption Expenditures (PCE)]]*1)/T898)-1)</f>
        <v>6.5154000364497922E-2</v>
      </c>
      <c r="W910" s="7">
        <v>115.158</v>
      </c>
      <c r="X910" s="8">
        <f>IF(Tabela1[[#This Row],[Core PCE]]="",#N/A,((Tabela1[[#This Row],[Core PCE]]*1)/W909)-1)</f>
        <v>5.4481638640053731E-3</v>
      </c>
      <c r="Y910" s="8">
        <f>IF(Tabela1[[#This Row],[Core PCE]]="",#N/A,((Tabela1[[#This Row],[Core PCE]]*1)/W898)-1)</f>
        <v>5.207476840431946E-2</v>
      </c>
      <c r="Z910" s="8">
        <f t="shared" si="49"/>
        <v>5.2646138158309874E-2</v>
      </c>
      <c r="AA910" s="8">
        <f t="shared" si="48"/>
        <v>4.7946519100322327E-2</v>
      </c>
      <c r="AB910" s="7">
        <v>4.95</v>
      </c>
      <c r="AC910" s="7">
        <v>139.78899999999999</v>
      </c>
      <c r="AD910" s="8">
        <f>IF(Tabela1[[#This Row],[Producer Price Index (PPI)]]="",#N/A,((Tabela1[[#This Row],[Producer Price Index (PPI)]]*1)/AC909)-1)</f>
        <v>2.0034201243546157E-4</v>
      </c>
      <c r="AE910" s="8">
        <f>IF(Tabela1[[#This Row],[Producer Price Index (PPI)]]="",#N/A,((Tabela1[[#This Row],[Producer Price Index (PPI)]]*1)/AC898)-1)</f>
        <v>8.6921701267397289E-2</v>
      </c>
      <c r="AF910" s="7">
        <v>4.8</v>
      </c>
      <c r="AG910" s="5"/>
    </row>
    <row r="911" spans="1:33" ht="12.75">
      <c r="A911" s="6">
        <v>44805</v>
      </c>
      <c r="B911" s="7">
        <v>296.53899999999999</v>
      </c>
      <c r="C911" s="8">
        <f>IF(Tabela1[[#This Row],[Consumer Price Index (CPI)]]="",#N/A,((Tabela1[[#This Row],[Consumer Price Index (CPI)]]*1)/B910)-1)</f>
        <v>4.1277258566978503E-3</v>
      </c>
      <c r="D911" s="8">
        <f>IF(Tabela1[[#This Row],[Consumer Price Index (CPI)]]="",#N/A,((Tabela1[[#This Row],[Consumer Price Index (CPI)]]*1)/B899)-1)</f>
        <v>8.2148539565299661E-2</v>
      </c>
      <c r="E911" s="25">
        <v>298.339</v>
      </c>
      <c r="F911" s="8">
        <f>IF(Tabela1[[#This Row],[Core Consumer Price Index]]="",#N/A,((Tabela1[[#This Row],[Core Consumer Price Index]]*1)/E910)-1)</f>
        <v>5.7308715307158309E-3</v>
      </c>
      <c r="G911" s="8">
        <f>IF(Tabela1[[#This Row],[Core Consumer Price Index]]="",#N/A,((Tabela1[[#This Row],[Core Consumer Price Index]]*1)/E899)-1)</f>
        <v>6.6429554431556292E-2</v>
      </c>
      <c r="H911" s="8">
        <f t="shared" si="50"/>
        <v>5.8523101444396097E-2</v>
      </c>
      <c r="I911" s="8">
        <f t="shared" si="51"/>
        <v>6.3463623470724428E-2</v>
      </c>
      <c r="J911" s="25">
        <v>368.928</v>
      </c>
      <c r="K911" s="8">
        <f>IF(Tabela1[[#This Row],[Services CPI]]="",#N/A,((Tabela1[[#This Row],[Services CPI]]*1)/J910)-1)</f>
        <v>7.9173838209982694E-3</v>
      </c>
      <c r="L911" s="8">
        <f>IF(Tabela1[[#This Row],[Services CPI]]="",#N/A,((Tabela1[[#This Row],[Services CPI]]*1)/J899)-1)</f>
        <v>7.3651126244106857E-2</v>
      </c>
      <c r="M911" s="7">
        <v>379.642</v>
      </c>
      <c r="N911" s="8">
        <f>IF(Tabela1[[#This Row],[Core-Services CPI]]="",#N/A,((Tabela1[[#This Row],[Core-Services CPI]]*1)/M910)-1)</f>
        <v>7.6735031891090877E-3</v>
      </c>
      <c r="O911" s="8">
        <f>IF(Tabela1[[#This Row],[Core-Services CPI]]="",#N/A,((Tabela1[[#This Row],[Core-Services CPI]]*1)/M899)-1)</f>
        <v>6.663182796423972E-2</v>
      </c>
      <c r="P911" s="7">
        <v>129.13900000000001</v>
      </c>
      <c r="Q911" s="8">
        <f>IF(Tabela1[[#This Row],[Durable Goods CPI]]="",#N/A,((Tabela1[[#This Row],[Durable Goods CPI]]*1)/P910)-1)</f>
        <v>-1.1988181972868439E-3</v>
      </c>
      <c r="R911" s="8">
        <f>IF(Tabela1[[#This Row],[Durable Goods CPI]]="",#N/A,((Tabela1[[#This Row],[Durable Goods CPI]]*1)/P899)-1)</f>
        <v>7.1381756336333924E-2</v>
      </c>
      <c r="S911" s="7">
        <v>5.6253289999999998</v>
      </c>
      <c r="T911" s="7">
        <v>117.31399999999999</v>
      </c>
      <c r="U911" s="8">
        <f>IF(Tabela1[[#This Row],[Personal Consumption Expenditures (PCE)]]="",#N/A,((Tabela1[[#This Row],[Personal Consumption Expenditures (PCE)]]*1)/T910)-1)</f>
        <v>3.6273419454186939E-3</v>
      </c>
      <c r="V911" s="8">
        <f>IF(Tabela1[[#This Row],[Personal Consumption Expenditures (PCE)]]="",#N/A,((Tabela1[[#This Row],[Personal Consumption Expenditures (PCE)]]*1)/T899)-1)</f>
        <v>6.556096497602093E-2</v>
      </c>
      <c r="W911" s="7">
        <v>115.68600000000001</v>
      </c>
      <c r="X911" s="8">
        <f>IF(Tabela1[[#This Row],[Core PCE]]="",#N/A,((Tabela1[[#This Row],[Core PCE]]*1)/W910)-1)</f>
        <v>4.5850049497213607E-3</v>
      </c>
      <c r="Y911" s="8">
        <f>IF(Tabela1[[#This Row],[Core PCE]]="",#N/A,((Tabela1[[#This Row],[Core PCE]]*1)/W899)-1)</f>
        <v>5.4720834396995155E-2</v>
      </c>
      <c r="Z911" s="8">
        <f t="shared" si="49"/>
        <v>4.842685620453846E-2</v>
      </c>
      <c r="AA911" s="8">
        <f t="shared" si="48"/>
        <v>4.921870268079287E-2</v>
      </c>
      <c r="AB911" s="7">
        <v>4.9800000000000004</v>
      </c>
      <c r="AC911" s="7">
        <v>140.191</v>
      </c>
      <c r="AD911" s="8">
        <f>IF(Tabela1[[#This Row],[Producer Price Index (PPI)]]="",#N/A,((Tabela1[[#This Row],[Producer Price Index (PPI)]]*1)/AC910)-1)</f>
        <v>2.8757627567264077E-3</v>
      </c>
      <c r="AE911" s="8">
        <f>IF(Tabela1[[#This Row],[Producer Price Index (PPI)]]="",#N/A,((Tabela1[[#This Row],[Producer Price Index (PPI)]]*1)/AC899)-1)</f>
        <v>8.4985682222738168E-2</v>
      </c>
      <c r="AF911" s="7">
        <v>4.7</v>
      </c>
      <c r="AG911" s="5"/>
    </row>
    <row r="912" spans="1:33" ht="12.75">
      <c r="A912" s="6">
        <v>44835</v>
      </c>
      <c r="B912" s="7">
        <v>297.98700000000002</v>
      </c>
      <c r="C912" s="8">
        <f>IF(Tabela1[[#This Row],[Consumer Price Index (CPI)]]="",#N/A,((Tabela1[[#This Row],[Consumer Price Index (CPI)]]*1)/B911)-1)</f>
        <v>4.8830002124511385E-3</v>
      </c>
      <c r="D912" s="8">
        <f>IF(Tabela1[[#This Row],[Consumer Price Index (CPI)]]="",#N/A,((Tabela1[[#This Row],[Consumer Price Index (CPI)]]*1)/B900)-1)</f>
        <v>7.7624926768937064E-2</v>
      </c>
      <c r="E912" s="25">
        <v>299.33300000000003</v>
      </c>
      <c r="F912" s="8">
        <f>IF(Tabela1[[#This Row],[Core Consumer Price Index]]="",#N/A,((Tabela1[[#This Row],[Core Consumer Price Index]]*1)/E911)-1)</f>
        <v>3.3317802902068649E-3</v>
      </c>
      <c r="G912" s="8">
        <f>IF(Tabela1[[#This Row],[Core Consumer Price Index]]="",#N/A,((Tabela1[[#This Row],[Core Consumer Price Index]]*1)/E900)-1)</f>
        <v>6.3017600181825895E-2</v>
      </c>
      <c r="H912" s="8">
        <f t="shared" si="50"/>
        <v>5.9497195399313085E-2</v>
      </c>
      <c r="I912" s="8">
        <f t="shared" si="51"/>
        <v>6.0689239917678162E-2</v>
      </c>
      <c r="J912" s="25">
        <v>370.529</v>
      </c>
      <c r="K912" s="8">
        <f>IF(Tabela1[[#This Row],[Services CPI]]="",#N/A,((Tabela1[[#This Row],[Services CPI]]*1)/J911)-1)</f>
        <v>4.3396001387805416E-3</v>
      </c>
      <c r="L912" s="8">
        <f>IF(Tabela1[[#This Row],[Services CPI]]="",#N/A,((Tabela1[[#This Row],[Services CPI]]*1)/J900)-1)</f>
        <v>7.2374552126926783E-2</v>
      </c>
      <c r="M912" s="7">
        <v>381.56099999999998</v>
      </c>
      <c r="N912" s="8">
        <f>IF(Tabela1[[#This Row],[Core-Services CPI]]="",#N/A,((Tabela1[[#This Row],[Core-Services CPI]]*1)/M911)-1)</f>
        <v>5.0547621179952706E-3</v>
      </c>
      <c r="O912" s="8">
        <f>IF(Tabela1[[#This Row],[Core-Services CPI]]="",#N/A,((Tabela1[[#This Row],[Core-Services CPI]]*1)/M900)-1)</f>
        <v>6.7467722306928213E-2</v>
      </c>
      <c r="P912" s="7">
        <v>128.31200000000001</v>
      </c>
      <c r="Q912" s="8">
        <f>IF(Tabela1[[#This Row],[Durable Goods CPI]]="",#N/A,((Tabela1[[#This Row],[Durable Goods CPI]]*1)/P911)-1)</f>
        <v>-6.4039523304346702E-3</v>
      </c>
      <c r="R912" s="8">
        <f>IF(Tabela1[[#This Row],[Durable Goods CPI]]="",#N/A,((Tabela1[[#This Row],[Durable Goods CPI]]*1)/P900)-1)</f>
        <v>4.7308106696268393E-2</v>
      </c>
      <c r="S912" s="7">
        <v>5.9917049999999996</v>
      </c>
      <c r="T912" s="7">
        <v>117.842</v>
      </c>
      <c r="U912" s="8">
        <f>IF(Tabela1[[#This Row],[Personal Consumption Expenditures (PCE)]]="",#N/A,((Tabela1[[#This Row],[Personal Consumption Expenditures (PCE)]]*1)/T911)-1)</f>
        <v>4.5007415994682276E-3</v>
      </c>
      <c r="V912" s="8">
        <f>IF(Tabela1[[#This Row],[Personal Consumption Expenditures (PCE)]]="",#N/A,((Tabela1[[#This Row],[Personal Consumption Expenditures (PCE)]]*1)/T900)-1)</f>
        <v>6.3479171178976168E-2</v>
      </c>
      <c r="W912" s="7">
        <v>116.087</v>
      </c>
      <c r="X912" s="8">
        <f>IF(Tabela1[[#This Row],[Core PCE]]="",#N/A,((Tabela1[[#This Row],[Core PCE]]*1)/W911)-1)</f>
        <v>3.4662794115103424E-3</v>
      </c>
      <c r="Y912" s="8">
        <f>IF(Tabela1[[#This Row],[Core PCE]]="",#N/A,((Tabela1[[#This Row],[Core PCE]]*1)/W900)-1)</f>
        <v>5.3258571726684689E-2</v>
      </c>
      <c r="Z912" s="8">
        <f t="shared" si="49"/>
        <v>5.3997792900948305E-2</v>
      </c>
      <c r="AA912" s="8">
        <f t="shared" si="48"/>
        <v>4.9631063062991476E-2</v>
      </c>
      <c r="AB912" s="7">
        <v>4.9800000000000004</v>
      </c>
      <c r="AC912" s="7">
        <v>140.63999999999999</v>
      </c>
      <c r="AD912" s="8">
        <f>IF(Tabela1[[#This Row],[Producer Price Index (PPI)]]="",#N/A,((Tabela1[[#This Row],[Producer Price Index (PPI)]]*1)/AC911)-1)</f>
        <v>3.2027733592026042E-3</v>
      </c>
      <c r="AE912" s="8">
        <f>IF(Tabela1[[#This Row],[Producer Price Index (PPI)]]="",#N/A,((Tabela1[[#This Row],[Producer Price Index (PPI)]]*1)/AC900)-1)</f>
        <v>8.1621509378821289E-2</v>
      </c>
      <c r="AF912" s="7">
        <v>5</v>
      </c>
      <c r="AG912" s="5"/>
    </row>
    <row r="913" spans="1:33" ht="12.75">
      <c r="A913" s="6">
        <v>44866</v>
      </c>
      <c r="B913" s="7">
        <v>298.59800000000001</v>
      </c>
      <c r="C913" s="8">
        <f>IF(Tabela1[[#This Row],[Consumer Price Index (CPI)]]="",#N/A,((Tabela1[[#This Row],[Consumer Price Index (CPI)]]*1)/B912)-1)</f>
        <v>2.0504250185411355E-3</v>
      </c>
      <c r="D913" s="8">
        <f>IF(Tabela1[[#This Row],[Consumer Price Index (CPI)]]="",#N/A,((Tabela1[[#This Row],[Consumer Price Index (CPI)]]*1)/B901)-1)</f>
        <v>7.135348084575055E-2</v>
      </c>
      <c r="E913" s="25">
        <v>300.26100000000002</v>
      </c>
      <c r="F913" s="8">
        <f>IF(Tabela1[[#This Row],[Core Consumer Price Index]]="",#N/A,((Tabela1[[#This Row],[Core Consumer Price Index]]*1)/E912)-1)</f>
        <v>3.1002261695167732E-3</v>
      </c>
      <c r="G913" s="8">
        <f>IF(Tabela1[[#This Row],[Core Consumer Price Index]]="",#N/A,((Tabela1[[#This Row],[Core Consumer Price Index]]*1)/E901)-1)</f>
        <v>5.9719771299499014E-2</v>
      </c>
      <c r="H913" s="8">
        <f t="shared" si="50"/>
        <v>4.8651511961757876E-2</v>
      </c>
      <c r="I913" s="8">
        <f t="shared" si="51"/>
        <v>5.4211065487661525E-2</v>
      </c>
      <c r="J913" s="25">
        <v>372.12099999999998</v>
      </c>
      <c r="K913" s="8">
        <f>IF(Tabela1[[#This Row],[Services CPI]]="",#N/A,((Tabela1[[#This Row],[Services CPI]]*1)/J912)-1)</f>
        <v>4.2965597834447866E-3</v>
      </c>
      <c r="L913" s="8">
        <f>IF(Tabela1[[#This Row],[Services CPI]]="",#N/A,((Tabela1[[#This Row],[Services CPI]]*1)/J901)-1)</f>
        <v>7.223722161872459E-2</v>
      </c>
      <c r="M913" s="7">
        <v>383.44</v>
      </c>
      <c r="N913" s="8">
        <f>IF(Tabela1[[#This Row],[Core-Services CPI]]="",#N/A,((Tabela1[[#This Row],[Core-Services CPI]]*1)/M912)-1)</f>
        <v>4.9245074837314107E-3</v>
      </c>
      <c r="O913" s="8">
        <f>IF(Tabela1[[#This Row],[Core-Services CPI]]="",#N/A,((Tabela1[[#This Row],[Core-Services CPI]]*1)/M901)-1)</f>
        <v>6.8113697393784811E-2</v>
      </c>
      <c r="P913" s="7">
        <v>127.22799999999999</v>
      </c>
      <c r="Q913" s="8">
        <f>IF(Tabela1[[#This Row],[Durable Goods CPI]]="",#N/A,((Tabela1[[#This Row],[Durable Goods CPI]]*1)/P912)-1)</f>
        <v>-8.4481576158116356E-3</v>
      </c>
      <c r="R913" s="8">
        <f>IF(Tabela1[[#This Row],[Durable Goods CPI]]="",#N/A,((Tabela1[[#This Row],[Durable Goods CPI]]*1)/P901)-1)</f>
        <v>2.336655325241499E-2</v>
      </c>
      <c r="S913" s="7">
        <v>6.3927949999999996</v>
      </c>
      <c r="T913" s="7">
        <v>118.104</v>
      </c>
      <c r="U913" s="8">
        <f>IF(Tabela1[[#This Row],[Personal Consumption Expenditures (PCE)]]="",#N/A,((Tabela1[[#This Row],[Personal Consumption Expenditures (PCE)]]*1)/T912)-1)</f>
        <v>2.2233159654452272E-3</v>
      </c>
      <c r="V913" s="8">
        <f>IF(Tabela1[[#This Row],[Personal Consumption Expenditures (PCE)]]="",#N/A,((Tabela1[[#This Row],[Personal Consumption Expenditures (PCE)]]*1)/T901)-1)</f>
        <v>5.928570147272505E-2</v>
      </c>
      <c r="W913" s="7">
        <v>116.417</v>
      </c>
      <c r="X913" s="8">
        <f>IF(Tabela1[[#This Row],[Core PCE]]="",#N/A,((Tabela1[[#This Row],[Core PCE]]*1)/W912)-1)</f>
        <v>2.8426955645335372E-3</v>
      </c>
      <c r="Y913" s="8">
        <f>IF(Tabela1[[#This Row],[Core PCE]]="",#N/A,((Tabela1[[#This Row],[Core PCE]]*1)/W901)-1)</f>
        <v>5.0903609019841367E-2</v>
      </c>
      <c r="Z913" s="8">
        <f t="shared" si="49"/>
        <v>4.3575919703060961E-2</v>
      </c>
      <c r="AA913" s="8">
        <f t="shared" si="48"/>
        <v>4.8111028930685418E-2</v>
      </c>
      <c r="AB913" s="7">
        <v>4.92</v>
      </c>
      <c r="AC913" s="7">
        <v>141.17500000000001</v>
      </c>
      <c r="AD913" s="8">
        <f>IF(Tabela1[[#This Row],[Producer Price Index (PPI)]]="",#N/A,((Tabela1[[#This Row],[Producer Price Index (PPI)]]*1)/AC912)-1)</f>
        <v>3.8040386803186443E-3</v>
      </c>
      <c r="AE913" s="8">
        <f>IF(Tabela1[[#This Row],[Producer Price Index (PPI)]]="",#N/A,((Tabela1[[#This Row],[Producer Price Index (PPI)]]*1)/AC901)-1)</f>
        <v>7.3966162553631865E-2</v>
      </c>
      <c r="AF913" s="7">
        <v>5</v>
      </c>
      <c r="AG913" s="5"/>
    </row>
    <row r="914" spans="1:33" ht="12.75">
      <c r="A914" s="6">
        <v>44896</v>
      </c>
      <c r="B914" s="7">
        <v>298.99</v>
      </c>
      <c r="C914" s="8">
        <f>IF(Tabela1[[#This Row],[Consumer Price Index (CPI)]]="",#N/A,((Tabela1[[#This Row],[Consumer Price Index (CPI)]]*1)/B913)-1)</f>
        <v>1.3128018272057229E-3</v>
      </c>
      <c r="D914" s="8">
        <f>IF(Tabela1[[#This Row],[Consumer Price Index (CPI)]]="",#N/A,((Tabela1[[#This Row],[Consumer Price Index (CPI)]]*1)/B902)-1)</f>
        <v>6.444940492084017E-2</v>
      </c>
      <c r="E914" s="25">
        <v>301.45999999999998</v>
      </c>
      <c r="F914" s="8">
        <f>IF(Tabela1[[#This Row],[Core Consumer Price Index]]="",#N/A,((Tabela1[[#This Row],[Core Consumer Price Index]]*1)/E913)-1)</f>
        <v>3.9931925891139031E-3</v>
      </c>
      <c r="G914" s="8">
        <f>IF(Tabela1[[#This Row],[Core Consumer Price Index]]="",#N/A,((Tabela1[[#This Row],[Core Consumer Price Index]]*1)/E902)-1)</f>
        <v>5.7038566865245555E-2</v>
      </c>
      <c r="H914" s="8">
        <f t="shared" si="50"/>
        <v>4.1700796195350165E-2</v>
      </c>
      <c r="I914" s="8">
        <f t="shared" si="51"/>
        <v>5.0111948819873131E-2</v>
      </c>
      <c r="J914" s="25">
        <v>374.673</v>
      </c>
      <c r="K914" s="8">
        <f>IF(Tabela1[[#This Row],[Services CPI]]="",#N/A,((Tabela1[[#This Row],[Services CPI]]*1)/J913)-1)</f>
        <v>6.8579843653004957E-3</v>
      </c>
      <c r="L914" s="8">
        <f>IF(Tabela1[[#This Row],[Services CPI]]="",#N/A,((Tabela1[[#This Row],[Services CPI]]*1)/J902)-1)</f>
        <v>7.5104950085939981E-2</v>
      </c>
      <c r="M914" s="7">
        <v>385.77699999999999</v>
      </c>
      <c r="N914" s="8">
        <f>IF(Tabela1[[#This Row],[Core-Services CPI]]="",#N/A,((Tabela1[[#This Row],[Core-Services CPI]]*1)/M913)-1)</f>
        <v>6.0948257876070056E-3</v>
      </c>
      <c r="O914" s="8">
        <f>IF(Tabela1[[#This Row],[Core-Services CPI]]="",#N/A,((Tabela1[[#This Row],[Core-Services CPI]]*1)/M902)-1)</f>
        <v>7.0339182909065601E-2</v>
      </c>
      <c r="P914" s="7">
        <v>126.148</v>
      </c>
      <c r="Q914" s="8">
        <f>IF(Tabela1[[#This Row],[Durable Goods CPI]]="",#N/A,((Tabela1[[#This Row],[Durable Goods CPI]]*1)/P913)-1)</f>
        <v>-8.4886974565346884E-3</v>
      </c>
      <c r="R914" s="8">
        <f>IF(Tabela1[[#This Row],[Durable Goods CPI]]="",#N/A,((Tabela1[[#This Row],[Durable Goods CPI]]*1)/P902)-1)</f>
        <v>-1.1639415653826868E-3</v>
      </c>
      <c r="S914" s="7">
        <v>6.3648090000000002</v>
      </c>
      <c r="T914" s="7">
        <v>118.348</v>
      </c>
      <c r="U914" s="8">
        <f>IF(Tabela1[[#This Row],[Personal Consumption Expenditures (PCE)]]="",#N/A,((Tabela1[[#This Row],[Personal Consumption Expenditures (PCE)]]*1)/T913)-1)</f>
        <v>2.0659757501861886E-3</v>
      </c>
      <c r="V914" s="8">
        <f>IF(Tabela1[[#This Row],[Personal Consumption Expenditures (PCE)]]="",#N/A,((Tabela1[[#This Row],[Personal Consumption Expenditures (PCE)]]*1)/T902)-1)</f>
        <v>5.4419101924447544E-2</v>
      </c>
      <c r="W914" s="7">
        <v>116.86799999999999</v>
      </c>
      <c r="X914" s="8">
        <f>IF(Tabela1[[#This Row],[Core PCE]]="",#N/A,((Tabela1[[#This Row],[Core PCE]]*1)/W913)-1)</f>
        <v>3.8740046556773322E-3</v>
      </c>
      <c r="Y914" s="8">
        <f>IF(Tabela1[[#This Row],[Core PCE]]="",#N/A,((Tabela1[[#This Row],[Core PCE]]*1)/W902)-1)</f>
        <v>4.8651364786533424E-2</v>
      </c>
      <c r="Z914" s="8">
        <f t="shared" si="49"/>
        <v>4.0731918526884847E-2</v>
      </c>
      <c r="AA914" s="8">
        <f t="shared" si="48"/>
        <v>4.4579387365711654E-2</v>
      </c>
      <c r="AB914" s="7">
        <v>4.8600000000000003</v>
      </c>
      <c r="AC914" s="7">
        <v>140.721</v>
      </c>
      <c r="AD914" s="8">
        <f>IF(Tabela1[[#This Row],[Producer Price Index (PPI)]]="",#N/A,((Tabela1[[#This Row],[Producer Price Index (PPI)]]*1)/AC913)-1)</f>
        <v>-3.2158668319461903E-3</v>
      </c>
      <c r="AE914" s="8">
        <f>IF(Tabela1[[#This Row],[Producer Price Index (PPI)]]="",#N/A,((Tabela1[[#This Row],[Producer Price Index (PPI)]]*1)/AC902)-1)</f>
        <v>6.4101206860046611E-2</v>
      </c>
      <c r="AF914" s="7">
        <v>4.3</v>
      </c>
      <c r="AG914" s="5"/>
    </row>
    <row r="915" spans="1:33" ht="12.75">
      <c r="A915" s="6">
        <v>44927</v>
      </c>
      <c r="B915" s="7">
        <v>300.536</v>
      </c>
      <c r="C915" s="8">
        <f>IF(Tabela1[[#This Row],[Consumer Price Index (CPI)]]="",#N/A,((Tabela1[[#This Row],[Consumer Price Index (CPI)]]*1)/B914)-1)</f>
        <v>5.1707414963710896E-3</v>
      </c>
      <c r="D915" s="8">
        <f>IF(Tabela1[[#This Row],[Consumer Price Index (CPI)]]="",#N/A,((Tabela1[[#This Row],[Consumer Price Index (CPI)]]*1)/B903)-1)</f>
        <v>6.3471562178210261E-2</v>
      </c>
      <c r="E915" s="25">
        <v>302.702</v>
      </c>
      <c r="F915" s="8">
        <f>IF(Tabela1[[#This Row],[Core Consumer Price Index]]="",#N/A,((Tabela1[[#This Row],[Core Consumer Price Index]]*1)/E914)-1)</f>
        <v>4.1199495787169749E-3</v>
      </c>
      <c r="G915" s="8">
        <f>IF(Tabela1[[#This Row],[Core Consumer Price Index]]="",#N/A,((Tabela1[[#This Row],[Core Consumer Price Index]]*1)/E903)-1)</f>
        <v>5.5475745488019257E-2</v>
      </c>
      <c r="H915" s="8">
        <f t="shared" si="50"/>
        <v>4.4853473349390605E-2</v>
      </c>
      <c r="I915" s="8">
        <f t="shared" si="51"/>
        <v>5.2175334374351845E-2</v>
      </c>
      <c r="J915" s="25">
        <v>377.03300000000002</v>
      </c>
      <c r="K915" s="8">
        <f>IF(Tabela1[[#This Row],[Services CPI]]="",#N/A,((Tabela1[[#This Row],[Services CPI]]*1)/J914)-1)</f>
        <v>6.298825909526462E-3</v>
      </c>
      <c r="L915" s="8">
        <f>IF(Tabela1[[#This Row],[Services CPI]]="",#N/A,((Tabela1[[#This Row],[Services CPI]]*1)/J903)-1)</f>
        <v>7.636067773384525E-2</v>
      </c>
      <c r="M915" s="7">
        <v>387.88099999999997</v>
      </c>
      <c r="N915" s="8">
        <f>IF(Tabela1[[#This Row],[Core-Services CPI]]="",#N/A,((Tabela1[[#This Row],[Core-Services CPI]]*1)/M914)-1)</f>
        <v>5.4539280465137896E-3</v>
      </c>
      <c r="O915" s="8">
        <f>IF(Tabela1[[#This Row],[Core-Services CPI]]="",#N/A,((Tabela1[[#This Row],[Core-Services CPI]]*1)/M903)-1)</f>
        <v>7.1710593572736903E-2</v>
      </c>
      <c r="P915" s="7">
        <v>126.077</v>
      </c>
      <c r="Q915" s="8">
        <f>IF(Tabela1[[#This Row],[Durable Goods CPI]]="",#N/A,((Tabela1[[#This Row],[Durable Goods CPI]]*1)/P914)-1)</f>
        <v>-5.628309604591708E-4</v>
      </c>
      <c r="R915" s="8">
        <f>IF(Tabela1[[#This Row],[Durable Goods CPI]]="",#N/A,((Tabela1[[#This Row],[Durable Goods CPI]]*1)/P903)-1)</f>
        <v>-1.2531622766825734E-2</v>
      </c>
      <c r="S915" s="7">
        <v>6.4711780000000001</v>
      </c>
      <c r="T915" s="7">
        <v>119.011</v>
      </c>
      <c r="U915" s="8">
        <f>IF(Tabela1[[#This Row],[Personal Consumption Expenditures (PCE)]]="",#N/A,((Tabela1[[#This Row],[Personal Consumption Expenditures (PCE)]]*1)/T914)-1)</f>
        <v>5.6021225538243069E-3</v>
      </c>
      <c r="V915" s="8">
        <f>IF(Tabela1[[#This Row],[Personal Consumption Expenditures (PCE)]]="",#N/A,((Tabela1[[#This Row],[Personal Consumption Expenditures (PCE)]]*1)/T903)-1)</f>
        <v>5.47908782316604E-2</v>
      </c>
      <c r="W915" s="7">
        <v>117.461</v>
      </c>
      <c r="X915" s="8">
        <f>IF(Tabela1[[#This Row],[Core PCE]]="",#N/A,((Tabela1[[#This Row],[Core PCE]]*1)/W914)-1)</f>
        <v>5.0741006948009648E-3</v>
      </c>
      <c r="Y915" s="8">
        <f>IF(Tabela1[[#This Row],[Core PCE]]="",#N/A,((Tabela1[[#This Row],[Core PCE]]*1)/W903)-1)</f>
        <v>4.901181534834298E-2</v>
      </c>
      <c r="Z915" s="8">
        <f t="shared" si="49"/>
        <v>4.7163203660047337E-2</v>
      </c>
      <c r="AA915" s="8">
        <f t="shared" si="48"/>
        <v>5.0580498280497821E-2</v>
      </c>
      <c r="AB915" s="7">
        <v>4.78</v>
      </c>
      <c r="AC915" s="7">
        <v>141.32599999999999</v>
      </c>
      <c r="AD915" s="8">
        <f>IF(Tabela1[[#This Row],[Producer Price Index (PPI)]]="",#N/A,((Tabela1[[#This Row],[Producer Price Index (PPI)]]*1)/AC914)-1)</f>
        <v>4.2992872421314665E-3</v>
      </c>
      <c r="AE915" s="8">
        <f>IF(Tabela1[[#This Row],[Producer Price Index (PPI)]]="",#N/A,((Tabela1[[#This Row],[Producer Price Index (PPI)]]*1)/AC903)-1)</f>
        <v>5.7449419370286137E-2</v>
      </c>
      <c r="AF915" s="7">
        <v>3.9</v>
      </c>
      <c r="AG915" s="5"/>
    </row>
    <row r="916" spans="1:33" ht="12.75">
      <c r="A916" s="6">
        <v>44958</v>
      </c>
      <c r="B916" s="7">
        <v>301.64800000000002</v>
      </c>
      <c r="C916" s="8">
        <f>IF(Tabela1[[#This Row],[Consumer Price Index (CPI)]]="",#N/A,((Tabela1[[#This Row],[Consumer Price Index (CPI)]]*1)/B915)-1)</f>
        <v>3.700055900125232E-3</v>
      </c>
      <c r="D916" s="8">
        <f>IF(Tabela1[[#This Row],[Consumer Price Index (CPI)]]="",#N/A,((Tabela1[[#This Row],[Consumer Price Index (CPI)]]*1)/B904)-1)</f>
        <v>5.9864375812515469E-2</v>
      </c>
      <c r="E916" s="25">
        <v>304.07</v>
      </c>
      <c r="F916" s="8">
        <f>IF(Tabela1[[#This Row],[Core Consumer Price Index]]="",#N/A,((Tabela1[[#This Row],[Core Consumer Price Index]]*1)/E915)-1)</f>
        <v>4.5192962055089492E-3</v>
      </c>
      <c r="G916" s="8">
        <f>IF(Tabela1[[#This Row],[Core Consumer Price Index]]="",#N/A,((Tabela1[[#This Row],[Core Consumer Price Index]]*1)/E904)-1)</f>
        <v>5.5259988825148376E-2</v>
      </c>
      <c r="H916" s="8">
        <f t="shared" si="50"/>
        <v>5.0529753493359308E-2</v>
      </c>
      <c r="I916" s="8">
        <f t="shared" si="51"/>
        <v>4.9590632727558592E-2</v>
      </c>
      <c r="J916" s="25">
        <v>378.87599999999998</v>
      </c>
      <c r="K916" s="8">
        <f>IF(Tabela1[[#This Row],[Services CPI]]="",#N/A,((Tabela1[[#This Row],[Services CPI]]*1)/J915)-1)</f>
        <v>4.888166287831508E-3</v>
      </c>
      <c r="L916" s="8">
        <f>IF(Tabela1[[#This Row],[Services CPI]]="",#N/A,((Tabela1[[#This Row],[Services CPI]]*1)/J904)-1)</f>
        <v>7.6074083120556857E-2</v>
      </c>
      <c r="M916" s="7">
        <v>390.29300000000001</v>
      </c>
      <c r="N916" s="8">
        <f>IF(Tabela1[[#This Row],[Core-Services CPI]]="",#N/A,((Tabela1[[#This Row],[Core-Services CPI]]*1)/M915)-1)</f>
        <v>6.2184020356759184E-3</v>
      </c>
      <c r="O916" s="8">
        <f>IF(Tabela1[[#This Row],[Core-Services CPI]]="",#N/A,((Tabela1[[#This Row],[Core-Services CPI]]*1)/M904)-1)</f>
        <v>7.2681449396451159E-2</v>
      </c>
      <c r="P916" s="7">
        <v>126.021</v>
      </c>
      <c r="Q916" s="8">
        <f>IF(Tabela1[[#This Row],[Durable Goods CPI]]="",#N/A,((Tabela1[[#This Row],[Durable Goods CPI]]*1)/P915)-1)</f>
        <v>-4.4417300538557303E-4</v>
      </c>
      <c r="R916" s="8">
        <f>IF(Tabela1[[#This Row],[Durable Goods CPI]]="",#N/A,((Tabela1[[#This Row],[Durable Goods CPI]]*1)/P904)-1)</f>
        <v>-1.7839607201309393E-2</v>
      </c>
      <c r="S916" s="7">
        <v>6.6172230000000001</v>
      </c>
      <c r="T916" s="7">
        <v>119.386</v>
      </c>
      <c r="U916" s="8">
        <f>IF(Tabela1[[#This Row],[Personal Consumption Expenditures (PCE)]]="",#N/A,((Tabela1[[#This Row],[Personal Consumption Expenditures (PCE)]]*1)/T915)-1)</f>
        <v>3.1509692381377352E-3</v>
      </c>
      <c r="V916" s="8">
        <f>IF(Tabela1[[#This Row],[Personal Consumption Expenditures (PCE)]]="",#N/A,((Tabela1[[#This Row],[Personal Consumption Expenditures (PCE)]]*1)/T904)-1)</f>
        <v>5.1896102065271066E-2</v>
      </c>
      <c r="W916" s="7">
        <v>117.883</v>
      </c>
      <c r="X916" s="8">
        <f>IF(Tabela1[[#This Row],[Core PCE]]="",#N/A,((Tabela1[[#This Row],[Core PCE]]*1)/W915)-1)</f>
        <v>3.5926818263083415E-3</v>
      </c>
      <c r="Y916" s="8">
        <f>IF(Tabela1[[#This Row],[Core PCE]]="",#N/A,((Tabela1[[#This Row],[Core PCE]]*1)/W904)-1)</f>
        <v>4.8445337792166088E-2</v>
      </c>
      <c r="Z916" s="8">
        <f t="shared" si="49"/>
        <v>5.0163148707146554E-2</v>
      </c>
      <c r="AA916" s="8">
        <f t="shared" si="48"/>
        <v>4.6869534205103758E-2</v>
      </c>
      <c r="AB916" s="7">
        <v>4.75</v>
      </c>
      <c r="AC916" s="7">
        <v>141.29</v>
      </c>
      <c r="AD916" s="8">
        <f>IF(Tabela1[[#This Row],[Producer Price Index (PPI)]]="",#N/A,((Tabela1[[#This Row],[Producer Price Index (PPI)]]*1)/AC915)-1)</f>
        <v>-2.5473019826505183E-4</v>
      </c>
      <c r="AE916" s="8">
        <f>IF(Tabela1[[#This Row],[Producer Price Index (PPI)]]="",#N/A,((Tabela1[[#This Row],[Producer Price Index (PPI)]]*1)/AC904)-1)</f>
        <v>4.7500426295381759E-2</v>
      </c>
      <c r="AF916" s="7">
        <v>4.2</v>
      </c>
      <c r="AG916" s="5"/>
    </row>
    <row r="917" spans="1:33" ht="12.75">
      <c r="A917" s="6">
        <v>44986</v>
      </c>
      <c r="B917" s="7">
        <v>301.80799999999999</v>
      </c>
      <c r="C917" s="8">
        <f>IF(Tabela1[[#This Row],[Consumer Price Index (CPI)]]="",#N/A,((Tabela1[[#This Row],[Consumer Price Index (CPI)]]*1)/B916)-1)</f>
        <v>5.3041956187338535E-4</v>
      </c>
      <c r="D917" s="8">
        <f>IF(Tabela1[[#This Row],[Consumer Price Index (CPI)]]="",#N/A,((Tabela1[[#This Row],[Consumer Price Index (CPI)]]*1)/B905)-1)</f>
        <v>4.9869204652974952E-2</v>
      </c>
      <c r="E917" s="25">
        <v>305.24</v>
      </c>
      <c r="F917" s="8">
        <f>IF(Tabela1[[#This Row],[Core Consumer Price Index]]="",#N/A,((Tabela1[[#This Row],[Core Consumer Price Index]]*1)/E916)-1)</f>
        <v>3.847798204360986E-3</v>
      </c>
      <c r="G917" s="8">
        <f>IF(Tabela1[[#This Row],[Core Consumer Price Index]]="",#N/A,((Tabela1[[#This Row],[Core Consumer Price Index]]*1)/E905)-1)</f>
        <v>5.6025684493125727E-2</v>
      </c>
      <c r="H917" s="8">
        <f t="shared" si="50"/>
        <v>4.994817595434764E-2</v>
      </c>
      <c r="I917" s="8">
        <f t="shared" si="51"/>
        <v>4.5824486074848902E-2</v>
      </c>
      <c r="J917" s="25">
        <v>379.995</v>
      </c>
      <c r="K917" s="8">
        <f>IF(Tabela1[[#This Row],[Services CPI]]="",#N/A,((Tabela1[[#This Row],[Services CPI]]*1)/J916)-1)</f>
        <v>2.9534729040636698E-3</v>
      </c>
      <c r="L917" s="8">
        <f>IF(Tabela1[[#This Row],[Services CPI]]="",#N/A,((Tabela1[[#This Row],[Services CPI]]*1)/J905)-1)</f>
        <v>7.2435504855656641E-2</v>
      </c>
      <c r="M917" s="7">
        <v>392.04899999999998</v>
      </c>
      <c r="N917" s="8">
        <f>IF(Tabela1[[#This Row],[Core-Services CPI]]="",#N/A,((Tabela1[[#This Row],[Core-Services CPI]]*1)/M916)-1)</f>
        <v>4.4991839464196826E-3</v>
      </c>
      <c r="O917" s="8">
        <f>IF(Tabela1[[#This Row],[Core-Services CPI]]="",#N/A,((Tabela1[[#This Row],[Core-Services CPI]]*1)/M905)-1)</f>
        <v>7.1198472093576104E-2</v>
      </c>
      <c r="P917" s="7">
        <v>126.492</v>
      </c>
      <c r="Q917" s="8">
        <f>IF(Tabela1[[#This Row],[Durable Goods CPI]]="",#N/A,((Tabela1[[#This Row],[Durable Goods CPI]]*1)/P916)-1)</f>
        <v>3.7374723260408249E-3</v>
      </c>
      <c r="R917" s="8">
        <f>IF(Tabela1[[#This Row],[Durable Goods CPI]]="",#N/A,((Tabela1[[#This Row],[Durable Goods CPI]]*1)/P905)-1)</f>
        <v>-9.7620930177940712E-3</v>
      </c>
      <c r="S917" s="7">
        <v>6.5544924739999999</v>
      </c>
      <c r="T917" s="7">
        <v>119.53</v>
      </c>
      <c r="U917" s="8">
        <f>IF(Tabela1[[#This Row],[Personal Consumption Expenditures (PCE)]]="",#N/A,((Tabela1[[#This Row],[Personal Consumption Expenditures (PCE)]]*1)/T916)-1)</f>
        <v>1.2061715779070337E-3</v>
      </c>
      <c r="V917" s="8">
        <f>IF(Tabela1[[#This Row],[Personal Consumption Expenditures (PCE)]]="",#N/A,((Tabela1[[#This Row],[Personal Consumption Expenditures (PCE)]]*1)/T905)-1)</f>
        <v>4.4422697167223024E-2</v>
      </c>
      <c r="W917" s="7">
        <v>118.279</v>
      </c>
      <c r="X917" s="8">
        <f>IF(Tabela1[[#This Row],[Core PCE]]="",#N/A,((Tabela1[[#This Row],[Core PCE]]*1)/W916)-1)</f>
        <v>3.359262998057444E-3</v>
      </c>
      <c r="Y917" s="8">
        <f>IF(Tabela1[[#This Row],[Core PCE]]="",#N/A,((Tabela1[[#This Row],[Core PCE]]*1)/W905)-1)</f>
        <v>4.7829553508150324E-2</v>
      </c>
      <c r="Z917" s="8">
        <f t="shared" si="49"/>
        <v>4.8104182076667001E-2</v>
      </c>
      <c r="AA917" s="8">
        <f t="shared" si="48"/>
        <v>4.4418050301775924E-2</v>
      </c>
      <c r="AB917" s="7">
        <v>4.82</v>
      </c>
      <c r="AC917" s="7">
        <v>140.74600000000001</v>
      </c>
      <c r="AD917" s="8">
        <f>IF(Tabela1[[#This Row],[Producer Price Index (PPI)]]="",#N/A,((Tabela1[[#This Row],[Producer Price Index (PPI)]]*1)/AC916)-1)</f>
        <v>-3.8502371009978553E-3</v>
      </c>
      <c r="AE917" s="8">
        <f>IF(Tabela1[[#This Row],[Producer Price Index (PPI)]]="",#N/A,((Tabela1[[#This Row],[Producer Price Index (PPI)]]*1)/AC905)-1)</f>
        <v>2.708067282081239E-2</v>
      </c>
      <c r="AF917" s="7">
        <v>3.6</v>
      </c>
      <c r="AG917" s="5"/>
    </row>
    <row r="918" spans="1:33" ht="12.75">
      <c r="A918" s="6">
        <v>45017</v>
      </c>
      <c r="B918" s="7">
        <v>302.91800000000001</v>
      </c>
      <c r="C918" s="8">
        <f>IF(Tabela1[[#This Row],[Consumer Price Index (CPI)]]="",#N/A,((Tabela1[[#This Row],[Consumer Price Index (CPI)]]*1)/B917)-1)</f>
        <v>3.6778349149129141E-3</v>
      </c>
      <c r="D918" s="8">
        <f>IF(Tabela1[[#This Row],[Consumer Price Index (CPI)]]="",#N/A,((Tabela1[[#This Row],[Consumer Price Index (CPI)]]*1)/B906)-1)</f>
        <v>4.9571915138369782E-2</v>
      </c>
      <c r="E918" s="25">
        <v>306.48899999999998</v>
      </c>
      <c r="F918" s="8">
        <f>IF(Tabela1[[#This Row],[Core Consumer Price Index]]="",#N/A,((Tabela1[[#This Row],[Core Consumer Price Index]]*1)/E917)-1)</f>
        <v>4.0918621412657785E-3</v>
      </c>
      <c r="G918" s="8">
        <f>IF(Tabela1[[#This Row],[Core Consumer Price Index]]="",#N/A,((Tabela1[[#This Row],[Core Consumer Price Index]]*1)/E906)-1)</f>
        <v>5.5366550738610742E-2</v>
      </c>
      <c r="H918" s="8">
        <f t="shared" si="50"/>
        <v>4.9835826204542855E-2</v>
      </c>
      <c r="I918" s="8">
        <f t="shared" si="51"/>
        <v>4.734464977696673E-2</v>
      </c>
      <c r="J918" s="25">
        <v>380.935</v>
      </c>
      <c r="K918" s="8">
        <f>IF(Tabela1[[#This Row],[Services CPI]]="",#N/A,((Tabela1[[#This Row],[Services CPI]]*1)/J917)-1)</f>
        <v>2.4737167594310883E-3</v>
      </c>
      <c r="L918" s="8">
        <f>IF(Tabela1[[#This Row],[Services CPI]]="",#N/A,((Tabela1[[#This Row],[Services CPI]]*1)/J906)-1)</f>
        <v>6.7996142221923073E-2</v>
      </c>
      <c r="M918" s="7">
        <v>393.45499999999998</v>
      </c>
      <c r="N918" s="8">
        <f>IF(Tabela1[[#This Row],[Core-Services CPI]]="",#N/A,((Tabela1[[#This Row],[Core-Services CPI]]*1)/M917)-1)</f>
        <v>3.5862864080764556E-3</v>
      </c>
      <c r="O918" s="8">
        <f>IF(Tabela1[[#This Row],[Core-Services CPI]]="",#N/A,((Tabela1[[#This Row],[Core-Services CPI]]*1)/M906)-1)</f>
        <v>6.8367017218017967E-2</v>
      </c>
      <c r="P918" s="7">
        <v>127.473</v>
      </c>
      <c r="Q918" s="8">
        <f>IF(Tabela1[[#This Row],[Durable Goods CPI]]="",#N/A,((Tabela1[[#This Row],[Durable Goods CPI]]*1)/P917)-1)</f>
        <v>7.7554311735128501E-3</v>
      </c>
      <c r="R918" s="8">
        <f>IF(Tabela1[[#This Row],[Durable Goods CPI]]="",#N/A,((Tabela1[[#This Row],[Durable Goods CPI]]*1)/P906)-1)</f>
        <v>-1.6994283029211354E-3</v>
      </c>
      <c r="S918" s="7">
        <v>6.59375</v>
      </c>
      <c r="T918" s="7">
        <v>119.893</v>
      </c>
      <c r="U918" s="8">
        <f>IF(Tabela1[[#This Row],[Personal Consumption Expenditures (PCE)]]="",#N/A,((Tabela1[[#This Row],[Personal Consumption Expenditures (PCE)]]*1)/T917)-1)</f>
        <v>3.0368945034719985E-3</v>
      </c>
      <c r="V918" s="8">
        <f>IF(Tabela1[[#This Row],[Personal Consumption Expenditures (PCE)]]="",#N/A,((Tabela1[[#This Row],[Personal Consumption Expenditures (PCE)]]*1)/T906)-1)</f>
        <v>4.4464190819677896E-2</v>
      </c>
      <c r="W918" s="7">
        <v>118.642</v>
      </c>
      <c r="X918" s="8">
        <f>IF(Tabela1[[#This Row],[Core PCE]]="",#N/A,((Tabela1[[#This Row],[Core PCE]]*1)/W917)-1)</f>
        <v>3.0690147870713336E-3</v>
      </c>
      <c r="Y918" s="8">
        <f>IF(Tabela1[[#This Row],[Core PCE]]="",#N/A,((Tabela1[[#This Row],[Core PCE]]*1)/W906)-1)</f>
        <v>4.7629980220401213E-2</v>
      </c>
      <c r="Z918" s="8">
        <f t="shared" si="49"/>
        <v>4.0083838445748476E-2</v>
      </c>
      <c r="AA918" s="8">
        <f t="shared" si="48"/>
        <v>4.3623521052897907E-2</v>
      </c>
      <c r="AB918" s="7">
        <v>4.88</v>
      </c>
      <c r="AC918" s="7">
        <v>141.023</v>
      </c>
      <c r="AD918" s="8">
        <f>IF(Tabela1[[#This Row],[Producer Price Index (PPI)]]="",#N/A,((Tabela1[[#This Row],[Producer Price Index (PPI)]]*1)/AC917)-1)</f>
        <v>1.9680843505320844E-3</v>
      </c>
      <c r="AE918" s="8">
        <f>IF(Tabela1[[#This Row],[Producer Price Index (PPI)]]="",#N/A,((Tabela1[[#This Row],[Producer Price Index (PPI)]]*1)/AC906)-1)</f>
        <v>2.2995509709618167E-2</v>
      </c>
      <c r="AF918" s="7">
        <v>4.7</v>
      </c>
      <c r="AG918" s="5"/>
    </row>
    <row r="919" spans="1:33" ht="12.75">
      <c r="A919" s="6">
        <v>45047</v>
      </c>
      <c r="B919" s="7">
        <v>303.29399999999998</v>
      </c>
      <c r="C919" s="8">
        <f>IF(Tabela1[[#This Row],[Consumer Price Index (CPI)]]="",#N/A,((Tabela1[[#This Row],[Consumer Price Index (CPI)]]*1)/B918)-1)</f>
        <v>1.2412600109599214E-3</v>
      </c>
      <c r="D919" s="8">
        <f>IF(Tabela1[[#This Row],[Consumer Price Index (CPI)]]="",#N/A,((Tabela1[[#This Row],[Consumer Price Index (CPI)]]*1)/B907)-1)</f>
        <v>4.1288435392834222E-2</v>
      </c>
      <c r="E919" s="25">
        <v>307.82400000000001</v>
      </c>
      <c r="F919" s="8">
        <f>IF(Tabela1[[#This Row],[Core Consumer Price Index]]="",#N/A,((Tabela1[[#This Row],[Core Consumer Price Index]]*1)/E918)-1)</f>
        <v>4.3557843837789267E-3</v>
      </c>
      <c r="G919" s="8">
        <f>IF(Tabela1[[#This Row],[Core Consumer Price Index]]="",#N/A,((Tabela1[[#This Row],[Core Consumer Price Index]]*1)/E907)-1)</f>
        <v>5.3286387386185297E-2</v>
      </c>
      <c r="H919" s="8">
        <f t="shared" si="50"/>
        <v>4.9181778917622765E-2</v>
      </c>
      <c r="I919" s="8">
        <f t="shared" si="51"/>
        <v>4.9855766205491037E-2</v>
      </c>
      <c r="J919" s="25">
        <v>382.07799999999997</v>
      </c>
      <c r="K919" s="8">
        <f>IF(Tabela1[[#This Row],[Services CPI]]="",#N/A,((Tabela1[[#This Row],[Services CPI]]*1)/J918)-1)</f>
        <v>3.0005118983553736E-3</v>
      </c>
      <c r="L919" s="8">
        <f>IF(Tabela1[[#This Row],[Services CPI]]="",#N/A,((Tabela1[[#This Row],[Services CPI]]*1)/J907)-1)</f>
        <v>6.301087833514174E-2</v>
      </c>
      <c r="M919" s="7">
        <v>395.01100000000002</v>
      </c>
      <c r="N919" s="8">
        <f>IF(Tabela1[[#This Row],[Core-Services CPI]]="",#N/A,((Tabela1[[#This Row],[Core-Services CPI]]*1)/M918)-1)</f>
        <v>3.9547089247817802E-3</v>
      </c>
      <c r="O919" s="8">
        <f>IF(Tabela1[[#This Row],[Core-Services CPI]]="",#N/A,((Tabela1[[#This Row],[Core-Services CPI]]*1)/M907)-1)</f>
        <v>6.5687700148113093E-2</v>
      </c>
      <c r="P919" s="7">
        <v>127.821</v>
      </c>
      <c r="Q919" s="8">
        <f>IF(Tabela1[[#This Row],[Durable Goods CPI]]="",#N/A,((Tabela1[[#This Row],[Durable Goods CPI]]*1)/P918)-1)</f>
        <v>2.7299898802100042E-3</v>
      </c>
      <c r="R919" s="8">
        <f>IF(Tabela1[[#This Row],[Durable Goods CPI]]="",#N/A,((Tabela1[[#This Row],[Durable Goods CPI]]*1)/P907)-1)</f>
        <v>-4.926339495168186E-4</v>
      </c>
      <c r="S919" s="7">
        <v>6.4517083169999996</v>
      </c>
      <c r="T919" s="7">
        <v>120.02</v>
      </c>
      <c r="U919" s="8">
        <f>IF(Tabela1[[#This Row],[Personal Consumption Expenditures (PCE)]]="",#N/A,((Tabela1[[#This Row],[Personal Consumption Expenditures (PCE)]]*1)/T918)-1)</f>
        <v>1.059277856088281E-3</v>
      </c>
      <c r="V919" s="8">
        <f>IF(Tabela1[[#This Row],[Personal Consumption Expenditures (PCE)]]="",#N/A,((Tabela1[[#This Row],[Personal Consumption Expenditures (PCE)]]*1)/T907)-1)</f>
        <v>3.9620255357483147E-2</v>
      </c>
      <c r="W919" s="7">
        <v>118.98399999999999</v>
      </c>
      <c r="X919" s="8">
        <f>IF(Tabela1[[#This Row],[Core PCE]]="",#N/A,((Tabela1[[#This Row],[Core PCE]]*1)/W918)-1)</f>
        <v>2.8826216685491346E-3</v>
      </c>
      <c r="Y919" s="8">
        <f>IF(Tabela1[[#This Row],[Core PCE]]="",#N/A,((Tabela1[[#This Row],[Core PCE]]*1)/W907)-1)</f>
        <v>4.6878299429858439E-2</v>
      </c>
      <c r="Z919" s="8">
        <f t="shared" ref="Z919:Z920" si="52">SUM(X917:X919)*4</f>
        <v>3.7243597814711649E-2</v>
      </c>
      <c r="AA919" s="8">
        <f t="shared" si="48"/>
        <v>4.3703373260929101E-2</v>
      </c>
      <c r="AB919" s="7">
        <v>4.7</v>
      </c>
      <c r="AC919" s="7">
        <v>140.56100000000001</v>
      </c>
      <c r="AD919" s="8">
        <f>IF(Tabela1[[#This Row],[Producer Price Index (PPI)]]="",#N/A,((Tabela1[[#This Row],[Producer Price Index (PPI)]]*1)/AC918)-1)</f>
        <v>-3.2760613516943371E-3</v>
      </c>
      <c r="AE919" s="8">
        <f>IF(Tabela1[[#This Row],[Producer Price Index (PPI)]]="",#N/A,((Tabela1[[#This Row],[Producer Price Index (PPI)]]*1)/AC907)-1)</f>
        <v>1.1994672234421744E-2</v>
      </c>
      <c r="AF919" s="7">
        <v>4.2</v>
      </c>
      <c r="AG919" s="5"/>
    </row>
    <row r="920" spans="1:33" ht="12.75">
      <c r="A920" s="6">
        <v>45078</v>
      </c>
      <c r="B920" s="7">
        <v>303.84100000000001</v>
      </c>
      <c r="C920" s="8">
        <f>IF(Tabela1[[#This Row],[Consumer Price Index (CPI)]]="",#N/A,((Tabela1[[#This Row],[Consumer Price Index (CPI)]]*1)/B919)-1)</f>
        <v>1.8035305676999958E-3</v>
      </c>
      <c r="D920" s="8">
        <f>IF(Tabela1[[#This Row],[Consumer Price Index (CPI)]]="",#N/A,((Tabela1[[#This Row],[Consumer Price Index (CPI)]]*1)/B908)-1)</f>
        <v>3.0920034743899372E-2</v>
      </c>
      <c r="E920" s="25">
        <v>308.30900000000003</v>
      </c>
      <c r="F920" s="8">
        <f>IF(Tabela1[[#This Row],[Core Consumer Price Index]]="",#N/A,((Tabela1[[#This Row],[Core Consumer Price Index]]*1)/E919)-1)</f>
        <v>1.5755756536202092E-3</v>
      </c>
      <c r="G920" s="8">
        <f>IF(Tabela1[[#This Row],[Core Consumer Price Index]]="",#N/A,((Tabela1[[#This Row],[Core Consumer Price Index]]*1)/E908)-1)</f>
        <v>4.8609434148365604E-2</v>
      </c>
      <c r="H920" s="8">
        <f t="shared" si="50"/>
        <v>4.0092888714659658E-2</v>
      </c>
      <c r="I920" s="8">
        <f t="shared" si="51"/>
        <v>4.5020532334503649E-2</v>
      </c>
      <c r="J920" s="25">
        <v>383.072</v>
      </c>
      <c r="K920" s="8">
        <f>IF(Tabela1[[#This Row],[Services CPI]]="",#N/A,((Tabela1[[#This Row],[Services CPI]]*1)/J919)-1)</f>
        <v>2.6015630316322813E-3</v>
      </c>
      <c r="L920" s="8">
        <f>IF(Tabela1[[#This Row],[Services CPI]]="",#N/A,((Tabela1[[#This Row],[Services CPI]]*1)/J908)-1)</f>
        <v>5.7476721941416287E-2</v>
      </c>
      <c r="M920" s="7">
        <v>396.01600000000002</v>
      </c>
      <c r="N920" s="8">
        <f>IF(Tabela1[[#This Row],[Core-Services CPI]]="",#N/A,((Tabela1[[#This Row],[Core-Services CPI]]*1)/M919)-1)</f>
        <v>2.5442329454117285E-3</v>
      </c>
      <c r="O920" s="8">
        <f>IF(Tabela1[[#This Row],[Core-Services CPI]]="",#N/A,((Tabela1[[#This Row],[Core-Services CPI]]*1)/M908)-1)</f>
        <v>6.1582712984830312E-2</v>
      </c>
      <c r="P920" s="7">
        <v>127.41800000000001</v>
      </c>
      <c r="Q920" s="8">
        <f>IF(Tabela1[[#This Row],[Durable Goods CPI]]="",#N/A,((Tabela1[[#This Row],[Durable Goods CPI]]*1)/P919)-1)</f>
        <v>-3.1528465588596122E-3</v>
      </c>
      <c r="R920" s="8">
        <f>IF(Tabela1[[#This Row],[Durable Goods CPI]]="",#N/A,((Tabela1[[#This Row],[Durable Goods CPI]]*1)/P908)-1)</f>
        <v>-8.2813156706775803E-3</v>
      </c>
      <c r="S920" s="7">
        <v>6.3227486610000003</v>
      </c>
      <c r="T920" s="7">
        <v>120.221</v>
      </c>
      <c r="U920" s="8">
        <f>IF(Tabela1[[#This Row],[Personal Consumption Expenditures (PCE)]]="",#N/A,((Tabela1[[#This Row],[Personal Consumption Expenditures (PCE)]]*1)/T919)-1)</f>
        <v>1.6747208798533197E-3</v>
      </c>
      <c r="V920" s="8">
        <f>IF(Tabela1[[#This Row],[Personal Consumption Expenditures (PCE)]]="",#N/A,((Tabela1[[#This Row],[Personal Consumption Expenditures (PCE)]]*1)/T908)-1)</f>
        <v>3.1984205330700899E-2</v>
      </c>
      <c r="W920" s="7">
        <v>119.18899999999999</v>
      </c>
      <c r="X920" s="8">
        <f>IF(Tabela1[[#This Row],[Core PCE]]="",#N/A,((Tabela1[[#This Row],[Core PCE]]*1)/W919)-1)</f>
        <v>1.722920728837396E-3</v>
      </c>
      <c r="Y920" s="8">
        <f>IF(Tabela1[[#This Row],[Core PCE]]="",#N/A,((Tabela1[[#This Row],[Core PCE]]*1)/W908)-1)</f>
        <v>4.2800773423624427E-2</v>
      </c>
      <c r="Z920" s="8">
        <f t="shared" si="52"/>
        <v>3.0698228737831457E-2</v>
      </c>
      <c r="AA920" s="8">
        <f t="shared" si="48"/>
        <v>3.9401205407249229E-2</v>
      </c>
      <c r="AB920" s="7">
        <v>4.33</v>
      </c>
      <c r="AC920" s="7">
        <v>140.66800000000001</v>
      </c>
      <c r="AD920" s="8">
        <f>IF(Tabela1[[#This Row],[Producer Price Index (PPI)]]="",#N/A,((Tabela1[[#This Row],[Producer Price Index (PPI)]]*1)/AC919)-1)</f>
        <v>7.6123533554817158E-4</v>
      </c>
      <c r="AE920" s="8">
        <f>IF(Tabela1[[#This Row],[Producer Price Index (PPI)]]="",#N/A,((Tabela1[[#This Row],[Producer Price Index (PPI)]]*1)/AC908)-1)</f>
        <v>3.6530722908758584E-3</v>
      </c>
      <c r="AF920" s="7">
        <v>3.3</v>
      </c>
      <c r="AG920" s="5"/>
    </row>
    <row r="921" spans="1:33" ht="12.75">
      <c r="A921" s="6">
        <v>45108</v>
      </c>
      <c r="B921" s="7">
        <v>304.34800000000001</v>
      </c>
      <c r="C921" s="8">
        <f>IF(Tabela1[[#This Row],[Consumer Price Index (CPI)]]="",#N/A,((Tabela1[[#This Row],[Consumer Price Index (CPI)]]*1)/B920)-1)</f>
        <v>1.6686358983810656E-3</v>
      </c>
      <c r="D921" s="8">
        <f>IF(Tabela1[[#This Row],[Consumer Price Index (CPI)]]="",#N/A,((Tabela1[[#This Row],[Consumer Price Index (CPI)]]*1)/B909)-1)</f>
        <v>3.299075444289068E-2</v>
      </c>
      <c r="E921" s="25">
        <v>308.80099999999999</v>
      </c>
      <c r="F921" s="8">
        <f>IF(Tabela1[[#This Row],[Core Consumer Price Index]]="",#N/A,((Tabela1[[#This Row],[Core Consumer Price Index]]*1)/E920)-1)</f>
        <v>1.5958016146138121E-3</v>
      </c>
      <c r="G921" s="8">
        <f>IF(Tabela1[[#This Row],[Core Consumer Price Index]]="",#N/A,((Tabela1[[#This Row],[Core Consumer Price Index]]*1)/E909)-1)</f>
        <v>4.7049249809273386E-2</v>
      </c>
      <c r="H921" s="8">
        <f t="shared" si="50"/>
        <v>3.0108646608051792E-2</v>
      </c>
      <c r="I921" s="8">
        <f t="shared" si="51"/>
        <v>3.9972236406297323E-2</v>
      </c>
      <c r="J921" s="25">
        <v>384.32299999999998</v>
      </c>
      <c r="K921" s="8">
        <f>IF(Tabela1[[#This Row],[Services CPI]]="",#N/A,((Tabela1[[#This Row],[Services CPI]]*1)/J920)-1)</f>
        <v>3.2657046194970452E-3</v>
      </c>
      <c r="L921" s="8">
        <f>IF(Tabela1[[#This Row],[Services CPI]]="",#N/A,((Tabela1[[#This Row],[Services CPI]]*1)/J909)-1)</f>
        <v>5.7084074824861109E-2</v>
      </c>
      <c r="M921" s="7">
        <v>397.41</v>
      </c>
      <c r="N921" s="8">
        <f>IF(Tabela1[[#This Row],[Core-Services CPI]]="",#N/A,((Tabela1[[#This Row],[Core-Services CPI]]*1)/M920)-1)</f>
        <v>3.5200597955638013E-3</v>
      </c>
      <c r="O921" s="8">
        <f>IF(Tabela1[[#This Row],[Core-Services CPI]]="",#N/A,((Tabela1[[#This Row],[Core-Services CPI]]*1)/M909)-1)</f>
        <v>6.1237242241199752E-2</v>
      </c>
      <c r="P921" s="7">
        <v>127.093</v>
      </c>
      <c r="Q921" s="8">
        <f>IF(Tabela1[[#This Row],[Durable Goods CPI]]="",#N/A,((Tabela1[[#This Row],[Durable Goods CPI]]*1)/P920)-1)</f>
        <v>-2.5506600323345063E-3</v>
      </c>
      <c r="R921" s="8">
        <f>IF(Tabela1[[#This Row],[Durable Goods CPI]]="",#N/A,((Tabela1[[#This Row],[Durable Goods CPI]]*1)/P909)-1)</f>
        <v>-1.4064512125114392E-2</v>
      </c>
      <c r="S921" s="7">
        <v>6.0006055829999996</v>
      </c>
      <c r="T921" s="7">
        <v>120.373</v>
      </c>
      <c r="U921" s="8">
        <f>IF(Tabela1[[#This Row],[Personal Consumption Expenditures (PCE)]]="",#N/A,((Tabela1[[#This Row],[Personal Consumption Expenditures (PCE)]]*1)/T920)-1)</f>
        <v>1.264338177190405E-3</v>
      </c>
      <c r="V921" s="8">
        <f>IF(Tabela1[[#This Row],[Personal Consumption Expenditures (PCE)]]="",#N/A,((Tabela1[[#This Row],[Personal Consumption Expenditures (PCE)]]*1)/T909)-1)</f>
        <v>3.314708482460893E-2</v>
      </c>
      <c r="W921" s="7">
        <v>119.33199999999999</v>
      </c>
      <c r="X921" s="8">
        <f>IF(Tabela1[[#This Row],[Core PCE]]="",#N/A,((Tabela1[[#This Row],[Core PCE]]*1)/W920)-1)</f>
        <v>1.1997751470353979E-3</v>
      </c>
      <c r="Y921" s="8">
        <f>IF(Tabela1[[#This Row],[Core PCE]]="",#N/A,((Tabela1[[#This Row],[Core PCE]]*1)/W909)-1)</f>
        <v>4.1891490736375214E-2</v>
      </c>
      <c r="Z921" s="8">
        <f>SUM(X919:X921)*4</f>
        <v>2.3221270177687714E-2</v>
      </c>
      <c r="AA921" s="8">
        <f t="shared" ref="AA921" si="53">SUM(X916:X921)*2</f>
        <v>3.1652554311718095E-2</v>
      </c>
      <c r="AB921" s="7">
        <v>4.18</v>
      </c>
      <c r="AC921" s="7">
        <v>141.52600000000001</v>
      </c>
      <c r="AD921" s="8">
        <f>IF(Tabela1[[#This Row],[Producer Price Index (PPI)]]="",#N/A,((Tabela1[[#This Row],[Producer Price Index (PPI)]]*1)/AC920)-1)</f>
        <v>6.0994682514858845E-3</v>
      </c>
      <c r="AE921" s="8">
        <f>IF(Tabela1[[#This Row],[Producer Price Index (PPI)]]="",#N/A,((Tabela1[[#This Row],[Producer Price Index (PPI)]]*1)/AC909)-1)</f>
        <v>1.2628701855310176E-2</v>
      </c>
      <c r="AF921" s="7">
        <v>3.4</v>
      </c>
      <c r="AG921" s="5"/>
    </row>
    <row r="922" spans="1:33" ht="12.75">
      <c r="A922" s="6">
        <v>45139</v>
      </c>
      <c r="B922" s="7">
        <v>306.26900000000001</v>
      </c>
      <c r="C922" s="8">
        <f>IF(Tabela1[[#This Row],[Consumer Price Index (CPI)]]="",#N/A,((Tabela1[[#This Row],[Consumer Price Index (CPI)]]*1)/B921)-1)</f>
        <v>6.3118535360837669E-3</v>
      </c>
      <c r="D922" s="8">
        <f>IF(Tabela1[[#This Row],[Consumer Price Index (CPI)]]="",#N/A,((Tabela1[[#This Row],[Consumer Price Index (CPI)]]*1)/B910)-1)</f>
        <v>3.7075037247731313E-2</v>
      </c>
      <c r="E922" s="25">
        <v>309.661</v>
      </c>
      <c r="F922" s="8">
        <f>IF(Tabela1[[#This Row],[Core Consumer Price Index]]="",#N/A,((Tabela1[[#This Row],[Core Consumer Price Index]]*1)/E921)-1)</f>
        <v>2.784965074595025E-3</v>
      </c>
      <c r="G922" s="8">
        <f>IF(Tabela1[[#This Row],[Core Consumer Price Index]]="",#N/A,((Tabela1[[#This Row],[Core Consumer Price Index]]*1)/E910)-1)</f>
        <v>4.3898475925282954E-2</v>
      </c>
      <c r="H922" s="8">
        <f t="shared" si="50"/>
        <v>2.3825369371316185E-2</v>
      </c>
      <c r="I922" s="8">
        <f t="shared" si="51"/>
        <v>3.6503574144469475E-2</v>
      </c>
      <c r="J922" s="25">
        <v>385.77800000000002</v>
      </c>
      <c r="K922" s="8">
        <f>IF(Tabela1[[#This Row],[Services CPI]]="",#N/A,((Tabela1[[#This Row],[Services CPI]]*1)/J921)-1)</f>
        <v>3.7858780244743873E-3</v>
      </c>
      <c r="L922" s="8">
        <f>IF(Tabela1[[#This Row],[Services CPI]]="",#N/A,((Tabela1[[#This Row],[Services CPI]]*1)/J910)-1)</f>
        <v>5.3951861869245832E-2</v>
      </c>
      <c r="M922" s="7">
        <v>398.94799999999998</v>
      </c>
      <c r="N922" s="8">
        <f>IF(Tabela1[[#This Row],[Core-Services CPI]]="",#N/A,((Tabela1[[#This Row],[Core-Services CPI]]*1)/M921)-1)</f>
        <v>3.8700586296267492E-3</v>
      </c>
      <c r="O922" s="8">
        <f>IF(Tabela1[[#This Row],[Core-Services CPI]]="",#N/A,((Tabela1[[#This Row],[Core-Services CPI]]*1)/M910)-1)</f>
        <v>5.8916897367226717E-2</v>
      </c>
      <c r="P922" s="7">
        <v>126.74299999999999</v>
      </c>
      <c r="Q922" s="8">
        <f>IF(Tabela1[[#This Row],[Durable Goods CPI]]="",#N/A,((Tabela1[[#This Row],[Durable Goods CPI]]*1)/P921)-1)</f>
        <v>-2.7538888845176634E-3</v>
      </c>
      <c r="R922" s="8">
        <f>IF(Tabela1[[#This Row],[Durable Goods CPI]]="",#N/A,((Tabela1[[#This Row],[Durable Goods CPI]]*1)/P910)-1)</f>
        <v>-1.9730227234055819E-2</v>
      </c>
      <c r="S922" s="7">
        <v>5.6265287400000004</v>
      </c>
      <c r="T922" s="7">
        <v>120.803</v>
      </c>
      <c r="U922" s="8">
        <f>IF(Tabela1[[#This Row],[Personal Consumption Expenditures (PCE)]]="",#N/A,((Tabela1[[#This Row],[Personal Consumption Expenditures (PCE)]]*1)/T921)-1)</f>
        <v>3.5722296528291064E-3</v>
      </c>
      <c r="V922" s="8">
        <f>IF(Tabela1[[#This Row],[Personal Consumption Expenditures (PCE)]]="",#N/A,((Tabela1[[#This Row],[Personal Consumption Expenditures (PCE)]]*1)/T910)-1)</f>
        <v>3.3475917529301125E-2</v>
      </c>
      <c r="W922" s="7">
        <v>119.449</v>
      </c>
      <c r="X922" s="8">
        <f>IF(Tabela1[[#This Row],[Core PCE]]="",#N/A,((Tabela1[[#This Row],[Core PCE]]*1)/W921)-1)</f>
        <v>9.804578822110166E-4</v>
      </c>
      <c r="Y922" s="8">
        <f>IF(Tabela1[[#This Row],[Core PCE]]="",#N/A,((Tabela1[[#This Row],[Core PCE]]*1)/W910)-1)</f>
        <v>3.726184893798079E-2</v>
      </c>
      <c r="Z922" s="8">
        <f>SUM(X920:X922)*4</f>
        <v>1.5612615032335242E-2</v>
      </c>
      <c r="AA922" s="8">
        <f>SUM(X917:X922)*2</f>
        <v>2.6428106423523445E-2</v>
      </c>
      <c r="AB922" s="7">
        <v>3.89</v>
      </c>
      <c r="AC922" s="7">
        <v>142.63200000000001</v>
      </c>
      <c r="AD922" s="8">
        <f>IF(Tabela1[[#This Row],[Producer Price Index (PPI)]]="",#N/A,((Tabela1[[#This Row],[Producer Price Index (PPI)]]*1)/AC921)-1)</f>
        <v>7.8148184785833408E-3</v>
      </c>
      <c r="AE922" s="8">
        <f>IF(Tabela1[[#This Row],[Producer Price Index (PPI)]]="",#N/A,((Tabela1[[#This Row],[Producer Price Index (PPI)]]*1)/AC910)-1)</f>
        <v>2.0337794819335064E-2</v>
      </c>
      <c r="AF922" s="7">
        <v>3.5</v>
      </c>
      <c r="AG922" s="5"/>
    </row>
    <row r="923" spans="1:33" ht="12.75">
      <c r="A923" s="6">
        <v>45170</v>
      </c>
      <c r="B923" s="7">
        <v>307.48099999999999</v>
      </c>
      <c r="C923" s="8">
        <f>IF(Tabela1[[#This Row],[Consumer Price Index (CPI)]]="",#N/A,((Tabela1[[#This Row],[Consumer Price Index (CPI)]]*1)/B922)-1)</f>
        <v>3.9573055059440865E-3</v>
      </c>
      <c r="D923" s="8">
        <f>IF(Tabela1[[#This Row],[Consumer Price Index (CPI)]]="",#N/A,((Tabela1[[#This Row],[Consumer Price Index (CPI)]]*1)/B911)-1)</f>
        <v>3.6899025086076342E-2</v>
      </c>
      <c r="E923" s="25">
        <v>310.661</v>
      </c>
      <c r="F923" s="8">
        <f>IF(Tabela1[[#This Row],[Core Consumer Price Index]]="",#N/A,((Tabela1[[#This Row],[Core Consumer Price Index]]*1)/E922)-1)</f>
        <v>3.2293378888526014E-3</v>
      </c>
      <c r="G923" s="8">
        <f>IF(Tabela1[[#This Row],[Core Consumer Price Index]]="",#N/A,((Tabela1[[#This Row],[Core Consumer Price Index]]*1)/E911)-1)</f>
        <v>4.1302008788659972E-2</v>
      </c>
      <c r="H923" s="8">
        <f t="shared" si="50"/>
        <v>3.0440418312245754E-2</v>
      </c>
      <c r="I923" s="8">
        <f t="shared" si="51"/>
        <v>3.5266653513452706E-2</v>
      </c>
      <c r="J923" s="25">
        <v>387.98099999999999</v>
      </c>
      <c r="K923" s="8">
        <f>IF(Tabela1[[#This Row],[Services CPI]]="",#N/A,((Tabela1[[#This Row],[Services CPI]]*1)/J922)-1)</f>
        <v>5.7105381851738635E-3</v>
      </c>
      <c r="L923" s="8">
        <f>IF(Tabela1[[#This Row],[Services CPI]]="",#N/A,((Tabela1[[#This Row],[Services CPI]]*1)/J911)-1)</f>
        <v>5.1644223263075606E-2</v>
      </c>
      <c r="M923" s="7">
        <v>401.23</v>
      </c>
      <c r="N923" s="8">
        <f>IF(Tabela1[[#This Row],[Core-Services CPI]]="",#N/A,((Tabela1[[#This Row],[Core-Services CPI]]*1)/M922)-1)</f>
        <v>5.7200437149704797E-3</v>
      </c>
      <c r="O923" s="8">
        <f>IF(Tabela1[[#This Row],[Core-Services CPI]]="",#N/A,((Tabela1[[#This Row],[Core-Services CPI]]*1)/M911)-1)</f>
        <v>5.6864098282065845E-2</v>
      </c>
      <c r="P923" s="7">
        <v>126.29</v>
      </c>
      <c r="Q923" s="8">
        <f>IF(Tabela1[[#This Row],[Durable Goods CPI]]="",#N/A,((Tabela1[[#This Row],[Durable Goods CPI]]*1)/P922)-1)</f>
        <v>-3.5741618866523828E-3</v>
      </c>
      <c r="R923" s="8">
        <f>IF(Tabela1[[#This Row],[Durable Goods CPI]]="",#N/A,((Tabela1[[#This Row],[Durable Goods CPI]]*1)/P911)-1)</f>
        <v>-2.206149962443571E-2</v>
      </c>
      <c r="S923" s="7">
        <v>5.4560890200000003</v>
      </c>
      <c r="T923" s="7">
        <v>121.267</v>
      </c>
      <c r="U923" s="8">
        <f>IF(Tabela1[[#This Row],[Personal Consumption Expenditures (PCE)]]="",#N/A,((Tabela1[[#This Row],[Personal Consumption Expenditures (PCE)]]*1)/T922)-1)</f>
        <v>3.8409642144647815E-3</v>
      </c>
      <c r="V923" s="8">
        <f>IF(Tabela1[[#This Row],[Personal Consumption Expenditures (PCE)]]="",#N/A,((Tabela1[[#This Row],[Personal Consumption Expenditures (PCE)]]*1)/T911)-1)</f>
        <v>3.3695893073290462E-2</v>
      </c>
      <c r="W923" s="7">
        <v>119.842</v>
      </c>
      <c r="X923" s="8">
        <f>IF(Tabela1[[#This Row],[Core PCE]]="",#N/A,((Tabela1[[#This Row],[Core PCE]]*1)/W922)-1)</f>
        <v>3.290107074986004E-3</v>
      </c>
      <c r="Y923" s="8">
        <f>IF(Tabela1[[#This Row],[Core PCE]]="",#N/A,((Tabela1[[#This Row],[Core PCE]]*1)/W911)-1)</f>
        <v>3.5924831008073532E-2</v>
      </c>
      <c r="Z923" s="8">
        <f t="shared" ref="Z923:Z926" si="54">SUM(X921:X923)*4</f>
        <v>2.1881360416929674E-2</v>
      </c>
      <c r="AA923" s="8">
        <f t="shared" ref="AA923:AA926" si="55">SUM(X918:X923)*2</f>
        <v>2.6289794577380565E-2</v>
      </c>
      <c r="AB923" s="7">
        <v>3.8</v>
      </c>
      <c r="AC923" s="7">
        <v>143.196</v>
      </c>
      <c r="AD923" s="8">
        <f>IF(Tabela1[[#This Row],[Producer Price Index (PPI)]]="",#N/A,((Tabela1[[#This Row],[Producer Price Index (PPI)]]*1)/AC922)-1)</f>
        <v>3.9542318694261169E-3</v>
      </c>
      <c r="AE923" s="8">
        <f>IF(Tabela1[[#This Row],[Producer Price Index (PPI)]]="",#N/A,((Tabela1[[#This Row],[Producer Price Index (PPI)]]*1)/AC911)-1)</f>
        <v>2.1435042192437415E-2</v>
      </c>
      <c r="AF923" s="7">
        <v>3.2</v>
      </c>
      <c r="AG923" s="5"/>
    </row>
    <row r="924" spans="1:33" ht="12.75">
      <c r="A924" s="6">
        <v>45200</v>
      </c>
      <c r="B924" s="7">
        <v>307.61900000000003</v>
      </c>
      <c r="C924" s="8">
        <f>IF(Tabela1[[#This Row],[Consumer Price Index (CPI)]]="",#N/A,((Tabela1[[#This Row],[Consumer Price Index (CPI)]]*1)/B923)-1)</f>
        <v>4.4880821904458301E-4</v>
      </c>
      <c r="D924" s="8">
        <f>IF(Tabela1[[#This Row],[Consumer Price Index (CPI)]]="",#N/A,((Tabela1[[#This Row],[Consumer Price Index (CPI)]]*1)/B912)-1)</f>
        <v>3.232355773909612E-2</v>
      </c>
      <c r="E924" s="25">
        <v>311.36500000000001</v>
      </c>
      <c r="F924" s="8">
        <f>IF(Tabela1[[#This Row],[Core Consumer Price Index]]="",#N/A,((Tabela1[[#This Row],[Core Consumer Price Index]]*1)/E923)-1)</f>
        <v>2.2661357556952311E-3</v>
      </c>
      <c r="G924" s="8">
        <f>IF(Tabela1[[#This Row],[Core Consumer Price Index]]="",#N/A,((Tabela1[[#This Row],[Core Consumer Price Index]]*1)/E912)-1)</f>
        <v>4.0196035853046652E-2</v>
      </c>
      <c r="H924" s="8">
        <f t="shared" si="50"/>
        <v>3.312175487657143E-2</v>
      </c>
      <c r="I924" s="8">
        <f t="shared" si="51"/>
        <v>3.1615200742311611E-2</v>
      </c>
      <c r="J924" s="25">
        <v>389.31400000000002</v>
      </c>
      <c r="K924" s="8">
        <f>IF(Tabela1[[#This Row],[Services CPI]]="",#N/A,((Tabela1[[#This Row],[Services CPI]]*1)/J923)-1)</f>
        <v>3.4357352550768994E-3</v>
      </c>
      <c r="L924" s="8">
        <f>IF(Tabela1[[#This Row],[Services CPI]]="",#N/A,((Tabela1[[#This Row],[Services CPI]]*1)/J912)-1)</f>
        <v>5.0697786138196976E-2</v>
      </c>
      <c r="M924" s="7">
        <v>402.58100000000002</v>
      </c>
      <c r="N924" s="8">
        <f>IF(Tabela1[[#This Row],[Core-Services CPI]]="",#N/A,((Tabela1[[#This Row],[Core-Services CPI]]*1)/M923)-1)</f>
        <v>3.3671460259701025E-3</v>
      </c>
      <c r="O924" s="8">
        <f>IF(Tabela1[[#This Row],[Core-Services CPI]]="",#N/A,((Tabela1[[#This Row],[Core-Services CPI]]*1)/M912)-1)</f>
        <v>5.5089487657281611E-2</v>
      </c>
      <c r="P924" s="7">
        <v>125.66</v>
      </c>
      <c r="Q924" s="8">
        <f>IF(Tabela1[[#This Row],[Durable Goods CPI]]="",#N/A,((Tabela1[[#This Row],[Durable Goods CPI]]*1)/P923)-1)</f>
        <v>-4.9885184891915735E-3</v>
      </c>
      <c r="R924" s="8">
        <f>IF(Tabela1[[#This Row],[Durable Goods CPI]]="",#N/A,((Tabela1[[#This Row],[Durable Goods CPI]]*1)/P912)-1)</f>
        <v>-2.0668370846062878E-2</v>
      </c>
      <c r="S924" s="7">
        <v>5.217342854</v>
      </c>
      <c r="T924" s="7">
        <v>121.309</v>
      </c>
      <c r="U924" s="8">
        <f>IF(Tabela1[[#This Row],[Personal Consumption Expenditures (PCE)]]="",#N/A,((Tabela1[[#This Row],[Personal Consumption Expenditures (PCE)]]*1)/T923)-1)</f>
        <v>3.4634319311943607E-4</v>
      </c>
      <c r="V924" s="8">
        <f>IF(Tabela1[[#This Row],[Personal Consumption Expenditures (PCE)]]="",#N/A,((Tabela1[[#This Row],[Personal Consumption Expenditures (PCE)]]*1)/T912)-1)</f>
        <v>2.9420749817552272E-2</v>
      </c>
      <c r="W924" s="7">
        <v>120.02</v>
      </c>
      <c r="X924" s="8">
        <f>IF(Tabela1[[#This Row],[Core PCE]]="",#N/A,((Tabela1[[#This Row],[Core PCE]]*1)/W923)-1)</f>
        <v>1.4852889638024003E-3</v>
      </c>
      <c r="Y924" s="8">
        <f>IF(Tabela1[[#This Row],[Core PCE]]="",#N/A,((Tabela1[[#This Row],[Core PCE]]*1)/W912)-1)</f>
        <v>3.3879762591849216E-2</v>
      </c>
      <c r="Z924" s="8">
        <f t="shared" si="54"/>
        <v>2.3023415683997683E-2</v>
      </c>
      <c r="AA924" s="8">
        <f t="shared" si="55"/>
        <v>2.3122342930842699E-2</v>
      </c>
      <c r="AB924" s="7">
        <v>3.6</v>
      </c>
      <c r="AC924" s="7">
        <v>142.536</v>
      </c>
      <c r="AD924" s="8">
        <f>IF(Tabela1[[#This Row],[Producer Price Index (PPI)]]="",#N/A,((Tabela1[[#This Row],[Producer Price Index (PPI)]]*1)/AC923)-1)</f>
        <v>-4.6090672923824183E-3</v>
      </c>
      <c r="AE924" s="8">
        <f>IF(Tabela1[[#This Row],[Producer Price Index (PPI)]]="",#N/A,((Tabela1[[#This Row],[Producer Price Index (PPI)]]*1)/AC912)-1)</f>
        <v>1.348122866894208E-2</v>
      </c>
      <c r="AF924" s="7">
        <v>4.2</v>
      </c>
      <c r="AG924" s="5"/>
    </row>
    <row r="925" spans="1:33" ht="12.75">
      <c r="A925" s="6">
        <v>45231</v>
      </c>
      <c r="B925" s="7">
        <v>307.91699999999997</v>
      </c>
      <c r="C925" s="8">
        <f>IF(Tabela1[[#This Row],[Consumer Price Index (CPI)]]="",#N/A,((Tabela1[[#This Row],[Consumer Price Index (CPI)]]*1)/B924)-1)</f>
        <v>9.687308001129491E-4</v>
      </c>
      <c r="D925" s="8">
        <f>IF(Tabela1[[#This Row],[Consumer Price Index (CPI)]]="",#N/A,((Tabela1[[#This Row],[Consumer Price Index (CPI)]]*1)/B913)-1)</f>
        <v>3.1209184254415545E-2</v>
      </c>
      <c r="E925" s="25">
        <v>312.25099999999998</v>
      </c>
      <c r="F925" s="8">
        <f>IF(Tabela1[[#This Row],[Core Consumer Price Index]]="",#N/A,((Tabela1[[#This Row],[Core Consumer Price Index]]*1)/E924)-1)</f>
        <v>2.8455349830582843E-3</v>
      </c>
      <c r="G925" s="8">
        <f>IF(Tabela1[[#This Row],[Core Consumer Price Index]]="",#N/A,((Tabela1[[#This Row],[Core Consumer Price Index]]*1)/E913)-1)</f>
        <v>3.9931925891141251E-2</v>
      </c>
      <c r="H925" s="8">
        <f t="shared" si="50"/>
        <v>3.3364034510424467E-2</v>
      </c>
      <c r="I925" s="8">
        <f t="shared" si="51"/>
        <v>2.8594701940870326E-2</v>
      </c>
      <c r="J925" s="25">
        <v>391.40300000000002</v>
      </c>
      <c r="K925" s="8">
        <f>IF(Tabela1[[#This Row],[Services CPI]]="",#N/A,((Tabela1[[#This Row],[Services CPI]]*1)/J924)-1)</f>
        <v>5.3658486465937294E-3</v>
      </c>
      <c r="L925" s="8">
        <f>IF(Tabela1[[#This Row],[Services CPI]]="",#N/A,((Tabela1[[#This Row],[Services CPI]]*1)/J913)-1)</f>
        <v>5.1816479048481634E-2</v>
      </c>
      <c r="M925" s="7">
        <v>404.476</v>
      </c>
      <c r="N925" s="8">
        <f>IF(Tabela1[[#This Row],[Core-Services CPI]]="",#N/A,((Tabela1[[#This Row],[Core-Services CPI]]*1)/M924)-1)</f>
        <v>4.7071272613461446E-3</v>
      </c>
      <c r="O925" s="8">
        <f>IF(Tabela1[[#This Row],[Core-Services CPI]]="",#N/A,((Tabela1[[#This Row],[Core-Services CPI]]*1)/M913)-1)</f>
        <v>5.4861255998330805E-2</v>
      </c>
      <c r="P925" s="7">
        <v>125.19199999999999</v>
      </c>
      <c r="Q925" s="8">
        <f>IF(Tabela1[[#This Row],[Durable Goods CPI]]="",#N/A,((Tabela1[[#This Row],[Durable Goods CPI]]*1)/P924)-1)</f>
        <v>-3.7243355085150309E-3</v>
      </c>
      <c r="R925" s="8">
        <f>IF(Tabela1[[#This Row],[Durable Goods CPI]]="",#N/A,((Tabela1[[#This Row],[Durable Goods CPI]]*1)/P913)-1)</f>
        <v>-1.6002766686578407E-2</v>
      </c>
      <c r="S925" s="7">
        <v>5.0087823870000001</v>
      </c>
      <c r="T925" s="7">
        <v>121.22199999999999</v>
      </c>
      <c r="U925" s="8">
        <f>IF(Tabela1[[#This Row],[Personal Consumption Expenditures (PCE)]]="",#N/A,((Tabela1[[#This Row],[Personal Consumption Expenditures (PCE)]]*1)/T924)-1)</f>
        <v>-7.1717679644545118E-4</v>
      </c>
      <c r="V925" s="8">
        <f>IF(Tabela1[[#This Row],[Personal Consumption Expenditures (PCE)]]="",#N/A,((Tabela1[[#This Row],[Personal Consumption Expenditures (PCE)]]*1)/T913)-1)</f>
        <v>2.6400460610986887E-2</v>
      </c>
      <c r="W925" s="7">
        <v>120.09</v>
      </c>
      <c r="X925" s="8">
        <f>IF(Tabela1[[#This Row],[Core PCE]]="",#N/A,((Tabela1[[#This Row],[Core PCE]]*1)/W924)-1)</f>
        <v>5.832361273121478E-4</v>
      </c>
      <c r="Y925" s="8">
        <f>IF(Tabela1[[#This Row],[Core PCE]]="",#N/A,((Tabela1[[#This Row],[Core PCE]]*1)/W913)-1)</f>
        <v>3.1550374945239934E-2</v>
      </c>
      <c r="Z925" s="8">
        <f t="shared" si="54"/>
        <v>2.1434528664402208E-2</v>
      </c>
      <c r="AA925" s="8">
        <f t="shared" si="55"/>
        <v>1.8523571848368725E-2</v>
      </c>
      <c r="AB925" s="7">
        <v>3.41</v>
      </c>
      <c r="AC925" s="7"/>
      <c r="AD925" s="8" t="e">
        <f>IF(Tabela1[[#This Row],[Producer Price Index (PPI)]]="",#N/A,((Tabela1[[#This Row],[Producer Price Index (PPI)]]*1)/AC924)-1)</f>
        <v>#N/A</v>
      </c>
      <c r="AE925" s="8" t="e">
        <f>IF(Tabela1[[#This Row],[Producer Price Index (PPI)]]="",#N/A,((Tabela1[[#This Row],[Producer Price Index (PPI)]]*1)/AC913)-1)</f>
        <v>#N/A</v>
      </c>
      <c r="AF925" s="7">
        <v>4.5</v>
      </c>
      <c r="AG925" s="5"/>
    </row>
    <row r="926" spans="1:33" ht="12.75">
      <c r="A926" s="6">
        <v>45261</v>
      </c>
      <c r="B926" s="7">
        <v>308.85000000000002</v>
      </c>
      <c r="C926" s="8">
        <f>IF(Tabela1[[#This Row],[Consumer Price Index (CPI)]]="",#N/A,((Tabela1[[#This Row],[Consumer Price Index (CPI)]]*1)/B925)-1)</f>
        <v>3.0300373152507554E-3</v>
      </c>
      <c r="D926" s="8">
        <f>IF(Tabela1[[#This Row],[Consumer Price Index (CPI)]]="",#N/A,((Tabela1[[#This Row],[Consumer Price Index (CPI)]]*1)/B914)-1)</f>
        <v>3.2977691561590694E-2</v>
      </c>
      <c r="E926" s="89">
        <v>313.21600000000001</v>
      </c>
      <c r="F926" s="8">
        <f>IF(Tabela1[[#This Row],[Core Consumer Price Index]]="",#N/A,((Tabela1[[#This Row],[Core Consumer Price Index]]*1)/E925)-1)</f>
        <v>3.0904624805045966E-3</v>
      </c>
      <c r="G926" s="8">
        <f>IF(Tabela1[[#This Row],[Core Consumer Price Index]]="",#N/A,((Tabela1[[#This Row],[Core Consumer Price Index]]*1)/E914)-1)</f>
        <v>3.8996881841703912E-2</v>
      </c>
      <c r="H926" s="8">
        <f t="shared" si="50"/>
        <v>3.2808532877032448E-2</v>
      </c>
      <c r="I926" s="8">
        <f t="shared" si="51"/>
        <v>3.1624475594639101E-2</v>
      </c>
      <c r="J926" s="70">
        <v>393.21100000000001</v>
      </c>
      <c r="K926" s="8">
        <f>IF(Tabela1[[#This Row],[Services CPI]]="",#N/A,((Tabela1[[#This Row],[Services CPI]]*1)/J925)-1)</f>
        <v>4.6192798726631956E-3</v>
      </c>
      <c r="L926" s="8">
        <f>IF(Tabela1[[#This Row],[Services CPI]]="",#N/A,((Tabela1[[#This Row],[Services CPI]]*1)/J914)-1)</f>
        <v>4.9477811318136E-2</v>
      </c>
      <c r="M926" s="89">
        <v>406.23899999999998</v>
      </c>
      <c r="N926" s="8">
        <f>IF(Tabela1[[#This Row],[Core-Services CPI]]="",#N/A,((Tabela1[[#This Row],[Core-Services CPI]]*1)/M925)-1)</f>
        <v>4.3587258576527343E-3</v>
      </c>
      <c r="O926" s="8">
        <f>IF(Tabela1[[#This Row],[Core-Services CPI]]="",#N/A,((Tabela1[[#This Row],[Core-Services CPI]]*1)/M914)-1)</f>
        <v>5.304100555502278E-2</v>
      </c>
      <c r="P926" s="89">
        <v>124.578</v>
      </c>
      <c r="Q926" s="8">
        <f>IF(Tabela1[[#This Row],[Durable Goods CPI]]="",#N/A,((Tabela1[[#This Row],[Durable Goods CPI]]*1)/P925)-1)</f>
        <v>-4.9044667390887309E-3</v>
      </c>
      <c r="R926" s="8">
        <f>IF(Tabela1[[#This Row],[Durable Goods CPI]]="",#N/A,((Tabela1[[#This Row],[Durable Goods CPI]]*1)/P914)-1)</f>
        <v>-1.244569870311063E-2</v>
      </c>
      <c r="S926" s="7">
        <v>4.9319558140000002</v>
      </c>
      <c r="T926" s="7"/>
      <c r="U926" s="8" t="e">
        <f>IF(Tabela1[[#This Row],[Personal Consumption Expenditures (PCE)]]="",#N/A,((Tabela1[[#This Row],[Personal Consumption Expenditures (PCE)]]*1)/T925)-1)</f>
        <v>#N/A</v>
      </c>
      <c r="V926" s="8" t="e">
        <f>IF(Tabela1[[#This Row],[Personal Consumption Expenditures (PCE)]]="",#N/A,((Tabela1[[#This Row],[Personal Consumption Expenditures (PCE)]]*1)/T914)-1)</f>
        <v>#N/A</v>
      </c>
      <c r="W926" s="7"/>
      <c r="X926" s="8" t="e">
        <f>IF(Tabela1[[#This Row],[Core PCE]]="",#N/A,((Tabela1[[#This Row],[Core PCE]]*1)/W925)-1)</f>
        <v>#N/A</v>
      </c>
      <c r="Y926" s="8" t="e">
        <f>IF(Tabela1[[#This Row],[Core PCE]]="",#N/A,((Tabela1[[#This Row],[Core PCE]]*1)/W914)-1)</f>
        <v>#N/A</v>
      </c>
      <c r="Z926" s="8" t="e">
        <f t="shared" si="54"/>
        <v>#N/A</v>
      </c>
      <c r="AA926" s="8" t="e">
        <f t="shared" si="55"/>
        <v>#N/A</v>
      </c>
      <c r="AB926" s="7"/>
      <c r="AC926" s="7"/>
      <c r="AD926" s="8" t="e">
        <f>IF(Tabela1[[#This Row],[Producer Price Index (PPI)]]="",#N/A,((Tabela1[[#This Row],[Producer Price Index (PPI)]]*1)/AC925)-1)</f>
        <v>#N/A</v>
      </c>
      <c r="AE926" s="8" t="e">
        <f>IF(Tabela1[[#This Row],[Producer Price Index (PPI)]]="",#N/A,((Tabela1[[#This Row],[Producer Price Index (PPI)]]*1)/AC914)-1)</f>
        <v>#N/A</v>
      </c>
      <c r="AF926" s="7">
        <v>3.1</v>
      </c>
      <c r="AG926" s="5"/>
    </row>
    <row r="927" spans="1:33" ht="12.75">
      <c r="A927" s="6">
        <v>45292</v>
      </c>
      <c r="B927" s="7"/>
      <c r="C927" s="8" t="e">
        <f>IF(Tabela1[[#This Row],[Consumer Price Index (CPI)]]="",#N/A,((Tabela1[[#This Row],[Consumer Price Index (CPI)]]*1)/B926)-1)</f>
        <v>#N/A</v>
      </c>
      <c r="D927" s="8" t="e">
        <f>IF(Tabela1[[#This Row],[Consumer Price Index (CPI)]]="",#N/A,((Tabela1[[#This Row],[Consumer Price Index (CPI)]]*1)/B915)-1)</f>
        <v>#N/A</v>
      </c>
      <c r="E927" s="7"/>
      <c r="F927" s="8" t="e">
        <f>IF(Tabela1[[#This Row],[Core Consumer Price Index]]="",#N/A,((Tabela1[[#This Row],[Core Consumer Price Index]]*1)/E926)-1)</f>
        <v>#N/A</v>
      </c>
      <c r="G927" s="8" t="e">
        <f>IF(Tabela1[[#This Row],[Core Consumer Price Index]]="",#N/A,((Tabela1[[#This Row],[Core Consumer Price Index]]*1)/E915)-1)</f>
        <v>#N/A</v>
      </c>
      <c r="H927" s="8" t="e">
        <f t="shared" ref="H927:H938" si="56">SUM(F925:F927)*4</f>
        <v>#N/A</v>
      </c>
      <c r="I927" s="8" t="e">
        <f t="shared" ref="I927:I938" si="57">SUM(F922:F927)*2</f>
        <v>#N/A</v>
      </c>
      <c r="J927" s="25"/>
      <c r="K927" s="8" t="e">
        <f>IF(Tabela1[[#This Row],[Services CPI]]="",#N/A,((Tabela1[[#This Row],[Services CPI]]*1)/J926)-1)</f>
        <v>#N/A</v>
      </c>
      <c r="L927" s="8" t="e">
        <f>IF(Tabela1[[#This Row],[Services CPI]]="",#N/A,((Tabela1[[#This Row],[Services CPI]]*1)/J915)-1)</f>
        <v>#N/A</v>
      </c>
      <c r="M927" s="7"/>
      <c r="N927" s="8" t="e">
        <f>IF(Tabela1[[#This Row],[Core-Services CPI]]="",#N/A,((Tabela1[[#This Row],[Core-Services CPI]]*1)/M926)-1)</f>
        <v>#N/A</v>
      </c>
      <c r="O927" s="8" t="e">
        <f>IF(Tabela1[[#This Row],[Core-Services CPI]]="",#N/A,((Tabela1[[#This Row],[Core-Services CPI]]*1)/M915)-1)</f>
        <v>#N/A</v>
      </c>
      <c r="P927" s="7"/>
      <c r="Q927" s="8" t="e">
        <f>IF(Tabela1[[#This Row],[Durable Goods CPI]]="",#N/A,((Tabela1[[#This Row],[Durable Goods CPI]]*1)/P926)-1)</f>
        <v>#N/A</v>
      </c>
      <c r="R927" s="8" t="e">
        <f>IF(Tabela1[[#This Row],[Durable Goods CPI]]="",#N/A,((Tabela1[[#This Row],[Durable Goods CPI]]*1)/P915)-1)</f>
        <v>#N/A</v>
      </c>
      <c r="S927" s="7">
        <v>4.7306294439999999</v>
      </c>
      <c r="T927" s="7"/>
      <c r="U927" s="8" t="e">
        <f>IF(Tabela1[[#This Row],[Personal Consumption Expenditures (PCE)]]="",#N/A,((Tabela1[[#This Row],[Personal Consumption Expenditures (PCE)]]*1)/T926)-1)</f>
        <v>#N/A</v>
      </c>
      <c r="V927" s="8" t="e">
        <f>IF(Tabela1[[#This Row],[Personal Consumption Expenditures (PCE)]]="",#N/A,((Tabela1[[#This Row],[Personal Consumption Expenditures (PCE)]]*1)/T915)-1)</f>
        <v>#N/A</v>
      </c>
      <c r="W927" s="7"/>
      <c r="X927" s="8" t="e">
        <f>IF(Tabela1[[#This Row],[Core PCE]]="",#N/A,((Tabela1[[#This Row],[Core PCE]]*1)/W926)-1)</f>
        <v>#N/A</v>
      </c>
      <c r="Y927" s="8" t="e">
        <f>IF(Tabela1[[#This Row],[Core PCE]]="",#N/A,((Tabela1[[#This Row],[Core PCE]]*1)/W915)-1)</f>
        <v>#N/A</v>
      </c>
      <c r="Z927" s="8" t="e">
        <f t="shared" ref="Z927:Z938" si="58">SUM(X925:X927)*4</f>
        <v>#N/A</v>
      </c>
      <c r="AA927" s="8" t="e">
        <f t="shared" ref="AA927:AA938" si="59">SUM(X922:X927)*2</f>
        <v>#N/A</v>
      </c>
      <c r="AB927" s="7"/>
      <c r="AC927" s="7"/>
      <c r="AD927" s="8" t="e">
        <f>IF(Tabela1[[#This Row],[Producer Price Index (PPI)]]="",#N/A,((Tabela1[[#This Row],[Producer Price Index (PPI)]]*1)/AC926)-1)</f>
        <v>#N/A</v>
      </c>
      <c r="AE927" s="8" t="e">
        <f>IF(Tabela1[[#This Row],[Producer Price Index (PPI)]]="",#N/A,((Tabela1[[#This Row],[Producer Price Index (PPI)]]*1)/AC915)-1)</f>
        <v>#N/A</v>
      </c>
      <c r="AF927" s="7">
        <v>2.9</v>
      </c>
    </row>
    <row r="928" spans="1:33" ht="12.75">
      <c r="A928" s="6">
        <v>45323</v>
      </c>
      <c r="B928" s="7"/>
      <c r="C928" s="8" t="e">
        <f>IF(Tabela1[[#This Row],[Consumer Price Index (CPI)]]="",#N/A,((Tabela1[[#This Row],[Consumer Price Index (CPI)]]*1)/B927)-1)</f>
        <v>#N/A</v>
      </c>
      <c r="D928" s="8" t="e">
        <f>IF(Tabela1[[#This Row],[Consumer Price Index (CPI)]]="",#N/A,((Tabela1[[#This Row],[Consumer Price Index (CPI)]]*1)/B916)-1)</f>
        <v>#N/A</v>
      </c>
      <c r="E928" s="7"/>
      <c r="F928" s="8" t="e">
        <f>IF(Tabela1[[#This Row],[Core Consumer Price Index]]="",#N/A,((Tabela1[[#This Row],[Core Consumer Price Index]]*1)/E927)-1)</f>
        <v>#N/A</v>
      </c>
      <c r="G928" s="8" t="e">
        <f>IF(Tabela1[[#This Row],[Core Consumer Price Index]]="",#N/A,((Tabela1[[#This Row],[Core Consumer Price Index]]*1)/E916)-1)</f>
        <v>#N/A</v>
      </c>
      <c r="H928" s="8" t="e">
        <f t="shared" si="56"/>
        <v>#N/A</v>
      </c>
      <c r="I928" s="8" t="e">
        <f t="shared" si="57"/>
        <v>#N/A</v>
      </c>
      <c r="J928" s="25"/>
      <c r="K928" s="8" t="e">
        <f>IF(Tabela1[[#This Row],[Services CPI]]="",#N/A,((Tabela1[[#This Row],[Services CPI]]*1)/J927)-1)</f>
        <v>#N/A</v>
      </c>
      <c r="L928" s="8" t="e">
        <f>IF(Tabela1[[#This Row],[Services CPI]]="",#N/A,((Tabela1[[#This Row],[Services CPI]]*1)/J916)-1)</f>
        <v>#N/A</v>
      </c>
      <c r="M928" s="7"/>
      <c r="N928" s="8" t="e">
        <f>IF(Tabela1[[#This Row],[Core-Services CPI]]="",#N/A,((Tabela1[[#This Row],[Core-Services CPI]]*1)/M927)-1)</f>
        <v>#N/A</v>
      </c>
      <c r="O928" s="8" t="e">
        <f>IF(Tabela1[[#This Row],[Core-Services CPI]]="",#N/A,((Tabela1[[#This Row],[Core-Services CPI]]*1)/M916)-1)</f>
        <v>#N/A</v>
      </c>
      <c r="P928" s="7"/>
      <c r="Q928" s="8" t="e">
        <f>IF(Tabela1[[#This Row],[Durable Goods CPI]]="",#N/A,((Tabela1[[#This Row],[Durable Goods CPI]]*1)/P927)-1)</f>
        <v>#N/A</v>
      </c>
      <c r="R928" s="8" t="e">
        <f>IF(Tabela1[[#This Row],[Durable Goods CPI]]="",#N/A,((Tabela1[[#This Row],[Durable Goods CPI]]*1)/P916)-1)</f>
        <v>#N/A</v>
      </c>
      <c r="S928" s="7">
        <v>4.584186077</v>
      </c>
      <c r="T928" s="7"/>
      <c r="U928" s="8" t="e">
        <f>IF(Tabela1[[#This Row],[Personal Consumption Expenditures (PCE)]]="",#N/A,((Tabela1[[#This Row],[Personal Consumption Expenditures (PCE)]]*1)/T927)-1)</f>
        <v>#N/A</v>
      </c>
      <c r="V928" s="8" t="e">
        <f>IF(Tabela1[[#This Row],[Personal Consumption Expenditures (PCE)]]="",#N/A,((Tabela1[[#This Row],[Personal Consumption Expenditures (PCE)]]*1)/T916)-1)</f>
        <v>#N/A</v>
      </c>
      <c r="W928" s="7"/>
      <c r="X928" s="8" t="e">
        <f>IF(Tabela1[[#This Row],[Core PCE]]="",#N/A,((Tabela1[[#This Row],[Core PCE]]*1)/W927)-1)</f>
        <v>#N/A</v>
      </c>
      <c r="Y928" s="8" t="e">
        <f>IF(Tabela1[[#This Row],[Core PCE]]="",#N/A,((Tabela1[[#This Row],[Core PCE]]*1)/W916)-1)</f>
        <v>#N/A</v>
      </c>
      <c r="Z928" s="8" t="e">
        <f t="shared" si="58"/>
        <v>#N/A</v>
      </c>
      <c r="AA928" s="8" t="e">
        <f t="shared" si="59"/>
        <v>#N/A</v>
      </c>
      <c r="AB928" s="7"/>
      <c r="AC928" s="7"/>
      <c r="AD928" s="8" t="e">
        <f>IF(Tabela1[[#This Row],[Producer Price Index (PPI)]]="",#N/A,((Tabela1[[#This Row],[Producer Price Index (PPI)]]*1)/AC927)-1)</f>
        <v>#N/A</v>
      </c>
      <c r="AE928" s="8" t="e">
        <f>IF(Tabela1[[#This Row],[Producer Price Index (PPI)]]="",#N/A,((Tabela1[[#This Row],[Producer Price Index (PPI)]]*1)/AC916)-1)</f>
        <v>#N/A</v>
      </c>
      <c r="AF928" s="7"/>
    </row>
    <row r="929" spans="1:32" ht="12.75">
      <c r="A929" s="6">
        <v>45352</v>
      </c>
      <c r="B929" s="7"/>
      <c r="C929" s="8" t="e">
        <f>IF(Tabela1[[#This Row],[Consumer Price Index (CPI)]]="",#N/A,((Tabela1[[#This Row],[Consumer Price Index (CPI)]]*1)/B928)-1)</f>
        <v>#N/A</v>
      </c>
      <c r="D929" s="8" t="e">
        <f>IF(Tabela1[[#This Row],[Consumer Price Index (CPI)]]="",#N/A,((Tabela1[[#This Row],[Consumer Price Index (CPI)]]*1)/B917)-1)</f>
        <v>#N/A</v>
      </c>
      <c r="E929" s="7"/>
      <c r="F929" s="8" t="e">
        <f>IF(Tabela1[[#This Row],[Core Consumer Price Index]]="",#N/A,((Tabela1[[#This Row],[Core Consumer Price Index]]*1)/E928)-1)</f>
        <v>#N/A</v>
      </c>
      <c r="G929" s="8" t="e">
        <f>IF(Tabela1[[#This Row],[Core Consumer Price Index]]="",#N/A,((Tabela1[[#This Row],[Core Consumer Price Index]]*1)/E917)-1)</f>
        <v>#N/A</v>
      </c>
      <c r="H929" s="8" t="e">
        <f t="shared" si="56"/>
        <v>#N/A</v>
      </c>
      <c r="I929" s="8" t="e">
        <f t="shared" si="57"/>
        <v>#N/A</v>
      </c>
      <c r="J929" s="25"/>
      <c r="K929" s="8" t="e">
        <f>IF(Tabela1[[#This Row],[Services CPI]]="",#N/A,((Tabela1[[#This Row],[Services CPI]]*1)/J928)-1)</f>
        <v>#N/A</v>
      </c>
      <c r="L929" s="8" t="e">
        <f>IF(Tabela1[[#This Row],[Services CPI]]="",#N/A,((Tabela1[[#This Row],[Services CPI]]*1)/J917)-1)</f>
        <v>#N/A</v>
      </c>
      <c r="M929" s="7"/>
      <c r="N929" s="8" t="e">
        <f>IF(Tabela1[[#This Row],[Core-Services CPI]]="",#N/A,((Tabela1[[#This Row],[Core-Services CPI]]*1)/M928)-1)</f>
        <v>#N/A</v>
      </c>
      <c r="O929" s="8" t="e">
        <f>IF(Tabela1[[#This Row],[Core-Services CPI]]="",#N/A,((Tabela1[[#This Row],[Core-Services CPI]]*1)/M917)-1)</f>
        <v>#N/A</v>
      </c>
      <c r="P929" s="7"/>
      <c r="Q929" s="8" t="e">
        <f>IF(Tabela1[[#This Row],[Durable Goods CPI]]="",#N/A,((Tabela1[[#This Row],[Durable Goods CPI]]*1)/P928)-1)</f>
        <v>#N/A</v>
      </c>
      <c r="R929" s="8" t="e">
        <f>IF(Tabela1[[#This Row],[Durable Goods CPI]]="",#N/A,((Tabela1[[#This Row],[Durable Goods CPI]]*1)/P917)-1)</f>
        <v>#N/A</v>
      </c>
      <c r="S929" s="7"/>
      <c r="T929" s="7"/>
      <c r="U929" s="8" t="e">
        <f>IF(Tabela1[[#This Row],[Personal Consumption Expenditures (PCE)]]="",#N/A,((Tabela1[[#This Row],[Personal Consumption Expenditures (PCE)]]*1)/T928)-1)</f>
        <v>#N/A</v>
      </c>
      <c r="V929" s="8" t="e">
        <f>IF(Tabela1[[#This Row],[Personal Consumption Expenditures (PCE)]]="",#N/A,((Tabela1[[#This Row],[Personal Consumption Expenditures (PCE)]]*1)/T917)-1)</f>
        <v>#N/A</v>
      </c>
      <c r="W929" s="7"/>
      <c r="X929" s="8" t="e">
        <f>IF(Tabela1[[#This Row],[Core PCE]]="",#N/A,((Tabela1[[#This Row],[Core PCE]]*1)/W928)-1)</f>
        <v>#N/A</v>
      </c>
      <c r="Y929" s="8" t="e">
        <f>IF(Tabela1[[#This Row],[Core PCE]]="",#N/A,((Tabela1[[#This Row],[Core PCE]]*1)/W917)-1)</f>
        <v>#N/A</v>
      </c>
      <c r="Z929" s="8" t="e">
        <f t="shared" si="58"/>
        <v>#N/A</v>
      </c>
      <c r="AA929" s="8" t="e">
        <f t="shared" si="59"/>
        <v>#N/A</v>
      </c>
      <c r="AB929" s="7"/>
      <c r="AC929" s="7"/>
      <c r="AD929" s="8" t="e">
        <f>IF(Tabela1[[#This Row],[Producer Price Index (PPI)]]="",#N/A,((Tabela1[[#This Row],[Producer Price Index (PPI)]]*1)/AC928)-1)</f>
        <v>#N/A</v>
      </c>
      <c r="AE929" s="8" t="e">
        <f>IF(Tabela1[[#This Row],[Producer Price Index (PPI)]]="",#N/A,((Tabela1[[#This Row],[Producer Price Index (PPI)]]*1)/AC917)-1)</f>
        <v>#N/A</v>
      </c>
      <c r="AF929" s="7"/>
    </row>
    <row r="930" spans="1:32" ht="12.75">
      <c r="A930" s="6">
        <v>45383</v>
      </c>
      <c r="B930" s="7"/>
      <c r="C930" s="8" t="e">
        <f>IF(Tabela1[[#This Row],[Consumer Price Index (CPI)]]="",#N/A,((Tabela1[[#This Row],[Consumer Price Index (CPI)]]*1)/B929)-1)</f>
        <v>#N/A</v>
      </c>
      <c r="D930" s="8" t="e">
        <f>IF(Tabela1[[#This Row],[Consumer Price Index (CPI)]]="",#N/A,((Tabela1[[#This Row],[Consumer Price Index (CPI)]]*1)/B918)-1)</f>
        <v>#N/A</v>
      </c>
      <c r="E930" s="7"/>
      <c r="F930" s="8" t="e">
        <f>IF(Tabela1[[#This Row],[Core Consumer Price Index]]="",#N/A,((Tabela1[[#This Row],[Core Consumer Price Index]]*1)/E929)-1)</f>
        <v>#N/A</v>
      </c>
      <c r="G930" s="8" t="e">
        <f>IF(Tabela1[[#This Row],[Core Consumer Price Index]]="",#N/A,((Tabela1[[#This Row],[Core Consumer Price Index]]*1)/E918)-1)</f>
        <v>#N/A</v>
      </c>
      <c r="H930" s="8" t="e">
        <f t="shared" si="56"/>
        <v>#N/A</v>
      </c>
      <c r="I930" s="8" t="e">
        <f t="shared" si="57"/>
        <v>#N/A</v>
      </c>
      <c r="J930" s="25"/>
      <c r="K930" s="8" t="e">
        <f>IF(Tabela1[[#This Row],[Services CPI]]="",#N/A,((Tabela1[[#This Row],[Services CPI]]*1)/J929)-1)</f>
        <v>#N/A</v>
      </c>
      <c r="L930" s="8" t="e">
        <f>IF(Tabela1[[#This Row],[Services CPI]]="",#N/A,((Tabela1[[#This Row],[Services CPI]]*1)/J918)-1)</f>
        <v>#N/A</v>
      </c>
      <c r="M930" s="7"/>
      <c r="N930" s="8" t="e">
        <f>IF(Tabela1[[#This Row],[Core-Services CPI]]="",#N/A,((Tabela1[[#This Row],[Core-Services CPI]]*1)/M929)-1)</f>
        <v>#N/A</v>
      </c>
      <c r="O930" s="8" t="e">
        <f>IF(Tabela1[[#This Row],[Core-Services CPI]]="",#N/A,((Tabela1[[#This Row],[Core-Services CPI]]*1)/M918)-1)</f>
        <v>#N/A</v>
      </c>
      <c r="P930" s="7"/>
      <c r="Q930" s="8" t="e">
        <f>IF(Tabela1[[#This Row],[Durable Goods CPI]]="",#N/A,((Tabela1[[#This Row],[Durable Goods CPI]]*1)/P929)-1)</f>
        <v>#N/A</v>
      </c>
      <c r="R930" s="8" t="e">
        <f>IF(Tabela1[[#This Row],[Durable Goods CPI]]="",#N/A,((Tabela1[[#This Row],[Durable Goods CPI]]*1)/P918)-1)</f>
        <v>#N/A</v>
      </c>
      <c r="S930" s="7"/>
      <c r="T930" s="7"/>
      <c r="U930" s="8" t="e">
        <f>IF(Tabela1[[#This Row],[Personal Consumption Expenditures (PCE)]]="",#N/A,((Tabela1[[#This Row],[Personal Consumption Expenditures (PCE)]]*1)/T929)-1)</f>
        <v>#N/A</v>
      </c>
      <c r="V930" s="8" t="e">
        <f>IF(Tabela1[[#This Row],[Personal Consumption Expenditures (PCE)]]="",#N/A,((Tabela1[[#This Row],[Personal Consumption Expenditures (PCE)]]*1)/T918)-1)</f>
        <v>#N/A</v>
      </c>
      <c r="W930" s="7"/>
      <c r="X930" s="8" t="e">
        <f>IF(Tabela1[[#This Row],[Core PCE]]="",#N/A,((Tabela1[[#This Row],[Core PCE]]*1)/W929)-1)</f>
        <v>#N/A</v>
      </c>
      <c r="Y930" s="8" t="e">
        <f>IF(Tabela1[[#This Row],[Core PCE]]="",#N/A,((Tabela1[[#This Row],[Core PCE]]*1)/W918)-1)</f>
        <v>#N/A</v>
      </c>
      <c r="Z930" s="8" t="e">
        <f t="shared" si="58"/>
        <v>#N/A</v>
      </c>
      <c r="AA930" s="8" t="e">
        <f t="shared" si="59"/>
        <v>#N/A</v>
      </c>
      <c r="AB930" s="7"/>
      <c r="AC930" s="7"/>
      <c r="AD930" s="8" t="e">
        <f>IF(Tabela1[[#This Row],[Producer Price Index (PPI)]]="",#N/A,((Tabela1[[#This Row],[Producer Price Index (PPI)]]*1)/AC929)-1)</f>
        <v>#N/A</v>
      </c>
      <c r="AE930" s="8" t="e">
        <f>IF(Tabela1[[#This Row],[Producer Price Index (PPI)]]="",#N/A,((Tabela1[[#This Row],[Producer Price Index (PPI)]]*1)/AC918)-1)</f>
        <v>#N/A</v>
      </c>
      <c r="AF930" s="7"/>
    </row>
    <row r="931" spans="1:32" ht="12.75">
      <c r="A931" s="6">
        <v>45413</v>
      </c>
      <c r="B931" s="7"/>
      <c r="C931" s="8" t="e">
        <f>IF(Tabela1[[#This Row],[Consumer Price Index (CPI)]]="",#N/A,((Tabela1[[#This Row],[Consumer Price Index (CPI)]]*1)/B930)-1)</f>
        <v>#N/A</v>
      </c>
      <c r="D931" s="8" t="e">
        <f>IF(Tabela1[[#This Row],[Consumer Price Index (CPI)]]="",#N/A,((Tabela1[[#This Row],[Consumer Price Index (CPI)]]*1)/B919)-1)</f>
        <v>#N/A</v>
      </c>
      <c r="E931" s="7"/>
      <c r="F931" s="8" t="e">
        <f>IF(Tabela1[[#This Row],[Core Consumer Price Index]]="",#N/A,((Tabela1[[#This Row],[Core Consumer Price Index]]*1)/E930)-1)</f>
        <v>#N/A</v>
      </c>
      <c r="G931" s="8" t="e">
        <f>IF(Tabela1[[#This Row],[Core Consumer Price Index]]="",#N/A,((Tabela1[[#This Row],[Core Consumer Price Index]]*1)/E919)-1)</f>
        <v>#N/A</v>
      </c>
      <c r="H931" s="8" t="e">
        <f t="shared" si="56"/>
        <v>#N/A</v>
      </c>
      <c r="I931" s="8" t="e">
        <f t="shared" si="57"/>
        <v>#N/A</v>
      </c>
      <c r="J931" s="25"/>
      <c r="K931" s="8" t="e">
        <f>IF(Tabela1[[#This Row],[Services CPI]]="",#N/A,((Tabela1[[#This Row],[Services CPI]]*1)/J930)-1)</f>
        <v>#N/A</v>
      </c>
      <c r="L931" s="8" t="e">
        <f>IF(Tabela1[[#This Row],[Services CPI]]="",#N/A,((Tabela1[[#This Row],[Services CPI]]*1)/J919)-1)</f>
        <v>#N/A</v>
      </c>
      <c r="M931" s="7"/>
      <c r="N931" s="8" t="e">
        <f>IF(Tabela1[[#This Row],[Core-Services CPI]]="",#N/A,((Tabela1[[#This Row],[Core-Services CPI]]*1)/M930)-1)</f>
        <v>#N/A</v>
      </c>
      <c r="O931" s="8" t="e">
        <f>IF(Tabela1[[#This Row],[Core-Services CPI]]="",#N/A,((Tabela1[[#This Row],[Core-Services CPI]]*1)/M919)-1)</f>
        <v>#N/A</v>
      </c>
      <c r="P931" s="7"/>
      <c r="Q931" s="8" t="e">
        <f>IF(Tabela1[[#This Row],[Durable Goods CPI]]="",#N/A,((Tabela1[[#This Row],[Durable Goods CPI]]*1)/P930)-1)</f>
        <v>#N/A</v>
      </c>
      <c r="R931" s="8" t="e">
        <f>IF(Tabela1[[#This Row],[Durable Goods CPI]]="",#N/A,((Tabela1[[#This Row],[Durable Goods CPI]]*1)/P919)-1)</f>
        <v>#N/A</v>
      </c>
      <c r="S931" s="7"/>
      <c r="T931" s="7"/>
      <c r="U931" s="8" t="e">
        <f>IF(Tabela1[[#This Row],[Personal Consumption Expenditures (PCE)]]="",#N/A,((Tabela1[[#This Row],[Personal Consumption Expenditures (PCE)]]*1)/T930)-1)</f>
        <v>#N/A</v>
      </c>
      <c r="V931" s="8" t="e">
        <f>IF(Tabela1[[#This Row],[Personal Consumption Expenditures (PCE)]]="",#N/A,((Tabela1[[#This Row],[Personal Consumption Expenditures (PCE)]]*1)/T919)-1)</f>
        <v>#N/A</v>
      </c>
      <c r="W931" s="7"/>
      <c r="X931" s="8" t="e">
        <f>IF(Tabela1[[#This Row],[Core PCE]]="",#N/A,((Tabela1[[#This Row],[Core PCE]]*1)/W930)-1)</f>
        <v>#N/A</v>
      </c>
      <c r="Y931" s="8" t="e">
        <f>IF(Tabela1[[#This Row],[Core PCE]]="",#N/A,((Tabela1[[#This Row],[Core PCE]]*1)/W919)-1)</f>
        <v>#N/A</v>
      </c>
      <c r="Z931" s="8" t="e">
        <f t="shared" si="58"/>
        <v>#N/A</v>
      </c>
      <c r="AA931" s="8" t="e">
        <f t="shared" si="59"/>
        <v>#N/A</v>
      </c>
      <c r="AB931" s="7"/>
      <c r="AC931" s="7"/>
      <c r="AD931" s="8" t="e">
        <f>IF(Tabela1[[#This Row],[Producer Price Index (PPI)]]="",#N/A,((Tabela1[[#This Row],[Producer Price Index (PPI)]]*1)/AC930)-1)</f>
        <v>#N/A</v>
      </c>
      <c r="AE931" s="8" t="e">
        <f>IF(Tabela1[[#This Row],[Producer Price Index (PPI)]]="",#N/A,((Tabela1[[#This Row],[Producer Price Index (PPI)]]*1)/AC919)-1)</f>
        <v>#N/A</v>
      </c>
      <c r="AF931" s="7"/>
    </row>
    <row r="932" spans="1:32" ht="12.75">
      <c r="A932" s="6">
        <v>45444</v>
      </c>
      <c r="B932" s="7"/>
      <c r="C932" s="8" t="e">
        <f>IF(Tabela1[[#This Row],[Consumer Price Index (CPI)]]="",#N/A,((Tabela1[[#This Row],[Consumer Price Index (CPI)]]*1)/B931)-1)</f>
        <v>#N/A</v>
      </c>
      <c r="D932" s="8" t="e">
        <f>IF(Tabela1[[#This Row],[Consumer Price Index (CPI)]]="",#N/A,((Tabela1[[#This Row],[Consumer Price Index (CPI)]]*1)/B920)-1)</f>
        <v>#N/A</v>
      </c>
      <c r="E932" s="7"/>
      <c r="F932" s="8" t="e">
        <f>IF(Tabela1[[#This Row],[Core Consumer Price Index]]="",#N/A,((Tabela1[[#This Row],[Core Consumer Price Index]]*1)/E931)-1)</f>
        <v>#N/A</v>
      </c>
      <c r="G932" s="8" t="e">
        <f>IF(Tabela1[[#This Row],[Core Consumer Price Index]]="",#N/A,((Tabela1[[#This Row],[Core Consumer Price Index]]*1)/E920)-1)</f>
        <v>#N/A</v>
      </c>
      <c r="H932" s="8" t="e">
        <f t="shared" si="56"/>
        <v>#N/A</v>
      </c>
      <c r="I932" s="8" t="e">
        <f t="shared" si="57"/>
        <v>#N/A</v>
      </c>
      <c r="J932" s="25"/>
      <c r="K932" s="8" t="e">
        <f>IF(Tabela1[[#This Row],[Services CPI]]="",#N/A,((Tabela1[[#This Row],[Services CPI]]*1)/J931)-1)</f>
        <v>#N/A</v>
      </c>
      <c r="L932" s="8" t="e">
        <f>IF(Tabela1[[#This Row],[Services CPI]]="",#N/A,((Tabela1[[#This Row],[Services CPI]]*1)/J920)-1)</f>
        <v>#N/A</v>
      </c>
      <c r="M932" s="7"/>
      <c r="N932" s="8" t="e">
        <f>IF(Tabela1[[#This Row],[Core-Services CPI]]="",#N/A,((Tabela1[[#This Row],[Core-Services CPI]]*1)/M931)-1)</f>
        <v>#N/A</v>
      </c>
      <c r="O932" s="8" t="e">
        <f>IF(Tabela1[[#This Row],[Core-Services CPI]]="",#N/A,((Tabela1[[#This Row],[Core-Services CPI]]*1)/M920)-1)</f>
        <v>#N/A</v>
      </c>
      <c r="P932" s="7"/>
      <c r="Q932" s="8" t="e">
        <f>IF(Tabela1[[#This Row],[Durable Goods CPI]]="",#N/A,((Tabela1[[#This Row],[Durable Goods CPI]]*1)/P931)-1)</f>
        <v>#N/A</v>
      </c>
      <c r="R932" s="8" t="e">
        <f>IF(Tabela1[[#This Row],[Durable Goods CPI]]="",#N/A,((Tabela1[[#This Row],[Durable Goods CPI]]*1)/P920)-1)</f>
        <v>#N/A</v>
      </c>
      <c r="S932" s="7"/>
      <c r="T932" s="7"/>
      <c r="U932" s="8" t="e">
        <f>IF(Tabela1[[#This Row],[Personal Consumption Expenditures (PCE)]]="",#N/A,((Tabela1[[#This Row],[Personal Consumption Expenditures (PCE)]]*1)/T931)-1)</f>
        <v>#N/A</v>
      </c>
      <c r="V932" s="8" t="e">
        <f>IF(Tabela1[[#This Row],[Personal Consumption Expenditures (PCE)]]="",#N/A,((Tabela1[[#This Row],[Personal Consumption Expenditures (PCE)]]*1)/T920)-1)</f>
        <v>#N/A</v>
      </c>
      <c r="W932" s="7"/>
      <c r="X932" s="8" t="e">
        <f>IF(Tabela1[[#This Row],[Core PCE]]="",#N/A,((Tabela1[[#This Row],[Core PCE]]*1)/W931)-1)</f>
        <v>#N/A</v>
      </c>
      <c r="Y932" s="8" t="e">
        <f>IF(Tabela1[[#This Row],[Core PCE]]="",#N/A,((Tabela1[[#This Row],[Core PCE]]*1)/W920)-1)</f>
        <v>#N/A</v>
      </c>
      <c r="Z932" s="8" t="e">
        <f t="shared" si="58"/>
        <v>#N/A</v>
      </c>
      <c r="AA932" s="8" t="e">
        <f t="shared" si="59"/>
        <v>#N/A</v>
      </c>
      <c r="AB932" s="7"/>
      <c r="AC932" s="7"/>
      <c r="AD932" s="8" t="e">
        <f>IF(Tabela1[[#This Row],[Producer Price Index (PPI)]]="",#N/A,((Tabela1[[#This Row],[Producer Price Index (PPI)]]*1)/AC931)-1)</f>
        <v>#N/A</v>
      </c>
      <c r="AE932" s="8" t="e">
        <f>IF(Tabela1[[#This Row],[Producer Price Index (PPI)]]="",#N/A,((Tabela1[[#This Row],[Producer Price Index (PPI)]]*1)/AC920)-1)</f>
        <v>#N/A</v>
      </c>
      <c r="AF932" s="7"/>
    </row>
    <row r="933" spans="1:32" ht="12.75">
      <c r="A933" s="6">
        <v>45474</v>
      </c>
      <c r="B933" s="7"/>
      <c r="C933" s="8" t="e">
        <f>IF(Tabela1[[#This Row],[Consumer Price Index (CPI)]]="",#N/A,((Tabela1[[#This Row],[Consumer Price Index (CPI)]]*1)/B932)-1)</f>
        <v>#N/A</v>
      </c>
      <c r="D933" s="8" t="e">
        <f>IF(Tabela1[[#This Row],[Consumer Price Index (CPI)]]="",#N/A,((Tabela1[[#This Row],[Consumer Price Index (CPI)]]*1)/B921)-1)</f>
        <v>#N/A</v>
      </c>
      <c r="E933" s="7"/>
      <c r="F933" s="8" t="e">
        <f>IF(Tabela1[[#This Row],[Core Consumer Price Index]]="",#N/A,((Tabela1[[#This Row],[Core Consumer Price Index]]*1)/E932)-1)</f>
        <v>#N/A</v>
      </c>
      <c r="G933" s="8" t="e">
        <f>IF(Tabela1[[#This Row],[Core Consumer Price Index]]="",#N/A,((Tabela1[[#This Row],[Core Consumer Price Index]]*1)/E921)-1)</f>
        <v>#N/A</v>
      </c>
      <c r="H933" s="8" t="e">
        <f t="shared" si="56"/>
        <v>#N/A</v>
      </c>
      <c r="I933" s="8" t="e">
        <f t="shared" si="57"/>
        <v>#N/A</v>
      </c>
      <c r="J933" s="25"/>
      <c r="K933" s="8" t="e">
        <f>IF(Tabela1[[#This Row],[Services CPI]]="",#N/A,((Tabela1[[#This Row],[Services CPI]]*1)/J932)-1)</f>
        <v>#N/A</v>
      </c>
      <c r="L933" s="8" t="e">
        <f>IF(Tabela1[[#This Row],[Services CPI]]="",#N/A,((Tabela1[[#This Row],[Services CPI]]*1)/J921)-1)</f>
        <v>#N/A</v>
      </c>
      <c r="M933" s="7"/>
      <c r="N933" s="8" t="e">
        <f>IF(Tabela1[[#This Row],[Core-Services CPI]]="",#N/A,((Tabela1[[#This Row],[Core-Services CPI]]*1)/M932)-1)</f>
        <v>#N/A</v>
      </c>
      <c r="O933" s="8" t="e">
        <f>IF(Tabela1[[#This Row],[Core-Services CPI]]="",#N/A,((Tabela1[[#This Row],[Core-Services CPI]]*1)/M921)-1)</f>
        <v>#N/A</v>
      </c>
      <c r="P933" s="7"/>
      <c r="Q933" s="8" t="e">
        <f>IF(Tabela1[[#This Row],[Durable Goods CPI]]="",#N/A,((Tabela1[[#This Row],[Durable Goods CPI]]*1)/P932)-1)</f>
        <v>#N/A</v>
      </c>
      <c r="R933" s="8" t="e">
        <f>IF(Tabela1[[#This Row],[Durable Goods CPI]]="",#N/A,((Tabela1[[#This Row],[Durable Goods CPI]]*1)/P921)-1)</f>
        <v>#N/A</v>
      </c>
      <c r="S933" s="7"/>
      <c r="T933" s="7"/>
      <c r="U933" s="8" t="e">
        <f>IF(Tabela1[[#This Row],[Personal Consumption Expenditures (PCE)]]="",#N/A,((Tabela1[[#This Row],[Personal Consumption Expenditures (PCE)]]*1)/T932)-1)</f>
        <v>#N/A</v>
      </c>
      <c r="V933" s="8" t="e">
        <f>IF(Tabela1[[#This Row],[Personal Consumption Expenditures (PCE)]]="",#N/A,((Tabela1[[#This Row],[Personal Consumption Expenditures (PCE)]]*1)/T921)-1)</f>
        <v>#N/A</v>
      </c>
      <c r="W933" s="7"/>
      <c r="X933" s="8" t="e">
        <f>IF(Tabela1[[#This Row],[Core PCE]]="",#N/A,((Tabela1[[#This Row],[Core PCE]]*1)/W932)-1)</f>
        <v>#N/A</v>
      </c>
      <c r="Y933" s="8" t="e">
        <f>IF(Tabela1[[#This Row],[Core PCE]]="",#N/A,((Tabela1[[#This Row],[Core PCE]]*1)/W921)-1)</f>
        <v>#N/A</v>
      </c>
      <c r="Z933" s="8" t="e">
        <f t="shared" si="58"/>
        <v>#N/A</v>
      </c>
      <c r="AA933" s="8" t="e">
        <f t="shared" si="59"/>
        <v>#N/A</v>
      </c>
      <c r="AB933" s="7"/>
      <c r="AC933" s="7"/>
      <c r="AD933" s="8" t="e">
        <f>IF(Tabela1[[#This Row],[Producer Price Index (PPI)]]="",#N/A,((Tabela1[[#This Row],[Producer Price Index (PPI)]]*1)/AC932)-1)</f>
        <v>#N/A</v>
      </c>
      <c r="AE933" s="8" t="e">
        <f>IF(Tabela1[[#This Row],[Producer Price Index (PPI)]]="",#N/A,((Tabela1[[#This Row],[Producer Price Index (PPI)]]*1)/AC921)-1)</f>
        <v>#N/A</v>
      </c>
      <c r="AF933" s="7"/>
    </row>
    <row r="934" spans="1:32" ht="12.75">
      <c r="A934" s="6">
        <v>45505</v>
      </c>
      <c r="B934" s="7"/>
      <c r="C934" s="8" t="e">
        <f>IF(Tabela1[[#This Row],[Consumer Price Index (CPI)]]="",#N/A,((Tabela1[[#This Row],[Consumer Price Index (CPI)]]*1)/B933)-1)</f>
        <v>#N/A</v>
      </c>
      <c r="D934" s="8" t="e">
        <f>IF(Tabela1[[#This Row],[Consumer Price Index (CPI)]]="",#N/A,((Tabela1[[#This Row],[Consumer Price Index (CPI)]]*1)/B922)-1)</f>
        <v>#N/A</v>
      </c>
      <c r="E934" s="7"/>
      <c r="F934" s="8" t="e">
        <f>IF(Tabela1[[#This Row],[Core Consumer Price Index]]="",#N/A,((Tabela1[[#This Row],[Core Consumer Price Index]]*1)/E933)-1)</f>
        <v>#N/A</v>
      </c>
      <c r="G934" s="8" t="e">
        <f>IF(Tabela1[[#This Row],[Core Consumer Price Index]]="",#N/A,((Tabela1[[#This Row],[Core Consumer Price Index]]*1)/E922)-1)</f>
        <v>#N/A</v>
      </c>
      <c r="H934" s="8" t="e">
        <f t="shared" si="56"/>
        <v>#N/A</v>
      </c>
      <c r="I934" s="8" t="e">
        <f t="shared" si="57"/>
        <v>#N/A</v>
      </c>
      <c r="J934" s="25"/>
      <c r="K934" s="8" t="e">
        <f>IF(Tabela1[[#This Row],[Services CPI]]="",#N/A,((Tabela1[[#This Row],[Services CPI]]*1)/J933)-1)</f>
        <v>#N/A</v>
      </c>
      <c r="L934" s="8" t="e">
        <f>IF(Tabela1[[#This Row],[Services CPI]]="",#N/A,((Tabela1[[#This Row],[Services CPI]]*1)/J922)-1)</f>
        <v>#N/A</v>
      </c>
      <c r="M934" s="7"/>
      <c r="N934" s="8" t="e">
        <f>IF(Tabela1[[#This Row],[Core-Services CPI]]="",#N/A,((Tabela1[[#This Row],[Core-Services CPI]]*1)/M933)-1)</f>
        <v>#N/A</v>
      </c>
      <c r="O934" s="8" t="e">
        <f>IF(Tabela1[[#This Row],[Core-Services CPI]]="",#N/A,((Tabela1[[#This Row],[Core-Services CPI]]*1)/M922)-1)</f>
        <v>#N/A</v>
      </c>
      <c r="P934" s="7"/>
      <c r="Q934" s="8" t="e">
        <f>IF(Tabela1[[#This Row],[Durable Goods CPI]]="",#N/A,((Tabela1[[#This Row],[Durable Goods CPI]]*1)/P933)-1)</f>
        <v>#N/A</v>
      </c>
      <c r="R934" s="8" t="e">
        <f>IF(Tabela1[[#This Row],[Durable Goods CPI]]="",#N/A,((Tabela1[[#This Row],[Durable Goods CPI]]*1)/P922)-1)</f>
        <v>#N/A</v>
      </c>
      <c r="S934" s="7"/>
      <c r="T934" s="7"/>
      <c r="U934" s="8" t="e">
        <f>IF(Tabela1[[#This Row],[Personal Consumption Expenditures (PCE)]]="",#N/A,((Tabela1[[#This Row],[Personal Consumption Expenditures (PCE)]]*1)/T933)-1)</f>
        <v>#N/A</v>
      </c>
      <c r="V934" s="8" t="e">
        <f>IF(Tabela1[[#This Row],[Personal Consumption Expenditures (PCE)]]="",#N/A,((Tabela1[[#This Row],[Personal Consumption Expenditures (PCE)]]*1)/T922)-1)</f>
        <v>#N/A</v>
      </c>
      <c r="W934" s="7"/>
      <c r="X934" s="8" t="e">
        <f>IF(Tabela1[[#This Row],[Core PCE]]="",#N/A,((Tabela1[[#This Row],[Core PCE]]*1)/W933)-1)</f>
        <v>#N/A</v>
      </c>
      <c r="Y934" s="8" t="e">
        <f>IF(Tabela1[[#This Row],[Core PCE]]="",#N/A,((Tabela1[[#This Row],[Core PCE]]*1)/W922)-1)</f>
        <v>#N/A</v>
      </c>
      <c r="Z934" s="8" t="e">
        <f t="shared" si="58"/>
        <v>#N/A</v>
      </c>
      <c r="AA934" s="8" t="e">
        <f t="shared" si="59"/>
        <v>#N/A</v>
      </c>
      <c r="AB934" s="7"/>
      <c r="AC934" s="7"/>
      <c r="AD934" s="8" t="e">
        <f>IF(Tabela1[[#This Row],[Producer Price Index (PPI)]]="",#N/A,((Tabela1[[#This Row],[Producer Price Index (PPI)]]*1)/AC933)-1)</f>
        <v>#N/A</v>
      </c>
      <c r="AE934" s="8" t="e">
        <f>IF(Tabela1[[#This Row],[Producer Price Index (PPI)]]="",#N/A,((Tabela1[[#This Row],[Producer Price Index (PPI)]]*1)/AC922)-1)</f>
        <v>#N/A</v>
      </c>
      <c r="AF934" s="7"/>
    </row>
    <row r="935" spans="1:32" ht="12.75">
      <c r="A935" s="6">
        <v>45536</v>
      </c>
      <c r="B935" s="7"/>
      <c r="C935" s="8" t="e">
        <f>IF(Tabela1[[#This Row],[Consumer Price Index (CPI)]]="",#N/A,((Tabela1[[#This Row],[Consumer Price Index (CPI)]]*1)/B934)-1)</f>
        <v>#N/A</v>
      </c>
      <c r="D935" s="8" t="e">
        <f>IF(Tabela1[[#This Row],[Consumer Price Index (CPI)]]="",#N/A,((Tabela1[[#This Row],[Consumer Price Index (CPI)]]*1)/B923)-1)</f>
        <v>#N/A</v>
      </c>
      <c r="E935" s="7"/>
      <c r="F935" s="8" t="e">
        <f>IF(Tabela1[[#This Row],[Core Consumer Price Index]]="",#N/A,((Tabela1[[#This Row],[Core Consumer Price Index]]*1)/E934)-1)</f>
        <v>#N/A</v>
      </c>
      <c r="G935" s="8" t="e">
        <f>IF(Tabela1[[#This Row],[Core Consumer Price Index]]="",#N/A,((Tabela1[[#This Row],[Core Consumer Price Index]]*1)/E923)-1)</f>
        <v>#N/A</v>
      </c>
      <c r="H935" s="8" t="e">
        <f t="shared" si="56"/>
        <v>#N/A</v>
      </c>
      <c r="I935" s="8" t="e">
        <f t="shared" si="57"/>
        <v>#N/A</v>
      </c>
      <c r="J935" s="25"/>
      <c r="K935" s="8" t="e">
        <f>IF(Tabela1[[#This Row],[Services CPI]]="",#N/A,((Tabela1[[#This Row],[Services CPI]]*1)/J934)-1)</f>
        <v>#N/A</v>
      </c>
      <c r="L935" s="8" t="e">
        <f>IF(Tabela1[[#This Row],[Services CPI]]="",#N/A,((Tabela1[[#This Row],[Services CPI]]*1)/J923)-1)</f>
        <v>#N/A</v>
      </c>
      <c r="M935" s="7"/>
      <c r="N935" s="8" t="e">
        <f>IF(Tabela1[[#This Row],[Core-Services CPI]]="",#N/A,((Tabela1[[#This Row],[Core-Services CPI]]*1)/M934)-1)</f>
        <v>#N/A</v>
      </c>
      <c r="O935" s="8" t="e">
        <f>IF(Tabela1[[#This Row],[Core-Services CPI]]="",#N/A,((Tabela1[[#This Row],[Core-Services CPI]]*1)/M923)-1)</f>
        <v>#N/A</v>
      </c>
      <c r="P935" s="7"/>
      <c r="Q935" s="8" t="e">
        <f>IF(Tabela1[[#This Row],[Durable Goods CPI]]="",#N/A,((Tabela1[[#This Row],[Durable Goods CPI]]*1)/P934)-1)</f>
        <v>#N/A</v>
      </c>
      <c r="R935" s="8" t="e">
        <f>IF(Tabela1[[#This Row],[Durable Goods CPI]]="",#N/A,((Tabela1[[#This Row],[Durable Goods CPI]]*1)/P923)-1)</f>
        <v>#N/A</v>
      </c>
      <c r="S935" s="7"/>
      <c r="T935" s="7"/>
      <c r="U935" s="8" t="e">
        <f>IF(Tabela1[[#This Row],[Personal Consumption Expenditures (PCE)]]="",#N/A,((Tabela1[[#This Row],[Personal Consumption Expenditures (PCE)]]*1)/T934)-1)</f>
        <v>#N/A</v>
      </c>
      <c r="V935" s="8" t="e">
        <f>IF(Tabela1[[#This Row],[Personal Consumption Expenditures (PCE)]]="",#N/A,((Tabela1[[#This Row],[Personal Consumption Expenditures (PCE)]]*1)/T923)-1)</f>
        <v>#N/A</v>
      </c>
      <c r="W935" s="7"/>
      <c r="X935" s="8" t="e">
        <f>IF(Tabela1[[#This Row],[Core PCE]]="",#N/A,((Tabela1[[#This Row],[Core PCE]]*1)/W934)-1)</f>
        <v>#N/A</v>
      </c>
      <c r="Y935" s="8" t="e">
        <f>IF(Tabela1[[#This Row],[Core PCE]]="",#N/A,((Tabela1[[#This Row],[Core PCE]]*1)/W923)-1)</f>
        <v>#N/A</v>
      </c>
      <c r="Z935" s="8" t="e">
        <f t="shared" si="58"/>
        <v>#N/A</v>
      </c>
      <c r="AA935" s="8" t="e">
        <f t="shared" si="59"/>
        <v>#N/A</v>
      </c>
      <c r="AB935" s="7"/>
      <c r="AC935" s="7"/>
      <c r="AD935" s="8" t="e">
        <f>IF(Tabela1[[#This Row],[Producer Price Index (PPI)]]="",#N/A,((Tabela1[[#This Row],[Producer Price Index (PPI)]]*1)/AC934)-1)</f>
        <v>#N/A</v>
      </c>
      <c r="AE935" s="8" t="e">
        <f>IF(Tabela1[[#This Row],[Producer Price Index (PPI)]]="",#N/A,((Tabela1[[#This Row],[Producer Price Index (PPI)]]*1)/AC923)-1)</f>
        <v>#N/A</v>
      </c>
      <c r="AF935" s="7"/>
    </row>
    <row r="936" spans="1:32" ht="12.75">
      <c r="A936" s="6">
        <v>45566</v>
      </c>
      <c r="B936" s="7"/>
      <c r="C936" s="8" t="e">
        <f>IF(Tabela1[[#This Row],[Consumer Price Index (CPI)]]="",#N/A,((Tabela1[[#This Row],[Consumer Price Index (CPI)]]*1)/B935)-1)</f>
        <v>#N/A</v>
      </c>
      <c r="D936" s="8" t="e">
        <f>IF(Tabela1[[#This Row],[Consumer Price Index (CPI)]]="",#N/A,((Tabela1[[#This Row],[Consumer Price Index (CPI)]]*1)/B924)-1)</f>
        <v>#N/A</v>
      </c>
      <c r="E936" s="7"/>
      <c r="F936" s="8" t="e">
        <f>IF(Tabela1[[#This Row],[Core Consumer Price Index]]="",#N/A,((Tabela1[[#This Row],[Core Consumer Price Index]]*1)/E935)-1)</f>
        <v>#N/A</v>
      </c>
      <c r="G936" s="8" t="e">
        <f>IF(Tabela1[[#This Row],[Core Consumer Price Index]]="",#N/A,((Tabela1[[#This Row],[Core Consumer Price Index]]*1)/E924)-1)</f>
        <v>#N/A</v>
      </c>
      <c r="H936" s="8" t="e">
        <f t="shared" si="56"/>
        <v>#N/A</v>
      </c>
      <c r="I936" s="8" t="e">
        <f t="shared" si="57"/>
        <v>#N/A</v>
      </c>
      <c r="J936" s="25"/>
      <c r="K936" s="8" t="e">
        <f>IF(Tabela1[[#This Row],[Services CPI]]="",#N/A,((Tabela1[[#This Row],[Services CPI]]*1)/J935)-1)</f>
        <v>#N/A</v>
      </c>
      <c r="L936" s="8" t="e">
        <f>IF(Tabela1[[#This Row],[Services CPI]]="",#N/A,((Tabela1[[#This Row],[Services CPI]]*1)/J924)-1)</f>
        <v>#N/A</v>
      </c>
      <c r="M936" s="7"/>
      <c r="N936" s="8" t="e">
        <f>IF(Tabela1[[#This Row],[Core-Services CPI]]="",#N/A,((Tabela1[[#This Row],[Core-Services CPI]]*1)/M935)-1)</f>
        <v>#N/A</v>
      </c>
      <c r="O936" s="8" t="e">
        <f>IF(Tabela1[[#This Row],[Core-Services CPI]]="",#N/A,((Tabela1[[#This Row],[Core-Services CPI]]*1)/M924)-1)</f>
        <v>#N/A</v>
      </c>
      <c r="P936" s="7"/>
      <c r="Q936" s="8" t="e">
        <f>IF(Tabela1[[#This Row],[Durable Goods CPI]]="",#N/A,((Tabela1[[#This Row],[Durable Goods CPI]]*1)/P935)-1)</f>
        <v>#N/A</v>
      </c>
      <c r="R936" s="8" t="e">
        <f>IF(Tabela1[[#This Row],[Durable Goods CPI]]="",#N/A,((Tabela1[[#This Row],[Durable Goods CPI]]*1)/P924)-1)</f>
        <v>#N/A</v>
      </c>
      <c r="S936" s="7"/>
      <c r="T936" s="7"/>
      <c r="U936" s="8" t="e">
        <f>IF(Tabela1[[#This Row],[Personal Consumption Expenditures (PCE)]]="",#N/A,((Tabela1[[#This Row],[Personal Consumption Expenditures (PCE)]]*1)/T935)-1)</f>
        <v>#N/A</v>
      </c>
      <c r="V936" s="8" t="e">
        <f>IF(Tabela1[[#This Row],[Personal Consumption Expenditures (PCE)]]="",#N/A,((Tabela1[[#This Row],[Personal Consumption Expenditures (PCE)]]*1)/T924)-1)</f>
        <v>#N/A</v>
      </c>
      <c r="W936" s="7"/>
      <c r="X936" s="8" t="e">
        <f>IF(Tabela1[[#This Row],[Core PCE]]="",#N/A,((Tabela1[[#This Row],[Core PCE]]*1)/W935)-1)</f>
        <v>#N/A</v>
      </c>
      <c r="Y936" s="8" t="e">
        <f>IF(Tabela1[[#This Row],[Core PCE]]="",#N/A,((Tabela1[[#This Row],[Core PCE]]*1)/W924)-1)</f>
        <v>#N/A</v>
      </c>
      <c r="Z936" s="8" t="e">
        <f t="shared" si="58"/>
        <v>#N/A</v>
      </c>
      <c r="AA936" s="8" t="e">
        <f t="shared" si="59"/>
        <v>#N/A</v>
      </c>
      <c r="AB936" s="7"/>
      <c r="AC936" s="7"/>
      <c r="AD936" s="8" t="e">
        <f>IF(Tabela1[[#This Row],[Producer Price Index (PPI)]]="",#N/A,((Tabela1[[#This Row],[Producer Price Index (PPI)]]*1)/AC935)-1)</f>
        <v>#N/A</v>
      </c>
      <c r="AE936" s="8" t="e">
        <f>IF(Tabela1[[#This Row],[Producer Price Index (PPI)]]="",#N/A,((Tabela1[[#This Row],[Producer Price Index (PPI)]]*1)/AC924)-1)</f>
        <v>#N/A</v>
      </c>
      <c r="AF936" s="7"/>
    </row>
    <row r="937" spans="1:32" ht="12.75">
      <c r="A937" s="6">
        <v>45597</v>
      </c>
      <c r="B937" s="7"/>
      <c r="C937" s="8" t="e">
        <f>IF(Tabela1[[#This Row],[Consumer Price Index (CPI)]]="",#N/A,((Tabela1[[#This Row],[Consumer Price Index (CPI)]]*1)/B936)-1)</f>
        <v>#N/A</v>
      </c>
      <c r="D937" s="8" t="e">
        <f>IF(Tabela1[[#This Row],[Consumer Price Index (CPI)]]="",#N/A,((Tabela1[[#This Row],[Consumer Price Index (CPI)]]*1)/B925)-1)</f>
        <v>#N/A</v>
      </c>
      <c r="E937" s="7"/>
      <c r="F937" s="8" t="e">
        <f>IF(Tabela1[[#This Row],[Core Consumer Price Index]]="",#N/A,((Tabela1[[#This Row],[Core Consumer Price Index]]*1)/E936)-1)</f>
        <v>#N/A</v>
      </c>
      <c r="G937" s="8" t="e">
        <f>IF(Tabela1[[#This Row],[Core Consumer Price Index]]="",#N/A,((Tabela1[[#This Row],[Core Consumer Price Index]]*1)/E925)-1)</f>
        <v>#N/A</v>
      </c>
      <c r="H937" s="8" t="e">
        <f t="shared" si="56"/>
        <v>#N/A</v>
      </c>
      <c r="I937" s="8" t="e">
        <f t="shared" si="57"/>
        <v>#N/A</v>
      </c>
      <c r="J937" s="25"/>
      <c r="K937" s="8" t="e">
        <f>IF(Tabela1[[#This Row],[Services CPI]]="",#N/A,((Tabela1[[#This Row],[Services CPI]]*1)/J936)-1)</f>
        <v>#N/A</v>
      </c>
      <c r="L937" s="8" t="e">
        <f>IF(Tabela1[[#This Row],[Services CPI]]="",#N/A,((Tabela1[[#This Row],[Services CPI]]*1)/J925)-1)</f>
        <v>#N/A</v>
      </c>
      <c r="M937" s="7"/>
      <c r="N937" s="8" t="e">
        <f>IF(Tabela1[[#This Row],[Core-Services CPI]]="",#N/A,((Tabela1[[#This Row],[Core-Services CPI]]*1)/M936)-1)</f>
        <v>#N/A</v>
      </c>
      <c r="O937" s="8" t="e">
        <f>IF(Tabela1[[#This Row],[Core-Services CPI]]="",#N/A,((Tabela1[[#This Row],[Core-Services CPI]]*1)/M925)-1)</f>
        <v>#N/A</v>
      </c>
      <c r="P937" s="7"/>
      <c r="Q937" s="8" t="e">
        <f>IF(Tabela1[[#This Row],[Durable Goods CPI]]="",#N/A,((Tabela1[[#This Row],[Durable Goods CPI]]*1)/P936)-1)</f>
        <v>#N/A</v>
      </c>
      <c r="R937" s="8" t="e">
        <f>IF(Tabela1[[#This Row],[Durable Goods CPI]]="",#N/A,((Tabela1[[#This Row],[Durable Goods CPI]]*1)/P925)-1)</f>
        <v>#N/A</v>
      </c>
      <c r="S937" s="7"/>
      <c r="T937" s="7"/>
      <c r="U937" s="8" t="e">
        <f>IF(Tabela1[[#This Row],[Personal Consumption Expenditures (PCE)]]="",#N/A,((Tabela1[[#This Row],[Personal Consumption Expenditures (PCE)]]*1)/T936)-1)</f>
        <v>#N/A</v>
      </c>
      <c r="V937" s="8" t="e">
        <f>IF(Tabela1[[#This Row],[Personal Consumption Expenditures (PCE)]]="",#N/A,((Tabela1[[#This Row],[Personal Consumption Expenditures (PCE)]]*1)/T925)-1)</f>
        <v>#N/A</v>
      </c>
      <c r="W937" s="7"/>
      <c r="X937" s="8" t="e">
        <f>IF(Tabela1[[#This Row],[Core PCE]]="",#N/A,((Tabela1[[#This Row],[Core PCE]]*1)/W936)-1)</f>
        <v>#N/A</v>
      </c>
      <c r="Y937" s="8" t="e">
        <f>IF(Tabela1[[#This Row],[Core PCE]]="",#N/A,((Tabela1[[#This Row],[Core PCE]]*1)/W925)-1)</f>
        <v>#N/A</v>
      </c>
      <c r="Z937" s="8" t="e">
        <f t="shared" si="58"/>
        <v>#N/A</v>
      </c>
      <c r="AA937" s="8" t="e">
        <f t="shared" si="59"/>
        <v>#N/A</v>
      </c>
      <c r="AB937" s="7"/>
      <c r="AC937" s="7"/>
      <c r="AD937" s="8" t="e">
        <f>IF(Tabela1[[#This Row],[Producer Price Index (PPI)]]="",#N/A,((Tabela1[[#This Row],[Producer Price Index (PPI)]]*1)/AC936)-1)</f>
        <v>#N/A</v>
      </c>
      <c r="AE937" s="8" t="e">
        <f>IF(Tabela1[[#This Row],[Producer Price Index (PPI)]]="",#N/A,((Tabela1[[#This Row],[Producer Price Index (PPI)]]*1)/AC925)-1)</f>
        <v>#N/A</v>
      </c>
      <c r="AF937" s="7"/>
    </row>
    <row r="938" spans="1:32" ht="12.75">
      <c r="A938" s="6">
        <v>45627</v>
      </c>
      <c r="B938" s="7"/>
      <c r="C938" s="8" t="e">
        <f>IF(Tabela1[[#This Row],[Consumer Price Index (CPI)]]="",#N/A,((Tabela1[[#This Row],[Consumer Price Index (CPI)]]*1)/B937)-1)</f>
        <v>#N/A</v>
      </c>
      <c r="D938" s="8" t="e">
        <f>IF(Tabela1[[#This Row],[Consumer Price Index (CPI)]]="",#N/A,((Tabela1[[#This Row],[Consumer Price Index (CPI)]]*1)/B926)-1)</f>
        <v>#N/A</v>
      </c>
      <c r="E938" s="7"/>
      <c r="F938" s="8" t="e">
        <f>IF(Tabela1[[#This Row],[Core Consumer Price Index]]="",#N/A,((Tabela1[[#This Row],[Core Consumer Price Index]]*1)/E937)-1)</f>
        <v>#N/A</v>
      </c>
      <c r="G938" s="8" t="e">
        <f>IF(Tabela1[[#This Row],[Core Consumer Price Index]]="",#N/A,((Tabela1[[#This Row],[Core Consumer Price Index]]*1)/E926)-1)</f>
        <v>#N/A</v>
      </c>
      <c r="H938" s="8" t="e">
        <f t="shared" si="56"/>
        <v>#N/A</v>
      </c>
      <c r="I938" s="8" t="e">
        <f t="shared" si="57"/>
        <v>#N/A</v>
      </c>
      <c r="J938" s="25"/>
      <c r="K938" s="8" t="e">
        <f>IF(Tabela1[[#This Row],[Services CPI]]="",#N/A,((Tabela1[[#This Row],[Services CPI]]*1)/J937)-1)</f>
        <v>#N/A</v>
      </c>
      <c r="L938" s="8" t="e">
        <f>IF(Tabela1[[#This Row],[Services CPI]]="",#N/A,((Tabela1[[#This Row],[Services CPI]]*1)/J926)-1)</f>
        <v>#N/A</v>
      </c>
      <c r="M938" s="7"/>
      <c r="N938" s="8" t="e">
        <f>IF(Tabela1[[#This Row],[Core-Services CPI]]="",#N/A,((Tabela1[[#This Row],[Core-Services CPI]]*1)/M937)-1)</f>
        <v>#N/A</v>
      </c>
      <c r="O938" s="8" t="e">
        <f>IF(Tabela1[[#This Row],[Core-Services CPI]]="",#N/A,((Tabela1[[#This Row],[Core-Services CPI]]*1)/M926)-1)</f>
        <v>#N/A</v>
      </c>
      <c r="P938" s="7"/>
      <c r="Q938" s="8" t="e">
        <f>IF(Tabela1[[#This Row],[Durable Goods CPI]]="",#N/A,((Tabela1[[#This Row],[Durable Goods CPI]]*1)/P937)-1)</f>
        <v>#N/A</v>
      </c>
      <c r="R938" s="8" t="e">
        <f>IF(Tabela1[[#This Row],[Durable Goods CPI]]="",#N/A,((Tabela1[[#This Row],[Durable Goods CPI]]*1)/P926)-1)</f>
        <v>#N/A</v>
      </c>
      <c r="S938" s="7"/>
      <c r="T938" s="7"/>
      <c r="U938" s="8" t="e">
        <f>IF(Tabela1[[#This Row],[Personal Consumption Expenditures (PCE)]]="",#N/A,((Tabela1[[#This Row],[Personal Consumption Expenditures (PCE)]]*1)/T937)-1)</f>
        <v>#N/A</v>
      </c>
      <c r="V938" s="8" t="e">
        <f>IF(Tabela1[[#This Row],[Personal Consumption Expenditures (PCE)]]="",#N/A,((Tabela1[[#This Row],[Personal Consumption Expenditures (PCE)]]*1)/T926)-1)</f>
        <v>#N/A</v>
      </c>
      <c r="W938" s="7"/>
      <c r="X938" s="8" t="e">
        <f>IF(Tabela1[[#This Row],[Core PCE]]="",#N/A,((Tabela1[[#This Row],[Core PCE]]*1)/W937)-1)</f>
        <v>#N/A</v>
      </c>
      <c r="Y938" s="8" t="e">
        <f>IF(Tabela1[[#This Row],[Core PCE]]="",#N/A,((Tabela1[[#This Row],[Core PCE]]*1)/W926)-1)</f>
        <v>#N/A</v>
      </c>
      <c r="Z938" s="8" t="e">
        <f t="shared" si="58"/>
        <v>#N/A</v>
      </c>
      <c r="AA938" s="8" t="e">
        <f t="shared" si="59"/>
        <v>#N/A</v>
      </c>
      <c r="AB938" s="7"/>
      <c r="AC938" s="7"/>
      <c r="AD938" s="8" t="e">
        <f>IF(Tabela1[[#This Row],[Producer Price Index (PPI)]]="",#N/A,((Tabela1[[#This Row],[Producer Price Index (PPI)]]*1)/AC937)-1)</f>
        <v>#N/A</v>
      </c>
      <c r="AE938" s="8" t="e">
        <f>IF(Tabela1[[#This Row],[Producer Price Index (PPI)]]="",#N/A,((Tabela1[[#This Row],[Producer Price Index (PPI)]]*1)/AC926)-1)</f>
        <v>#N/A</v>
      </c>
      <c r="AF938" s="7"/>
    </row>
    <row r="943" spans="1:32">
      <c r="AA943" s="8"/>
    </row>
  </sheetData>
  <phoneticPr fontId="2" type="noConversion"/>
  <hyperlinks>
    <hyperlink ref="B1" r:id="rId1" xr:uid="{8976A64D-CF2B-449D-A4DC-75E059CCD237}"/>
    <hyperlink ref="E1" r:id="rId2" location="0" xr:uid="{B40DE7AB-3A61-499F-8334-D862A71C7BCA}"/>
    <hyperlink ref="M1" r:id="rId3" xr:uid="{36678A6C-4732-4E46-995B-967468990499}"/>
    <hyperlink ref="P1" r:id="rId4" xr:uid="{01A37AD1-A19A-4CE3-9FBC-3E280A802C5F}"/>
    <hyperlink ref="S1" r:id="rId5" location="0" xr:uid="{6F0259CC-C2F2-4D1F-91AD-4B478AE18226}"/>
    <hyperlink ref="T1" r:id="rId6" xr:uid="{651660DE-D95B-40D6-904C-31D2DBF751F8}"/>
    <hyperlink ref="W1" r:id="rId7" location="0" xr:uid="{AD57077D-A29F-4929-8D86-9A692A98462C}"/>
    <hyperlink ref="AB1" r:id="rId8" xr:uid="{6F5B5DD7-99E0-4C76-ACE6-A979AEDCECA3}"/>
    <hyperlink ref="AC1" r:id="rId9" location="0" xr:uid="{0CDDBC65-8A13-4B9D-8CBC-9B80A5464195}"/>
    <hyperlink ref="AF1" r:id="rId10" xr:uid="{51534E51-08D3-4F8A-A172-E43C04ABF4BD}"/>
    <hyperlink ref="J1" r:id="rId11" location="0" xr:uid="{BB37135C-CC1D-45CA-A574-6485DC14C927}"/>
  </hyperlinks>
  <pageMargins left="0.511811024" right="0.511811024" top="0.78740157499999996" bottom="0.78740157499999996" header="0.31496062000000002" footer="0.31496062000000002"/>
  <pageSetup paperSize="9" orientation="portrait" horizontalDpi="4294967294" verticalDpi="0" r:id="rId12"/>
  <tableParts count="1">
    <tablePart r:id="rId13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5DE37-1B60-468D-BB5C-622359E5E987}">
  <sheetPr codeName="Planilha15"/>
  <dimension ref="B1:AJ176"/>
  <sheetViews>
    <sheetView showGridLines="0" zoomScale="85" zoomScaleNormal="85" workbookViewId="0">
      <pane xSplit="6" ySplit="3" topLeftCell="H4" activePane="bottomRight" state="frozen"/>
      <selection pane="topRight" activeCell="G1" sqref="G1"/>
      <selection pane="bottomLeft" activeCell="A4" sqref="A4"/>
      <selection pane="bottomRight" activeCell="W119" sqref="W119"/>
    </sheetView>
  </sheetViews>
  <sheetFormatPr defaultRowHeight="15"/>
  <cols>
    <col min="1" max="1" width="1.7109375" customWidth="1"/>
    <col min="7" max="7" width="1.7109375" customWidth="1"/>
  </cols>
  <sheetData>
    <row r="1" spans="2:36" s="79" customFormat="1"/>
    <row r="2" spans="2:36" s="79" customFormat="1" ht="15" customHeight="1">
      <c r="B2" s="109"/>
      <c r="C2" s="80"/>
      <c r="D2" s="109" t="s">
        <v>64</v>
      </c>
      <c r="E2" s="109"/>
      <c r="F2" s="109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</row>
    <row r="3" spans="2:36" s="79" customFormat="1" ht="15" customHeight="1">
      <c r="B3" s="109"/>
      <c r="C3" s="80"/>
      <c r="D3" s="109"/>
      <c r="E3" s="109"/>
      <c r="F3" s="109"/>
      <c r="G3" s="80"/>
      <c r="H3" s="80"/>
      <c r="I3" s="80"/>
      <c r="J3" s="80"/>
      <c r="K3" s="80"/>
      <c r="L3" s="80"/>
      <c r="M3" s="80"/>
      <c r="N3" s="80"/>
      <c r="O3" s="80"/>
      <c r="P3" s="80"/>
      <c r="Q3" s="80"/>
      <c r="R3" s="80"/>
      <c r="S3" s="80"/>
      <c r="T3" s="80"/>
      <c r="U3" s="80"/>
      <c r="V3" s="80"/>
      <c r="W3" s="80"/>
      <c r="X3" s="80"/>
      <c r="Y3" s="80"/>
      <c r="Z3" s="80"/>
      <c r="AA3" s="80"/>
      <c r="AB3" s="80"/>
      <c r="AC3" s="80"/>
      <c r="AD3" s="80"/>
      <c r="AE3" s="80"/>
      <c r="AF3" s="80"/>
      <c r="AG3" s="80"/>
      <c r="AH3" s="80"/>
      <c r="AI3" s="80"/>
      <c r="AJ3" s="80"/>
    </row>
    <row r="4" spans="2:36">
      <c r="B4" s="91"/>
      <c r="C4" s="92"/>
      <c r="D4" s="92"/>
      <c r="E4" s="92"/>
      <c r="F4" s="93"/>
    </row>
    <row r="5" spans="2:36">
      <c r="B5" s="94"/>
      <c r="C5" s="95"/>
      <c r="D5" s="95"/>
      <c r="E5" s="95"/>
      <c r="F5" s="96"/>
    </row>
    <row r="6" spans="2:36">
      <c r="B6" s="94"/>
      <c r="C6" s="95"/>
      <c r="D6" s="95"/>
      <c r="E6" s="95"/>
      <c r="F6" s="96"/>
    </row>
    <row r="7" spans="2:36">
      <c r="B7" s="94"/>
      <c r="C7" s="95"/>
      <c r="D7" s="95"/>
      <c r="E7" s="95"/>
      <c r="F7" s="96"/>
    </row>
    <row r="8" spans="2:36">
      <c r="B8" s="94"/>
      <c r="C8" s="95"/>
      <c r="D8" s="95"/>
      <c r="E8" s="95"/>
      <c r="F8" s="96"/>
    </row>
    <row r="9" spans="2:36">
      <c r="B9" s="94"/>
      <c r="C9" s="95"/>
      <c r="D9" s="95"/>
      <c r="E9" s="95"/>
      <c r="F9" s="96"/>
    </row>
    <row r="10" spans="2:36">
      <c r="B10" s="94"/>
      <c r="C10" s="95"/>
      <c r="D10" s="95"/>
      <c r="E10" s="95"/>
      <c r="F10" s="96"/>
    </row>
    <row r="11" spans="2:36">
      <c r="B11" s="94"/>
      <c r="C11" s="95"/>
      <c r="D11" s="95"/>
      <c r="E11" s="95"/>
      <c r="F11" s="96"/>
    </row>
    <row r="12" spans="2:36">
      <c r="B12" s="94"/>
      <c r="C12" s="95"/>
      <c r="D12" s="95"/>
      <c r="E12" s="95"/>
      <c r="F12" s="96"/>
    </row>
    <row r="13" spans="2:36">
      <c r="B13" s="94"/>
      <c r="C13" s="95"/>
      <c r="D13" s="95"/>
      <c r="E13" s="95"/>
      <c r="F13" s="96"/>
    </row>
    <row r="14" spans="2:36">
      <c r="B14" s="94"/>
      <c r="C14" s="95"/>
      <c r="D14" s="95"/>
      <c r="E14" s="95"/>
      <c r="F14" s="96"/>
    </row>
    <row r="15" spans="2:36">
      <c r="B15" s="94"/>
      <c r="C15" s="95"/>
      <c r="D15" s="95"/>
      <c r="E15" s="95"/>
      <c r="F15" s="96"/>
    </row>
    <row r="16" spans="2:36">
      <c r="B16" s="94"/>
      <c r="C16" s="95"/>
      <c r="D16" s="95"/>
      <c r="E16" s="95"/>
      <c r="F16" s="96"/>
    </row>
    <row r="17" spans="2:6">
      <c r="B17" s="94"/>
      <c r="C17" s="95"/>
      <c r="D17" s="95"/>
      <c r="E17" s="95"/>
      <c r="F17" s="96"/>
    </row>
    <row r="18" spans="2:6">
      <c r="B18" s="94"/>
      <c r="C18" s="95"/>
      <c r="D18" s="95"/>
      <c r="E18" s="95"/>
      <c r="F18" s="96"/>
    </row>
    <row r="19" spans="2:6">
      <c r="B19" s="94"/>
      <c r="C19" s="95"/>
      <c r="D19" s="95"/>
      <c r="E19" s="95"/>
      <c r="F19" s="96"/>
    </row>
    <row r="20" spans="2:6">
      <c r="B20" s="94"/>
      <c r="C20" s="95"/>
      <c r="D20" s="95"/>
      <c r="E20" s="95"/>
      <c r="F20" s="96"/>
    </row>
    <row r="21" spans="2:6">
      <c r="B21" s="94"/>
      <c r="C21" s="95"/>
      <c r="D21" s="95"/>
      <c r="E21" s="95"/>
      <c r="F21" s="96"/>
    </row>
    <row r="22" spans="2:6">
      <c r="B22" s="94"/>
      <c r="C22" s="95"/>
      <c r="D22" s="95"/>
      <c r="E22" s="95"/>
      <c r="F22" s="96"/>
    </row>
    <row r="23" spans="2:6">
      <c r="B23" s="94"/>
      <c r="C23" s="95"/>
      <c r="D23" s="95"/>
      <c r="E23" s="95"/>
      <c r="F23" s="96"/>
    </row>
    <row r="24" spans="2:6">
      <c r="B24" s="94"/>
      <c r="C24" s="95"/>
      <c r="D24" s="95"/>
      <c r="E24" s="95"/>
      <c r="F24" s="96"/>
    </row>
    <row r="25" spans="2:6">
      <c r="B25" s="94"/>
      <c r="C25" s="95"/>
      <c r="D25" s="95"/>
      <c r="E25" s="95"/>
      <c r="F25" s="96"/>
    </row>
    <row r="26" spans="2:6">
      <c r="B26" s="94"/>
      <c r="C26" s="95"/>
      <c r="D26" s="95"/>
      <c r="E26" s="95"/>
      <c r="F26" s="96"/>
    </row>
    <row r="27" spans="2:6">
      <c r="B27" s="94"/>
      <c r="C27" s="95"/>
      <c r="D27" s="95"/>
      <c r="E27" s="95"/>
      <c r="F27" s="96"/>
    </row>
    <row r="28" spans="2:6">
      <c r="B28" s="94"/>
      <c r="C28" s="95"/>
      <c r="D28" s="95"/>
      <c r="E28" s="95"/>
      <c r="F28" s="96"/>
    </row>
    <row r="29" spans="2:6">
      <c r="B29" s="94"/>
      <c r="C29" s="95"/>
      <c r="D29" s="95"/>
      <c r="E29" s="95"/>
      <c r="F29" s="96"/>
    </row>
    <row r="30" spans="2:6">
      <c r="B30" s="94"/>
      <c r="C30" s="95"/>
      <c r="D30" s="95"/>
      <c r="E30" s="95"/>
      <c r="F30" s="96"/>
    </row>
    <row r="31" spans="2:6">
      <c r="B31" s="97"/>
      <c r="C31" s="98"/>
      <c r="D31" s="98"/>
      <c r="E31" s="98"/>
      <c r="F31" s="99"/>
    </row>
    <row r="33" spans="2:6" ht="15" customHeight="1">
      <c r="B33" s="91"/>
      <c r="C33" s="92"/>
      <c r="D33" s="92"/>
      <c r="E33" s="92"/>
      <c r="F33" s="93"/>
    </row>
    <row r="34" spans="2:6">
      <c r="B34" s="94"/>
      <c r="C34" s="95"/>
      <c r="D34" s="95"/>
      <c r="E34" s="95"/>
      <c r="F34" s="96"/>
    </row>
    <row r="35" spans="2:6">
      <c r="B35" s="94"/>
      <c r="C35" s="95"/>
      <c r="D35" s="95"/>
      <c r="E35" s="95"/>
      <c r="F35" s="96"/>
    </row>
    <row r="36" spans="2:6">
      <c r="B36" s="94"/>
      <c r="C36" s="95"/>
      <c r="D36" s="95"/>
      <c r="E36" s="95"/>
      <c r="F36" s="96"/>
    </row>
    <row r="37" spans="2:6">
      <c r="B37" s="94"/>
      <c r="C37" s="95"/>
      <c r="D37" s="95"/>
      <c r="E37" s="95"/>
      <c r="F37" s="96"/>
    </row>
    <row r="38" spans="2:6">
      <c r="B38" s="94"/>
      <c r="C38" s="95"/>
      <c r="D38" s="95"/>
      <c r="E38" s="95"/>
      <c r="F38" s="96"/>
    </row>
    <row r="39" spans="2:6">
      <c r="B39" s="94"/>
      <c r="C39" s="95"/>
      <c r="D39" s="95"/>
      <c r="E39" s="95"/>
      <c r="F39" s="96"/>
    </row>
    <row r="40" spans="2:6">
      <c r="B40" s="94"/>
      <c r="C40" s="95"/>
      <c r="D40" s="95"/>
      <c r="E40" s="95"/>
      <c r="F40" s="96"/>
    </row>
    <row r="41" spans="2:6">
      <c r="B41" s="94"/>
      <c r="C41" s="95"/>
      <c r="D41" s="95"/>
      <c r="E41" s="95"/>
      <c r="F41" s="96"/>
    </row>
    <row r="42" spans="2:6">
      <c r="B42" s="94"/>
      <c r="C42" s="95"/>
      <c r="D42" s="95"/>
      <c r="E42" s="95"/>
      <c r="F42" s="96"/>
    </row>
    <row r="43" spans="2:6">
      <c r="B43" s="94"/>
      <c r="C43" s="95"/>
      <c r="D43" s="95"/>
      <c r="E43" s="95"/>
      <c r="F43" s="96"/>
    </row>
    <row r="44" spans="2:6">
      <c r="B44" s="94"/>
      <c r="C44" s="95"/>
      <c r="D44" s="95"/>
      <c r="E44" s="95"/>
      <c r="F44" s="96"/>
    </row>
    <row r="45" spans="2:6">
      <c r="B45" s="94"/>
      <c r="C45" s="95"/>
      <c r="D45" s="95"/>
      <c r="E45" s="95"/>
      <c r="F45" s="96"/>
    </row>
    <row r="46" spans="2:6">
      <c r="B46" s="94"/>
      <c r="C46" s="95"/>
      <c r="D46" s="95"/>
      <c r="E46" s="95"/>
      <c r="F46" s="96"/>
    </row>
    <row r="47" spans="2:6">
      <c r="B47" s="94"/>
      <c r="C47" s="95"/>
      <c r="D47" s="95"/>
      <c r="E47" s="95"/>
      <c r="F47" s="96"/>
    </row>
    <row r="48" spans="2:6">
      <c r="B48" s="94"/>
      <c r="C48" s="95"/>
      <c r="D48" s="95"/>
      <c r="E48" s="95"/>
      <c r="F48" s="96"/>
    </row>
    <row r="49" spans="2:6">
      <c r="B49" s="94"/>
      <c r="C49" s="95"/>
      <c r="D49" s="95"/>
      <c r="E49" s="95"/>
      <c r="F49" s="96"/>
    </row>
    <row r="50" spans="2:6">
      <c r="B50" s="94"/>
      <c r="C50" s="95"/>
      <c r="D50" s="95"/>
      <c r="E50" s="95"/>
      <c r="F50" s="96"/>
    </row>
    <row r="51" spans="2:6">
      <c r="B51" s="94"/>
      <c r="C51" s="95"/>
      <c r="D51" s="95"/>
      <c r="E51" s="95"/>
      <c r="F51" s="96"/>
    </row>
    <row r="52" spans="2:6">
      <c r="B52" s="94"/>
      <c r="C52" s="95"/>
      <c r="D52" s="95"/>
      <c r="E52" s="95"/>
      <c r="F52" s="96"/>
    </row>
    <row r="53" spans="2:6">
      <c r="B53" s="94"/>
      <c r="C53" s="95"/>
      <c r="D53" s="95"/>
      <c r="E53" s="95"/>
      <c r="F53" s="96"/>
    </row>
    <row r="54" spans="2:6">
      <c r="B54" s="94"/>
      <c r="C54" s="95"/>
      <c r="D54" s="95"/>
      <c r="E54" s="95"/>
      <c r="F54" s="96"/>
    </row>
    <row r="55" spans="2:6">
      <c r="B55" s="94"/>
      <c r="C55" s="95"/>
      <c r="D55" s="95"/>
      <c r="E55" s="95"/>
      <c r="F55" s="96"/>
    </row>
    <row r="56" spans="2:6">
      <c r="B56" s="94"/>
      <c r="C56" s="95"/>
      <c r="D56" s="95"/>
      <c r="E56" s="95"/>
      <c r="F56" s="96"/>
    </row>
    <row r="57" spans="2:6">
      <c r="B57" s="94"/>
      <c r="C57" s="95"/>
      <c r="D57" s="95"/>
      <c r="E57" s="95"/>
      <c r="F57" s="96"/>
    </row>
    <row r="58" spans="2:6">
      <c r="B58" s="94"/>
      <c r="C58" s="95"/>
      <c r="D58" s="95"/>
      <c r="E58" s="95"/>
      <c r="F58" s="96"/>
    </row>
    <row r="59" spans="2:6">
      <c r="B59" s="94"/>
      <c r="C59" s="95"/>
      <c r="D59" s="95"/>
      <c r="E59" s="95"/>
      <c r="F59" s="96"/>
    </row>
    <row r="60" spans="2:6">
      <c r="B60" s="97"/>
      <c r="C60" s="98"/>
      <c r="D60" s="98"/>
      <c r="E60" s="98"/>
      <c r="F60" s="99"/>
    </row>
    <row r="62" spans="2:6" ht="15" customHeight="1">
      <c r="B62" s="91"/>
      <c r="C62" s="92"/>
      <c r="D62" s="92"/>
      <c r="E62" s="92"/>
      <c r="F62" s="93"/>
    </row>
    <row r="63" spans="2:6">
      <c r="B63" s="94"/>
      <c r="C63" s="95"/>
      <c r="D63" s="95"/>
      <c r="E63" s="95"/>
      <c r="F63" s="96"/>
    </row>
    <row r="64" spans="2:6">
      <c r="B64" s="94"/>
      <c r="C64" s="95"/>
      <c r="D64" s="95"/>
      <c r="E64" s="95"/>
      <c r="F64" s="96"/>
    </row>
    <row r="65" spans="2:6">
      <c r="B65" s="94"/>
      <c r="C65" s="95"/>
      <c r="D65" s="95"/>
      <c r="E65" s="95"/>
      <c r="F65" s="96"/>
    </row>
    <row r="66" spans="2:6">
      <c r="B66" s="94"/>
      <c r="C66" s="95"/>
      <c r="D66" s="95"/>
      <c r="E66" s="95"/>
      <c r="F66" s="96"/>
    </row>
    <row r="67" spans="2:6">
      <c r="B67" s="94"/>
      <c r="C67" s="95"/>
      <c r="D67" s="95"/>
      <c r="E67" s="95"/>
      <c r="F67" s="96"/>
    </row>
    <row r="68" spans="2:6">
      <c r="B68" s="94"/>
      <c r="C68" s="95"/>
      <c r="D68" s="95"/>
      <c r="E68" s="95"/>
      <c r="F68" s="96"/>
    </row>
    <row r="69" spans="2:6">
      <c r="B69" s="94"/>
      <c r="C69" s="95"/>
      <c r="D69" s="95"/>
      <c r="E69" s="95"/>
      <c r="F69" s="96"/>
    </row>
    <row r="70" spans="2:6">
      <c r="B70" s="94"/>
      <c r="C70" s="95"/>
      <c r="D70" s="95"/>
      <c r="E70" s="95"/>
      <c r="F70" s="96"/>
    </row>
    <row r="71" spans="2:6">
      <c r="B71" s="94"/>
      <c r="C71" s="95"/>
      <c r="D71" s="95"/>
      <c r="E71" s="95"/>
      <c r="F71" s="96"/>
    </row>
    <row r="72" spans="2:6">
      <c r="B72" s="94"/>
      <c r="C72" s="95"/>
      <c r="D72" s="95"/>
      <c r="E72" s="95"/>
      <c r="F72" s="96"/>
    </row>
    <row r="73" spans="2:6">
      <c r="B73" s="94"/>
      <c r="C73" s="95"/>
      <c r="D73" s="95"/>
      <c r="E73" s="95"/>
      <c r="F73" s="96"/>
    </row>
    <row r="74" spans="2:6">
      <c r="B74" s="94"/>
      <c r="C74" s="95"/>
      <c r="D74" s="95"/>
      <c r="E74" s="95"/>
      <c r="F74" s="96"/>
    </row>
    <row r="75" spans="2:6">
      <c r="B75" s="94"/>
      <c r="C75" s="95"/>
      <c r="D75" s="95"/>
      <c r="E75" s="95"/>
      <c r="F75" s="96"/>
    </row>
    <row r="76" spans="2:6">
      <c r="B76" s="94"/>
      <c r="C76" s="95"/>
      <c r="D76" s="95"/>
      <c r="E76" s="95"/>
      <c r="F76" s="96"/>
    </row>
    <row r="77" spans="2:6">
      <c r="B77" s="94"/>
      <c r="C77" s="95"/>
      <c r="D77" s="95"/>
      <c r="E77" s="95"/>
      <c r="F77" s="96"/>
    </row>
    <row r="78" spans="2:6">
      <c r="B78" s="94"/>
      <c r="C78" s="95"/>
      <c r="D78" s="95"/>
      <c r="E78" s="95"/>
      <c r="F78" s="96"/>
    </row>
    <row r="79" spans="2:6">
      <c r="B79" s="94"/>
      <c r="C79" s="95"/>
      <c r="D79" s="95"/>
      <c r="E79" s="95"/>
      <c r="F79" s="96"/>
    </row>
    <row r="80" spans="2:6">
      <c r="B80" s="94"/>
      <c r="C80" s="95"/>
      <c r="D80" s="95"/>
      <c r="E80" s="95"/>
      <c r="F80" s="96"/>
    </row>
    <row r="81" spans="2:6">
      <c r="B81" s="94"/>
      <c r="C81" s="95"/>
      <c r="D81" s="95"/>
      <c r="E81" s="95"/>
      <c r="F81" s="96"/>
    </row>
    <row r="82" spans="2:6">
      <c r="B82" s="94"/>
      <c r="C82" s="95"/>
      <c r="D82" s="95"/>
      <c r="E82" s="95"/>
      <c r="F82" s="96"/>
    </row>
    <row r="83" spans="2:6">
      <c r="B83" s="94"/>
      <c r="C83" s="95"/>
      <c r="D83" s="95"/>
      <c r="E83" s="95"/>
      <c r="F83" s="96"/>
    </row>
    <row r="84" spans="2:6">
      <c r="B84" s="94"/>
      <c r="C84" s="95"/>
      <c r="D84" s="95"/>
      <c r="E84" s="95"/>
      <c r="F84" s="96"/>
    </row>
    <row r="85" spans="2:6">
      <c r="B85" s="94"/>
      <c r="C85" s="95"/>
      <c r="D85" s="95"/>
      <c r="E85" s="95"/>
      <c r="F85" s="96"/>
    </row>
    <row r="86" spans="2:6">
      <c r="B86" s="94"/>
      <c r="C86" s="95"/>
      <c r="D86" s="95"/>
      <c r="E86" s="95"/>
      <c r="F86" s="96"/>
    </row>
    <row r="87" spans="2:6">
      <c r="B87" s="94"/>
      <c r="C87" s="95"/>
      <c r="D87" s="95"/>
      <c r="E87" s="95"/>
      <c r="F87" s="96"/>
    </row>
    <row r="88" spans="2:6">
      <c r="B88" s="94"/>
      <c r="C88" s="95"/>
      <c r="D88" s="95"/>
      <c r="E88" s="95"/>
      <c r="F88" s="96"/>
    </row>
    <row r="89" spans="2:6">
      <c r="B89" s="97"/>
      <c r="C89" s="98"/>
      <c r="D89" s="98"/>
      <c r="E89" s="98"/>
      <c r="F89" s="99"/>
    </row>
    <row r="91" spans="2:6" ht="15" customHeight="1">
      <c r="B91" s="91"/>
      <c r="C91" s="92"/>
      <c r="D91" s="92"/>
      <c r="E91" s="92"/>
      <c r="F91" s="93"/>
    </row>
    <row r="92" spans="2:6">
      <c r="B92" s="94"/>
      <c r="C92" s="95"/>
      <c r="D92" s="95"/>
      <c r="E92" s="95"/>
      <c r="F92" s="96"/>
    </row>
    <row r="93" spans="2:6">
      <c r="B93" s="94"/>
      <c r="C93" s="95"/>
      <c r="D93" s="95"/>
      <c r="E93" s="95"/>
      <c r="F93" s="96"/>
    </row>
    <row r="94" spans="2:6">
      <c r="B94" s="94"/>
      <c r="C94" s="95"/>
      <c r="D94" s="95"/>
      <c r="E94" s="95"/>
      <c r="F94" s="96"/>
    </row>
    <row r="95" spans="2:6">
      <c r="B95" s="94"/>
      <c r="C95" s="95"/>
      <c r="D95" s="95"/>
      <c r="E95" s="95"/>
      <c r="F95" s="96"/>
    </row>
    <row r="96" spans="2:6">
      <c r="B96" s="94"/>
      <c r="C96" s="95"/>
      <c r="D96" s="95"/>
      <c r="E96" s="95"/>
      <c r="F96" s="96"/>
    </row>
    <row r="97" spans="2:6">
      <c r="B97" s="94"/>
      <c r="C97" s="95"/>
      <c r="D97" s="95"/>
      <c r="E97" s="95"/>
      <c r="F97" s="96"/>
    </row>
    <row r="98" spans="2:6">
      <c r="B98" s="94"/>
      <c r="C98" s="95"/>
      <c r="D98" s="95"/>
      <c r="E98" s="95"/>
      <c r="F98" s="96"/>
    </row>
    <row r="99" spans="2:6">
      <c r="B99" s="94"/>
      <c r="C99" s="95"/>
      <c r="D99" s="95"/>
      <c r="E99" s="95"/>
      <c r="F99" s="96"/>
    </row>
    <row r="100" spans="2:6">
      <c r="B100" s="94"/>
      <c r="C100" s="95"/>
      <c r="D100" s="95"/>
      <c r="E100" s="95"/>
      <c r="F100" s="96"/>
    </row>
    <row r="101" spans="2:6">
      <c r="B101" s="94"/>
      <c r="C101" s="95"/>
      <c r="D101" s="95"/>
      <c r="E101" s="95"/>
      <c r="F101" s="96"/>
    </row>
    <row r="102" spans="2:6">
      <c r="B102" s="94"/>
      <c r="C102" s="95"/>
      <c r="D102" s="95"/>
      <c r="E102" s="95"/>
      <c r="F102" s="96"/>
    </row>
    <row r="103" spans="2:6">
      <c r="B103" s="94"/>
      <c r="C103" s="95"/>
      <c r="D103" s="95"/>
      <c r="E103" s="95"/>
      <c r="F103" s="96"/>
    </row>
    <row r="104" spans="2:6">
      <c r="B104" s="94"/>
      <c r="C104" s="95"/>
      <c r="D104" s="95"/>
      <c r="E104" s="95"/>
      <c r="F104" s="96"/>
    </row>
    <row r="105" spans="2:6">
      <c r="B105" s="94"/>
      <c r="C105" s="95"/>
      <c r="D105" s="95"/>
      <c r="E105" s="95"/>
      <c r="F105" s="96"/>
    </row>
    <row r="106" spans="2:6">
      <c r="B106" s="94"/>
      <c r="C106" s="95"/>
      <c r="D106" s="95"/>
      <c r="E106" s="95"/>
      <c r="F106" s="96"/>
    </row>
    <row r="107" spans="2:6">
      <c r="B107" s="94"/>
      <c r="C107" s="95"/>
      <c r="D107" s="95"/>
      <c r="E107" s="95"/>
      <c r="F107" s="96"/>
    </row>
    <row r="108" spans="2:6">
      <c r="B108" s="94"/>
      <c r="C108" s="95"/>
      <c r="D108" s="95"/>
      <c r="E108" s="95"/>
      <c r="F108" s="96"/>
    </row>
    <row r="109" spans="2:6">
      <c r="B109" s="94"/>
      <c r="C109" s="95"/>
      <c r="D109" s="95"/>
      <c r="E109" s="95"/>
      <c r="F109" s="96"/>
    </row>
    <row r="110" spans="2:6">
      <c r="B110" s="94"/>
      <c r="C110" s="95"/>
      <c r="D110" s="95"/>
      <c r="E110" s="95"/>
      <c r="F110" s="96"/>
    </row>
    <row r="111" spans="2:6">
      <c r="B111" s="94"/>
      <c r="C111" s="95"/>
      <c r="D111" s="95"/>
      <c r="E111" s="95"/>
      <c r="F111" s="96"/>
    </row>
    <row r="112" spans="2:6">
      <c r="B112" s="94"/>
      <c r="C112" s="95"/>
      <c r="D112" s="95"/>
      <c r="E112" s="95"/>
      <c r="F112" s="96"/>
    </row>
    <row r="113" spans="2:6">
      <c r="B113" s="94"/>
      <c r="C113" s="95"/>
      <c r="D113" s="95"/>
      <c r="E113" s="95"/>
      <c r="F113" s="96"/>
    </row>
    <row r="114" spans="2:6">
      <c r="B114" s="94"/>
      <c r="C114" s="95"/>
      <c r="D114" s="95"/>
      <c r="E114" s="95"/>
      <c r="F114" s="96"/>
    </row>
    <row r="115" spans="2:6">
      <c r="B115" s="94"/>
      <c r="C115" s="95"/>
      <c r="D115" s="95"/>
      <c r="E115" s="95"/>
      <c r="F115" s="96"/>
    </row>
    <row r="116" spans="2:6">
      <c r="B116" s="94"/>
      <c r="C116" s="95"/>
      <c r="D116" s="95"/>
      <c r="E116" s="95"/>
      <c r="F116" s="96"/>
    </row>
    <row r="117" spans="2:6">
      <c r="B117" s="94"/>
      <c r="C117" s="95"/>
      <c r="D117" s="95"/>
      <c r="E117" s="95"/>
      <c r="F117" s="96"/>
    </row>
    <row r="118" spans="2:6">
      <c r="B118" s="97"/>
      <c r="C118" s="98"/>
      <c r="D118" s="98"/>
      <c r="E118" s="98"/>
      <c r="F118" s="99"/>
    </row>
    <row r="120" spans="2:6" ht="15" customHeight="1">
      <c r="B120" s="100" t="s">
        <v>470</v>
      </c>
      <c r="C120" s="101"/>
      <c r="D120" s="101"/>
      <c r="E120" s="101"/>
      <c r="F120" s="102"/>
    </row>
    <row r="121" spans="2:6">
      <c r="B121" s="103"/>
      <c r="C121" s="104"/>
      <c r="D121" s="104"/>
      <c r="E121" s="104"/>
      <c r="F121" s="105"/>
    </row>
    <row r="122" spans="2:6">
      <c r="B122" s="103"/>
      <c r="C122" s="104"/>
      <c r="D122" s="104"/>
      <c r="E122" s="104"/>
      <c r="F122" s="105"/>
    </row>
    <row r="123" spans="2:6">
      <c r="B123" s="103"/>
      <c r="C123" s="104"/>
      <c r="D123" s="104"/>
      <c r="E123" s="104"/>
      <c r="F123" s="105"/>
    </row>
    <row r="124" spans="2:6">
      <c r="B124" s="103"/>
      <c r="C124" s="104"/>
      <c r="D124" s="104"/>
      <c r="E124" s="104"/>
      <c r="F124" s="105"/>
    </row>
    <row r="125" spans="2:6">
      <c r="B125" s="103"/>
      <c r="C125" s="104"/>
      <c r="D125" s="104"/>
      <c r="E125" s="104"/>
      <c r="F125" s="105"/>
    </row>
    <row r="126" spans="2:6">
      <c r="B126" s="103"/>
      <c r="C126" s="104"/>
      <c r="D126" s="104"/>
      <c r="E126" s="104"/>
      <c r="F126" s="105"/>
    </row>
    <row r="127" spans="2:6">
      <c r="B127" s="103"/>
      <c r="C127" s="104"/>
      <c r="D127" s="104"/>
      <c r="E127" s="104"/>
      <c r="F127" s="105"/>
    </row>
    <row r="128" spans="2:6">
      <c r="B128" s="103"/>
      <c r="C128" s="104"/>
      <c r="D128" s="104"/>
      <c r="E128" s="104"/>
      <c r="F128" s="105"/>
    </row>
    <row r="129" spans="2:6">
      <c r="B129" s="103"/>
      <c r="C129" s="104"/>
      <c r="D129" s="104"/>
      <c r="E129" s="104"/>
      <c r="F129" s="105"/>
    </row>
    <row r="130" spans="2:6">
      <c r="B130" s="103"/>
      <c r="C130" s="104"/>
      <c r="D130" s="104"/>
      <c r="E130" s="104"/>
      <c r="F130" s="105"/>
    </row>
    <row r="131" spans="2:6">
      <c r="B131" s="103"/>
      <c r="C131" s="104"/>
      <c r="D131" s="104"/>
      <c r="E131" s="104"/>
      <c r="F131" s="105"/>
    </row>
    <row r="132" spans="2:6">
      <c r="B132" s="103"/>
      <c r="C132" s="104"/>
      <c r="D132" s="104"/>
      <c r="E132" s="104"/>
      <c r="F132" s="105"/>
    </row>
    <row r="133" spans="2:6">
      <c r="B133" s="103"/>
      <c r="C133" s="104"/>
      <c r="D133" s="104"/>
      <c r="E133" s="104"/>
      <c r="F133" s="105"/>
    </row>
    <row r="134" spans="2:6">
      <c r="B134" s="103"/>
      <c r="C134" s="104"/>
      <c r="D134" s="104"/>
      <c r="E134" s="104"/>
      <c r="F134" s="105"/>
    </row>
    <row r="135" spans="2:6">
      <c r="B135" s="103"/>
      <c r="C135" s="104"/>
      <c r="D135" s="104"/>
      <c r="E135" s="104"/>
      <c r="F135" s="105"/>
    </row>
    <row r="136" spans="2:6">
      <c r="B136" s="103"/>
      <c r="C136" s="104"/>
      <c r="D136" s="104"/>
      <c r="E136" s="104"/>
      <c r="F136" s="105"/>
    </row>
    <row r="137" spans="2:6">
      <c r="B137" s="103"/>
      <c r="C137" s="104"/>
      <c r="D137" s="104"/>
      <c r="E137" s="104"/>
      <c r="F137" s="105"/>
    </row>
    <row r="138" spans="2:6">
      <c r="B138" s="103"/>
      <c r="C138" s="104"/>
      <c r="D138" s="104"/>
      <c r="E138" s="104"/>
      <c r="F138" s="105"/>
    </row>
    <row r="139" spans="2:6">
      <c r="B139" s="103"/>
      <c r="C139" s="104"/>
      <c r="D139" s="104"/>
      <c r="E139" s="104"/>
      <c r="F139" s="105"/>
    </row>
    <row r="140" spans="2:6">
      <c r="B140" s="103"/>
      <c r="C140" s="104"/>
      <c r="D140" s="104"/>
      <c r="E140" s="104"/>
      <c r="F140" s="105"/>
    </row>
    <row r="141" spans="2:6">
      <c r="B141" s="103"/>
      <c r="C141" s="104"/>
      <c r="D141" s="104"/>
      <c r="E141" s="104"/>
      <c r="F141" s="105"/>
    </row>
    <row r="142" spans="2:6">
      <c r="B142" s="103"/>
      <c r="C142" s="104"/>
      <c r="D142" s="104"/>
      <c r="E142" s="104"/>
      <c r="F142" s="105"/>
    </row>
    <row r="143" spans="2:6">
      <c r="B143" s="103"/>
      <c r="C143" s="104"/>
      <c r="D143" s="104"/>
      <c r="E143" s="104"/>
      <c r="F143" s="105"/>
    </row>
    <row r="144" spans="2:6">
      <c r="B144" s="103"/>
      <c r="C144" s="104"/>
      <c r="D144" s="104"/>
      <c r="E144" s="104"/>
      <c r="F144" s="105"/>
    </row>
    <row r="145" spans="2:6">
      <c r="B145" s="103"/>
      <c r="C145" s="104"/>
      <c r="D145" s="104"/>
      <c r="E145" s="104"/>
      <c r="F145" s="105"/>
    </row>
    <row r="146" spans="2:6">
      <c r="B146" s="103"/>
      <c r="C146" s="104"/>
      <c r="D146" s="104"/>
      <c r="E146" s="104"/>
      <c r="F146" s="105"/>
    </row>
    <row r="147" spans="2:6">
      <c r="B147" s="106"/>
      <c r="C147" s="107"/>
      <c r="D147" s="107"/>
      <c r="E147" s="107"/>
      <c r="F147" s="108"/>
    </row>
    <row r="149" spans="2:6" ht="15" customHeight="1">
      <c r="B149" s="91"/>
      <c r="C149" s="92"/>
      <c r="D149" s="92"/>
      <c r="E149" s="92"/>
      <c r="F149" s="93"/>
    </row>
    <row r="150" spans="2:6">
      <c r="B150" s="94"/>
      <c r="C150" s="95"/>
      <c r="D150" s="95"/>
      <c r="E150" s="95"/>
      <c r="F150" s="96"/>
    </row>
    <row r="151" spans="2:6">
      <c r="B151" s="94"/>
      <c r="C151" s="95"/>
      <c r="D151" s="95"/>
      <c r="E151" s="95"/>
      <c r="F151" s="96"/>
    </row>
    <row r="152" spans="2:6">
      <c r="B152" s="94"/>
      <c r="C152" s="95"/>
      <c r="D152" s="95"/>
      <c r="E152" s="95"/>
      <c r="F152" s="96"/>
    </row>
    <row r="153" spans="2:6">
      <c r="B153" s="94"/>
      <c r="C153" s="95"/>
      <c r="D153" s="95"/>
      <c r="E153" s="95"/>
      <c r="F153" s="96"/>
    </row>
    <row r="154" spans="2:6">
      <c r="B154" s="94"/>
      <c r="C154" s="95"/>
      <c r="D154" s="95"/>
      <c r="E154" s="95"/>
      <c r="F154" s="96"/>
    </row>
    <row r="155" spans="2:6">
      <c r="B155" s="94"/>
      <c r="C155" s="95"/>
      <c r="D155" s="95"/>
      <c r="E155" s="95"/>
      <c r="F155" s="96"/>
    </row>
    <row r="156" spans="2:6">
      <c r="B156" s="94"/>
      <c r="C156" s="95"/>
      <c r="D156" s="95"/>
      <c r="E156" s="95"/>
      <c r="F156" s="96"/>
    </row>
    <row r="157" spans="2:6">
      <c r="B157" s="94"/>
      <c r="C157" s="95"/>
      <c r="D157" s="95"/>
      <c r="E157" s="95"/>
      <c r="F157" s="96"/>
    </row>
    <row r="158" spans="2:6">
      <c r="B158" s="94"/>
      <c r="C158" s="95"/>
      <c r="D158" s="95"/>
      <c r="E158" s="95"/>
      <c r="F158" s="96"/>
    </row>
    <row r="159" spans="2:6">
      <c r="B159" s="94"/>
      <c r="C159" s="95"/>
      <c r="D159" s="95"/>
      <c r="E159" s="95"/>
      <c r="F159" s="96"/>
    </row>
    <row r="160" spans="2:6">
      <c r="B160" s="94"/>
      <c r="C160" s="95"/>
      <c r="D160" s="95"/>
      <c r="E160" s="95"/>
      <c r="F160" s="96"/>
    </row>
    <row r="161" spans="2:6">
      <c r="B161" s="94"/>
      <c r="C161" s="95"/>
      <c r="D161" s="95"/>
      <c r="E161" s="95"/>
      <c r="F161" s="96"/>
    </row>
    <row r="162" spans="2:6">
      <c r="B162" s="94"/>
      <c r="C162" s="95"/>
      <c r="D162" s="95"/>
      <c r="E162" s="95"/>
      <c r="F162" s="96"/>
    </row>
    <row r="163" spans="2:6">
      <c r="B163" s="94"/>
      <c r="C163" s="95"/>
      <c r="D163" s="95"/>
      <c r="E163" s="95"/>
      <c r="F163" s="96"/>
    </row>
    <row r="164" spans="2:6">
      <c r="B164" s="94"/>
      <c r="C164" s="95"/>
      <c r="D164" s="95"/>
      <c r="E164" s="95"/>
      <c r="F164" s="96"/>
    </row>
    <row r="165" spans="2:6">
      <c r="B165" s="94"/>
      <c r="C165" s="95"/>
      <c r="D165" s="95"/>
      <c r="E165" s="95"/>
      <c r="F165" s="96"/>
    </row>
    <row r="166" spans="2:6">
      <c r="B166" s="94"/>
      <c r="C166" s="95"/>
      <c r="D166" s="95"/>
      <c r="E166" s="95"/>
      <c r="F166" s="96"/>
    </row>
    <row r="167" spans="2:6">
      <c r="B167" s="94"/>
      <c r="C167" s="95"/>
      <c r="D167" s="95"/>
      <c r="E167" s="95"/>
      <c r="F167" s="96"/>
    </row>
    <row r="168" spans="2:6">
      <c r="B168" s="94"/>
      <c r="C168" s="95"/>
      <c r="D168" s="95"/>
      <c r="E168" s="95"/>
      <c r="F168" s="96"/>
    </row>
    <row r="169" spans="2:6">
      <c r="B169" s="94"/>
      <c r="C169" s="95"/>
      <c r="D169" s="95"/>
      <c r="E169" s="95"/>
      <c r="F169" s="96"/>
    </row>
    <row r="170" spans="2:6">
      <c r="B170" s="94"/>
      <c r="C170" s="95"/>
      <c r="D170" s="95"/>
      <c r="E170" s="95"/>
      <c r="F170" s="96"/>
    </row>
    <row r="171" spans="2:6">
      <c r="B171" s="94"/>
      <c r="C171" s="95"/>
      <c r="D171" s="95"/>
      <c r="E171" s="95"/>
      <c r="F171" s="96"/>
    </row>
    <row r="172" spans="2:6">
      <c r="B172" s="94"/>
      <c r="C172" s="95"/>
      <c r="D172" s="95"/>
      <c r="E172" s="95"/>
      <c r="F172" s="96"/>
    </row>
    <row r="173" spans="2:6">
      <c r="B173" s="94"/>
      <c r="C173" s="95"/>
      <c r="D173" s="95"/>
      <c r="E173" s="95"/>
      <c r="F173" s="96"/>
    </row>
    <row r="174" spans="2:6">
      <c r="B174" s="94"/>
      <c r="C174" s="95"/>
      <c r="D174" s="95"/>
      <c r="E174" s="95"/>
      <c r="F174" s="96"/>
    </row>
    <row r="175" spans="2:6">
      <c r="B175" s="94"/>
      <c r="C175" s="95"/>
      <c r="D175" s="95"/>
      <c r="E175" s="95"/>
      <c r="F175" s="96"/>
    </row>
    <row r="176" spans="2:6">
      <c r="B176" s="97"/>
      <c r="C176" s="98"/>
      <c r="D176" s="98"/>
      <c r="E176" s="98"/>
      <c r="F176" s="99"/>
    </row>
  </sheetData>
  <mergeCells count="8">
    <mergeCell ref="B120:F147"/>
    <mergeCell ref="B62:F89"/>
    <mergeCell ref="B149:F176"/>
    <mergeCell ref="B2:B3"/>
    <mergeCell ref="D2:F3"/>
    <mergeCell ref="B4:F31"/>
    <mergeCell ref="B33:F60"/>
    <mergeCell ref="B91:F118"/>
  </mergeCells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14</vt:i4>
      </vt:variant>
    </vt:vector>
  </HeadingPairs>
  <TitlesOfParts>
    <vt:vector size="14" baseType="lpstr">
      <vt:lpstr>Heatmap</vt:lpstr>
      <vt:lpstr>Housing Market</vt:lpstr>
      <vt:lpstr>Graphs 1</vt:lpstr>
      <vt:lpstr>Economic Activity</vt:lpstr>
      <vt:lpstr>Graphs 2</vt:lpstr>
      <vt:lpstr>Labor Market</vt:lpstr>
      <vt:lpstr>Graphs 4</vt:lpstr>
      <vt:lpstr>Inflation</vt:lpstr>
      <vt:lpstr>Graphs 3</vt:lpstr>
      <vt:lpstr>Monetary Policy + Market</vt:lpstr>
      <vt:lpstr>GDP + ECI (Quarter)</vt:lpstr>
      <vt:lpstr>US Budget (Annual Data)</vt:lpstr>
      <vt:lpstr>Graphs 5</vt:lpstr>
      <vt:lpstr>Recession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Igor George Mazzei Mundstock</dc:creator>
  <cp:lastModifiedBy>Igor George Mazzei Mundstock</cp:lastModifiedBy>
  <cp:lastPrinted>2023-08-19T11:58:10Z</cp:lastPrinted>
  <dcterms:created xsi:type="dcterms:W3CDTF">2021-07-01T16:57:44Z</dcterms:created>
  <dcterms:modified xsi:type="dcterms:W3CDTF">2024-01-25T12:31:23Z</dcterms:modified>
</cp:coreProperties>
</file>